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a:\lmw\gen\data\"/>
    </mc:Choice>
  </mc:AlternateContent>
  <xr:revisionPtr revIDLastSave="0" documentId="8_{AF029E77-7655-48EA-93F8-2F7D911DD9A4}" xr6:coauthVersionLast="47" xr6:coauthVersionMax="47" xr10:uidLastSave="{00000000-0000-0000-0000-000000000000}"/>
  <bookViews>
    <workbookView xWindow="480" yWindow="340" windowWidth="27940" windowHeight="9080" xr2:uid="{9AF1582C-A408-4DF0-AAC1-5C9743AB1E08}"/>
  </bookViews>
  <sheets>
    <sheet name="Pedigree" sheetId="2" r:id="rId1"/>
    <sheet name="Sheet1" sheetId="1" r:id="rId2"/>
  </sheets>
  <externalReferences>
    <externalReference r:id="rId3"/>
  </externalReferences>
  <definedNames>
    <definedName name="_xlnm._FilterDatabase" localSheetId="0" hidden="1">Pedigree!#REF!</definedName>
    <definedName name="a1995740">#REF!</definedName>
    <definedName name="a1995740b">#REF!</definedName>
    <definedName name="a790\">#REF!</definedName>
    <definedName name="saywha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106" i="2" l="1"/>
  <c r="E10104" i="2"/>
  <c r="G10102" i="2"/>
  <c r="F10100" i="2"/>
  <c r="G10098" i="2"/>
  <c r="D10096" i="2"/>
  <c r="E10094" i="2"/>
  <c r="C10092" i="2"/>
  <c r="G10090" i="2"/>
  <c r="F10088" i="2"/>
  <c r="J10086" i="2"/>
  <c r="I10084" i="2"/>
  <c r="J10082" i="2"/>
  <c r="H10080" i="2"/>
  <c r="J10078" i="2"/>
  <c r="I10076" i="2"/>
  <c r="M10074" i="2"/>
  <c r="L10072" i="2"/>
  <c r="N10070" i="2"/>
  <c r="M10068" i="2"/>
  <c r="N10066" i="2"/>
  <c r="K10064" i="2"/>
  <c r="L10062" i="2"/>
  <c r="J10060" i="2"/>
  <c r="L10058" i="2"/>
  <c r="K10056" i="2"/>
  <c r="M10054" i="2"/>
  <c r="L10052" i="2"/>
  <c r="N10050" i="2"/>
  <c r="M10048" i="2"/>
  <c r="N10046" i="2"/>
  <c r="G10044" i="2"/>
  <c r="J10042" i="2"/>
  <c r="I10040" i="2"/>
  <c r="J10038" i="2"/>
  <c r="H10036" i="2"/>
  <c r="K10034" i="2"/>
  <c r="J10032" i="2"/>
  <c r="M10030" i="2"/>
  <c r="L10028" i="2"/>
  <c r="M10026" i="2"/>
  <c r="K10024" i="2"/>
  <c r="N10022" i="2"/>
  <c r="M10020" i="2"/>
  <c r="N10018" i="2"/>
  <c r="L10016" i="2"/>
  <c r="N10014" i="2"/>
  <c r="M10012" i="2"/>
  <c r="N10010" i="2"/>
  <c r="I10008" i="2"/>
  <c r="L10006" i="2"/>
  <c r="K10004" i="2"/>
  <c r="L10002" i="2"/>
  <c r="J10000" i="2"/>
  <c r="M9998" i="2"/>
  <c r="L9996" i="2"/>
  <c r="N9994" i="2"/>
  <c r="M9992" i="2"/>
  <c r="N9990" i="2"/>
  <c r="K9988" i="2"/>
  <c r="M9986" i="2"/>
  <c r="L9984" i="2"/>
  <c r="M9982" i="2"/>
  <c r="E9980" i="2"/>
  <c r="K9978" i="2"/>
  <c r="J9976" i="2"/>
  <c r="K9974" i="2"/>
  <c r="I9972" i="2"/>
  <c r="J9970" i="2"/>
  <c r="H9968" i="2"/>
  <c r="J9966" i="2"/>
  <c r="I9964" i="2"/>
  <c r="K9962" i="2"/>
  <c r="J9960" i="2"/>
  <c r="K9958" i="2"/>
  <c r="G9956" i="2"/>
  <c r="I9954" i="2"/>
  <c r="H9952" i="2"/>
  <c r="J9950" i="2"/>
  <c r="I9948" i="2"/>
  <c r="J9946" i="2"/>
  <c r="F9944" i="2"/>
  <c r="I9942" i="2"/>
  <c r="H9940" i="2"/>
  <c r="I9938" i="2"/>
  <c r="G9936" i="2"/>
  <c r="I9934" i="2"/>
  <c r="H9932" i="2"/>
  <c r="I9930" i="2"/>
  <c r="D9928" i="2"/>
  <c r="G9926" i="2"/>
  <c r="F9924" i="2"/>
  <c r="L9922" i="2"/>
  <c r="K9920" i="2"/>
  <c r="L9918" i="2"/>
  <c r="J9916" i="2"/>
  <c r="L9914" i="2"/>
  <c r="K9912" i="2"/>
  <c r="L9910" i="2"/>
  <c r="I9908" i="2"/>
  <c r="J9904" i="2"/>
  <c r="L9902" i="2"/>
  <c r="L9898" i="2"/>
  <c r="H9896" i="2"/>
  <c r="J9894" i="2"/>
  <c r="I9892" i="2"/>
  <c r="M9890" i="2"/>
  <c r="L9888" i="2"/>
  <c r="M9886" i="2"/>
  <c r="K9884" i="2"/>
  <c r="L9882" i="2"/>
  <c r="J9880" i="2"/>
  <c r="N9876" i="2"/>
  <c r="M9872" i="2"/>
  <c r="N9870" i="2"/>
  <c r="L9868" i="2"/>
  <c r="N9864" i="2"/>
  <c r="M9860" i="2"/>
  <c r="N9858" i="2"/>
  <c r="K9856" i="2"/>
  <c r="N9854" i="2"/>
  <c r="M9852" i="2"/>
  <c r="N9850" i="2"/>
  <c r="L9848" i="2"/>
  <c r="N9846" i="2"/>
  <c r="M9844" i="2"/>
  <c r="N9842" i="2"/>
  <c r="G9840" i="2"/>
  <c r="J9838" i="2"/>
  <c r="I9836" i="2"/>
  <c r="J9834" i="2"/>
  <c r="H9832" i="2"/>
  <c r="J9830" i="2"/>
  <c r="I9828" i="2"/>
  <c r="K9826" i="2"/>
  <c r="J9824" i="2"/>
  <c r="K9822" i="2"/>
  <c r="E9820" i="2"/>
  <c r="I9818" i="2"/>
  <c r="H9816" i="2"/>
  <c r="I9814" i="2"/>
  <c r="G9812" i="2"/>
  <c r="N9810" i="2"/>
  <c r="M9808" i="2"/>
  <c r="N9806" i="2"/>
  <c r="L9804" i="2"/>
  <c r="O9802" i="2"/>
  <c r="N9800" i="2"/>
  <c r="O9798" i="2"/>
  <c r="M9796" i="2"/>
  <c r="O9794" i="2"/>
  <c r="N9792" i="2"/>
  <c r="P9790" i="2"/>
  <c r="O9788" i="2"/>
  <c r="P9786" i="2"/>
  <c r="K9784" i="2"/>
  <c r="M9782" i="2"/>
  <c r="L9780" i="2"/>
  <c r="O9778" i="2"/>
  <c r="N9776" i="2"/>
  <c r="O9774" i="2"/>
  <c r="M9772" i="2"/>
  <c r="O9770" i="2"/>
  <c r="N9768" i="2"/>
  <c r="O9766" i="2"/>
  <c r="J9764" i="2"/>
  <c r="N9762" i="2"/>
  <c r="M9760" i="2"/>
  <c r="N9758" i="2"/>
  <c r="L9756" i="2"/>
  <c r="O9754" i="2"/>
  <c r="N9752" i="2"/>
  <c r="O9750" i="2"/>
  <c r="M9748" i="2"/>
  <c r="N9746" i="2"/>
  <c r="K9744" i="2"/>
  <c r="L9742" i="2"/>
  <c r="I9740" i="2"/>
  <c r="L9738" i="2"/>
  <c r="K9736" i="2"/>
  <c r="L9734" i="2"/>
  <c r="J9732" i="2"/>
  <c r="L9730" i="2"/>
  <c r="K9728" i="2"/>
  <c r="M9726" i="2"/>
  <c r="L9724" i="2"/>
  <c r="N9722" i="2"/>
  <c r="M9720" i="2"/>
  <c r="N9718" i="2"/>
  <c r="H9716" i="2"/>
  <c r="I9714" i="2"/>
  <c r="F9712" i="2"/>
  <c r="K9710" i="2"/>
  <c r="J9708" i="2"/>
  <c r="L9706" i="2"/>
  <c r="K9704" i="2"/>
  <c r="L9702" i="2"/>
  <c r="I9700" i="2"/>
  <c r="M9698" i="2"/>
  <c r="L9696" i="2"/>
  <c r="N9694" i="2"/>
  <c r="M9692" i="2"/>
  <c r="N9690" i="2"/>
  <c r="K9688" i="2"/>
  <c r="N9686" i="2"/>
  <c r="M9684" i="2"/>
  <c r="N9682" i="2"/>
  <c r="L9680" i="2"/>
  <c r="M9678" i="2"/>
  <c r="J9676" i="2"/>
  <c r="N9674" i="2"/>
  <c r="M9672" i="2"/>
  <c r="N9670" i="2"/>
  <c r="L9668" i="2"/>
  <c r="N9666" i="2"/>
  <c r="M9664" i="2"/>
  <c r="N9662" i="2"/>
  <c r="K9660" i="2"/>
  <c r="N9658" i="2"/>
  <c r="M9656" i="2"/>
  <c r="O9654" i="2"/>
  <c r="N9652" i="2"/>
  <c r="P9650" i="2"/>
  <c r="O9648" i="2"/>
  <c r="Q9646" i="2"/>
  <c r="P9644" i="2"/>
  <c r="R9642" i="2"/>
  <c r="Q9640" i="2"/>
  <c r="R9638" i="2"/>
  <c r="L9636" i="2"/>
  <c r="N9634" i="2"/>
  <c r="M9632" i="2"/>
  <c r="N9630" i="2"/>
  <c r="H9628" i="2"/>
  <c r="J9626" i="2"/>
  <c r="I9624" i="2"/>
  <c r="J9622" i="2"/>
  <c r="G9620" i="2"/>
  <c r="K9618" i="2"/>
  <c r="J9616" i="2"/>
  <c r="K9614" i="2"/>
  <c r="I9612" i="2"/>
  <c r="L9610" i="2"/>
  <c r="K9608" i="2"/>
  <c r="M9606" i="2"/>
  <c r="L9604" i="2"/>
  <c r="N9602" i="2"/>
  <c r="M9600" i="2"/>
  <c r="O9598" i="2"/>
  <c r="N9596" i="2"/>
  <c r="O9594" i="2"/>
  <c r="J9592" i="2"/>
  <c r="P9590" i="2"/>
  <c r="O9588" i="2"/>
  <c r="P9586" i="2"/>
  <c r="N9584" i="2"/>
  <c r="P9582" i="2"/>
  <c r="O9580" i="2"/>
  <c r="P9578" i="2"/>
  <c r="M9576" i="2"/>
  <c r="O9574" i="2"/>
  <c r="N9572" i="2"/>
  <c r="P9570" i="2"/>
  <c r="O9568" i="2"/>
  <c r="P9566" i="2"/>
  <c r="L9564" i="2"/>
  <c r="O9562" i="2"/>
  <c r="N9560" i="2"/>
  <c r="O9558" i="2"/>
  <c r="M9556" i="2"/>
  <c r="P9554" i="2"/>
  <c r="O9552" i="2"/>
  <c r="P9550" i="2"/>
  <c r="N9548" i="2"/>
  <c r="P9546" i="2"/>
  <c r="O9544" i="2"/>
  <c r="P9542" i="2"/>
  <c r="K9540" i="2"/>
  <c r="O9538" i="2"/>
  <c r="N9536" i="2"/>
  <c r="O9534" i="2"/>
  <c r="M9532" i="2"/>
  <c r="O9530" i="2"/>
  <c r="N9528" i="2"/>
  <c r="O9526" i="2"/>
  <c r="L9524" i="2"/>
  <c r="P9522" i="2"/>
  <c r="O9520" i="2"/>
  <c r="Q9518" i="2"/>
  <c r="P9516" i="2"/>
  <c r="Q9514" i="2"/>
  <c r="N9512" i="2"/>
  <c r="Q9510" i="2"/>
  <c r="P9508" i="2"/>
  <c r="Q9506" i="2"/>
  <c r="O9504" i="2"/>
  <c r="Q9502" i="2"/>
  <c r="P9500" i="2"/>
  <c r="S9498" i="2"/>
  <c r="R9496" i="2"/>
  <c r="S9494" i="2"/>
  <c r="Q9492" i="2"/>
  <c r="S9490" i="2"/>
  <c r="R9488" i="2"/>
  <c r="U9486" i="2"/>
  <c r="T9484" i="2"/>
  <c r="U9482" i="2"/>
  <c r="S9480" i="2"/>
  <c r="T9478" i="2"/>
  <c r="M9476" i="2"/>
  <c r="P9474" i="2"/>
  <c r="O9472" i="2"/>
  <c r="Q9470" i="2"/>
  <c r="P9468" i="2"/>
  <c r="Q9466" i="2"/>
  <c r="N9464" i="2"/>
  <c r="P9462" i="2"/>
  <c r="O9460" i="2"/>
  <c r="Q9458" i="2"/>
  <c r="P9456" i="2"/>
  <c r="R9454" i="2"/>
  <c r="Q9452" i="2"/>
  <c r="S9450" i="2"/>
  <c r="R9448" i="2"/>
  <c r="T9446" i="2"/>
  <c r="S9444" i="2"/>
  <c r="U9442" i="2"/>
  <c r="T9440" i="2"/>
  <c r="U9438" i="2"/>
  <c r="H9436" i="2"/>
  <c r="M9434" i="2"/>
  <c r="L9432" i="2"/>
  <c r="M9430" i="2"/>
  <c r="K9428" i="2"/>
  <c r="M9426" i="2"/>
  <c r="L9424" i="2"/>
  <c r="O9422" i="2"/>
  <c r="N9420" i="2"/>
  <c r="O9418" i="2"/>
  <c r="M9416" i="2"/>
  <c r="O9414" i="2"/>
  <c r="N9412" i="2"/>
  <c r="P9410" i="2"/>
  <c r="O9408" i="2"/>
  <c r="S9406" i="2"/>
  <c r="R9404" i="2"/>
  <c r="S9402" i="2"/>
  <c r="Q9400" i="2"/>
  <c r="S9398" i="2"/>
  <c r="R9396" i="2"/>
  <c r="S9394" i="2"/>
  <c r="P9392" i="2"/>
  <c r="Q9390" i="2"/>
  <c r="J9388" i="2"/>
  <c r="K9386" i="2"/>
  <c r="I9384" i="2"/>
  <c r="L9382" i="2"/>
  <c r="K9380" i="2"/>
  <c r="L9378" i="2"/>
  <c r="J9376" i="2"/>
  <c r="L9374" i="2"/>
  <c r="K9372" i="2"/>
  <c r="N9370" i="2"/>
  <c r="M9368" i="2"/>
  <c r="O9366" i="2"/>
  <c r="N9364" i="2"/>
  <c r="O9362" i="2"/>
  <c r="L9360" i="2"/>
  <c r="N9358" i="2"/>
  <c r="M9356" i="2"/>
  <c r="O9354" i="2"/>
  <c r="N9352" i="2"/>
  <c r="P9350" i="2"/>
  <c r="O9348" i="2"/>
  <c r="P9346" i="2"/>
  <c r="B9344" i="2"/>
  <c r="N9342" i="2"/>
  <c r="M9340" i="2"/>
  <c r="N9338" i="2"/>
  <c r="L9336" i="2"/>
  <c r="N9334" i="2"/>
  <c r="M9332" i="2"/>
  <c r="O9330" i="2"/>
  <c r="N9328" i="2"/>
  <c r="R9326" i="2"/>
  <c r="Q9324" i="2"/>
  <c r="R9322" i="2"/>
  <c r="P9320" i="2"/>
  <c r="R9318" i="2"/>
  <c r="Q9316" i="2"/>
  <c r="S9314" i="2"/>
  <c r="R9312" i="2"/>
  <c r="T9310" i="2"/>
  <c r="S9308" i="2"/>
  <c r="U9306" i="2"/>
  <c r="T9304" i="2"/>
  <c r="U9302" i="2"/>
  <c r="O9300" i="2"/>
  <c r="Q9298" i="2"/>
  <c r="P9296" i="2"/>
  <c r="Q9294" i="2"/>
  <c r="K9292" i="2"/>
  <c r="P9290" i="2"/>
  <c r="O9288" i="2"/>
  <c r="Q9286" i="2"/>
  <c r="P9284" i="2"/>
  <c r="Q9282" i="2"/>
  <c r="N9280" i="2"/>
  <c r="O9278" i="2"/>
  <c r="M9276" i="2"/>
  <c r="O9274" i="2"/>
  <c r="N9272" i="2"/>
  <c r="O9270" i="2"/>
  <c r="L9268" i="2"/>
  <c r="N9266" i="2"/>
  <c r="M9264" i="2"/>
  <c r="O9262" i="2"/>
  <c r="N9260" i="2"/>
  <c r="P9258" i="2"/>
  <c r="O9256" i="2"/>
  <c r="Q9254" i="2"/>
  <c r="P9252" i="2"/>
  <c r="R9250" i="2"/>
  <c r="Q9248" i="2"/>
  <c r="T9246" i="2"/>
  <c r="S9244" i="2"/>
  <c r="U9242" i="2"/>
  <c r="T9240" i="2"/>
  <c r="U9238" i="2"/>
  <c r="R9236" i="2"/>
  <c r="T9234" i="2"/>
  <c r="S9232" i="2"/>
  <c r="U9230" i="2"/>
  <c r="T9228" i="2"/>
  <c r="V9226" i="2"/>
  <c r="U9224" i="2"/>
  <c r="W9222" i="2"/>
  <c r="V9220" i="2"/>
  <c r="X9218" i="2"/>
  <c r="W9216" i="2"/>
  <c r="X9214" i="2"/>
  <c r="J9212" i="2"/>
  <c r="L9210" i="2"/>
  <c r="K9208" i="2"/>
  <c r="M9206" i="2"/>
  <c r="L9204" i="2"/>
  <c r="M9202" i="2"/>
  <c r="I9200" i="2"/>
  <c r="N9198" i="2"/>
  <c r="M9196" i="2"/>
  <c r="N9194" i="2"/>
  <c r="L9192" i="2"/>
  <c r="R9190" i="2"/>
  <c r="Q9188" i="2"/>
  <c r="R9186" i="2"/>
  <c r="P9184" i="2"/>
  <c r="R9182" i="2"/>
  <c r="Q9180" i="2"/>
  <c r="R9178" i="2"/>
  <c r="O9176" i="2"/>
  <c r="Q9174" i="2"/>
  <c r="P9172" i="2"/>
  <c r="R9170" i="2"/>
  <c r="Q9168" i="2"/>
  <c r="S9166" i="2"/>
  <c r="R9164" i="2"/>
  <c r="S9162" i="2"/>
  <c r="N9160" i="2"/>
  <c r="O9158" i="2"/>
  <c r="M9156" i="2"/>
  <c r="N9154" i="2"/>
  <c r="K9152" i="2"/>
  <c r="L9150" i="2"/>
  <c r="J9148" i="2"/>
  <c r="N9146" i="2"/>
  <c r="M9144" i="2"/>
  <c r="N9142" i="2"/>
  <c r="L9140" i="2"/>
  <c r="N9138" i="2"/>
  <c r="M9136" i="2"/>
  <c r="R9134" i="2"/>
  <c r="Q9132" i="2"/>
  <c r="S9130" i="2"/>
  <c r="R9128" i="2"/>
  <c r="T9126" i="2"/>
  <c r="S9124" i="2"/>
  <c r="T9122" i="2"/>
  <c r="P9120" i="2"/>
  <c r="Q9118" i="2"/>
  <c r="O9116" i="2"/>
  <c r="R9114" i="2"/>
  <c r="Q9112" i="2"/>
  <c r="R9110" i="2"/>
  <c r="P9108" i="2"/>
  <c r="R9106" i="2"/>
  <c r="Q9104" i="2"/>
  <c r="R9102" i="2"/>
  <c r="N9100" i="2"/>
  <c r="P9098" i="2"/>
  <c r="O9096" i="2"/>
  <c r="P9094" i="2"/>
  <c r="K9092" i="2"/>
  <c r="O9090" i="2"/>
  <c r="N9088" i="2"/>
  <c r="R9086" i="2"/>
  <c r="Q9084" i="2"/>
  <c r="R9082" i="2"/>
  <c r="P9080" i="2"/>
  <c r="R9078" i="2"/>
  <c r="Q9076" i="2"/>
  <c r="R9074" i="2"/>
  <c r="O9072" i="2"/>
  <c r="S9070" i="2"/>
  <c r="R9068" i="2"/>
  <c r="S9066" i="2"/>
  <c r="Q9064" i="2"/>
  <c r="R9062" i="2"/>
  <c r="P9060" i="2"/>
  <c r="T9058" i="2"/>
  <c r="S9056" i="2"/>
  <c r="T9054" i="2"/>
  <c r="R9052" i="2"/>
  <c r="U9050" i="2"/>
  <c r="T9048" i="2"/>
  <c r="U9046" i="2"/>
  <c r="S9044" i="2"/>
  <c r="U9042" i="2"/>
  <c r="T9040" i="2"/>
  <c r="V9038" i="2"/>
  <c r="U9036" i="2"/>
  <c r="V9034" i="2"/>
  <c r="Q9032" i="2"/>
  <c r="U9030" i="2"/>
  <c r="T9028" i="2"/>
  <c r="U9026" i="2"/>
  <c r="S9024" i="2"/>
  <c r="T9022" i="2"/>
  <c r="R9020" i="2"/>
  <c r="W9018" i="2"/>
  <c r="V9016" i="2"/>
  <c r="W9014" i="2"/>
  <c r="U9012" i="2"/>
  <c r="W9010" i="2"/>
  <c r="V9008" i="2"/>
  <c r="X9006" i="2"/>
  <c r="W9004" i="2"/>
  <c r="Y9002" i="2"/>
  <c r="X9000" i="2"/>
  <c r="Y8998" i="2"/>
  <c r="T8996" i="2"/>
  <c r="V8994" i="2"/>
  <c r="U8992" i="2"/>
  <c r="V8990" i="2"/>
  <c r="S8988" i="2"/>
  <c r="W8986" i="2"/>
  <c r="V8984" i="2"/>
  <c r="W8982" i="2"/>
  <c r="U8980" i="2"/>
  <c r="W8978" i="2"/>
  <c r="V8976" i="2"/>
  <c r="W8974" i="2"/>
  <c r="T8972" i="2"/>
  <c r="W8970" i="2"/>
  <c r="V8968" i="2"/>
  <c r="W8966" i="2"/>
  <c r="U8964" i="2"/>
  <c r="W8962" i="2"/>
  <c r="V8960" i="2"/>
  <c r="W8958" i="2"/>
  <c r="M8956" i="2"/>
  <c r="N8954" i="2"/>
  <c r="L8952" i="2"/>
  <c r="O8950" i="2"/>
  <c r="N8948" i="2"/>
  <c r="Q8946" i="2"/>
  <c r="P8944" i="2"/>
  <c r="Q8942" i="2"/>
  <c r="O8940" i="2"/>
  <c r="Q8938" i="2"/>
  <c r="P8936" i="2"/>
  <c r="R8934" i="2"/>
  <c r="Q8932" i="2"/>
  <c r="S8930" i="2"/>
  <c r="R8928" i="2"/>
  <c r="T8926" i="2"/>
  <c r="S8924" i="2"/>
  <c r="U8922" i="2"/>
  <c r="T8920" i="2"/>
  <c r="W8918" i="2"/>
  <c r="V8916" i="2"/>
  <c r="W8914" i="2"/>
  <c r="U8912" i="2"/>
  <c r="W8910" i="2"/>
  <c r="V8908" i="2"/>
  <c r="W8906" i="2"/>
  <c r="M8904" i="2"/>
  <c r="O8902" i="2"/>
  <c r="N8900" i="2"/>
  <c r="P8898" i="2"/>
  <c r="O8896" i="2"/>
  <c r="P8894" i="2"/>
  <c r="H8892" i="2"/>
  <c r="N8890" i="2"/>
  <c r="M8888" i="2"/>
  <c r="N8886" i="2"/>
  <c r="L8884" i="2"/>
  <c r="Q8882" i="2"/>
  <c r="P8880" i="2"/>
  <c r="R8878" i="2"/>
  <c r="Q8876" i="2"/>
  <c r="S8874" i="2"/>
  <c r="R8872" i="2"/>
  <c r="S8870" i="2"/>
  <c r="O8868" i="2"/>
  <c r="P8866" i="2"/>
  <c r="N8864" i="2"/>
  <c r="Q8862" i="2"/>
  <c r="P8860" i="2"/>
  <c r="Q8858" i="2"/>
  <c r="O8856" i="2"/>
  <c r="Q8854" i="2"/>
  <c r="P8852" i="2"/>
  <c r="Q8850" i="2"/>
  <c r="M8848" i="2"/>
  <c r="O8846" i="2"/>
  <c r="N8844" i="2"/>
  <c r="O8842" i="2"/>
  <c r="K8840" i="2"/>
  <c r="O8838" i="2"/>
  <c r="N8836" i="2"/>
  <c r="O8834" i="2"/>
  <c r="M8832" i="2"/>
  <c r="O8830" i="2"/>
  <c r="N8828" i="2"/>
  <c r="Q8826" i="2"/>
  <c r="P8824" i="2"/>
  <c r="Q8822" i="2"/>
  <c r="O8820" i="2"/>
  <c r="Q8818" i="2"/>
  <c r="P8816" i="2"/>
  <c r="R8814" i="2"/>
  <c r="Q8812" i="2"/>
  <c r="R8810" i="2"/>
  <c r="L8808" i="2"/>
  <c r="R8806" i="2"/>
  <c r="Q8804" i="2"/>
  <c r="T8802" i="2"/>
  <c r="S8800" i="2"/>
  <c r="T8798" i="2"/>
  <c r="R8796" i="2"/>
  <c r="T8794" i="2"/>
  <c r="S8792" i="2"/>
  <c r="U8790" i="2"/>
  <c r="T8788" i="2"/>
  <c r="U8786" i="2"/>
  <c r="P8784" i="2"/>
  <c r="Q8782" i="2"/>
  <c r="O8780" i="2"/>
  <c r="Q8778" i="2"/>
  <c r="P8776" i="2"/>
  <c r="Q8774" i="2"/>
  <c r="N8772" i="2"/>
  <c r="T8770" i="2"/>
  <c r="S8768" i="2"/>
  <c r="U8766" i="2"/>
  <c r="T8764" i="2"/>
  <c r="W8762" i="2"/>
  <c r="V8760" i="2"/>
  <c r="W8758" i="2"/>
  <c r="U8756" i="2"/>
  <c r="W8754" i="2"/>
  <c r="V8752" i="2"/>
  <c r="W8750" i="2"/>
  <c r="R8748" i="2"/>
  <c r="T8746" i="2"/>
  <c r="S8744" i="2"/>
  <c r="T8742" i="2"/>
  <c r="Q8740" i="2"/>
  <c r="U8738" i="2"/>
  <c r="T8736" i="2"/>
  <c r="U8734" i="2"/>
  <c r="S8732" i="2"/>
  <c r="U8730" i="2"/>
  <c r="T8728" i="2"/>
  <c r="U8726" i="2"/>
  <c r="R8724" i="2"/>
  <c r="T8722" i="2"/>
  <c r="S8720" i="2"/>
  <c r="T8718" i="2"/>
  <c r="P8716" i="2"/>
  <c r="Q8714" i="2"/>
  <c r="O8712" i="2"/>
  <c r="T8710" i="2"/>
  <c r="S8708" i="2"/>
  <c r="U8706" i="2"/>
  <c r="T8704" i="2"/>
  <c r="W8702" i="2"/>
  <c r="V8700" i="2"/>
  <c r="W8698" i="2"/>
  <c r="U8696" i="2"/>
  <c r="W8694" i="2"/>
  <c r="V8692" i="2"/>
  <c r="W8690" i="2"/>
  <c r="R8688" i="2"/>
  <c r="T8686" i="2"/>
  <c r="S8684" i="2"/>
  <c r="T8682" i="2"/>
  <c r="Q8680" i="2"/>
  <c r="U8678" i="2"/>
  <c r="T8676" i="2"/>
  <c r="U8674" i="2"/>
  <c r="S8672" i="2"/>
  <c r="U8670" i="2"/>
  <c r="T8668" i="2"/>
  <c r="U8666" i="2"/>
  <c r="R8664" i="2"/>
  <c r="T8662" i="2"/>
  <c r="S8660" i="2"/>
  <c r="T8658" i="2"/>
  <c r="P8656" i="2"/>
  <c r="R8654" i="2"/>
  <c r="Q8652" i="2"/>
  <c r="T8650" i="2"/>
  <c r="S8648" i="2"/>
  <c r="T8646" i="2"/>
  <c r="R8644" i="2"/>
  <c r="U8642" i="2"/>
  <c r="T8640" i="2"/>
  <c r="V8638" i="2"/>
  <c r="U8636" i="2"/>
  <c r="W8634" i="2"/>
  <c r="V8632" i="2"/>
  <c r="W8630" i="2"/>
  <c r="S8628" i="2"/>
  <c r="T8626" i="2"/>
  <c r="M8624" i="2"/>
  <c r="O8622" i="2"/>
  <c r="N8620" i="2"/>
  <c r="O8618" i="2"/>
  <c r="J8616" i="2"/>
  <c r="N8614" i="2"/>
  <c r="M8612" i="2"/>
  <c r="N8610" i="2"/>
  <c r="L8608" i="2"/>
  <c r="O8606" i="2"/>
  <c r="N8604" i="2"/>
  <c r="O8602" i="2"/>
  <c r="M8600" i="2"/>
  <c r="O8598" i="2"/>
  <c r="N8596" i="2"/>
  <c r="O8594" i="2"/>
  <c r="K8592" i="2"/>
  <c r="O8590" i="2"/>
  <c r="N8588" i="2"/>
  <c r="P8586" i="2"/>
  <c r="O8584" i="2"/>
  <c r="P8582" i="2"/>
  <c r="M8580" i="2"/>
  <c r="N8578" i="2"/>
  <c r="L8576" i="2"/>
  <c r="O8574" i="2"/>
  <c r="N8572" i="2"/>
  <c r="Q8570" i="2"/>
  <c r="P8568" i="2"/>
  <c r="Q8566" i="2"/>
  <c r="O8564" i="2"/>
  <c r="Q8562" i="2"/>
  <c r="P8560" i="2"/>
  <c r="Q8558" i="2"/>
  <c r="M8556" i="2"/>
  <c r="N8554" i="2"/>
  <c r="I8552" i="2"/>
  <c r="N8550" i="2"/>
  <c r="M8548" i="2"/>
  <c r="P8546" i="2"/>
  <c r="O8544" i="2"/>
  <c r="P8542" i="2"/>
  <c r="N8540" i="2"/>
  <c r="P8538" i="2"/>
  <c r="O8536" i="2"/>
  <c r="P8534" i="2"/>
  <c r="L8532" i="2"/>
  <c r="O8530" i="2"/>
  <c r="N8528" i="2"/>
  <c r="P8526" i="2"/>
  <c r="O8524" i="2"/>
  <c r="P8522" i="2"/>
  <c r="M8520" i="2"/>
  <c r="O8518" i="2"/>
  <c r="N8516" i="2"/>
  <c r="P8514" i="2"/>
  <c r="O8512" i="2"/>
  <c r="P8510" i="2"/>
  <c r="K8508" i="2"/>
  <c r="P8506" i="2"/>
  <c r="O8504" i="2"/>
  <c r="P8502" i="2"/>
  <c r="N8500" i="2"/>
  <c r="P8498" i="2"/>
  <c r="O8496" i="2"/>
  <c r="P8494" i="2"/>
  <c r="M8492" i="2"/>
  <c r="P8490" i="2"/>
  <c r="O8488" i="2"/>
  <c r="P8486" i="2"/>
  <c r="N8484" i="2"/>
  <c r="P8482" i="2"/>
  <c r="O8480" i="2"/>
  <c r="Q8478" i="2"/>
  <c r="P8476" i="2"/>
  <c r="R8474" i="2"/>
  <c r="Q8472" i="2"/>
  <c r="R8470" i="2"/>
  <c r="L8468" i="2"/>
  <c r="P8466" i="2"/>
  <c r="O8464" i="2"/>
  <c r="P8462" i="2"/>
  <c r="N8460" i="2"/>
  <c r="S8458" i="2"/>
  <c r="R8456" i="2"/>
  <c r="S8454" i="2"/>
  <c r="Q8452" i="2"/>
  <c r="S8450" i="2"/>
  <c r="R8448" i="2"/>
  <c r="T8446" i="2"/>
  <c r="S8444" i="2"/>
  <c r="T8442" i="2"/>
  <c r="P8440" i="2"/>
  <c r="T8438" i="2"/>
  <c r="S8436" i="2"/>
  <c r="T8434" i="2"/>
  <c r="R8432" i="2"/>
  <c r="T8430" i="2"/>
  <c r="S8428" i="2"/>
  <c r="U8426" i="2"/>
  <c r="T8424" i="2"/>
  <c r="X8422" i="2"/>
  <c r="W8420" i="2"/>
  <c r="X8418" i="2"/>
  <c r="V8416" i="2"/>
  <c r="X8414" i="2"/>
  <c r="W8412" i="2"/>
  <c r="X8410" i="2"/>
  <c r="U8408" i="2"/>
  <c r="W8406" i="2"/>
  <c r="V8404" i="2"/>
  <c r="X8402" i="2"/>
  <c r="W8400" i="2"/>
  <c r="X8398" i="2"/>
  <c r="Q8396" i="2"/>
  <c r="T8394" i="2"/>
  <c r="S8392" i="2"/>
  <c r="T8390" i="2"/>
  <c r="R8388" i="2"/>
  <c r="T8386" i="2"/>
  <c r="S8384" i="2"/>
  <c r="T8382" i="2"/>
  <c r="O8380" i="2"/>
  <c r="Q8378" i="2"/>
  <c r="P8376" i="2"/>
  <c r="Q8374" i="2"/>
  <c r="M8372" i="2"/>
  <c r="O8370" i="2"/>
  <c r="N8368" i="2"/>
  <c r="P8366" i="2"/>
  <c r="O8364" i="2"/>
  <c r="Q8362" i="2"/>
  <c r="P8360" i="2"/>
  <c r="R8358" i="2"/>
  <c r="Q8356" i="2"/>
  <c r="R8354" i="2"/>
  <c r="J8352" i="2"/>
  <c r="O8350" i="2"/>
  <c r="N8348" i="2"/>
  <c r="Q8346" i="2"/>
  <c r="P8344" i="2"/>
  <c r="Q8342" i="2"/>
  <c r="O8340" i="2"/>
  <c r="Q8338" i="2"/>
  <c r="P8336" i="2"/>
  <c r="Q8334" i="2"/>
  <c r="M8332" i="2"/>
  <c r="N8330" i="2"/>
  <c r="L8328" i="2"/>
  <c r="N8326" i="2"/>
  <c r="M8324" i="2"/>
  <c r="N8322" i="2"/>
  <c r="K8320" i="2"/>
  <c r="N8318" i="2"/>
  <c r="M8316" i="2"/>
  <c r="N8314" i="2"/>
  <c r="L8312" i="2"/>
  <c r="N8310" i="2"/>
  <c r="M8308" i="2"/>
  <c r="N8306" i="2"/>
  <c r="G8304" i="2"/>
  <c r="K8302" i="2"/>
  <c r="J8300" i="2"/>
  <c r="N8298" i="2"/>
  <c r="M8296" i="2"/>
  <c r="O8294" i="2"/>
  <c r="N8292" i="2"/>
  <c r="O8290" i="2"/>
  <c r="L8288" i="2"/>
  <c r="O8286" i="2"/>
  <c r="N8284" i="2"/>
  <c r="O8282" i="2"/>
  <c r="M8280" i="2"/>
  <c r="P8278" i="2"/>
  <c r="O8276" i="2"/>
  <c r="P8274" i="2"/>
  <c r="N8272" i="2"/>
  <c r="O8270" i="2"/>
  <c r="K8268" i="2"/>
  <c r="N8266" i="2"/>
  <c r="M8264" i="2"/>
  <c r="O8262" i="2"/>
  <c r="N8260" i="2"/>
  <c r="P8258" i="2"/>
  <c r="O8256" i="2"/>
  <c r="P8254" i="2"/>
  <c r="L8252" i="2"/>
  <c r="N8250" i="2"/>
  <c r="M8248" i="2"/>
  <c r="O8246" i="2"/>
  <c r="N8244" i="2"/>
  <c r="O8242" i="2"/>
  <c r="I8240" i="2"/>
  <c r="K8238" i="2"/>
  <c r="J8236" i="2"/>
  <c r="O8234" i="2"/>
  <c r="N8232" i="2"/>
  <c r="P8230" i="2"/>
  <c r="O8228" i="2"/>
  <c r="Q8226" i="2"/>
  <c r="P8224" i="2"/>
  <c r="Q8222" i="2"/>
  <c r="M8220" i="2"/>
  <c r="N8218" i="2"/>
  <c r="L8216" i="2"/>
  <c r="O8214" i="2"/>
  <c r="N8212" i="2"/>
  <c r="O8210" i="2"/>
  <c r="M8208" i="2"/>
  <c r="O8206" i="2"/>
  <c r="N8204" i="2"/>
  <c r="P8202" i="2"/>
  <c r="O8200" i="2"/>
  <c r="Q8198" i="2"/>
  <c r="P8196" i="2"/>
  <c r="Q8194" i="2"/>
  <c r="K8192" i="2"/>
  <c r="O8190" i="2"/>
  <c r="N8188" i="2"/>
  <c r="O8186" i="2"/>
  <c r="M8184" i="2"/>
  <c r="O8182" i="2"/>
  <c r="N8180" i="2"/>
  <c r="P8178" i="2"/>
  <c r="O8176" i="2"/>
  <c r="Q8174" i="2"/>
  <c r="P8172" i="2"/>
  <c r="Q8170" i="2"/>
  <c r="L8168" i="2"/>
  <c r="R8166" i="2"/>
  <c r="Q8164" i="2"/>
  <c r="R8162" i="2"/>
  <c r="P8160" i="2"/>
  <c r="U8158" i="2"/>
  <c r="T8156" i="2"/>
  <c r="X8154" i="2"/>
  <c r="W8152" i="2"/>
  <c r="X8150" i="2"/>
  <c r="V8148" i="2"/>
  <c r="X8146" i="2"/>
  <c r="W8144" i="2"/>
  <c r="X8142" i="2"/>
  <c r="U8140" i="2"/>
  <c r="W8138" i="2"/>
  <c r="V8136" i="2"/>
  <c r="W8134" i="2"/>
  <c r="S8132" i="2"/>
  <c r="U8130" i="2"/>
  <c r="T8128" i="2"/>
  <c r="V8126" i="2"/>
  <c r="U8124" i="2"/>
  <c r="V8122" i="2"/>
  <c r="R8120" i="2"/>
  <c r="S8118" i="2"/>
  <c r="Q8116" i="2"/>
  <c r="S8114" i="2"/>
  <c r="R8112" i="2"/>
  <c r="S8110" i="2"/>
  <c r="O8108" i="2"/>
  <c r="Q8106" i="2"/>
  <c r="P8104" i="2"/>
  <c r="Q8102" i="2"/>
  <c r="N8100" i="2"/>
  <c r="O8098" i="2"/>
  <c r="M8096" i="2"/>
  <c r="O8094" i="2"/>
  <c r="N8092" i="2"/>
  <c r="O8090" i="2"/>
  <c r="H8088" i="2"/>
  <c r="O8086" i="2"/>
  <c r="N8084" i="2"/>
  <c r="O8082" i="2"/>
  <c r="M8080" i="2"/>
  <c r="O8078" i="2"/>
  <c r="N8076" i="2"/>
  <c r="P8074" i="2"/>
  <c r="O8072" i="2"/>
  <c r="P8070" i="2"/>
  <c r="L8068" i="2"/>
  <c r="O8066" i="2"/>
  <c r="N8064" i="2"/>
  <c r="P8062" i="2"/>
  <c r="O8060" i="2"/>
  <c r="P8058" i="2"/>
  <c r="M8056" i="2"/>
  <c r="O8054" i="2"/>
  <c r="N8052" i="2"/>
  <c r="O8050" i="2"/>
  <c r="K8048" i="2"/>
  <c r="N8046" i="2"/>
  <c r="M8044" i="2"/>
  <c r="N8042" i="2"/>
  <c r="L8040" i="2"/>
  <c r="O8038" i="2"/>
  <c r="N8036" i="2"/>
  <c r="O8034" i="2"/>
  <c r="M8032" i="2"/>
  <c r="N8030" i="2"/>
  <c r="J8028" i="2"/>
  <c r="N8026" i="2"/>
  <c r="M8024" i="2"/>
  <c r="N8022" i="2"/>
  <c r="L8020" i="2"/>
  <c r="O8018" i="2"/>
  <c r="N8016" i="2"/>
  <c r="O8014" i="2"/>
  <c r="M8012" i="2"/>
  <c r="P8010" i="2"/>
  <c r="O8008" i="2"/>
  <c r="P8006" i="2"/>
  <c r="N8004" i="2"/>
  <c r="Q8002" i="2"/>
  <c r="P8000" i="2"/>
  <c r="Q7998" i="2"/>
  <c r="O7996" i="2"/>
  <c r="Q7994" i="2"/>
  <c r="P7992" i="2"/>
  <c r="Q7990" i="2"/>
  <c r="K7988" i="2"/>
  <c r="N7986" i="2"/>
  <c r="M7984" i="2"/>
  <c r="O7982" i="2"/>
  <c r="N7980" i="2"/>
  <c r="P7978" i="2"/>
  <c r="O7976" i="2"/>
  <c r="P7974" i="2"/>
  <c r="L7972" i="2"/>
  <c r="O7970" i="2"/>
  <c r="N7968" i="2"/>
  <c r="O7966" i="2"/>
  <c r="M7964" i="2"/>
  <c r="O7962" i="2"/>
  <c r="N7960" i="2"/>
  <c r="O7958" i="2"/>
  <c r="I7956" i="2"/>
  <c r="M7954" i="2"/>
  <c r="L7952" i="2"/>
  <c r="M7950" i="2"/>
  <c r="K7948" i="2"/>
  <c r="O7946" i="2"/>
  <c r="N7944" i="2"/>
  <c r="O7942" i="2"/>
  <c r="M7940" i="2"/>
  <c r="Q7938" i="2"/>
  <c r="P7936" i="2"/>
  <c r="Q7934" i="2"/>
  <c r="O7932" i="2"/>
  <c r="P7930" i="2"/>
  <c r="N7928" i="2"/>
  <c r="Q7926" i="2"/>
  <c r="P7924" i="2"/>
  <c r="Q7922" i="2"/>
  <c r="O7920" i="2"/>
  <c r="Q7918" i="2"/>
  <c r="P7916" i="2"/>
  <c r="Q7914" i="2"/>
  <c r="L7912" i="2"/>
  <c r="O7910" i="2"/>
  <c r="N7908" i="2"/>
  <c r="Q7906" i="2"/>
  <c r="P7904" i="2"/>
  <c r="Q7902" i="2"/>
  <c r="O7900" i="2"/>
  <c r="Q7898" i="2"/>
  <c r="P7896" i="2"/>
  <c r="Q7894" i="2"/>
  <c r="M7892" i="2"/>
  <c r="N7890" i="2"/>
  <c r="J7888" i="2"/>
  <c r="P7886" i="2"/>
  <c r="O7884" i="2"/>
  <c r="Q7882" i="2"/>
  <c r="P7880" i="2"/>
  <c r="Q7878" i="2"/>
  <c r="N7876" i="2"/>
  <c r="P7874" i="2"/>
  <c r="O7872" i="2"/>
  <c r="R7870" i="2"/>
  <c r="Q7868" i="2"/>
  <c r="R7866" i="2"/>
  <c r="P7864" i="2"/>
  <c r="S7862" i="2"/>
  <c r="R7860" i="2"/>
  <c r="T7858" i="2"/>
  <c r="S7856" i="2"/>
  <c r="T7854" i="2"/>
  <c r="Q7852" i="2"/>
  <c r="T7850" i="2"/>
  <c r="S7848" i="2"/>
  <c r="U7846" i="2"/>
  <c r="T7844" i="2"/>
  <c r="U7842" i="2"/>
  <c r="R7840" i="2"/>
  <c r="T7838" i="2"/>
  <c r="S7836" i="2"/>
  <c r="U7834" i="2"/>
  <c r="T7832" i="2"/>
  <c r="U7830" i="2"/>
  <c r="M7828" i="2"/>
  <c r="O7826" i="2"/>
  <c r="N7824" i="2"/>
  <c r="P7822" i="2"/>
  <c r="O7820" i="2"/>
  <c r="P7818" i="2"/>
  <c r="L7816" i="2"/>
  <c r="O7814" i="2"/>
  <c r="N7812" i="2"/>
  <c r="S7810" i="2"/>
  <c r="R7808" i="2"/>
  <c r="V7806" i="2"/>
  <c r="U7804" i="2"/>
  <c r="V7802" i="2"/>
  <c r="T7800" i="2"/>
  <c r="V7798" i="2"/>
  <c r="U7796" i="2"/>
  <c r="V7794" i="2"/>
  <c r="S7792" i="2"/>
  <c r="V7790" i="2"/>
  <c r="U7788" i="2"/>
  <c r="V7786" i="2"/>
  <c r="T7784" i="2"/>
  <c r="U7782" i="2"/>
  <c r="Q7780" i="2"/>
  <c r="W7778" i="2"/>
  <c r="V7776" i="2"/>
  <c r="W7774" i="2"/>
  <c r="U7772" i="2"/>
  <c r="X7770" i="2"/>
  <c r="W7768" i="2"/>
  <c r="X7766" i="2"/>
  <c r="V7764" i="2"/>
  <c r="W7762" i="2"/>
  <c r="T7760" i="2"/>
  <c r="W7758" i="2"/>
  <c r="V7756" i="2"/>
  <c r="W7754" i="2"/>
  <c r="U7752" i="2"/>
  <c r="W7750" i="2"/>
  <c r="V7748" i="2"/>
  <c r="W7746" i="2"/>
  <c r="S7744" i="2"/>
  <c r="W7742" i="2"/>
  <c r="V7740" i="2"/>
  <c r="W7738" i="2"/>
  <c r="U7736" i="2"/>
  <c r="V7734" i="2"/>
  <c r="T7732" i="2"/>
  <c r="W7730" i="2"/>
  <c r="V7728" i="2"/>
  <c r="W7726" i="2"/>
  <c r="U7724" i="2"/>
  <c r="W7722" i="2"/>
  <c r="V7720" i="2"/>
  <c r="W7718" i="2"/>
  <c r="R7716" i="2"/>
  <c r="W7714" i="2"/>
  <c r="V7712" i="2"/>
  <c r="W7710" i="2"/>
  <c r="U7708" i="2"/>
  <c r="W7706" i="2"/>
  <c r="V7704" i="2"/>
  <c r="W7702" i="2"/>
  <c r="T7700" i="2"/>
  <c r="W7698" i="2"/>
  <c r="V7696" i="2"/>
  <c r="W7694" i="2"/>
  <c r="U7692" i="2"/>
  <c r="W7690" i="2"/>
  <c r="V7688" i="2"/>
  <c r="W7686" i="2"/>
  <c r="S7684" i="2"/>
  <c r="W7682" i="2"/>
  <c r="V7680" i="2"/>
  <c r="Y7678" i="2"/>
  <c r="X7676" i="2"/>
  <c r="Y7674" i="2"/>
  <c r="W7672" i="2"/>
  <c r="Y7670" i="2"/>
  <c r="X7668" i="2"/>
  <c r="Z7666" i="2"/>
  <c r="Y7664" i="2"/>
  <c r="Z7662" i="2"/>
  <c r="U7660" i="2"/>
  <c r="W7658" i="2"/>
  <c r="V7656" i="2"/>
  <c r="W7654" i="2"/>
  <c r="T7652" i="2"/>
  <c r="W7650" i="2"/>
  <c r="V7648" i="2"/>
  <c r="W7646" i="2"/>
  <c r="U7644" i="2"/>
  <c r="W7642" i="2"/>
  <c r="V7640" i="2"/>
  <c r="W7638" i="2"/>
  <c r="P7636" i="2"/>
  <c r="R7634" i="2"/>
  <c r="Q7632" i="2"/>
  <c r="R7630" i="2"/>
  <c r="O7628" i="2"/>
  <c r="R7626" i="2"/>
  <c r="Q7624" i="2"/>
  <c r="R7622" i="2"/>
  <c r="P7620" i="2"/>
  <c r="S7618" i="2"/>
  <c r="R7616" i="2"/>
  <c r="S7614" i="2"/>
  <c r="Q7612" i="2"/>
  <c r="W7610" i="2"/>
  <c r="V7608" i="2"/>
  <c r="W7606" i="2"/>
  <c r="U7604" i="2"/>
  <c r="V7602" i="2"/>
  <c r="T7600" i="2"/>
  <c r="W7598" i="2"/>
  <c r="V7596" i="2"/>
  <c r="X7594" i="2"/>
  <c r="W7592" i="2"/>
  <c r="X7590" i="2"/>
  <c r="U7588" i="2"/>
  <c r="Y7586" i="2"/>
  <c r="X7584" i="2"/>
  <c r="Y7582" i="2"/>
  <c r="W7580" i="2"/>
  <c r="X7578" i="2"/>
  <c r="V7576" i="2"/>
  <c r="W7574" i="2"/>
  <c r="S7572" i="2"/>
  <c r="T7570" i="2"/>
  <c r="R7568" i="2"/>
  <c r="T7566" i="2"/>
  <c r="S7564" i="2"/>
  <c r="U7562" i="2"/>
  <c r="T7560" i="2"/>
  <c r="W7558" i="2"/>
  <c r="V7556" i="2"/>
  <c r="W7554" i="2"/>
  <c r="U7552" i="2"/>
  <c r="V7550" i="2"/>
  <c r="M7548" i="2"/>
  <c r="O7546" i="2"/>
  <c r="N7544" i="2"/>
  <c r="O7542" i="2"/>
  <c r="K7540" i="2"/>
  <c r="P7538" i="2"/>
  <c r="O7536" i="2"/>
  <c r="P7534" i="2"/>
  <c r="N7532" i="2"/>
  <c r="P7530" i="2"/>
  <c r="O7528" i="2"/>
  <c r="Q7526" i="2"/>
  <c r="P7524" i="2"/>
  <c r="Q7522" i="2"/>
  <c r="M7520" i="2"/>
  <c r="O7518" i="2"/>
  <c r="N7516" i="2"/>
  <c r="O7514" i="2"/>
  <c r="L7512" i="2"/>
  <c r="P7510" i="2"/>
  <c r="O7508" i="2"/>
  <c r="Q7506" i="2"/>
  <c r="P7504" i="2"/>
  <c r="Q7502" i="2"/>
  <c r="N7500" i="2"/>
  <c r="O7498" i="2"/>
  <c r="M7496" i="2"/>
  <c r="N7494" i="2"/>
  <c r="F7492" i="2"/>
  <c r="L7490" i="2"/>
  <c r="K7488" i="2"/>
  <c r="N7486" i="2"/>
  <c r="M7484" i="2"/>
  <c r="N7482" i="2"/>
  <c r="L7480" i="2"/>
  <c r="O7478" i="2"/>
  <c r="N7476" i="2"/>
  <c r="P7474" i="2"/>
  <c r="O7472" i="2"/>
  <c r="P7470" i="2"/>
  <c r="M7468" i="2"/>
  <c r="P7466" i="2"/>
  <c r="O7464" i="2"/>
  <c r="P7462" i="2"/>
  <c r="N7460" i="2"/>
  <c r="Q7458" i="2"/>
  <c r="P7456" i="2"/>
  <c r="R7454" i="2"/>
  <c r="Q7452" i="2"/>
  <c r="R7450" i="2"/>
  <c r="O7448" i="2"/>
  <c r="R7446" i="2"/>
  <c r="Q7444" i="2"/>
  <c r="S7442" i="2"/>
  <c r="R7440" i="2"/>
  <c r="S7438" i="2"/>
  <c r="P7436" i="2"/>
  <c r="R7434" i="2"/>
  <c r="Q7432" i="2"/>
  <c r="S7430" i="2"/>
  <c r="R7428" i="2"/>
  <c r="S7426" i="2"/>
  <c r="J7424" i="2"/>
  <c r="N7422" i="2"/>
  <c r="M7420" i="2"/>
  <c r="N7418" i="2"/>
  <c r="L7416" i="2"/>
  <c r="N7414" i="2"/>
  <c r="M7412" i="2"/>
  <c r="O7410" i="2"/>
  <c r="N7408" i="2"/>
  <c r="O7406" i="2"/>
  <c r="K7404" i="2"/>
  <c r="N7402" i="2"/>
  <c r="M7400" i="2"/>
  <c r="N7398" i="2"/>
  <c r="L7396" i="2"/>
  <c r="O7394" i="2"/>
  <c r="N7392" i="2"/>
  <c r="P7390" i="2"/>
  <c r="O7388" i="2"/>
  <c r="P7386" i="2"/>
  <c r="M7384" i="2"/>
  <c r="P7382" i="2"/>
  <c r="O7380" i="2"/>
  <c r="P7378" i="2"/>
  <c r="N7376" i="2"/>
  <c r="P7374" i="2"/>
  <c r="O7372" i="2"/>
  <c r="P7370" i="2"/>
  <c r="I7368" i="2"/>
  <c r="N7366" i="2"/>
  <c r="M7364" i="2"/>
  <c r="N7362" i="2"/>
  <c r="L7360" i="2"/>
  <c r="N7358" i="2"/>
  <c r="M7356" i="2"/>
  <c r="N7354" i="2"/>
  <c r="K7352" i="2"/>
  <c r="M7350" i="2"/>
  <c r="L7348" i="2"/>
  <c r="M7346" i="2"/>
  <c r="J7344" i="2"/>
  <c r="N7342" i="2"/>
  <c r="M7340" i="2"/>
  <c r="O7338" i="2"/>
  <c r="N7336" i="2"/>
  <c r="O7334" i="2"/>
  <c r="L7332" i="2"/>
  <c r="P7330" i="2"/>
  <c r="O7328" i="2"/>
  <c r="P7326" i="2"/>
  <c r="N7324" i="2"/>
  <c r="P7322" i="2"/>
  <c r="O7320" i="2"/>
  <c r="P7318" i="2"/>
  <c r="M7316" i="2"/>
  <c r="R7314" i="2"/>
  <c r="Q7312" i="2"/>
  <c r="R7310" i="2"/>
  <c r="P7308" i="2"/>
  <c r="Q7306" i="2"/>
  <c r="O7304" i="2"/>
  <c r="R7302" i="2"/>
  <c r="Q7300" i="2"/>
  <c r="U7298" i="2"/>
  <c r="T7296" i="2"/>
  <c r="U7294" i="2"/>
  <c r="S7292" i="2"/>
  <c r="U7290" i="2"/>
  <c r="T7288" i="2"/>
  <c r="U7286" i="2"/>
  <c r="R7284" i="2"/>
  <c r="S7282" i="2"/>
  <c r="P7280" i="2"/>
  <c r="R7278" i="2"/>
  <c r="Q7276" i="2"/>
  <c r="T7274" i="2"/>
  <c r="S7272" i="2"/>
  <c r="T7270" i="2"/>
  <c r="R7268" i="2"/>
  <c r="U7266" i="2"/>
  <c r="T7264" i="2"/>
  <c r="U7262" i="2"/>
  <c r="S7260" i="2"/>
  <c r="U7258" i="2"/>
  <c r="T7256" i="2"/>
  <c r="U7254" i="2"/>
  <c r="N7252" i="2"/>
  <c r="P7250" i="2"/>
  <c r="O7248" i="2"/>
  <c r="Q7246" i="2"/>
  <c r="P7244" i="2"/>
  <c r="Q7242" i="2"/>
  <c r="K7240" i="2"/>
  <c r="N7238" i="2"/>
  <c r="M7236" i="2"/>
  <c r="O7234" i="2"/>
  <c r="N7232" i="2"/>
  <c r="O7230" i="2"/>
  <c r="L7228" i="2"/>
  <c r="N7226" i="2"/>
  <c r="M7224" i="2"/>
  <c r="O7222" i="2"/>
  <c r="N7220" i="2"/>
  <c r="O7218" i="2"/>
  <c r="H7216" i="2"/>
  <c r="J7214" i="2"/>
  <c r="I7212" i="2"/>
  <c r="J7210" i="2"/>
  <c r="G7208" i="2"/>
  <c r="O7206" i="2"/>
  <c r="N7204" i="2"/>
  <c r="O7202" i="2"/>
  <c r="M7200" i="2"/>
  <c r="U7198" i="2"/>
  <c r="T7196" i="2"/>
  <c r="V7194" i="2"/>
  <c r="U7192" i="2"/>
  <c r="V7190" i="2"/>
  <c r="S7188" i="2"/>
  <c r="U7186" i="2"/>
  <c r="T7184" i="2"/>
  <c r="U7182" i="2"/>
  <c r="R7180" i="2"/>
  <c r="T7178" i="2"/>
  <c r="S7176" i="2"/>
  <c r="T7174" i="2"/>
  <c r="Q7172" i="2"/>
  <c r="S7170" i="2"/>
  <c r="R7168" i="2"/>
  <c r="T7166" i="2"/>
  <c r="S7164" i="2"/>
  <c r="T7162" i="2"/>
  <c r="P7160" i="2"/>
  <c r="Q7158" i="2"/>
  <c r="O7156" i="2"/>
  <c r="P7154" i="2"/>
  <c r="N7152" i="2"/>
  <c r="P7150" i="2"/>
  <c r="O7148" i="2"/>
  <c r="Q7146" i="2"/>
  <c r="P7144" i="2"/>
  <c r="R7142" i="2"/>
  <c r="Q7140" i="2"/>
  <c r="S7138" i="2"/>
  <c r="R7136" i="2"/>
  <c r="T7134" i="2"/>
  <c r="S7132" i="2"/>
  <c r="U7130" i="2"/>
  <c r="T7128" i="2"/>
  <c r="U7126" i="2"/>
  <c r="L7124" i="2"/>
  <c r="O7122" i="2"/>
  <c r="N7120" i="2"/>
  <c r="O7118" i="2"/>
  <c r="M7116" i="2"/>
  <c r="O7114" i="2"/>
  <c r="N7112" i="2"/>
  <c r="O7110" i="2"/>
  <c r="K7108" i="2"/>
  <c r="N7106" i="2"/>
  <c r="M7104" i="2"/>
  <c r="P7102" i="2"/>
  <c r="O7100" i="2"/>
  <c r="Q7098" i="2"/>
  <c r="P7096" i="2"/>
  <c r="Q7094" i="2"/>
  <c r="N7092" i="2"/>
  <c r="P7090" i="2"/>
  <c r="O7088" i="2"/>
  <c r="Q7086" i="2"/>
  <c r="P7084" i="2"/>
  <c r="Q7082" i="2"/>
  <c r="L7080" i="2"/>
  <c r="P7078" i="2"/>
  <c r="O7076" i="2"/>
  <c r="P7074" i="2"/>
  <c r="N7072" i="2"/>
  <c r="O7070" i="2"/>
  <c r="M7068" i="2"/>
  <c r="O7066" i="2"/>
  <c r="N7064" i="2"/>
  <c r="O7062" i="2"/>
  <c r="J7060" i="2"/>
  <c r="O7058" i="2"/>
  <c r="N7056" i="2"/>
  <c r="P7054" i="2"/>
  <c r="O7052" i="2"/>
  <c r="P7050" i="2"/>
  <c r="M7048" i="2"/>
  <c r="N7046" i="2"/>
  <c r="L7044" i="2"/>
  <c r="P7042" i="2"/>
  <c r="O7040" i="2"/>
  <c r="P7038" i="2"/>
  <c r="N7036" i="2"/>
  <c r="P7034" i="2"/>
  <c r="O7032" i="2"/>
  <c r="Q7030" i="2"/>
  <c r="P7028" i="2"/>
  <c r="R7026" i="2"/>
  <c r="Q7024" i="2"/>
  <c r="S7022" i="2"/>
  <c r="R7020" i="2"/>
  <c r="T7018" i="2"/>
  <c r="S7016" i="2"/>
  <c r="T7014" i="2"/>
  <c r="M7012" i="2"/>
  <c r="N7010" i="2"/>
  <c r="K7008" i="2"/>
  <c r="O7006" i="2"/>
  <c r="N7004" i="2"/>
  <c r="O7002" i="2"/>
  <c r="M7000" i="2"/>
  <c r="O6998" i="2"/>
  <c r="N6996" i="2"/>
  <c r="O6994" i="2"/>
  <c r="L6992" i="2"/>
  <c r="O6990" i="2"/>
  <c r="N6988" i="2"/>
  <c r="O6986" i="2"/>
  <c r="M6984" i="2"/>
  <c r="O6982" i="2"/>
  <c r="N6980" i="2"/>
  <c r="O6978" i="2"/>
  <c r="I6976" i="2"/>
  <c r="N6974" i="2"/>
  <c r="M6972" i="2"/>
  <c r="N6970" i="2"/>
  <c r="L6968" i="2"/>
  <c r="Q6966" i="2"/>
  <c r="P6964" i="2"/>
  <c r="R6962" i="2"/>
  <c r="Q6960" i="2"/>
  <c r="S6958" i="2"/>
  <c r="R6956" i="2"/>
  <c r="S6954" i="2"/>
  <c r="O6952" i="2"/>
  <c r="P6950" i="2"/>
  <c r="N6948" i="2"/>
  <c r="Q6946" i="2"/>
  <c r="P6944" i="2"/>
  <c r="Q6942" i="2"/>
  <c r="O6940" i="2"/>
  <c r="Q6938" i="2"/>
  <c r="P6936" i="2"/>
  <c r="Q6934" i="2"/>
  <c r="M6932" i="2"/>
  <c r="O6930" i="2"/>
  <c r="N6928" i="2"/>
  <c r="O6926" i="2"/>
  <c r="K6924" i="2"/>
  <c r="O6922" i="2"/>
  <c r="N6920" i="2"/>
  <c r="O6918" i="2"/>
  <c r="M6916" i="2"/>
  <c r="O6914" i="2"/>
  <c r="N6912" i="2"/>
  <c r="Q6910" i="2"/>
  <c r="P6908" i="2"/>
  <c r="Q6906" i="2"/>
  <c r="O6904" i="2"/>
  <c r="Q6902" i="2"/>
  <c r="P6900" i="2"/>
  <c r="R6898" i="2"/>
  <c r="Q6896" i="2"/>
  <c r="R6894" i="2"/>
  <c r="L6892" i="2"/>
  <c r="R6890" i="2"/>
  <c r="Q6888" i="2"/>
  <c r="T6886" i="2"/>
  <c r="S6884" i="2"/>
  <c r="T6882" i="2"/>
  <c r="R6880" i="2"/>
  <c r="T6878" i="2"/>
  <c r="S6876" i="2"/>
  <c r="U6874" i="2"/>
  <c r="T6872" i="2"/>
  <c r="U6870" i="2"/>
  <c r="P6868" i="2"/>
  <c r="Q6866" i="2"/>
  <c r="O6864" i="2"/>
  <c r="Q6862" i="2"/>
  <c r="P6860" i="2"/>
  <c r="Q6858" i="2"/>
  <c r="N6856" i="2"/>
  <c r="T6854" i="2"/>
  <c r="S6852" i="2"/>
  <c r="U6850" i="2"/>
  <c r="T6848" i="2"/>
  <c r="W6846" i="2"/>
  <c r="V6844" i="2"/>
  <c r="W6842" i="2"/>
  <c r="U6840" i="2"/>
  <c r="W6838" i="2"/>
  <c r="V6836" i="2"/>
  <c r="W6834" i="2"/>
  <c r="R6832" i="2"/>
  <c r="T6830" i="2"/>
  <c r="S6828" i="2"/>
  <c r="T6826" i="2"/>
  <c r="Q6824" i="2"/>
  <c r="U6822" i="2"/>
  <c r="T6820" i="2"/>
  <c r="U6818" i="2"/>
  <c r="S6816" i="2"/>
  <c r="U6814" i="2"/>
  <c r="T6812" i="2"/>
  <c r="U6810" i="2"/>
  <c r="R6808" i="2"/>
  <c r="T6806" i="2"/>
  <c r="S6804" i="2"/>
  <c r="T6802" i="2"/>
  <c r="P6800" i="2"/>
  <c r="Q6798" i="2"/>
  <c r="O6796" i="2"/>
  <c r="T6794" i="2"/>
  <c r="S6792" i="2"/>
  <c r="U6790" i="2"/>
  <c r="T6788" i="2"/>
  <c r="W6786" i="2"/>
  <c r="V6784" i="2"/>
  <c r="W6782" i="2"/>
  <c r="U6780" i="2"/>
  <c r="W6778" i="2"/>
  <c r="V6776" i="2"/>
  <c r="W6774" i="2"/>
  <c r="R6772" i="2"/>
  <c r="T6770" i="2"/>
  <c r="S6768" i="2"/>
  <c r="T6766" i="2"/>
  <c r="Q6764" i="2"/>
  <c r="U6762" i="2"/>
  <c r="T6760" i="2"/>
  <c r="U6758" i="2"/>
  <c r="S6756" i="2"/>
  <c r="U6754" i="2"/>
  <c r="T6752" i="2"/>
  <c r="U6750" i="2"/>
  <c r="R6748" i="2"/>
  <c r="T6746" i="2"/>
  <c r="S6744" i="2"/>
  <c r="T6742" i="2"/>
  <c r="P6740" i="2"/>
  <c r="R6738" i="2"/>
  <c r="Q6736" i="2"/>
  <c r="T6734" i="2"/>
  <c r="S6732" i="2"/>
  <c r="T6730" i="2"/>
  <c r="R6728" i="2"/>
  <c r="U6726" i="2"/>
  <c r="T6724" i="2"/>
  <c r="V6722" i="2"/>
  <c r="U6720" i="2"/>
  <c r="W6718" i="2"/>
  <c r="V6716" i="2"/>
  <c r="W6714" i="2"/>
  <c r="S6712" i="2"/>
  <c r="T6710" i="2"/>
  <c r="M6708" i="2"/>
  <c r="O6706" i="2"/>
  <c r="N6704" i="2"/>
  <c r="O6702" i="2"/>
  <c r="J6700" i="2"/>
  <c r="N6698" i="2"/>
  <c r="M6696" i="2"/>
  <c r="N6694" i="2"/>
  <c r="L6692" i="2"/>
  <c r="N6690" i="2"/>
  <c r="M6688" i="2"/>
  <c r="N6686" i="2"/>
  <c r="K6684" i="2"/>
  <c r="N6682" i="2"/>
  <c r="M6680" i="2"/>
  <c r="P6678" i="2"/>
  <c r="O6676" i="2"/>
  <c r="P6674" i="2"/>
  <c r="N6672" i="2"/>
  <c r="O6670" i="2"/>
  <c r="L6668" i="2"/>
  <c r="N6666" i="2"/>
  <c r="M6664" i="2"/>
  <c r="N6662" i="2"/>
  <c r="H6660" i="2"/>
  <c r="J6658" i="2"/>
  <c r="I6656" i="2"/>
  <c r="N6654" i="2"/>
  <c r="M6652" i="2"/>
  <c r="O6650" i="2"/>
  <c r="N6648" i="2"/>
  <c r="P6646" i="2"/>
  <c r="O6644" i="2"/>
  <c r="P6642" i="2"/>
  <c r="L6640" i="2"/>
  <c r="M6638" i="2"/>
  <c r="K6636" i="2"/>
  <c r="N6634" i="2"/>
  <c r="M6632" i="2"/>
  <c r="N6630" i="2"/>
  <c r="L6628" i="2"/>
  <c r="N6626" i="2"/>
  <c r="M6624" i="2"/>
  <c r="O6622" i="2"/>
  <c r="N6620" i="2"/>
  <c r="P6618" i="2"/>
  <c r="O6616" i="2"/>
  <c r="P6614" i="2"/>
  <c r="J6612" i="2"/>
  <c r="N6610" i="2"/>
  <c r="M6608" i="2"/>
  <c r="N6606" i="2"/>
  <c r="L6604" i="2"/>
  <c r="N6602" i="2"/>
  <c r="M6600" i="2"/>
  <c r="O6598" i="2"/>
  <c r="N6596" i="2"/>
  <c r="P6594" i="2"/>
  <c r="O6592" i="2"/>
  <c r="P6590" i="2"/>
  <c r="K6588" i="2"/>
  <c r="Q6586" i="2"/>
  <c r="P6584" i="2"/>
  <c r="Q6582" i="2"/>
  <c r="O6580" i="2"/>
  <c r="T6578" i="2"/>
  <c r="S6576" i="2"/>
  <c r="W6574" i="2"/>
  <c r="V6572" i="2"/>
  <c r="W6570" i="2"/>
  <c r="U6568" i="2"/>
  <c r="W6566" i="2"/>
  <c r="V6564" i="2"/>
  <c r="W6562" i="2"/>
  <c r="T6560" i="2"/>
  <c r="V6558" i="2"/>
  <c r="U6556" i="2"/>
  <c r="V6554" i="2"/>
  <c r="R6552" i="2"/>
  <c r="T6550" i="2"/>
  <c r="S6548" i="2"/>
  <c r="U6546" i="2"/>
  <c r="T6544" i="2"/>
  <c r="U6542" i="2"/>
  <c r="Q6540" i="2"/>
  <c r="R6538" i="2"/>
  <c r="P6536" i="2"/>
  <c r="R6534" i="2"/>
  <c r="Q6532" i="2"/>
  <c r="R6530" i="2"/>
  <c r="N6528" i="2"/>
  <c r="P6526" i="2"/>
  <c r="O6524" i="2"/>
  <c r="P6522" i="2"/>
  <c r="M6520" i="2"/>
  <c r="N6518" i="2"/>
  <c r="L6516" i="2"/>
  <c r="N6514" i="2"/>
  <c r="M6512" i="2"/>
  <c r="N6510" i="2"/>
  <c r="E6508" i="2"/>
  <c r="N6506" i="2"/>
  <c r="M6504" i="2"/>
  <c r="N6502" i="2"/>
  <c r="L6500" i="2"/>
  <c r="O6498" i="2"/>
  <c r="N6496" i="2"/>
  <c r="O6494" i="2"/>
  <c r="M6492" i="2"/>
  <c r="O6490" i="2"/>
  <c r="N6488" i="2"/>
  <c r="P6486" i="2"/>
  <c r="O6484" i="2"/>
  <c r="P6482" i="2"/>
  <c r="K6480" i="2"/>
  <c r="P6478" i="2"/>
  <c r="O6476" i="2"/>
  <c r="P6474" i="2"/>
  <c r="N6472" i="2"/>
  <c r="P6470" i="2"/>
  <c r="O6468" i="2"/>
  <c r="Q6466" i="2"/>
  <c r="P6464" i="2"/>
  <c r="Q6462" i="2"/>
  <c r="M6460" i="2"/>
  <c r="P6458" i="2"/>
  <c r="O6456" i="2"/>
  <c r="P6454" i="2"/>
  <c r="N6452" i="2"/>
  <c r="O6450" i="2"/>
  <c r="L6448" i="2"/>
  <c r="N6446" i="2"/>
  <c r="M6444" i="2"/>
  <c r="P6442" i="2"/>
  <c r="O6440" i="2"/>
  <c r="Q6438" i="2"/>
  <c r="P6436" i="2"/>
  <c r="R6434" i="2"/>
  <c r="Q6432" i="2"/>
  <c r="S6430" i="2"/>
  <c r="R6428" i="2"/>
  <c r="T6426" i="2"/>
  <c r="S6424" i="2"/>
  <c r="T6422" i="2"/>
  <c r="N6420" i="2"/>
  <c r="Q6418" i="2"/>
  <c r="P6416" i="2"/>
  <c r="Q6414" i="2"/>
  <c r="O6412" i="2"/>
  <c r="Q6410" i="2"/>
  <c r="P6408" i="2"/>
  <c r="U6406" i="2"/>
  <c r="T6404" i="2"/>
  <c r="U6402" i="2"/>
  <c r="S6400" i="2"/>
  <c r="T6398" i="2"/>
  <c r="R6396" i="2"/>
  <c r="T6394" i="2"/>
  <c r="S6392" i="2"/>
  <c r="U6390" i="2"/>
  <c r="T6388" i="2"/>
  <c r="W6386" i="2"/>
  <c r="V6384" i="2"/>
  <c r="W6382" i="2"/>
  <c r="U6380" i="2"/>
  <c r="W6378" i="2"/>
  <c r="V6376" i="2"/>
  <c r="W6374" i="2"/>
  <c r="Q6372" i="2"/>
  <c r="S6370" i="2"/>
  <c r="R6368" i="2"/>
  <c r="T6366" i="2"/>
  <c r="S6364" i="2"/>
  <c r="U6362" i="2"/>
  <c r="T6360" i="2"/>
  <c r="U6358" i="2"/>
  <c r="J6356" i="2"/>
  <c r="O6354" i="2"/>
  <c r="N6352" i="2"/>
  <c r="P6350" i="2"/>
  <c r="O6348" i="2"/>
  <c r="P6346" i="2"/>
  <c r="M6344" i="2"/>
  <c r="N6342" i="2"/>
  <c r="L6340" i="2"/>
  <c r="O6338" i="2"/>
  <c r="N6336" i="2"/>
  <c r="O6334" i="2"/>
  <c r="M6332" i="2"/>
  <c r="O6330" i="2"/>
  <c r="N6328" i="2"/>
  <c r="O6326" i="2"/>
  <c r="K6324" i="2"/>
  <c r="P6322" i="2"/>
  <c r="O6320" i="2"/>
  <c r="P6318" i="2"/>
  <c r="N6316" i="2"/>
  <c r="O6314" i="2"/>
  <c r="M6312" i="2"/>
  <c r="O6310" i="2"/>
  <c r="N6308" i="2"/>
  <c r="P6306" i="2"/>
  <c r="O6304" i="2"/>
  <c r="P6302" i="2"/>
  <c r="L6300" i="2"/>
  <c r="N6298" i="2"/>
  <c r="M6296" i="2"/>
  <c r="N6294" i="2"/>
  <c r="I6292" i="2"/>
  <c r="M6290" i="2"/>
  <c r="L6288" i="2"/>
  <c r="M6286" i="2"/>
  <c r="K6284" i="2"/>
  <c r="M6282" i="2"/>
  <c r="L6280" i="2"/>
  <c r="N6278" i="2"/>
  <c r="M6276" i="2"/>
  <c r="N6274" i="2"/>
  <c r="J6272" i="2"/>
  <c r="L6270" i="2"/>
  <c r="K6268" i="2"/>
  <c r="N6266" i="2"/>
  <c r="M6264" i="2"/>
  <c r="N6262" i="2"/>
  <c r="L6260" i="2"/>
  <c r="N6258" i="2"/>
  <c r="M6256" i="2"/>
  <c r="N6254" i="2"/>
  <c r="H6252" i="2"/>
  <c r="N6250" i="2"/>
  <c r="M6248" i="2"/>
  <c r="O6246" i="2"/>
  <c r="N6244" i="2"/>
  <c r="O6242" i="2"/>
  <c r="L6240" i="2"/>
  <c r="M6238" i="2"/>
  <c r="K6236" i="2"/>
  <c r="M6234" i="2"/>
  <c r="L6232" i="2"/>
  <c r="M6230" i="2"/>
  <c r="J6228" i="2"/>
  <c r="L6226" i="2"/>
  <c r="K6224" i="2"/>
  <c r="L6222" i="2"/>
  <c r="I6220" i="2"/>
  <c r="M6218" i="2"/>
  <c r="L6216" i="2"/>
  <c r="M6214" i="2"/>
  <c r="K6212" i="2"/>
  <c r="L6210" i="2"/>
  <c r="J6208" i="2"/>
  <c r="L6206" i="2"/>
  <c r="K6204" i="2"/>
  <c r="L6202" i="2"/>
  <c r="G6200" i="2"/>
  <c r="M6198" i="2"/>
  <c r="L6196" i="2"/>
  <c r="M6194" i="2"/>
  <c r="K6192" i="2"/>
  <c r="N6190" i="2"/>
  <c r="M6188" i="2"/>
  <c r="N6186" i="2"/>
  <c r="L6184" i="2"/>
  <c r="N6182" i="2"/>
  <c r="M6180" i="2"/>
  <c r="N6178" i="2"/>
  <c r="J6176" i="2"/>
  <c r="N6174" i="2"/>
  <c r="M6172" i="2"/>
  <c r="O6170" i="2"/>
  <c r="N6168" i="2"/>
  <c r="O6166" i="2"/>
  <c r="L6164" i="2"/>
  <c r="N6162" i="2"/>
  <c r="M6160" i="2"/>
  <c r="N6158" i="2"/>
  <c r="K6156" i="2"/>
  <c r="O6154" i="2"/>
  <c r="N6152" i="2"/>
  <c r="O6150" i="2"/>
  <c r="M6148" i="2"/>
  <c r="O6146" i="2"/>
  <c r="N6144" i="2"/>
  <c r="R6142" i="2"/>
  <c r="Q6140" i="2"/>
  <c r="R6138" i="2"/>
  <c r="P6136" i="2"/>
  <c r="R6134" i="2"/>
  <c r="Q6132" i="2"/>
  <c r="R6130" i="2"/>
  <c r="O6128" i="2"/>
  <c r="Q6126" i="2"/>
  <c r="P6124" i="2"/>
  <c r="Q6122" i="2"/>
  <c r="L6120" i="2"/>
  <c r="M6118" i="2"/>
  <c r="I6116" i="2"/>
  <c r="M6114" i="2"/>
  <c r="L6112" i="2"/>
  <c r="M6110" i="2"/>
  <c r="K6108" i="2"/>
  <c r="N6106" i="2"/>
  <c r="M6104" i="2"/>
  <c r="O6102" i="2"/>
  <c r="N6100" i="2"/>
  <c r="P6098" i="2"/>
  <c r="O6096" i="2"/>
  <c r="Q6094" i="2"/>
  <c r="P6092" i="2"/>
  <c r="R6090" i="2"/>
  <c r="Q6088" i="2"/>
  <c r="R6086" i="2"/>
  <c r="L6084" i="2"/>
  <c r="N6082" i="2"/>
  <c r="M6080" i="2"/>
  <c r="N6078" i="2"/>
  <c r="J6076" i="2"/>
  <c r="P6074" i="2"/>
  <c r="O6072" i="2"/>
  <c r="Q6070" i="2"/>
  <c r="P6068" i="2"/>
  <c r="R6066" i="2"/>
  <c r="Q6064" i="2"/>
  <c r="R6062" i="2"/>
  <c r="N6060" i="2"/>
  <c r="O6058" i="2"/>
  <c r="M6056" i="2"/>
  <c r="Q6054" i="2"/>
  <c r="P6052" i="2"/>
  <c r="Q6050" i="2"/>
  <c r="O6048" i="2"/>
  <c r="Q6046" i="2"/>
  <c r="P6044" i="2"/>
  <c r="Q6042" i="2"/>
  <c r="N6040" i="2"/>
  <c r="P6038" i="2"/>
  <c r="O6036" i="2"/>
  <c r="Q6034" i="2"/>
  <c r="P6032" i="2"/>
  <c r="R6030" i="2"/>
  <c r="Q6028" i="2"/>
  <c r="R6026" i="2"/>
  <c r="L6024" i="2"/>
  <c r="N6022" i="2"/>
  <c r="M6020" i="2"/>
  <c r="P6018" i="2"/>
  <c r="O6016" i="2"/>
  <c r="P6014" i="2"/>
  <c r="N6012" i="2"/>
  <c r="P6010" i="2"/>
  <c r="O6008" i="2"/>
  <c r="P6006" i="2"/>
  <c r="K6004" i="2"/>
  <c r="M6002" i="2"/>
  <c r="L6000" i="2"/>
  <c r="M5998" i="2"/>
  <c r="H5996" i="2"/>
  <c r="M5994" i="2"/>
  <c r="L5992" i="2"/>
  <c r="M5990" i="2"/>
  <c r="K5988" i="2"/>
  <c r="O5986" i="2"/>
  <c r="N5984" i="2"/>
  <c r="O5982" i="2"/>
  <c r="M5980" i="2"/>
  <c r="O5978" i="2"/>
  <c r="N5976" i="2"/>
  <c r="O5974" i="2"/>
  <c r="L5972" i="2"/>
  <c r="M5970" i="2"/>
  <c r="J5968" i="2"/>
  <c r="N5966" i="2"/>
  <c r="M5964" i="2"/>
  <c r="O5962" i="2"/>
  <c r="N5960" i="2"/>
  <c r="O5958" i="2"/>
  <c r="L5956" i="2"/>
  <c r="M5954" i="2"/>
  <c r="K5952" i="2"/>
  <c r="M5950" i="2"/>
  <c r="L5948" i="2"/>
  <c r="M5946" i="2"/>
  <c r="I5944" i="2"/>
  <c r="P5942" i="2"/>
  <c r="O5940" i="2"/>
  <c r="P5938" i="2"/>
  <c r="N5936" i="2"/>
  <c r="P5934" i="2"/>
  <c r="O5932" i="2"/>
  <c r="P5930" i="2"/>
  <c r="M5928" i="2"/>
  <c r="O5926" i="2"/>
  <c r="N5924" i="2"/>
  <c r="P5922" i="2"/>
  <c r="O5920" i="2"/>
  <c r="Q5918" i="2"/>
  <c r="P5916" i="2"/>
  <c r="Q5914" i="2"/>
  <c r="L5912" i="2"/>
  <c r="M5910" i="2"/>
  <c r="K5908" i="2"/>
  <c r="M5906" i="2"/>
  <c r="L5904" i="2"/>
  <c r="M5902" i="2"/>
  <c r="J5900" i="2"/>
  <c r="M5898" i="2"/>
  <c r="L5896" i="2"/>
  <c r="M5894" i="2"/>
  <c r="K5892" i="2"/>
  <c r="M5890" i="2"/>
  <c r="L5888" i="2"/>
  <c r="M5886" i="2"/>
  <c r="F5884" i="2"/>
  <c r="M5882" i="2"/>
  <c r="L5880" i="2"/>
  <c r="N5878" i="2"/>
  <c r="M5876" i="2"/>
  <c r="P5874" i="2"/>
  <c r="O5872" i="2"/>
  <c r="Q5870" i="2"/>
  <c r="P5868" i="2"/>
  <c r="Q5866" i="2"/>
  <c r="N5864" i="2"/>
  <c r="P5862" i="2"/>
  <c r="O5860" i="2"/>
  <c r="V5858" i="2"/>
  <c r="U5856" i="2"/>
  <c r="X5854" i="2"/>
  <c r="W5852" i="2"/>
  <c r="X5850" i="2"/>
  <c r="V5848" i="2"/>
  <c r="X5846" i="2"/>
  <c r="W5844" i="2"/>
  <c r="Y5842" i="2"/>
  <c r="X5840" i="2"/>
  <c r="Y5838" i="2"/>
  <c r="T5836" i="2"/>
  <c r="V5834" i="2"/>
  <c r="U5832" i="2"/>
  <c r="W5830" i="2"/>
  <c r="V5828" i="2"/>
  <c r="W5826" i="2"/>
  <c r="S5824" i="2"/>
  <c r="V5822" i="2"/>
  <c r="U5820" i="2"/>
  <c r="W5818" i="2"/>
  <c r="V5816" i="2"/>
  <c r="X5814" i="2"/>
  <c r="W5812" i="2"/>
  <c r="X5810" i="2"/>
  <c r="T5808" i="2"/>
  <c r="W5806" i="2"/>
  <c r="V5804" i="2"/>
  <c r="X5802" i="2"/>
  <c r="W5800" i="2"/>
  <c r="X5798" i="2"/>
  <c r="U5796" i="2"/>
  <c r="V5794" i="2"/>
  <c r="R5792" i="2"/>
  <c r="V5790" i="2"/>
  <c r="U5788" i="2"/>
  <c r="V5786" i="2"/>
  <c r="T5784" i="2"/>
  <c r="V5782" i="2"/>
  <c r="U5780" i="2"/>
  <c r="X5778" i="2"/>
  <c r="W5776" i="2"/>
  <c r="X5774" i="2"/>
  <c r="V5772" i="2"/>
  <c r="X5770" i="2"/>
  <c r="W5768" i="2"/>
  <c r="X5766" i="2"/>
  <c r="S5764" i="2"/>
  <c r="W5762" i="2"/>
  <c r="V5760" i="2"/>
  <c r="X5758" i="2"/>
  <c r="W5756" i="2"/>
  <c r="X5754" i="2"/>
  <c r="U5752" i="2"/>
  <c r="X5750" i="2"/>
  <c r="W5748" i="2"/>
  <c r="X5746" i="2"/>
  <c r="V5744" i="2"/>
  <c r="X5742" i="2"/>
  <c r="W5740" i="2"/>
  <c r="X5738" i="2"/>
  <c r="T5736" i="2"/>
  <c r="X5734" i="2"/>
  <c r="W5732" i="2"/>
  <c r="Y5730" i="2"/>
  <c r="X5728" i="2"/>
  <c r="Y5726" i="2"/>
  <c r="V5724" i="2"/>
  <c r="X5722" i="2"/>
  <c r="W5720" i="2"/>
  <c r="X5718" i="2"/>
  <c r="U5716" i="2"/>
  <c r="W5714" i="2"/>
  <c r="V5712" i="2"/>
  <c r="X5710" i="2"/>
  <c r="W5708" i="2"/>
  <c r="X5706" i="2"/>
  <c r="Q5704" i="2"/>
  <c r="T5702" i="2"/>
  <c r="S5700" i="2"/>
  <c r="U5698" i="2"/>
  <c r="T5696" i="2"/>
  <c r="V5694" i="2"/>
  <c r="U5692" i="2"/>
  <c r="W5690" i="2"/>
  <c r="V5688" i="2"/>
  <c r="X5686" i="2"/>
  <c r="W5684" i="2"/>
  <c r="Y5682" i="2"/>
  <c r="X5680" i="2"/>
  <c r="Y5678" i="2"/>
  <c r="R5676" i="2"/>
  <c r="T5674" i="2"/>
  <c r="S5672" i="2"/>
  <c r="T5670" i="2"/>
  <c r="P5668" i="2"/>
  <c r="Q5666" i="2"/>
  <c r="K5664" i="2"/>
  <c r="M5662" i="2"/>
  <c r="L5660" i="2"/>
  <c r="O5658" i="2"/>
  <c r="N5656" i="2"/>
  <c r="O5654" i="2"/>
  <c r="M5652" i="2"/>
  <c r="O5650" i="2"/>
  <c r="N5648" i="2"/>
  <c r="O5646" i="2"/>
  <c r="J5644" i="2"/>
  <c r="M5642" i="2"/>
  <c r="L5640" i="2"/>
  <c r="O5638" i="2"/>
  <c r="N5636" i="2"/>
  <c r="O5634" i="2"/>
  <c r="M5632" i="2"/>
  <c r="O5630" i="2"/>
  <c r="N5628" i="2"/>
  <c r="O5626" i="2"/>
  <c r="K5624" i="2"/>
  <c r="M5622" i="2"/>
  <c r="L5620" i="2"/>
  <c r="N5618" i="2"/>
  <c r="M5616" i="2"/>
  <c r="N5614" i="2"/>
  <c r="I5612" i="2"/>
  <c r="M5610" i="2"/>
  <c r="L5608" i="2"/>
  <c r="M5606" i="2"/>
  <c r="K5604" i="2"/>
  <c r="P5602" i="2"/>
  <c r="O5600" i="2"/>
  <c r="P5598" i="2"/>
  <c r="N5596" i="2"/>
  <c r="P5594" i="2"/>
  <c r="O5592" i="2"/>
  <c r="P5590" i="2"/>
  <c r="M5588" i="2"/>
  <c r="O5586" i="2"/>
  <c r="N5584" i="2"/>
  <c r="O5582" i="2"/>
  <c r="L5580" i="2"/>
  <c r="N5578" i="2"/>
  <c r="M5576" i="2"/>
  <c r="N5574" i="2"/>
  <c r="J5572" i="2"/>
  <c r="O5570" i="2"/>
  <c r="N5568" i="2"/>
  <c r="O5566" i="2"/>
  <c r="M5564" i="2"/>
  <c r="N5562" i="2"/>
  <c r="L5560" i="2"/>
  <c r="N5558" i="2"/>
  <c r="M5556" i="2"/>
  <c r="N5554" i="2"/>
  <c r="K5552" i="2"/>
  <c r="N5550" i="2"/>
  <c r="M5548" i="2"/>
  <c r="O5546" i="2"/>
  <c r="N5544" i="2"/>
  <c r="O5542" i="2"/>
  <c r="L5540" i="2"/>
  <c r="N5538" i="2"/>
  <c r="M5536" i="2"/>
  <c r="N5534" i="2"/>
  <c r="H5532" i="2"/>
  <c r="N5530" i="2"/>
  <c r="M5528" i="2"/>
  <c r="O5526" i="2"/>
  <c r="N5524" i="2"/>
  <c r="O5522" i="2"/>
  <c r="L5520" i="2"/>
  <c r="N5518" i="2"/>
  <c r="M5516" i="2"/>
  <c r="O5514" i="2"/>
  <c r="N5512" i="2"/>
  <c r="P5510" i="2"/>
  <c r="O5508" i="2"/>
  <c r="Q5506" i="2"/>
  <c r="P5504" i="2"/>
  <c r="R5502" i="2"/>
  <c r="Q5500" i="2"/>
  <c r="R5498" i="2"/>
  <c r="K5496" i="2"/>
  <c r="N5494" i="2"/>
  <c r="M5492" i="2"/>
  <c r="Q5490" i="2"/>
  <c r="P5488" i="2"/>
  <c r="R5486" i="2"/>
  <c r="Q5484" i="2"/>
  <c r="S5482" i="2"/>
  <c r="R5480" i="2"/>
  <c r="S5478" i="2"/>
  <c r="O5476" i="2"/>
  <c r="Q5474" i="2"/>
  <c r="P5472" i="2"/>
  <c r="Q5470" i="2"/>
  <c r="N5468" i="2"/>
  <c r="Q5466" i="2"/>
  <c r="P5464" i="2"/>
  <c r="Q5462" i="2"/>
  <c r="O5460" i="2"/>
  <c r="P5458" i="2"/>
  <c r="L5456" i="2"/>
  <c r="N5454" i="2"/>
  <c r="M5452" i="2"/>
  <c r="N5450" i="2"/>
  <c r="J5448" i="2"/>
  <c r="N5446" i="2"/>
  <c r="M5444" i="2"/>
  <c r="O5442" i="2"/>
  <c r="N5440" i="2"/>
  <c r="O5438" i="2"/>
  <c r="L5436" i="2"/>
  <c r="N5434" i="2"/>
  <c r="M5432" i="2"/>
  <c r="O5430" i="2"/>
  <c r="N5428" i="2"/>
  <c r="O5426" i="2"/>
  <c r="K5424" i="2"/>
  <c r="N5422" i="2"/>
  <c r="M5420" i="2"/>
  <c r="O5418" i="2"/>
  <c r="N5416" i="2"/>
  <c r="O5414" i="2"/>
  <c r="L5412" i="2"/>
  <c r="N5410" i="2"/>
  <c r="M5408" i="2"/>
  <c r="N5406" i="2"/>
  <c r="I5404" i="2"/>
  <c r="N5402" i="2"/>
  <c r="M5400" i="2"/>
  <c r="N5398" i="2"/>
  <c r="L5396" i="2"/>
  <c r="O5394" i="2"/>
  <c r="N5392" i="2"/>
  <c r="O5390" i="2"/>
  <c r="M5388" i="2"/>
  <c r="O5386" i="2"/>
  <c r="N5384" i="2"/>
  <c r="O5382" i="2"/>
  <c r="K5380" i="2"/>
  <c r="N5378" i="2"/>
  <c r="M5376" i="2"/>
  <c r="N5374" i="2"/>
  <c r="L5372" i="2"/>
  <c r="N5370" i="2"/>
  <c r="M5368" i="2"/>
  <c r="N5366" i="2"/>
  <c r="J5364" i="2"/>
  <c r="M5362" i="2"/>
  <c r="L5360" i="2"/>
  <c r="M5358" i="2"/>
  <c r="K5356" i="2"/>
  <c r="M5354" i="2"/>
  <c r="L5352" i="2"/>
  <c r="M5350" i="2"/>
  <c r="G5348" i="2"/>
  <c r="M5346" i="2"/>
  <c r="L5344" i="2"/>
  <c r="P5342" i="2"/>
  <c r="O5340" i="2"/>
  <c r="Q5338" i="2"/>
  <c r="P5336" i="2"/>
  <c r="R5334" i="2"/>
  <c r="Q5332" i="2"/>
  <c r="R5330" i="2"/>
  <c r="N5328" i="2"/>
  <c r="Q5326" i="2"/>
  <c r="P5324" i="2"/>
  <c r="R5322" i="2"/>
  <c r="Q5320" i="2"/>
  <c r="R5318" i="2"/>
  <c r="O5316" i="2"/>
  <c r="Q5314" i="2"/>
  <c r="P5312" i="2"/>
  <c r="S5310" i="2"/>
  <c r="R5308" i="2"/>
  <c r="S5306" i="2"/>
  <c r="Q5304" i="2"/>
  <c r="R5302" i="2"/>
  <c r="M5300" i="2"/>
  <c r="O5298" i="2"/>
  <c r="N5296" i="2"/>
  <c r="P5294" i="2"/>
  <c r="O5292" i="2"/>
  <c r="P5290" i="2"/>
  <c r="K5288" i="2"/>
  <c r="P5286" i="2"/>
  <c r="O5284" i="2"/>
  <c r="Q5282" i="2"/>
  <c r="P5280" i="2"/>
  <c r="R5278" i="2"/>
  <c r="Q5276" i="2"/>
  <c r="R5274" i="2"/>
  <c r="N5272" i="2"/>
  <c r="O5270" i="2"/>
  <c r="M5268" i="2"/>
  <c r="P5266" i="2"/>
  <c r="O5264" i="2"/>
  <c r="P5262" i="2"/>
  <c r="N5260" i="2"/>
  <c r="P5258" i="2"/>
  <c r="O5256" i="2"/>
  <c r="P5254" i="2"/>
  <c r="L5252" i="2"/>
  <c r="N5250" i="2"/>
  <c r="M5248" i="2"/>
  <c r="N5246" i="2"/>
  <c r="J5244" i="2"/>
  <c r="M5242" i="2"/>
  <c r="L5240" i="2"/>
  <c r="N5238" i="2"/>
  <c r="M5236" i="2"/>
  <c r="N5234" i="2"/>
  <c r="K5232" i="2"/>
  <c r="N5230" i="2"/>
  <c r="M5228" i="2"/>
  <c r="N5226" i="2"/>
  <c r="L5224" i="2"/>
  <c r="N5222" i="2"/>
  <c r="M5220" i="2"/>
  <c r="O5218" i="2"/>
  <c r="N5216" i="2"/>
  <c r="P5214" i="2"/>
  <c r="O5212" i="2"/>
  <c r="P5210" i="2"/>
  <c r="I5208" i="2"/>
  <c r="L5206" i="2"/>
  <c r="K5204" i="2"/>
  <c r="M5202" i="2"/>
  <c r="L5200" i="2"/>
  <c r="O5198" i="2"/>
  <c r="N5196" i="2"/>
  <c r="P5194" i="2"/>
  <c r="O5192" i="2"/>
  <c r="P5190" i="2"/>
  <c r="M5188" i="2"/>
  <c r="O5186" i="2"/>
  <c r="N5184" i="2"/>
  <c r="U5182" i="2"/>
  <c r="T5180" i="2"/>
  <c r="W5178" i="2"/>
  <c r="V5176" i="2"/>
  <c r="W5174" i="2"/>
  <c r="U5172" i="2"/>
  <c r="W5170" i="2"/>
  <c r="V5168" i="2"/>
  <c r="X5166" i="2"/>
  <c r="W5164" i="2"/>
  <c r="X5162" i="2"/>
  <c r="S5160" i="2"/>
  <c r="U5158" i="2"/>
  <c r="T5156" i="2"/>
  <c r="V5154" i="2"/>
  <c r="U5152" i="2"/>
  <c r="V5150" i="2"/>
  <c r="R5148" i="2"/>
  <c r="U5146" i="2"/>
  <c r="T5144" i="2"/>
  <c r="V5142" i="2"/>
  <c r="U5140" i="2"/>
  <c r="W5138" i="2"/>
  <c r="V5136" i="2"/>
  <c r="W5134" i="2"/>
  <c r="S5132" i="2"/>
  <c r="V5130" i="2"/>
  <c r="U5128" i="2"/>
  <c r="W5126" i="2"/>
  <c r="V5124" i="2"/>
  <c r="W5122" i="2"/>
  <c r="T5120" i="2"/>
  <c r="U5118" i="2"/>
  <c r="Q5116" i="2"/>
  <c r="U5114" i="2"/>
  <c r="T5112" i="2"/>
  <c r="U5110" i="2"/>
  <c r="S5108" i="2"/>
  <c r="U5106" i="2"/>
  <c r="T5104" i="2"/>
  <c r="W5102" i="2"/>
  <c r="V5100" i="2"/>
  <c r="W5098" i="2"/>
  <c r="U5096" i="2"/>
  <c r="W5094" i="2"/>
  <c r="V5092" i="2"/>
  <c r="W5090" i="2"/>
  <c r="R5088" i="2"/>
  <c r="V5086" i="2"/>
  <c r="U5084" i="2"/>
  <c r="W5082" i="2"/>
  <c r="V5080" i="2"/>
  <c r="W5078" i="2"/>
  <c r="T5076" i="2"/>
  <c r="W5074" i="2"/>
  <c r="V5072" i="2"/>
  <c r="W5070" i="2"/>
  <c r="U5068" i="2"/>
  <c r="W5066" i="2"/>
  <c r="V5064" i="2"/>
  <c r="W5062" i="2"/>
  <c r="S5060" i="2"/>
  <c r="W5058" i="2"/>
  <c r="V5056" i="2"/>
  <c r="X5054" i="2"/>
  <c r="W5052" i="2"/>
  <c r="X5050" i="2"/>
  <c r="U5048" i="2"/>
  <c r="W5046" i="2"/>
  <c r="V5044" i="2"/>
  <c r="W5042" i="2"/>
  <c r="T5040" i="2"/>
  <c r="V5038" i="2"/>
  <c r="U5036" i="2"/>
  <c r="W5034" i="2"/>
  <c r="V5032" i="2"/>
  <c r="W5030" i="2"/>
  <c r="P5028" i="2"/>
  <c r="S5026" i="2"/>
  <c r="R5024" i="2"/>
  <c r="T5022" i="2"/>
  <c r="S5020" i="2"/>
  <c r="U5018" i="2"/>
  <c r="T5016" i="2"/>
  <c r="V5014" i="2"/>
  <c r="U5012" i="2"/>
  <c r="W5010" i="2"/>
  <c r="V5008" i="2"/>
  <c r="X5006" i="2"/>
  <c r="W5004" i="2"/>
  <c r="X5002" i="2"/>
  <c r="Q5000" i="2"/>
  <c r="S4998" i="2"/>
  <c r="R4996" i="2"/>
  <c r="S4994" i="2"/>
  <c r="O4992" i="2"/>
  <c r="P4990" i="2"/>
  <c r="J4988" i="2"/>
  <c r="L4986" i="2"/>
  <c r="K4984" i="2"/>
  <c r="N4982" i="2"/>
  <c r="M4980" i="2"/>
  <c r="N4978" i="2"/>
  <c r="L4976" i="2"/>
  <c r="N4974" i="2"/>
  <c r="M4972" i="2"/>
  <c r="N4970" i="2"/>
  <c r="H4968" i="2"/>
  <c r="M4966" i="2"/>
  <c r="L4964" i="2"/>
  <c r="M4962" i="2"/>
  <c r="K4960" i="2"/>
  <c r="M4958" i="2"/>
  <c r="L4956" i="2"/>
  <c r="M4954" i="2"/>
  <c r="J4952" i="2"/>
  <c r="M4950" i="2"/>
  <c r="L4948" i="2"/>
  <c r="M4946" i="2"/>
  <c r="K4944" i="2"/>
  <c r="M4942" i="2"/>
  <c r="L4940" i="2"/>
  <c r="N4938" i="2"/>
  <c r="M4936" i="2"/>
  <c r="O4934" i="2"/>
  <c r="N4932" i="2"/>
  <c r="O4930" i="2"/>
  <c r="I4928" i="2"/>
  <c r="M4926" i="2"/>
  <c r="L4924" i="2"/>
  <c r="M4922" i="2"/>
  <c r="K4920" i="2"/>
  <c r="M4918" i="2"/>
  <c r="L4916" i="2"/>
  <c r="N4914" i="2"/>
  <c r="M4912" i="2"/>
  <c r="O4910" i="2"/>
  <c r="N4908" i="2"/>
  <c r="P4906" i="2"/>
  <c r="O4904" i="2"/>
  <c r="Q4902" i="2"/>
  <c r="P4900" i="2"/>
  <c r="Q4898" i="2"/>
  <c r="J4896" i="2"/>
  <c r="M4894" i="2"/>
  <c r="L4892" i="2"/>
  <c r="M4890" i="2"/>
  <c r="K4888" i="2"/>
  <c r="M4886" i="2"/>
  <c r="L4884" i="2"/>
  <c r="M4882" i="2"/>
  <c r="D4880" i="2"/>
  <c r="M4878" i="2"/>
  <c r="L4876" i="2"/>
  <c r="M4874" i="2"/>
  <c r="K4872" i="2"/>
  <c r="N4870" i="2"/>
  <c r="M4868" i="2"/>
  <c r="O4866" i="2"/>
  <c r="N4864" i="2"/>
  <c r="P4862" i="2"/>
  <c r="O4860" i="2"/>
  <c r="P4858" i="2"/>
  <c r="L4856" i="2"/>
  <c r="M4854" i="2"/>
  <c r="J4852" i="2"/>
  <c r="M4850" i="2"/>
  <c r="L4848" i="2"/>
  <c r="M4846" i="2"/>
  <c r="K4844" i="2"/>
  <c r="M4842" i="2"/>
  <c r="L4840" i="2"/>
  <c r="M4838" i="2"/>
  <c r="I4836" i="2"/>
  <c r="K4834" i="2"/>
  <c r="J4832" i="2"/>
  <c r="L4830" i="2"/>
  <c r="K4828" i="2"/>
  <c r="M4826" i="2"/>
  <c r="L4824" i="2"/>
  <c r="M4822" i="2"/>
  <c r="H4820" i="2"/>
  <c r="K4818" i="2"/>
  <c r="J4816" i="2"/>
  <c r="L4814" i="2"/>
  <c r="K4812" i="2"/>
  <c r="M4810" i="2"/>
  <c r="L4808" i="2"/>
  <c r="M4806" i="2"/>
  <c r="I4804" i="2"/>
  <c r="L4802" i="2"/>
  <c r="K4800" i="2"/>
  <c r="L4798" i="2"/>
  <c r="J4796" i="2"/>
  <c r="L4794" i="2"/>
  <c r="K4792" i="2"/>
  <c r="L4790" i="2"/>
  <c r="G4788" i="2"/>
  <c r="M4786" i="2"/>
  <c r="L4784" i="2"/>
  <c r="M4782" i="2"/>
  <c r="K4780" i="2"/>
  <c r="M4778" i="2"/>
  <c r="L4776" i="2"/>
  <c r="N4774" i="2"/>
  <c r="M4772" i="2"/>
  <c r="N4770" i="2"/>
  <c r="J4768" i="2"/>
  <c r="M4766" i="2"/>
  <c r="L4764" i="2"/>
  <c r="M4762" i="2"/>
  <c r="K4760" i="2"/>
  <c r="M4758" i="2"/>
  <c r="L4756" i="2"/>
  <c r="M4754" i="2"/>
  <c r="I4752" i="2"/>
  <c r="O4750" i="2"/>
  <c r="N4748" i="2"/>
  <c r="P4746" i="2"/>
  <c r="O4744" i="2"/>
  <c r="P4742" i="2"/>
  <c r="M4740" i="2"/>
  <c r="O4738" i="2"/>
  <c r="N4736" i="2"/>
  <c r="P4734" i="2"/>
  <c r="O4732" i="2"/>
  <c r="P4730" i="2"/>
  <c r="L4728" i="2"/>
  <c r="N4726" i="2"/>
  <c r="M4724" i="2"/>
  <c r="O4722" i="2"/>
  <c r="N4720" i="2"/>
  <c r="O4718" i="2"/>
  <c r="K4716" i="2"/>
  <c r="N4714" i="2"/>
  <c r="M4712" i="2"/>
  <c r="P4710" i="2"/>
  <c r="O4708" i="2"/>
  <c r="P4706" i="2"/>
  <c r="N4704" i="2"/>
  <c r="O4702" i="2"/>
  <c r="L4700" i="2"/>
  <c r="N4698" i="2"/>
  <c r="M4696" i="2"/>
  <c r="N4694" i="2"/>
  <c r="J4692" i="2"/>
  <c r="L4690" i="2"/>
  <c r="K4688" i="2"/>
  <c r="M4686" i="2"/>
  <c r="L4684" i="2"/>
  <c r="M4682" i="2"/>
  <c r="H4680" i="2"/>
  <c r="L4678" i="2"/>
  <c r="K4676" i="2"/>
  <c r="M4674" i="2"/>
  <c r="L4672" i="2"/>
  <c r="M4670" i="2"/>
  <c r="J4668" i="2"/>
  <c r="L4666" i="2"/>
  <c r="K4664" i="2"/>
  <c r="L4662" i="2"/>
  <c r="I4660" i="2"/>
  <c r="K4658" i="2"/>
  <c r="J4656" i="2"/>
  <c r="K4654" i="2"/>
  <c r="F4652" i="2"/>
  <c r="I4650" i="2"/>
  <c r="H4648" i="2"/>
  <c r="O4646" i="2"/>
  <c r="N4644" i="2"/>
  <c r="O4642" i="2"/>
  <c r="M4640" i="2"/>
  <c r="Q4638" i="2"/>
  <c r="P4636" i="2"/>
  <c r="Q4634" i="2"/>
  <c r="O4632" i="2"/>
  <c r="Q4630" i="2"/>
  <c r="P4628" i="2"/>
  <c r="R4626" i="2"/>
  <c r="Q4624" i="2"/>
  <c r="R4622" i="2"/>
  <c r="N4620" i="2"/>
  <c r="P4618" i="2"/>
  <c r="O4616" i="2"/>
  <c r="Q4614" i="2"/>
  <c r="P4612" i="2"/>
  <c r="Q4610" i="2"/>
  <c r="L4608" i="2"/>
  <c r="N4606" i="2"/>
  <c r="M4604" i="2"/>
  <c r="N4602" i="2"/>
  <c r="K4600" i="2"/>
  <c r="N4598" i="2"/>
  <c r="M4596" i="2"/>
  <c r="N4594" i="2"/>
  <c r="L4592" i="2"/>
  <c r="P4590" i="2"/>
  <c r="O4588" i="2"/>
  <c r="P4586" i="2"/>
  <c r="N4584" i="2"/>
  <c r="P4582" i="2"/>
  <c r="O4580" i="2"/>
  <c r="P4578" i="2"/>
  <c r="M4576" i="2"/>
  <c r="N4574" i="2"/>
  <c r="J4572" i="2"/>
  <c r="L4570" i="2"/>
  <c r="K4568" i="2"/>
  <c r="N4566" i="2"/>
  <c r="M4564" i="2"/>
  <c r="N4562" i="2"/>
  <c r="L4560" i="2"/>
  <c r="N4558" i="2"/>
  <c r="M4556" i="2"/>
  <c r="N4554" i="2"/>
  <c r="I4552" i="2"/>
  <c r="N4550" i="2"/>
  <c r="M4548" i="2"/>
  <c r="N4546" i="2"/>
  <c r="L4544" i="2"/>
  <c r="N4542" i="2"/>
  <c r="M4540" i="2"/>
  <c r="N4538" i="2"/>
  <c r="K4536" i="2"/>
  <c r="O4534" i="2"/>
  <c r="N4532" i="2"/>
  <c r="O4530" i="2"/>
  <c r="M4528" i="2"/>
  <c r="N4526" i="2"/>
  <c r="L4524" i="2"/>
  <c r="N4522" i="2"/>
  <c r="M4520" i="2"/>
  <c r="N4518" i="2"/>
  <c r="J4516" i="2"/>
  <c r="R4514" i="2"/>
  <c r="Q4512" i="2"/>
  <c r="S4510" i="2"/>
  <c r="R4508" i="2"/>
  <c r="T4506" i="2"/>
  <c r="S4504" i="2"/>
  <c r="T4502" i="2"/>
  <c r="P4500" i="2"/>
  <c r="Q4498" i="2"/>
  <c r="O4496" i="2"/>
  <c r="R4494" i="2"/>
  <c r="Q4492" i="2"/>
  <c r="R4490" i="2"/>
  <c r="P4488" i="2"/>
  <c r="R4486" i="2"/>
  <c r="Q4484" i="2"/>
  <c r="R4482" i="2"/>
  <c r="N4480" i="2"/>
  <c r="P4478" i="2"/>
  <c r="O4476" i="2"/>
  <c r="P4474" i="2"/>
  <c r="M4472" i="2"/>
  <c r="N4470" i="2"/>
  <c r="L4468" i="2"/>
  <c r="N4466" i="2"/>
  <c r="M4464" i="2"/>
  <c r="N4462" i="2"/>
  <c r="K4460" i="2"/>
  <c r="N4458" i="2"/>
  <c r="M4456" i="2"/>
  <c r="O4454" i="2"/>
  <c r="N4452" i="2"/>
  <c r="O4450" i="2"/>
  <c r="L4448" i="2"/>
  <c r="N4446" i="2"/>
  <c r="M4444" i="2"/>
  <c r="N4442" i="2"/>
  <c r="G4440" i="2"/>
  <c r="O4438" i="2"/>
  <c r="N4436" i="2"/>
  <c r="P4434" i="2"/>
  <c r="O4432" i="2"/>
  <c r="P4430" i="2"/>
  <c r="M4428" i="2"/>
  <c r="P4426" i="2"/>
  <c r="O4424" i="2"/>
  <c r="R4422" i="2"/>
  <c r="Q4420" i="2"/>
  <c r="R4418" i="2"/>
  <c r="P4416" i="2"/>
  <c r="R4414" i="2"/>
  <c r="Q4412" i="2"/>
  <c r="R4410" i="2"/>
  <c r="N4408" i="2"/>
  <c r="O4406" i="2"/>
  <c r="L4404" i="2"/>
  <c r="O4402" i="2"/>
  <c r="N4400" i="2"/>
  <c r="O4398" i="2"/>
  <c r="M4396" i="2"/>
  <c r="Q4394" i="2"/>
  <c r="P4392" i="2"/>
  <c r="Q4390" i="2"/>
  <c r="O4388" i="2"/>
  <c r="Q4386" i="2"/>
  <c r="P4384" i="2"/>
  <c r="R4382" i="2"/>
  <c r="Q4380" i="2"/>
  <c r="R4378" i="2"/>
  <c r="N4376" i="2"/>
  <c r="Q4374" i="2"/>
  <c r="P4372" i="2"/>
  <c r="Q4370" i="2"/>
  <c r="O4368" i="2"/>
  <c r="R4366" i="2"/>
  <c r="Q4364" i="2"/>
  <c r="R4362" i="2"/>
  <c r="P4360" i="2"/>
  <c r="R4358" i="2"/>
  <c r="Q4356" i="2"/>
  <c r="S4354" i="2"/>
  <c r="R4352" i="2"/>
  <c r="T4350" i="2"/>
  <c r="S4348" i="2"/>
  <c r="T4346" i="2"/>
  <c r="K4344" i="2"/>
  <c r="P4342" i="2"/>
  <c r="O4340" i="2"/>
  <c r="Q4338" i="2"/>
  <c r="P4336" i="2"/>
  <c r="Q4334" i="2"/>
  <c r="N4332" i="2"/>
  <c r="R4330" i="2"/>
  <c r="Q4328" i="2"/>
  <c r="T4326" i="2"/>
  <c r="S4324" i="2"/>
  <c r="T4322" i="2"/>
  <c r="R4320" i="2"/>
  <c r="U4318" i="2"/>
  <c r="T4316" i="2"/>
  <c r="U4314" i="2"/>
  <c r="S4312" i="2"/>
  <c r="W4310" i="2"/>
  <c r="V4308" i="2"/>
  <c r="W4306" i="2"/>
  <c r="U4304" i="2"/>
  <c r="W4302" i="2"/>
  <c r="V4300" i="2"/>
  <c r="W4298" i="2"/>
  <c r="T4296" i="2"/>
  <c r="V4294" i="2"/>
  <c r="U4292" i="2"/>
  <c r="W4290" i="2"/>
  <c r="V4288" i="2"/>
  <c r="W4286" i="2"/>
  <c r="P4284" i="2"/>
  <c r="R4282" i="2"/>
  <c r="Q4280" i="2"/>
  <c r="R4278" i="2"/>
  <c r="O4276" i="2"/>
  <c r="Q4274" i="2"/>
  <c r="P4272" i="2"/>
  <c r="R4270" i="2"/>
  <c r="Q4268" i="2"/>
  <c r="R4266" i="2"/>
  <c r="M4264" i="2"/>
  <c r="O4262" i="2"/>
  <c r="N4260" i="2"/>
  <c r="O4258" i="2"/>
  <c r="L4256" i="2"/>
  <c r="O4254" i="2"/>
  <c r="N4252" i="2"/>
  <c r="O4250" i="2"/>
  <c r="M4248" i="2"/>
  <c r="N4246" i="2"/>
  <c r="J4244" i="2"/>
  <c r="O4242" i="2"/>
  <c r="N4240" i="2"/>
  <c r="P4238" i="2"/>
  <c r="O4236" i="2"/>
  <c r="Q4234" i="2"/>
  <c r="P4232" i="2"/>
  <c r="Q4230" i="2"/>
  <c r="M4228" i="2"/>
  <c r="O4226" i="2"/>
  <c r="N4224" i="2"/>
  <c r="P4222" i="2"/>
  <c r="O4220" i="2"/>
  <c r="Q4218" i="2"/>
  <c r="P4216" i="2"/>
  <c r="Q4214" i="2"/>
  <c r="L4212" i="2"/>
  <c r="N4210" i="2"/>
  <c r="M4208" i="2"/>
  <c r="O4206" i="2"/>
  <c r="N4204" i="2"/>
  <c r="P4202" i="2"/>
  <c r="O4200" i="2"/>
  <c r="Q4198" i="2"/>
  <c r="P4196" i="2"/>
  <c r="Q4194" i="2"/>
  <c r="K4192" i="2"/>
  <c r="M4190" i="2"/>
  <c r="L4188" i="2"/>
  <c r="O4186" i="2"/>
  <c r="N4184" i="2"/>
  <c r="O4182" i="2"/>
  <c r="M4180" i="2"/>
  <c r="O4178" i="2"/>
  <c r="N4176" i="2"/>
  <c r="O4174" i="2"/>
  <c r="I4172" i="2"/>
  <c r="Q4170" i="2"/>
  <c r="P4168" i="2"/>
  <c r="U4166" i="2"/>
  <c r="T4164" i="2"/>
  <c r="W4162" i="2"/>
  <c r="V4160" i="2"/>
  <c r="W4158" i="2"/>
  <c r="U4156" i="2"/>
  <c r="W4154" i="2"/>
  <c r="V4152" i="2"/>
  <c r="W4150" i="2"/>
  <c r="S4148" i="2"/>
  <c r="V4146" i="2"/>
  <c r="U4144" i="2"/>
  <c r="W4142" i="2"/>
  <c r="V4140" i="2"/>
  <c r="W4138" i="2"/>
  <c r="T4136" i="2"/>
  <c r="V4134" i="2"/>
  <c r="U4132" i="2"/>
  <c r="V4130" i="2"/>
  <c r="R4128" i="2"/>
  <c r="T4126" i="2"/>
  <c r="S4124" i="2"/>
  <c r="T4122" i="2"/>
  <c r="Q4120" i="2"/>
  <c r="S4118" i="2"/>
  <c r="R4116" i="2"/>
  <c r="T4114" i="2"/>
  <c r="S4112" i="2"/>
  <c r="T4110" i="2"/>
  <c r="O4108" i="2"/>
  <c r="T4106" i="2"/>
  <c r="S4104" i="2"/>
  <c r="W4102" i="2"/>
  <c r="V4100" i="2"/>
  <c r="W4098" i="2"/>
  <c r="U4096" i="2"/>
  <c r="W4094" i="2"/>
  <c r="V4092" i="2"/>
  <c r="W4090" i="2"/>
  <c r="T4088" i="2"/>
  <c r="V4086" i="2"/>
  <c r="U4084" i="2"/>
  <c r="V4082" i="2"/>
  <c r="R4080" i="2"/>
  <c r="X4078" i="2"/>
  <c r="W4076" i="2"/>
  <c r="Y4074" i="2"/>
  <c r="X4072" i="2"/>
  <c r="Z4070" i="2"/>
  <c r="Y4068" i="2"/>
  <c r="AA4066" i="2"/>
  <c r="Z4064" i="2"/>
  <c r="AA4062" i="2"/>
  <c r="V4060" i="2"/>
  <c r="W4058" i="2"/>
  <c r="U4056" i="2"/>
  <c r="V4054" i="2"/>
  <c r="T4052" i="2"/>
  <c r="U4050" i="2"/>
  <c r="S4048" i="2"/>
  <c r="V4046" i="2"/>
  <c r="U4044" i="2"/>
  <c r="W4042" i="2"/>
  <c r="V4040" i="2"/>
  <c r="W4038" i="2"/>
  <c r="T4036" i="2"/>
  <c r="W4034" i="2"/>
  <c r="V4032" i="2"/>
  <c r="W4030" i="2"/>
  <c r="U4028" i="2"/>
  <c r="V4026" i="2"/>
  <c r="Q4024" i="2"/>
  <c r="T4022" i="2"/>
  <c r="S4020" i="2"/>
  <c r="U4018" i="2"/>
  <c r="T4016" i="2"/>
  <c r="U4014" i="2"/>
  <c r="R4012" i="2"/>
  <c r="T4010" i="2"/>
  <c r="S4008" i="2"/>
  <c r="U4006" i="2"/>
  <c r="T4004" i="2"/>
  <c r="V4002" i="2"/>
  <c r="U4000" i="2"/>
  <c r="W3998" i="2"/>
  <c r="V3996" i="2"/>
  <c r="X3994" i="2"/>
  <c r="W3992" i="2"/>
  <c r="Y3990" i="2"/>
  <c r="X3988" i="2"/>
  <c r="Z3986" i="2"/>
  <c r="Y3984" i="2"/>
  <c r="Z3982" i="2"/>
  <c r="P3980" i="2"/>
  <c r="R3978" i="2"/>
  <c r="Q3976" i="2"/>
  <c r="T3974" i="2"/>
  <c r="S3972" i="2"/>
  <c r="U3970" i="2"/>
  <c r="T3968" i="2"/>
  <c r="U3966" i="2"/>
  <c r="R3964" i="2"/>
  <c r="T3962" i="2"/>
  <c r="S3960" i="2"/>
  <c r="U3958" i="2"/>
  <c r="T3956" i="2"/>
  <c r="V3954" i="2"/>
  <c r="U3952" i="2"/>
  <c r="W3950" i="2"/>
  <c r="V3948" i="2"/>
  <c r="X3946" i="2"/>
  <c r="W3944" i="2"/>
  <c r="X3942" i="2"/>
  <c r="N3940" i="2"/>
  <c r="S3938" i="2"/>
  <c r="R3936" i="2"/>
  <c r="T3934" i="2"/>
  <c r="S3932" i="2"/>
  <c r="T3930" i="2"/>
  <c r="Q3928" i="2"/>
  <c r="V3926" i="2"/>
  <c r="U3924" i="2"/>
  <c r="V3922" i="2"/>
  <c r="T3920" i="2"/>
  <c r="U3918" i="2"/>
  <c r="S3916" i="2"/>
  <c r="W3914" i="2"/>
  <c r="V3912" i="2"/>
  <c r="X3910" i="2"/>
  <c r="W3908" i="2"/>
  <c r="Y3906" i="2"/>
  <c r="X3904" i="2"/>
  <c r="Z3902" i="2"/>
  <c r="Y3900" i="2"/>
  <c r="Z3898" i="2"/>
  <c r="U3896" i="2"/>
  <c r="V3894" i="2"/>
  <c r="T3892" i="2"/>
  <c r="X3890" i="2"/>
  <c r="W3888" i="2"/>
  <c r="X3886" i="2"/>
  <c r="V3884" i="2"/>
  <c r="X3882" i="2"/>
  <c r="W3880" i="2"/>
  <c r="Y3878" i="2"/>
  <c r="X3876" i="2"/>
  <c r="Y3874" i="2"/>
  <c r="U3872" i="2"/>
  <c r="V3870" i="2"/>
  <c r="R3868" i="2"/>
  <c r="T3866" i="2"/>
  <c r="S3864" i="2"/>
  <c r="T3862" i="2"/>
  <c r="P3860" i="2"/>
  <c r="Y3858" i="2"/>
  <c r="X3856" i="2"/>
  <c r="Z3854" i="2"/>
  <c r="Y3852" i="2"/>
  <c r="Z3850" i="2"/>
  <c r="W3848" i="2"/>
  <c r="X3846" i="2"/>
  <c r="V3844" i="2"/>
  <c r="X3842" i="2"/>
  <c r="W3840" i="2"/>
  <c r="Y3838" i="2"/>
  <c r="X3836" i="2"/>
  <c r="Z3834" i="2"/>
  <c r="Y3832" i="2"/>
  <c r="Z3830" i="2"/>
  <c r="U3828" i="2"/>
  <c r="X3826" i="2"/>
  <c r="W3824" i="2"/>
  <c r="X3822" i="2"/>
  <c r="V3820" i="2"/>
  <c r="Y3818" i="2"/>
  <c r="X3816" i="2"/>
  <c r="Y3814" i="2"/>
  <c r="W3812" i="2"/>
  <c r="Z3810" i="2"/>
  <c r="Y3808" i="2"/>
  <c r="Z3806" i="2"/>
  <c r="X3804" i="2"/>
  <c r="Z3802" i="2"/>
  <c r="Y3800" i="2"/>
  <c r="Z3798" i="2"/>
  <c r="T3796" i="2"/>
  <c r="Z3794" i="2"/>
  <c r="Y3792" i="2"/>
  <c r="Z3790" i="2"/>
  <c r="X3788" i="2"/>
  <c r="Z3786" i="2"/>
  <c r="Y3784" i="2"/>
  <c r="Z3782" i="2"/>
  <c r="W3780" i="2"/>
  <c r="Z3778" i="2"/>
  <c r="Y3776" i="2"/>
  <c r="AB3774" i="2"/>
  <c r="AA3772" i="2"/>
  <c r="AC3770" i="2"/>
  <c r="AB3768" i="2"/>
  <c r="AD3766" i="2"/>
  <c r="AC3764" i="2"/>
  <c r="AD3762" i="2"/>
  <c r="Z3760" i="2"/>
  <c r="AA3758" i="2"/>
  <c r="X3756" i="2"/>
  <c r="Z3754" i="2"/>
  <c r="Y3752" i="2"/>
  <c r="AA3750" i="2"/>
  <c r="Z3748" i="2"/>
  <c r="AA3746" i="2"/>
  <c r="V3744" i="2"/>
  <c r="W3742" i="2"/>
  <c r="U3740" i="2"/>
  <c r="V3738" i="2"/>
  <c r="S3736" i="2"/>
  <c r="V3734" i="2"/>
  <c r="U3732" i="2"/>
  <c r="V3730" i="2"/>
  <c r="T3728" i="2"/>
  <c r="V3726" i="2"/>
  <c r="U3724" i="2"/>
  <c r="V3722" i="2"/>
  <c r="R3720" i="2"/>
  <c r="U3718" i="2"/>
  <c r="T3716" i="2"/>
  <c r="V3714" i="2"/>
  <c r="U3712" i="2"/>
  <c r="V3710" i="2"/>
  <c r="S3708" i="2"/>
  <c r="W3706" i="2"/>
  <c r="V3704" i="2"/>
  <c r="W3702" i="2"/>
  <c r="U3700" i="2"/>
  <c r="W3698" i="2"/>
  <c r="V3696" i="2"/>
  <c r="W3694" i="2"/>
  <c r="T3692" i="2"/>
  <c r="W3690" i="2"/>
  <c r="V3688" i="2"/>
  <c r="W3686" i="2"/>
  <c r="U3684" i="2"/>
  <c r="W3682" i="2"/>
  <c r="V3680" i="2"/>
  <c r="W3678" i="2"/>
  <c r="Q3676" i="2"/>
  <c r="V3674" i="2"/>
  <c r="U3672" i="2"/>
  <c r="V3670" i="2"/>
  <c r="T3668" i="2"/>
  <c r="W3666" i="2"/>
  <c r="V3664" i="2"/>
  <c r="W3662" i="2"/>
  <c r="U3660" i="2"/>
  <c r="X3658" i="2"/>
  <c r="W3656" i="2"/>
  <c r="Y3654" i="2"/>
  <c r="X3652" i="2"/>
  <c r="Y3650" i="2"/>
  <c r="V3648" i="2"/>
  <c r="Y3646" i="2"/>
  <c r="X3644" i="2"/>
  <c r="Z3642" i="2"/>
  <c r="Y3640" i="2"/>
  <c r="Z3638" i="2"/>
  <c r="W3636" i="2"/>
  <c r="X3634" i="2"/>
  <c r="S3632" i="2"/>
  <c r="U3630" i="2"/>
  <c r="T3628" i="2"/>
  <c r="W3626" i="2"/>
  <c r="V3624" i="2"/>
  <c r="W3622" i="2"/>
  <c r="U3620" i="2"/>
  <c r="W3618" i="2"/>
  <c r="V3616" i="2"/>
  <c r="W3614" i="2"/>
  <c r="R3612" i="2"/>
  <c r="U3610" i="2"/>
  <c r="T3608" i="2"/>
  <c r="U3606" i="2"/>
  <c r="S3604" i="2"/>
  <c r="U3602" i="2"/>
  <c r="T3600" i="2"/>
  <c r="X3598" i="2"/>
  <c r="W3596" i="2"/>
  <c r="X3594" i="2"/>
  <c r="V3592" i="2"/>
  <c r="X3590" i="2"/>
  <c r="W3588" i="2"/>
  <c r="X3586" i="2"/>
  <c r="U3584" i="2"/>
  <c r="V3582" i="2"/>
  <c r="O3580" i="2"/>
  <c r="T3578" i="2"/>
  <c r="S3576" i="2"/>
  <c r="U3574" i="2"/>
  <c r="T3572" i="2"/>
  <c r="U3570" i="2"/>
  <c r="R3568" i="2"/>
  <c r="U3566" i="2"/>
  <c r="T3564" i="2"/>
  <c r="U3562" i="2"/>
  <c r="S3560" i="2"/>
  <c r="U3558" i="2"/>
  <c r="T3556" i="2"/>
  <c r="V3554" i="2"/>
  <c r="U3552" i="2"/>
  <c r="W3550" i="2"/>
  <c r="V3548" i="2"/>
  <c r="X3546" i="2"/>
  <c r="W3544" i="2"/>
  <c r="Y3542" i="2"/>
  <c r="X3540" i="2"/>
  <c r="Z3538" i="2"/>
  <c r="Y3536" i="2"/>
  <c r="Z3534" i="2"/>
  <c r="Q3532" i="2"/>
  <c r="S3530" i="2"/>
  <c r="R3528" i="2"/>
  <c r="S3526" i="2"/>
  <c r="P3524" i="2"/>
  <c r="S3522" i="2"/>
  <c r="R3520" i="2"/>
  <c r="S3518" i="2"/>
  <c r="Q3516" i="2"/>
  <c r="W3514" i="2"/>
  <c r="V3512" i="2"/>
  <c r="Z3510" i="2"/>
  <c r="Y3508" i="2"/>
  <c r="Z3506" i="2"/>
  <c r="X3504" i="2"/>
  <c r="Z3502" i="2"/>
  <c r="Y3500" i="2"/>
  <c r="Z3498" i="2"/>
  <c r="W3496" i="2"/>
  <c r="Y3494" i="2"/>
  <c r="X3492" i="2"/>
  <c r="Y3490" i="2"/>
  <c r="U3488" i="2"/>
  <c r="W3486" i="2"/>
  <c r="V3484" i="2"/>
  <c r="Y3482" i="2"/>
  <c r="X3480" i="2"/>
  <c r="Y3478" i="2"/>
  <c r="W3476" i="2"/>
  <c r="Y3474" i="2"/>
  <c r="X3472" i="2"/>
  <c r="Y3470" i="2"/>
  <c r="T3468" i="2"/>
  <c r="V3466" i="2"/>
  <c r="U3464" i="2"/>
  <c r="V3462" i="2"/>
  <c r="S3460" i="2"/>
  <c r="V3458" i="2"/>
  <c r="U3456" i="2"/>
  <c r="V3454" i="2"/>
  <c r="T3452" i="2"/>
  <c r="Z3450" i="2"/>
  <c r="Y3448" i="2"/>
  <c r="Z3446" i="2"/>
  <c r="X3444" i="2"/>
  <c r="AA3442" i="2"/>
  <c r="Z3440" i="2"/>
  <c r="AA3438" i="2"/>
  <c r="Y3436" i="2"/>
  <c r="Z3434" i="2"/>
  <c r="W3432" i="2"/>
  <c r="Z3430" i="2"/>
  <c r="Y3428" i="2"/>
  <c r="Z3426" i="2"/>
  <c r="X3424" i="2"/>
  <c r="Z3422" i="2"/>
  <c r="Y3420" i="2"/>
  <c r="Z3418" i="2"/>
  <c r="V3416" i="2"/>
  <c r="AA3414" i="2"/>
  <c r="Z3412" i="2"/>
  <c r="AA3410" i="2"/>
  <c r="Y3408" i="2"/>
  <c r="Z3406" i="2"/>
  <c r="X3404" i="2"/>
  <c r="Z3402" i="2"/>
  <c r="Y3400" i="2"/>
  <c r="Z3398" i="2"/>
  <c r="W3396" i="2"/>
  <c r="Z3394" i="2"/>
  <c r="Y3392" i="2"/>
  <c r="Z3390" i="2"/>
  <c r="X3388" i="2"/>
  <c r="Z3386" i="2"/>
  <c r="Y3384" i="2"/>
  <c r="Z3382" i="2"/>
  <c r="U3380" i="2"/>
  <c r="X3378" i="2"/>
  <c r="W3376" i="2"/>
  <c r="X3374" i="2"/>
  <c r="V3372" i="2"/>
  <c r="Z3370" i="2"/>
  <c r="Y3368" i="2"/>
  <c r="Z3366" i="2"/>
  <c r="X3364" i="2"/>
  <c r="Z3362" i="2"/>
  <c r="Y3360" i="2"/>
  <c r="Z3358" i="2"/>
  <c r="W3356" i="2"/>
  <c r="Y3354" i="2"/>
  <c r="X3352" i="2"/>
  <c r="Z3350" i="2"/>
  <c r="Y3348" i="2"/>
  <c r="Z3346" i="2"/>
  <c r="R3344" i="2"/>
  <c r="U3342" i="2"/>
  <c r="T3340" i="2"/>
  <c r="V3338" i="2"/>
  <c r="U3336" i="2"/>
  <c r="V3334" i="2"/>
  <c r="S3332" i="2"/>
  <c r="U3330" i="2"/>
  <c r="T3328" i="2"/>
  <c r="V3326" i="2"/>
  <c r="U3324" i="2"/>
  <c r="W3322" i="2"/>
  <c r="V3320" i="2"/>
  <c r="W3318" i="2"/>
  <c r="M3316" i="2"/>
  <c r="R3314" i="2"/>
  <c r="Q3312" i="2"/>
  <c r="S3310" i="2"/>
  <c r="R3308" i="2"/>
  <c r="T3306" i="2"/>
  <c r="S3304" i="2"/>
  <c r="V3302" i="2"/>
  <c r="U3300" i="2"/>
  <c r="W3298" i="2"/>
  <c r="V3296" i="2"/>
  <c r="W3294" i="2"/>
  <c r="T3292" i="2"/>
  <c r="W3290" i="2"/>
  <c r="V3288" i="2"/>
  <c r="X3286" i="2"/>
  <c r="W3284" i="2"/>
  <c r="X3282" i="2"/>
  <c r="U3280" i="2"/>
  <c r="X3278" i="2"/>
  <c r="W3276" i="2"/>
  <c r="X3274" i="2"/>
  <c r="V3272" i="2"/>
  <c r="X3270" i="2"/>
  <c r="W3268" i="2"/>
  <c r="Y3266" i="2"/>
  <c r="X3264" i="2"/>
  <c r="Z3262" i="2"/>
  <c r="Y3260" i="2"/>
  <c r="Z3258" i="2"/>
  <c r="P3256" i="2"/>
  <c r="R3254" i="2"/>
  <c r="Q3252" i="2"/>
  <c r="R3250" i="2"/>
  <c r="O3248" i="2"/>
  <c r="U3246" i="2"/>
  <c r="T3244" i="2"/>
  <c r="U3242" i="2"/>
  <c r="S3240" i="2"/>
  <c r="V3238" i="2"/>
  <c r="U3236" i="2"/>
  <c r="V3234" i="2"/>
  <c r="T3232" i="2"/>
  <c r="W3230" i="2"/>
  <c r="V3228" i="2"/>
  <c r="W3226" i="2"/>
  <c r="U3224" i="2"/>
  <c r="Z3222" i="2"/>
  <c r="Y3220" i="2"/>
  <c r="Z3218" i="2"/>
  <c r="X3216" i="2"/>
  <c r="Z3214" i="2"/>
  <c r="Y3212" i="2"/>
  <c r="Z3210" i="2"/>
  <c r="W3208" i="2"/>
  <c r="Z3206" i="2"/>
  <c r="Y3204" i="2"/>
  <c r="Z3202" i="2"/>
  <c r="X3200" i="2"/>
  <c r="Y3198" i="2"/>
  <c r="V3196" i="2"/>
  <c r="X3194" i="2"/>
  <c r="W3192" i="2"/>
  <c r="Y3190" i="2"/>
  <c r="X3188" i="2"/>
  <c r="Z3186" i="2"/>
  <c r="Y3184" i="2"/>
  <c r="Z3182" i="2"/>
  <c r="R3180" i="2"/>
  <c r="T3178" i="2"/>
  <c r="S3176" i="2"/>
  <c r="U3174" i="2"/>
  <c r="T3172" i="2"/>
  <c r="U3170" i="2"/>
  <c r="Q3168" i="2"/>
  <c r="T3166" i="2"/>
  <c r="S3164" i="2"/>
  <c r="U3162" i="2"/>
  <c r="T3160" i="2"/>
  <c r="V3158" i="2"/>
  <c r="U3156" i="2"/>
  <c r="V3154" i="2"/>
  <c r="R3152" i="2"/>
  <c r="V3150" i="2"/>
  <c r="U3148" i="2"/>
  <c r="V3146" i="2"/>
  <c r="T3144" i="2"/>
  <c r="W3142" i="2"/>
  <c r="V3140" i="2"/>
  <c r="W3138" i="2"/>
  <c r="U3136" i="2"/>
  <c r="W3134" i="2"/>
  <c r="V3132" i="2"/>
  <c r="W3130" i="2"/>
  <c r="S3128" i="2"/>
  <c r="X3126" i="2"/>
  <c r="W3124" i="2"/>
  <c r="X3122" i="2"/>
  <c r="V3120" i="2"/>
  <c r="Y3118" i="2"/>
  <c r="X3116" i="2"/>
  <c r="Z3114" i="2"/>
  <c r="Y3112" i="2"/>
  <c r="Z3110" i="2"/>
  <c r="W3108" i="2"/>
  <c r="X3106" i="2"/>
  <c r="U3104" i="2"/>
  <c r="X3102" i="2"/>
  <c r="W3100" i="2"/>
  <c r="X3098" i="2"/>
  <c r="V3096" i="2"/>
  <c r="X3094" i="2"/>
  <c r="W3092" i="2"/>
  <c r="X3090" i="2"/>
  <c r="T3088" i="2"/>
  <c r="V3086" i="2"/>
  <c r="U3084" i="2"/>
  <c r="V3082" i="2"/>
  <c r="P3080" i="2"/>
  <c r="R3078" i="2"/>
  <c r="Q3076" i="2"/>
  <c r="V3074" i="2"/>
  <c r="U3072" i="2"/>
  <c r="V3070" i="2"/>
  <c r="T3068" i="2"/>
  <c r="V3066" i="2"/>
  <c r="U3064" i="2"/>
  <c r="V3062" i="2"/>
  <c r="S3060" i="2"/>
  <c r="V3058" i="2"/>
  <c r="U3056" i="2"/>
  <c r="V3054" i="2"/>
  <c r="T3052" i="2"/>
  <c r="V3050" i="2"/>
  <c r="U3048" i="2"/>
  <c r="V3046" i="2"/>
  <c r="R3044" i="2"/>
  <c r="U3042" i="2"/>
  <c r="T3040" i="2"/>
  <c r="U3038" i="2"/>
  <c r="S3036" i="2"/>
  <c r="V3034" i="2"/>
  <c r="U3032" i="2"/>
  <c r="V3030" i="2"/>
  <c r="T3028" i="2"/>
  <c r="V3026" i="2"/>
  <c r="U3024" i="2"/>
  <c r="W3022" i="2"/>
  <c r="V3020" i="2"/>
  <c r="X3018" i="2"/>
  <c r="W3016" i="2"/>
  <c r="X3014" i="2"/>
  <c r="N3012" i="2"/>
  <c r="R3010" i="2"/>
  <c r="Q3008" i="2"/>
  <c r="R3006" i="2"/>
  <c r="P3004" i="2"/>
  <c r="S3002" i="2"/>
  <c r="R3000" i="2"/>
  <c r="S2998" i="2"/>
  <c r="Q2996" i="2"/>
  <c r="S2994" i="2"/>
  <c r="R2992" i="2"/>
  <c r="T2990" i="2"/>
  <c r="S2988" i="2"/>
  <c r="U2986" i="2"/>
  <c r="T2984" i="2"/>
  <c r="U2982" i="2"/>
  <c r="O2980" i="2"/>
  <c r="P2978" i="2"/>
  <c r="L2976" i="2"/>
  <c r="Q2974" i="2"/>
  <c r="P2972" i="2"/>
  <c r="Q2970" i="2"/>
  <c r="O2968" i="2"/>
  <c r="Q2966" i="2"/>
  <c r="P2964" i="2"/>
  <c r="Q2962" i="2"/>
  <c r="N2960" i="2"/>
  <c r="P2958" i="2"/>
  <c r="O2956" i="2"/>
  <c r="Q2954" i="2"/>
  <c r="P2952" i="2"/>
  <c r="R2950" i="2"/>
  <c r="Q2948" i="2"/>
  <c r="R2946" i="2"/>
  <c r="M2944" i="2"/>
  <c r="O2942" i="2"/>
  <c r="N2940" i="2"/>
  <c r="P2938" i="2"/>
  <c r="O2936" i="2"/>
  <c r="P2934" i="2"/>
  <c r="K2932" i="2"/>
  <c r="P2930" i="2"/>
  <c r="O2928" i="2"/>
  <c r="P2926" i="2"/>
  <c r="N2924" i="2"/>
  <c r="O2922" i="2"/>
  <c r="M2920" i="2"/>
  <c r="O2918" i="2"/>
  <c r="N2916" i="2"/>
  <c r="O2914" i="2"/>
  <c r="L2912" i="2"/>
  <c r="N2910" i="2"/>
  <c r="M2908" i="2"/>
  <c r="N2906" i="2"/>
  <c r="J2904" i="2"/>
  <c r="M2902" i="2"/>
  <c r="L2900" i="2"/>
  <c r="M2898" i="2"/>
  <c r="K2896" i="2"/>
  <c r="N2894" i="2"/>
  <c r="M2892" i="2"/>
  <c r="N2890" i="2"/>
  <c r="L2888" i="2"/>
  <c r="O2886" i="2"/>
  <c r="N2884" i="2"/>
  <c r="O2882" i="2"/>
  <c r="M2880" i="2"/>
  <c r="O2878" i="2"/>
  <c r="N2876" i="2"/>
  <c r="P2874" i="2"/>
  <c r="O2872" i="2"/>
  <c r="P2870" i="2"/>
  <c r="H2868" i="2"/>
  <c r="K2866" i="2"/>
  <c r="J2864" i="2"/>
  <c r="N2862" i="2"/>
  <c r="M2860" i="2"/>
  <c r="P2858" i="2"/>
  <c r="O2856" i="2"/>
  <c r="P2854" i="2"/>
  <c r="N2852" i="2"/>
  <c r="O2850" i="2"/>
  <c r="L2848" i="2"/>
  <c r="M2846" i="2"/>
  <c r="K2844" i="2"/>
  <c r="N2842" i="2"/>
  <c r="M2840" i="2"/>
  <c r="N2838" i="2"/>
  <c r="L2836" i="2"/>
  <c r="O2834" i="2"/>
  <c r="N2832" i="2"/>
  <c r="O2830" i="2"/>
  <c r="M2828" i="2"/>
  <c r="O2826" i="2"/>
  <c r="N2824" i="2"/>
  <c r="O2822" i="2"/>
  <c r="I2820" i="2"/>
  <c r="J2818" i="2"/>
  <c r="E2816" i="2"/>
  <c r="H2814" i="2"/>
  <c r="G2812" i="2"/>
  <c r="H2810" i="2"/>
  <c r="F2808" i="2"/>
  <c r="R2806" i="2"/>
  <c r="Q2804" i="2"/>
  <c r="R2802" i="2"/>
  <c r="P2800" i="2"/>
  <c r="S2798" i="2"/>
  <c r="R2796" i="2"/>
  <c r="S2794" i="2"/>
  <c r="Q2792" i="2"/>
  <c r="S2790" i="2"/>
  <c r="R2788" i="2"/>
  <c r="S2786" i="2"/>
  <c r="O2784" i="2"/>
  <c r="Q2782" i="2"/>
  <c r="P2780" i="2"/>
  <c r="Q2778" i="2"/>
  <c r="N2776" i="2"/>
  <c r="R2774" i="2"/>
  <c r="Q2772" i="2"/>
  <c r="R2770" i="2"/>
  <c r="P2768" i="2"/>
  <c r="R2766" i="2"/>
  <c r="Q2764" i="2"/>
  <c r="R2762" i="2"/>
  <c r="O2760" i="2"/>
  <c r="R2758" i="2"/>
  <c r="Q2756" i="2"/>
  <c r="R2754" i="2"/>
  <c r="P2752" i="2"/>
  <c r="S2750" i="2"/>
  <c r="R2748" i="2"/>
  <c r="T2746" i="2"/>
  <c r="S2744" i="2"/>
  <c r="U2742" i="2"/>
  <c r="T2740" i="2"/>
  <c r="V2738" i="2"/>
  <c r="U2736" i="2"/>
  <c r="W2734" i="2"/>
  <c r="V2732" i="2"/>
  <c r="W2730" i="2"/>
  <c r="Q2728" i="2"/>
  <c r="R2726" i="2"/>
  <c r="M2724" i="2"/>
  <c r="O2722" i="2"/>
  <c r="N2720" i="2"/>
  <c r="O2718" i="2"/>
  <c r="L2716" i="2"/>
  <c r="O2714" i="2"/>
  <c r="N2712" i="2"/>
  <c r="U2710" i="2"/>
  <c r="T2708" i="2"/>
  <c r="Y2706" i="2"/>
  <c r="X2704" i="2"/>
  <c r="Y2702" i="2"/>
  <c r="W2700" i="2"/>
  <c r="X2698" i="2"/>
  <c r="V2696" i="2"/>
  <c r="Y2694" i="2"/>
  <c r="X2692" i="2"/>
  <c r="Y2690" i="2"/>
  <c r="W2688" i="2"/>
  <c r="Y2686" i="2"/>
  <c r="X2684" i="2"/>
  <c r="Y2682" i="2"/>
  <c r="U2680" i="2"/>
  <c r="W2678" i="2"/>
  <c r="V2676" i="2"/>
  <c r="W2674" i="2"/>
  <c r="S2672" i="2"/>
  <c r="V2670" i="2"/>
  <c r="U2668" i="2"/>
  <c r="V2666" i="2"/>
  <c r="T2664" i="2"/>
  <c r="V2662" i="2"/>
  <c r="U2660" i="2"/>
  <c r="W2658" i="2"/>
  <c r="V2656" i="2"/>
  <c r="W2654" i="2"/>
  <c r="R2652" i="2"/>
  <c r="V2650" i="2"/>
  <c r="U2648" i="2"/>
  <c r="V2646" i="2"/>
  <c r="T2644" i="2"/>
  <c r="W2642" i="2"/>
  <c r="V2640" i="2"/>
  <c r="W2638" i="2"/>
  <c r="U2636" i="2"/>
  <c r="AA2634" i="2"/>
  <c r="Z2632" i="2"/>
  <c r="AA2630" i="2"/>
  <c r="Y2628" i="2"/>
  <c r="AA2626" i="2"/>
  <c r="Z2624" i="2"/>
  <c r="AA2622" i="2"/>
  <c r="X2620" i="2"/>
  <c r="AA2618" i="2"/>
  <c r="Z2616" i="2"/>
  <c r="AC2614" i="2"/>
  <c r="AB2612" i="2"/>
  <c r="AD2610" i="2"/>
  <c r="AC2608" i="2"/>
  <c r="AE2606" i="2"/>
  <c r="AD2604" i="2"/>
  <c r="AE2602" i="2"/>
  <c r="AA2600" i="2"/>
  <c r="AB2598" i="2"/>
  <c r="Y2596" i="2"/>
  <c r="AA2594" i="2"/>
  <c r="Z2592" i="2"/>
  <c r="AB2590" i="2"/>
  <c r="AA2588" i="2"/>
  <c r="AB2586" i="2"/>
  <c r="W2584" i="2"/>
  <c r="X2582" i="2"/>
  <c r="V2580" i="2"/>
  <c r="W2578" i="2"/>
  <c r="S2576" i="2"/>
  <c r="Z2574" i="2"/>
  <c r="Y2572" i="2"/>
  <c r="Z2570" i="2"/>
  <c r="X2568" i="2"/>
  <c r="Z2566" i="2"/>
  <c r="Y2564" i="2"/>
  <c r="Z2562" i="2"/>
  <c r="W2560" i="2"/>
  <c r="Z2558" i="2"/>
  <c r="Y2556" i="2"/>
  <c r="AB2554" i="2"/>
  <c r="AA2552" i="2"/>
  <c r="AC2550" i="2"/>
  <c r="AB2548" i="2"/>
  <c r="AD2546" i="2"/>
  <c r="AC2544" i="2"/>
  <c r="AD2542" i="2"/>
  <c r="Z2540" i="2"/>
  <c r="AA2538" i="2"/>
  <c r="X2536" i="2"/>
  <c r="Z2534" i="2"/>
  <c r="Y2532" i="2"/>
  <c r="AA2530" i="2"/>
  <c r="Z2528" i="2"/>
  <c r="AA2526" i="2"/>
  <c r="V2524" i="2"/>
  <c r="W2522" i="2"/>
  <c r="U2520" i="2"/>
  <c r="V2518" i="2"/>
  <c r="T2516" i="2"/>
  <c r="V2514" i="2"/>
  <c r="U2512" i="2"/>
  <c r="V2510" i="2"/>
  <c r="Q2508" i="2"/>
  <c r="U2506" i="2"/>
  <c r="T2504" i="2"/>
  <c r="W2502" i="2"/>
  <c r="V2500" i="2"/>
  <c r="W2498" i="2"/>
  <c r="U2496" i="2"/>
  <c r="V2494" i="2"/>
  <c r="S2492" i="2"/>
  <c r="V2490" i="2"/>
  <c r="U2488" i="2"/>
  <c r="W2486" i="2"/>
  <c r="V2484" i="2"/>
  <c r="W2482" i="2"/>
  <c r="T2480" i="2"/>
  <c r="W2478" i="2"/>
  <c r="V2476" i="2"/>
  <c r="W2474" i="2"/>
  <c r="U2472" i="2"/>
  <c r="W2470" i="2"/>
  <c r="V2468" i="2"/>
  <c r="Y2466" i="2"/>
  <c r="X2464" i="2"/>
  <c r="Y2462" i="2"/>
  <c r="W2460" i="2"/>
  <c r="X2458" i="2"/>
  <c r="R2456" i="2"/>
  <c r="Y2454" i="2"/>
  <c r="X2452" i="2"/>
  <c r="AC2450" i="2"/>
  <c r="AB2448" i="2"/>
  <c r="AC2446" i="2"/>
  <c r="AA2444" i="2"/>
  <c r="AB2442" i="2"/>
  <c r="Z2440" i="2"/>
  <c r="AC2438" i="2"/>
  <c r="AB2436" i="2"/>
  <c r="AC2434" i="2"/>
  <c r="AA2432" i="2"/>
  <c r="AC2430" i="2"/>
  <c r="AB2428" i="2"/>
  <c r="AC2426" i="2"/>
  <c r="Y2424" i="2"/>
  <c r="AA2422" i="2"/>
  <c r="Z2420" i="2"/>
  <c r="AA2418" i="2"/>
  <c r="W2416" i="2"/>
  <c r="Z2414" i="2"/>
  <c r="Y2412" i="2"/>
  <c r="Z2410" i="2"/>
  <c r="X2408" i="2"/>
  <c r="Z2406" i="2"/>
  <c r="Y2404" i="2"/>
  <c r="AA2402" i="2"/>
  <c r="Z2400" i="2"/>
  <c r="AA2398" i="2"/>
  <c r="V2396" i="2"/>
  <c r="AA2394" i="2"/>
  <c r="Z2392" i="2"/>
  <c r="AA2390" i="2"/>
  <c r="Y2388" i="2"/>
  <c r="AA2386" i="2"/>
  <c r="Z2384" i="2"/>
  <c r="AA2382" i="2"/>
  <c r="X2380" i="2"/>
  <c r="AA2378" i="2"/>
  <c r="Z2376" i="2"/>
  <c r="AA2374" i="2"/>
  <c r="Y2372" i="2"/>
  <c r="AA2370" i="2"/>
  <c r="Z2368" i="2"/>
  <c r="AA2366" i="2"/>
  <c r="W2364" i="2"/>
  <c r="Y2362" i="2"/>
  <c r="X2360" i="2"/>
  <c r="Y2358" i="2"/>
  <c r="U2356" i="2"/>
  <c r="W2354" i="2"/>
  <c r="V2352" i="2"/>
  <c r="W2350" i="2"/>
  <c r="T2348" i="2"/>
  <c r="W2346" i="2"/>
  <c r="V2344" i="2"/>
  <c r="W2342" i="2"/>
  <c r="U2340" i="2"/>
  <c r="X2338" i="2"/>
  <c r="W2336" i="2"/>
  <c r="Z2334" i="2"/>
  <c r="Y2332" i="2"/>
  <c r="Z2330" i="2"/>
  <c r="X2328" i="2"/>
  <c r="AA2326" i="2"/>
  <c r="Z2324" i="2"/>
  <c r="AA2322" i="2"/>
  <c r="Y2320" i="2"/>
  <c r="AA2318" i="2"/>
  <c r="Z2316" i="2"/>
  <c r="AA2314" i="2"/>
  <c r="V2312" i="2"/>
  <c r="Y2310" i="2"/>
  <c r="X2308" i="2"/>
  <c r="Y2306" i="2"/>
  <c r="W2304" i="2"/>
  <c r="AA2302" i="2"/>
  <c r="Z2300" i="2"/>
  <c r="AA2298" i="2"/>
  <c r="Y2296" i="2"/>
  <c r="AA2294" i="2"/>
  <c r="Z2292" i="2"/>
  <c r="AA2290" i="2"/>
  <c r="X2288" i="2"/>
  <c r="Y2286" i="2"/>
  <c r="S2284" i="2"/>
  <c r="Z2282" i="2"/>
  <c r="Y2280" i="2"/>
  <c r="Z2278" i="2"/>
  <c r="X2276" i="2"/>
  <c r="Z2274" i="2"/>
  <c r="Y2272" i="2"/>
  <c r="AB2270" i="2"/>
  <c r="AA2268" i="2"/>
  <c r="AB2266" i="2"/>
  <c r="Z2264" i="2"/>
  <c r="AB2262" i="2"/>
  <c r="AA2260" i="2"/>
  <c r="AB2258" i="2"/>
  <c r="W2256" i="2"/>
  <c r="AB2254" i="2"/>
  <c r="AA2252" i="2"/>
  <c r="AB2250" i="2"/>
  <c r="Z2248" i="2"/>
  <c r="AA2246" i="2"/>
  <c r="Y2244" i="2"/>
  <c r="AB2242" i="2"/>
  <c r="AA2240" i="2"/>
  <c r="AB2238" i="2"/>
  <c r="Z2236" i="2"/>
  <c r="AB2234" i="2"/>
  <c r="AA2232" i="2"/>
  <c r="AB2230" i="2"/>
  <c r="X2228" i="2"/>
  <c r="Z2226" i="2"/>
  <c r="Y2224" i="2"/>
  <c r="AA2222" i="2"/>
  <c r="Z2220" i="2"/>
  <c r="AB2218" i="2"/>
  <c r="AA2216" i="2"/>
  <c r="AB2214" i="2"/>
  <c r="V2212" i="2"/>
  <c r="Y2210" i="2"/>
  <c r="X2208" i="2"/>
  <c r="Y2206" i="2"/>
  <c r="W2204" i="2"/>
  <c r="Z2202" i="2"/>
  <c r="Y2200" i="2"/>
  <c r="Z2198" i="2"/>
  <c r="X2196" i="2"/>
  <c r="Z2194" i="2"/>
  <c r="Y2192" i="2"/>
  <c r="AA2190" i="2"/>
  <c r="Z2188" i="2"/>
  <c r="AA2186" i="2"/>
  <c r="U2184" i="2"/>
  <c r="Z2182" i="2"/>
  <c r="Y2180" i="2"/>
  <c r="Z2178" i="2"/>
  <c r="X2176" i="2"/>
  <c r="Z2174" i="2"/>
  <c r="Y2172" i="2"/>
  <c r="Z2170" i="2"/>
  <c r="W2168" i="2"/>
  <c r="Z2166" i="2"/>
  <c r="Y2164" i="2"/>
  <c r="Z2162" i="2"/>
  <c r="X2160" i="2"/>
  <c r="AA2158" i="2"/>
  <c r="Z2156" i="2"/>
  <c r="AA2154" i="2"/>
  <c r="Y2152" i="2"/>
  <c r="AA2150" i="2"/>
  <c r="Z2148" i="2"/>
  <c r="AA2146" i="2"/>
  <c r="V2144" i="2"/>
  <c r="Z2142" i="2"/>
  <c r="Y2140" i="2"/>
  <c r="Z2138" i="2"/>
  <c r="X2136" i="2"/>
  <c r="Z2134" i="2"/>
  <c r="Y2132" i="2"/>
  <c r="AA2130" i="2"/>
  <c r="Z2128" i="2"/>
  <c r="AA2126" i="2"/>
  <c r="W2124" i="2"/>
  <c r="AA2122" i="2"/>
  <c r="Z2120" i="2"/>
  <c r="AA2118" i="2"/>
  <c r="Y2116" i="2"/>
  <c r="AA2114" i="2"/>
  <c r="Z2112" i="2"/>
  <c r="AA2110" i="2"/>
  <c r="X2108" i="2"/>
  <c r="AA2106" i="2"/>
  <c r="Z2104" i="2"/>
  <c r="AA2102" i="2"/>
  <c r="Y2100" i="2"/>
  <c r="AA2098" i="2"/>
  <c r="Z2096" i="2"/>
  <c r="AA2094" i="2"/>
  <c r="T2092" i="2"/>
  <c r="W2090" i="2"/>
  <c r="V2088" i="2"/>
  <c r="Z2086" i="2"/>
  <c r="Y2084" i="2"/>
  <c r="Z2082" i="2"/>
  <c r="X2080" i="2"/>
  <c r="AA2078" i="2"/>
  <c r="Z2076" i="2"/>
  <c r="AA2074" i="2"/>
  <c r="Y2072" i="2"/>
  <c r="AA2070" i="2"/>
  <c r="Z2068" i="2"/>
  <c r="AB2066" i="2"/>
  <c r="AA2064" i="2"/>
  <c r="AB2062" i="2"/>
  <c r="W2060" i="2"/>
  <c r="X2058" i="2"/>
  <c r="U2056" i="2"/>
  <c r="X2054" i="2"/>
  <c r="W2052" i="2"/>
  <c r="AB2050" i="2"/>
  <c r="AA2048" i="2"/>
  <c r="AB2046" i="2"/>
  <c r="Z2044" i="2"/>
  <c r="AA2042" i="2"/>
  <c r="Y2040" i="2"/>
  <c r="AB2038" i="2"/>
  <c r="AA2036" i="2"/>
  <c r="AB2034" i="2"/>
  <c r="Z2032" i="2"/>
  <c r="AB2030" i="2"/>
  <c r="AA2028" i="2"/>
  <c r="AB2026" i="2"/>
  <c r="X2024" i="2"/>
  <c r="Z2022" i="2"/>
  <c r="Y2020" i="2"/>
  <c r="Z2018" i="2"/>
  <c r="V2016" i="2"/>
  <c r="Y2014" i="2"/>
  <c r="X2012" i="2"/>
  <c r="Y2010" i="2"/>
  <c r="W2008" i="2"/>
  <c r="Y2006" i="2"/>
  <c r="X2004" i="2"/>
  <c r="Z2002" i="2"/>
  <c r="Y2000" i="2"/>
  <c r="Z1998" i="2"/>
  <c r="P1996" i="2"/>
  <c r="Q1994" i="2"/>
  <c r="O1992" i="2"/>
  <c r="R1990" i="2"/>
  <c r="Q1988" i="2"/>
  <c r="S1986" i="2"/>
  <c r="R1984" i="2"/>
  <c r="S1982" i="2"/>
  <c r="P1980" i="2"/>
  <c r="S1978" i="2"/>
  <c r="R1976" i="2"/>
  <c r="S1974" i="2"/>
  <c r="Q1972" i="2"/>
  <c r="U1970" i="2"/>
  <c r="T1968" i="2"/>
  <c r="V1966" i="2"/>
  <c r="U1964" i="2"/>
  <c r="V1962" i="2"/>
  <c r="S1960" i="2"/>
  <c r="T1958" i="2"/>
  <c r="R1956" i="2"/>
  <c r="T1954" i="2"/>
  <c r="S1952" i="2"/>
  <c r="T1950" i="2"/>
  <c r="M1948" i="2"/>
  <c r="O1946" i="2"/>
  <c r="N1944" i="2"/>
  <c r="Q1942" i="2"/>
  <c r="P1940" i="2"/>
  <c r="Q1938" i="2"/>
  <c r="O1936" i="2"/>
  <c r="Q1934" i="2"/>
  <c r="P1932" i="2"/>
  <c r="Q1930" i="2"/>
  <c r="K1928" i="2"/>
  <c r="P1926" i="2"/>
  <c r="O1924" i="2"/>
  <c r="P1922" i="2"/>
  <c r="N1920" i="2"/>
  <c r="P1918" i="2"/>
  <c r="O1916" i="2"/>
  <c r="R1914" i="2"/>
  <c r="Q1912" i="2"/>
  <c r="R1910" i="2"/>
  <c r="P1908" i="2"/>
  <c r="T1906" i="2"/>
  <c r="S1904" i="2"/>
  <c r="T1902" i="2"/>
  <c r="R1900" i="2"/>
  <c r="S1898" i="2"/>
  <c r="Q1896" i="2"/>
  <c r="T1894" i="2"/>
  <c r="S1892" i="2"/>
  <c r="W1890" i="2"/>
  <c r="V1888" i="2"/>
  <c r="W1886" i="2"/>
  <c r="U1884" i="2"/>
  <c r="X1882" i="2"/>
  <c r="W1880" i="2"/>
  <c r="X1878" i="2"/>
  <c r="V1876" i="2"/>
  <c r="X1874" i="2"/>
  <c r="W1872" i="2"/>
  <c r="X1870" i="2"/>
  <c r="T1868" i="2"/>
  <c r="V1866" i="2"/>
  <c r="U1864" i="2"/>
  <c r="V1862" i="2"/>
  <c r="R1860" i="2"/>
  <c r="T1858" i="2"/>
  <c r="S1856" i="2"/>
  <c r="T1854" i="2"/>
  <c r="M1852" i="2"/>
  <c r="O1850" i="2"/>
  <c r="N1848" i="2"/>
  <c r="O1846" i="2"/>
  <c r="L1844" i="2"/>
  <c r="O1842" i="2"/>
  <c r="N1840" i="2"/>
  <c r="P1838" i="2"/>
  <c r="O1836" i="2"/>
  <c r="P1834" i="2"/>
  <c r="M1832" i="2"/>
  <c r="P1830" i="2"/>
  <c r="O1828" i="2"/>
  <c r="Q1826" i="2"/>
  <c r="P1824" i="2"/>
  <c r="Q1822" i="2"/>
  <c r="N1820" i="2"/>
  <c r="P1818" i="2"/>
  <c r="O1816" i="2"/>
  <c r="Q1814" i="2"/>
  <c r="P1812" i="2"/>
  <c r="R1810" i="2"/>
  <c r="Q1808" i="2"/>
  <c r="U1806" i="2"/>
  <c r="T1804" i="2"/>
  <c r="W1802" i="2"/>
  <c r="V1800" i="2"/>
  <c r="W1798" i="2"/>
  <c r="U1796" i="2"/>
  <c r="W1794" i="2"/>
  <c r="V1792" i="2"/>
  <c r="W1790" i="2"/>
  <c r="S1788" i="2"/>
  <c r="V1786" i="2"/>
  <c r="U1784" i="2"/>
  <c r="W1782" i="2"/>
  <c r="V1780" i="2"/>
  <c r="W1778" i="2"/>
  <c r="T1776" i="2"/>
  <c r="W1774" i="2"/>
  <c r="V1772" i="2"/>
  <c r="X1770" i="2"/>
  <c r="W1768" i="2"/>
  <c r="X1766" i="2"/>
  <c r="U1764" i="2"/>
  <c r="W1762" i="2"/>
  <c r="V1760" i="2"/>
  <c r="W1758" i="2"/>
  <c r="R1756" i="2"/>
  <c r="W1754" i="2"/>
  <c r="V1752" i="2"/>
  <c r="X1750" i="2"/>
  <c r="W1748" i="2"/>
  <c r="X1746" i="2"/>
  <c r="U1744" i="2"/>
  <c r="W1742" i="2"/>
  <c r="V1740" i="2"/>
  <c r="W1738" i="2"/>
  <c r="T1736" i="2"/>
  <c r="W1734" i="2"/>
  <c r="V1732" i="2"/>
  <c r="W1730" i="2"/>
  <c r="U1728" i="2"/>
  <c r="W1726" i="2"/>
  <c r="V1724" i="2"/>
  <c r="X1722" i="2"/>
  <c r="W1720" i="2"/>
  <c r="X1718" i="2"/>
  <c r="S1716" i="2"/>
  <c r="W1714" i="2"/>
  <c r="V1712" i="2"/>
  <c r="W1710" i="2"/>
  <c r="U1708" i="2"/>
  <c r="W1706" i="2"/>
  <c r="V1704" i="2"/>
  <c r="W1702" i="2"/>
  <c r="T1700" i="2"/>
  <c r="V1698" i="2"/>
  <c r="U1696" i="2"/>
  <c r="V1694" i="2"/>
  <c r="J1692" i="2"/>
  <c r="M1690" i="2"/>
  <c r="L1688" i="2"/>
  <c r="N1686" i="2"/>
  <c r="M1684" i="2"/>
  <c r="O1682" i="2"/>
  <c r="N1680" i="2"/>
  <c r="P1678" i="2"/>
  <c r="O1676" i="2"/>
  <c r="P1674" i="2"/>
  <c r="K1672" i="2"/>
  <c r="O1670" i="2"/>
  <c r="N1668" i="2"/>
  <c r="O1666" i="2"/>
  <c r="M1664" i="2"/>
  <c r="R1662" i="2"/>
  <c r="Q1660" i="2"/>
  <c r="R1658" i="2"/>
  <c r="P1656" i="2"/>
  <c r="R1654" i="2"/>
  <c r="Q1652" i="2"/>
  <c r="R1650" i="2"/>
  <c r="O1648" i="2"/>
  <c r="Q1646" i="2"/>
  <c r="P1644" i="2"/>
  <c r="V1642" i="2"/>
  <c r="U1640" i="2"/>
  <c r="V1638" i="2"/>
  <c r="T1636" i="2"/>
  <c r="V1634" i="2"/>
  <c r="U1632" i="2"/>
  <c r="V1630" i="2"/>
  <c r="S1628" i="2"/>
  <c r="U1626" i="2"/>
  <c r="T1624" i="2"/>
  <c r="V1622" i="2"/>
  <c r="U1620" i="2"/>
  <c r="V1618" i="2"/>
  <c r="R1616" i="2"/>
  <c r="U1614" i="2"/>
  <c r="T1612" i="2"/>
  <c r="U1610" i="2"/>
  <c r="S1608" i="2"/>
  <c r="U1606" i="2"/>
  <c r="T1604" i="2"/>
  <c r="U1602" i="2"/>
  <c r="Q1600" i="2"/>
  <c r="R1598" i="2"/>
  <c r="N1596" i="2"/>
  <c r="O1594" i="2"/>
  <c r="L1592" i="2"/>
  <c r="N1590" i="2"/>
  <c r="M1588" i="2"/>
  <c r="N1586" i="2"/>
  <c r="I1584" i="2"/>
  <c r="K1582" i="2"/>
  <c r="J1580" i="2"/>
  <c r="L1578" i="2"/>
  <c r="K1576" i="2"/>
  <c r="M1574" i="2"/>
  <c r="L1572" i="2"/>
  <c r="M1570" i="2"/>
  <c r="H1568" i="2"/>
  <c r="N1566" i="2"/>
  <c r="M1564" i="2"/>
  <c r="O1562" i="2"/>
  <c r="N1560" i="2"/>
  <c r="O1558" i="2"/>
  <c r="L1556" i="2"/>
  <c r="N1554" i="2"/>
  <c r="M1552" i="2"/>
  <c r="N1550" i="2"/>
  <c r="K1548" i="2"/>
  <c r="M1546" i="2"/>
  <c r="L1544" i="2"/>
  <c r="P1542" i="2"/>
  <c r="O1540" i="2"/>
  <c r="P1538" i="2"/>
  <c r="N1536" i="2"/>
  <c r="P1534" i="2"/>
  <c r="O1532" i="2"/>
  <c r="Q1530" i="2"/>
  <c r="P1528" i="2"/>
  <c r="Q1526" i="2"/>
  <c r="M1524" i="2"/>
  <c r="R1522" i="2"/>
  <c r="Q1520" i="2"/>
  <c r="R1518" i="2"/>
  <c r="P1516" i="2"/>
  <c r="S1514" i="2"/>
  <c r="R1512" i="2"/>
  <c r="S1510" i="2"/>
  <c r="Q1508" i="2"/>
  <c r="S1506" i="2"/>
  <c r="R1504" i="2"/>
  <c r="S1502" i="2"/>
  <c r="O1500" i="2"/>
  <c r="Q1498" i="2"/>
  <c r="P1496" i="2"/>
  <c r="Q1494" i="2"/>
  <c r="N1492" i="2"/>
  <c r="P1490" i="2"/>
  <c r="O1488" i="2"/>
  <c r="R1486" i="2"/>
  <c r="Q1484" i="2"/>
  <c r="R1482" i="2"/>
  <c r="P1480" i="2"/>
  <c r="R1478" i="2"/>
  <c r="Q1476" i="2"/>
  <c r="S1474" i="2"/>
  <c r="R1472" i="2"/>
  <c r="T1470" i="2"/>
  <c r="S1468" i="2"/>
  <c r="U1466" i="2"/>
  <c r="T1464" i="2"/>
  <c r="U1462" i="2"/>
  <c r="J1460" i="2"/>
  <c r="L1458" i="2"/>
  <c r="K1456" i="2"/>
  <c r="M1454" i="2"/>
  <c r="L1452" i="2"/>
  <c r="M1450" i="2"/>
  <c r="I1448" i="2"/>
  <c r="K1446" i="2"/>
  <c r="J1444" i="2"/>
  <c r="L1442" i="2"/>
  <c r="K1440" i="2"/>
  <c r="M1438" i="2"/>
  <c r="L1436" i="2"/>
  <c r="N1434" i="2"/>
  <c r="M1432" i="2"/>
  <c r="O1430" i="2"/>
  <c r="N1428" i="2"/>
  <c r="O1426" i="2"/>
  <c r="G1424" i="2"/>
  <c r="Q1422" i="2"/>
  <c r="P1420" i="2"/>
  <c r="Q1418" i="2"/>
  <c r="O1416" i="2"/>
  <c r="R1414" i="2"/>
  <c r="Q1412" i="2"/>
  <c r="R1410" i="2"/>
  <c r="P1408" i="2"/>
  <c r="R1406" i="2"/>
  <c r="Q1404" i="2"/>
  <c r="R1402" i="2"/>
  <c r="N1400" i="2"/>
  <c r="P1398" i="2"/>
  <c r="O1396" i="2"/>
  <c r="P1394" i="2"/>
  <c r="M1392" i="2"/>
  <c r="Q1390" i="2"/>
  <c r="P1388" i="2"/>
  <c r="Q1386" i="2"/>
  <c r="O1384" i="2"/>
  <c r="Q1382" i="2"/>
  <c r="P1380" i="2"/>
  <c r="Q1378" i="2"/>
  <c r="N1376" i="2"/>
  <c r="Q1374" i="2"/>
  <c r="P1372" i="2"/>
  <c r="Q1370" i="2"/>
  <c r="O1368" i="2"/>
  <c r="R1366" i="2"/>
  <c r="Q1364" i="2"/>
  <c r="S1362" i="2"/>
  <c r="R1360" i="2"/>
  <c r="T1358" i="2"/>
  <c r="S1356" i="2"/>
  <c r="U1354" i="2"/>
  <c r="T1352" i="2"/>
  <c r="V1350" i="2"/>
  <c r="U1348" i="2"/>
  <c r="V1346" i="2"/>
  <c r="P1344" i="2"/>
  <c r="Q1342" i="2"/>
  <c r="L1340" i="2"/>
  <c r="N1338" i="2"/>
  <c r="M1336" i="2"/>
  <c r="N1334" i="2"/>
  <c r="K1332" i="2"/>
  <c r="N1330" i="2"/>
  <c r="M1328" i="2"/>
  <c r="T1326" i="2"/>
  <c r="S1324" i="2"/>
  <c r="X1322" i="2"/>
  <c r="W1320" i="2"/>
  <c r="X1318" i="2"/>
  <c r="V1316" i="2"/>
  <c r="W1314" i="2"/>
  <c r="U1312" i="2"/>
  <c r="X1310" i="2"/>
  <c r="W1308" i="2"/>
  <c r="X1306" i="2"/>
  <c r="V1304" i="2"/>
  <c r="X1302" i="2"/>
  <c r="W1300" i="2"/>
  <c r="X1298" i="2"/>
  <c r="T1296" i="2"/>
  <c r="V1294" i="2"/>
  <c r="U1292" i="2"/>
  <c r="V1290" i="2"/>
  <c r="R1288" i="2"/>
  <c r="U1286" i="2"/>
  <c r="T1284" i="2"/>
  <c r="U1282" i="2"/>
  <c r="S1280" i="2"/>
  <c r="U1278" i="2"/>
  <c r="T1276" i="2"/>
  <c r="V1274" i="2"/>
  <c r="U1272" i="2"/>
  <c r="V1270" i="2"/>
  <c r="Q1268" i="2"/>
  <c r="U1266" i="2"/>
  <c r="T1264" i="2"/>
  <c r="U1262" i="2"/>
  <c r="S1260" i="2"/>
  <c r="V1258" i="2"/>
  <c r="U1256" i="2"/>
  <c r="V1254" i="2"/>
  <c r="T1252" i="2"/>
  <c r="Z1250" i="2"/>
  <c r="Y1248" i="2"/>
  <c r="Z1246" i="2"/>
  <c r="X1244" i="2"/>
  <c r="Z1242" i="2"/>
  <c r="Y1240" i="2"/>
  <c r="Z1238" i="2"/>
  <c r="W1236" i="2"/>
  <c r="Z1234" i="2"/>
  <c r="Y1232" i="2"/>
  <c r="AB1230" i="2"/>
  <c r="AA1228" i="2"/>
  <c r="AC1226" i="2"/>
  <c r="AB1224" i="2"/>
  <c r="AD1222" i="2"/>
  <c r="AC1220" i="2"/>
  <c r="AD1218" i="2"/>
  <c r="Z1216" i="2"/>
  <c r="AA1214" i="2"/>
  <c r="X1212" i="2"/>
  <c r="Z1210" i="2"/>
  <c r="Y1208" i="2"/>
  <c r="AA1206" i="2"/>
  <c r="Z1204" i="2"/>
  <c r="AA1202" i="2"/>
  <c r="V1200" i="2"/>
  <c r="W1198" i="2"/>
  <c r="U1196" i="2"/>
  <c r="V1194" i="2"/>
  <c r="R1192" i="2"/>
  <c r="Y1190" i="2"/>
  <c r="X1188" i="2"/>
  <c r="Y1186" i="2"/>
  <c r="W1184" i="2"/>
  <c r="Y1182" i="2"/>
  <c r="X1180" i="2"/>
  <c r="Y1178" i="2"/>
  <c r="V1176" i="2"/>
  <c r="Y1174" i="2"/>
  <c r="X1172" i="2"/>
  <c r="AA1170" i="2"/>
  <c r="Z1168" i="2"/>
  <c r="AB1166" i="2"/>
  <c r="AA1164" i="2"/>
  <c r="AC1162" i="2"/>
  <c r="AB1160" i="2"/>
  <c r="AC1158" i="2"/>
  <c r="Y1156" i="2"/>
  <c r="Z1154" i="2"/>
  <c r="W1152" i="2"/>
  <c r="Y1150" i="2"/>
  <c r="X1148" i="2"/>
  <c r="Z1146" i="2"/>
  <c r="Y1144" i="2"/>
  <c r="Z1142" i="2"/>
  <c r="U1140" i="2"/>
  <c r="V1138" i="2"/>
  <c r="T1136" i="2"/>
  <c r="U1134" i="2"/>
  <c r="S1132" i="2"/>
  <c r="U1130" i="2"/>
  <c r="T1128" i="2"/>
  <c r="U1126" i="2"/>
  <c r="P1124" i="2"/>
  <c r="T1122" i="2"/>
  <c r="S1120" i="2"/>
  <c r="V1118" i="2"/>
  <c r="U1116" i="2"/>
  <c r="V1114" i="2"/>
  <c r="T1112" i="2"/>
  <c r="U1110" i="2"/>
  <c r="R1108" i="2"/>
  <c r="U1106" i="2"/>
  <c r="T1104" i="2"/>
  <c r="V1102" i="2"/>
  <c r="U1100" i="2"/>
  <c r="V1098" i="2"/>
  <c r="S1096" i="2"/>
  <c r="V1094" i="2"/>
  <c r="U1092" i="2"/>
  <c r="V1090" i="2"/>
  <c r="T1088" i="2"/>
  <c r="V1086" i="2"/>
  <c r="U1084" i="2"/>
  <c r="X1082" i="2"/>
  <c r="W1080" i="2"/>
  <c r="X1078" i="2"/>
  <c r="V1076" i="2"/>
  <c r="W1074" i="2"/>
  <c r="Q1072" i="2"/>
  <c r="X1070" i="2"/>
  <c r="W1068" i="2"/>
  <c r="AB1066" i="2"/>
  <c r="AA1064" i="2"/>
  <c r="AB1062" i="2"/>
  <c r="Z1060" i="2"/>
  <c r="AA1058" i="2"/>
  <c r="Y1056" i="2"/>
  <c r="AB1054" i="2"/>
  <c r="AA1052" i="2"/>
  <c r="AB1050" i="2"/>
  <c r="Z1048" i="2"/>
  <c r="AB1046" i="2"/>
  <c r="AA1044" i="2"/>
  <c r="AB1042" i="2"/>
  <c r="X1040" i="2"/>
  <c r="Z1038" i="2"/>
  <c r="Y1036" i="2"/>
  <c r="Z1034" i="2"/>
  <c r="V1032" i="2"/>
  <c r="Y1030" i="2"/>
  <c r="X1028" i="2"/>
  <c r="Y1026" i="2"/>
  <c r="W1024" i="2"/>
  <c r="Y1022" i="2"/>
  <c r="X1020" i="2"/>
  <c r="Z1018" i="2"/>
  <c r="Y1016" i="2"/>
  <c r="Z1014" i="2"/>
  <c r="U1012" i="2"/>
  <c r="Z1010" i="2"/>
  <c r="Y1008" i="2"/>
  <c r="Z1006" i="2"/>
  <c r="X1004" i="2"/>
  <c r="Z1002" i="2"/>
  <c r="Y1000" i="2"/>
  <c r="Z998" i="2"/>
  <c r="W996" i="2"/>
  <c r="Z994" i="2"/>
  <c r="Y992" i="2"/>
  <c r="Z990" i="2"/>
  <c r="X988" i="2"/>
  <c r="Z986" i="2"/>
  <c r="Y984" i="2"/>
  <c r="Z982" i="2"/>
  <c r="V980" i="2"/>
  <c r="X978" i="2"/>
  <c r="W976" i="2"/>
  <c r="X974" i="2"/>
  <c r="T972" i="2"/>
  <c r="V970" i="2"/>
  <c r="U968" i="2"/>
  <c r="V966" i="2"/>
  <c r="S964" i="2"/>
  <c r="V962" i="2"/>
  <c r="U960" i="2"/>
  <c r="V958" i="2"/>
  <c r="T956" i="2"/>
  <c r="W954" i="2"/>
  <c r="V952" i="2"/>
  <c r="Y950" i="2"/>
  <c r="X948" i="2"/>
  <c r="Y946" i="2"/>
  <c r="W944" i="2"/>
  <c r="Z942" i="2"/>
  <c r="Y940" i="2"/>
  <c r="Z938" i="2"/>
  <c r="X936" i="2"/>
  <c r="Z934" i="2"/>
  <c r="Y932" i="2"/>
  <c r="Z930" i="2"/>
  <c r="U928" i="2"/>
  <c r="X926" i="2"/>
  <c r="W924" i="2"/>
  <c r="X922" i="2"/>
  <c r="V920" i="2"/>
  <c r="Z918" i="2"/>
  <c r="Y916" i="2"/>
  <c r="Z914" i="2"/>
  <c r="X912" i="2"/>
  <c r="Z910" i="2"/>
  <c r="Y908" i="2"/>
  <c r="Z906" i="2"/>
  <c r="W904" i="2"/>
  <c r="X902" i="2"/>
  <c r="R900" i="2"/>
  <c r="Y898" i="2"/>
  <c r="X896" i="2"/>
  <c r="Y894" i="2"/>
  <c r="W892" i="2"/>
  <c r="Y890" i="2"/>
  <c r="X888" i="2"/>
  <c r="AA886" i="2"/>
  <c r="Z884" i="2"/>
  <c r="AA882" i="2"/>
  <c r="Y880" i="2"/>
  <c r="AA878" i="2"/>
  <c r="Z876" i="2"/>
  <c r="AA874" i="2"/>
  <c r="V872" i="2"/>
  <c r="AA870" i="2"/>
  <c r="Z868" i="2"/>
  <c r="AA866" i="2"/>
  <c r="Y864" i="2"/>
  <c r="Z862" i="2"/>
  <c r="X860" i="2"/>
  <c r="AA858" i="2"/>
  <c r="Z856" i="2"/>
  <c r="AA854" i="2"/>
  <c r="Y852" i="2"/>
  <c r="AA850" i="2"/>
  <c r="Z848" i="2"/>
  <c r="AA846" i="2"/>
  <c r="W844" i="2"/>
  <c r="Y842" i="2"/>
  <c r="X840" i="2"/>
  <c r="Z838" i="2"/>
  <c r="Y836" i="2"/>
  <c r="AA834" i="2"/>
  <c r="Z832" i="2"/>
  <c r="AA830" i="2"/>
  <c r="U828" i="2"/>
  <c r="X826" i="2"/>
  <c r="W824" i="2"/>
  <c r="X822" i="2"/>
  <c r="V820" i="2"/>
  <c r="Y818" i="2"/>
  <c r="X816" i="2"/>
  <c r="Y814" i="2"/>
  <c r="W812" i="2"/>
  <c r="Y810" i="2"/>
  <c r="X808" i="2"/>
  <c r="Z806" i="2"/>
  <c r="Y804" i="2"/>
  <c r="Z802" i="2"/>
  <c r="T800" i="2"/>
  <c r="Y798" i="2"/>
  <c r="X796" i="2"/>
  <c r="Y794" i="2"/>
  <c r="W792" i="2"/>
  <c r="Y790" i="2"/>
  <c r="X788" i="2"/>
  <c r="Y786" i="2"/>
  <c r="V784" i="2"/>
  <c r="Y782" i="2"/>
  <c r="X780" i="2"/>
  <c r="Y778" i="2"/>
  <c r="W776" i="2"/>
  <c r="Z774" i="2"/>
  <c r="Y772" i="2"/>
  <c r="Z770" i="2"/>
  <c r="X768" i="2"/>
  <c r="Z766" i="2"/>
  <c r="Y764" i="2"/>
  <c r="Z762" i="2"/>
  <c r="U760" i="2"/>
  <c r="Y758" i="2"/>
  <c r="X756" i="2"/>
  <c r="Y754" i="2"/>
  <c r="W752" i="2"/>
  <c r="Y750" i="2"/>
  <c r="X748" i="2"/>
  <c r="Z746" i="2"/>
  <c r="Y744" i="2"/>
  <c r="Z742" i="2"/>
  <c r="V740" i="2"/>
  <c r="Z738" i="2"/>
  <c r="Y736" i="2"/>
  <c r="Z734" i="2"/>
  <c r="X732" i="2"/>
  <c r="Z730" i="2"/>
  <c r="Y728" i="2"/>
  <c r="Z726" i="2"/>
  <c r="W724" i="2"/>
  <c r="Z722" i="2"/>
  <c r="Y720" i="2"/>
  <c r="Z718" i="2"/>
  <c r="X716" i="2"/>
  <c r="Z714" i="2"/>
  <c r="Y712" i="2"/>
  <c r="Z710" i="2"/>
  <c r="S708" i="2"/>
  <c r="V706" i="2"/>
  <c r="U704" i="2"/>
  <c r="Y702" i="2"/>
  <c r="X700" i="2"/>
  <c r="Y698" i="2"/>
  <c r="W696" i="2"/>
  <c r="Z694" i="2"/>
  <c r="Y692" i="2"/>
  <c r="Z690" i="2"/>
  <c r="X688" i="2"/>
  <c r="Z686" i="2"/>
  <c r="Y684" i="2"/>
  <c r="AA682" i="2"/>
  <c r="Z680" i="2"/>
  <c r="AA678" i="2"/>
  <c r="V676" i="2"/>
  <c r="W674" i="2"/>
  <c r="T672" i="2"/>
  <c r="W670" i="2"/>
  <c r="V668" i="2"/>
  <c r="AA666" i="2"/>
  <c r="Z664" i="2"/>
  <c r="AA662" i="2"/>
  <c r="Y660" i="2"/>
  <c r="Z658" i="2"/>
  <c r="X656" i="2"/>
  <c r="AA654" i="2"/>
  <c r="Z652" i="2"/>
  <c r="AA650" i="2"/>
  <c r="Y648" i="2"/>
  <c r="AA646" i="2"/>
  <c r="Z644" i="2"/>
  <c r="AA642" i="2"/>
  <c r="W640" i="2"/>
  <c r="Y638" i="2"/>
  <c r="X636" i="2"/>
  <c r="Y634" i="2"/>
  <c r="U632" i="2"/>
  <c r="X630" i="2"/>
  <c r="W628" i="2"/>
  <c r="X626" i="2"/>
  <c r="V624" i="2"/>
  <c r="X622" i="2"/>
  <c r="W620" i="2"/>
  <c r="Y618" i="2"/>
  <c r="X616" i="2"/>
  <c r="Y614" i="2"/>
  <c r="O612" i="2"/>
  <c r="P610" i="2"/>
  <c r="N608" i="2"/>
  <c r="Q606" i="2"/>
  <c r="P604" i="2"/>
  <c r="R602" i="2"/>
  <c r="Q600" i="2"/>
  <c r="R598" i="2"/>
  <c r="O596" i="2"/>
  <c r="R594" i="2"/>
  <c r="Q592" i="2"/>
  <c r="R590" i="2"/>
  <c r="P588" i="2"/>
  <c r="T586" i="2"/>
  <c r="S584" i="2"/>
  <c r="U582" i="2"/>
  <c r="T580" i="2"/>
  <c r="U578" i="2"/>
  <c r="R576" i="2"/>
  <c r="S574" i="2"/>
  <c r="Q572" i="2"/>
  <c r="S570" i="2"/>
  <c r="R568" i="2"/>
  <c r="S566" i="2"/>
  <c r="L564" i="2"/>
  <c r="N562" i="2"/>
  <c r="M560" i="2"/>
  <c r="P558" i="2"/>
  <c r="O556" i="2"/>
  <c r="P554" i="2"/>
  <c r="N552" i="2"/>
  <c r="P550" i="2"/>
  <c r="O548" i="2"/>
  <c r="P546" i="2"/>
  <c r="J544" i="2"/>
  <c r="O542" i="2"/>
  <c r="N540" i="2"/>
  <c r="O538" i="2"/>
  <c r="M536" i="2"/>
  <c r="O534" i="2"/>
  <c r="N532" i="2"/>
  <c r="Q530" i="2"/>
  <c r="P528" i="2"/>
  <c r="Q526" i="2"/>
  <c r="O524" i="2"/>
  <c r="S522" i="2"/>
  <c r="R520" i="2"/>
  <c r="S518" i="2"/>
  <c r="Q516" i="2"/>
  <c r="R514" i="2"/>
  <c r="P512" i="2"/>
  <c r="S510" i="2"/>
  <c r="R508" i="2"/>
  <c r="V506" i="2"/>
  <c r="U504" i="2"/>
  <c r="V502" i="2"/>
  <c r="T500" i="2"/>
  <c r="W498" i="2"/>
  <c r="V496" i="2"/>
  <c r="W494" i="2"/>
  <c r="U492" i="2"/>
  <c r="W490" i="2"/>
  <c r="V488" i="2"/>
  <c r="W486" i="2"/>
  <c r="S484" i="2"/>
  <c r="U482" i="2"/>
  <c r="T480" i="2"/>
  <c r="U478" i="2"/>
  <c r="Q476" i="2"/>
  <c r="S474" i="2"/>
  <c r="R472" i="2"/>
  <c r="S470" i="2"/>
  <c r="L468" i="2"/>
  <c r="N466" i="2"/>
  <c r="M464" i="2"/>
  <c r="N462" i="2"/>
  <c r="K460" i="2"/>
  <c r="N458" i="2"/>
  <c r="M456" i="2"/>
  <c r="O454" i="2"/>
  <c r="N452" i="2"/>
  <c r="O450" i="2"/>
  <c r="L448" i="2"/>
  <c r="O446" i="2"/>
  <c r="N444" i="2"/>
  <c r="P442" i="2"/>
  <c r="O440" i="2"/>
  <c r="P438" i="2"/>
  <c r="M436" i="2"/>
  <c r="O434" i="2"/>
  <c r="N432" i="2"/>
  <c r="P430" i="2"/>
  <c r="O428" i="2"/>
  <c r="Q426" i="2"/>
  <c r="P424" i="2"/>
  <c r="T422" i="2"/>
  <c r="S420" i="2"/>
  <c r="V418" i="2"/>
  <c r="U416" i="2"/>
  <c r="V414" i="2"/>
  <c r="T412" i="2"/>
  <c r="V410" i="2"/>
  <c r="U408" i="2"/>
  <c r="V406" i="2"/>
  <c r="R404" i="2"/>
  <c r="U402" i="2"/>
  <c r="T400" i="2"/>
  <c r="V398" i="2"/>
  <c r="U396" i="2"/>
  <c r="V394" i="2"/>
  <c r="S392" i="2"/>
  <c r="V390" i="2"/>
  <c r="U388" i="2"/>
  <c r="W386" i="2"/>
  <c r="V384" i="2"/>
  <c r="W382" i="2"/>
  <c r="T380" i="2"/>
  <c r="V378" i="2"/>
  <c r="U376" i="2"/>
  <c r="V374" i="2"/>
  <c r="Q372" i="2"/>
  <c r="V370" i="2"/>
  <c r="U368" i="2"/>
  <c r="W366" i="2"/>
  <c r="V364" i="2"/>
  <c r="W362" i="2"/>
  <c r="T360" i="2"/>
  <c r="V358" i="2"/>
  <c r="U356" i="2"/>
  <c r="V354" i="2"/>
  <c r="S352" i="2"/>
  <c r="V350" i="2"/>
  <c r="U348" i="2"/>
  <c r="V346" i="2"/>
  <c r="T344" i="2"/>
  <c r="V342" i="2"/>
  <c r="U340" i="2"/>
  <c r="W338" i="2"/>
  <c r="V336" i="2"/>
  <c r="W334" i="2"/>
  <c r="R332" i="2"/>
  <c r="V330" i="2"/>
  <c r="U328" i="2"/>
  <c r="V326" i="2"/>
  <c r="T324" i="2"/>
  <c r="V322" i="2"/>
  <c r="U320" i="2"/>
  <c r="V318" i="2"/>
  <c r="S316" i="2"/>
  <c r="U314" i="2"/>
  <c r="T312" i="2"/>
  <c r="U310" i="2"/>
  <c r="I308" i="2"/>
  <c r="L306" i="2"/>
  <c r="K304" i="2"/>
  <c r="M302" i="2"/>
  <c r="L300" i="2"/>
  <c r="N298" i="2"/>
  <c r="M296" i="2"/>
  <c r="O294" i="2"/>
  <c r="N292" i="2"/>
  <c r="O290" i="2"/>
  <c r="J288" i="2"/>
  <c r="N286" i="2"/>
  <c r="M284" i="2"/>
  <c r="N282" i="2"/>
  <c r="L280" i="2"/>
  <c r="Q278" i="2"/>
  <c r="P276" i="2"/>
  <c r="Q274" i="2"/>
  <c r="O272" i="2"/>
  <c r="Q270" i="2"/>
  <c r="P268" i="2"/>
  <c r="Q266" i="2"/>
  <c r="N264" i="2"/>
  <c r="P262" i="2"/>
  <c r="O260" i="2"/>
  <c r="U258" i="2"/>
  <c r="T256" i="2"/>
  <c r="U254" i="2"/>
  <c r="S252" i="2"/>
  <c r="U250" i="2"/>
  <c r="T248" i="2"/>
  <c r="U246" i="2"/>
  <c r="R244" i="2"/>
  <c r="T242" i="2"/>
  <c r="S240" i="2"/>
  <c r="U238" i="2"/>
  <c r="T236" i="2"/>
  <c r="U234" i="2"/>
  <c r="Q232" i="2"/>
  <c r="T230" i="2"/>
  <c r="S228" i="2"/>
  <c r="T226" i="2"/>
  <c r="R224" i="2"/>
  <c r="T222" i="2"/>
  <c r="S220" i="2"/>
  <c r="T218" i="2"/>
  <c r="P216" i="2"/>
  <c r="Q214" i="2"/>
  <c r="M212" i="2"/>
  <c r="N210" i="2"/>
  <c r="K208" i="2"/>
  <c r="M206" i="2"/>
  <c r="L204" i="2"/>
  <c r="M202" i="2"/>
  <c r="H200" i="2"/>
  <c r="J198" i="2"/>
  <c r="I196" i="2"/>
  <c r="K194" i="2"/>
  <c r="J192" i="2"/>
  <c r="L190" i="2"/>
  <c r="K188" i="2"/>
  <c r="L186" i="2"/>
  <c r="C184" i="2"/>
  <c r="F182" i="2"/>
  <c r="E180" i="2"/>
  <c r="F178" i="2"/>
  <c r="D176" i="2"/>
  <c r="J174" i="2"/>
  <c r="I172" i="2"/>
  <c r="J170" i="2"/>
  <c r="H168" i="2"/>
  <c r="J166" i="2"/>
  <c r="I164" i="2"/>
  <c r="J162" i="2"/>
  <c r="G160" i="2"/>
  <c r="L158" i="2"/>
  <c r="K156" i="2"/>
  <c r="L154" i="2"/>
  <c r="J152" i="2"/>
  <c r="L150" i="2"/>
  <c r="K148" i="2"/>
  <c r="L146" i="2"/>
  <c r="I144" i="2"/>
  <c r="M142" i="2"/>
  <c r="L140" i="2"/>
  <c r="N138" i="2"/>
  <c r="M136" i="2"/>
  <c r="N134" i="2"/>
  <c r="K132" i="2"/>
  <c r="Q130" i="2"/>
  <c r="P128" i="2"/>
  <c r="Q126" i="2"/>
  <c r="O124" i="2"/>
  <c r="R122" i="2"/>
  <c r="Q120" i="2"/>
  <c r="R118" i="2"/>
  <c r="P116" i="2"/>
  <c r="Q114" i="2"/>
  <c r="N112" i="2"/>
  <c r="O110" i="2"/>
  <c r="M108" i="2"/>
  <c r="O106" i="2"/>
  <c r="N104" i="2"/>
  <c r="O102" i="2"/>
  <c r="L100" i="2"/>
  <c r="N98" i="2"/>
  <c r="M96" i="2"/>
  <c r="P94" i="2"/>
  <c r="O92" i="2"/>
  <c r="P90" i="2"/>
  <c r="N88" i="2"/>
  <c r="O86" i="2"/>
  <c r="J84" i="2"/>
  <c r="L82" i="2"/>
  <c r="K80" i="2"/>
  <c r="L78" i="2"/>
  <c r="H76" i="2"/>
  <c r="K74" i="2"/>
  <c r="J72" i="2"/>
  <c r="K70" i="2"/>
  <c r="I68" i="2"/>
  <c r="K66" i="2"/>
  <c r="J64" i="2"/>
  <c r="K62" i="2"/>
  <c r="F60" i="2"/>
  <c r="J58" i="2"/>
  <c r="I56" i="2"/>
  <c r="J54" i="2"/>
  <c r="H52" i="2"/>
  <c r="J50" i="2"/>
  <c r="I48" i="2"/>
  <c r="K46" i="2"/>
  <c r="J44" i="2"/>
  <c r="K42" i="2"/>
  <c r="G40" i="2"/>
  <c r="I38" i="2"/>
  <c r="H36" i="2"/>
  <c r="J34" i="2"/>
  <c r="I32" i="2"/>
  <c r="L30" i="2"/>
  <c r="K28" i="2"/>
  <c r="L26" i="2"/>
  <c r="J24" i="2"/>
  <c r="L22" i="2"/>
  <c r="K20" i="2"/>
  <c r="L18" i="2"/>
  <c r="E16" i="2"/>
  <c r="G14" i="2"/>
  <c r="F12" i="2"/>
  <c r="H10" i="2"/>
  <c r="G8" i="2"/>
  <c r="I6" i="2"/>
  <c r="H4" i="2"/>
  <c r="I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Larry</author>
  </authors>
  <commentList>
    <comment ref="I2" authorId="0" shapeId="0" xr:uid="{4EB52C27-F255-4B39-B271-FD8F9DC0D792}">
      <text>
        <r>
          <rPr>
            <sz val="9"/>
            <color indexed="81"/>
            <rFont val="Tahoma"/>
            <family val="2"/>
          </rPr>
          <t>WILLIAM WILSON_x000D_
http://yeinfo.com/family/I09000128.html_x000D_
https://www.google.com/search?q=WILLIAM+WILSON+1725+1809+{_?_}_x000D_
.born:?1725    -         ?Pennsylvania_x000D_
.died:a18090624-         ?Chester county Pennsylvania, age:84y 5m 23d, _x000D_
.bapt: 1785GE_x000D_
.will: 2004MO_x000D_
.obit: 1890OH_x000D_
.bury: 1850IL _x000D_
.wpbt: 1826PA_x000D_
.anc#:ancestor_x000D_
citiz:US born_x000D_
#spos:1_x000D_
#srcs:3_x000D_
#comment:0_x000D_
#events:7_x000D_
#kids:2_x000D_
lived:?PA,PACHESROXFORD,PAHUNTIBARREE_x000D_
issue:_x000D_
.recs:Birth,Marriage,Taxes,Deed,Land Transaction_x000D_
.imm?:no_x000D_
..Spo:{_?_} WILSON</t>
        </r>
      </text>
    </comment>
    <comment ref="H4" authorId="0" shapeId="0" xr:uid="{B68C0DBE-E2B1-4A94-BD10-C2E0918C1656}">
      <text>
        <r>
          <rPr>
            <sz val="9"/>
            <color indexed="81"/>
            <rFont val="Tahoma"/>
            <family val="2"/>
          </rPr>
          <t>JAMES WILSON_x000D_
http://yeinfo.com/family/I09000064.html_x000D_
https://www.google.com/search?q=JAMES+WILSON+1740+1826+{_?_}_x000D_
.born:c1740    -         ?Chester county Pennsylvania_x000D_
.died: 18260226-          Henderson (Huntingdon) Pennsylvania, age:86y 1m 25d, _x000D_
.bapt: 1785GE_x000D_
.will: 2004MO_x000D_
.obit: 1890OH_x000D_
.bury: 1850IL _x000D_
.wpbt: 1826PA_x000D_
.anc#:ancestor_x000D_
citiz:US born_x000D_
#spos:2_x000D_
#srcs:7_x000D_
#comment:1_x000D_
#events:23_x000D_
#kids:3_x000D_
lived:?PALANCACOLUMBI,PACHESROXFORD,PAHUNTIBARREE,PAHUNTIHENDERS,PAHUNTIHUNTING,PAHUNTITYRONE,PAYORK WRITVIL_x000D_
issue:Born before Parents Married_x000D_
.recs:Birth,Marriage,Taxes,Deed,Will Written,Obituary,Land Transaction,Inventory,Estate_x000D_
.imm?:no_x000D_
..Spo:{_?_} WILSON</t>
        </r>
      </text>
    </comment>
    <comment ref="I6" authorId="0" shapeId="0" xr:uid="{C7D59157-1580-4256-BA71-76FB855BEF05}">
      <text>
        <r>
          <rPr>
            <sz val="9"/>
            <color indexed="81"/>
            <rFont val="Tahoma"/>
            <family val="2"/>
          </rPr>
          <t>Mrs. {_?_} WILSON_x000D_
http://yeinfo.com/family/I09000129.html_x000D_
https://www.google.com/search?q={_?_}+WILSON+1715+1752+WILSON_x000D_
.born:?1715    -         ?Pennsylvania_x000D_
.died: 1752    -1805     ?Pennsylvania, age:37y 0m 0d, _x000D_
.bapt: 1785GE_x000D_
.will: 2004MO_x000D_
.obit: 1890OH_x000D_
.bury: 1850IL _x000D_
.wpbt: 1826PA_x000D_
.anc#:ancestor_x000D_
citiz:US born_x000D_
#spos:1_x000D_
#srcs:1_x000D_
#comment:0_x000D_
#events:1_x000D_
#kids:2_x000D_
lived:?PACHESR_x000D_
issue:_x000D_
.recs:Birth,Marriage,Death_x000D_
.imm?:no_x000D_
..Spo:WILLIAM WILSON</t>
        </r>
      </text>
    </comment>
    <comment ref="G8" authorId="0" shapeId="0" xr:uid="{75587779-E010-4D7D-9616-D1DA50B34F2D}">
      <text>
        <r>
          <rPr>
            <sz val="9"/>
            <color indexed="81"/>
            <rFont val="Tahoma"/>
            <family val="2"/>
          </rPr>
          <t>MATHEW WILSON_x000D_
http://yeinfo.com/family/I09000032.html_x000D_
https://www.google.com/search?q=MATHEW+WILSON+1777+1864+Mary+MEREDITH_x000D_
.born: 17770114-          Mill Creek Estates (Huntingdon) Pennsylvania_x000D_
.died: 18641228-          Zanesville (Muskingum) Ohio, age:87y 11m 14d, _x000D_
.bapt: 1785GE_x000D_
.will: 2004MO_x000D_
.obit: 1890OH_x000D_
.bury: 1850IL Greenwood Cemetery section East Center Sq. row 9, unreadabl_x000D_
.wpbt: 1826PA_x000D_
.anc#:ancestor_x000D_
citiz:US born_x000D_
#spos:2_x000D_
#srcs:23_x000D_
#comment:2_x000D_
#events:33_x000D_
#kids:9_x000D_
lived:OHGRENEXENIA,OHMUSKIZANESVI,PAHUNTIHENDERS,PAHUNTIHUNTING,PAHUNTIMILL CR,PAHUNTITYRONE,PALANCACOLUMBI_x000D_
issue:_x000D_
.recs:Birth,Baptism,Marriage,Job/Occupation,Taxes,Deed,Will Inclusion,Obituary_x000D_
.imm?:no_x000D_
..Spo:Mary McLane</t>
        </r>
      </text>
    </comment>
    <comment ref="H10" authorId="0" shapeId="0" xr:uid="{9B8761DC-EFFC-4D27-8E4B-7FE7FF6D680D}">
      <text>
        <r>
          <rPr>
            <sz val="9"/>
            <color indexed="81"/>
            <rFont val="Tahoma"/>
            <family val="2"/>
          </rPr>
          <t>Mrs. {_?_} WILSON_x000D_
http://yeinfo.com/family/I09000065.html_x000D_
https://www.google.com/search?q={_?_}+WILSON+1745+1826+WILSON_x000D_
.born:?1745    -          _x000D_
.died: 1826    -1835     ?Pennsylvania, age:81y 0m 0d, _x000D_
.bapt: 1785GE_x000D_
.will: 2004MO_x000D_
.obit: 1890OH_x000D_
.bury: 1850IL _x000D_
.wpbt: 1826PA_x000D_
.anc#:ancestor_x000D_
citiz:US born_x000D_
#spos:1_x000D_
#srcs:0_x000D_
#comment:0_x000D_
#events:1_x000D_
#kids:3_x000D_
lived:?PA_x000D_
issue:_x000D_
.recs:Birth,Marriage,Death_x000D_
.imm?:no_x000D_
..Spo:JAMES WILSON</t>
        </r>
      </text>
    </comment>
    <comment ref="F12" authorId="0" shapeId="0" xr:uid="{9A89074B-06AA-4D37-8C45-6DB95D20E3D1}">
      <text>
        <r>
          <rPr>
            <sz val="9"/>
            <color indexed="81"/>
            <rFont val="Tahoma"/>
            <family val="2"/>
          </rPr>
          <t>MATTHEW MEREDITH WILSON_x000D_
http://yeinfo.com/family/I09000016.html_x000D_
https://www.google.com/search?q=MATTHEW+MEREDITH+WILSON+1810+1886+KEZIAH+H._x000D_
.born: 18100512-          Huntington Harbour (Huntingdon) Pennsylvania_x000D_
.died: 18860110-          Xenia (Greene) Ohio, age:75y 7m 29d, heart disease per death certificate_x000D_
.bapt: 1785GE_x000D_
.will: 2004MO_x000D_
.obit: 1890OH_x000D_
.bury: 1850IL Woodland Cemetery section G with family_x000D_
.wpbt: 1826PA_x000D_
.anc#:ancestor_x000D_
citiz:US born_x000D_
#spos:1_x000D_
#srcs:11_x000D_
#comment:2_x000D_
#events:23_x000D_
#kids:10_x000D_
lived:IL,OHGRENEXENIA,OHMUSKIZANESVI,PAHUNTIHUNTING_x000D_
issue:_x000D_
.recs:Birth,Marriage Intention/Bonds,Job/Occupation,Death,Obituary,Land Transaction,Gov't Court,Church_x000D_
.imm?:no_x000D_
..Spo:KEZIAH H. HILDEBRAND</t>
        </r>
      </text>
    </comment>
    <comment ref="G14" authorId="0" shapeId="0" xr:uid="{70AF1A4C-6341-45AF-9B88-BC2584D98ABF}">
      <text>
        <r>
          <rPr>
            <sz val="9"/>
            <color indexed="81"/>
            <rFont val="Tahoma"/>
            <family val="2"/>
          </rPr>
          <t>HANNAH MEREDITH_x000D_
http://yeinfo.com/family/I09000033.html_x000D_
https://www.google.com/search?q=HANNAH+MEREDITH+1779+1849+WILSON_x000D_
.born: 17790809-          Pennsylvania_x000D_
.died: 18490801-          Zanesville (Muskingum) Ohio, age:69y 11m 23d, _x000D_
.bapt: 1785GE_x000D_
.will: 2004MO_x000D_
.obit: 1890OH_x000D_
.bury: 1850IL Greenwood Cemetery section East Center row 9, unreadable_x000D_
.wpbt: 1826PA_x000D_
.anc#:ancestor_x000D_
citiz:US born_x000D_
#spos:1_x000D_
#srcs:7_x000D_
#comment:2_x000D_
#events:14_x000D_
#kids:5_x000D_
lived:OHGRENEXENIA,OHMUSKIZANESVI,PAHUNTIHENDERS_x000D_
issue:_x000D_
.recs:Birth,Marriage,Deed,Interment/Burial,Obituary,Church_x000D_
.imm?:no_x000D_
..Spo:MATHEW WILSON</t>
        </r>
      </text>
    </comment>
    <comment ref="E16" authorId="0" shapeId="0" xr:uid="{2B8FDD25-C40A-44F8-81BE-190DC0B1AEDE}">
      <text>
        <r>
          <rPr>
            <sz val="9"/>
            <color indexed="81"/>
            <rFont val="Tahoma"/>
            <family val="2"/>
          </rPr>
          <t>ROBERT STITT WILSON_x000D_
http://yeinfo.com/family/I09000008.html_x000D_
https://www.google.com/search?q=ROBERT+STITT+WILSON+1856+1916+IDA_x000D_
.born: 18560916-          Zanesville (Muskingum) Ohio_x000D_
.died: 19160128-          Kansas City (Jackson) Missouri, age:59y 4m 12d, chronic interstetial nephritis_x000D_
.bapt: 1785GE_x000D_
.will: 2004MO_x000D_
.obit: 1890OH_x000D_
.bury: 1850IL Forest Hill Cemetery unmarked grave #301 block 15, unmarked_x000D_
.wpbt: 1826PA_x000D_
.anc#:ancestor_x000D_
citiz:US born_x000D_
#spos:1_x000D_
#srcs:8_x000D_
#comment:3_x000D_
#events:14_x000D_
#kids:6_x000D_
lived:INVIGO TERRE H,MOJACKSKANSASC,OHGRENEXENIA,OHMUSKIZANESVI_x000D_
issue:_x000D_
.recs:Birth,Marriage,Job/Occupation,Death,Interment/Burial,Image_x000D_
.imm?:no_x000D_
..Spo:IDA MELVIN</t>
        </r>
      </text>
    </comment>
    <comment ref="L18" authorId="0" shapeId="0" xr:uid="{1E04C1CB-F79C-411E-B3E8-63CC38C279B9}">
      <text>
        <r>
          <rPr>
            <sz val="9"/>
            <color indexed="81"/>
            <rFont val="Tahoma"/>
            <family val="2"/>
          </rPr>
          <t>JACOB HILDEBRAND_x000D_
http://yeinfo.com/family/I09001088.html_x000D_
https://www.google.com/search?q=JACOB+HILDEBRAND+1624+1644+{_?_}_x000D_
.born: 1624    -         ?Germany_x000D_
.died: 1644    -1714     ?Germany, age:20y 0m 0d, _x000D_
.bapt: 1785GE_x000D_
.will: 2004MO_x000D_
.obit: 1890OH_x000D_
.bury: 1850IL _x000D_
.wpbt: 1826PA_x000D_
.anc#:ancestor_x000D_
citiz:foreign_x000D_
#spos:1_x000D_
#srcs:2_x000D_
#comment:0_x000D_
#events:1_x000D_
#kids:1_x000D_
lived:?GE_x000D_
issue:Died after Age 100_x000D_
.recs:Birth,Marriage,Death_x000D_
.imm?:no_x000D_
..Spo:{_?_} HILDEBRAND</t>
        </r>
      </text>
    </comment>
    <comment ref="K20" authorId="0" shapeId="0" xr:uid="{CEBF2E8B-4F6A-4897-99AE-E69BB586A325}">
      <text>
        <r>
          <rPr>
            <sz val="9"/>
            <color indexed="81"/>
            <rFont val="Tahoma"/>
            <family val="2"/>
          </rPr>
          <t>HANS JACOB HILDEBRAND Sr._x000D_
http://yeinfo.com/family/I09000544.html_x000D_
https://www.google.com/search?q=HANS+JACOB+HILDEBRAND+1640+1704+ANNA_x000D_
.born: 1640    -          Germany_x000D_
.died: 17041227-          Germany, age:64y 11m 26d, _x000D_
.bapt: 1785GE_x000D_
.will: 2004MO_x000D_
.obit: 1890OH_x000D_
.bury: 1850IL _x000D_
.wpbt: 1826PA_x000D_
.anc#:ancestor_x000D_
citiz:foreign_x000D_
#spos:1_x000D_
#srcs:2_x000D_
#comment:0_x000D_
#events:1_x000D_
#kids:2_x000D_
lived:GE_x000D_
issue:_x000D_
.recs:Birth,Marriage,Death_x000D_
.imm?:no_x000D_
..Spo:ANNA KRAFT</t>
        </r>
      </text>
    </comment>
    <comment ref="L22" authorId="0" shapeId="0" xr:uid="{6E2E7B04-EEDF-4219-9A84-15F962670443}">
      <text>
        <r>
          <rPr>
            <sz val="9"/>
            <color indexed="81"/>
            <rFont val="Tahoma"/>
            <family val="2"/>
          </rPr>
          <t>Mrs. {_?_} HILDEBRAND_x000D_
http://yeinfo.com/family/I09001089.html_x000D_
https://www.google.com/search?q={_?_}+HILDEBRAND+1625+1645+HILDEBRAND_x000D_
.born:?1625    -          _x000D_
.died: 1645    -1715      , age:20y 0m 0d, _x000D_
.bapt: 1785GE_x000D_
.will: 2004MO_x000D_
.obit: 1890OH_x000D_
.bury: 1850IL _x000D_
.wpbt: 1826PA_x000D_
.anc#:ancestor_x000D_
citiz:US born_x000D_
#spos:1_x000D_
#srcs:2_x000D_
#comment:0_x000D_
#events:1_x000D_
#kids:1_x000D_
lived:GE_x000D_
issue:_x000D_
.recs:Birth,Marriage,Death_x000D_
.imm?:no_x000D_
..Spo:JACOB HILDEBRAND</t>
        </r>
      </text>
    </comment>
    <comment ref="J24" authorId="0" shapeId="0" xr:uid="{A481913A-5786-4345-BC36-BC28AF0223A3}">
      <text>
        <r>
          <rPr>
            <sz val="9"/>
            <color indexed="81"/>
            <rFont val="Tahoma"/>
            <family val="2"/>
          </rPr>
          <t>HANS JACOB HILDEBRAND Jr._x000D_
http://yeinfo.com/family/I09000272.html_x000D_
https://www.google.com/search?q=HANS+JACOB+HILDEBRAND+1669+1739+ANNA+CATHARINA_x000D_
.born: 16690106-          Germany_x000D_
.died: 17390916-          Germany, age:70y 8m 10d, _x000D_
.bapt: 1785GE_x000D_
.will: 2004MO_x000D_
.obit: 1890OH_x000D_
.bury: 1850IL _x000D_
.wpbt: 1826PA_x000D_
.anc#:ancestor_x000D_
citiz:foreign_x000D_
#spos:1_x000D_
#srcs:2_x000D_
#comment:0_x000D_
#events:1_x000D_
#kids:1_x000D_
lived:GE_x000D_
issue:_x000D_
.recs:Birth,Marriage,Death_x000D_
.imm?:no_x000D_
..Spo:ANNA CATHARINA MULLER</t>
        </r>
      </text>
    </comment>
    <comment ref="L26" authorId="0" shapeId="0" xr:uid="{1A0BEC58-4CAD-422D-ABC8-F302F557C3A9}">
      <text>
        <r>
          <rPr>
            <sz val="9"/>
            <color indexed="81"/>
            <rFont val="Tahoma"/>
            <family val="2"/>
          </rPr>
          <t>STEFFEN KRAFT_x000D_
http://yeinfo.com/family/I09001090.html_x000D_
https://www.google.com/search?q=STEFFEN+KRAFT+1617+1677+ELISE_x000D_
.born: 1617    -          Germany_x000D_
.died: 16770827-          Germany, age:60y 7m 26d, _x000D_
.bapt: 1785GE_x000D_
.will: 2004MO_x000D_
.obit: 1890OH_x000D_
.bury: 1850IL _x000D_
.wpbt: 1826PA_x000D_
.anc#:ancestor_x000D_
citiz:foreign_x000D_
#spos:1_x000D_
#srcs:2_x000D_
#comment:0_x000D_
#events:1_x000D_
#kids:1_x000D_
lived:GE_x000D_
issue:_x000D_
.recs:Birth,Marriage,Death_x000D_
.imm?:no_x000D_
..Spo:ELISE BOHNER</t>
        </r>
      </text>
    </comment>
    <comment ref="K28" authorId="0" shapeId="0" xr:uid="{C80BDD2F-3265-424E-B762-4C4030DDEFB3}">
      <text>
        <r>
          <rPr>
            <sz val="9"/>
            <color indexed="81"/>
            <rFont val="Tahoma"/>
            <family val="2"/>
          </rPr>
          <t>ANNA KRAFT_x000D_
http://yeinfo.com/family/I09000545.html_x000D_
https://www.google.com/search?q=ANNA+KRAFT+1644+1696+HILDEBRAND_x000D_
.born: 1644    -          Germany_x000D_
.died: 16961106-          Germany, age:52y 10m 5d, _x000D_
.bapt: 1785GE_x000D_
.will: 2004MO_x000D_
.obit: 1890OH_x000D_
.bury: 1850IL _x000D_
.wpbt: 1826PA_x000D_
.anc#:ancestor_x000D_
citiz:foreign_x000D_
#spos:1_x000D_
#srcs:2_x000D_
#comment:0_x000D_
#events:1_x000D_
#kids:2_x000D_
lived:GE_x000D_
issue:_x000D_
.recs:Birth,Marriage,Death_x000D_
.imm?:no_x000D_
..Spo:HANS JACOB HILDEBRAND</t>
        </r>
      </text>
    </comment>
    <comment ref="L30" authorId="0" shapeId="0" xr:uid="{5EA2EA80-1280-44D8-AEFC-CAB4FA1BD851}">
      <text>
        <r>
          <rPr>
            <sz val="9"/>
            <color indexed="81"/>
            <rFont val="Tahoma"/>
            <family val="2"/>
          </rPr>
          <t>ELISE BOHNER_x000D_
http://yeinfo.com/family/I09001091.html_x000D_
https://www.google.com/search?q=ELISE+BOHNER+1620+1644+KRAFT_x000D_
.born:?1620    -          Germany_x000D_
.died: 1644    -1710     ?Germany, age:24y 0m 0d, _x000D_
.bapt: 1785GE_x000D_
.will: 2004MO_x000D_
.obit: 1890OH_x000D_
.bury: 1850IL _x000D_
.wpbt: 1826PA_x000D_
.anc#:ancestor_x000D_
citiz:foreign_x000D_
#spos:1_x000D_
#srcs:2_x000D_
#comment:0_x000D_
#events:1_x000D_
#kids:1_x000D_
lived:GE_x000D_
issue:_x000D_
.recs:Birth,Marriage,Death_x000D_
.imm?:no_x000D_
..Spo:STEFFEN KRAFT</t>
        </r>
      </text>
    </comment>
    <comment ref="I32" authorId="0" shapeId="0" xr:uid="{9A02F291-A7AA-4E50-8C73-40A1D8A7A4F4}">
      <text>
        <r>
          <rPr>
            <sz val="9"/>
            <color indexed="81"/>
            <rFont val="Tahoma"/>
            <family val="2"/>
          </rPr>
          <t>JOHANN JACOB HILDEBRAND_x000D_
http://yeinfo.com/family/I09000136.html_x000D_
https://www.google.com/search?q=JOHANN+JACOB+HILDEBRAND+1705+1800+MARIE+ELIZABETH_x000D_
.born:c17050125-          Germany_x000D_
.died:?1800    -         ?Pennsylvania, age:94y 11m 7d, _x000D_
.bapt: 1785GE_x000D_
.will: 2004MO_x000D_
.obit: 1890OH_x000D_
.bury: 1850IL _x000D_
.wpbt: 1826PA_x000D_
.anc#:ancestor_x000D_
citiz:immigrant_x000D_
#spos:1_x000D_
#srcs:2_x000D_
#comment:0_x000D_
#events:2_x000D_
#kids:1_x000D_
lived:GE,PALANCALANCAST_x000D_
issue:_x000D_
.recs:Birth,Baptism,Marriage,Death_x000D_
.imm?:immigrant_x000D_
..Spo:MARIE ELIZABETH SCHNEIDER</t>
        </r>
      </text>
    </comment>
    <comment ref="J34" authorId="0" shapeId="0" xr:uid="{C0F63376-4FBE-43EF-BFBE-7186E6CC4AA2}">
      <text>
        <r>
          <rPr>
            <sz val="9"/>
            <color indexed="81"/>
            <rFont val="Tahoma"/>
            <family val="2"/>
          </rPr>
          <t>ANNA CATHARINA MULLER_x000D_
http://yeinfo.com/family/I09000273.html_x000D_
https://www.google.com/search?q=ANNA+CATHARINA+MULLER+1670+1716+HILDEBRAND_x000D_
.born:c1670    -          Germany_x000D_
.died: 17160902-          , age:46y 8m 1d, _x000D_
.bapt: 1785GE_x000D_
.will: 2004MO_x000D_
.obit: 1890OH_x000D_
.bury: 1850IL _x000D_
.wpbt: 1826PA_x000D_
.anc#:ancestor_x000D_
citiz:US born_x000D_
#spos:1_x000D_
#srcs:2_x000D_
#comment:0_x000D_
#events:1_x000D_
#kids:1_x000D_
lived:GE_x000D_
issue:_x000D_
.recs:Birth,Marriage,Death_x000D_
.imm?:no_x000D_
..Spo:HANS JACOB HILDEBRAND</t>
        </r>
      </text>
    </comment>
    <comment ref="H36" authorId="0" shapeId="0" xr:uid="{C11E7EC3-933D-4EEF-9007-8CC5565ED7D1}">
      <text>
        <r>
          <rPr>
            <sz val="9"/>
            <color indexed="81"/>
            <rFont val="Tahoma"/>
            <family val="2"/>
          </rPr>
          <t>ABRAHAM HILDEBRAND_x000D_
http://yeinfo.com/family/I09000068.html_x000D_
https://www.google.com/search?q=ABRAHAM+HILDEBRAND+1748+1833+ANN\ANNA_x000D_
.born: 1748    -          Germany_x000D_
.died: 18330901-          Huntington Harbour (Huntingdon) Pennsylvania, age:85y 8m 0d, _x000D_
.bapt: 1785GE_x000D_
.will: 2004MO_x000D_
.obit: 1890OH_x000D_
.bury: 1850IL _x000D_
.wpbt: 1826PA_x000D_
.anc#:ancestor_x000D_
citiz:immigrant_x000D_
#spos:1_x000D_
#srcs:8_x000D_
#comment:2_x000D_
#events:18_x000D_
#kids:13_x000D_
lived:GE,PABLAIRFRANKST,PACAMBR,PACUMBECARLISL,PAFRKLN,PAHUNTIHUNTING,PALANCALANCAST,PASOMES_x000D_
issue:_x000D_
.recs:Birth,Marriage Intention/Bonds,Job/Occupation,Death,Obituary_x000D_
.imm?:immigrant_x000D_
..Spo:ANN\ANNA SHANTZ</t>
        </r>
      </text>
    </comment>
    <comment ref="I38" authorId="0" shapeId="0" xr:uid="{F13675E7-D29A-4234-9308-620BB2F100CE}">
      <text>
        <r>
          <rPr>
            <sz val="9"/>
            <color indexed="81"/>
            <rFont val="Tahoma"/>
            <family val="2"/>
          </rPr>
          <t>MARIE ELIZABETH SCHNEIDER_x000D_
http://yeinfo.com/family/I09000137.html_x000D_
https://www.google.com/search?q=MARIE+ELIZABETH+SCHNEIDER+1708+1755+HILDEBRAND_x000D_
.born: 17081129-          Germany_x000D_
.died: 17551224-          Ephratah (Lancaster) Pennsylvania, age:47y 0m 25d, _x000D_
.bapt: 1785GE_x000D_
.will: 2004MO_x000D_
.obit: 1890OH_x000D_
.bury: 1850IL _x000D_
.wpbt: 1826PA_x000D_
.anc#:ancestor_x000D_
citiz:immigrant_x000D_
#spos:1_x000D_
#srcs:3_x000D_
#comment:1_x000D_
#events:1_x000D_
#kids:1_x000D_
lived:GE,PALANCAEPHRATA,PALANCALANCAST_x000D_
issue:_x000D_
.recs:Birth,Marriage,Death_x000D_
.imm?:immigrant_x000D_
..Spo:JOHANN JACOB HILDEBRAND</t>
        </r>
      </text>
    </comment>
    <comment ref="G40" authorId="0" shapeId="0" xr:uid="{FA07EC6C-C8EC-4629-AEB9-C5A959111A8A}">
      <text>
        <r>
          <rPr>
            <sz val="9"/>
            <color indexed="81"/>
            <rFont val="Tahoma"/>
            <family val="2"/>
          </rPr>
          <t>JOHN HILDEBRAND_x000D_
http://yeinfo.com/family/I09000034.html_x000D_
https://www.google.com/search?q=JOHN+HILDEBRAND+1779+1877+BARBARA_x000D_
.born:?1779    -          Cumberland county Pennsylvania_x000D_
.died: 18770418-         ?Huntington Harbour (Huntingdon) Pennsylvania, age:98y 3m 17d, _x000D_
.bapt: 1785GE_x000D_
.will: 2004MO_x000D_
.obit: 1890OH_x000D_
.bury: 1850IL Riverview Cemetery section 8 lot 135_x000D_
.wpbt: 1826PA_x000D_
.anc#:ancestor_x000D_
citiz:US born_x000D_
#spos:1_x000D_
#srcs:8_x000D_
#comment:1_x000D_
#events:18_x000D_
#kids:5_x000D_
lived:OHMUSKISALT CR,PAADAMS,PABERKSREADING,PABERKSRICHMON,PABLAIRWOODBUR,PACUMBE,PAHUNTIHENDERS,PAHUNTIHUNTING,PAHUNTIMORRIS,PAHUNTIPORTER,PAHUNTIWALKER_x000D_
issue:_x000D_
.recs:Birth,Marriage,Job/Occupation,Will Written,Death,Interment/Burial,Land Transaction_x000D_
.imm?:no_x000D_
..Spo:BARBARA SHULTZ</t>
        </r>
      </text>
    </comment>
    <comment ref="K42" authorId="0" shapeId="0" xr:uid="{A09F706B-8AAA-4FB5-9F7A-41832CAD72BF}">
      <text>
        <r>
          <rPr>
            <sz val="9"/>
            <color indexed="81"/>
            <rFont val="Tahoma"/>
            <family val="2"/>
          </rPr>
          <t>CHRISTIAN\HANS SHANTZ_x000D_
http://yeinfo.com/family/I09000552.html_x000D_
https://www.google.com/search?q=CHRISTIAN\HANS+SHANTZ+1685+1753+BARBARA_x000D_
.born:c1685    -          Bern (Canton of Bern) Switzerland_x000D_
.died:c1753    -          Lampeter (Lancaster) Pennsylvania, age:68y 0m 0d, _x000D_
.bapt: 1785GE_x000D_
.will: 2004MO_x000D_
.obit: 1890OH_x000D_
.bury: 1850IL _x000D_
.wpbt: 1826PA_x000D_
.anc#:ancestor_x000D_
citiz:immigrant_x000D_
#spos:1_x000D_
#srcs:1_x000D_
#comment:1_x000D_
#events:1_x000D_
#kids:3_x000D_
lived:PALANCALAMPETE,SZCBERNBERN_x000D_
issue:_x000D_
.recs:Birth,Marriage,Death_x000D_
.imm?:immigrant_x000D_
..Spo:BARBARA SHANTZ</t>
        </r>
      </text>
    </comment>
    <comment ref="J44" authorId="0" shapeId="0" xr:uid="{EDD51425-CCDB-4C48-8E43-40BE458D280A}">
      <text>
        <r>
          <rPr>
            <sz val="9"/>
            <color indexed="81"/>
            <rFont val="Tahoma"/>
            <family val="2"/>
          </rPr>
          <t>CHRISTIAN SHANTZ_x000D_
http://yeinfo.com/family/I09000276.html_x000D_
https://www.google.com/search?q=CHRISTIAN+SHANTZ+1715+1776+ANNA_x000D_
.born: 1715    -          Bern (Canton of Bern) Switzerland_x000D_
.died: 17760426-          Lampeter (Lancaster) Pennsylvania, age:61y 3m 25d, _x000D_
.bapt: 1785GE_x000D_
.will: 2004MO_x000D_
.obit: 1890OH_x000D_
.bury: 1850IL _x000D_
.wpbt: 1826PA_x000D_
.anc#:ancestor_x000D_
citiz:immigrant_x000D_
#spos:1_x000D_
#srcs:6_x000D_
#comment:2_x000D_
#events:2_x000D_
#kids:3_x000D_
lived:PALANCALAMPETE,SZCBERNBERN_x000D_
issue:_x000D_
.recs:Birth,Marriage,Death_x000D_
.imm?:immigrant_x000D_
..Spo:ANNA SHANTZ</t>
        </r>
      </text>
    </comment>
    <comment ref="K46" authorId="0" shapeId="0" xr:uid="{6793BA8C-1AE2-4EDD-8586-E67AB73E96E6}">
      <text>
        <r>
          <rPr>
            <sz val="9"/>
            <color indexed="81"/>
            <rFont val="Tahoma"/>
            <family val="2"/>
          </rPr>
          <t>Mrs. BARBARA SHANTZ_x000D_
http://yeinfo.com/family/I09000553.html_x000D_
https://www.google.com/search?q=BARBARA+SHANTZ+1693+1770+SHANTZ_x000D_
.born:c1693    -          Bern (Canton of Bern) Switzerland_x000D_
.died:c1770    -         ?Lampeter (Lancaster) Pennsylvania, age:77y 0m 0d, _x000D_
.bapt: 1785GE_x000D_
.will: 2004MO_x000D_
.obit: 1890OH_x000D_
.bury: 1850IL _x000D_
.wpbt: 1826PA_x000D_
.anc#:ancestor_x000D_
citiz:immigrant_x000D_
#spos:2_x000D_
#srcs:1_x000D_
#comment:0_x000D_
#events:3_x000D_
#kids:3_x000D_
lived:PALANCALAMPETE,SZCBERNBERN_x000D_
issue:_x000D_
.recs:Birth,Marriage,Death,Land Transaction_x000D_
.imm?:immigrant_x000D_
..Spo:CHRISTIAN\HANS SHANTZ</t>
        </r>
      </text>
    </comment>
    <comment ref="I48" authorId="0" shapeId="0" xr:uid="{4D1D1C1F-6792-4345-ADEA-77654C9BFAA6}">
      <text>
        <r>
          <rPr>
            <sz val="9"/>
            <color indexed="81"/>
            <rFont val="Tahoma"/>
            <family val="2"/>
          </rPr>
          <t>JACOB PETER SHANTZ_x000D_
http://yeinfo.com/family/I09000138.html_x000D_
https://www.google.com/search?q=JACOB+PETER+SHANTZ+1730+1782+MARIA+BARBARA+Kraft_x000D_
.born:c1730    -         ?Pennsylvania_x000D_
.died: 1782    -          Lampeter (Lancaster) Pennsylvania, age:52y 0m 0d, _x000D_
.bapt: 1785GE_x000D_
.will: 2004MO_x000D_
.obit: 1890OH_x000D_
.bury: 1850IL _x000D_
.wpbt: 1826PA_x000D_
.anc#:ancestor_x000D_
citiz:US born_x000D_
#spos:2_x000D_
#srcs:3_x000D_
#comment:1_x000D_
#events:5_x000D_
#kids:5_x000D_
lived:?PALANCALAMPETE,PALANCAEPHRATA_x000D_
issue:Born before Parents Married,Died before Birth_x000D_
.recs:Birth,Marriage,Death,Land Transaction,Oath Taken_x000D_
.imm?:no_x000D_
..Spo:MARIA BARBARA RUND</t>
        </r>
      </text>
    </comment>
    <comment ref="J50" authorId="0" shapeId="0" xr:uid="{23D9974D-C916-4BFA-8FFD-2784915A5B77}">
      <text>
        <r>
          <rPr>
            <sz val="9"/>
            <color indexed="81"/>
            <rFont val="Tahoma"/>
            <family val="2"/>
          </rPr>
          <t>Mrs. ANNA SHANTZ_x000D_
http://yeinfo.com/family/I09000277.html_x000D_
https://www.google.com/search?q=ANNA+SHANTZ+1719+1739+SHANTZ_x000D_
.born: 1719    -          Bern (Canton of Bern) Switzerland_x000D_
.died: 1739    -1809     ?Pennsylvania, age:20y 0m 0d, _x000D_
.bapt: 1785GE_x000D_
.will: 2004MO_x000D_
.obit: 1890OH_x000D_
.bury: 1850IL _x000D_
.wpbt: 1826PA_x000D_
.anc#:ancestor_x000D_
citiz:immigrant_x000D_
#spos:1_x000D_
#srcs:2_x000D_
#comment:0_x000D_
#events:2_x000D_
#kids:3_x000D_
lived:PALANCALAMPETE,SZCBERNBERN_x000D_
issue:_x000D_
.recs:Birth,Marriage,Will Written,Death_x000D_
.imm?:immigrant_x000D_
..Spo:CHRISTIAN SHANTZ</t>
        </r>
      </text>
    </comment>
    <comment ref="H52" authorId="0" shapeId="0" xr:uid="{5F4F8E04-8EBE-4BE7-BD3C-C6C8CF9FE77B}">
      <text>
        <r>
          <rPr>
            <sz val="9"/>
            <color indexed="81"/>
            <rFont val="Tahoma"/>
            <family val="2"/>
          </rPr>
          <t>ANN\ANNA SHANTZ_x000D_
http://yeinfo.com/family/I09000069.html_x000D_
https://www.google.com/search?q=ANN\ANNA+SHANTZ+1761+1822+HILDEBRAND_x000D_
.born:c1761    -          Somerset county Pennsylvania_x000D_
.died: 1822    -          Johnston (Cambria) Pennsylvania, age:61y 0m 0d, _x000D_
.bapt: 1785GE_x000D_
.will: 2004MO_x000D_
.obit: 1890OH_x000D_
.bury: 1850IL Grandview Cemetery_x000D_
.wpbt: 1826PA_x000D_
.anc#:ancestor_x000D_
citiz:US born_x000D_
#spos:1_x000D_
#srcs:6_x000D_
#comment:1_x000D_
#events:4_x000D_
#kids:13_x000D_
lived:PACAMBRJOHNSTO,PACUMBECARLISL,PALANCALANCAST,PASOMES_x000D_
issue:Died after Age 100_x000D_
.recs:Birth,Marriage Intention/Bonds,Death_x000D_
.imm?:no_x000D_
..Spo:ABRAHAM HILDEBRAND</t>
        </r>
      </text>
    </comment>
    <comment ref="J54" authorId="0" shapeId="0" xr:uid="{5380EA67-2213-4926-9A59-580BCBEAD1A1}">
      <text>
        <r>
          <rPr>
            <sz val="9"/>
            <color indexed="81"/>
            <rFont val="Tahoma"/>
            <family val="2"/>
          </rPr>
          <t>JOHANN ZIEHME RUND_x000D_
http://yeinfo.com/family/I09000278.html_x000D_
https://www.google.com/search?q=JOHANN+ZIEHME+RUND+1710+1787+CATHARINA_x000D_
.born: 1710    -          Germany_x000D_
.died: 17870612-          Pennsylvania, age:77y 5m 11d, _x000D_
.bapt: 1785GE_x000D_
.will: 2004MO_x000D_
.obit: 1890OH_x000D_
.bury: 1850IL _x000D_
.wpbt: 1826PA_x000D_
.anc#:ancestor_x000D_
citiz:immigrant_x000D_
#spos:1_x000D_
#srcs:1_x000D_
#comment:1_x000D_
#events:1_x000D_
#kids:1_x000D_
lived:GE,PA_x000D_
issue:_x000D_
.recs:Birth,Marriage,Death_x000D_
.imm?:immigrant_x000D_
..Spo:CATHARINA WAGNER</t>
        </r>
      </text>
    </comment>
    <comment ref="I56" authorId="0" shapeId="0" xr:uid="{037B5C72-A370-45F0-9535-FF9C09B86FE3}">
      <text>
        <r>
          <rPr>
            <sz val="9"/>
            <color indexed="81"/>
            <rFont val="Tahoma"/>
            <family val="2"/>
          </rPr>
          <t>MARIA BARBARA RUND_x000D_
http://yeinfo.com/family/I09000139.html_x000D_
https://www.google.com/search?q=MARIA+BARBARA+RUND+1730+1830+SHANTZ_x000D_
.born:p17301105-          _x000D_
.died: 18300706-          Lampeter (Lancaster) Pennsylvania, age:99y 8m 1d, _x000D_
.bapt: 1785GE_x000D_
.will: 2004MO_x000D_
.obit: 1890OH_x000D_
.bury: 1850IL _x000D_
.wpbt: 1826PA_x000D_
.anc#:ancestor_x000D_
citiz:US born_x000D_
#spos:1_x000D_
#srcs:4_x000D_
#comment:1_x000D_
#events:2_x000D_
#kids:5_x000D_
lived:PALANCALAMPETE,PALEHIG_x000D_
issue:_x000D_
.recs:Birth,Marriage,Death_x000D_
.imm?:no_x000D_
..Spo:JACOB PETER SHANTZ</t>
        </r>
      </text>
    </comment>
    <comment ref="J58" authorId="0" shapeId="0" xr:uid="{4129B162-5753-4689-801C-FF8087D3721A}">
      <text>
        <r>
          <rPr>
            <sz val="9"/>
            <color indexed="81"/>
            <rFont val="Tahoma"/>
            <family val="2"/>
          </rPr>
          <t>CATHARINA WAGNER_x000D_
http://yeinfo.com/family/I09000279.html_x000D_
https://www.google.com/search?q=CATHARINA+WAGNER+1712+1815+RUND_x000D_
.born: 17120629-          Germany_x000D_
.died: 1815    -          Pennsylvania, age:102y 6m 3d, _x000D_
.bapt: 1785GE_x000D_
.will: 2004MO_x000D_
.obit: 1890OH_x000D_
.bury: 1850IL _x000D_
.wpbt: 1826PA_x000D_
.anc#:ancestor_x000D_
citiz:immigrant_x000D_
#spos:1_x000D_
#srcs:1_x000D_
#comment:1_x000D_
#events:1_x000D_
#kids:1_x000D_
lived:GE,PA_x000D_
issue:Married after Age 60_x000D_
.recs:Birth,Marriage,Death_x000D_
.imm?:immigrant_x000D_
..Spo:JOHANN ZIEHME RUND</t>
        </r>
      </text>
    </comment>
    <comment ref="F60" authorId="0" shapeId="0" xr:uid="{BB02F7A9-22A0-44F3-B5B6-D04725DD9A53}">
      <text>
        <r>
          <rPr>
            <sz val="9"/>
            <color indexed="81"/>
            <rFont val="Tahoma"/>
            <family val="2"/>
          </rPr>
          <t>KEZIAH H. HILDEBRAND_x000D_
http://yeinfo.com/family/I09000017.html_x000D_
https://www.google.com/search?q=KEZIAH+H.+HILDEBRAND+1816+1909+WILSON_x000D_
.born: 18161025-          Huntington Harbour (Huntingdon) Pennsylvania_x000D_
.died: 19090214-          Xenia (Greene) Ohio, age:92y 3m 20d, bronchitis, auteuia by senile decay_x000D_
.bapt: 1785GE_x000D_
.will: 2004MO_x000D_
.obit: 1890OH_x000D_
.bury: 1850IL Woodland Cemetery section G with family_x000D_
.wpbt: 1826PA_x000D_
.anc#:ancestor_x000D_
citiz:US born_x000D_
#spos:1_x000D_
#srcs:8_x000D_
#comment:1_x000D_
#events:18_x000D_
#kids:10_x000D_
lived:OHGRENEXENIA,OHMUSKIZANESVI,PAHUNTIHUNTING_x000D_
issue:_x000D_
.recs:Birth,Grade School,Marriage Intention/Bonds,Death,Obituary,Gov't Court,Church_x000D_
.imm?:no_x000D_
..Spo:MATTHEW MEREDITH WILSON</t>
        </r>
      </text>
    </comment>
    <comment ref="K62" authorId="0" shapeId="0" xr:uid="{FC2A316A-A1EA-402E-ABB8-A4E9B37EC8C1}">
      <text>
        <r>
          <rPr>
            <sz val="9"/>
            <color indexed="81"/>
            <rFont val="Tahoma"/>
            <family val="2"/>
          </rPr>
          <t>JOHANN MARTIN SHULTZ_x000D_
http://yeinfo.com/family/I09000560.html_x000D_
https://www.google.com/search?q=JOHANN+MARTIN+SHULTZ+1664+1690+{_?_}_x000D_
.born: 1664    -          Germany_x000D_
.died: 1690    -1750     ?Germany, age:26y 0m 0d,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..Spo:{_?_} SHULTZ</t>
        </r>
      </text>
    </comment>
    <comment ref="J64" authorId="0" shapeId="0" xr:uid="{4634A57B-25C2-40A2-92F3-CA13B263169D}">
      <text>
        <r>
          <rPr>
            <sz val="9"/>
            <color indexed="81"/>
            <rFont val="Tahoma"/>
            <family val="2"/>
          </rPr>
          <t>JOHANN JACOB SHULTZ_x000D_
http://yeinfo.com/family/I09000280.html_x000D_
https://www.google.com/search?q=JOHANN+JACOB+SHULTZ+1690+1727+MARIA+DOROTHEA_x000D_
.born:?1690    -          Germany_x000D_
.died:?1727    -1780     ?Germany, age:37y 0m 0d,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..Spo:MARIA DOROTHEA SPENDLER</t>
        </r>
      </text>
    </comment>
    <comment ref="K66" authorId="0" shapeId="0" xr:uid="{FF76238E-EA80-43C5-9804-72B67A5CF6B9}">
      <text>
        <r>
          <rPr>
            <sz val="9"/>
            <color indexed="81"/>
            <rFont val="Tahoma"/>
            <family val="2"/>
          </rPr>
          <t>Mrs. {_?_} SHULTZ_x000D_
http://yeinfo.com/family/I09000561.html_x000D_
https://www.google.com/search?q={_?_}+SHULTZ+1669+1690+SHULTZ_x000D_
.born: 1669    -          Germany_x000D_
.died: 1690    -1750     ?Germany, age:21y 0m 0d,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..Spo:JOHANN MARTIN SHULTZ</t>
        </r>
      </text>
    </comment>
    <comment ref="I68" authorId="0" shapeId="0" xr:uid="{D5A4DC1F-D9C5-4EDD-9824-3430A54BF94A}">
      <text>
        <r>
          <rPr>
            <sz val="9"/>
            <color indexed="81"/>
            <rFont val="Tahoma"/>
            <family val="2"/>
          </rPr>
          <t>JOHANN MARTIN SHULTZ II_x000D_
http://yeinfo.com/family/I09000140.html_x000D_
https://www.google.com/search?q=JOHANN+MARTIN+SHULTZ+1720+1763+ANNA+CATHARINA_x000D_
.born: 1720    -          Germany_x000D_
.died: 1763    -1810     ?, age:43y 0m 0d, _x000D_
.bapt: 1785GE_x000D_
.will: 2004MO_x000D_
.obit: 1890OH_x000D_
.bury: 1850IL _x000D_
.wpbt: 1826PA_x000D_
.anc#:ancestor_x000D_
citiz:US born_x000D_
#spos:1_x000D_
#srcs:1_x000D_
#comment:1_x000D_
#events:2_x000D_
#kids:1_x000D_
lived:GE_x000D_
issue:_x000D_
.recs:Birth,Baptism,Marriage,Death_x000D_
.imm?:no_x000D_
..Spo:ANNA CATHARINA KRAMER</t>
        </r>
      </text>
    </comment>
    <comment ref="K70" authorId="0" shapeId="0" xr:uid="{A855A3AD-0254-4E3A-A2E1-7E85CFA37E6F}">
      <text>
        <r>
          <rPr>
            <sz val="9"/>
            <color indexed="81"/>
            <rFont val="Tahoma"/>
            <family val="2"/>
          </rPr>
          <t>JOHANNES SPENDLER_x000D_
http://yeinfo.com/family/I09000562.html_x000D_
https://www.google.com/search?q=JOHANNES+SPENDLER+1669+1700+{_?_}_x000D_
.born: 1669    -          Germany_x000D_
.died: 1700    -1760     ?Germany, age:31y 0m 0d,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..Spo:{_?_} SPENDLER</t>
        </r>
      </text>
    </comment>
    <comment ref="J72" authorId="0" shapeId="0" xr:uid="{6B89F41A-B644-45F0-99ED-0D9BB6B99636}">
      <text>
        <r>
          <rPr>
            <sz val="9"/>
            <color indexed="81"/>
            <rFont val="Tahoma"/>
            <family val="2"/>
          </rPr>
          <t>MARIA DOROTHEA SPENDLER_x000D_
http://yeinfo.com/family/I09000281.html_x000D_
https://www.google.com/search?q=MARIA+DOROTHEA+SPENDLER+1699+1727+SHULTZ_x000D_
.born:?1699    -          Germany_x000D_
.died: 1727    -1785     ?Germany, age:28y 0m 0d,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..Spo:JOHANN JACOB SHULTZ</t>
        </r>
      </text>
    </comment>
    <comment ref="K74" authorId="0" shapeId="0" xr:uid="{9FAE1A3B-7F0F-46D2-BF83-ED3A9244E7EF}">
      <text>
        <r>
          <rPr>
            <sz val="9"/>
            <color indexed="81"/>
            <rFont val="Tahoma"/>
            <family val="2"/>
          </rPr>
          <t>Mrs. {_?_} SPENDLER_x000D_
http://yeinfo.com/family/I09000563.html_x000D_
https://www.google.com/search?q={_?_}+SPENDLER+1669+1700+SPENDLER_x000D_
.born:?1669    -         ?Germany_x000D_
.died: 1700    -1760     ?Germany, age:31y 0m 0d, _x000D_
.bapt: 1785GE_x000D_
.will: 2004MO_x000D_
.obit: 1890OH_x000D_
.bury: 1850IL _x000D_
.wpbt: 1826PA_x000D_
.anc#:ancestor_x000D_
citiz:foreign_x000D_
#spos:1_x000D_
#srcs:1_x000D_
#comment:0_x000D_
#events:1_x000D_
#kids:1_x000D_
lived:?GE_x000D_
issue:_x000D_
.recs:Birth,Marriage,Death_x000D_
.imm?:no_x000D_
..Spo:JOHANNES SPENDLER</t>
        </r>
      </text>
    </comment>
    <comment ref="H76" authorId="0" shapeId="0" xr:uid="{F8B7D603-7EB2-49FB-92DD-531F6C978180}">
      <text>
        <r>
          <rPr>
            <sz val="9"/>
            <color indexed="81"/>
            <rFont val="Tahoma"/>
            <family val="2"/>
          </rPr>
          <t>LAWRENCE\LORENTZ SHULTZ_x000D_
http://yeinfo.com/family/I09000070.html_x000D_
https://www.google.com/search?q=LAWRENCE\LORENTZ+SHULTZ+1739+1827+MARIE+CATHERINE_x000D_
.born:c1739    -         ?Darmstadt (Hesse) Germany_x000D_
.died: 18270805-          Huntington Harbour (Huntingdon) Pennsylvania, age:88y 7m 4d, _x000D_
.bapt: 1785GE_x000D_
.will: 2004MO_x000D_
.obit: 1890OH_x000D_
.bury: 1850IL Riverview Cemetery_x000D_
.wpbt: 1826PA_x000D_
.anc#:ancestor_x000D_
citiz:immigrant_x000D_
#spos:1_x000D_
#srcs:8_x000D_
#comment:2_x000D_
#events:16_x000D_
#kids:5_x000D_
lived:?GEHESSEDARMSTA,PAHUNTIHENDERS,PAHUNTIHUNTING,PAHUNTIMILL CR,PAYORK CODORUS,PAYORK YORK_x000D_
issue:_x000D_
.recs:Birth,Military,Marriage,Job/Occupation,Will Written,Death,Interment/Burial,Church_x000D_
.imm?:immigrant_x000D_
..Spo:MARIE CATHERINE HOLLANDER</t>
        </r>
      </text>
    </comment>
    <comment ref="L78" authorId="0" shapeId="0" xr:uid="{34041367-1F5A-448C-81D9-5F8A28FB8603}">
      <text>
        <r>
          <rPr>
            <sz val="9"/>
            <color indexed="81"/>
            <rFont val="Tahoma"/>
            <family val="2"/>
          </rPr>
          <t>JOHANN ADAM KRAMER Sr._x000D_
http://yeinfo.com/family/I09001128.html_x000D_
https://www.google.com/search?q=JOHANN+ADAM+KRAMER+1615+1688+ELISABETH_x000D_
.born: 1615    -          Germany_x000D_
.died: 1688    -          Germany, age:73y 0m 0d,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..Spo:ELISABETH KERN</t>
        </r>
      </text>
    </comment>
    <comment ref="K80" authorId="0" shapeId="0" xr:uid="{4A68654D-2FB1-403B-B3C4-6D8FE9B142A1}">
      <text>
        <r>
          <rPr>
            <sz val="9"/>
            <color indexed="81"/>
            <rFont val="Tahoma"/>
            <family val="2"/>
          </rPr>
          <t>JOHANN ADAM KRAMER Jr._x000D_
http://yeinfo.com/family/I09000564.html_x000D_
https://www.google.com/search?q=JOHANN+ADAM+KRAMER+1646+1708+ANNA+ELIZABETH_x000D_
.born: 16461126-          Germany_x000D_
.died: 1708    -          Germany, age:61y 1m 6d, _x000D_
.bapt: 1785GE_x000D_
.will: 2004MO_x000D_
.obit: 1890OH_x000D_
.bury: 1850IL _x000D_
.wpbt: 1826PA_x000D_
.anc#:ancestor_x000D_
citiz:foreign_x000D_
#spos:1_x000D_
#srcs:1_x000D_
#comment:0_x000D_
#events:1_x000D_
#kids:1_x000D_
lived:GE_x000D_
issue:Born before Parents Married_x000D_
.recs:Birth,Marriage,Death_x000D_
.imm?:no_x000D_
..Spo:ANNA ELIZABETH SCHMAHL</t>
        </r>
      </text>
    </comment>
    <comment ref="L82" authorId="0" shapeId="0" xr:uid="{C5B5B77D-ACD4-454F-AE5F-0BF55172219A}">
      <text>
        <r>
          <rPr>
            <sz val="9"/>
            <color indexed="81"/>
            <rFont val="Tahoma"/>
            <family val="2"/>
          </rPr>
          <t>ELISABETH KERN_x000D_
http://yeinfo.com/family/I09001129.html_x000D_
https://www.google.com/search?q=ELISABETH+KERN+1615+1663+KRAMER_x000D_
.born: 1615    -          Germany_x000D_
.died: 16630102-          Germany, age:48y 0m 1d,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..Spo:JOHANN ADAM KRAMER</t>
        </r>
      </text>
    </comment>
    <comment ref="J84" authorId="0" shapeId="0" xr:uid="{F44F9DE6-670F-4870-B164-F15ECEB9293B}">
      <text>
        <r>
          <rPr>
            <sz val="9"/>
            <color indexed="81"/>
            <rFont val="Tahoma"/>
            <family val="2"/>
          </rPr>
          <t>HANS ADAM KRAMER_x000D_
http://yeinfo.com/family/I09000282.html_x000D_
https://www.google.com/search?q=HANS+ADAM+KRAMER+1679+1761+MARIA+ELISABETHA_x000D_
.born: 16790906-          Germany_x000D_
.died: 17611105-          Hempfield (Lancaster) Pennsylvania, age:82y 1m 30d, _x000D_
.bapt: 1785GE_x000D_
.will: 2004MO_x000D_
.obit: 1890OH_x000D_
.bury: 1850IL _x000D_
.wpbt: 1826PA_x000D_
.anc#:ancestor_x000D_
citiz:immigrant_x000D_
#spos:1_x000D_
#srcs:1_x000D_
#comment:1_x000D_
#events:4_x000D_
#kids:1_x000D_
lived:GE,PALANCAHEMPFIE_x000D_
issue:_x000D_
.recs:Birth,Baptism,Death,Immigrate_x000D_
.imm?:immigrant_x000D_
..Spo:MARIA ELISABETHA WOLFF</t>
        </r>
      </text>
    </comment>
    <comment ref="O86" authorId="0" shapeId="0" xr:uid="{15AD764F-1048-45BB-BF0E-07F6E1550726}">
      <text>
        <r>
          <rPr>
            <sz val="9"/>
            <color indexed="81"/>
            <rFont val="Tahoma"/>
            <family val="2"/>
          </rPr>
          <t>CHRISTIAN SCHMAHL_x000D_
http://yeinfo.com/family/I09009040.html_x000D_
https://www.google.com/search?q=CHRISTIAN+SCHMAHL+1525+1555+MARGARETH_x000D_
.born:?1525    -          Germany_x000D_
.died: 1555    -1610     ?Germany, age:30y 0m 0d, _x000D_
.bapt: 1785GE_x000D_
.will: 2004MO_x000D_
.obit: 1890OH_x000D_
.bury: 1850IL _x000D_
.wpbt: 1826PA_x000D_
.anc#:ancestor_x000D_
citiz:foreign_x000D_
#spos:1_x000D_
#srcs:1_x000D_
#comment:0_x000D_
#events:1_x000D_
#kids:1_x000D_
lived:GE_x000D_
issue:Died before Birth_x000D_
.recs:Birth,Marriage,Death_x000D_
.imm?:no_x000D_
..Spo:MARGARETH SCHODNER</t>
        </r>
      </text>
    </comment>
    <comment ref="N88" authorId="0" shapeId="0" xr:uid="{1CB357B5-5C93-4BDB-8E3F-7EEC8312ABDB}">
      <text>
        <r>
          <rPr>
            <sz val="9"/>
            <color indexed="81"/>
            <rFont val="Tahoma"/>
            <family val="2"/>
          </rPr>
          <t>NICLAUSS SCHMAHL_x000D_
http://yeinfo.com/family/I09004520.html_x000D_
https://www.google.com/search?q=NICLAUSS+SCHMAHL+1555+1613+OTILLIA+WOLFF_x000D_
.born:?1555    -         ?Germany_x000D_
.died: 16131007-          Germany, age:58y 9m 6d, _x000D_
.bapt: 1785GE_x000D_
.will: 2004MO_x000D_
.obit: 1890OH_x000D_
.bury: 1850IL _x000D_
.wpbt: 1826PA_x000D_
.anc#:ancestor_x000D_
citiz:foreign_x000D_
#spos:1_x000D_
#srcs:1_x000D_
#comment:0_x000D_
#events:1_x000D_
#kids:1_x000D_
lived:?GE_x000D_
issue:Born before Parents Married_x000D_
.recs:Birth,Marriage,Death_x000D_
.imm?:no_x000D_
..Spo:OTILLIA WOLFF CORMENN</t>
        </r>
      </text>
    </comment>
    <comment ref="P90" authorId="0" shapeId="0" xr:uid="{1EE022CB-658E-486E-AAAF-99ACF494B73F}">
      <text>
        <r>
          <rPr>
            <sz val="9"/>
            <color indexed="81"/>
            <rFont val="Tahoma"/>
            <family val="2"/>
          </rPr>
          <t>CONRAD SCHODNER_x000D_
http://yeinfo.com/family/I09018082.html_x000D_
https://www.google.com/search?q=CONRAD+SCHODNER+1495+1525+{_?_}_x000D_
.born:?1495    -          Germany_x000D_
.died: 1525    -1580     ?Germany, age:30y 0m 0d,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..Spo:{_?_} SCHODNER</t>
        </r>
      </text>
    </comment>
    <comment ref="O92" authorId="0" shapeId="0" xr:uid="{A1320693-E289-4A0B-9CAA-A625ADE31951}">
      <text>
        <r>
          <rPr>
            <sz val="9"/>
            <color indexed="81"/>
            <rFont val="Tahoma"/>
            <family val="2"/>
          </rPr>
          <t>MARGARETH SCHODNER_x000D_
http://yeinfo.com/family/I09009041.html_x000D_
https://www.google.com/search?q=MARGARETH+SCHODNER+1525+1555+SCHMAHL_x000D_
.born:?1525    -          Germany_x000D_
.died: 1555    -1610     ?Germany, age:30y 0m 0d, _x000D_
.bapt: 1785GE_x000D_
.will: 2004MO_x000D_
.obit: 1890OH_x000D_
.bury: 1850IL _x000D_
.wpbt: 1826PA_x000D_
.anc#:ancestor_x000D_
citiz:foreign_x000D_
#spos:1_x000D_
#srcs:1_x000D_
#comment:0_x000D_
#events:1_x000D_
#kids:1_x000D_
lived:GE_x000D_
issue:Died before Birth_x000D_
.recs:Birth,Marriage,Death_x000D_
.imm?:no_x000D_
..Spo:CHRISTIAN SCHMAHL</t>
        </r>
      </text>
    </comment>
    <comment ref="P94" authorId="0" shapeId="0" xr:uid="{0AEE48CE-1982-4669-B12D-21A1453D0A21}">
      <text>
        <r>
          <rPr>
            <sz val="9"/>
            <color indexed="81"/>
            <rFont val="Tahoma"/>
            <family val="2"/>
          </rPr>
          <t>Mrs. {_?_} SCHODNER_x000D_
http://yeinfo.com/family/I09018083.html_x000D_
https://www.google.com/search?q={_?_}+SCHODNER+1495+1525+SCHODNER_x000D_
.born:?1495    -         ?Germany_x000D_
.died: 1525    -1580     ?Germany, age:30y 0m 0d, _x000D_
.bapt: 1785GE_x000D_
.will: 2004MO_x000D_
.obit: 1890OH_x000D_
.bury: 1850IL _x000D_
.wpbt: 1826PA_x000D_
.anc#:ancestor_x000D_
citiz:foreign_x000D_
#spos:1_x000D_
#srcs:1_x000D_
#comment:0_x000D_
#events:1_x000D_
#kids:1_x000D_
lived:?GE_x000D_
issue:_x000D_
.recs:Birth,Marriage,Death_x000D_
.imm?:no_x000D_
..Spo:CONRAD SCHODNER</t>
        </r>
      </text>
    </comment>
    <comment ref="M96" authorId="0" shapeId="0" xr:uid="{1E076423-F30B-4302-94F1-F5247356812F}">
      <text>
        <r>
          <rPr>
            <sz val="9"/>
            <color indexed="81"/>
            <rFont val="Tahoma"/>
            <family val="2"/>
          </rPr>
          <t>LORENZ SCHMAHL_x000D_
http://yeinfo.com/family/I09002260.html_x000D_
https://www.google.com/search?q=LORENZ+SCHMAHL+1588+1664+BARBARA_x000D_
.born: 15881201-          Germany_x000D_
.died: 1664    -         ?Germany, age:75y 1m 0d,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..Spo:BARBARA SENDERLIN</t>
        </r>
      </text>
    </comment>
    <comment ref="N98" authorId="0" shapeId="0" xr:uid="{0D7F9A04-F849-4610-B456-2EFAB09E66C9}">
      <text>
        <r>
          <rPr>
            <sz val="9"/>
            <color indexed="81"/>
            <rFont val="Tahoma"/>
            <family val="2"/>
          </rPr>
          <t>OTILLIA WOLFF CORMENN_x000D_
http://yeinfo.com/family/I09004521.html_x000D_
https://www.google.com/search?q=OTILLIA+WOLFF+CORMENN+1560+1606+SCHMAHL_x000D_
.born:?1560    -          Germany_x000D_
.died: 16060512-          Germany, age:46y 4m 11d,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..Spo:NICLAUSS SCHMAHL</t>
        </r>
      </text>
    </comment>
    <comment ref="L100" authorId="0" shapeId="0" xr:uid="{BB6768AD-481F-41AC-B45C-B4479A8336B1}">
      <text>
        <r>
          <rPr>
            <sz val="9"/>
            <color indexed="81"/>
            <rFont val="Tahoma"/>
            <family val="2"/>
          </rPr>
          <t>LORENTZ SCHMAHL_x000D_
http://yeinfo.com/family/I09001130.html_x000D_
https://www.google.com/search?q=LORENTZ+SCHMAHL+1614+1698+ELISABETHA_x000D_
.born: 16141226-          Germany_x000D_
.died: 16981130-          Germany, age:83y 11m 4d, _x000D_
.bapt: 1785GE_x000D_
.will: 2004MO_x000D_
.obit: 1890OH_x000D_
.bury: 1850IL _x000D_
.wpbt: 1826PA_x000D_
.anc#:ancestor_x000D_
citiz:foreign_x000D_
#spos:1_x000D_
#srcs:1_x000D_
#comment:0_x000D_
#events:2_x000D_
#kids:1_x000D_
lived:GE_x000D_
issue:_x000D_
.recs:Birth,Baptism,Marriage,Death_x000D_
.imm?:no_x000D_
..Spo:ELISABETHA SCHNOOR</t>
        </r>
      </text>
    </comment>
    <comment ref="O102" authorId="0" shapeId="0" xr:uid="{A926B221-2475-40D7-81E2-C4F6F59485D8}">
      <text>
        <r>
          <rPr>
            <sz val="9"/>
            <color indexed="81"/>
            <rFont val="Tahoma"/>
            <family val="2"/>
          </rPr>
          <t>GEORG SENDERLIN_x000D_
http://yeinfo.com/family/I09009044.html_x000D_
https://www.google.com/search?q=GEORG+SENDERLIN+1534+1559+BETTE_x000D_
.born:?1534    -          Germany_x000D_
.died: 1559    -1620     ?Germany, age:25y 0m 0d,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..Spo:BETTE SENDERLIN</t>
        </r>
      </text>
    </comment>
    <comment ref="N104" authorId="0" shapeId="0" xr:uid="{F960980D-50F5-4F2E-8113-FFC36AA77728}">
      <text>
        <r>
          <rPr>
            <sz val="9"/>
            <color indexed="81"/>
            <rFont val="Tahoma"/>
            <family val="2"/>
          </rPr>
          <t>JUSTUS SENDERLIN_x000D_
http://yeinfo.com/family/I09004522.html_x000D_
https://www.google.com/search?q=JUSTUS+SENDERLIN+1559+1634+ANNA+JACOBI_x000D_
.born: 1559    -          Germany_x000D_
.died: 16340220-          Germany, age:75y 1m 19d,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..Spo:ANNA JACOBI TAUTPHAEUS</t>
        </r>
      </text>
    </comment>
    <comment ref="O106" authorId="0" shapeId="0" xr:uid="{074EAA06-06A4-498B-8DF6-EF4E526F10F0}">
      <text>
        <r>
          <rPr>
            <sz val="9"/>
            <color indexed="81"/>
            <rFont val="Tahoma"/>
            <family val="2"/>
          </rPr>
          <t>Mrs. BETTE SENDERLIN_x000D_
http://yeinfo.com/family/I09009045.html_x000D_
https://www.google.com/search?q=BETTE+SENDERLIN+1535+1559+SENDERLIN_x000D_
.born:?1535    -          Germany_x000D_
.died: 1559    -1620     ?Germany, age:24y 0m 0d,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..Spo:GEORG SENDERLIN</t>
        </r>
      </text>
    </comment>
    <comment ref="M108" authorId="0" shapeId="0" xr:uid="{403CE4D0-D4B4-4763-A35B-447E3F64266F}">
      <text>
        <r>
          <rPr>
            <sz val="9"/>
            <color indexed="81"/>
            <rFont val="Tahoma"/>
            <family val="2"/>
          </rPr>
          <t>BARBARA SENDERLIN_x000D_
http://yeinfo.com/family/I09002261.html_x000D_
https://www.google.com/search?q=BARBARA+SENDERLIN+1590+1670+SCHMAHL_x000D_
.born: 1590    -          Germany_x000D_
.died: 16700630-          Germany, age:80y 5m 29d,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..Spo:LORENZ SCHMAHL</t>
        </r>
      </text>
    </comment>
    <comment ref="O110" authorId="0" shapeId="0" xr:uid="{25862B56-B95A-4329-B623-35B4A434F348}">
      <text>
        <r>
          <rPr>
            <sz val="9"/>
            <color indexed="81"/>
            <rFont val="Tahoma"/>
            <family val="2"/>
          </rPr>
          <t>JOHANN JACOBI TAUTPHAEUS_x000D_
http://yeinfo.com/family/I09009046.html_x000D_
https://www.google.com/search?q=JOHANN+JACOBI+TAUTPHAEUS+1530+1601+MARGARETHA_x000D_
.born: 1530    -          Germany_x000D_
.died: 1601    -          Germany, age:71y 0m 0d,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..Spo:MARGARETHA WALTHER</t>
        </r>
      </text>
    </comment>
    <comment ref="N112" authorId="0" shapeId="0" xr:uid="{75B06B9F-1410-45C9-9271-86448A32EEBF}">
      <text>
        <r>
          <rPr>
            <sz val="9"/>
            <color indexed="81"/>
            <rFont val="Tahoma"/>
            <family val="2"/>
          </rPr>
          <t>ANNA JACOBI TAUTPHAEUS_x000D_
http://yeinfo.com/family/I09004523.html_x000D_
https://www.google.com/search?q=ANNA+JACOBI+TAUTPHAEUS+1567+1608+SENDERLIN_x000D_
.born:?1567    -          Germany_x000D_
.died: 16080419-          Germany, age:41y 3m 18d,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..Spo:JUSTUS SENDERLIN</t>
        </r>
      </text>
    </comment>
    <comment ref="Q114" authorId="0" shapeId="0" xr:uid="{B32DBE8B-6DE0-419C-9586-C55799619815}">
      <text>
        <r>
          <rPr>
            <sz val="9"/>
            <color indexed="81"/>
            <rFont val="Tahoma"/>
            <family val="2"/>
          </rPr>
          <t>JOHANNES WALTHER_x000D_
http://yeinfo.com/family/I09036188.html_x000D_
https://www.google.com/search?q=JOHANNES+WALTHER+1465+1516+ANNA+CATHARINA_x000D_
.born: 1465    -          Germany_x000D_
.died: 1516    -          Germany, age:51y 0m 0d, _x000D_
.bapt: 1785GE_x000D_
.will: 2004MO_x000D_
.obit: 1890OH_x000D_
.bury: 1850IL _x000D_
.wpbt: 1826PA_x000D_
.anc#:ancestor_x000D_
citiz:foreign_x000D_
#spos:1_x000D_
#srcs:1_x000D_
#comment:1_x000D_
#events:1_x000D_
#kids:1_x000D_
lived:GE_x000D_
issue:_x000D_
.recs:Birth,Marriage,Death_x000D_
.imm?:no_x000D_
..Spo:ANNA CATHARINA BODENBENDER</t>
        </r>
      </text>
    </comment>
    <comment ref="P116" authorId="0" shapeId="0" xr:uid="{97D60B38-7CD2-42D2-87F7-B484C2FBEE8B}">
      <text>
        <r>
          <rPr>
            <sz val="9"/>
            <color indexed="81"/>
            <rFont val="Tahoma"/>
            <family val="2"/>
          </rPr>
          <t>GERLACH WALTHER_x000D_
http://yeinfo.com/family/I09018094.html_x000D_
https://www.google.com/search?q=GERLACH+WALTHER+1494+1573+BARBARA_x000D_
.born: 1494    -          Germany_x000D_
.died: 15730517-          Germany, age:79y 4m 16d,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..Spo:BARBARA HAPPELS</t>
        </r>
      </text>
    </comment>
    <comment ref="R118" authorId="0" shapeId="0" xr:uid="{CCAD455C-ECA9-40B5-8563-F699E4D9528F}">
      <text>
        <r>
          <rPr>
            <sz val="9"/>
            <color indexed="81"/>
            <rFont val="Tahoma"/>
            <family val="2"/>
          </rPr>
          <t>BECK BODENBENDER_x000D_
http://yeinfo.com/family/I09066678.html_x000D_
https://www.google.com/search?q=BECK+BODENBENDER+1440+1470+BETTE_x000D_
.born: 1440    -          Germany_x000D_
.died: 1470    -1530     ?Germany, age:30y 0m 0d,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..Spo:BETTE BODENBENDER</t>
        </r>
      </text>
    </comment>
    <comment ref="Q120" authorId="0" shapeId="0" xr:uid="{4DF03358-5DEC-43E4-8CC1-15391FEB2336}">
      <text>
        <r>
          <rPr>
            <sz val="9"/>
            <color indexed="81"/>
            <rFont val="Tahoma"/>
            <family val="2"/>
          </rPr>
          <t>ANNA CATHARINA BODENBENDER_x000D_
http://yeinfo.com/family/I09036189.html_x000D_
https://www.google.com/search?q=ANNA+CATHARINA+BODENBENDER+1470+1494+WALTHER_x000D_
.born: 1470    -          Germany_x000D_
.died: 1494    -          Germany, age:24y 0m 0d,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..Spo:JOHANNES WALTHER</t>
        </r>
      </text>
    </comment>
    <comment ref="R122" authorId="0" shapeId="0" xr:uid="{5CA8331C-ED2C-481F-A95D-94229251D377}">
      <text>
        <r>
          <rPr>
            <sz val="9"/>
            <color indexed="81"/>
            <rFont val="Tahoma"/>
            <family val="2"/>
          </rPr>
          <t>Mrs. BETTE BODENBENDER_x000D_
http://yeinfo.com/family/I09066679.html_x000D_
https://www.google.com/search?q=BETTE+BODENBENDER+1440+1470+BODENBENDER_x000D_
.born: 1440    -          Germany_x000D_
.died: 1470    -1530     ?Germany, age:30y 0m 0d,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..Spo:BECK BODENBENDER</t>
        </r>
      </text>
    </comment>
    <comment ref="O124" authorId="0" shapeId="0" xr:uid="{105B4EC5-073B-4B3C-893A-FD7AFAB99892}">
      <text>
        <r>
          <rPr>
            <sz val="9"/>
            <color indexed="81"/>
            <rFont val="Tahoma"/>
            <family val="2"/>
          </rPr>
          <t>MARGARETHA WALTHER_x000D_
http://yeinfo.com/family/I09009047.html_x000D_
https://www.google.com/search?q=MARGARETHA+WALTHER+1532+1567+TAUTPHAEUS_x000D_
.born:?1532    -          Germany_x000D_
.died: 1567    -1620     ?Germany, age:35y 0m 0d,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..Spo:JOHANN JACOBI TAUTPHAEUS</t>
        </r>
      </text>
    </comment>
    <comment ref="Q126" authorId="0" shapeId="0" xr:uid="{214514B9-58FD-4EA0-BD46-12602C6B2672}">
      <text>
        <r>
          <rPr>
            <sz val="9"/>
            <color indexed="81"/>
            <rFont val="Tahoma"/>
            <family val="2"/>
          </rPr>
          <t>JOACHIM HAPPEL_x000D_
http://yeinfo.com/family/I09036190.html_x000D_
https://www.google.com/search?q=JOACHIM+HAPPEL+1470+1552+MARGARETHA+APOLLONIA_x000D_
.born: 1470    -          Germany_x000D_
.died: 15520106-          Germany, age:82y 0m 5d,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..Spo:MARGARETHA APOLLONIA SANDMANN</t>
        </r>
      </text>
    </comment>
    <comment ref="P128" authorId="0" shapeId="0" xr:uid="{481EF35A-87AF-4219-A56F-929849901D0B}">
      <text>
        <r>
          <rPr>
            <sz val="9"/>
            <color indexed="81"/>
            <rFont val="Tahoma"/>
            <family val="2"/>
          </rPr>
          <t>BARBARA HAPPELS_x000D_
http://yeinfo.com/family/I09018095.html_x000D_
https://www.google.com/search?q=BARBARA+HAPPELS+1510+1574+WALTHER_x000D_
.born:?1510    -          Germany_x000D_
.died: 15740715-          Germany, age:64y 6m 14d, _x000D_
.bapt: 1785GE_x000D_
.will: 2004MO_x000D_
.obit: 1890OH_x000D_
.bury: 1850IL _x000D_
.wpbt: 1826PA_x000D_
.anc#:ancestor_x000D_
citiz:foreign_x000D_
#spos:1_x000D_
#srcs:1_x000D_
#comment:0_x000D_
#events:1_x000D_
#kids:1_x000D_
lived:GE_x000D_
issue:Died after Age 100_x000D_
.recs:Birth,Marriage,Death_x000D_
.imm?:no_x000D_
..Spo:GERLACH WALTHER</t>
        </r>
      </text>
    </comment>
    <comment ref="Q130" authorId="0" shapeId="0" xr:uid="{9215D88B-3DBD-4663-8D16-CA752A5A5985}">
      <text>
        <r>
          <rPr>
            <sz val="9"/>
            <color indexed="81"/>
            <rFont val="Tahoma"/>
            <family val="2"/>
          </rPr>
          <t>MARGARETHA APOLLONIA SANDMANN_x000D_
http://yeinfo.com/family/I09036191.html_x000D_
https://www.google.com/search?q=MARGARETHA+APOLLONIA+SANDMANN+1482+1537+HAPPEL_x000D_
.born: 1482    -          Germany_x000D_
.died: 1537    -          Germany, age:55y 0m 0d, _x000D_
.bapt: 1785GE_x000D_
.will: 2004MO_x000D_
.obit: 1890OH_x000D_
.bury: 1850IL _x000D_
.wpbt: 1826PA_x000D_
.anc#:ancestor_x000D_
citiz:foreign_x000D_
#spos:1_x000D_
#srcs:1_x000D_
#comment:0_x000D_
#events:1_x000D_
#kids:1_x000D_
lived:GE_x000D_
issue:Died after Age 100_x000D_
.recs:Birth,Marriage,Death_x000D_
.imm?:no_x000D_
..Spo:JOACHIM HAPPEL</t>
        </r>
      </text>
    </comment>
    <comment ref="K132" authorId="0" shapeId="0" xr:uid="{AD3ECB12-F3E7-4D28-857B-B99085CCA735}">
      <text>
        <r>
          <rPr>
            <sz val="9"/>
            <color indexed="81"/>
            <rFont val="Tahoma"/>
            <family val="2"/>
          </rPr>
          <t>ANNA ELIZABETH SCHMAHL_x000D_
http://yeinfo.com/family/I09000565.html_x000D_
https://www.google.com/search?q=ANNA+ELIZABETH+SCHMAHL+1650+1736+KRAMER_x000D_
.born: 16501230-          Germany_x000D_
.died: 173603  -          Germany, age:85y 1m -1d, _x000D_
.bapt: 1785GE_x000D_
.will: 2004MO_x000D_
.obit: 1890OH_x000D_
.bury: 1850IL _x000D_
.wpbt: 1826PA_x000D_
.anc#:ancestor_x000D_
citiz:foreign_x000D_
#spos:1_x000D_
#srcs:1_x000D_
#comment:0_x000D_
#events:2_x000D_
#kids:1_x000D_
lived:GE_x000D_
issue:_x000D_
.recs:Birth,Baptism,Marriage,Death_x000D_
.imm?:no_x000D_
..Spo:JOHANN ADAM KRAMER</t>
        </r>
      </text>
    </comment>
    <comment ref="N134" authorId="0" shapeId="0" xr:uid="{B18A6CE8-A570-4E83-B8B5-6BA9698E2A57}">
      <text>
        <r>
          <rPr>
            <sz val="9"/>
            <color indexed="81"/>
            <rFont val="Tahoma"/>
            <family val="2"/>
          </rPr>
          <t>KIIAN SCHNOOR_x000D_
http://yeinfo.com/family/I09004524.html_x000D_
https://www.google.com/search?q=KIIAN+SCHNOOR+1562+1585+{_?_}_x000D_
.born:?1562    -         ?Germany_x000D_
.died: 1585    -1620     ?Germany, age:23y 0m 0d, _x000D_
.bapt: 1785GE_x000D_
.will: 2004MO_x000D_
.obit: 1890OH_x000D_
.bury: 1850IL _x000D_
.wpbt: 1826PA_x000D_
.anc#:ancestor_x000D_
citiz:foreign_x000D_
#spos:1_x000D_
#srcs:1_x000D_
#comment:0_x000D_
#events:1_x000D_
#kids:1_x000D_
lived:?GE_x000D_
issue:_x000D_
.recs:Birth,Marriage,Death_x000D_
.imm?:no_x000D_
..Spo:{_?_} SCHNOOR</t>
        </r>
      </text>
    </comment>
    <comment ref="M136" authorId="0" shapeId="0" xr:uid="{4E0523DC-0C85-446D-BA0A-74C5D9727A9D}">
      <text>
        <r>
          <rPr>
            <sz val="9"/>
            <color indexed="81"/>
            <rFont val="Tahoma"/>
            <family val="2"/>
          </rPr>
          <t>KILIAN SCHNOOR_x000D_
http://yeinfo.com/family/I09002262.html_x000D_
https://www.google.com/search?q=KILIAN+SCHNOOR+1585+1656+ELISABETH_x000D_
.born:?1585    -          Germany_x000D_
.died: 1656    -          Germany, age:71y 0m 0d,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..Spo:ELISABETH SCHNOOR</t>
        </r>
      </text>
    </comment>
    <comment ref="N138" authorId="0" shapeId="0" xr:uid="{6968B359-4FB5-4338-ADFA-51C60A1CA2A4}">
      <text>
        <r>
          <rPr>
            <sz val="9"/>
            <color indexed="81"/>
            <rFont val="Tahoma"/>
            <family val="2"/>
          </rPr>
          <t>Mrs. {_?_} SCHNOOR_x000D_
http://yeinfo.com/family/I09004525.html_x000D_
https://www.google.com/search?q={_?_}+SCHNOOR+1562+1585+SCHNOOR_x000D_
.born:?1562    -         ?Germany_x000D_
.died: 1585    -1620     ?Germany, age:23y 0m 0d, _x000D_
.bapt: 1785GE_x000D_
.will: 2004MO_x000D_
.obit: 1890OH_x000D_
.bury: 1850IL _x000D_
.wpbt: 1826PA_x000D_
.anc#:ancestor_x000D_
citiz:foreign_x000D_
#spos:1_x000D_
#srcs:1_x000D_
#comment:0_x000D_
#events:1_x000D_
#kids:1_x000D_
lived:?GE_x000D_
issue:_x000D_
.recs:Birth,Marriage,Death_x000D_
.imm?:no_x000D_
..Spo:KIIAN SCHNOOR</t>
        </r>
      </text>
    </comment>
    <comment ref="L140" authorId="0" shapeId="0" xr:uid="{C8FCD804-C626-4041-B223-DCBAA5336FC5}">
      <text>
        <r>
          <rPr>
            <sz val="9"/>
            <color indexed="81"/>
            <rFont val="Tahoma"/>
            <family val="2"/>
          </rPr>
          <t>ELISABETHA SCHNOOR_x000D_
http://yeinfo.com/family/I09001131.html_x000D_
https://www.google.com/search?q=ELISABETHA+SCHNOOR+1625+1678+SCHMAHL_x000D_
.born: 16250731-          Germany_x000D_
.died: 1678    -          Germany, age:52y 5m 1d, _x000D_
.bapt: 1785GE_x000D_
.will: 2004MO_x000D_
.obit: 1890OH_x000D_
.bury: 1850IL _x000D_
.wpbt: 1826PA_x000D_
.anc#:ancestor_x000D_
citiz:foreign_x000D_
#spos:1_x000D_
#srcs:1_x000D_
#comment:0_x000D_
#events:1_x000D_
#kids:1_x000D_
lived:GE_x000D_
issue:Born after Mom Age 50_x000D_
.recs:Birth,Marriage,Death_x000D_
.imm?:no_x000D_
..Spo:LORENTZ SCHMAHL</t>
        </r>
      </text>
    </comment>
    <comment ref="M142" authorId="0" shapeId="0" xr:uid="{A7530AB7-047F-4A0B-8E64-69736E4A7A43}">
      <text>
        <r>
          <rPr>
            <sz val="9"/>
            <color indexed="81"/>
            <rFont val="Tahoma"/>
            <family val="2"/>
          </rPr>
          <t>Mrs. ELISABETH SCHNOOR_x000D_
http://yeinfo.com/family/I09002263.html_x000D_
https://www.google.com/search?q=ELISABETH+SCHNOOR+1562+1661+SCHNOOR_x000D_
.born:?1562    -          Germany_x000D_
.died: 1661    -          Germany, age:99y 0m 0d,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..Spo:KILIAN SCHNOOR</t>
        </r>
      </text>
    </comment>
    <comment ref="I144" authorId="0" shapeId="0" xr:uid="{45D291EE-1479-4116-AD8D-38E1D3DEC44B}">
      <text>
        <r>
          <rPr>
            <sz val="9"/>
            <color indexed="81"/>
            <rFont val="Tahoma"/>
            <family val="2"/>
          </rPr>
          <t>ANNA CATHARINA KRAMER_x000D_
http://yeinfo.com/family/I09000141.html_x000D_
https://www.google.com/search?q=ANNA+CATHARINA+KRAMER+1720+1761+SHULTZ_x000D_
.born:?1720    -          Germany_x000D_
.died: 1761    -1800     ?Germany, age:41y 0m 0d, _x000D_
.bapt: 1785GE_x000D_
.will: 2004MO_x000D_
.obit: 1890OH_x000D_
.bury: 1850IL _x000D_
.wpbt: 1826PA_x000D_
.anc#:ancestor_x000D_
citiz:foreign_x000D_
#spos:1_x000D_
#srcs:1_x000D_
#comment:1_x000D_
#events:1_x000D_
#kids:1_x000D_
lived:GE_x000D_
issue:_x000D_
.recs:Birth,Marriage,Death_x000D_
.imm?:no_x000D_
..Spo:JOHANN MARTIN SHULTZ</t>
        </r>
      </text>
    </comment>
    <comment ref="L146" authorId="0" shapeId="0" xr:uid="{65FFABAC-CDBE-4142-9158-F022C70C2598}">
      <text>
        <r>
          <rPr>
            <sz val="9"/>
            <color indexed="81"/>
            <rFont val="Tahoma"/>
            <family val="2"/>
          </rPr>
          <t>LORENZ WOLFF_x000D_
http://yeinfo.com/family/I09001132.html_x000D_
https://www.google.com/search?q=LORENZ+WOLFF+1612+1685+APOLONIA_x000D_
.born: 1612    -          Germany_x000D_
.died: 1685    -         ?Germany, age:73y 0m 0d, _x000D_
.bapt: 1785GE_x000D_
.will: 2004MO_x000D_
.obit: 1890OH_x000D_
.bury: 1850IL Essenheim,Mainz,Deutschland_x000D_
.wpbt: 1826PA_x000D_
.anc#:ancestor_x000D_
citiz:foreign_x000D_
#spos:1_x000D_
#srcs:1_x000D_
#comment:1_x000D_
#events:2_x000D_
#kids:1_x000D_
lived:GE_x000D_
issue:_x000D_
.recs:Birth,Marriage,Death,Interment/Burial_x000D_
.imm?:no_x000D_
..Spo:APOLONIA PLOTT</t>
        </r>
      </text>
    </comment>
    <comment ref="K148" authorId="0" shapeId="0" xr:uid="{86A62B44-B697-4207-95C1-09F7DEF3B55C}">
      <text>
        <r>
          <rPr>
            <sz val="9"/>
            <color indexed="81"/>
            <rFont val="Tahoma"/>
            <family val="2"/>
          </rPr>
          <t>WENZEL WOLFF_x000D_
http://yeinfo.com/family/I09000566.html_x000D_
https://www.google.com/search?q=WENZEL+WOLFF+1647+1711+ELIZABETH_x000D_
.born: 16470801-          Germany_x000D_
.died: 17110204-          Germany, age:63y 6m 3d, _x000D_
.bapt: 1785GE_x000D_
.will: 2004MO_x000D_
.obit: 1890OH_x000D_
.bury: 1850IL _x000D_
.wpbt: 1826PA_x000D_
.anc#:ancestor_x000D_
citiz:foreign_x000D_
#spos:1_x000D_
#srcs:1_x000D_
#comment:0_x000D_
#events:2_x000D_
#kids:1_x000D_
lived:GE_x000D_
issue:_x000D_
.recs:Birth,Baptism,Marriage,Death_x000D_
.imm?:no_x000D_
..Spo:ELIZABETH VETTER</t>
        </r>
      </text>
    </comment>
    <comment ref="L150" authorId="0" shapeId="0" xr:uid="{37EDD749-AA39-4D7B-AB50-D5AD7C6B8288}">
      <text>
        <r>
          <rPr>
            <sz val="9"/>
            <color indexed="81"/>
            <rFont val="Tahoma"/>
            <family val="2"/>
          </rPr>
          <t>APOLONIA PLOTT_x000D_
http://yeinfo.com/family/I09001133.html_x000D_
https://www.google.com/search?q=APOLONIA+PLOTT+1616+1688+WOLFF_x000D_
.born: 1616    -          Germany_x000D_
.died: 16880214-          Germany, age:72y 1m 13d,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..Spo:LORENZ WOLFF</t>
        </r>
      </text>
    </comment>
    <comment ref="J152" authorId="0" shapeId="0" xr:uid="{1CC0E435-601E-4451-9DAE-BF7124359A31}">
      <text>
        <r>
          <rPr>
            <sz val="9"/>
            <color indexed="81"/>
            <rFont val="Tahoma"/>
            <family val="2"/>
          </rPr>
          <t>MARIA ELISABETHA WOLFF_x000D_
http://yeinfo.com/family/I09000283.html_x000D_
https://www.google.com/search?q=MARIA+ELISABETHA+WOLFF+1687+1743+KRAMER_x000D_
.born: 16870430-          Germany_x000D_
.died: 174307  -          Lancaster (Lancaster) Pennsylvania, age:56y 2m 1d, _x000D_
.bapt: 1785GE_x000D_
.will: 2004MO_x000D_
.obit: 1890OH_x000D_
.bury: 1850IL _x000D_
.wpbt: 1826PA_x000D_
.anc#:ancestor_x000D_
citiz:immigrant_x000D_
#spos:1_x000D_
#srcs:1_x000D_
#comment:1_x000D_
#events:1_x000D_
#kids:1_x000D_
lived:GE,PALANCALANCAST_x000D_
issue:_x000D_
.recs:Birth,Marriage,Death_x000D_
.imm?:immigrant_x000D_
..Spo:HANS ADAM KRAMER</t>
        </r>
      </text>
    </comment>
    <comment ref="L154" authorId="0" shapeId="0" xr:uid="{4A009ADB-70CB-4D7C-B63E-30C4F0876E57}">
      <text>
        <r>
          <rPr>
            <sz val="9"/>
            <color indexed="81"/>
            <rFont val="Tahoma"/>
            <family val="2"/>
          </rPr>
          <t>PHILIPP KILIAN VETTER_x000D_
http://yeinfo.com/family/I09001134.html_x000D_
https://www.google.com/search?q=PHILIPP+KILIAN+VETTER+1626+1649+{_?_}_x000D_
.born:?1626    -         ?Germany_x000D_
.died: 1649    -1710     ?Germany, age:23y 0m 0d, _x000D_
.bapt: 1785GE_x000D_
.will: 2004MO_x000D_
.obit: 1890OH_x000D_
.bury: 1850IL _x000D_
.wpbt: 1826PA_x000D_
.anc#:ancestor_x000D_
citiz:foreign_x000D_
#spos:1_x000D_
#srcs:1_x000D_
#comment:0_x000D_
#events:1_x000D_
#kids:1_x000D_
lived:?GE_x000D_
issue:_x000D_
.recs:Birth,Marriage,Death_x000D_
.imm?:no_x000D_
..Spo:{_?_} VETTER</t>
        </r>
      </text>
    </comment>
    <comment ref="K156" authorId="0" shapeId="0" xr:uid="{F04E60A4-50AC-4861-A193-44FACAE9134A}">
      <text>
        <r>
          <rPr>
            <sz val="9"/>
            <color indexed="81"/>
            <rFont val="Tahoma"/>
            <family val="2"/>
          </rPr>
          <t>ELIZABETH VETTER_x000D_
http://yeinfo.com/family/I09000567.html_x000D_
https://www.google.com/search?q=ELIZABETH+VETTER+1649+1696+WOLFF_x000D_
.born:?1649    -          Germany_x000D_
.died: 1696    -         ?Germany, age:47y 0m 0d, _x000D_
.bapt: 1785GE_x000D_
.will: 2004MO_x000D_
.obit: 1890OH_x000D_
.bury: 1850IL Essenheim,Mainz,Hessen_x000D_
.wpbt: 1826PA_x000D_
.anc#:ancestor_x000D_
citiz:foreign_x000D_
#spos:1_x000D_
#srcs:1_x000D_
#comment:0_x000D_
#events:2_x000D_
#kids:1_x000D_
lived:GE_x000D_
issue:_x000D_
.recs:Birth,Marriage,Death,Interment/Burial_x000D_
.imm?:no_x000D_
..Spo:WENZEL WOLFF</t>
        </r>
      </text>
    </comment>
    <comment ref="L158" authorId="0" shapeId="0" xr:uid="{30F07603-A782-46C0-95AE-2360ADB052BA}">
      <text>
        <r>
          <rPr>
            <sz val="9"/>
            <color indexed="81"/>
            <rFont val="Tahoma"/>
            <family val="2"/>
          </rPr>
          <t>Mrs. {_?_} VETTER_x000D_
http://yeinfo.com/family/I09001135.html_x000D_
https://www.google.com/search?q={_?_}+VETTER+1626+1649+VETTER_x000D_
.born:?1626    -         ?Germany_x000D_
.died: 1649    -1710     ?Germany, age:23y 0m 0d, _x000D_
.bapt: 1785GE_x000D_
.will: 2004MO_x000D_
.obit: 1890OH_x000D_
.bury: 1850IL _x000D_
.wpbt: 1826PA_x000D_
.anc#:ancestor_x000D_
citiz:foreign_x000D_
#spos:1_x000D_
#srcs:1_x000D_
#comment:0_x000D_
#events:1_x000D_
#kids:1_x000D_
lived:?GE_x000D_
issue:_x000D_
.recs:Birth,Marriage,Death_x000D_
.imm?:no_x000D_
..Spo:PHILIPP KILIAN VETTER</t>
        </r>
      </text>
    </comment>
    <comment ref="G160" authorId="0" shapeId="0" xr:uid="{50E85B25-BEE1-40D2-AC18-1975EA4858A8}">
      <text>
        <r>
          <rPr>
            <sz val="9"/>
            <color indexed="81"/>
            <rFont val="Tahoma"/>
            <family val="2"/>
          </rPr>
          <t>BARBARA SHULTZ_x000D_
http://yeinfo.com/family/I09000035.html_x000D_
https://www.google.com/search?q=BARBARA+SHULTZ+1788+1864+HILDEBRAND_x000D_
.born: 17880114-         ?Codorus (York) Pennsylvania_x000D_
.died: 18641125-          Huntington Harbour (Huntingdon) Pennsylvania, age:76y 10m 11d, _x000D_
.bapt: 1785GE_x000D_
.will: 2004MO_x000D_
.obit: 1890OH_x000D_
.bury: 1850IL Riverview Cemetery_x000D_
.wpbt: 1826PA_x000D_
.anc#:ancestor_x000D_
citiz:US born_x000D_
#spos:1_x000D_
#srcs:7_x000D_
#comment:0_x000D_
#events:9_x000D_
#kids:5_x000D_
lived:?PAYORK CODORUS,PAHUNTIHUNTING,PAHUNTIPORTER_x000D_
issue:_x000D_
.recs:Birth,Baptism,Marriage,Death,Interment/Burial,Land Transaction_x000D_
.imm?:no_x000D_
..Spo:JOHN HILDEBRAND</t>
        </r>
      </text>
    </comment>
    <comment ref="J162" authorId="0" shapeId="0" xr:uid="{E1B03FDE-C0EA-4B37-AB71-98EFD7175C70}">
      <text>
        <r>
          <rPr>
            <sz val="9"/>
            <color indexed="81"/>
            <rFont val="Tahoma"/>
            <family val="2"/>
          </rPr>
          <t>JACOB HOLLANDER_x000D_
http://yeinfo.com/family/I09000284.html_x000D_
https://www.google.com/search?q=JACOB+HOLLANDER+1708+1728+{_?_}_x000D_
.born:?1708    -         ?Germany_x000D_
.died: 1728    -1798     ?Germany, age:20y 0m 0d, _x000D_
.bapt: 1785GE_x000D_
.will: 2004MO_x000D_
.obit: 1890OH_x000D_
.bury: 1850IL _x000D_
.wpbt: 1826PA_x000D_
.anc#:ancestor_x000D_
citiz:foreign_x000D_
#spos:1_x000D_
#srcs:1_x000D_
#comment:1_x000D_
#events:1_x000D_
#kids:1_x000D_
lived:?GE_x000D_
issue:_x000D_
.recs:Birth,Marriage,Death_x000D_
.imm?:no_x000D_
..Spo:{_?_} HOLLANDER</t>
        </r>
      </text>
    </comment>
    <comment ref="I164" authorId="0" shapeId="0" xr:uid="{6EC8AC73-6AC5-4FAC-86D9-25AC1D01187B}">
      <text>
        <r>
          <rPr>
            <sz val="9"/>
            <color indexed="81"/>
            <rFont val="Tahoma"/>
            <family val="2"/>
          </rPr>
          <t>JOHANN PETER HOLLANDER Sr._x000D_
http://yeinfo.com/family/I09000142.html_x000D_
https://www.google.com/search?q=JOHANN+PETER+HOLLANDER+1720+1761+ANNAE+MARGARETHAE_x000D_
.born:?1720    -          Germany_x000D_
.died:?1761    -         ?Germany, age:41y 0m 0d, _x000D_
.bapt: 1785GE_x000D_
.will: 2004MO_x000D_
.obit: 1890OH_x000D_
.bury: 1850IL _x000D_
.wpbt: 1826PA_x000D_
.anc#:ancestor_x000D_
citiz:foreign_x000D_
#spos:1_x000D_
#srcs:1_x000D_
#comment:1_x000D_
#events:2_x000D_
#kids:5_x000D_
lived:GE,PAHUNTIHUNTING_x000D_
issue:_x000D_
.recs:Birth,Marriage,Will Written,Death_x000D_
.imm?:no_x000D_
..Spo:ANNAE MARGARETHAE FABER</t>
        </r>
      </text>
    </comment>
    <comment ref="J166" authorId="0" shapeId="0" xr:uid="{7CC485BD-9D97-44DD-8ABC-DAFF52A609CA}">
      <text>
        <r>
          <rPr>
            <sz val="9"/>
            <color indexed="81"/>
            <rFont val="Tahoma"/>
            <family val="2"/>
          </rPr>
          <t>Mrs. {_?_} HOLLANDER_x000D_
http://yeinfo.com/family/I09000285.html_x000D_
https://www.google.com/search?q={_?_}+HOLLANDER+1708+1728+HOLLANDER_x000D_
.born:?1708    -         ?Germany_x000D_
.died: 1728    -1798     ?Germany, age:20y 0m 0d, _x000D_
.bapt: 1785GE_x000D_
.will: 2004MO_x000D_
.obit: 1890OH_x000D_
.bury: 1850IL _x000D_
.wpbt: 1826PA_x000D_
.anc#:ancestor_x000D_
citiz:foreign_x000D_
#spos:1_x000D_
#srcs:1_x000D_
#comment:0_x000D_
#events:1_x000D_
#kids:1_x000D_
lived:?GE_x000D_
issue:_x000D_
.recs:Birth,Marriage,Death_x000D_
.imm?:no_x000D_
..Spo:JACOB HOLLANDER</t>
        </r>
      </text>
    </comment>
    <comment ref="H168" authorId="0" shapeId="0" xr:uid="{8F828EE8-765D-4216-B155-DA8A67B66BD5}">
      <text>
        <r>
          <rPr>
            <sz val="9"/>
            <color indexed="81"/>
            <rFont val="Tahoma"/>
            <family val="2"/>
          </rPr>
          <t>MARIE CATHERINE HOLLANDER_x000D_
http://yeinfo.com/family/I09000071.html_x000D_
https://www.google.com/search?q=MARIE+CATHERINE+HOLLANDER+1749+1826+SHULTZ_x000D_
.born: 17490224-          Germany_x000D_
.died: 18261006-          Huntington Harbour (Huntingdon) Pennsylvania, age:77y 7m 12d, _x000D_
.bapt: 1785GE_x000D_
.will: 2004MO_x000D_
.obit: 1890OH_x000D_
.bury: 1850IL Riverview Cemetery_x000D_
.wpbt: 1826PA_x000D_
.anc#:ancestor_x000D_
citiz:immigrant_x000D_
#spos:1_x000D_
#srcs:4_x000D_
#comment:2_x000D_
#events:4_x000D_
#kids:5_x000D_
lived:GE,PAHUNTIHUNTING_x000D_
issue:_x000D_
.recs:Birth,Baptism,Marriage,Will Written,Death,Interment/Burial_x000D_
.imm?:immigrant_x000D_
..Spo:LAWRENCE\LORENTZ SHULTZ</t>
        </r>
      </text>
    </comment>
    <comment ref="J170" authorId="0" shapeId="0" xr:uid="{EA5D4EFD-23D4-4F5A-B1B0-562F8C8A5B4F}">
      <text>
        <r>
          <rPr>
            <sz val="9"/>
            <color indexed="81"/>
            <rFont val="Tahoma"/>
            <family val="2"/>
          </rPr>
          <t>GABRIEL FABER_x000D_
http://yeinfo.com/family/I09000286.html_x000D_
https://www.google.com/search?q=GABRIEL+FABER+1705+1725+{_?_}_x000D_
.born:?1705    -         ?Germany_x000D_
.died: 1725    -1795     ?Germany, age:20y 0m 0d, _x000D_
.bapt: 1785GE_x000D_
.will: 2004MO_x000D_
.obit: 1890OH_x000D_
.bury: 1850IL _x000D_
.wpbt: 1826PA_x000D_
.anc#:ancestor_x000D_
citiz:foreign_x000D_
#spos:1_x000D_
#srcs:1_x000D_
#comment:0_x000D_
#events:1_x000D_
#kids:1_x000D_
lived:?GE_x000D_
issue:_x000D_
.recs:Birth,Marriage,Death_x000D_
.imm?:no_x000D_
..Spo:{_?_} FABER</t>
        </r>
      </text>
    </comment>
    <comment ref="I172" authorId="0" shapeId="0" xr:uid="{91E50029-098B-4905-9F63-023620963F30}">
      <text>
        <r>
          <rPr>
            <sz val="9"/>
            <color indexed="81"/>
            <rFont val="Tahoma"/>
            <family val="2"/>
          </rPr>
          <t>ANNAE MARGARETHAE FABER_x000D_
http://yeinfo.com/family/I09000143.html_x000D_
https://www.google.com/search?q=ANNAE+MARGARETHAE+FABER+1725+1760+HOLLANDER_x000D_
.born:?1725    -          Germany_x000D_
.died: 1760    -1810     ?, age:35y 0m 0d, _x000D_
.bapt: 1785GE_x000D_
.will: 2004MO_x000D_
.obit: 1890OH_x000D_
.bury: 1850IL _x000D_
.wpbt: 1826PA_x000D_
.anc#:ancestor_x000D_
citiz:US born_x000D_
#spos:1_x000D_
#srcs:1_x000D_
#comment:1_x000D_
#events:1_x000D_
#kids:5_x000D_
lived:GE_x000D_
issue:_x000D_
.recs:Birth,Marriage,Death_x000D_
.imm?:no_x000D_
..Spo:JOHANN PETER HOLLANDER</t>
        </r>
      </text>
    </comment>
    <comment ref="J174" authorId="0" shapeId="0" xr:uid="{76FB1343-03C0-4E07-B245-3396EADDADBF}">
      <text>
        <r>
          <rPr>
            <sz val="9"/>
            <color indexed="81"/>
            <rFont val="Tahoma"/>
            <family val="2"/>
          </rPr>
          <t>Mrs. {_?_} FABER_x000D_
http://yeinfo.com/family/I09000287.html_x000D_
https://www.google.com/search?q={_?_}+FABER+1705+1725+FABER_x000D_
.born:?1705    -         ?Germany_x000D_
.died: 1725    -1795     ?Germany, age:20y 0m 0d, _x000D_
.bapt: 1785GE_x000D_
.will: 2004MO_x000D_
.obit: 1890OH_x000D_
.bury: 1850IL _x000D_
.wpbt: 1826PA_x000D_
.anc#:ancestor_x000D_
citiz:foreign_x000D_
#spos:1_x000D_
#srcs:1_x000D_
#comment:0_x000D_
#events:1_x000D_
#kids:1_x000D_
lived:?GE_x000D_
issue:_x000D_
.recs:Birth,Marriage,Death_x000D_
.imm?:no_x000D_
..Spo:GABRIEL FABER</t>
        </r>
      </text>
    </comment>
    <comment ref="D176" authorId="0" shapeId="0" xr:uid="{09EA5ED0-E052-41D2-8575-A5CF23B0D667}">
      <text>
        <r>
          <rPr>
            <sz val="9"/>
            <color indexed="81"/>
            <rFont val="Tahoma"/>
            <family val="2"/>
          </rPr>
          <t>EDWIN LAWRENCE WILSON_x000D_
http://yeinfo.com/family/I09000004.html_x000D_
https://www.google.com/search?q=EDWIN+LAWRENCE+WILSON+1895+1971+Charlotte+SEARLS_x000D_
.born: 18951122-          Kansas City (Jackson) Missouri_x000D_
.died: 19710913-          Riverside (Platte) Missouri, age:75y 9m 22d, arteriosclerosis_x000D_
.bapt: 1785GE_x000D_
.will: 2004MO_x000D_
.obit: 1890OH_x000D_
.bury: 1850IL Crown Hill Cemetery Masonic section_x000D_
.wpbt: 1826PA_x000D_
.anc#:ancestor_x000D_
citiz:US born_x000D_
#spos:2_x000D_
#srcs:11_x000D_
#comment:4_x000D_
#events:30_x000D_
#kids:2_x000D_
lived:IAPLYMOLE MARS,KSRILEY,MOCLAY EXCELSI,MOJACKSKANSASC,MOPLTTERIVERSI_x000D_
issue:_x000D_
.recs:Birth,High School,Military,Marriage,Divorce,Job/Occupation,Death,Interment/Burial,Obituary,Church,Image_x000D_
.imm?:no_x000D_
..Spo:Charlotte Eakle</t>
        </r>
      </text>
    </comment>
    <comment ref="F178" authorId="0" shapeId="0" xr:uid="{68C8CB73-B6F6-4B76-992C-A279E6D2A71A}">
      <text>
        <r>
          <rPr>
            <sz val="9"/>
            <color indexed="81"/>
            <rFont val="Tahoma"/>
            <family val="2"/>
          </rPr>
          <t>THOMAS K. MELVIN_x000D_
http://yeinfo.com/family/I09000018.html_x000D_
https://www.google.com/search?q=THOMAS+K.+MELVIN+1822+1890+ELIZABETH+JANE_x000D_
.born: 18221014-          Virginia_x000D_
.died: 18900207-          Xenia (Greene) Ohio, age:67y 3m 24d, paralysis had for some years_x000D_
.bapt: 1785GE_x000D_
.will: 2004MO_x000D_
.obit: 1890OH_x000D_
.bury: 1850IL Woodland Cemetery section C lot 90 grave 12_x000D_
.wpbt: 1826PA_x000D_
.anc#:ancestor_x000D_
citiz:US born_x000D_
#spos:1_x000D_
#srcs:4_x000D_
#comment:3_x000D_
#events:13_x000D_
#kids:2_x000D_
lived:INFOUNTATTICA,INVIGO TERRE H,MOPIKE,OHGRENECEDARVI,OHGRENEXENIA,VA,WVJEFFE_x000D_
issue:_x000D_
.recs:Birth,Military,Marriage,Death,Interment/Burial,Obituary_x000D_
.imm?:no_x000D_
..Spo:ELIZABETH JANE RIGGS</t>
        </r>
      </text>
    </comment>
    <comment ref="E180" authorId="0" shapeId="0" xr:uid="{207CD4D9-6C40-45D8-8FAE-6CAD09C5B98D}">
      <text>
        <r>
          <rPr>
            <sz val="9"/>
            <color indexed="81"/>
            <rFont val="Tahoma"/>
            <family val="2"/>
          </rPr>
          <t>IDA MELVIN_x000D_
http://yeinfo.com/family/I09000009.html_x000D_
https://www.google.com/search?q=IDA+MELVIN+1862+1922+WILSON_x000D_
.born: 18620112-          Cedarville (Greene) Ohio_x000D_
.died: 19220717-          Kansas City (Jackson) Missouri, age:60y 6m 5d, _x000D_
.bapt: 1785GE_x000D_
.will: 2004MO_x000D_
.obit: 1890OH_x000D_
.bury: 1850IL Forest Hill Cemetery unmarked grave #1977 block 13, unmarked_x000D_
.wpbt: 1826PA_x000D_
.anc#:ancestor_x000D_
citiz:US born_x000D_
#spos:1_x000D_
#srcs:4_x000D_
#comment:2_x000D_
#events:11_x000D_
#kids:6_x000D_
lived:INFOUNTATTICA,INVIGO TERRE H,MOJACKSKANSASC,OHGRENECEDARVI,OHGRENEXENIA_x000D_
issue:_x000D_
.recs:Birth,Marriage,Death,Interment/Burial,Obituary_x000D_
.imm?:no_x000D_
..Spo:ROBERT STITT WILSON</t>
        </r>
      </text>
    </comment>
    <comment ref="F182" authorId="0" shapeId="0" xr:uid="{23466ED7-5B77-4E32-8ECC-B67B9390461A}">
      <text>
        <r>
          <rPr>
            <sz val="9"/>
            <color indexed="81"/>
            <rFont val="Tahoma"/>
            <family val="2"/>
          </rPr>
          <t>ELIZABETH JANE RIGGS_x000D_
http://yeinfo.com/family/I09000019.html_x000D_
https://www.google.com/search?q=ELIZABETH+JANE+RIGGS+1825+1915+Mitchell+THOMAS+K._x000D_
.born: 18250216-         ?Troy (Lincoln) Missouri_x000D_
.died: 19150204-         ?Ontario county Canada, age:89y 11m 19d, _x000D_
.bapt: 1785GE_x000D_
.will: 2004MO_x000D_
.obit: 1890OH_x000D_
.bury: 1850IL Brantford_x000D_
.wpbt: 1826PA_x000D_
.anc#:ancestor_x000D_
citiz:US born_x000D_
#spos:2_x000D_
#srcs:3_x000D_
#comment:1_x000D_
#events:11_x000D_
#kids:3_x000D_
lived:?MOJACKSKANSASC,?MOLINCOTROY,CNONTARBRANTFO,INFOUNTATTICA,INVIGO TERRE H,MOLINCO,MOPIKE LOUISIA,OHGRENECEDARVI_x000D_
issue:_x000D_
.recs:Birth,Marriage,Death,Interment/Burial_x000D_
.imm?:no_x000D_
..Spo:Robert Mitchell</t>
        </r>
      </text>
    </comment>
    <comment ref="C184" authorId="0" shapeId="0" xr:uid="{9C0C69D5-A6FF-4AFE-94BA-B0C46429E00B}">
      <text>
        <r>
          <rPr>
            <sz val="9"/>
            <color indexed="81"/>
            <rFont val="Tahoma"/>
            <family val="2"/>
          </rPr>
          <t>Daniel Merideth WILSON_x000D_
http://yeinfo.com/family/I09000002.html_x000D_
https://www.google.com/search?q=Daniel+Merideth+WILSON+1931+2004+Patricia+Ann_x000D_
.born: 19310225-          Excelsior Springs (Clay) Missouri_x000D_
.died: 20040627-          North Kansas City (Clay) Missouri, age:73y 4m 2d, heart attack complications_x000D_
.bapt: 1785GE_x000D_
.will: 2004MO_x000D_
.obit: 1890OH_x000D_
.bury: 1850IL Crown Hill Cemetery section 4, block 2, lot 52_x000D_
.wpbt: 1826PA_x000D_
.anc#:ancestor_x000D_
citiz:US born_x000D_
#spos:1_x000D_
#srcs:7_x000D_
#comment:1_x000D_
#events:33_x000D_
#kids:4_x000D_
lived:ARSEBASFT SMIT,MOCLAY EXCELSI,MOCLAY N.KANSA,MOJACKSKANSASC,MOPLTTEPARKVIL,TNMADISJACKSON,TNSHELBMEMPHIS,VANORFONORFOLK_x000D_
issue:_x000D_
.recs:Birth,Grade School,High School,College,Military,Marriage,Job/Occupation,Will Written,Death,Interment/Burial,Obituary,Image_x000D_
.imm?:no_x000D_
..Spo:Patricia Ann DEATON</t>
        </r>
      </text>
    </comment>
    <comment ref="L186" authorId="0" shapeId="0" xr:uid="{F650217B-89C7-4934-B939-A0B601960219}">
      <text>
        <r>
          <rPr>
            <sz val="9"/>
            <color indexed="81"/>
            <rFont val="Tahoma"/>
            <family val="2"/>
          </rPr>
          <t>ROBERT SEARLS_x000D_
http://yeinfo.com/family/I09001280.html_x000D_
https://www.google.com/search?q=ROBERT+SEARLS+1640+1663+JOHANNA_x000D_
.born:?1640    -          England_x000D_
.died: 1663    -1730      England, age:23y 0m 0d, _x000D_
.bapt: 1785GE_x000D_
.will: 2004MO_x000D_
.obit: 1890OH_x000D_
.bury: 1850IL _x000D_
.wpbt: 1826PA_x000D_
.anc#:double ancestor_x000D_
citiz:foreign_x000D_
#spos:1_x000D_
#srcs:1_x000D_
#comment:0_x000D_
#events:2_x000D_
#kids:1_x000D_
lived:EN_x000D_
issue:_x000D_
.recs:Birth,Baptism,Marriage,Death_x000D_
.imm?:no_x000D_
..Spo:JOHANNA SEARLS</t>
        </r>
      </text>
    </comment>
    <comment ref="K188" authorId="0" shapeId="0" xr:uid="{226032FA-5D55-4639-A134-D07388764C69}">
      <text>
        <r>
          <rPr>
            <sz val="9"/>
            <color indexed="81"/>
            <rFont val="Tahoma"/>
            <family val="2"/>
          </rPr>
          <t>ROBERT SEARLS_x000D_
http://yeinfo.com/family/I09000640.html_x000D_
https://www.google.com/search?q=ROBERT+SEARLS+1663+1711+MARY\MATILDA_x000D_
.born:?1663    -          England_x000D_
.died: 1711    -1753     ?England, age:48y 0m 0d, _x000D_
.bapt: 1785GE_x000D_
.will: 2004MO_x000D_
.obit: 1890OH_x000D_
.bury: 1850IL _x000D_
.wpbt: 1826PA_x000D_
.anc#:double ancestor_x000D_
citiz:foreign_x000D_
#spos:1_x000D_
#srcs:1_x000D_
#comment:1_x000D_
#events:2_x000D_
#kids:1_x000D_
lived:ENMIDDLLONDON_x000D_
issue:_x000D_
.recs:Birth,Baptism,Marriage,Death_x000D_
.imm?:no_x000D_
..Spo:MARY\MATILDA QUARTERMAIN</t>
        </r>
      </text>
    </comment>
    <comment ref="L190" authorId="0" shapeId="0" xr:uid="{120F6866-D30A-40FD-A0DF-56017AEDD56E}">
      <text>
        <r>
          <rPr>
            <sz val="9"/>
            <color indexed="81"/>
            <rFont val="Tahoma"/>
            <family val="2"/>
          </rPr>
          <t>Mrs. JOHANNA SEARLS_x000D_
http://yeinfo.com/family/I09001281.html_x000D_
https://www.google.com/search?q=JOHANNA+SEARLS+1640+1663+SEARLS_x000D_
.born:?1640    -          England_x000D_
.died: 1663    -1730      England, age:23y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..Spo:ROBERT SEARLS</t>
        </r>
      </text>
    </comment>
    <comment ref="J192" authorId="0" shapeId="0" xr:uid="{E0363010-F99A-44DB-A92A-347B358953A0}">
      <text>
        <r>
          <rPr>
            <sz val="9"/>
            <color indexed="81"/>
            <rFont val="Tahoma"/>
            <family val="2"/>
          </rPr>
          <t>JOHN SEARLS Sr._x000D_
http://yeinfo.com/family/I09000320.html_x000D_
https://www.google.com/search?q=JOHN+SEARLS+1711+1770+MARY+ELIZABETH_x000D_
.born: 17110411-          London (Middlesex) England_x000D_
.died:c1770    -         ?Chappaquiddick (Westchester) New York, age:58y 8m 21d, _x000D_
.bapt: 1785GE_x000D_
.will: 2004MO_x000D_
.obit: 1890OH_x000D_
.bury: 1850IL _x000D_
.wpbt: 1826PA_x000D_
.anc#:double ancestor_x000D_
citiz:immigrant_x000D_
#spos:1_x000D_
#srcs:1_x000D_
#comment:1_x000D_
#events:5_x000D_
#kids:4_x000D_
lived:?NYWESTCCHAPPAQ,ENMIDDLLONDON,ENOXFOSBURNFOR,NYWESTCBEDFORD_x000D_
issue:_x000D_
.recs:Birth,Baptism,Marriage,Will Inclusion,Death_x000D_
.imm?:immigrant_x000D_
..Spo:MARY ELIZABETH PACKER</t>
        </r>
      </text>
    </comment>
    <comment ref="K194" authorId="0" shapeId="0" xr:uid="{F11EB652-049E-4B31-AC74-A6100D6A8A19}">
      <text>
        <r>
          <rPr>
            <sz val="9"/>
            <color indexed="81"/>
            <rFont val="Tahoma"/>
            <family val="2"/>
          </rPr>
          <t>MARY\MATILDA QUARTERMAIN_x000D_
http://yeinfo.com/family/I09000641.html_x000D_
https://www.google.com/search?q=MARY\MATILDA+QUARTERMAIN+1670+1711+SEARLS_x000D_
.born:?1670    -          England_x000D_
.died: 1711    -1750      Hagley (Worcestershire) England, age:41y 0m 0d, _x000D_
.bapt: 1785GE_x000D_
.will: 2004MO_x000D_
.obit: 1890OH_x000D_
.bury: 1850IL _x000D_
.wpbt: 1826PA_x000D_
.anc#:double ancestor_x000D_
citiz:foreign_x000D_
#spos:1_x000D_
#srcs:2_x000D_
#comment:1_x000D_
#events:1_x000D_
#kids:1_x000D_
lived:ENMIDDLLONDON,ENWORCSHAGLEY_x000D_
issue:_x000D_
.recs:Birth,Marriage,Death_x000D_
.imm?:no_x000D_
..Spo:ROBERT SEARLS</t>
        </r>
      </text>
    </comment>
    <comment ref="I196" authorId="0" shapeId="0" xr:uid="{DC9DA6D5-F82E-4724-BC43-15405411965B}">
      <text>
        <r>
          <rPr>
            <sz val="9"/>
            <color indexed="81"/>
            <rFont val="Tahoma"/>
            <family val="2"/>
          </rPr>
          <t>JOHN SEARLS Jr._x000D_
http://yeinfo.com/family/I09000160.html_x000D_
https://www.google.com/search?q=JOHN+SEARLS+1732+1810+HANNAH_x000D_
.born: 17320511-          Mount Pleasant (Westchester) New York_x000D_
.died: 18100829-          Coxsackie (Greene) New York, age:78y 3m 18d, _x000D_
.bapt: 1785GE_x000D_
.will: 2004MO_x000D_
.obit: 1890OH_x000D_
.bury: 1850IL Sarls Homestead Cemetery_x000D_
.wpbt: 1826PA_x000D_
.anc#:double ancestor_x000D_
citiz:US born_x000D_
#spos:1_x000D_
#srcs:25_x000D_
#comment:3_x000D_
#events:16_x000D_
#kids:12_x000D_
lived:?NYALBAY,NYGRENECOXSACK,NYGRENEHANNACR,NYGRENENEW BAL,NYWESTCMT. PLE,NYWESTCNORTH C,NYWESTCPOUND R_x000D_
issue:_x000D_
.recs:Birth,Marriage,Taxes,Will Written,Death,Interment/Burial_x000D_
.imm?:no_x000D_
..Spo:HANNAH IRELAND</t>
        </r>
      </text>
    </comment>
    <comment ref="J198" authorId="0" shapeId="0" xr:uid="{6AAC5E6A-4C23-47CB-AAC3-1F9A7C2F4234}">
      <text>
        <r>
          <rPr>
            <sz val="9"/>
            <color indexed="81"/>
            <rFont val="Tahoma"/>
            <family val="2"/>
          </rPr>
          <t>MARY ELIZABETH PACKER_x000D_
http://yeinfo.com/family/I09000321.html_x000D_
https://www.google.com/search?q=MARY+ELIZABETH+PACKER+1709+1732+SEARLS_x000D_
.born: 1709    -          Biddestone (Wiltshire) England_x000D_
.died: 1732    -1799     ?Westchester county New York, age:23y 0m 0d, _x000D_
.bapt: 1785GE_x000D_
.will: 2004MO_x000D_
.obit: 1890OH_x000D_
.bury: 1850IL _x000D_
.wpbt: 1826PA_x000D_
.anc#:double ancestor_x000D_
citiz:immigrant_x000D_
#spos:1_x000D_
#srcs:1_x000D_
#comment:1_x000D_
#events:2_x000D_
#kids:4_x000D_
lived:?NYWESTC,ENOXFOSBURNFOR,ENWILTSBIDDEST_x000D_
issue:_x000D_
.recs:Birth,Baptism,Marriage,Death_x000D_
.imm?:immigrant_x000D_
..Spo:JOHN SEARLS</t>
        </r>
      </text>
    </comment>
    <comment ref="H200" authorId="0" shapeId="0" xr:uid="{F7816C82-9CE2-435B-9A44-202107792EC7}">
      <text>
        <r>
          <rPr>
            <sz val="9"/>
            <color indexed="81"/>
            <rFont val="Tahoma"/>
            <family val="2"/>
          </rPr>
          <t>DANIEL SEARLS_x000D_
http://yeinfo.com/family/I09000080.html_x000D_
https://www.google.com/search?q=DANIEL+SEARLS+1775+1854+Martha+FISHER_x000D_
.born: 17750506-          Westchester county New York_x000D_
.died: 18540728-          Hinckley (Medina) Ohio, age:79y 2m 22d, _x000D_
.bapt: 1785GE_x000D_
.will: 2004MO_x000D_
.obit: 1890OH_x000D_
.bury: 1850IL _x000D_
.wpbt: 1826PA_x000D_
.anc#:ancestor_x000D_
citiz:US born_x000D_
#spos:2_x000D_
#srcs:12_x000D_
#comment:2_x000D_
#events:26_x000D_
#kids:16_x000D_
lived:NYALBAY,NYGRENECOXSACK,NYGRENENEW BAL,NYRENSS,NYWESTCNORTH C,NYWESTCS.SALEM,OHMEDINHINCKLY,OHSUMMIRICHFIE_x000D_
issue:_x000D_
.recs:Birth,Marriage,Job/Occupation,Death,Land Transaction_x000D_
.imm?:no_x000D_
..Spo:Martha Smith</t>
        </r>
      </text>
    </comment>
    <comment ref="M202" authorId="0" shapeId="0" xr:uid="{31700717-6364-4248-98F2-373231B433C1}">
      <text>
        <r>
          <rPr>
            <sz val="9"/>
            <color indexed="81"/>
            <rFont val="Tahoma"/>
            <family val="2"/>
          </rPr>
          <t>WILLIAM\SAMUEL IRELAND Jr._x000D_
http://yeinfo.com/family/I09002576.html_x000D_
https://www.google.com/search?q=WILLIAM\SAMUEL+IRELAND+1603+1639+MARY_x000D_
.born: 1603    -         ?England_x000D_
.died: 16390520-         ?, age:36y 4m 19d, _x000D_
.bapt: 1785GE_x000D_
.will: 2004MO_x000D_
.obit: 1890OH_x000D_
.bury: 1850IL _x000D_
.wpbt: 1826PA_x000D_
.anc#:double ancestor_x000D_
citiz:US born_x000D_
#spos:1_x000D_
#srcs:3_x000D_
#comment:0_x000D_
#events:1_x000D_
#kids:1_x000D_
lived:?EN_x000D_
issue:_x000D_
.recs:Birth,Marriage,Death_x000D_
.imm?:no_x000D_
..Spo:MARY LOAH</t>
        </r>
      </text>
    </comment>
    <comment ref="L204" authorId="0" shapeId="0" xr:uid="{E7708764-488D-49BD-A25C-ADC99A071C23}">
      <text>
        <r>
          <rPr>
            <sz val="9"/>
            <color indexed="81"/>
            <rFont val="Tahoma"/>
            <family val="2"/>
          </rPr>
          <t>THOMAS IRELAND_x000D_
http://yeinfo.com/family/I09001288.html_x000D_
https://www.google.com/search?q=THOMAS+IRELAND+1622+1668+JOAN_x000D_
.born: 1622    -          Warwickshire county England_x000D_
.died: 1668    -          , age:46y 0m 0d, _x000D_
.bapt: 1785GE_x000D_
.will: 2004MO_x000D_
.obit: 1890OH_x000D_
.bury: 1850IL _x000D_
.wpbt: 1826PA_x000D_
.anc#:double ancestor_x000D_
citiz:US born_x000D_
#spos:1_x000D_
#srcs:7_x000D_
#comment:1_x000D_
#events:5_x000D_
#kids:1_x000D_
lived:?NYNASSAHEMPSTE,ENWARWE_x000D_
issue:_x000D_
.recs:Birth,Marriage,Will Written,Death,Gov't Court_x000D_
.imm?:no_x000D_
..Spo:JOAN DUTTON</t>
        </r>
      </text>
    </comment>
    <comment ref="M206" authorId="0" shapeId="0" xr:uid="{34961E56-6285-4F5F-9BC5-B7F31434B670}">
      <text>
        <r>
          <rPr>
            <sz val="9"/>
            <color indexed="81"/>
            <rFont val="Tahoma"/>
            <family val="2"/>
          </rPr>
          <t>MARY LOAH_x000D_
http://yeinfo.com/family/I09002577.html_x000D_
https://www.google.com/search?q=MARY+LOAH+1590+1622+IRELAND_x000D_
.born:?1590    -         ?England_x000D_
.died: 1622    -1680     ?, age:32y 0m 0d, _x000D_
.bapt: 1785GE_x000D_
.will: 2004MO_x000D_
.obit: 1890OH_x000D_
.bury: 1850IL _x000D_
.wpbt: 1826PA_x000D_
.anc#:double ancestor_x000D_
citiz:US born_x000D_
#spos:1_x000D_
#srcs:1_x000D_
#comment:0_x000D_
#events:1_x000D_
#kids:1_x000D_
lived:?EN_x000D_
issue:_x000D_
.recs:Birth,Marriage,Death_x000D_
.imm?:no_x000D_
..Spo:WILLIAM\SAMUEL IRELAND</t>
        </r>
      </text>
    </comment>
    <comment ref="K208" authorId="0" shapeId="0" xr:uid="{7956B409-6F30-4FE0-84F9-FF699EA7D325}">
      <text>
        <r>
          <rPr>
            <sz val="9"/>
            <color indexed="81"/>
            <rFont val="Tahoma"/>
            <family val="2"/>
          </rPr>
          <t>THOMAS JOSEPH IRELAND_x000D_
http://yeinfo.com/family/I09000644.html_x000D_
https://www.google.com/search?q=THOMAS+JOSEPH+IRELAND+1647+1710+MARY_x000D_
.born:c1647    -          Hempstead (Nassau) New York_x000D_
.died: 1710    -          New York, age:63y 0m 0d, _x000D_
.bapt: 1785GE_x000D_
.will: 2004MO_x000D_
.obit: 1890OH_x000D_
.bury: 1850IL _x000D_
.wpbt: 1826PA_x000D_
.anc#:double ancestor_x000D_
citiz:US born_x000D_
#spos:1_x000D_
#srcs:12_x000D_
#comment:1_x000D_
#events:9_x000D_
#kids:10_x000D_
lived:NYNASSAHEMPSTE,NYNASSAOYSTERB,NYSUFFOHUNTINT_x000D_
issue:_x000D_
.recs:Birth,Marriage,Deed,Land Transaction_x000D_
.imm?:no_x000D_
..Spo:MARY ABRAHAMS</t>
        </r>
      </text>
    </comment>
    <comment ref="N210" authorId="0" shapeId="0" xr:uid="{E2CA8E32-D387-4C50-99F6-A99A736178CC}">
      <text>
        <r>
          <rPr>
            <sz val="9"/>
            <color indexed="81"/>
            <rFont val="Tahoma"/>
            <family val="2"/>
          </rPr>
          <t>THOMAS DUTTON_x000D_
http://yeinfo.com/family/I09005156.html_x000D_
https://www.google.com/search?q=THOMAS+DUTTON+1568+1614+THOMASYN_x000D_
.born: 1568    -          Cheshire county England_x000D_
.died: 16141228-          Dutton (Cheshire) England, age:46y 11m 27d, _x000D_
.bapt: 1785GE_x000D_
.will: 2004MO_x000D_
.obit: 1890OH_x000D_
.bury: 1850IL _x000D_
.wpbt: 1826PA_x000D_
.anc#:double ancestor_x000D_
citiz:foreign_x000D_
#spos:1_x000D_
#srcs:6_x000D_
#comment:1_x000D_
#events:1_x000D_
#kids:1_x000D_
lived:ENCHESHDUTTON_x000D_
issue:_x000D_
.recs:Birth,Marriage,Death_x000D_
.imm?:no_x000D_
..Spo:THOMASYN ANDERTON</t>
        </r>
      </text>
    </comment>
    <comment ref="M212" authorId="0" shapeId="0" xr:uid="{A9901678-9329-4A1B-B5E2-D0BE46BF4C20}">
      <text>
        <r>
          <rPr>
            <sz val="9"/>
            <color indexed="81"/>
            <rFont val="Tahoma"/>
            <family val="2"/>
          </rPr>
          <t>ROLAND DUTTON_x000D_
http://yeinfo.com/family/I09002578.html_x000D_
https://www.google.com/search?q=ROLAND+DUTTON+1585+1653+ELIZABETH_x000D_
.born: 1585    -          Hatton (Cheshire) England_x000D_
.died: 1653    -          American Samoa, age:68y 0m 0d, _x000D_
.bapt: 1785GE_x000D_
.will: 2004MO_x000D_
.obit: 1890OH_x000D_
.bury: 1850IL _x000D_
.wpbt: 1826PA_x000D_
.anc#:double ancestor_x000D_
citiz:foreign_x000D_
#spos:1_x000D_
#srcs:6_x000D_
#comment:0_x000D_
#events:1_x000D_
#kids:1_x000D_
lived:AS,ENCHESHHATTON,ENSHROPSHREWSB_x000D_
issue:Born before Parents Married_x000D_
.recs:Birth,Marriage,Death_x000D_
.imm?:no_x000D_
..Spo:ELIZABETH JONES</t>
        </r>
      </text>
    </comment>
    <comment ref="Q214" authorId="0" shapeId="0" xr:uid="{74F74D8E-146D-4696-9B1A-81E8DC43EDB2}">
      <text>
        <r>
          <rPr>
            <sz val="9"/>
            <color indexed="81"/>
            <rFont val="Tahoma"/>
            <family val="2"/>
          </rPr>
          <t>JAMES ANDERTON_x000D_
http://yeinfo.com/family/I09041256.html_x000D_
https://www.google.com/search?q=JAMES+ANDERTON+1495+1552+ANNE_x000D_
.born: 1495    -          Euxton (Lancashire) England_x000D_
.died: 1552    -          England, age:57y 0m 0d, _x000D_
.bapt: 1785GE_x000D_
.will: 2004MO_x000D_
.obit: 1890OH_x000D_
.bury: 1850IL _x000D_
.wpbt: 1826PA_x000D_
.anc#:double ancestor_x000D_
citiz:foreign_x000D_
#spos:1_x000D_
#srcs:1_x000D_
#comment:1_x000D_
#events:1_x000D_
#kids:1_x000D_
lived:ENLANCSEUXTON_x000D_
issue:Died after Age 100_x000D_
.recs:Birth,Marriage,Death_x000D_
.imm?:no_x000D_
..Spo:ANNE BANASTRE</t>
        </r>
      </text>
    </comment>
    <comment ref="P216" authorId="0" shapeId="0" xr:uid="{03D2DF55-DB70-4F21-9B8B-7C5B432CC5B6}">
      <text>
        <r>
          <rPr>
            <sz val="9"/>
            <color indexed="81"/>
            <rFont val="Tahoma"/>
            <family val="2"/>
          </rPr>
          <t>ROGER ANDERTON Sr._x000D_
http://yeinfo.com/family/I09020628.html_x000D_
https://www.google.com/search?q=ROGER+ANDERTON+1510+1546+{_?_}_x000D_
.born:?1510    -          Adlington (Lancashire) England_x000D_
.died: 1546    -1611     ?England, age:36y 0m 0d, _x000D_
.bapt: 1785GE_x000D_
.will: 2004MO_x000D_
.obit: 1890OH_x000D_
.bury: 1850IL _x000D_
.wpbt: 1826PA_x000D_
.anc#:double ancestor_x000D_
citiz:foreign_x000D_
#spos:1_x000D_
#srcs:1_x000D_
#comment:0_x000D_
#events:1_x000D_
#kids:1_x000D_
lived:ENLANCSADLINGT_x000D_
issue:_x000D_
.recs:Birth,Marriage,Death_x000D_
.imm?:no_x000D_
..Spo:{_?_} ANDERTON</t>
        </r>
      </text>
    </comment>
    <comment ref="T218" authorId="0" shapeId="0" xr:uid="{44BA54EA-8B4B-41A6-A603-300ED464228A}">
      <text>
        <r>
          <rPr>
            <sz val="9"/>
            <color indexed="81"/>
            <rFont val="Tahoma"/>
            <family val="2"/>
          </rPr>
          <t>WILLIAM BANASTRE II_x000D_
http://yeinfo.com/family/I09066438.html_x000D_
https://www.google.com/search?q=WILLIAM+BANASTRE+1359+1395+ELIZABETH_x000D_
.born: 1359    -          Wheathill (Somerset) England_x000D_
.died: 1395    -          Radstock (Somerset) England, age:36y 0m 0d, _x000D_
.bapt: 1785GE_x000D_
.will: 2004MO_x000D_
.obit: 1890OH_x000D_
.bury: 1850IL _x000D_
.wpbt: 1826PA_x000D_
.anc#:  triple ancestor_x000D_
citiz:foreign_x000D_
#spos:1_x000D_
#srcs:2_x000D_
#comment:0_x000D_
#events:1_x000D_
#kids:2_x000D_
lived:ENSOMESRADSTOC,ENSOMESWHEATHI_x000D_
issue:_x000D_
.recs:Birth,Marriage,Death_x000D_
.imm?:no_x000D_
..Spo:ELIZABETH WELLESLEY</t>
        </r>
      </text>
    </comment>
    <comment ref="S220" authorId="0" shapeId="0" xr:uid="{AD8D4D74-CB01-47DD-803A-F75139BA14A2}">
      <text>
        <r>
          <rPr>
            <sz val="9"/>
            <color indexed="81"/>
            <rFont val="Tahoma"/>
            <family val="2"/>
          </rPr>
          <t>FRANCIS BANASTRE_x000D_
http://yeinfo.com/family/I09066773.html_x000D_
https://www.google.com/search?q=FRANCIS+BANASTRE+1400+1495+ELIZABETH_x000D_
.born: 1400    -          Colne (Lancashire) England_x000D_
.died:?149503  -          Frome (Somerset) England, age:95y 2m 0d, _x000D_
.bapt: 1785GE_x000D_
.will: 2004MO_x000D_
.obit: 1890OH_x000D_
.bury: 1850IL _x000D_
.wpbt: 1826PA_x000D_
.anc#:double ancestor_x000D_
citiz:foreign_x000D_
#spos:1_x000D_
#srcs:1_x000D_
#comment:0_x000D_
#events:1_x000D_
#kids:1_x000D_
lived:ENLANCSCOLNE,ENSOMESFROME_x000D_
issue:Born after Parent Died_x000D_
.recs:Birth,Marriage,Death_x000D_
.imm?:no_x000D_
..Spo:ELIZABETH JOSEPH</t>
        </r>
      </text>
    </comment>
    <comment ref="T222" authorId="0" shapeId="0" xr:uid="{713D7CE1-887D-4157-BBA4-108AAF82B286}">
      <text>
        <r>
          <rPr>
            <sz val="9"/>
            <color indexed="81"/>
            <rFont val="Tahoma"/>
            <family val="2"/>
          </rPr>
          <t>ELIZABETH WELLESLEY_x000D_
http://yeinfo.com/family/I09066486.html_x000D_
https://www.google.com/search?q=ELIZABETH+WELLESLEY+1363+1400+BANASTRE_x000D_
.born: 1363    -          Radstock (Somerset) England_x000D_
.died: 1400    -1450      Somerset county England, age:37y 0m 0d, _x000D_
.bapt: 1785GE_x000D_
.will: 2004MO_x000D_
.obit: 1890OH_x000D_
.bury: 1850IL _x000D_
.wpbt: 1826PA_x000D_
.anc#:  triple ancestor_x000D_
citiz:foreign_x000D_
#spos:1_x000D_
#srcs:1_x000D_
#comment:0_x000D_
#events:1_x000D_
#kids:2_x000D_
lived:ENSOMESRADSTOC_x000D_
issue:_x000D_
.recs:Birth,Marriage,Death_x000D_
.imm?:no_x000D_
..Spo:WILLIAM BANASTRE</t>
        </r>
      </text>
    </comment>
    <comment ref="R224" authorId="0" shapeId="0" xr:uid="{D26C2191-0EEF-46C4-8B66-B8B3DC5107A3}">
      <text>
        <r>
          <rPr>
            <sz val="9"/>
            <color indexed="81"/>
            <rFont val="Tahoma"/>
            <family val="2"/>
          </rPr>
          <t>HENRY BANASTRE_x000D_
http://yeinfo.com/family/I09066774.html_x000D_
https://www.google.com/search?q=HENRY+BANASTRE+1460+1526+ELIZABETH_x000D_
.born: 1460    -          Southport (Lancashire) England_x000D_
.died: 1526    -          Bretherton (Lancashire) England, age:66y 0m 0d, _x000D_
.bapt: 1785GE_x000D_
.will: 2004MO_x000D_
.obit: 1890OH_x000D_
.bury: 1850IL _x000D_
.wpbt: 1826PA_x000D_
.anc#:double ancestor_x000D_
citiz:foreign_x000D_
#spos:1_x000D_
#srcs:1_x000D_
#comment:0_x000D_
#events:1_x000D_
#kids:1_x000D_
lived:?ENLANCSBRETHER,ENLANCSSOUTHPT_x000D_
issue:_x000D_
.recs:Birth,Marriage,Death_x000D_
.imm?:no_x000D_
..Spo:ELIZABETH OSBALDESTON</t>
        </r>
      </text>
    </comment>
    <comment ref="T226" authorId="0" shapeId="0" xr:uid="{715B1D4F-72E3-4E42-9E7E-AC147DD45DE8}">
      <text>
        <r>
          <rPr>
            <sz val="9"/>
            <color indexed="81"/>
            <rFont val="Tahoma"/>
            <family val="2"/>
          </rPr>
          <t>THOMAS JOSEPH_x000D_
http://yeinfo.com/family/I09066807.html_x000D_
https://www.google.com/search?q=THOMAS+JOSEPH+1395+1418+{_?_}_x000D_
.born: 1395    -          Northamptonshire county England_x000D_
.died: 1418    -1483     ?England, age:23y 0m 0d, _x000D_
.bapt: 1785GE_x000D_
.will: 2004MO_x000D_
.obit: 1890OH_x000D_
.bury: 1850IL _x000D_
.wpbt: 1826PA_x000D_
.anc#:double ancestor_x000D_
citiz:foreign_x000D_
#spos:1_x000D_
#srcs:1_x000D_
#comment:0_x000D_
#events:1_x000D_
#kids:1_x000D_
lived:ENNORTA_x000D_
issue:_x000D_
.recs:Birth,Marriage,Death_x000D_
.imm?:no_x000D_
..Spo:{_?_} JOSEPH</t>
        </r>
      </text>
    </comment>
    <comment ref="S228" authorId="0" shapeId="0" xr:uid="{95D4AF23-FA29-475A-BD9B-B5B254F545FA}">
      <text>
        <r>
          <rPr>
            <sz val="9"/>
            <color indexed="81"/>
            <rFont val="Tahoma"/>
            <family val="2"/>
          </rPr>
          <t>ELIZABETH JOSEPH_x000D_
http://yeinfo.com/family/I09066808.html_x000D_
https://www.google.com/search?q=ELIZABETH+JOSEPH+1418+1475+BANASTRE_x000D_
.born:?1418    -          Towcester (Northamptonshire) England_x000D_
.died: 14750624-          Towcester (Northamptonshire) England, age:57y 5m 23d, _x000D_
.bapt: 1785GE_x000D_
.will: 2004MO_x000D_
.obit: 1890OH_x000D_
.bury: 1850IL _x000D_
.wpbt: 1826PA_x000D_
.anc#:double ancestor_x000D_
citiz:foreign_x000D_
#spos:1_x000D_
#srcs:1_x000D_
#comment:0_x000D_
#events:1_x000D_
#kids:1_x000D_
lived:?ENLANCS,ENNORTATOWCEST_x000D_
issue:_x000D_
.recs:Birth,Marriage,Death_x000D_
.imm?:no_x000D_
..Spo:FRANCIS BANASTRE</t>
        </r>
      </text>
    </comment>
    <comment ref="T230" authorId="0" shapeId="0" xr:uid="{46D6355F-C123-41ED-8176-B1A7E36EE5F3}">
      <text>
        <r>
          <rPr>
            <sz val="9"/>
            <color indexed="81"/>
            <rFont val="Tahoma"/>
            <family val="2"/>
          </rPr>
          <t>Mrs. {_?_} JOSEPH_x000D_
http://yeinfo.com/family/I09066806.html_x000D_
https://www.google.com/search?q={_?_}+JOSEPH+1398+1418+JOSEPH_x000D_
.born:?1398    -         ?Northamptonshire county England_x000D_
.died: 1418    -1483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lived:?ENNORTA_x000D_
issue:_x000D_
.recs:Birth,Marriage,Death_x000D_
.imm?:no_x000D_
..Spo:THOMAS JOSEPH</t>
        </r>
      </text>
    </comment>
    <comment ref="Q232" authorId="0" shapeId="0" xr:uid="{DFB6B7B8-1578-47EB-8911-19C00DAAA6B2}">
      <text>
        <r>
          <rPr>
            <sz val="9"/>
            <color indexed="81"/>
            <rFont val="Tahoma"/>
            <family val="2"/>
          </rPr>
          <t>ANNE BANASTRE_x000D_
http://yeinfo.com/family/I09041257.html_x000D_
https://www.google.com/search?q=ANNE+BANASTRE+1503+1552+ANDERTON_x000D_
.born: 1503    -          Euxton (Lancashire) England_x000D_
.died: 1552    -          England, age:49y 0m 0d, _x000D_
.bapt: 1785GE_x000D_
.will: 2004MO_x000D_
.obit: 1890OH_x000D_
.bury: 1850IL _x000D_
.wpbt: 1826PA_x000D_
.anc#:double ancestor_x000D_
citiz:foreign_x000D_
#spos:1_x000D_
#srcs:1_x000D_
#comment:0_x000D_
#events:1_x000D_
#kids:1_x000D_
lived:ENLANCSEUXTON_x000D_
issue:Born after Mom Age 50,Died after Age 100_x000D_
.recs:Birth,Marriage,Death_x000D_
.imm?:no_x000D_
..Spo:JAMES ANDERTON</t>
        </r>
      </text>
    </comment>
    <comment ref="U234" authorId="0" shapeId="0" xr:uid="{40C6A883-7D87-4CD2-9A18-8C6735B97785}">
      <text>
        <r>
          <rPr>
            <sz val="9"/>
            <color indexed="81"/>
            <rFont val="Tahoma"/>
            <family val="2"/>
          </rPr>
          <t>GEOFFREY OSBALDESTON_x000D_
http://yeinfo.com/family/I09066820.html_x000D_
https://www.google.com/search?q=GEOFFREY+OSBALDESTON+1335+1383+CECILY_x000D_
.born:?1335    -          Blackburn (Lancashire) England_x000D_
.died: 1383    -1448     ?England, age:48y 0m 0d, _x000D_
.bapt: 1785GE_x000D_
.will: 2004MO_x000D_
.obit: 1890OH_x000D_
.bury: 1850IL _x000D_
.wpbt: 1826PA_x000D_
.anc#:double ancestor_x000D_
citiz:foreign_x000D_
#spos:1_x000D_
#srcs:1_x000D_
#comment:1_x000D_
#events:1_x000D_
#kids:1_x000D_
lived:ENLANCSBLACKBU_x000D_
issue:_x000D_
.recs:Birth,Marriage,Death_x000D_
.imm?:no_x000D_
..Spo:CECILY MASSEY</t>
        </r>
      </text>
    </comment>
    <comment ref="T236" authorId="0" shapeId="0" xr:uid="{69F9DE1C-038C-439A-8B19-994E7CDAA317}">
      <text>
        <r>
          <rPr>
            <sz val="9"/>
            <color indexed="81"/>
            <rFont val="Tahoma"/>
            <family val="2"/>
          </rPr>
          <t>THOMAS OSBALDESTON_x000D_
http://yeinfo.com/family/I09066822.html_x000D_
https://www.google.com/search?q=THOMAS+OSBALDESTON+1383+1412+ALICE_x000D_
.born:?1383    -          Blackburn (Lancashire) England_x000D_
.died: 1412    -1460      Blackburn (Lancashire) England, age:29y 0m 0d, _x000D_
.bapt: 1785GE_x000D_
.will: 2004MO_x000D_
.obit: 1890OH_x000D_
.bury: 1850IL _x000D_
.wpbt: 1826PA_x000D_
.anc#:double ancestor_x000D_
citiz:foreign_x000D_
#spos:1_x000D_
#srcs:1_x000D_
#comment:0_x000D_
#events:1_x000D_
#kids:1_x000D_
lived:ENLANCSBLACKBU_x000D_
issue:_x000D_
.recs:Birth,Marriage,Death_x000D_
.imm?:no_x000D_
..Spo:ALICE OSBALDESTON</t>
        </r>
      </text>
    </comment>
    <comment ref="U238" authorId="0" shapeId="0" xr:uid="{F2E4471B-888F-41D8-8C1A-83D16841EF84}">
      <text>
        <r>
          <rPr>
            <sz val="9"/>
            <color indexed="81"/>
            <rFont val="Tahoma"/>
            <family val="2"/>
          </rPr>
          <t>CECILY MASSEY_x000D_
http://yeinfo.com/family/I09066817.html_x000D_
https://www.google.com/search?q=CECILY+MASSEY+1360+1383+OSBALDESTON_x000D_
.born:?1360    -          Puddington (Cheshire) England_x000D_
.died: 1383    -1448     ?England, age:23y 0m 0d, _x000D_
.bapt: 1785GE_x000D_
.will: 2004MO_x000D_
.obit: 1890OH_x000D_
.bury: 1850IL _x000D_
.wpbt: 1826PA_x000D_
.anc#:double ancestor_x000D_
citiz:foreign_x000D_
#spos:1_x000D_
#srcs:1_x000D_
#comment:1_x000D_
#events:1_x000D_
#kids:1_x000D_
lived:ENCHESHPUDDING_x000D_
issue:_x000D_
.recs:Birth,Marriage,Death_x000D_
.imm?:no_x000D_
..Spo:GEOFFREY OSBALDESTON</t>
        </r>
      </text>
    </comment>
    <comment ref="S240" authorId="0" shapeId="0" xr:uid="{D315A893-0320-47D6-BDF0-5337F8A91DC9}">
      <text>
        <r>
          <rPr>
            <sz val="9"/>
            <color indexed="81"/>
            <rFont val="Tahoma"/>
            <family val="2"/>
          </rPr>
          <t>GEOFFREY OSBALDESTON_x000D_
http://yeinfo.com/family/I09066823.html_x000D_
https://www.google.com/search?q=GEOFFREY+OSBALDESTON+1405+1475+ISABEL_x000D_
.born:?1405    -          Osbaldeston (Lancashire) England_x000D_
.died: 14750809-          Blackburn (Lancashire) England, age:70y 7m 8d, _x000D_
.bapt: 1785GE_x000D_
.will: 2004MO_x000D_
.obit: 1890OH_x000D_
.bury: 1850IL _x000D_
.wpbt: 1826PA_x000D_
.anc#:double ancestor_x000D_
citiz:foreign_x000D_
#spos:1_x000D_
#srcs:1_x000D_
#comment:0_x000D_
#events:1_x000D_
#kids:1_x000D_
lived:ENLANCSBLACKBU,ENLANCSOSBALDE_x000D_
issue:_x000D_
.recs:Birth,Marriage,Death_x000D_
.imm?:no_x000D_
..Spo:ISABEL LANGTON</t>
        </r>
      </text>
    </comment>
    <comment ref="T242" authorId="0" shapeId="0" xr:uid="{F8B9127B-962B-4A95-AC0E-9F833516C82A}">
      <text>
        <r>
          <rPr>
            <sz val="9"/>
            <color indexed="81"/>
            <rFont val="Tahoma"/>
            <family val="2"/>
          </rPr>
          <t>Mrs. ALICE OSBALDESTON_x000D_
http://yeinfo.com/family/I09066821.html_x000D_
https://www.google.com/search?q=ALICE+OSBALDESTON+1385+1459+OSBALDESTON_x000D_
.born:?1385    -          Lancashire county England_x000D_
.died: 1459    -          Lancashire county England, age:74y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..Spo:THOMAS OSBALDESTON</t>
        </r>
      </text>
    </comment>
    <comment ref="R244" authorId="0" shapeId="0" xr:uid="{607D86BD-D7C5-489F-BB0B-EA6F459361D0}">
      <text>
        <r>
          <rPr>
            <sz val="9"/>
            <color indexed="81"/>
            <rFont val="Tahoma"/>
            <family val="2"/>
          </rPr>
          <t>ELIZABETH OSBALDESTON_x000D_
http://yeinfo.com/family/I09066824.html_x000D_
https://www.google.com/search?q=ELIZABETH+OSBALDESTON+1449+1507+BANASTRE_x000D_
.born: 1449    -          Banks (Lancashire) England_x000D_
.died: 1507    -          Bretherton (Lancashire) England, age:58y 0m 0d, _x000D_
.bapt: 1785GE_x000D_
.will: 2004MO_x000D_
.obit: 1890OH_x000D_
.bury: 1850IL _x000D_
.wpbt: 1826PA_x000D_
.anc#:double ancestor_x000D_
citiz:foreign_x000D_
#spos:1_x000D_
#srcs:1_x000D_
#comment:0_x000D_
#events:1_x000D_
#kids:1_x000D_
lived:?ENLANCSBRETHER,ENLANCSBANKS_x000D_
issue:Born after Parent Died_x000D_
.recs:Birth,Marriage,Death_x000D_
.imm?:no_x000D_
..Spo:HENRY BANASTRE</t>
        </r>
      </text>
    </comment>
    <comment ref="U246" authorId="0" shapeId="0" xr:uid="{CDF6383E-FB05-4C15-8F26-C900904E16ED}">
      <text>
        <r>
          <rPr>
            <sz val="9"/>
            <color indexed="81"/>
            <rFont val="Tahoma"/>
            <family val="2"/>
          </rPr>
          <t>RALPH LANGTON_x000D_
http://yeinfo.com/family/I09066809.html_x000D_
https://www.google.com/search?q=RALPH+LANGTON+1340+1406+JOAN_x000D_
.born:?1340    -          England_x000D_
.died: 1406    -          England, age:66y 0m 0d, _x000D_
.bapt: 1785GE_x000D_
.will: 2004MO_x000D_
.obit: 1890OH_x000D_
.bury: 1850IL _x000D_
.wpbt: 1826PA_x000D_
.anc#:double ancestor_x000D_
citiz:foreign_x000D_
#spos:1_x000D_
#srcs:1_x000D_
#comment:1_x000D_
#events:1_x000D_
#kids:1_x000D_
lived:EN_x000D_
issue:_x000D_
.recs:Birth,Marriage,Death_x000D_
.imm?:no_x000D_
..Spo:JOAN RADCLIFFE</t>
        </r>
      </text>
    </comment>
    <comment ref="T248" authorId="0" shapeId="0" xr:uid="{186AD925-47EE-4C2D-AB19-178033741FDE}">
      <text>
        <r>
          <rPr>
            <sz val="9"/>
            <color indexed="81"/>
            <rFont val="Tahoma"/>
            <family val="2"/>
          </rPr>
          <t>HENRY LANGTON_x000D_
http://yeinfo.com/family/I09066810.html_x000D_
https://www.google.com/search?q=HENRY+LANGTON+1372+1419+AGNES_x000D_
.born: 1372    -          Preston (Lancashire) England_x000D_
.died: 14190914-          Blackburn (Lancashire) England, age:47y 8m 13d, _x000D_
.bapt: 1785GE_x000D_
.will: 2004MO_x000D_
.obit: 1890OH_x000D_
.bury: 1850IL _x000D_
.wpbt: 1826PA_x000D_
.anc#:double ancestor_x000D_
citiz:foreign_x000D_
#spos:1_x000D_
#srcs:1_x000D_
#comment:0_x000D_
#events:1_x000D_
#kids:1_x000D_
lived:ENLANCSBLACKBU,ENLANCSPRESTON_x000D_
issue:_x000D_
.recs:Birth,Marriage,Death_x000D_
.imm?:no_x000D_
..Spo:AGNES DAVENPORT</t>
        </r>
      </text>
    </comment>
    <comment ref="U250" authorId="0" shapeId="0" xr:uid="{1A0B06EF-0D5B-4DCC-85BA-F0CBFAD173CF}">
      <text>
        <r>
          <rPr>
            <sz val="9"/>
            <color indexed="81"/>
            <rFont val="Tahoma"/>
            <family val="2"/>
          </rPr>
          <t>JOAN RADCLIFFE_x000D_
http://yeinfo.com/family/I09066828.html_x000D_
https://www.google.com/search?q=JOAN+RADCLIFFE+1340+1425+LANGTON_x000D_
.born:?1340    -          Radcliffe (Lancashire) England_x000D_
.died: 1425    -          Gwynedd county Wales, age:85y 0m 0d, _x000D_
.bapt: 1785GE_x000D_
.will: 2004MO_x000D_
.obit: 1890OH_x000D_
.bury: 1850IL _x000D_
.wpbt: 1826PA_x000D_
.anc#:double ancestor_x000D_
citiz:foreign_x000D_
#spos:1_x000D_
#srcs:1_x000D_
#comment:1_x000D_
#events:1_x000D_
#kids:1_x000D_
lived:ENLANCSRADCLIF,WLGWYNE_x000D_
issue:_x000D_
.recs:Birth,Marriage,Death_x000D_
.imm?:no_x000D_
..Spo:RALPH LANGTON</t>
        </r>
      </text>
    </comment>
    <comment ref="S252" authorId="0" shapeId="0" xr:uid="{A6009CC9-7AF9-4431-807C-55B1E5CC4D96}">
      <text>
        <r>
          <rPr>
            <sz val="9"/>
            <color indexed="81"/>
            <rFont val="Tahoma"/>
            <family val="2"/>
          </rPr>
          <t>ISABEL LANGTON_x000D_
http://yeinfo.com/family/I09066811.html_x000D_
https://www.google.com/search?q=ISABEL+LANGTON+1405+1438+OSBALDESTON_x000D_
.born:?1405    -          Osbaldeston (Lancashire) England_x000D_
.died: 1438    -          Lancashire county England, age:33y 0m 0d, _x000D_
.bapt: 1785GE_x000D_
.will: 2004MO_x000D_
.obit: 1890OH_x000D_
.bury: 1850IL _x000D_
.wpbt: 1826PA_x000D_
.anc#:double ancestor_x000D_
citiz:foreign_x000D_
#spos:1_x000D_
#srcs:1_x000D_
#comment:0_x000D_
#events:1_x000D_
#kids:1_x000D_
lived:ENLANCSOSBALDE_x000D_
issue:_x000D_
.recs:Birth,Marriage,Death_x000D_
.imm?:no_x000D_
..Spo:GEOFFREY OSBALDESTON</t>
        </r>
      </text>
    </comment>
    <comment ref="U254" authorId="0" shapeId="0" xr:uid="{899B9535-A49B-4F6B-9C5D-E6673C22631A}">
      <text>
        <r>
          <rPr>
            <sz val="9"/>
            <color indexed="81"/>
            <rFont val="Tahoma"/>
            <family val="2"/>
          </rPr>
          <t>JOHN DAVENPORT_x000D_
http://yeinfo.com/family/I09066789.html_x000D_
https://www.google.com/search?q=JOHN+DAVENPORT+1320+1384+MARGARET_x000D_
.born:?1320    -          Lancashire county England_x000D_
.died: 1384    -1390      Cheshire county England, age:64y 0m 0d, _x000D_
.bapt: 1785GE_x000D_
.will: 2004MO_x000D_
.obit: 1890OH_x000D_
.bury: 1850IL _x000D_
.wpbt: 1826PA_x000D_
.anc#:double ancestor_x000D_
citiz:foreign_x000D_
#spos:1_x000D_
#srcs:1_x000D_
#comment:1_x000D_
#events:1_x000D_
#kids:1_x000D_
lived:ENCHESH,ENLANCS_x000D_
issue:_x000D_
.recs:Birth,Marriage,Death_x000D_
.imm?:no_x000D_
..Spo:MARGARET DONNE</t>
        </r>
      </text>
    </comment>
    <comment ref="T256" authorId="0" shapeId="0" xr:uid="{5C24E538-AD3B-47DD-BACF-2A29326BA6CC}">
      <text>
        <r>
          <rPr>
            <sz val="9"/>
            <color indexed="81"/>
            <rFont val="Tahoma"/>
            <family val="2"/>
          </rPr>
          <t>AGNES DAVENPORT_x000D_
http://yeinfo.com/family/I09066790.html_x000D_
https://www.google.com/search?q=AGNES+DAVENPORT+1370+1405+LANGTON_x000D_
.born:?1370    -          Lancashire county England_x000D_
.died: 1405    -1470      Blackburn (Lancashire) England, age:35y 0m 0d, _x000D_
.bapt: 1785GE_x000D_
.will: 2004MO_x000D_
.obit: 1890OH_x000D_
.bury: 1850IL _x000D_
.wpbt: 1826PA_x000D_
.anc#:double ancestor_x000D_
citiz:foreign_x000D_
#spos:1_x000D_
#srcs:1_x000D_
#comment:0_x000D_
#events:1_x000D_
#kids:1_x000D_
lived:ENLANCSBLACKBU_x000D_
issue:_x000D_
.recs:Birth,Marriage,Death_x000D_
.imm?:no_x000D_
..Spo:HENRY LANGTON</t>
        </r>
      </text>
    </comment>
    <comment ref="U258" authorId="0" shapeId="0" xr:uid="{05611A3B-7EB9-49A3-89BE-36ADC8A83BBE}">
      <text>
        <r>
          <rPr>
            <sz val="9"/>
            <color indexed="81"/>
            <rFont val="Tahoma"/>
            <family val="2"/>
          </rPr>
          <t>MARGARET DONNE_x000D_
http://yeinfo.com/family/I09066791.html_x000D_
https://www.google.com/search?q=MARGARET+DONNE+1342+1417+DAVENPORT_x000D_
.born: 1342    -          Cheshire county England_x000D_
.died: 14170330-          Woodford (Lancashire) England, age:75y 2m 29d, _x000D_
.bapt: 1785GE_x000D_
.will: 2004MO_x000D_
.obit: 1890OH_x000D_
.bury: 1850IL _x000D_
.wpbt: 1826PA_x000D_
.anc#:double ancestor_x000D_
citiz:foreign_x000D_
#spos:1_x000D_
#srcs:1_x000D_
#comment:1_x000D_
#events:1_x000D_
#kids:1_x000D_
lived:ENCHESH,ENLANCSWOODFOR_x000D_
issue:_x000D_
.recs:Birth,Marriage,Death_x000D_
.imm?:no_x000D_
..Spo:JOHN DAVENPORT</t>
        </r>
      </text>
    </comment>
    <comment ref="O260" authorId="0" shapeId="0" xr:uid="{4EF1F265-837E-4A7F-8703-981FBB6A9196}">
      <text>
        <r>
          <rPr>
            <sz val="9"/>
            <color indexed="81"/>
            <rFont val="Tahoma"/>
            <family val="2"/>
          </rPr>
          <t>ROGER ANDERTON Jr._x000D_
http://yeinfo.com/family/I09010314.html_x000D_
https://www.google.com/search?q=ROGER+ANDERTON+1546+1640+ISABEL_x000D_
.born: 1546    -          Adlington (Lancashire) England_x000D_
.died: 16401001-          Adlington (Lancashire) England, age:94y 9m 0d, _x000D_
.bapt: 1785GE_x000D_
.will: 2004MO_x000D_
.obit: 1890OH_x000D_
.bury: 1850IL _x000D_
.wpbt: 1826PA_x000D_
.anc#:double ancestor_x000D_
citiz:foreign_x000D_
#spos:1_x000D_
#srcs:3_x000D_
#comment:0_x000D_
#events:1_x000D_
#kids:1_x000D_
lived:ENLANCSADLINGT_x000D_
issue:_x000D_
.recs:Birth,Marriage,Death_x000D_
.imm?:no_x000D_
..Spo:ISABEL SHAKERLEY</t>
        </r>
      </text>
    </comment>
    <comment ref="P262" authorId="0" shapeId="0" xr:uid="{9C2F7F7E-8CD6-4477-B8EE-D5F92D8A5CAD}">
      <text>
        <r>
          <rPr>
            <sz val="9"/>
            <color indexed="81"/>
            <rFont val="Tahoma"/>
            <family val="2"/>
          </rPr>
          <t>Mrs. {_?_} ANDERTON_x000D_
http://yeinfo.com/family/I09020629.html_x000D_
https://www.google.com/search?q={_?_}+ANDERTON+1526+1546+ANDERTON_x000D_
.born:?1526    -         ?England_x000D_
.died: 1546    -1611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..Spo:ROGER ANDERTON</t>
        </r>
      </text>
    </comment>
    <comment ref="N264" authorId="0" shapeId="0" xr:uid="{31E3AFD3-581C-4EEE-B996-8F52DBCD27BB}">
      <text>
        <r>
          <rPr>
            <sz val="9"/>
            <color indexed="81"/>
            <rFont val="Tahoma"/>
            <family val="2"/>
          </rPr>
          <t>THOMASYN ANDERTON_x000D_
http://yeinfo.com/family/I09005157.html_x000D_
https://www.google.com/search?q=THOMASYN+ANDERTON+1567+1596+DUTTON_x000D_
.born: 1567    -          Anderton (Lancashire) England_x000D_
.died: 1596    -          Warrington (Cheshire) England, age:29y 0m 0d, _x000D_
.bapt: 1785GE_x000D_
.will: 2004MO_x000D_
.obit: 1890OH_x000D_
.bury: 1850IL _x000D_
.wpbt: 1826PA_x000D_
.anc#:double ancestor_x000D_
citiz:foreign_x000D_
#spos:2_x000D_
#srcs:7_x000D_
#comment:0_x000D_
#events:2_x000D_
#kids:1_x000D_
lived:ENCHESHWARRING,ENLANCSANDERTO_x000D_
issue:_x000D_
.recs:Birth,Marriage,Death_x000D_
.imm?:no_x000D_
..Spo:THOMAS DUTTON</t>
        </r>
      </text>
    </comment>
    <comment ref="Q266" authorId="0" shapeId="0" xr:uid="{DCE84619-8D98-4D88-B521-0ADF4718AC00}">
      <text>
        <r>
          <rPr>
            <sz val="9"/>
            <color indexed="81"/>
            <rFont val="Tahoma"/>
            <family val="2"/>
          </rPr>
          <t>GEOFFREY SHAKERLEY Sr._x000D_
http://yeinfo.com/family/I09041260.html_x000D_
https://www.google.com/search?q=GEOFFREY+SHAKERLEY+1500+1525+ISABEL_x000D_
.born: 1500    -          Tyldesley (Lancashire) England_x000D_
.died: 1525    -1590     ?England, age:25y 0m 0d, _x000D_
.bapt: 1785GE_x000D_
.will: 2004MO_x000D_
.obit: 1890OH_x000D_
.bury: 1850IL _x000D_
.wpbt: 1826PA_x000D_
.anc#:double ancestor_x000D_
citiz:foreign_x000D_
#spos:1_x000D_
#srcs:1_x000D_
#comment:1_x000D_
#events:1_x000D_
#kids:1_x000D_
lived:ENLANCSTYLDERS_x000D_
issue:_x000D_
.recs:Birth,Marriage,Death_x000D_
.imm?:no_x000D_
..Spo:ISABEL VENABLES</t>
        </r>
      </text>
    </comment>
    <comment ref="P268" authorId="0" shapeId="0" xr:uid="{5C363CBA-590D-4DE4-9586-21A2514AEA6A}">
      <text>
        <r>
          <rPr>
            <sz val="9"/>
            <color indexed="81"/>
            <rFont val="Tahoma"/>
            <family val="2"/>
          </rPr>
          <t>GEOFFREY SHAKERLEY Jr._x000D_
http://yeinfo.com/family/I09020630.html_x000D_
https://www.google.com/search?q=GEOFFREY+SHAKERLEY+1525+1550+ELIZABETH_x000D_
.born: 1525    -          Warrington (Cheshire) England_x000D_
.died: 1550    -1615     ?England, age:25y 0m 0d, _x000D_
.bapt: 1785GE_x000D_
.will: 2004MO_x000D_
.obit: 1890OH_x000D_
.bury: 1850IL _x000D_
.wpbt: 1826PA_x000D_
.anc#:double ancestor_x000D_
citiz:foreign_x000D_
#spos:1_x000D_
#srcs:1_x000D_
#comment:0_x000D_
#events:1_x000D_
#kids:1_x000D_
lived:ENCHESHWARRING_x000D_
issue:_x000D_
.recs:Birth,Marriage,Death_x000D_
.imm?:no_x000D_
..Spo:ELIZABETH BEESTON</t>
        </r>
      </text>
    </comment>
    <comment ref="Q270" authorId="0" shapeId="0" xr:uid="{53E63AF9-B306-491A-B8A2-7BE14B50C92D}">
      <text>
        <r>
          <rPr>
            <sz val="9"/>
            <color indexed="81"/>
            <rFont val="Tahoma"/>
            <family val="2"/>
          </rPr>
          <t>ISABEL VENABLES_x000D_
http://yeinfo.com/family/I09041261.html_x000D_
https://www.google.com/search?q=ISABEL+VENABLES+1496+1530+SHAKERLEY_x000D_
.born: 1496    -          Cheshire county England_x000D_
.died: 1530    -          Cheshire county England, age:34y 0m 0d, _x000D_
.bapt: 1785GE_x000D_
.will: 2004MO_x000D_
.obit: 1890OH_x000D_
.bury: 1850IL _x000D_
.wpbt: 1826PA_x000D_
.anc#:double ancestor_x000D_
citiz:foreign_x000D_
#spos:1_x000D_
#srcs:1_x000D_
#comment:1_x000D_
#events:1_x000D_
#kids:1_x000D_
lived:ENCHESH_x000D_
issue:_x000D_
.recs:Birth,Marriage,Death_x000D_
.imm?:no_x000D_
..Spo:GEOFFREY SHAKERLEY</t>
        </r>
      </text>
    </comment>
    <comment ref="O272" authorId="0" shapeId="0" xr:uid="{69F6D35E-D624-425A-B430-E06A3E190E11}">
      <text>
        <r>
          <rPr>
            <sz val="9"/>
            <color indexed="81"/>
            <rFont val="Tahoma"/>
            <family val="2"/>
          </rPr>
          <t>ISABEL SHAKERLEY_x000D_
http://yeinfo.com/family/I09010315.html_x000D_
https://www.google.com/search?q=ISABEL+SHAKERLEY+1550+1588+ANDERTON_x000D_
.born: 1550    -          Cheshire county England_x000D_
.died:c15880418-          Yorkshire county England, age:38y 3m 17d, _x000D_
.bapt: 1785GE_x000D_
.will: 2004MO_x000D_
.obit: 1890OH_x000D_
.bury: 1850IL _x000D_
.wpbt: 1826PA_x000D_
.anc#:double ancestor_x000D_
citiz:foreign_x000D_
#spos:1_x000D_
#srcs:3_x000D_
#comment:0_x000D_
#events:1_x000D_
#kids:1_x000D_
lived:?ENLANCS,ENCHESH,ENYORKS_x000D_
issue:_x000D_
.recs:Birth,Marriage,Death_x000D_
.imm?:no_x000D_
..Spo:ROGER ANDERTON</t>
        </r>
      </text>
    </comment>
    <comment ref="Q274" authorId="0" shapeId="0" xr:uid="{ED5B1771-3EE8-4D8D-9E88-9C60DD531F57}">
      <text>
        <r>
          <rPr>
            <sz val="9"/>
            <color indexed="81"/>
            <rFont val="Tahoma"/>
            <family val="2"/>
          </rPr>
          <t>GEORGE BEESTON_x000D_
http://yeinfo.com/family/I09041262.html_x000D_
https://www.google.com/search?q=GEORGE+BEESTON+1501+1601+ALICE_x000D_
.born: 15010912-          Beeston (Cheshire) England_x000D_
.died: 16010913-          Bunbury (Cheshire) England, age:100y 0m 1d, _x000D_
.bapt: 1785GE_x000D_
.will: 2004MO_x000D_
.obit: 1890OH_x000D_
.bury: 1850IL Bunbury Church_x000D_
.wpbt: 1826PA_x000D_
.anc#:double ancestor_x000D_
citiz:foreign_x000D_
#spos:1_x000D_
#srcs:1_x000D_
#comment:0_x000D_
#events:2_x000D_
#kids:1_x000D_
lived:ENCHESHBEESTON,ENCHESHBUNBURY_x000D_
issue:_x000D_
.recs:Birth,Marriage,Death,Interment/Burial_x000D_
.imm?:no_x000D_
..Spo:ALICE DAVENPORT</t>
        </r>
      </text>
    </comment>
    <comment ref="P276" authorId="0" shapeId="0" xr:uid="{D11A906A-8813-4F2D-84CF-B465E8E7202E}">
      <text>
        <r>
          <rPr>
            <sz val="9"/>
            <color indexed="81"/>
            <rFont val="Tahoma"/>
            <family val="2"/>
          </rPr>
          <t>ELIZABETH BEESTON_x000D_
http://yeinfo.com/family/I09020631.html_x000D_
https://www.google.com/search?q=ELIZABETH+BEESTON+1529+1620+SHAKERLEY_x000D_
.born: 1529    -          Cheshire county England_x000D_
.died: 1620    -          England, age:91y 0m 0d, _x000D_
.bapt: 1785GE_x000D_
.will: 2004MO_x000D_
.obit: 1890OH_x000D_
.bury: 1850IL _x000D_
.wpbt: 1826PA_x000D_
.anc#:double ancestor_x000D_
citiz:foreign_x000D_
#spos:1_x000D_
#srcs:1_x000D_
#comment:0_x000D_
#events:1_x000D_
#kids:1_x000D_
lived:ENCHESH_x000D_
issue:_x000D_
.recs:Birth,Marriage,Death_x000D_
.imm?:no_x000D_
..Spo:GEOFFREY SHAKERLEY</t>
        </r>
      </text>
    </comment>
    <comment ref="Q278" authorId="0" shapeId="0" xr:uid="{B667703A-3D20-411F-B213-16F402FB33BF}">
      <text>
        <r>
          <rPr>
            <sz val="9"/>
            <color indexed="81"/>
            <rFont val="Tahoma"/>
            <family val="2"/>
          </rPr>
          <t>ALICE DAVENPORT_x000D_
http://yeinfo.com/family/I09041263.html_x000D_
https://www.google.com/search?q=ALICE+DAVENPORT+1506+1591+BEESTON_x000D_
.born: 1506    -          Beeston (Cheshire) England_x000D_
.died: 15910409-          Bunbury (Cheshire) England, age:85y 3m 8d, _x000D_
.bapt: 1785GE_x000D_
.will: 2004MO_x000D_
.obit: 1890OH_x000D_
.bury: 1850IL Bunbury Church_x000D_
.wpbt: 1826PA_x000D_
.anc#:double ancestor_x000D_
citiz:foreign_x000D_
#spos:1_x000D_
#srcs:1_x000D_
#comment:0_x000D_
#events:2_x000D_
#kids:1_x000D_
lived:ENCHESHBEESTON,ENCHESHBUNBURY_x000D_
issue:_x000D_
.recs:Birth,Marriage,Death,Interment/Burial_x000D_
.imm?:no_x000D_
..Spo:GEORGE BEESTON</t>
        </r>
      </text>
    </comment>
    <comment ref="L280" authorId="0" shapeId="0" xr:uid="{252DB57A-04F4-4297-8791-56A602DA8537}">
      <text>
        <r>
          <rPr>
            <sz val="9"/>
            <color indexed="81"/>
            <rFont val="Tahoma"/>
            <family val="2"/>
          </rPr>
          <t>JOAN DUTTON_x000D_
http://yeinfo.com/family/I09001289.html_x000D_
https://www.google.com/search?q=JOAN+DUTTON+1618+1671+IRELAND+Richard\John_x000D_
.born: 1618    -          Alcester (Warwickshire) England_x000D_
.died: 16711230-          Hempstead (Nassau) New York, age:53y 11m 29d, _x000D_
.bapt: 1785GE_x000D_
.will: 2004MO_x000D_
.obit: 1890OH_x000D_
.bury: 1850IL _x000D_
.wpbt: 1826PA_x000D_
.anc#:double ancestor_x000D_
citiz:immigrant_x000D_
#spos:2_x000D_
#srcs:8_x000D_
#comment:1_x000D_
#events:5_x000D_
#kids:1_x000D_
lived:ENWARWEALCESTE,NYNASSAHEMPSTE_x000D_
issue:Spouse Age more than 30-Year Difference_x000D_
.recs:Birth,Marriage,Deed,Land Transaction_x000D_
.imm?:immigrant_x000D_
..Spo:THOMAS IRELAND</t>
        </r>
      </text>
    </comment>
    <comment ref="N282" authorId="0" shapeId="0" xr:uid="{E5B8379E-5917-45DF-9C88-E560340039DF}">
      <text>
        <r>
          <rPr>
            <sz val="9"/>
            <color indexed="81"/>
            <rFont val="Tahoma"/>
            <family val="2"/>
          </rPr>
          <t>JOHN JONES_x000D_
http://yeinfo.com/family/I09005158.html_x000D_
https://www.google.com/search?q=JOHN+JONES+1569+1589+ALICE_x000D_
.born:?1569    -         ?_x000D_
.died: 1589    -1659     ?, age:20y 0m 0d, _x000D_
.bapt: 1785GE_x000D_
.will: 2004MO_x000D_
.obit: 1890OH_x000D_
.bury: 1850IL _x000D_
.wpbt: 1826PA_x000D_
.anc#:double ancestor_x000D_
citiz:foreign_x000D_
#spos:1_x000D_
#srcs:6_x000D_
#comment:0_x000D_
#events:1_x000D_
#kids:1_x000D_
lived:_x000D_
issue:_x000D_
.recs:Birth,Marriage,Death_x000D_
.imm?:no_x000D_
..Spo:ALICE EVANS</t>
        </r>
      </text>
    </comment>
    <comment ref="M284" authorId="0" shapeId="0" xr:uid="{91812AEE-5811-4DDF-A153-47C4CA36CE75}">
      <text>
        <r>
          <rPr>
            <sz val="9"/>
            <color indexed="81"/>
            <rFont val="Tahoma"/>
            <family val="2"/>
          </rPr>
          <t>ELIZABETH JONES_x000D_
http://yeinfo.com/family/I09002579.html_x000D_
https://www.google.com/search?q=ELIZABETH+JONES+1589+1634+DUTTON_x000D_
.born: 15891116-          Shrewsbury (Shropshire) England_x000D_
.died:c1634    -          Shropshire county England, age:44y 1m 16d, _x000D_
.bapt: 1785GE_x000D_
.will: 2004MO_x000D_
.obit: 1890OH_x000D_
.bury: 1850IL _x000D_
.wpbt: 1826PA_x000D_
.anc#:double ancestor_x000D_
citiz:foreign_x000D_
#spos:1_x000D_
#srcs:6_x000D_
#comment:0_x000D_
#events:1_x000D_
#kids:1_x000D_
lived:ENSHROPSHREWSB_x000D_
issue:_x000D_
.recs:Birth,Marriage,Death_x000D_
.imm?:no_x000D_
..Spo:ROLAND DUTTON</t>
        </r>
      </text>
    </comment>
    <comment ref="N286" authorId="0" shapeId="0" xr:uid="{F103477B-3249-43CA-A4F1-97807014104E}">
      <text>
        <r>
          <rPr>
            <sz val="9"/>
            <color indexed="81"/>
            <rFont val="Tahoma"/>
            <family val="2"/>
          </rPr>
          <t>ALICE EVANS_x000D_
http://yeinfo.com/family/I09005159.html_x000D_
https://www.google.com/search?q=ALICE+EVANS+1566+1653+JONES_x000D_
.born:?1566    -          Thornbury (Gloucestershire) England_x000D_
.died: 16530923-          Surrey county England, age:87y 8m 22d, _x000D_
.bapt: 1785GE_x000D_
.will: 2004MO_x000D_
.obit: 1890OH_x000D_
.bury: 1850IL _x000D_
.wpbt: 1826PA_x000D_
.anc#:double ancestor_x000D_
citiz:foreign_x000D_
#spos:1_x000D_
#srcs:6_x000D_
#comment:0_x000D_
#events:1_x000D_
#kids:1_x000D_
lived:ENGLOUSTHORNBU,ENSURRE_x000D_
issue:_x000D_
.recs:Birth,Marriage,Death_x000D_
.imm?:no_x000D_
..Spo:JOHN JONES</t>
        </r>
      </text>
    </comment>
    <comment ref="J288" authorId="0" shapeId="0" xr:uid="{9D5FF970-E884-4164-9BE9-48A1672BB110}">
      <text>
        <r>
          <rPr>
            <sz val="9"/>
            <color indexed="81"/>
            <rFont val="Tahoma"/>
            <family val="2"/>
          </rPr>
          <t>ADAM IRELAND_x000D_
http://yeinfo.com/family/I09000322.html_x000D_
https://www.google.com/search?q=ADAM+IRELAND+1694+1760+MARTHA_x000D_
.born:?1694    -          Hempstead (Nassau) New York_x000D_
.died: 176002  -         ?New York, age:66y 1m 0d, _x000D_
.bapt: 1785GE_x000D_
.will: 2004MO_x000D_
.obit: 1890OH_x000D_
.bury: 1850IL _x000D_
.wpbt: 1826PA_x000D_
.anc#:double ancestor_x000D_
citiz:US born_x000D_
#spos:1_x000D_
#srcs:8_x000D_
#comment:1_x000D_
#events:5_x000D_
#kids:3_x000D_
lived:ENBEDFOSANDY,NYNASSAHEMPSTE,NYWESTCNORTH C_x000D_
issue:_x000D_
.recs:Birth,Baptism,Marriage,Will Written,Death_x000D_
.imm?:no_x000D_
..Spo:MARTHA FOWLER</t>
        </r>
      </text>
    </comment>
    <comment ref="O290" authorId="0" shapeId="0" xr:uid="{48522A57-E290-423B-9419-8CCDD2D1BD66}">
      <text>
        <r>
          <rPr>
            <sz val="9"/>
            <color indexed="81"/>
            <rFont val="Tahoma"/>
            <family val="2"/>
          </rPr>
          <t>CHARLES HENRY ABRAHAMS_x000D_
http://yeinfo.com/family/I09010320.html_x000D_
https://www.google.com/search?q=CHARLES+HENRY+ABRAHAMS+1560+1580+MARIE+ANN_x000D_
.born:?1560    -          Mareuil (Grand Est) France_x000D_
.died: 1580    -1645      Mareuil (Grand Est) France, age:20y 0m 0d, _x000D_
.bapt: 1785GE_x000D_
.will: 2004MO_x000D_
.obit: 1890OH_x000D_
.bury: 1850IL _x000D_
.wpbt: 1826PA_x000D_
.anc#:double ancestor_x000D_
citiz:foreign_x000D_
#spos:1_x000D_
#srcs:1_x000D_
#comment:0_x000D_
#events:1_x000D_
#kids:1_x000D_
lived:FRGRESTMAREUIL_x000D_
issue:Died after Age 100_x000D_
.recs:Birth,Marriage,Death_x000D_
.imm?:no_x000D_
..Spo:MARIE ANN LEVAY</t>
        </r>
      </text>
    </comment>
    <comment ref="N292" authorId="0" shapeId="0" xr:uid="{9CEA569B-BEFE-44B6-A76F-CEB94F524A69}">
      <text>
        <r>
          <rPr>
            <sz val="9"/>
            <color indexed="81"/>
            <rFont val="Tahoma"/>
            <family val="2"/>
          </rPr>
          <t>CHARLES BENJAMIN ABRAHAMS_x000D_
http://yeinfo.com/family/I09005160.html_x000D_
https://www.google.com/search?q=CHARLES+BENJAMIN+ABRAHAMS+1580+1610+CLAUDET_x000D_
.born: 15800111-          Mareuil (Grand Est) France_x000D_
.died: 1610    -1670      Surrey county England, age:29y 11m 21d, _x000D_
.bapt: 1785GE_x000D_
.will: 2004MO_x000D_
.obit: 1890OH_x000D_
.bury: 1850IL _x000D_
.wpbt: 1826PA_x000D_
.anc#:double ancestor_x000D_
citiz:foreign_x000D_
#spos:1_x000D_
#srcs:1_x000D_
#comment:0_x000D_
#events:1_x000D_
#kids:1_x000D_
lived:ENSURRE,FRGRESTMAREUIL_x000D_
issue:_x000D_
.recs:Birth,Marriage,Death_x000D_
.imm?:no_x000D_
..Spo:CLAUDET MAGNIER</t>
        </r>
      </text>
    </comment>
    <comment ref="O294" authorId="0" shapeId="0" xr:uid="{3A1FCD3A-FF3B-4328-A087-7215EDB0E3D0}">
      <text>
        <r>
          <rPr>
            <sz val="9"/>
            <color indexed="81"/>
            <rFont val="Tahoma"/>
            <family val="2"/>
          </rPr>
          <t>MARIE ANN LEVAY_x000D_
http://yeinfo.com/family/I09010321.html_x000D_
https://www.google.com/search?q=MARIE+ANN+LEVAY+1560+1622+ABRAHAMS_x000D_
.born:?1560    -          Mareuil (Grand Est) France_x000D_
.died:?1622    -         ?Mareuil (Grand Est) France, age:62y 0m 0d, _x000D_
.bapt: 1785GE_x000D_
.will: 2004MO_x000D_
.obit: 1890OH_x000D_
.bury: 1850IL _x000D_
.wpbt: 1826PA_x000D_
.anc#:double ancestor_x000D_
citiz:foreign_x000D_
#spos:1_x000D_
#srcs:1_x000D_
#comment:0_x000D_
#events:1_x000D_
#kids:1_x000D_
lived:FRGRESTMAREUIL_x000D_
issue:Died after Age 100_x000D_
.recs:Birth,Marriage,Death_x000D_
.imm?:no_x000D_
..Spo:CHARLES HENRY ABRAHAMS</t>
        </r>
      </text>
    </comment>
    <comment ref="M296" authorId="0" shapeId="0" xr:uid="{BC135821-B5D9-4695-A4F6-1A4EB59A8BDD}">
      <text>
        <r>
          <rPr>
            <sz val="9"/>
            <color indexed="81"/>
            <rFont val="Tahoma"/>
            <family val="2"/>
          </rPr>
          <t>HENRY ABRAHAMS_x000D_
http://yeinfo.com/family/I09002580.html_x000D_
https://www.google.com/search?q=HENRY+ABRAHAMS+1610+1674+ANNE_x000D_
.born: 16100806-          Mareuil (Grand Est) France_x000D_
.died: 16740206-          Nutfield (Surrey) England, age:63y 6m 0d, _x000D_
.bapt: 1785GE_x000D_
.will: 2004MO_x000D_
.obit: 1890OH_x000D_
.bury: 1850IL _x000D_
.wpbt: 1826PA_x000D_
.anc#:double ancestor_x000D_
citiz:foreign_x000D_
#spos:1_x000D_
#srcs:1_x000D_
#comment:0_x000D_
#events:1_x000D_
#kids:2_x000D_
lived:ENSURRENUTFIEL,FRGRESTMAREUIL_x000D_
issue:_x000D_
.recs:Birth,Marriage,Death_x000D_
.imm?:no_x000D_
..Spo:ANNE HODGES</t>
        </r>
      </text>
    </comment>
    <comment ref="N298" authorId="0" shapeId="0" xr:uid="{AFCB35C5-4A52-4E90-BA1E-DE2AC20A56F4}">
      <text>
        <r>
          <rPr>
            <sz val="9"/>
            <color indexed="81"/>
            <rFont val="Tahoma"/>
            <family val="2"/>
          </rPr>
          <t>CLAUDET MAGNIER_x000D_
http://yeinfo.com/family/I09005161.html_x000D_
https://www.google.com/search?q=CLAUDET+MAGNIER+1580+1628+ABRAHAMS_x000D_
.born:c1580    -          Mareuil (Grand Est) France_x000D_
.died: 16280325-          Mareuil (Grand Est) France, age:48y 2m 24d, _x000D_
.bapt: 1785GE_x000D_
.will: 2004MO_x000D_
.obit: 1890OH_x000D_
.bury: 1850IL _x000D_
.wpbt: 1826PA_x000D_
.anc#:double ancestor_x000D_
citiz:foreign_x000D_
#spos:1_x000D_
#srcs:1_x000D_
#comment:0_x000D_
#events:1_x000D_
#kids:1_x000D_
lived:FRGRESTMAREUIL_x000D_
issue:_x000D_
.recs:Birth,Marriage,Death_x000D_
.imm?:no_x000D_
..Spo:CHARLES BENJAMIN ABRAHAMS</t>
        </r>
      </text>
    </comment>
    <comment ref="L300" authorId="0" shapeId="0" xr:uid="{2B336F8B-E368-47AA-ABC4-BCA1A7CABCF5}">
      <text>
        <r>
          <rPr>
            <sz val="9"/>
            <color indexed="81"/>
            <rFont val="Tahoma"/>
            <family val="2"/>
          </rPr>
          <t>ISAAC JOSEPH ABRAHAMS_x000D_
http://yeinfo.com/family/I09001290.html_x000D_
https://www.google.com/search?q=ISAAC+JOSEPH+ABRAHAMS+1639+1726+ELIZABETH_x000D_
.born: 1639    -          Mareuil (Grand Est) France_x000D_
.died: 17260602-          Talbot county Maryland, age:87y 5m 1d, _x000D_
.bapt: 1785GE_x000D_
.will: 2004MO_x000D_
.obit: 1890OH_x000D_
.bury: 1850IL _x000D_
.wpbt: 1826PA_x000D_
.anc#:double ancestor_x000D_
citiz:immigrant_x000D_
#spos:1_x000D_
#srcs:1_x000D_
#comment:0_x000D_
#events:1_x000D_
#kids:4_x000D_
lived:FRGRESTMAREUIL,MDTALBO_x000D_
issue:_x000D_
.recs:Birth,Marriage,Death_x000D_
.imm?:immigrant_x000D_
..Spo:ELIZABETH REED</t>
        </r>
      </text>
    </comment>
    <comment ref="M302" authorId="0" shapeId="0" xr:uid="{EF751DC9-580B-448A-8B71-CD2638742E1F}">
      <text>
        <r>
          <rPr>
            <sz val="9"/>
            <color indexed="81"/>
            <rFont val="Tahoma"/>
            <family val="2"/>
          </rPr>
          <t>ANNE HODGES_x000D_
http://yeinfo.com/family/I09002581.html_x000D_
https://www.google.com/search?q=ANNE+HODGES+1615+1678+ABRAHAMS_x000D_
.born: 1615    -          Suffolk county England_x000D_
.died: 167802  -          London (Middlesex) England, age:63y 1m 0d, _x000D_
.bapt: 1785GE_x000D_
.will: 2004MO_x000D_
.obit: 1890OH_x000D_
.bury: 1850IL _x000D_
.wpbt: 1826PA_x000D_
.anc#:double ancestor_x000D_
citiz:foreign_x000D_
#spos:1_x000D_
#srcs:1_x000D_
#comment:0_x000D_
#events:1_x000D_
#kids:2_x000D_
lived:ENMIDDLLONDON,ENSUFFO_x000D_
issue:_x000D_
.recs:Birth,Marriage,Death_x000D_
.imm?:no_x000D_
..Spo:HENRY ABRAHAMS</t>
        </r>
      </text>
    </comment>
    <comment ref="K304" authorId="0" shapeId="0" xr:uid="{200163B4-4ADB-4DE3-B7D9-71A149C30E5F}">
      <text>
        <r>
          <rPr>
            <sz val="9"/>
            <color indexed="81"/>
            <rFont val="Tahoma"/>
            <family val="2"/>
          </rPr>
          <t>MARY ABRAHAMS_x000D_
http://yeinfo.com/family/I09000645.html_x000D_
https://www.google.com/search?q=MARY+ABRAHAMS+1657+1723+IRELAND_x000D_
.born: 1657    -          Hempstead (Nassau) New York_x000D_
.died: 17231113-          Southold (Suffolk) New York, age:66y 10m 12d, _x000D_
.bapt: 1785GE_x000D_
.will: 2004MO_x000D_
.obit: 1890OH_x000D_
.bury: 1850IL _x000D_
.wpbt: 1826PA_x000D_
.anc#:double ancestor_x000D_
citiz:US born_x000D_
#spos:1_x000D_
#srcs:7_x000D_
#comment:1_x000D_
#events:5_x000D_
#kids:10_x000D_
lived:NYNASSAHEMPSTE,NYSUFFOSOUTHLD_x000D_
issue:Born before Parents Married,Died after Age 100_x000D_
.recs:Birth,Marriage,Death_x000D_
.imm?:no_x000D_
..Spo:THOMAS JOSEPH IRELAND</t>
        </r>
      </text>
    </comment>
    <comment ref="L306" authorId="0" shapeId="0" xr:uid="{3270FDB0-9644-4154-916D-3F350423A6D9}">
      <text>
        <r>
          <rPr>
            <sz val="9"/>
            <color indexed="81"/>
            <rFont val="Tahoma"/>
            <family val="2"/>
          </rPr>
          <t>ELIZABETH REED_x000D_
http://yeinfo.com/family/I09001291.html_x000D_
https://www.google.com/search?q=ELIZABETH+REED+1639+1661+ABRAHAMS_x000D_
.born:?1639    -          _x000D_
.died: 1661    -1729      Bikaner (Rajasthan) India, age:22y 0m 0d, _x000D_
.bapt: 1785GE_x000D_
.will: 2004MO_x000D_
.obit: 1890OH_x000D_
.bury: 1850IL _x000D_
.wpbt: 1826PA_x000D_
.anc#:double ancestor_x000D_
citiz:US born_x000D_
#spos:1_x000D_
#srcs:1_x000D_
#comment:0_x000D_
#events:1_x000D_
#kids:4_x000D_
lived:IIRAJASBIKANER,MD_x000D_
issue:_x000D_
.recs:Birth,Marriage,Death_x000D_
.imm?:no_x000D_
..Spo:ISAAC JOSEPH ABRAHAMS</t>
        </r>
      </text>
    </comment>
    <comment ref="I308" authorId="0" shapeId="0" xr:uid="{565004B3-8C43-4690-876B-60AE1F2D22DF}">
      <text>
        <r>
          <rPr>
            <sz val="9"/>
            <color indexed="81"/>
            <rFont val="Tahoma"/>
            <family val="2"/>
          </rPr>
          <t>HANNAH IRELAND_x000D_
http://yeinfo.com/family/I09000161.html_x000D_
https://www.google.com/search?q=HANNAH+IRELAND+1735+1821+SEARLS_x000D_
.born: 17350508-          North Castle (Westchester) New York_x000D_
.died: 18211220-          New Baltimore (Greene) New York, age:86y 7m 12d, _x000D_
.bapt: 1785GE_x000D_
.will: 2004MO_x000D_
.obit: 1890OH_x000D_
.bury: 1850IL Sarls Homestead Cemetery_x000D_
.wpbt: 1826PA_x000D_
.anc#:double ancestor_x000D_
citiz:US born_x000D_
#spos:1_x000D_
#srcs:7_x000D_
#comment:1_x000D_
#events:4_x000D_
#kids:12_x000D_
lived:NYGRENEHANNACR,NYGRENENEW BAL,NYWESTCNCASTLE_x000D_
issue:_x000D_
.recs:Birth,Marriage,Will Written,Death,Interment/Burial_x000D_
.imm?:no_x000D_
..Spo:JOHN SEARLS</t>
        </r>
      </text>
    </comment>
    <comment ref="U310" authorId="0" shapeId="0" xr:uid="{6757A5FD-023D-451E-A0B4-AD1479FAF6DD}">
      <text>
        <r>
          <rPr>
            <sz val="9"/>
            <color indexed="81"/>
            <rFont val="Tahoma"/>
            <family val="2"/>
          </rPr>
          <t>HENRY FOWLER_x000D_
http://yeinfo.com/family/I09065959.html_x000D_
https://www.google.com/search?q=HENRY+FOWLER+1380+1400+ISABEL+ELIZABETH_x000D_
.born:?1380    -          Foxley (Northamptonshire) England_x000D_
.died: 1400    -1470     ?England, age:20y 0m 0d, _x000D_
.bapt: 1785GE_x000D_
.will: 2004MO_x000D_
.obit: 1890OH_x000D_
.bury: 1850IL _x000D_
.wpbt: 1826PA_x000D_
.anc#:double ancestor_x000D_
citiz:foreign_x000D_
#spos:1_x000D_
#srcs:1_x000D_
#comment:1_x000D_
#events:1_x000D_
#kids:1_x000D_
lived:ENBERKISHRIVEN,ENNORTAFOXLEY_x000D_
issue:_x000D_
.recs:Birth,Marriage,Death_x000D_
.imm?:no_x000D_
..Spo:ISABEL ELIZABETH BARTON</t>
        </r>
      </text>
    </comment>
    <comment ref="T312" authorId="0" shapeId="0" xr:uid="{662395F4-C4CA-4860-9C94-948043BE9A54}">
      <text>
        <r>
          <rPr>
            <sz val="9"/>
            <color indexed="81"/>
            <rFont val="Tahoma"/>
            <family val="2"/>
          </rPr>
          <t>WILLIAM FOWLER_x000D_
http://yeinfo.com/family/I09065807.html_x000D_
https://www.google.com/search?q=WILLIAM+FOWLER+1400+1452+CECILY_x000D_
.born:c1400    -          Foxley (Northamptonshire) England_x000D_
.died: 14520702-          London (Middlesex) England, age:52y 6m 1d, _x000D_
.bapt: 1785GE_x000D_
.will: 2004MO_x000D_
.obit: 1890OH_x000D_
.bury: 1850IL _x000D_
.wpbt: 1826PA_x000D_
.anc#:double ancestor_x000D_
citiz:foreign_x000D_
#spos:1_x000D_
#srcs:1_x000D_
#comment:0_x000D_
#events:1_x000D_
#kids:1_x000D_
lived:ENMIDDLLONDON,ENNORTAFOXLEY,ENOXFOSGREATHY_x000D_
issue:_x000D_
.recs:Birth,Marriage,Death_x000D_
.imm?:no_x000D_
..Spo:CECILY ENGLEFIELD</t>
        </r>
      </text>
    </comment>
    <comment ref="U314" authorId="0" shapeId="0" xr:uid="{F4AD814A-D874-4A7B-A6F4-FBCCF294FF37}">
      <text>
        <r>
          <rPr>
            <sz val="9"/>
            <color indexed="81"/>
            <rFont val="Tahoma"/>
            <family val="2"/>
          </rPr>
          <t>ISABEL ELIZABETH BARTON_x000D_
http://yeinfo.com/family/I09065960.html_x000D_
https://www.google.com/search?q=ISABEL+ELIZABETH+BARTON+1382+1405+FOWLER_x000D_
.born:?1382    -          Buckinghamshire county England_x000D_
.died:c1405    -          Holland Fen (Lincolnshire) England, age:23y 0m 0d, _x000D_
.bapt: 1785GE_x000D_
.will: 2004MO_x000D_
.obit: 1890OH_x000D_
.bury: 1850IL _x000D_
.wpbt: 1826PA_x000D_
.anc#:double ancestor_x000D_
citiz:foreign_x000D_
#spos:1_x000D_
#srcs:1_x000D_
#comment:1_x000D_
#events:1_x000D_
#kids:1_x000D_
lived:ENBERKISHRIVEN,ENBUCKE,ENLINCSHOLLAFE_x000D_
issue:_x000D_
.recs:Birth,Marriage,Death_x000D_
.imm?:no_x000D_
..Spo:HENRY FOWLER</t>
        </r>
      </text>
    </comment>
    <comment ref="S316" authorId="0" shapeId="0" xr:uid="{836F00D1-0646-440C-AEF0-5BB7B60F5362}">
      <text>
        <r>
          <rPr>
            <sz val="9"/>
            <color indexed="81"/>
            <rFont val="Tahoma"/>
            <family val="2"/>
          </rPr>
          <t>RICHARD FOWLER_x000D_
http://yeinfo.com/family/I09065682.html_x000D_
https://www.google.com/search?q=RICHARD+FOWLER+1425+1477+JOAN_x000D_
.born:c1425    -          Rycote (Oxfordshire) England_x000D_
.died:c14771103-          Holland Fen (Lincolnshire) England, age:52y 10m 2d, _x000D_
.bapt: 1785GE_x000D_
.will: 2004MO_x000D_
.obit: 1890OH_x000D_
.bury: 1850IL _x000D_
.wpbt: 1826PA_x000D_
.anc#:double ancestor_x000D_
citiz:foreign_x000D_
#spos:1_x000D_
#srcs:1_x000D_
#comment:0_x000D_
#events:1_x000D_
#kids:1_x000D_
lived:ENLINCSHOLLAFE,ENOXFOSRYCOTE_x000D_
issue:Born before Parents Married_x000D_
.recs:Birth,Marriage,Death_x000D_
.imm?:no_x000D_
..Spo:JOAN DANVERS</t>
        </r>
      </text>
    </comment>
    <comment ref="V318" authorId="0" shapeId="0" xr:uid="{BBCB1907-B385-43BF-B350-6B07C909F91B}">
      <text>
        <r>
          <rPr>
            <sz val="9"/>
            <color indexed="81"/>
            <rFont val="Tahoma"/>
            <family val="2"/>
          </rPr>
          <t>PHILIP ENGLEFIELD_x000D_
http://yeinfo.com/family/I09066135.html_x000D_
https://www.google.com/search?q=PHILIP+ENGLEFIELD+1348+1380+JOHANNE_x000D_
.born:c1348    -          Engelfield (Berkshire) England_x000D_
.died: 1380    -          Fressingfield (Suffolk) England, age:32y 0m 0d, _x000D_
.bapt: 1785GE_x000D_
.will: 2004MO_x000D_
.obit: 1890OH_x000D_
.bury: 1850IL _x000D_
.wpbt: 1826PA_x000D_
.anc#:double ancestor_x000D_
citiz:foreign_x000D_
#spos:1_x000D_
#srcs:1_x000D_
#comment:1_x000D_
#events:1_x000D_
#kids:1_x000D_
lived:ENBERKIENGLEFI,ENSUFFOFRESSIN_x000D_
issue:_x000D_
.recs:Birth,Marriage,Death_x000D_
.imm?:no_x000D_
..Spo:JOHANNE BURNET</t>
        </r>
      </text>
    </comment>
    <comment ref="U320" authorId="0" shapeId="0" xr:uid="{EEAE674E-B93F-4C9C-91C2-8C406AC661BC}">
      <text>
        <r>
          <rPr>
            <sz val="9"/>
            <color indexed="81"/>
            <rFont val="Tahoma"/>
            <family val="2"/>
          </rPr>
          <t>NICHOLAS ENGLEFIELD_x000D_
http://yeinfo.com/family/I09065961.html_x000D_
https://www.google.com/search?q=NICHOLAS+ENGLEFIELD+1378+1415+JOAN\JOHANNA+Quartermain_x000D_
.born:c1378    -          Burford (Oxfordshire) England_x000D_
.died: 14150401-          Burford (Oxfordshire) England, age:37y 3m 0d, _x000D_
.bapt: 1785GE_x000D_
.will: 2004MO_x000D_
.obit: 1890OH_x000D_
.bury: 1850IL _x000D_
.wpbt: 1826PA_x000D_
.anc#:double ancestor_x000D_
citiz:foreign_x000D_
#spos:2_x000D_
#srcs:1_x000D_
#comment:0_x000D_
#events:2_x000D_
#kids:1_x000D_
lived:ENOXFOSBURFORD,ENOXFOSRYCOTE_x000D_
issue:_x000D_
.recs:Birth,Marriage,Death_x000D_
.imm?:no_x000D_
..Spo:JOAN\JOHANNA RYCOTE</t>
        </r>
      </text>
    </comment>
    <comment ref="V322" authorId="0" shapeId="0" xr:uid="{6D75D52A-6CB1-4FF5-A169-B6C19BC10356}">
      <text>
        <r>
          <rPr>
            <sz val="9"/>
            <color indexed="81"/>
            <rFont val="Tahoma"/>
            <family val="2"/>
          </rPr>
          <t>JOHANNE BURNET_x000D_
http://yeinfo.com/family/I09066136.html_x000D_
https://www.google.com/search?q=JOHANNE+BURNET+1352+1378+ENGLEFIELD_x000D_
.born:c1352    -          Engelfield (Berkshire) England_x000D_
.died:c1378    -          Engelfield (Berkshire) England, age:26y 0m 0d, _x000D_
.bapt: 1785GE_x000D_
.will: 2004MO_x000D_
.obit: 1890OH_x000D_
.bury: 1850IL _x000D_
.wpbt: 1826PA_x000D_
.anc#:double ancestor_x000D_
citiz:foreign_x000D_
#spos:1_x000D_
#srcs:1_x000D_
#comment:0_x000D_
#events:1_x000D_
#kids:1_x000D_
lived:ENBERKIENGLEFI_x000D_
issue:_x000D_
.recs:Birth,Marriage,Death_x000D_
.imm?:no_x000D_
..Spo:PHILIP ENGLEFIELD</t>
        </r>
      </text>
    </comment>
    <comment ref="T324" authorId="0" shapeId="0" xr:uid="{1DFEBB97-2E9D-46C1-A91F-6B406F8325A7}">
      <text>
        <r>
          <rPr>
            <sz val="9"/>
            <color indexed="81"/>
            <rFont val="Tahoma"/>
            <family val="2"/>
          </rPr>
          <t>CECILY ENGLEFIELD_x000D_
http://yeinfo.com/family/I09065808.html_x000D_
https://www.google.com/search?q=CECILY+ENGLEFIELD+1403+1425+FOWLER_x000D_
.born: 1403    -          Rycote (Oxfordshire) England_x000D_
.died: 1425    -1493      Waterstock (Oxfordshire) England, age:22y 0m 0d, _x000D_
.bapt: 1785GE_x000D_
.will: 2004MO_x000D_
.obit: 1890OH_x000D_
.bury: 1850IL _x000D_
.wpbt: 1826PA_x000D_
.anc#:double ancestor_x000D_
citiz:foreign_x000D_
#spos:1_x000D_
#srcs:1_x000D_
#comment:0_x000D_
#events:1_x000D_
#kids:1_x000D_
lived:ENOXFOSGREATHY,ENOXFOSRYCOTE,ENOXFOSWATERST_x000D_
issue:Died before Birth_x000D_
.recs:Birth,Marriage,Death_x000D_
.imm?:no_x000D_
..Spo:WILLIAM FOWLER</t>
        </r>
      </text>
    </comment>
    <comment ref="V326" authorId="0" shapeId="0" xr:uid="{B78B2516-7B5D-4997-A9DA-ED2F8F0662D1}">
      <text>
        <r>
          <rPr>
            <sz val="9"/>
            <color indexed="81"/>
            <rFont val="Tahoma"/>
            <family val="2"/>
          </rPr>
          <t>NICHOLAS RYCOTE_x000D_
http://yeinfo.com/family/I09066137.html_x000D_
https://www.google.com/search?q=NICHOLAS+RYCOTE+1358+1412+KATHERINE_x000D_
.born:c1358    -         ?England_x000D_
.died: 1412    -          Oxfordshire county England, age:54y 0m 0d, _x000D_
.bapt: 1785GE_x000D_
.will: 2004MO_x000D_
.obit: 1890OH_x000D_
.bury: 1850IL _x000D_
.wpbt: 1826PA_x000D_
.anc#:double ancestor_x000D_
citiz:foreign_x000D_
#spos:1_x000D_
#srcs:1_x000D_
#comment:0_x000D_
#events:1_x000D_
#kids:1_x000D_
lived:?EN,ENOXFOSGREATHY_x000D_
issue:_x000D_
.recs:Birth,Marriage,Death_x000D_
.imm?:no_x000D_
..Spo:KATHERINE CLARKE</t>
        </r>
      </text>
    </comment>
    <comment ref="U328" authorId="0" shapeId="0" xr:uid="{D6473C80-B1E0-47DD-B74F-0553A3D73A9C}">
      <text>
        <r>
          <rPr>
            <sz val="9"/>
            <color indexed="81"/>
            <rFont val="Tahoma"/>
            <family val="2"/>
          </rPr>
          <t>JOAN\JOHANNA RYCOTE_x000D_
http://yeinfo.com/family/I09065962.html_x000D_
https://www.google.com/search?q=JOAN\JOHANNA+RYCOTE+1378+1403+ENGLEFIELD_x000D_
.born:c1378    -          Oxfordshire county England_x000D_
.died: 1403    -1468      Oxfordshire county England, age:25y 0m 0d, _x000D_
.bapt: 1785GE_x000D_
.will: 2004MO_x000D_
.obit: 1890OH_x000D_
.bury: 1850IL _x000D_
.wpbt: 1826PA_x000D_
.anc#:double ancestor_x000D_
citiz:foreign_x000D_
#spos:1_x000D_
#srcs:1_x000D_
#comment:0_x000D_
#events:1_x000D_
#kids:1_x000D_
lived:ENOXFOSRYCOTE_x000D_
issue:Born before Parents Married_x000D_
.recs:Birth,Marriage,Death_x000D_
.imm?:no_x000D_
..Spo:NICHOLAS ENGLEFIELD</t>
        </r>
      </text>
    </comment>
    <comment ref="V330" authorId="0" shapeId="0" xr:uid="{26B1B7F3-57D0-4D9A-9180-3FD755A04C28}">
      <text>
        <r>
          <rPr>
            <sz val="9"/>
            <color indexed="81"/>
            <rFont val="Tahoma"/>
            <family val="2"/>
          </rPr>
          <t>KATHERINE CLARKE_x000D_
http://yeinfo.com/family/I09066138.html_x000D_
https://www.google.com/search?q=KATHERINE+CLARKE+1350+1378+RYCOTE_x000D_
.born:c1350    -          Rycote (Oxfordshire) England_x000D_
.died: 1378    -1440      Rycote (Oxfordshire) England, age:28y 0m 0d, _x000D_
.bapt: 1785GE_x000D_
.will: 2004MO_x000D_
.obit: 1890OH_x000D_
.bury: 1850IL _x000D_
.wpbt: 1826PA_x000D_
.anc#:double ancestor_x000D_
citiz:foreign_x000D_
#spos:1_x000D_
#srcs:1_x000D_
#comment:1_x000D_
#events:1_x000D_
#kids:1_x000D_
lived:ENOXFOSGREATHY,ENOXFOSRYCOTE_x000D_
issue:Died before Birth_x000D_
.recs:Birth,Marriage,Death_x000D_
.imm?:no_x000D_
..Spo:NICHOLAS RYCOTE</t>
        </r>
      </text>
    </comment>
    <comment ref="R332" authorId="0" shapeId="0" xr:uid="{9A2E9B3B-394C-46F3-B80F-C87D845E35FC}">
      <text>
        <r>
          <rPr>
            <sz val="9"/>
            <color indexed="81"/>
            <rFont val="Tahoma"/>
            <family val="2"/>
          </rPr>
          <t>RICHARD FOWLER_x000D_
http://yeinfo.com/family/I09065545.html_x000D_
https://www.google.com/search?q=RICHARD+FOWLER+1466+1504+ELIZABETH+Shaa_x000D_
.born:c1466    -          Rycote (Oxfordshire) England_x000D_
.died: 1504    -1556      London (Middlesex) England, age:38y 0m 0d, _x000D_
.bapt: 1785GE_x000D_
.will: 2004MO_x000D_
.obit: 1890OH_x000D_
.bury: 1850IL _x000D_
.wpbt: 1826PA_x000D_
.anc#:double ancestor_x000D_
citiz:foreign_x000D_
#spos:2_x000D_
#srcs:1_x000D_
#comment:0_x000D_
#events:2_x000D_
#kids:1_x000D_
lived:ENBUCKE,ENMIDDLLONDON,ENOXFOSGREATHY,ENOXFOSRYCOTE_x000D_
issue:Died before Birth_x000D_
.recs:Birth,Marriage,Death_x000D_
.imm?:no_x000D_
..Spo:ELIZABETH WINDSOR</t>
        </r>
      </text>
    </comment>
    <comment ref="W334" authorId="0" shapeId="0" xr:uid="{418A19BC-8832-4436-83FA-366102B57258}">
      <text>
        <r>
          <rPr>
            <sz val="9"/>
            <color indexed="81"/>
            <rFont val="Tahoma"/>
            <family val="2"/>
          </rPr>
          <t>SIMON DANVERS_x000D_
http://yeinfo.com/family/I09066319.html_x000D_
https://www.google.com/search?q=SIMON+DANVERS+1256+1331+ALICE_x000D_
.born: 1256    -          Tetsworth (Oxfordshire) England_x000D_
.died:?1331    -          Oxfordshire county England, age:75y 0m 0d, _x000D_
.bapt: 1785GE_x000D_
.will: 2004MO_x000D_
.obit: 1890OH_x000D_
.bury: 1850IL _x000D_
.wpbt: 1826PA_x000D_
.anc#:  triple ancestor_x000D_
citiz:foreign_x000D_
#spos:1_x000D_
#srcs:1_x000D_
#comment:0_x000D_
#events:1_x000D_
#kids:1_x000D_
lived:ENOXFOSTETSWOR_x000D_
issue:_x000D_
.recs:Birth,Marriage,Death_x000D_
.imm?:no_x000D_
..Spo:ALICE COOK</t>
        </r>
      </text>
    </comment>
    <comment ref="V336" authorId="0" shapeId="0" xr:uid="{CEEA55F3-F6FF-4844-9FE7-7F93449A7494}">
      <text>
        <r>
          <rPr>
            <sz val="9"/>
            <color indexed="81"/>
            <rFont val="Tahoma"/>
            <family val="2"/>
          </rPr>
          <t>JOHN DANVERS_x000D_
http://yeinfo.com/family/I09066139.html_x000D_
https://www.google.com/search?q=JOHN+DANVERS+1295+1347+ISABEL_x000D_
.born: 1295    -          Oxfordshire county England_x000D_
.died:c1347    -          Oxfordshire county England, age:52y 0m 0d, _x000D_
.bapt: 1785GE_x000D_
.will: 2004MO_x000D_
.obit: 1890OH_x000D_
.bury: 1850IL _x000D_
.wpbt: 1826PA_x000D_
.anc#:  triple ancestor_x000D_
citiz:foreign_x000D_
#spos:1_x000D_
#srcs:1_x000D_
#comment:1_x000D_
#events:1_x000D_
#kids:1_x000D_
lived:ENOXFOS_x000D_
issue:_x000D_
.recs:Birth,Marriage,Death_x000D_
.imm?:no_x000D_
..Spo:ISABEL LEE</t>
        </r>
      </text>
    </comment>
    <comment ref="W338" authorId="0" shapeId="0" xr:uid="{73B5A648-8454-4288-A3C3-936846EEACB0}">
      <text>
        <r>
          <rPr>
            <sz val="9"/>
            <color indexed="81"/>
            <rFont val="Tahoma"/>
            <family val="2"/>
          </rPr>
          <t>ALICE COOK_x000D_
http://yeinfo.com/family/I09066320.html_x000D_
https://www.google.com/search?q=ALICE+COOK+1262+1364+DANVERS_x000D_
.born:c1262    -          Oxfordshire county England_x000D_
.died: 1364    -          Oxfordshire county England, age:102y 0m 0d, _x000D_
.bapt: 1785GE_x000D_
.will: 2004MO_x000D_
.obit: 1890OH_x000D_
.bury: 1850IL _x000D_
.wpbt: 1826PA_x000D_
.anc#:  triple ancestor_x000D_
citiz:foreign_x000D_
#spos:1_x000D_
#srcs:1_x000D_
#comment:0_x000D_
#events:1_x000D_
#kids:1_x000D_
lived:ENOXFOS_x000D_
issue:Married after Age 60_x000D_
.recs:Birth,Marriage,Death_x000D_
.imm?:no_x000D_
..Spo:SIMON DANVERS</t>
        </r>
      </text>
    </comment>
    <comment ref="U340" authorId="0" shapeId="0" xr:uid="{BFA2CC1D-2A2F-43B5-B002-112AB3FB7177}">
      <text>
        <r>
          <rPr>
            <sz val="9"/>
            <color indexed="81"/>
            <rFont val="Tahoma"/>
            <family val="2"/>
          </rPr>
          <t>RICHARD DANVERS_x000D_
http://yeinfo.com/family/I09065963.html_x000D_
https://www.google.com/search?q=RICHARD+DANVERS+1330+1409+AGNES_x000D_
.born:c1330    -          Oxfordshire county England_x000D_
.died:c1409    -          Oxfordshire county England, age:79y 0m 0d, _x000D_
.bapt: 1785GE_x000D_
.will: 2004MO_x000D_
.obit: 1890OH_x000D_
.bury: 1850IL _x000D_
.wpbt: 1826PA_x000D_
.anc#:  triple ancestor_x000D_
citiz:foreign_x000D_
#spos:1_x000D_
#srcs:1_x000D_
#comment:0_x000D_
#events:1_x000D_
#kids:1_x000D_
lived:ENOXFOS_x000D_
issue:Married before Age 16,Spouse Age more than 30-Year Difference_x000D_
.recs:Birth,Marriage,Death_x000D_
.imm?:no_x000D_
..Spo:AGNES BRANCESTRE</t>
        </r>
      </text>
    </comment>
    <comment ref="V342" authorId="0" shapeId="0" xr:uid="{E1A2B2BE-476C-4460-9AD1-B808B3B8829E}">
      <text>
        <r>
          <rPr>
            <sz val="9"/>
            <color indexed="81"/>
            <rFont val="Tahoma"/>
            <family val="2"/>
          </rPr>
          <t>ISABEL LEE_x000D_
http://yeinfo.com/family/I09066140.html_x000D_
https://www.google.com/search?q=ISABEL+LEE+1310+1330+DANVERS_x000D_
.born:c1310    -          Swalcliffe (Oxfordshire) England_x000D_
.died: 1330    -          Doncaster (Yorkshire) England, age:20y 0m 0d, _x000D_
.bapt: 1785GE_x000D_
.will: 2004MO_x000D_
.obit: 1890OH_x000D_
.bury: 1850IL _x000D_
.wpbt: 1826PA_x000D_
.anc#:  triple ancestor_x000D_
citiz:foreign_x000D_
#spos:1_x000D_
#srcs:1_x000D_
#comment:1_x000D_
#events:1_x000D_
#kids:1_x000D_
lived:ENOXFOSSWALCLI,ENYORKSDONCAST_x000D_
issue:_x000D_
.recs:Birth,Marriage,Death_x000D_
.imm?:no_x000D_
..Spo:JOHN DANVERS</t>
        </r>
      </text>
    </comment>
    <comment ref="T344" authorId="0" shapeId="0" xr:uid="{28CDBED8-076B-4E0C-B914-ACD73D71AE8B}">
      <text>
        <r>
          <rPr>
            <sz val="9"/>
            <color indexed="81"/>
            <rFont val="Tahoma"/>
            <family val="2"/>
          </rPr>
          <t>JOHN DANVERS_x000D_
http://yeinfo.com/family/I09065809.html_x000D_
https://www.google.com/search?q=JOHN+DANVERS+1390+1449+ALICE+BRULEY_x000D_
.born:c1390    -          Oxfordshire county England_x000D_
.died: 1449    -          Oxfordshire county England, age:59y 0m 0d, _x000D_
.bapt: 1785GE_x000D_
.will: 2004MO_x000D_
.obit: 1890OH_x000D_
.bury: 1850IL _x000D_
.wpbt: 1826PA_x000D_
.anc#:  triple ancestor_x000D_
citiz:foreign_x000D_
#spos:2_x000D_
#srcs:1_x000D_
#comment:1_x000D_
#events:2_x000D_
#kids:2_x000D_
lived:ENOXFOS_x000D_
issue:Born before Parents Married,Died after Age 100,AncFlags between Spouses Mismatched_x000D_
.recs:Birth,Marriage,Death_x000D_
.imm?:no_x000D_
..Spo:ALICE VERNEY</t>
        </r>
      </text>
    </comment>
    <comment ref="V346" authorId="0" shapeId="0" xr:uid="{C0F9E2E4-E59A-4D2F-97BC-6D74DFE18FF4}">
      <text>
        <r>
          <rPr>
            <sz val="9"/>
            <color indexed="81"/>
            <rFont val="Tahoma"/>
            <family val="2"/>
          </rPr>
          <t>JOHN\RICHARD BRANCESTRE_x000D_
http://yeinfo.com/family/I09066141.html_x000D_
https://www.google.com/search?q=JOHN\RICHARD+BRANCESTRE+1340+1392+MARGARET\AGNES_x000D_
.born:?1340    -         ?England_x000D_
.died: 1392    -         ?England, age:52y 0m 0d, _x000D_
.bapt: 1785GE_x000D_
.will: 2004MO_x000D_
.obit: 1890OH_x000D_
.bury: 1850IL _x000D_
.wpbt: 1826PA_x000D_
.anc#:  triple ancestor_x000D_
citiz:foreign_x000D_
#spos:1_x000D_
#srcs:3_x000D_
#comment:0_x000D_
#events:1_x000D_
#kids:1_x000D_
lived:?ENOXFOS_x000D_
issue:_x000D_
.recs:Birth,Marriage,Death_x000D_
.imm?:no_x000D_
..Spo:MARGARET\AGNES MILE</t>
        </r>
      </text>
    </comment>
    <comment ref="U348" authorId="0" shapeId="0" xr:uid="{076B3CA4-1D75-420C-8862-5F6C1137B527}">
      <text>
        <r>
          <rPr>
            <sz val="9"/>
            <color indexed="81"/>
            <rFont val="Tahoma"/>
            <family val="2"/>
          </rPr>
          <t>AGNES BRANCESTRE_x000D_
http://yeinfo.com/family/I09065964.html_x000D_
https://www.google.com/search?q=AGNES+BRANCESTRE+1365+1394+DANVERS_x000D_
.born:c1365    -          Oxfordshire county England_x000D_
.died: 1394    -1464      Oxfordshire county England, age:29y 0m 0d, _x000D_
.bapt: 1785GE_x000D_
.will: 2004MO_x000D_
.obit: 1890OH_x000D_
.bury: 1850IL _x000D_
.wpbt: 1826PA_x000D_
.anc#:  triple ancestor_x000D_
citiz:foreign_x000D_
#spos:1_x000D_
#srcs:3_x000D_
#comment:0_x000D_
#events:1_x000D_
#kids:1_x000D_
lived:ENOXFOS_x000D_
issue:Born before Parents Married,Died before Birth,Spouse Age more than 30-Year Difference_x000D_
.recs:Birth,Marriage,Death_x000D_
.imm?:no_x000D_
..Spo:RICHARD DANVERS</t>
        </r>
      </text>
    </comment>
    <comment ref="V350" authorId="0" shapeId="0" xr:uid="{09661EB3-B410-46E5-BB4D-E80347068B20}">
      <text>
        <r>
          <rPr>
            <sz val="9"/>
            <color indexed="81"/>
            <rFont val="Tahoma"/>
            <family val="2"/>
          </rPr>
          <t>MARGARET\AGNES MILE_x000D_
http://yeinfo.com/family/I09066142.html_x000D_
https://www.google.com/search?q=MARGARET\AGNES+MILE+1330+1374+BRANCESTRE_x000D_
.born: 1330    -          Kineton (Warwickshire) England_x000D_
.died: 1374    -1444     ?England, age:44y 0m 0d, _x000D_
.bapt: 1785GE_x000D_
.will: 2004MO_x000D_
.obit: 1890OH_x000D_
.bury: 1850IL _x000D_
.wpbt: 1826PA_x000D_
.anc#:  triple ancestor_x000D_
citiz:foreign_x000D_
#spos:1_x000D_
#srcs:3_x000D_
#comment:1_x000D_
#events:1_x000D_
#kids:1_x000D_
lived:?ENOXFOS,ENWARWEKINETON_x000D_
issue:_x000D_
.recs:Birth,Marriage,Death_x000D_
.imm?:no_x000D_
..Spo:JOHN\RICHARD BRANCESTRE</t>
        </r>
      </text>
    </comment>
    <comment ref="S352" authorId="0" shapeId="0" xr:uid="{C21E9195-35DA-496F-AD59-A832B1DABD58}">
      <text>
        <r>
          <rPr>
            <sz val="9"/>
            <color indexed="81"/>
            <rFont val="Tahoma"/>
            <family val="2"/>
          </rPr>
          <t>JOAN DANVERS_x000D_
http://yeinfo.com/family/I09065683.html_x000D_
https://www.google.com/search?q=JOAN+DANVERS+1422+1505+FOWLER_x000D_
.born: 1422    -          Oxfordshire county England_x000D_
.died: 15050405-          Thame (Oxfordshire) England, age:83y 3m 4d, _x000D_
.bapt: 1785GE_x000D_
.will: 2004MO_x000D_
.obit: 1890OH_x000D_
.bury: 1850IL _x000D_
.wpbt: 1826PA_x000D_
.anc#:double ancestor_x000D_
citiz:foreign_x000D_
#spos:1_x000D_
#srcs:1_x000D_
#comment:0_x000D_
#events:1_x000D_
#kids:1_x000D_
lived:ENOXFOSTHAME_x000D_
issue:_x000D_
.recs:Birth,Marriage,Death_x000D_
.imm?:no_x000D_
..Spo:RICHARD FOWLER</t>
        </r>
      </text>
    </comment>
    <comment ref="V354" authorId="0" shapeId="0" xr:uid="{E99644EF-D714-4179-AD91-F3A08C3D49B4}">
      <text>
        <r>
          <rPr>
            <sz val="9"/>
            <color indexed="81"/>
            <rFont val="Tahoma"/>
            <family val="2"/>
          </rPr>
          <t>WILLIAM BRULEY_x000D_
http://yeinfo.com/family/I09066143.html_x000D_
https://www.google.com/search?q=WILLIAM+BRULEY+1348+1436+AGNES_x000D_
.born: 1348    -          Waterstock (Oxfordshire) England_x000D_
.died: 1436    -          Waterstock (Oxfordshire) England, age:88y 0m 0d, _x000D_
.bapt: 1785GE_x000D_
.will: 2004MO_x000D_
.obit: 1890OH_x000D_
.bury: 1850IL _x000D_
.wpbt: 1826PA_x000D_
.anc#:double ancestor_x000D_
citiz:foreign_x000D_
#spos:1_x000D_
#srcs:1_x000D_
#comment:1_x000D_
#events:1_x000D_
#kids:1_x000D_
lived:ENOXFOSWATERST_x000D_
issue:_x000D_
.recs:Birth,Marriage,Death_x000D_
.imm?:no_x000D_
..Spo:AGNES BRULEY</t>
        </r>
      </text>
    </comment>
    <comment ref="U356" authorId="0" shapeId="0" xr:uid="{EFD89C92-FB27-4CD5-BC01-1C4EC5B9005A}">
      <text>
        <r>
          <rPr>
            <sz val="9"/>
            <color indexed="81"/>
            <rFont val="Tahoma"/>
            <family val="2"/>
          </rPr>
          <t>JOHN BRULEY_x000D_
http://yeinfo.com/family/I09065965.html_x000D_
https://www.google.com/search?q=JOHN+BRULEY+1375+1403+MAUD+MATILDA_x000D_
.born:c1375    -          Oxfordshire county England_x000D_
.died: 1403    -1473      Oxfordshire county England, age:28y 0m 0d, _x000D_
.bapt: 1785GE_x000D_
.will: 2004MO_x000D_
.obit: 1890OH_x000D_
.bury: 1850IL _x000D_
.wpbt: 1826PA_x000D_
.anc#:double ancestor_x000D_
citiz:foreign_x000D_
#spos:1_x000D_
#srcs:2_x000D_
#comment:0_x000D_
#events:1_x000D_
#kids:1_x000D_
lived:ENOXFOS_x000D_
issue:Born before Parents Married_x000D_
.recs:Birth,Marriage,Death_x000D_
.imm?:no_x000D_
..Spo:MAUD MATILDA QUARTERMAIN</t>
        </r>
      </text>
    </comment>
    <comment ref="V358" authorId="0" shapeId="0" xr:uid="{16E8BC22-C73D-4F87-94BC-2D85A33A596D}">
      <text>
        <r>
          <rPr>
            <sz val="9"/>
            <color indexed="81"/>
            <rFont val="Tahoma"/>
            <family val="2"/>
          </rPr>
          <t>Mrs. AGNES BRULEY_x000D_
http://yeinfo.com/family/I09066144.html_x000D_
https://www.google.com/search?q=AGNES+BRULEY+1350+1383+BRULEY_x000D_
.born:?1350    -          Waterstock (Oxfordshire) England_x000D_
.died: 1383    -1450      Waterstock (Oxfordshire) England, age:33y 0m 0d, _x000D_
.bapt: 1785GE_x000D_
.will: 2004MO_x000D_
.obit: 1890OH_x000D_
.bury: 1850IL _x000D_
.wpbt: 1826PA_x000D_
.anc#:double ancestor_x000D_
citiz:foreign_x000D_
#spos:1_x000D_
#srcs:1_x000D_
#comment:1_x000D_
#events:1_x000D_
#kids:1_x000D_
lived:ENOXFOSWATERST_x000D_
issue:_x000D_
.recs:Birth,Marriage,Death_x000D_
.imm?:no_x000D_
..Spo:WILLIAM BRULEY</t>
        </r>
      </text>
    </comment>
    <comment ref="T360" authorId="0" shapeId="0" xr:uid="{68736209-8437-4B7C-B937-4E352EEDC4B6}">
      <text>
        <r>
          <rPr>
            <sz val="9"/>
            <color indexed="81"/>
            <rFont val="Tahoma"/>
            <family val="2"/>
          </rPr>
          <t>JOAN\JOANE BRULEY_x000D_
http://yeinfo.com/family/I09065810.html_x000D_
https://www.google.com/search?q=JOAN\JOANE+BRULEY+1396+1422+DANVERS+Walter_x000D_
.born:c1396    -          Oxfordshire county England_x000D_
.died: 1422    -1486      Oxfordshire county England, age:26y 0m 0d, _x000D_
.bapt: 1785GE_x000D_
.will: 2004MO_x000D_
.obit: 1890OH_x000D_
.bury: 1850IL _x000D_
.wpbt: 1826PA_x000D_
.anc#:double ancestor_x000D_
citiz:foreign_x000D_
#spos:2_x000D_
#srcs:2_x000D_
#comment:0_x000D_
#events:2_x000D_
#kids:1_x000D_
lived:ENOXFOS_x000D_
issue:Died before Birth,AncFlags between Spouses Mismatched_x000D_
.recs:Birth,Marriage,Death_x000D_
.imm?:no_x000D_
..Spo:JOHN DANVERS</t>
        </r>
      </text>
    </comment>
    <comment ref="W362" authorId="0" shapeId="0" xr:uid="{CFF0B727-C8BB-4B2C-80FC-6DAB5C7187EB}">
      <text>
        <r>
          <rPr>
            <sz val="9"/>
            <color indexed="81"/>
            <rFont val="Tahoma"/>
            <family val="2"/>
          </rPr>
          <t>THOMAS QUARTERMAIN Sr._x000D_
http://yeinfo.com/family/I09066432.html_x000D_
https://www.google.com/search?q=THOMAS+QUARTERMAIN+1313+1399+CATHERINE_x000D_
.born: 13130606-          North Weston (Oxfordshire) England_x000D_
.died: 13990606-          North Weston (Oxfordshire) England, age:86y 0m 0d, _x000D_
.bapt: 1785GE_x000D_
.will: 2004MO_x000D_
.obit: 1890OH_x000D_
.bury: 1850IL _x000D_
.wpbt: 1826PA_x000D_
.anc#:double ancestor_x000D_
citiz:foreign_x000D_
#spos:1_x000D_
#srcs:1_x000D_
#comment:1_x000D_
#events:2_x000D_
#kids:1_x000D_
lived:ENOXFOSNORTWST,ENOXFOSTHAME_x000D_
issue:_x000D_
.recs:Birth,Marriage,Death_x000D_
.imm?:no_x000D_
..Spo:CATHERINE BRETTON</t>
        </r>
      </text>
    </comment>
    <comment ref="V364" authorId="0" shapeId="0" xr:uid="{1A7618E5-6EA6-4E70-A801-D21831019F80}">
      <text>
        <r>
          <rPr>
            <sz val="9"/>
            <color indexed="81"/>
            <rFont val="Tahoma"/>
            <family val="2"/>
          </rPr>
          <t>THOMAS QUARTERMAIN Jr._x000D_
http://yeinfo.com/family/I09066145.html_x000D_
https://www.google.com/search?q=THOMAS+QUARTERMAIN+1338+1398+JOAN_x000D_
.born:c1338    -          North Weston (Oxfordshire) England_x000D_
.died: 13980506-          North Weston (Oxfordshire) England, age:60y 4m 5d, _x000D_
.bapt: 1785GE_x000D_
.will: 2004MO_x000D_
.obit: 1890OH_x000D_
.bury: 1850IL _x000D_
.wpbt: 1826PA_x000D_
.anc#:double ancestor_x000D_
citiz:foreign_x000D_
#spos:1_x000D_
#srcs:2_x000D_
#comment:2_x000D_
#events:1_x000D_
#kids:1_x000D_
lived:ENOXFOSNORTWST_x000D_
issue:_x000D_
.recs:Birth,Marriage,Death_x000D_
.imm?:no_x000D_
..Spo:JOAN RUSSELL</t>
        </r>
      </text>
    </comment>
    <comment ref="W366" authorId="0" shapeId="0" xr:uid="{75F11DE9-2E20-48A4-B22D-DBDE0862CF19}">
      <text>
        <r>
          <rPr>
            <sz val="9"/>
            <color indexed="81"/>
            <rFont val="Tahoma"/>
            <family val="2"/>
          </rPr>
          <t>CATHERINE BRETTON_x000D_
http://yeinfo.com/family/I09066435.html_x000D_
https://www.google.com/search?q=CATHERINE+BRETTON+1317+1342+QUARTERMAIN_x000D_
.born:c13170606-          Oxfordshire county England_x000D_
.died: 13420606-          North Weston (Oxfordshire) England, age:25y 0m 0d, _x000D_
.bapt: 1785GE_x000D_
.will: 2004MO_x000D_
.obit: 1890OH_x000D_
.bury: 1850IL _x000D_
.wpbt: 1826PA_x000D_
.anc#:double ancestor_x000D_
citiz:foreign_x000D_
#spos:1_x000D_
#srcs:1_x000D_
#comment:0_x000D_
#events:2_x000D_
#kids:1_x000D_
lived:ENOXFOSNORTWST_x000D_
issue:_x000D_
.recs:Birth,Marriage,Death_x000D_
.imm?:no_x000D_
..Spo:THOMAS QUARTERMAIN</t>
        </r>
      </text>
    </comment>
    <comment ref="U368" authorId="0" shapeId="0" xr:uid="{08C25EFF-DFA8-443E-9CB7-9669ADAAA1A5}">
      <text>
        <r>
          <rPr>
            <sz val="9"/>
            <color indexed="81"/>
            <rFont val="Tahoma"/>
            <family val="2"/>
          </rPr>
          <t>MAUD MATILDA QUARTERMAIN_x000D_
http://yeinfo.com/family/I09065966.html_x000D_
https://www.google.com/search?q=MAUD+MATILDA+QUARTERMAIN+1378+1410+BRULEY_x000D_
.born: 1378    -          North Weston (Oxfordshire) England_x000D_
.died: 1410    -          Hagley (Worcestershire) England, age:32y 0m 0d, _x000D_
.bapt: 1785GE_x000D_
.will: 2004MO_x000D_
.obit: 1890OH_x000D_
.bury: 1850IL _x000D_
.wpbt: 1826PA_x000D_
.anc#:double ancestor_x000D_
citiz:foreign_x000D_
#spos:1_x000D_
#srcs:1_x000D_
#comment:0_x000D_
#events:1_x000D_
#kids:1_x000D_
lived:ENOXFOSNORTWST,ENWORCSHAGLEY_x000D_
issue:_x000D_
.recs:Birth,Marriage,Death_x000D_
.imm?:no_x000D_
..Spo:JOHN BRULEY</t>
        </r>
      </text>
    </comment>
    <comment ref="V370" authorId="0" shapeId="0" xr:uid="{9246C1EB-4BAF-4110-B500-DE5FDAA60509}">
      <text>
        <r>
          <rPr>
            <sz val="9"/>
            <color indexed="81"/>
            <rFont val="Tahoma"/>
            <family val="2"/>
          </rPr>
          <t>JOAN RUSSELL_x000D_
http://yeinfo.com/family/I09066146.html_x000D_
https://www.google.com/search?q=JOAN+RUSSELL+1340+1399+QUARTERMAIN_x000D_
.born:c1340    -          Oxford (Oxfordshire) England_x000D_
.died: 13990506-          North Weston (Oxfordshire) England, age:59y 4m 5d, _x000D_
.bapt: 1785GE_x000D_
.will: 2004MO_x000D_
.obit: 1890OH_x000D_
.bury: 1850IL _x000D_
.wpbt: 1826PA_x000D_
.anc#:double ancestor_x000D_
citiz:foreign_x000D_
#spos:1_x000D_
#srcs:1_x000D_
#comment:2_x000D_
#events:1_x000D_
#kids:1_x000D_
lived:ENOXFOSNORTWST,ENOXFOSOXFORD_x000D_
issue:_x000D_
.recs:Birth,Marriage,Death_x000D_
.imm?:no_x000D_
..Spo:THOMAS QUARTERMAIN</t>
        </r>
      </text>
    </comment>
    <comment ref="Q372" authorId="0" shapeId="0" xr:uid="{C132D1CD-7455-4A2A-886C-478F7A1E2A62}">
      <text>
        <r>
          <rPr>
            <sz val="9"/>
            <color indexed="81"/>
            <rFont val="Tahoma"/>
            <family val="2"/>
          </rPr>
          <t>ANTHONY FOWLER_x000D_
http://yeinfo.com/family/I09041344.html_x000D_
https://www.google.com/search?q=ANTHONY+FOWLER+1504+1530+ELIZABETH_x000D_
.born:c1504    -          Thame (Oxfordshire) England_x000D_
.died: 1530    -1594     ?England, age:26y 0m 0d, _x000D_
.bapt: 1785GE_x000D_
.will: 2004MO_x000D_
.obit: 1890OH_x000D_
.bury: 1850IL _x000D_
.wpbt: 1826PA_x000D_
.anc#:double ancestor_x000D_
citiz:foreign_x000D_
#spos:1_x000D_
#srcs:1_x000D_
#comment:0_x000D_
#events:1_x000D_
#kids:1_x000D_
lived:ENOXFOSTHAME_x000D_
issue:Died before Birth_x000D_
.recs:Birth,Marriage,Death_x000D_
.imm?:no_x000D_
..Spo:ELIZABETH FOWLER</t>
        </r>
      </text>
    </comment>
    <comment ref="V374" authorId="0" shapeId="0" xr:uid="{1B417A0C-962F-4314-84E2-DE417901698A}">
      <text>
        <r>
          <rPr>
            <sz val="9"/>
            <color indexed="81"/>
            <rFont val="Tahoma"/>
            <family val="2"/>
          </rPr>
          <t>BRYAN WINDSOR_x000D_
http://yeinfo.com/family/I09066147.html_x000D_
https://www.google.com/search?q=BRYAN+WINDSOR+1371+1399+ALICE_x000D_
.born: 1371    -          Birmingham (Warwickshire) England_x000D_
.died: 13990430-          Birmingham (Warwickshire) England, age:28y 3m 29d, _x000D_
.bapt: 1785GE_x000D_
.will: 2004MO_x000D_
.obit: 1890OH_x000D_
.bury: 1850IL _x000D_
.wpbt: 1826PA_x000D_
.anc#:double ancestor_x000D_
citiz:foreign_x000D_
#spos:1_x000D_
#srcs:1_x000D_
#comment:1_x000D_
#events:1_x000D_
#kids:1_x000D_
lived:ENWARWEBIRMING_x000D_
issue:_x000D_
.recs:Birth,Marriage,Death_x000D_
.imm?:no_x000D_
..Spo:ALICE DREW</t>
        </r>
      </text>
    </comment>
    <comment ref="U376" authorId="0" shapeId="0" xr:uid="{6128536F-1909-47A3-BA1E-510BC1C0B08C}">
      <text>
        <r>
          <rPr>
            <sz val="9"/>
            <color indexed="81"/>
            <rFont val="Tahoma"/>
            <family val="2"/>
          </rPr>
          <t>RICHARD WINDSOR_x000D_
http://yeinfo.com/family/I09065967.html_x000D_
https://www.google.com/search?q=RICHARD+WINDSOR+1380+1428+CHRISTIAN_x000D_
.born:?1380    -          Buckinghamshire county England_x000D_
.died:?14280416-          London (Middlesex) England, age:48y 3m 15d, _x000D_
.bapt: 1785GE_x000D_
.will: 2004MO_x000D_
.obit: 1890OH_x000D_
.bury: 1850IL _x000D_
.wpbt: 1826PA_x000D_
.anc#:double ancestor_x000D_
citiz:foreign_x000D_
#spos:1_x000D_
#srcs:1_x000D_
#comment:0_x000D_
#events:1_x000D_
#kids:1_x000D_
lived:ENBUCKE,ENMIDDLLONDON_x000D_
issue:Born before Parents Married,Died after Age 100_x000D_
.recs:Birth,Marriage,Death_x000D_
.imm?:no_x000D_
..Spo:CHRISTIAN FAULKNER</t>
        </r>
      </text>
    </comment>
    <comment ref="V378" authorId="0" shapeId="0" xr:uid="{2DD96D5E-40C6-4318-B799-C15A04D5B937}">
      <text>
        <r>
          <rPr>
            <sz val="9"/>
            <color indexed="81"/>
            <rFont val="Tahoma"/>
            <family val="2"/>
          </rPr>
          <t>ALICE DREW_x000D_
http://yeinfo.com/family/I09066148.html_x000D_
https://www.google.com/search?q=ALICE+DREW+1378+1405+WINDSOR_x000D_
.born: 1378    -          Southampton (Hampshire) England_x000D_
.died: 1405    -          Birmingham (Warwickshire) England, age:27y 0m 0d, _x000D_
.bapt: 1785GE_x000D_
.will: 2004MO_x000D_
.obit: 1890OH_x000D_
.bury: 1850IL _x000D_
.wpbt: 1826PA_x000D_
.anc#:double ancestor_x000D_
citiz:foreign_x000D_
#spos:1_x000D_
#srcs:1_x000D_
#comment:1_x000D_
#events:1_x000D_
#kids:1_x000D_
lived:ENHAMPSSOUTHMP,ENWARWEBIRMING_x000D_
issue:Died after Age 100_x000D_
.recs:Birth,Marriage,Death_x000D_
.imm?:no_x000D_
..Spo:BRYAN WINDSOR</t>
        </r>
      </text>
    </comment>
    <comment ref="T380" authorId="0" shapeId="0" xr:uid="{48BF3761-FD3A-46DD-80D8-F2FBD1325A34}">
      <text>
        <r>
          <rPr>
            <sz val="9"/>
            <color indexed="81"/>
            <rFont val="Tahoma"/>
            <family val="2"/>
          </rPr>
          <t>MILES WINDSOR_x000D_
http://yeinfo.com/family/I09065811.html_x000D_
https://www.google.com/search?q=MILES+WINDSOR+1399+1451+JOAN_x000D_
.born: 13990130-          Stanwell (Middlesex) England_x000D_
.died: 14510930-          Italy, age:52y 8m 0d, _x000D_
.bapt: 1785GE_x000D_
.will: 2004MO_x000D_
.obit: 1890OH_x000D_
.bury: 1850IL _x000D_
.wpbt: 1826PA_x000D_
.anc#:double ancestor_x000D_
citiz:foreign_x000D_
#spos:1_x000D_
#srcs:1_x000D_
#comment:0_x000D_
#events:1_x000D_
#kids:1_x000D_
lived:ENBUCKE,ENMIDDLSTANWEL,IT_x000D_
issue:_x000D_
.recs:Birth,Marriage,Death_x000D_
.imm?:no_x000D_
..Spo:JOAN GREENE</t>
        </r>
      </text>
    </comment>
    <comment ref="W382" authorId="0" shapeId="0" xr:uid="{D4672D2C-1A8B-4D42-9FB9-4C5C65A6EF5E}">
      <text>
        <r>
          <rPr>
            <sz val="9"/>
            <color indexed="81"/>
            <rFont val="Tahoma"/>
            <family val="2"/>
          </rPr>
          <t>RICHARD FAULKNER Sr._x000D_
http://yeinfo.com/family/I09066452.html_x000D_
https://www.google.com/search?q=RICHARD+FAULKNER+1334+1401+{_?_}_x000D_
.born: 1334    -          Southampton (Hampshire) England_x000D_
.died: 1401    -         ?England, age:67y 0m 0d, _x000D_
.bapt: 1785GE_x000D_
.will: 2004MO_x000D_
.obit: 1890OH_x000D_
.bury: 1850IL _x000D_
.wpbt: 1826PA_x000D_
.anc#:double ancestor_x000D_
citiz:foreign_x000D_
#spos:1_x000D_
#srcs:1_x000D_
#comment:0_x000D_
#events:1_x000D_
#kids:1_x000D_
lived:ENHAMPSSOUTHMP_x000D_
issue:_x000D_
.recs:Birth,Marriage,Death_x000D_
.imm?:no_x000D_
..Spo:{_?_} FAULKNER</t>
        </r>
      </text>
    </comment>
    <comment ref="V384" authorId="0" shapeId="0" xr:uid="{33F76138-BE80-4FF6-AA4B-4DE12B7E66C0}">
      <text>
        <r>
          <rPr>
            <sz val="9"/>
            <color indexed="81"/>
            <rFont val="Tahoma"/>
            <family val="2"/>
          </rPr>
          <t>RICHARD FAULKNER Jr._x000D_
http://yeinfo.com/family/I09066149.html_x000D_
https://www.google.com/search?q=RICHARD+FAULKNER+1354+1401+MARGARET_x000D_
.born: 1354    -          Southampton (Hampshire) England_x000D_
.died: 1401    -          Hampshire county England, age:47y 0m 0d, _x000D_
.bapt: 1785GE_x000D_
.will: 2004MO_x000D_
.obit: 1890OH_x000D_
.bury: 1850IL _x000D_
.wpbt: 1826PA_x000D_
.anc#:double ancestor_x000D_
citiz:foreign_x000D_
#spos:1_x000D_
#srcs:2_x000D_
#comment:0_x000D_
#events:1_x000D_
#kids:1_x000D_
lived:ENHAMPSSOUTHMP_x000D_
issue:_x000D_
.recs:Birth,Marriage,Death_x000D_
.imm?:no_x000D_
..Spo:MARGARET BOULTON</t>
        </r>
      </text>
    </comment>
    <comment ref="W386" authorId="0" shapeId="0" xr:uid="{CD976053-C8AA-45E2-985A-AED9F27D79E3}">
      <text>
        <r>
          <rPr>
            <sz val="9"/>
            <color indexed="81"/>
            <rFont val="Tahoma"/>
            <family val="2"/>
          </rPr>
          <t>Mrs. {_?_} FAULKNER_x000D_
http://yeinfo.com/family/I09066451.html_x000D_
https://www.google.com/search?q={_?_}+FAULKNER+1335+1355+FAULKNER_x000D_
.born:?1335    -         ?England_x000D_
.died: 1355    -1425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..Spo:RICHARD FAULKNER</t>
        </r>
      </text>
    </comment>
    <comment ref="U388" authorId="0" shapeId="0" xr:uid="{EDE6CEB2-1B94-42B4-AF75-D18927069088}">
      <text>
        <r>
          <rPr>
            <sz val="9"/>
            <color indexed="81"/>
            <rFont val="Tahoma"/>
            <family val="2"/>
          </rPr>
          <t>CHRISTIAN FAULKNER_x000D_
http://yeinfo.com/family/I09065968.html_x000D_
https://www.google.com/search?q=CHRISTIAN+FAULKNER+1380+1418+WINDSOR_x000D_
.born:?1380    -          Southampton (Hampshire) England_x000D_
.died:?1418    -          London (Middlesex) England, age:38y 0m 0d, _x000D_
.bapt: 1785GE_x000D_
.will: 2004MO_x000D_
.obit: 1890OH_x000D_
.bury: 1850IL _x000D_
.wpbt: 1826PA_x000D_
.anc#:double ancestor_x000D_
citiz:foreign_x000D_
#spos:1_x000D_
#srcs:1_x000D_
#comment:0_x000D_
#events:1_x000D_
#kids:1_x000D_
lived:ENHAMPSSOUTHMP,ENMIDDLLONDON_x000D_
issue:Born before Parents Married,Died after Age 100_x000D_
.recs:Birth,Marriage,Death_x000D_
.imm?:no_x000D_
..Spo:RICHARD WINDSOR</t>
        </r>
      </text>
    </comment>
    <comment ref="V390" authorId="0" shapeId="0" xr:uid="{02D86C5E-3031-4E13-A659-1394FAEF5320}">
      <text>
        <r>
          <rPr>
            <sz val="9"/>
            <color indexed="81"/>
            <rFont val="Tahoma"/>
            <family val="2"/>
          </rPr>
          <t>MARGARET BOULTON_x000D_
http://yeinfo.com/family/I09066150.html_x000D_
https://www.google.com/search?q=MARGARET+BOULTON+1360+1400+FAULKNER_x000D_
.born: 1360    -         ?Hampshire county England_x000D_
.died:?1400    -         ?Hampshire county England, age:40y 0m 0d, _x000D_
.bapt: 1785GE_x000D_
.will: 2004MO_x000D_
.obit: 1890OH_x000D_
.bury: 1850IL _x000D_
.wpbt: 1826PA_x000D_
.anc#:double ancestor_x000D_
citiz:foreign_x000D_
#spos:1_x000D_
#srcs:2_x000D_
#comment:0_x000D_
#events:1_x000D_
#kids:1_x000D_
lived:?ENHAMPS,EN_x000D_
issue:_x000D_
.recs:Birth,Marriage,Death_x000D_
.imm?:no_x000D_
..Spo:RICHARD FAULKNER</t>
        </r>
      </text>
    </comment>
    <comment ref="S392" authorId="0" shapeId="0" xr:uid="{9BF50D9F-9272-44FC-BB55-813C63CBC5EF}">
      <text>
        <r>
          <rPr>
            <sz val="9"/>
            <color indexed="81"/>
            <rFont val="Tahoma"/>
            <family val="2"/>
          </rPr>
          <t>THOMAS WINDSOR_x000D_
http://yeinfo.com/family/I09065684.html_x000D_
https://www.google.com/search?q=THOMAS+WINDSOR+1440+1485+ELIZABETH_x000D_
.born:a14401108-          Stanwell (Middlesex) England_x000D_
.died: 14850929-          Stanwell (Middlesex) England, age:44y 10m 21d, _x000D_
.bapt: 1785GE_x000D_
.will: 2004MO_x000D_
.obit: 1890OH_x000D_
.bury: 1850IL _x000D_
.wpbt: 1826PA_x000D_
.anc#:double ancestor_x000D_
citiz:foreign_x000D_
#spos:1_x000D_
#srcs:1_x000D_
#comment:0_x000D_
#events:1_x000D_
#kids:1_x000D_
lived:ENMIDDLSTANWEL,ENSUFFOBAYLHAM_x000D_
issue:Born before Parents Married_x000D_
.recs:Birth,Marriage,Death_x000D_
.imm?:no_x000D_
..Spo:ELIZABETH ANDREWS</t>
        </r>
      </text>
    </comment>
    <comment ref="V394" authorId="0" shapeId="0" xr:uid="{10BFA6CB-9660-45F6-95DE-728E6D96DCD0}">
      <text>
        <r>
          <rPr>
            <sz val="9"/>
            <color indexed="81"/>
            <rFont val="Tahoma"/>
            <family val="2"/>
          </rPr>
          <t>WALTER GREENE_x000D_
http://yeinfo.com/family/I09066151.html_x000D_
https://www.google.com/search?q=WALTER+GREENE+1370+1475+MARGERY_x000D_
.born: 1370    -          Bridgnorth (Shropshire) England_x000D_
.died: 1475    -          Bridgnorth (Shropshire) England, age:105y 0m 0d, _x000D_
.bapt: 1785GE_x000D_
.will: 2004MO_x000D_
.obit: 1890OH_x000D_
.bury: 1850IL _x000D_
.wpbt: 1826PA_x000D_
.anc#:double ancestor_x000D_
citiz:foreign_x000D_
#spos:1_x000D_
#srcs:2_x000D_
#comment:2_x000D_
#events:1_x000D_
#kids:1_x000D_
lived:ENSHROPBRIDGNO_x000D_
issue:Died after Age 100,Married after Age 60_x000D_
.recs:Birth,Marriage,Death_x000D_
.imm?:no_x000D_
..Spo:MARGERY MABLETHORPE</t>
        </r>
      </text>
    </comment>
    <comment ref="U396" authorId="0" shapeId="0" xr:uid="{60D2FCDB-2A10-490A-8F7A-E8C4193B6E0B}">
      <text>
        <r>
          <rPr>
            <sz val="9"/>
            <color indexed="81"/>
            <rFont val="Tahoma"/>
            <family val="2"/>
          </rPr>
          <t>WALTER GREENE_x000D_
http://yeinfo.com/family/I09065969.html_x000D_
https://www.google.com/search?q=WALTER+GREENE+1384+1475+{_?_}_x000D_
.born: 1384    -          Bridgnorth (Shropshire) England_x000D_
.died: 1475    -          Bridgnorth (Shropshire) England, age:91y 0m 0d, _x000D_
.bapt: 1785GE_x000D_
.will: 2004MO_x000D_
.obit: 1890OH_x000D_
.bury: 1850IL _x000D_
.wpbt: 1826PA_x000D_
.anc#:double ancestor_x000D_
citiz:foreign_x000D_
#spos:1_x000D_
#srcs:1_x000D_
#comment:0_x000D_
#events:1_x000D_
#kids:1_x000D_
lived:ENSHROPBRIDGNO_x000D_
issue:Married before Age 16,Died before Birth_x000D_
.recs:Birth,Marriage,Death_x000D_
.imm?:no_x000D_
..Spo:{_?_} GREENE</t>
        </r>
      </text>
    </comment>
    <comment ref="V398" authorId="0" shapeId="0" xr:uid="{7CF34003-91E2-44EA-BE60-2F5AE571EBB5}">
      <text>
        <r>
          <rPr>
            <sz val="9"/>
            <color indexed="81"/>
            <rFont val="Tahoma"/>
            <family val="2"/>
          </rPr>
          <t>MARGERY MABLETHORPE_x000D_
http://yeinfo.com/family/I09066152.html_x000D_
https://www.google.com/search?q=MARGERY+MABLETHORPE+1370+1390+GREENE_x000D_
.born:?1370    -         ?Bridgnorth (Shropshire) England_x000D_
.died: 1390    -1460     ?Bridgnorth (Shropshire) England, age:20y 0m 0d, _x000D_
.bapt: 1785GE_x000D_
.will: 2004MO_x000D_
.obit: 1890OH_x000D_
.bury: 1850IL _x000D_
.wpbt: 1826PA_x000D_
.anc#:double ancestor_x000D_
citiz:foreign_x000D_
#spos:1_x000D_
#srcs:1_x000D_
#comment:0_x000D_
#events:1_x000D_
#kids:1_x000D_
lived:?ENSHROPBRIDGNO_x000D_
issue:Died after Age 100_x000D_
.recs:Birth,Marriage,Death_x000D_
.imm?:no_x000D_
..Spo:WALTER GREENE</t>
        </r>
      </text>
    </comment>
    <comment ref="T400" authorId="0" shapeId="0" xr:uid="{A36F7F12-3E0E-41F1-A023-465D384DE8B2}">
      <text>
        <r>
          <rPr>
            <sz val="9"/>
            <color indexed="81"/>
            <rFont val="Tahoma"/>
            <family val="2"/>
          </rPr>
          <t>JOAN GREENE_x000D_
http://yeinfo.com/family/I09065812.html_x000D_
https://www.google.com/search?q=JOAN+GREENE+1414+1451+WINDSOR_x000D_
.born: 1414    -          Bridgnorth (Shropshire) England_x000D_
.died: 1451    -          Colnbrook (Berkshire) England, age:37y 0m 0d, _x000D_
.bapt: 1785GE_x000D_
.will: 2004MO_x000D_
.obit: 1890OH_x000D_
.bury: 1850IL _x000D_
.wpbt: 1826PA_x000D_
.anc#:double ancestor_x000D_
citiz:foreign_x000D_
#spos:1_x000D_
#srcs:1_x000D_
#comment:0_x000D_
#events:1_x000D_
#kids:1_x000D_
lived:ENBERKICOLNBRO,ENBUCKE,ENSHROPBRIDGNO_x000D_
issue:Born before Parents Married_x000D_
.recs:Birth,Marriage,Death_x000D_
.imm?:no_x000D_
..Spo:MILES WINDSOR</t>
        </r>
      </text>
    </comment>
    <comment ref="U402" authorId="0" shapeId="0" xr:uid="{E4C93895-EFA9-4C39-8C57-FDC94A6D0F95}">
      <text>
        <r>
          <rPr>
            <sz val="9"/>
            <color indexed="81"/>
            <rFont val="Tahoma"/>
            <family val="2"/>
          </rPr>
          <t>Mrs. {_?_} GREENE_x000D_
http://yeinfo.com/family/I09065970.html_x000D_
https://www.google.com/search?q={_?_}+GREENE+1386+1414+GREENE_x000D_
.born: 1386    -          Bridgnorth (Shropshire) England_x000D_
.died: 1414    -1476     ?Bridgnorth (Shropshire) England, age:28y 0m 0d, _x000D_
.bapt: 1785GE_x000D_
.will: 2004MO_x000D_
.obit: 1890OH_x000D_
.bury: 1850IL _x000D_
.wpbt: 1826PA_x000D_
.anc#:double ancestor_x000D_
citiz:foreign_x000D_
#spos:1_x000D_
#srcs:1_x000D_
#comment:0_x000D_
#events:1_x000D_
#kids:1_x000D_
lived:ENSHROPBRIDGNO_x000D_
issue:_x000D_
.recs:Birth,Marriage,Death_x000D_
.imm?:no_x000D_
..Spo:WALTER GREENE</t>
        </r>
      </text>
    </comment>
    <comment ref="R404" authorId="0" shapeId="0" xr:uid="{E54E92D6-54CA-480D-8883-0D23CE5345C3}">
      <text>
        <r>
          <rPr>
            <sz val="9"/>
            <color indexed="81"/>
            <rFont val="Tahoma"/>
            <family val="2"/>
          </rPr>
          <t>ELIZABETH WINDSOR_x000D_
http://yeinfo.com/family/I09065546.html_x000D_
https://www.google.com/search?q=ELIZABETH+WINDSOR+1467+1504+FOWLER_x000D_
.born:c1467    -         ?Bradenham (Buckinghamshire) England_x000D_
.died: 1504    -1550      Rycote (Oxfordshire) England, age:37y 0m 0d, _x000D_
.bapt: 1785GE_x000D_
.will: 2004MO_x000D_
.obit: 1890OH_x000D_
.bury: 1850IL _x000D_
.wpbt: 1826PA_x000D_
.anc#:double ancestor_x000D_
citiz:foreign_x000D_
#spos:1_x000D_
#srcs:1_x000D_
#comment:0_x000D_
#events:1_x000D_
#kids:1_x000D_
lived:?ENBUCKEBRADENH,ENBUCKE,ENOXFOSRYCOTE_x000D_
issue:_x000D_
.recs:Birth,Marriage,Death_x000D_
.imm?:no_x000D_
..Spo:RICHARD FOWLER</t>
        </r>
      </text>
    </comment>
    <comment ref="V406" authorId="0" shapeId="0" xr:uid="{D70BEC54-E1DD-423A-9D66-F11D35D118B4}">
      <text>
        <r>
          <rPr>
            <sz val="9"/>
            <color indexed="81"/>
            <rFont val="Tahoma"/>
            <family val="2"/>
          </rPr>
          <t>WILLIAM ANDREWS_x000D_
http://yeinfo.com/family/I09066153.html_x000D_
https://www.google.com/search?q=WILLIAM+ANDREWS+1366+1397+MARGARET_x000D_
.born: 1366    -          Baylham (Suffolk) England_x000D_
.died: 1397    -          Baylham (Suffolk) England, age:31y 0m 0d, _x000D_
.bapt: 1785GE_x000D_
.will: 2004MO_x000D_
.obit: 1890OH_x000D_
.bury: 1850IL _x000D_
.wpbt: 1826PA_x000D_
.anc#:double ancestor_x000D_
citiz:foreign_x000D_
#spos:1_x000D_
#srcs:1_x000D_
#comment:0_x000D_
#events:1_x000D_
#kids:1_x000D_
lived:ENSUFFOBAYLHAM_x000D_
issue:_x000D_
.recs:Birth,Marriage,Death_x000D_
.imm?:no_x000D_
..Spo:MARGARET CHISLINGTON</t>
        </r>
      </text>
    </comment>
    <comment ref="U408" authorId="0" shapeId="0" xr:uid="{03D6E4C1-3346-4F2E-9E33-7E87E76BAACE}">
      <text>
        <r>
          <rPr>
            <sz val="9"/>
            <color indexed="81"/>
            <rFont val="Tahoma"/>
            <family val="2"/>
          </rPr>
          <t>JAMES ANDREWS_x000D_
http://yeinfo.com/family/I09065971.html_x000D_
https://www.google.com/search?q=JAMES+ANDREWS+1397+1434+ALICE_x000D_
.born: 1397    -          Baylham (Suffolk) England_x000D_
.died: 143407  -          Bury Saint Edmunds (Suffolk) England, age:37y 6m 0d, _x000D_
.bapt: 1785GE_x000D_
.will: 2004MO_x000D_
.obit: 1890OH_x000D_
.bury: 1850IL _x000D_
.wpbt: 1826PA_x000D_
.anc#:double ancestor_x000D_
citiz:foreign_x000D_
#spos:1_x000D_
#srcs:1_x000D_
#comment:0_x000D_
#events:1_x000D_
#kids:1_x000D_
lived:ENSUFFOBAYLHAM,ENSUFFOBURY SE_x000D_
issue:Married before Age 16,Died before Birth_x000D_
.recs:Birth,Marriage,Death_x000D_
.imm?:no_x000D_
..Spo:ALICE WEYLAND</t>
        </r>
      </text>
    </comment>
    <comment ref="V410" authorId="0" shapeId="0" xr:uid="{3B278114-E892-446A-8359-3B0274DD15E3}">
      <text>
        <r>
          <rPr>
            <sz val="9"/>
            <color indexed="81"/>
            <rFont val="Tahoma"/>
            <family val="2"/>
          </rPr>
          <t>MARGARET CHISLINGTON_x000D_
http://yeinfo.com/family/I09066154.html_x000D_
https://www.google.com/search?q=MARGARET+CHISLINGTON+1372+1397+ANDREWS_x000D_
.born:?1372    -          Baylham (Suffolk) England_x000D_
.died: 1397    -          Baylham (Suffolk) England, age:25y 0m 0d, _x000D_
.bapt: 1785GE_x000D_
.will: 2004MO_x000D_
.obit: 1890OH_x000D_
.bury: 1850IL _x000D_
.wpbt: 1826PA_x000D_
.anc#:double ancestor_x000D_
citiz:foreign_x000D_
#spos:1_x000D_
#srcs:1_x000D_
#comment:1_x000D_
#events:1_x000D_
#kids:1_x000D_
lived:ENSUFFOBAYLHAM_x000D_
issue:_x000D_
.recs:Birth,Marriage,Death_x000D_
.imm?:no_x000D_
..Spo:WILLIAM ANDREWS</t>
        </r>
      </text>
    </comment>
    <comment ref="T412" authorId="0" shapeId="0" xr:uid="{B01FE37D-BF9D-4593-B587-1544F971AFB7}">
      <text>
        <r>
          <rPr>
            <sz val="9"/>
            <color indexed="81"/>
            <rFont val="Tahoma"/>
            <family val="2"/>
          </rPr>
          <t>JOHN ANDREWS_x000D_
http://yeinfo.com/family/I09065813.html_x000D_
https://www.google.com/search?q=JOHN+ANDREWS+1415+1473+ELIZABETH_x000D_
.born:c1415    -          Baylham (Suffolk) England_x000D_
.died: 1473    -          Weston (Norfolk) England, age:58y 0m 0d, _x000D_
.bapt: 1785GE_x000D_
.will: 2004MO_x000D_
.obit: 1890OH_x000D_
.bury: 1850IL _x000D_
.wpbt: 1826PA_x000D_
.anc#:double ancestor_x000D_
citiz:foreign_x000D_
#spos:1_x000D_
#srcs:2_x000D_
#comment:0_x000D_
#events:1_x000D_
#kids:1_x000D_
lived:ENNORFOWESTON,ENSUFFOBAYLHAM_x000D_
issue:Born before Parents Married,Died after Age 100_x000D_
.recs:Birth,Marriage,Death_x000D_
.imm?:no_x000D_
..Spo:ELIZABETH STRATTON</t>
        </r>
      </text>
    </comment>
    <comment ref="V414" authorId="0" shapeId="0" xr:uid="{D0CE7E8B-D1ED-449A-A709-FA1D9AC56265}">
      <text>
        <r>
          <rPr>
            <sz val="9"/>
            <color indexed="81"/>
            <rFont val="Tahoma"/>
            <family val="2"/>
          </rPr>
          <t>JOHN WEYLAND_x000D_
http://yeinfo.com/family/I09066155.html_x000D_
https://www.google.com/search?q=JOHN+WEYLAND+1373+1399+MARGARET_x000D_
.born: 1373    -          Baylham (Suffolk) England_x000D_
.died: 1399    -1460      England, age:26y 0m 0d, _x000D_
.bapt: 1785GE_x000D_
.will: 2004MO_x000D_
.obit: 1890OH_x000D_
.bury: 1850IL _x000D_
.wpbt: 1826PA_x000D_
.anc#:double ancestor_x000D_
citiz:foreign_x000D_
#spos:1_x000D_
#srcs:1_x000D_
#comment:1_x000D_
#events:1_x000D_
#kids:1_x000D_
lived:ENSUFFOBAYLHAM_x000D_
issue:Died after Age 100_x000D_
.recs:Birth,Marriage,Death_x000D_
.imm?:no_x000D_
..Spo:MARGARET BURNAVILLE</t>
        </r>
      </text>
    </comment>
    <comment ref="U416" authorId="0" shapeId="0" xr:uid="{6CDD9080-646C-4848-9F04-235E10917BDB}">
      <text>
        <r>
          <rPr>
            <sz val="9"/>
            <color indexed="81"/>
            <rFont val="Tahoma"/>
            <family val="2"/>
          </rPr>
          <t>ALICE WEYLAND_x000D_
http://yeinfo.com/family/I09065972.html_x000D_
https://www.google.com/search?q=ALICE+WEYLAND+1399+1419+ANDREWS_x000D_
.born: 1399    -          Baylham (Suffolk) England_x000D_
.died: 1419    -1489      Baylham (Suffolk) England, age:20y 0m 0d, _x000D_
.bapt: 1785GE_x000D_
.will: 2004MO_x000D_
.obit: 1890OH_x000D_
.bury: 1850IL _x000D_
.wpbt: 1826PA_x000D_
.anc#:double ancestor_x000D_
citiz:foreign_x000D_
#spos:1_x000D_
#srcs:1_x000D_
#comment:0_x000D_
#events:1_x000D_
#kids:1_x000D_
lived:ENSUFFOBAYLHAM_x000D_
issue:Married before Age 16,Died before Birth_x000D_
.recs:Birth,Marriage,Death_x000D_
.imm?:no_x000D_
..Spo:JAMES ANDREWS</t>
        </r>
      </text>
    </comment>
    <comment ref="V418" authorId="0" shapeId="0" xr:uid="{F9ACC729-016F-454E-937D-448C3439F52F}">
      <text>
        <r>
          <rPr>
            <sz val="9"/>
            <color indexed="81"/>
            <rFont val="Tahoma"/>
            <family val="2"/>
          </rPr>
          <t>MARGARET BURNAVILLE_x000D_
http://yeinfo.com/family/I09066156.html_x000D_
https://www.google.com/search?q=MARGARET+BURNAVILLE+1373+1399+WEYLAND_x000D_
.born:?1373    -          Baylham (Suffolk) England_x000D_
.died: 1399    -1460      England, age:26y 0m 0d, _x000D_
.bapt: 1785GE_x000D_
.will: 2004MO_x000D_
.obit: 1890OH_x000D_
.bury: 1850IL _x000D_
.wpbt: 1826PA_x000D_
.anc#:double ancestor_x000D_
citiz:foreign_x000D_
#spos:1_x000D_
#srcs:1_x000D_
#comment:1_x000D_
#events:1_x000D_
#kids:1_x000D_
lived:ENSUFFOBAYLHAM_x000D_
issue:Died after Age 100_x000D_
.recs:Birth,Marriage,Death_x000D_
.imm?:no_x000D_
..Spo:JOHN WEYLAND</t>
        </r>
      </text>
    </comment>
    <comment ref="S420" authorId="0" shapeId="0" xr:uid="{A8A20B1F-0EB7-4F29-80E7-83C006827C54}">
      <text>
        <r>
          <rPr>
            <sz val="9"/>
            <color indexed="81"/>
            <rFont val="Tahoma"/>
            <family val="2"/>
          </rPr>
          <t>ELIZABETH ANDREWS_x000D_
http://yeinfo.com/family/I09065685.html_x000D_
https://www.google.com/search?q=ELIZABETH+ANDREWS+1444+1467+WINDSOR_x000D_
.born:c1444    -          Baylham (Suffolk) England_x000D_
.died: 1467    -1532     ?Weston (Norfolk) England, age:23y 0m 0d, _x000D_
.bapt: 1785GE_x000D_
.will: 2004MO_x000D_
.obit: 1890OH_x000D_
.bury: 1850IL _x000D_
.wpbt: 1826PA_x000D_
.anc#:double ancestor_x000D_
citiz:foreign_x000D_
#spos:2_x000D_
#srcs:2_x000D_
#comment:0_x000D_
#events:2_x000D_
#kids:1_x000D_
lived:?ENNORFOWESTON,ENSUFFOBAYLHAM_x000D_
issue:_x000D_
.recs:Birth,Marriage,Death_x000D_
.imm?:no_x000D_
..Spo:THOMAS WINDSOR</t>
        </r>
      </text>
    </comment>
    <comment ref="T422" authorId="0" shapeId="0" xr:uid="{8A4F16BC-B7DF-4A0B-8F4E-F69713BC928E}">
      <text>
        <r>
          <rPr>
            <sz val="9"/>
            <color indexed="81"/>
            <rFont val="Tahoma"/>
            <family val="2"/>
          </rPr>
          <t>ELIZABETH STRATTON_x000D_
http://yeinfo.com/family/I09065814.html_x000D_
https://www.google.com/search?q=ELIZABETH+STRATTON+1425+1474+ANDREWS+Thomas_x000D_
.born:c1425    -          Weston (Norfolk) England_x000D_
.died: 1474    -          England, age:49y 0m 0d, _x000D_
.bapt: 1785GE_x000D_
.will: 2004MO_x000D_
.obit: 1890OH_x000D_
.bury: 1850IL St. Dionis Backchurch_x000D_
.wpbt: 1826PA_x000D_
.anc#:double ancestor_x000D_
citiz:foreign_x000D_
#spos:2_x000D_
#srcs:2_x000D_
#comment:0_x000D_
#events:3_x000D_
#kids:1_x000D_
lived:?ENMIDDLLONDON,ENNORFOWESTON_x000D_
issue:Died after Age 100_x000D_
.recs:Birth,Marriage,Death,Interment/Burial_x000D_
.imm?:no_x000D_
..Spo:JOHN ANDREWS</t>
        </r>
      </text>
    </comment>
    <comment ref="P424" authorId="0" shapeId="0" xr:uid="{E0A28CE2-F1ED-46C9-B1AB-3B5C343AB981}">
      <text>
        <r>
          <rPr>
            <sz val="9"/>
            <color indexed="81"/>
            <rFont val="Tahoma"/>
            <family val="2"/>
          </rPr>
          <t>THOMAS FOWLER_x000D_
http://yeinfo.com/family/I09020672.html_x000D_
https://www.google.com/search?q=THOMAS+FOWLER+1530+1566+{_?_}_x000D_
.born: 1530    -          Hambleton (Rutland) England_x000D_
.died: 1566    -          Hambleton (Rutland) England, age:36y 0m 0d, _x000D_
.bapt: 1785GE_x000D_
.will: 2004MO_x000D_
.obit: 1890OH_x000D_
.bury: 1850IL _x000D_
.wpbt: 1826PA_x000D_
.anc#:double ancestor_x000D_
citiz:foreign_x000D_
#spos:1_x000D_
#srcs:1_x000D_
#comment:0_x000D_
#events:1_x000D_
#kids:1_x000D_
lived:ENRUTLAHAMBLET_x000D_
issue:Born before Parents Married_x000D_
.recs:Birth,Marriage,Death_x000D_
.imm?:no_x000D_
..Spo:{_?_} FOWLER</t>
        </r>
      </text>
    </comment>
    <comment ref="Q426" authorId="0" shapeId="0" xr:uid="{B132E3F7-23A0-4921-AD32-0B0B5956507C}">
      <text>
        <r>
          <rPr>
            <sz val="9"/>
            <color indexed="81"/>
            <rFont val="Tahoma"/>
            <family val="2"/>
          </rPr>
          <t>Mrs. ELIZABETH FOWLER_x000D_
http://yeinfo.com/family/I09041345.html_x000D_
https://www.google.com/search?q=ELIZABETH+FOWLER+1505+1530+FOWLER_x000D_
.born:?1505    -         ?England_x000D_
.died: 1530    -1595     ?England, age:25y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..Spo:ANTHONY FOWLER</t>
        </r>
      </text>
    </comment>
    <comment ref="O428" authorId="0" shapeId="0" xr:uid="{EB78F818-9517-4842-A80E-4ADF53A1DF09}">
      <text>
        <r>
          <rPr>
            <sz val="9"/>
            <color indexed="81"/>
            <rFont val="Tahoma"/>
            <family val="2"/>
          </rPr>
          <t>HENRY FOWLER I_x000D_
http://yeinfo.com/family/I09010336.html_x000D_
https://www.google.com/search?q=HENRY+FOWLER+1546+1590+ARMIS_x000D_
.born: 1546    -          Hambleden (Buckinghamshire) England_x000D_
.died: 1590    -1636      Humbleton (Rutland) England, age:44y 0m 0d, _x000D_
.bapt: 1785GE_x000D_
.will: 2004MO_x000D_
.obit: 1890OH_x000D_
.bury: 1850IL _x000D_
.wpbt: 1826PA_x000D_
.anc#:double ancestor_x000D_
citiz:foreign_x000D_
#spos:1_x000D_
#srcs:1_x000D_
#comment:0_x000D_
#events:1_x000D_
#kids:1_x000D_
lived:ENBUCKEEDLESBO,ENBUCKEHAMBLED,ENRUTLAHUMBTON_x000D_
issue:Born before Parents Married_x000D_
.recs:Birth,Marriage,Death_x000D_
.imm?:no_x000D_
..Spo:ARMIS KNIGHT</t>
        </r>
      </text>
    </comment>
    <comment ref="P430" authorId="0" shapeId="0" xr:uid="{6A4FBE2E-7888-479E-8CE0-EC0BEC6D13E4}">
      <text>
        <r>
          <rPr>
            <sz val="9"/>
            <color indexed="81"/>
            <rFont val="Tahoma"/>
            <family val="2"/>
          </rPr>
          <t>Mrs. {_?_} FOWLER_x000D_
http://yeinfo.com/family/I09020673.html_x000D_
https://www.google.com/search?q={_?_}+FOWLER+1535+1566+FOWLER_x000D_
.born:?1535    -         ?England_x000D_
.died:?1566    -          Humbleton (Rutland) England, age:31y 0m 0d, _x000D_
.bapt: 1785GE_x000D_
.will: 2004MO_x000D_
.obit: 1890OH_x000D_
.bury: 1850IL _x000D_
.wpbt: 1826PA_x000D_
.anc#:double ancestor_x000D_
citiz:foreign_x000D_
#spos:1_x000D_
#srcs:1_x000D_
#comment:0_x000D_
#events:1_x000D_
#kids:1_x000D_
lived:?EN,ENRUTLAHUMBTON_x000D_
issue:_x000D_
.recs:Birth,Marriage,Death_x000D_
.imm?:no_x000D_
..Spo:THOMAS FOWLER</t>
        </r>
      </text>
    </comment>
    <comment ref="N432" authorId="0" shapeId="0" xr:uid="{97779183-2C0E-4EB6-AA3E-0AA00F3A4C65}">
      <text>
        <r>
          <rPr>
            <sz val="9"/>
            <color indexed="81"/>
            <rFont val="Tahoma"/>
            <family val="2"/>
          </rPr>
          <t>HENRY FOWLER II_x000D_
http://yeinfo.com/family/I09005168.html_x000D_
https://www.google.com/search?q=HENRY+FOWLER+1590+1661+SARAH+ALICE_x000D_
.born: 1590    -          Hambleton (Rutland) England_x000D_
.died:?16610625-          Mamaroneck (Westchester) New York, age:71y 5m 24d, _x000D_
.bapt: 1785GE_x000D_
.will: 2004MO_x000D_
.obit: 1890OH_x000D_
.bury: 1850IL _x000D_
.wpbt: 1826PA_x000D_
.anc#:double ancestor_x000D_
citiz:immigrant_x000D_
#spos:1_x000D_
#srcs:1_x000D_
#comment:0_x000D_
#events:1_x000D_
#kids:1_x000D_
lived:ENBUCKE,ENRUTLAHAMBLET,NYWESTCMAMARON_x000D_
issue:_x000D_
.recs:Birth,Marriage,Death_x000D_
.imm?:immigrant_x000D_
..Spo:SARAH ALICE KEVINGTON</t>
        </r>
      </text>
    </comment>
    <comment ref="O434" authorId="0" shapeId="0" xr:uid="{1B2BAD19-1908-4115-99FC-EB877FF53707}">
      <text>
        <r>
          <rPr>
            <sz val="9"/>
            <color indexed="81"/>
            <rFont val="Tahoma"/>
            <family val="2"/>
          </rPr>
          <t>ARMIS KNIGHT_x000D_
http://yeinfo.com/family/I09010337.html_x000D_
https://www.google.com/search?q=ARMIS+KNIGHT+1560+1590+FOWLER_x000D_
.born:?1560    -         ?Buckinghamshire county England_x000D_
.died: 1590    -1650     ?England, age:30y 0m 0d, _x000D_
.bapt: 1785GE_x000D_
.will: 2004MO_x000D_
.obit: 1890OH_x000D_
.bury: 1850IL _x000D_
.wpbt: 1826PA_x000D_
.anc#:double ancestor_x000D_
citiz:foreign_x000D_
#spos:1_x000D_
#srcs:1_x000D_
#comment:0_x000D_
#events:1_x000D_
#kids:1_x000D_
lived:ENBUCKEEDLESBO_x000D_
issue:_x000D_
.recs:Birth,Marriage,Death_x000D_
.imm?:no_x000D_
..Spo:HENRY FOWLER</t>
        </r>
      </text>
    </comment>
    <comment ref="M436" authorId="0" shapeId="0" xr:uid="{3733D5EC-3F4C-46C7-BE63-52A569A6BBCB}">
      <text>
        <r>
          <rPr>
            <sz val="9"/>
            <color indexed="81"/>
            <rFont val="Tahoma"/>
            <family val="2"/>
          </rPr>
          <t>HENRY FOWLER III_x000D_
http://yeinfo.com/family/I09002584.html_x000D_
https://www.google.com/search?q=HENRY+FOWLER+1633+1687+REBECCA_x000D_
.born: 16330410-          Hambleton (Rutland) England_x000D_
.died: 1687    -          Mamaroneck (Westchester) New York, age:53y 8m 22d, _x000D_
.bapt: 1785GE_x000D_
.will: 2004MO_x000D_
.obit: 1890OH_x000D_
.bury: 1850IL _x000D_
.wpbt: 1826PA_x000D_
.anc#:double ancestor_x000D_
citiz:immigrant_x000D_
#spos:1_x000D_
#srcs:8_x000D_
#comment:0_x000D_
#events:1_x000D_
#kids:1_x000D_
lived:ENBUCKEHAMBLED,ENRUTLAHAMBLET,NYWESTCMAMARON,RIPROVIPROVIDE_x000D_
issue:_x000D_
.recs:Birth,Marriage,Death_x000D_
.imm?:immigrant_x000D_
..Spo:REBECCA NEWELL</t>
        </r>
      </text>
    </comment>
    <comment ref="P438" authorId="0" shapeId="0" xr:uid="{050172BF-5BAB-4B50-B05A-E9A858084F94}">
      <text>
        <r>
          <rPr>
            <sz val="9"/>
            <color indexed="81"/>
            <rFont val="Tahoma"/>
            <family val="2"/>
          </rPr>
          <t>MONTEGUE KEVINGTON Jr._x000D_
http://yeinfo.com/family/I09020676.html_x000D_
https://www.google.com/search?q=MONTEGUE+KEVINGTON+1540+1575+{_?_}_x000D_
.born: 1540    -          England_x000D_
.died: 1575    -1630     ?England, age:35y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..Spo:{_?_} KEVINGTON</t>
        </r>
      </text>
    </comment>
    <comment ref="O440" authorId="0" shapeId="0" xr:uid="{B5A74AFB-8A3D-4EEB-8501-B2CE7B79DC50}">
      <text>
        <r>
          <rPr>
            <sz val="9"/>
            <color indexed="81"/>
            <rFont val="Tahoma"/>
            <family val="2"/>
          </rPr>
          <t>MONTEGUE KEVINGTON III_x000D_
http://yeinfo.com/family/I09010338.html_x000D_
https://www.google.com/search?q=MONTEGUE+KEVINGTON+1575+1600+DEIDRE_x000D_
.born: 1575    -          Buckinghamshire county England_x000D_
.died: 1600    -1665      England, age:25y 0m 0d, _x000D_
.bapt: 1785GE_x000D_
.will: 2004MO_x000D_
.obit: 1890OH_x000D_
.bury: 1850IL _x000D_
.wpbt: 1826PA_x000D_
.anc#:double ancestor_x000D_
citiz:foreign_x000D_
#spos:1_x000D_
#srcs:1_x000D_
#comment:0_x000D_
#events:1_x000D_
#kids:1_x000D_
lived:?ENYORKS,ENBUCKE_x000D_
issue:_x000D_
.recs:Birth,Marriage,Death_x000D_
.imm?:no_x000D_
..Spo:DEIDRE BUCKINGHAM</t>
        </r>
      </text>
    </comment>
    <comment ref="P442" authorId="0" shapeId="0" xr:uid="{1199868B-D956-47EB-AEEF-73E5F291966C}">
      <text>
        <r>
          <rPr>
            <sz val="9"/>
            <color indexed="81"/>
            <rFont val="Tahoma"/>
            <family val="2"/>
          </rPr>
          <t>Mrs. {_?_} KEVINGTON_x000D_
http://yeinfo.com/family/I09020677.html_x000D_
https://www.google.com/search?q={_?_}+KEVINGTON+1550+1575+KEVINGTON_x000D_
.born:?1550    -         ?England_x000D_
.died: 1575    -1640     ?England, age:25y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..Spo:MONTEGUE KEVINGTON</t>
        </r>
      </text>
    </comment>
    <comment ref="N444" authorId="0" shapeId="0" xr:uid="{CE217613-AEBE-4558-833A-B916FFE59F9B}">
      <text>
        <r>
          <rPr>
            <sz val="9"/>
            <color indexed="81"/>
            <rFont val="Tahoma"/>
            <family val="2"/>
          </rPr>
          <t>SARAH ALICE KEVINGTON_x000D_
http://yeinfo.com/family/I09005169.html_x000D_
https://www.google.com/search?q=SARAH+ALICE+KEVINGTON+1600+1633+FOWLER_x000D_
.born:?1600    -         ?England_x000D_
.died: 1633    -1690     ?Westchester county New York, age:33y 0m 0d, _x000D_
.bapt: 1785GE_x000D_
.will: 2004MO_x000D_
.obit: 1890OH_x000D_
.bury: 1850IL _x000D_
.wpbt: 1826PA_x000D_
.anc#:double ancestor_x000D_
citiz:immigrant_x000D_
#spos:1_x000D_
#srcs:2_x000D_
#comment:0_x000D_
#events:1_x000D_
#kids:1_x000D_
lived:?EN,?NYWESTC,ENBUCKE_x000D_
issue:Died after Age 100_x000D_
.recs:Birth,Marriage,Death_x000D_
.imm?:immigrant_x000D_
..Spo:HENRY FOWLER</t>
        </r>
      </text>
    </comment>
    <comment ref="O446" authorId="0" shapeId="0" xr:uid="{18DC48EF-1F3C-44AC-984E-33919D455234}">
      <text>
        <r>
          <rPr>
            <sz val="9"/>
            <color indexed="81"/>
            <rFont val="Tahoma"/>
            <family val="2"/>
          </rPr>
          <t>DEIDRE BUCKINGHAM_x000D_
http://yeinfo.com/family/I09010339.html_x000D_
https://www.google.com/search?q=DEIDRE+BUCKINGHAM+1576+1600+KEVINGTON_x000D_
.born: 1576    -          Yorkshire county England_x000D_
.died: 1600    -1666     ?England, age:24y 0m 0d, _x000D_
.bapt: 1785GE_x000D_
.will: 2004MO_x000D_
.obit: 1890OH_x000D_
.bury: 1850IL _x000D_
.wpbt: 1826PA_x000D_
.anc#:double ancestor_x000D_
citiz:foreign_x000D_
#spos:1_x000D_
#srcs:1_x000D_
#comment:0_x000D_
#events:1_x000D_
#kids:1_x000D_
lived:ENYORKS_x000D_
issue:_x000D_
.recs:Birth,Marriage,Death_x000D_
.imm?:no_x000D_
..Spo:MONTEGUE KEVINGTON</t>
        </r>
      </text>
    </comment>
    <comment ref="L448" authorId="0" shapeId="0" xr:uid="{31E104C8-F5BA-450B-BDCE-0E3A5176C517}">
      <text>
        <r>
          <rPr>
            <sz val="9"/>
            <color indexed="81"/>
            <rFont val="Tahoma"/>
            <family val="2"/>
          </rPr>
          <t>HENRY FOWLER_x000D_
http://yeinfo.com/family/I09001292.html_x000D_
https://www.google.com/search?q=HENRY+FOWLER+1657+1687+ABIGAIL_x000D_
.born:?1657    -          Providence (Providence) Rhode Island_x000D_
.died: 1687    -1747      Westchester county New York, age:30y 0m 0d, _x000D_
.bapt: 1785GE_x000D_
.will: 2004MO_x000D_
.obit: 1890OH_x000D_
.bury: 1850IL _x000D_
.wpbt: 1826PA_x000D_
.anc#:double ancestor_x000D_
citiz:US born_x000D_
#spos:1_x000D_
#srcs:2_x000D_
#comment:0_x000D_
#events:1_x000D_
#kids:1_x000D_
lived:NYWESTCEASTCHE,RIPROVIPROVIDE_x000D_
issue:_x000D_
.recs:Birth,Marriage,Death_x000D_
.imm?:no_x000D_
..Spo:ABIGAIL HOYT</t>
        </r>
      </text>
    </comment>
    <comment ref="O450" authorId="0" shapeId="0" xr:uid="{6F077911-9FE2-41BB-A850-FADD76D52813}">
      <text>
        <r>
          <rPr>
            <sz val="9"/>
            <color indexed="81"/>
            <rFont val="Tahoma"/>
            <family val="2"/>
          </rPr>
          <t>ABRAHAM NEWELL Sr._x000D_
http://yeinfo.com/family/I09010340.html_x000D_
https://www.google.com/search?q=ABRAHAM+NEWELL+1555+1592+FRANCES_x000D_
.born: 1555    -          Ipswich (Suffolk) England_x000D_
.died: 1592    -          Stanton Harcourt (Oxfordshire) England, age:37y 0m 0d, _x000D_
.bapt: 1785GE_x000D_
.will: 2004MO_x000D_
.obit: 1890OH_x000D_
.bury: 1850IL _x000D_
.wpbt: 1826PA_x000D_
.anc#:double ancestor_x000D_
citiz:foreign_x000D_
#spos:1_x000D_
#srcs:1_x000D_
#comment:0_x000D_
#events:1_x000D_
#kids:1_x000D_
lived:ENOXFOSSTANTHA,ENSUFFOIPSWICH_x000D_
issue:_x000D_
.recs:Birth,Marriage,Death_x000D_
.imm?:no_x000D_
..Spo:FRANCES HYNDE</t>
        </r>
      </text>
    </comment>
    <comment ref="N452" authorId="0" shapeId="0" xr:uid="{4F549C99-D0FE-4D59-80F4-2A09043114AA}">
      <text>
        <r>
          <rPr>
            <sz val="9"/>
            <color indexed="81"/>
            <rFont val="Tahoma"/>
            <family val="2"/>
          </rPr>
          <t>ABRAHAM NEWELL Jr._x000D_
http://yeinfo.com/family/I09005170.html_x000D_
https://www.google.com/search?q=ABRAHAM+NEWELL+1583+1683+FRANCES_x000D_
.born: 15830407-          Ipswich (Suffolk) England_x000D_
.died: 16830113-          Roxbury (Suffolk) Massachusetts, age:99y 9m 6d, _x000D_
.bapt: 1785GE_x000D_
.will: 2004MO_x000D_
.obit: 1890OH_x000D_
.bury: 1850IL _x000D_
.wpbt: 1826PA_x000D_
.anc#:double ancestor_x000D_
citiz:immigrant_x000D_
#spos:1_x000D_
#srcs:1_x000D_
#comment:0_x000D_
#events:1_x000D_
#kids:1_x000D_
lived:ENSUFFOIPSWICH,MASUFFOROXBURY_x000D_
issue:_x000D_
.recs:Birth,Marriage,Death_x000D_
.imm?:immigrant_x000D_
..Spo:FRANCES FOOTE</t>
        </r>
      </text>
    </comment>
    <comment ref="O454" authorId="0" shapeId="0" xr:uid="{B09F15CB-41A3-4568-B94C-F7F03819FC3E}">
      <text>
        <r>
          <rPr>
            <sz val="9"/>
            <color indexed="81"/>
            <rFont val="Tahoma"/>
            <family val="2"/>
          </rPr>
          <t>FRANCES HYNDE_x000D_
http://yeinfo.com/family/I09010341.html_x000D_
https://www.google.com/search?q=FRANCES+HYNDE+1559+1583+NEWELL_x000D_
.born: 1559    -          Ipswich (Suffolk) England_x000D_
.died: 1583    -1649      Stanton Harcourt (Oxfordshire) England, age:24y 0m 0d, _x000D_
.bapt: 1785GE_x000D_
.will: 2004MO_x000D_
.obit: 1890OH_x000D_
.bury: 1850IL _x000D_
.wpbt: 1826PA_x000D_
.anc#:double ancestor_x000D_
citiz:foreign_x000D_
#spos:1_x000D_
#srcs:1_x000D_
#comment:0_x000D_
#events:1_x000D_
#kids:1_x000D_
lived:ENOXFOSSTANTHA,ENSUFFOIPSWICH_x000D_
issue:_x000D_
.recs:Birth,Marriage,Death_x000D_
.imm?:no_x000D_
..Spo:ABRAHAM NEWELL</t>
        </r>
      </text>
    </comment>
    <comment ref="M456" authorId="0" shapeId="0" xr:uid="{A3B561DE-DF8A-4AA2-AF65-203FEEF1F332}">
      <text>
        <r>
          <rPr>
            <sz val="9"/>
            <color indexed="81"/>
            <rFont val="Tahoma"/>
            <family val="2"/>
          </rPr>
          <t>REBECCA NEWELL_x000D_
http://yeinfo.com/family/I09002585.html_x000D_
https://www.google.com/search?q=REBECCA+NEWELL+1637+1730+FOWLER_x000D_
.born: 16370715-          Roxbury (Suffolk) Massachusetts_x000D_
.died: 17300323-         ?Massachusetts, age:92y 8m 8d, _x000D_
.bapt: 1785GE_x000D_
.will: 2004MO_x000D_
.obit: 1890OH_x000D_
.bury: 1850IL _x000D_
.wpbt: 1826PA_x000D_
.anc#:double ancestor_x000D_
citiz:US born_x000D_
#spos:1_x000D_
#srcs:2_x000D_
#comment:0_x000D_
#events:1_x000D_
#kids:1_x000D_
lived:MASUFFOROXBURY,RIPROVIPROVIDE_x000D_
issue:_x000D_
.recs:Birth,Marriage,Death_x000D_
.imm?:no_x000D_
..Spo:HENRY FOWLER</t>
        </r>
      </text>
    </comment>
    <comment ref="N458" authorId="0" shapeId="0" xr:uid="{59100899-2B57-4B08-A45F-34F1933176E1}">
      <text>
        <r>
          <rPr>
            <sz val="9"/>
            <color indexed="81"/>
            <rFont val="Tahoma"/>
            <family val="2"/>
          </rPr>
          <t>FRANCES FOOTE_x000D_
http://yeinfo.com/family/I09005171.html_x000D_
https://www.google.com/search?q=FRANCES+FOOTE+1594+1637+NEWELL_x000D_
.born:c1594    -          Ipswich (Suffolk) England_x000D_
.died: 1637    -1684     ?Roxbury (Suffolk) Massachusetts, age:43y 0m 0d, _x000D_
.bapt: 1785GE_x000D_
.will: 2004MO_x000D_
.obit: 1890OH_x000D_
.bury: 1850IL _x000D_
.wpbt: 1826PA_x000D_
.anc#:double ancestor_x000D_
citiz:immigrant_x000D_
#spos:1_x000D_
#srcs:1_x000D_
#comment:1_x000D_
#events:1_x000D_
#kids:1_x000D_
lived:?MASUFFOROXBURY,ENSUFFOIPSWICH_x000D_
issue:_x000D_
.recs:Birth,Marriage,Death_x000D_
.imm?:immigrant_x000D_
..Spo:ABRAHAM NEWELL</t>
        </r>
      </text>
    </comment>
    <comment ref="K460" authorId="0" shapeId="0" xr:uid="{5FFA2EDE-471C-4E39-A55F-1B830115C41B}">
      <text>
        <r>
          <rPr>
            <sz val="9"/>
            <color indexed="81"/>
            <rFont val="Tahoma"/>
            <family val="2"/>
          </rPr>
          <t>WILLIAM FOWLER_x000D_
http://yeinfo.com/family/I09000646.html_x000D_
https://www.google.com/search?q=WILLIAM+FOWLER+1687+1747+MARY_x000D_
.born: 1687    -          Eastchester (Westchester) New York_x000D_
.died: 1747    -          North Cowarts (Westchester) New York, age:60y 0m 0d, _x000D_
.bapt: 1785GE_x000D_
.will: 2004MO_x000D_
.obit: 1890OH_x000D_
.bury: 1850IL _x000D_
.wpbt: 1826PA_x000D_
.anc#:double ancestor_x000D_
citiz:US born_x000D_
#spos:1_x000D_
#srcs:2_x000D_
#comment:0_x000D_
#events:1_x000D_
#kids:1_x000D_
lived:NYWESTCEASTCHE,NYWESTCNORTH C_x000D_
issue:_x000D_
.recs:Birth,Marriage,Death_x000D_
.imm?:no_x000D_
..Spo:MARY DRAKE</t>
        </r>
      </text>
    </comment>
    <comment ref="N462" authorId="0" shapeId="0" xr:uid="{DE2DBD19-CD00-4E99-80B2-DD5973F02871}">
      <text>
        <r>
          <rPr>
            <sz val="9"/>
            <color indexed="81"/>
            <rFont val="Tahoma"/>
            <family val="2"/>
          </rPr>
          <t>SIMON HOYT_x000D_
http://yeinfo.com/family/I09005172.html_x000D_
https://www.google.com/search?q=SIMON+HOYT+1593+1637+SUSANNAH+Stoodlie_x000D_
.born:c1593    -          West Hatch (Somerset) England_x000D_
.died: 1637    -1683      , age:44y 0m 0d, _x000D_
.bapt: 1785GE_x000D_
.will: 2004MO_x000D_
.obit: 1890OH_x000D_
.bury: 1850IL _x000D_
.wpbt: 1826PA_x000D_
.anc#:double ancestor_x000D_
citiz:US born_x000D_
#spos:2_x000D_
#srcs:1_x000D_
#comment:0_x000D_
#events:2_x000D_
#kids:1_x000D_
lived:ENSOMESWEST HA_x000D_
issue:_x000D_
.recs:Birth,Marriage,Death_x000D_
.imm?:no_x000D_
..Spo:SUSANNAH SMITH</t>
        </r>
      </text>
    </comment>
    <comment ref="M464" authorId="0" shapeId="0" xr:uid="{114B9C7D-EF8F-4252-808C-82C4751C01DC}">
      <text>
        <r>
          <rPr>
            <sz val="9"/>
            <color indexed="81"/>
            <rFont val="Tahoma"/>
            <family val="2"/>
          </rPr>
          <t>MOSES HOYT Sr._x000D_
http://yeinfo.com/family/I09002586.html_x000D_
https://www.google.com/search?q=MOSES+HOYT+1637+1658+ELIZABETH_x000D_
.born:c1637    -          Stamford (Fairfield) Connecticut_x000D_
.died: 1658    -1727      Eastchester (Westchester) New York, age:21y 0m 0d, _x000D_
.bapt: 1785GE_x000D_
.will: 2004MO_x000D_
.obit: 1890OH_x000D_
.bury: 1850IL _x000D_
.wpbt: 1826PA_x000D_
.anc#:double ancestor_x000D_
citiz:US born_x000D_
#spos:1_x000D_
#srcs:1_x000D_
#comment:0_x000D_
#events:1_x000D_
#kids:1_x000D_
lived:CTFAIRDSTAMFOR,NYWESTCEASTCHE_x000D_
issue:_x000D_
.recs:Birth,Marriage,Death_x000D_
.imm?:no_x000D_
..Spo:ELIZABETH BUDD</t>
        </r>
      </text>
    </comment>
    <comment ref="N466" authorId="0" shapeId="0" xr:uid="{EAC341AC-52B3-4F92-9FAC-D5912EA8310F}">
      <text>
        <r>
          <rPr>
            <sz val="9"/>
            <color indexed="81"/>
            <rFont val="Tahoma"/>
            <family val="2"/>
          </rPr>
          <t>SUSANNAH SMITH_x000D_
http://yeinfo.com/family/I09005173.html_x000D_
https://www.google.com/search?q=SUSANNAH+SMITH+1615+1637+HOYT+Robert_x000D_
.born:c1615    -         ?England_x000D_
.died: 1637    -1705      Fairfield county Connecticut, age:22y 0m 0d, _x000D_
.bapt: 1785GE_x000D_
.will: 2004MO_x000D_
.obit: 1890OH_x000D_
.bury: 1850IL _x000D_
.wpbt: 1826PA_x000D_
.anc#:double ancestor_x000D_
citiz:immigrant_x000D_
#spos:2_x000D_
#srcs:1_x000D_
#comment:0_x000D_
#events:2_x000D_
#kids:1_x000D_
lived:?ENSOMESWEST HA,CTFAIRD_x000D_
issue:Died before Birth_x000D_
.recs:Birth,Marriage,Death_x000D_
.imm?:immigrant_x000D_
..Spo:SIMON HOYT</t>
        </r>
      </text>
    </comment>
    <comment ref="L468" authorId="0" shapeId="0" xr:uid="{355A3B49-E729-4941-A15B-96082A13A2A7}">
      <text>
        <r>
          <rPr>
            <sz val="9"/>
            <color indexed="81"/>
            <rFont val="Tahoma"/>
            <family val="2"/>
          </rPr>
          <t>ABIGAIL HOYT_x000D_
http://yeinfo.com/family/I09001293.html_x000D_
https://www.google.com/search?q=ABIGAIL+HOYT+1658+1738+FOWLER_x000D_
.born: 1658    -          _x000D_
.died: 1738    -          , age:80y 0m 0d, _x000D_
.bapt: 1785GE_x000D_
.will: 2004MO_x000D_
.obit: 1890OH_x000D_
.bury: 1850IL _x000D_
.wpbt: 1826PA_x000D_
.anc#:double ancestor_x000D_
citiz:US born_x000D_
#spos:1_x000D_
#srcs:2_x000D_
#comment:0_x000D_
#events:1_x000D_
#kids:1_x000D_
lived:NYWESTCEASTCHE_x000D_
issue:_x000D_
.recs:Birth,Marriage,Death_x000D_
.imm?:no_x000D_
..Spo:HENRY FOWLER</t>
        </r>
      </text>
    </comment>
    <comment ref="S470" authorId="0" shapeId="0" xr:uid="{7A137C5A-421F-4F23-955A-CA2A80ECCC7E}">
      <text>
        <r>
          <rPr>
            <sz val="9"/>
            <color indexed="81"/>
            <rFont val="Tahoma"/>
            <family val="2"/>
          </rPr>
          <t>JOHN BUDD_x000D_
http://yeinfo.com/family/I09065773.html_x000D_
https://www.google.com/search?q=JOHN+BUDD+1450+1520+ELIZABETH_x000D_
.born: 1450    -          Essex county England_x000D_
.died: 1520    -          Essex county England, age:70y 0m 0d, _x000D_
.bapt: 1785GE_x000D_
.will: 2004MO_x000D_
.obit: 1890OH_x000D_
.bury: 1850IL _x000D_
.wpbt: 1826PA_x000D_
.anc#:double ancestor_x000D_
citiz:foreign_x000D_
#spos:1_x000D_
#srcs:1_x000D_
#comment:0_x000D_
#events:1_x000D_
#kids:1_x000D_
lived:ENESSEX_x000D_
issue:_x000D_
.recs:Birth,Marriage,Death_x000D_
.imm?:no_x000D_
..Spo:ELIZABETH BISHOPPE</t>
        </r>
      </text>
    </comment>
    <comment ref="R472" authorId="0" shapeId="0" xr:uid="{203FF8FE-89D1-4E9B-A01D-F056ECF159B3}">
      <text>
        <r>
          <rPr>
            <sz val="9"/>
            <color indexed="81"/>
            <rFont val="Tahoma"/>
            <family val="2"/>
          </rPr>
          <t>WILLIAM BUDD_x000D_
http://yeinfo.com/family/I09065639.html_x000D_
https://www.google.com/search?q=WILLIAM+BUDD+1479+1557+KATHERINE_x000D_
.born: 1479    -          Wandsworth (Surrey) England_x000D_
.died: 1557    -          Wandsworth (Surrey) England, age:78y 0m 0d, _x000D_
.bapt: 1785GE_x000D_
.will: 2004MO_x000D_
.obit: 1890OH_x000D_
.bury: 1850IL _x000D_
.wpbt: 1826PA_x000D_
.anc#:double ancestor_x000D_
citiz:foreign_x000D_
#spos:1_x000D_
#srcs:1_x000D_
#comment:0_x000D_
#events:1_x000D_
#kids:1_x000D_
lived:ENSURREWANDSWO_x000D_
issue:_x000D_
.recs:Birth,Marriage,Death_x000D_
.imm?:no_x000D_
..Spo:KATHERINE SAUNDERS</t>
        </r>
      </text>
    </comment>
    <comment ref="S474" authorId="0" shapeId="0" xr:uid="{FD470C72-6E2F-40B4-822B-7EB2BFDC7F68}">
      <text>
        <r>
          <rPr>
            <sz val="9"/>
            <color indexed="81"/>
            <rFont val="Tahoma"/>
            <family val="2"/>
          </rPr>
          <t>ELIZABETH BISHOPPE_x000D_
http://yeinfo.com/family/I09065771.html_x000D_
https://www.google.com/search?q=ELIZABETH+BISHOPPE+1454+1525+BUDD_x000D_
.born:c1454    -          Essex county England_x000D_
.died: 1525    -          Essex county England, age:71y 0m 0d, _x000D_
.bapt: 1785GE_x000D_
.will: 2004MO_x000D_
.obit: 1890OH_x000D_
.bury: 1850IL _x000D_
.wpbt: 1826PA_x000D_
.anc#:double ancestor_x000D_
citiz:foreign_x000D_
#spos:1_x000D_
#srcs:1_x000D_
#comment:0_x000D_
#events:1_x000D_
#kids:1_x000D_
lived:ENESSEX_x000D_
issue:_x000D_
.recs:Birth,Marriage,Death_x000D_
.imm?:no_x000D_
..Spo:JOHN BUDD</t>
        </r>
      </text>
    </comment>
    <comment ref="Q476" authorId="0" shapeId="0" xr:uid="{ED392606-2DBC-40A9-8742-7F3B72950C88}">
      <text>
        <r>
          <rPr>
            <sz val="9"/>
            <color indexed="81"/>
            <rFont val="Tahoma"/>
            <family val="2"/>
          </rPr>
          <t>NICHOLAS BUDD_x000D_
http://yeinfo.com/family/I09041392.html_x000D_
https://www.google.com/search?q=NICHOLAS+BUDD+1500+1536+ELIZABETH_x000D_
.born:c1500    -          London (Middlesex) England_x000D_
.died: 15360507-          London (Middlesex) England, age:36y 4m 6d, _x000D_
.bapt: 1785GE_x000D_
.will: 2004MO_x000D_
.obit: 1890OH_x000D_
.bury: 1850IL _x000D_
.wpbt: 1826PA_x000D_
.anc#:double ancestor_x000D_
citiz:foreign_x000D_
#spos:1_x000D_
#srcs:1_x000D_
#comment:0_x000D_
#events:1_x000D_
#kids:1_x000D_
lived:ENMIDDLLONDON_x000D_
issue:_x000D_
.recs:Birth,Marriage,Death_x000D_
.imm?:no_x000D_
..Spo:ELIZABETH WRIGHT</t>
        </r>
      </text>
    </comment>
    <comment ref="U478" authorId="0" shapeId="0" xr:uid="{1F82E020-F5AC-4B94-A8B9-2B6FE6E5FFCF}">
      <text>
        <r>
          <rPr>
            <sz val="9"/>
            <color indexed="81"/>
            <rFont val="Tahoma"/>
            <family val="2"/>
          </rPr>
          <t>THOMAS SAUNDERS_x000D_
http://yeinfo.com/family/I09066110.html_x000D_
https://www.google.com/search?q=THOMAS+SAUNDERS+1405+1425+JOANNA_x000D_
.born:?1405    -         ?England_x000D_
.died: 1425    -1495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issue:Died after Age 100_x000D_
.recs:Birth,Marriage,Death_x000D_
.imm?:no_x000D_
..Spo:JOANNA POLLARD</t>
        </r>
      </text>
    </comment>
    <comment ref="T480" authorId="0" shapeId="0" xr:uid="{EBCC4756-E740-45FA-BC10-786702193223}">
      <text>
        <r>
          <rPr>
            <sz val="9"/>
            <color indexed="81"/>
            <rFont val="Tahoma"/>
            <family val="2"/>
          </rPr>
          <t>WILLIAM SAUNDERS_x000D_
http://yeinfo.com/family/I09065940.html_x000D_
https://www.google.com/search?q=WILLIAM+SAUNDERS+1420+1481+JOAN_x000D_
.born:?1420    -          Charlwood (Surrey) England_x000D_
.died: 14810810-          Charlwood (Surrey) England, age:61y 7m 9d, _x000D_
.bapt: 1785GE_x000D_
.will: 2004MO_x000D_
.obit: 1890OH_x000D_
.bury: 1850IL _x000D_
.wpbt: 1826PA_x000D_
.anc#:double ancestor_x000D_
citiz:foreign_x000D_
#spos:1_x000D_
#srcs:1_x000D_
#comment:0_x000D_
#events:1_x000D_
#kids:1_x000D_
lived:ENSURRECHARLWO_x000D_
issue:_x000D_
.recs:Birth,Marriage,Death_x000D_
.imm?:no_x000D_
..Spo:JOAN CAREW</t>
        </r>
      </text>
    </comment>
    <comment ref="U482" authorId="0" shapeId="0" xr:uid="{CBE6B07A-4D21-4220-9238-16F03AA48829}">
      <text>
        <r>
          <rPr>
            <sz val="9"/>
            <color indexed="81"/>
            <rFont val="Tahoma"/>
            <family val="2"/>
          </rPr>
          <t>JOANNA POLLARD_x000D_
http://yeinfo.com/family/I09066107.html_x000D_
https://www.google.com/search?q=JOANNA+POLLARD+1405+1425+SAUNDERS_x000D_
.born:?1405    -         ?England_x000D_
.died: 1425    -1495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issue:Died after Age 100_x000D_
.recs:Birth,Marriage,Death_x000D_
.imm?:no_x000D_
..Spo:THOMAS SAUNDERS</t>
        </r>
      </text>
    </comment>
    <comment ref="S484" authorId="0" shapeId="0" xr:uid="{CE7026A9-6060-4994-B843-E7A147A1A1FA}">
      <text>
        <r>
          <rPr>
            <sz val="9"/>
            <color indexed="81"/>
            <rFont val="Tahoma"/>
            <family val="2"/>
          </rPr>
          <t>RICHARD OSWELL SAUNDERS_x000D_
http://yeinfo.com/family/I09065792.html_x000D_
https://www.google.com/search?q=RICHARD+OSWELL+SAUNDERS+1452+1480+AGNES_x000D_
.born: 1452    -          Charlwood (Surrey) England_x000D_
.died: 1480    -          Charlwood (Surrey) England, age:28y 0m 0d, _x000D_
.bapt: 1785GE_x000D_
.will: 2004MO_x000D_
.obit: 1890OH_x000D_
.bury: 1850IL _x000D_
.wpbt: 1826PA_x000D_
.anc#:double ancestor_x000D_
citiz:foreign_x000D_
#spos:1_x000D_
#srcs:1_x000D_
#comment:0_x000D_
#events:1_x000D_
#kids:1_x000D_
lived:ENSURRECHARLWO_x000D_
issue:_x000D_
.recs:Birth,Marriage,Death_x000D_
.imm?:no_x000D_
..Spo:AGNES SAUNDERS</t>
        </r>
      </text>
    </comment>
    <comment ref="W486" authorId="0" shapeId="0" xr:uid="{913B1A7B-4A40-4BBC-9FD5-11DE59E63E74}">
      <text>
        <r>
          <rPr>
            <sz val="9"/>
            <color indexed="81"/>
            <rFont val="Tahoma"/>
            <family val="2"/>
          </rPr>
          <t>NICHOLAS CAREW_x000D_
http://yeinfo.com/family/I09066447.html_x000D_
https://www.google.com/search?q=NICHOLAS+CAREW+1322+1390+LUCY_x000D_
.born: 1322    -          Sandford (Devon) England_x000D_
.died: 13900817-          Buckinghamshire county England, age:68y 7m 16d, _x000D_
.bapt: 1785GE_x000D_
.will: 2004MO_x000D_
.obit: 1890OH_x000D_
.bury: 1850IL _x000D_
.wpbt: 1826PA_x000D_
.anc#:double ancestor_x000D_
citiz:foreign_x000D_
#spos:1_x000D_
#srcs:1_x000D_
#comment:1_x000D_
#events:2_x000D_
#kids:1_x000D_
lived:ENBUCKE,ENDEVONSANDFOR_x000D_
issue:_x000D_
.recs:Birth,Marriage,Death_x000D_
.imm?:no_x000D_
..Spo:LUCY WILLOUGHBY</t>
        </r>
      </text>
    </comment>
    <comment ref="V488" authorId="0" shapeId="0" xr:uid="{425C8077-6E2D-4922-B534-5DF6EC20A8BF}">
      <text>
        <r>
          <rPr>
            <sz val="9"/>
            <color indexed="81"/>
            <rFont val="Tahoma"/>
            <family val="2"/>
          </rPr>
          <t>NICHOLAS CAREW_x000D_
http://yeinfo.com/family/I09066281.html_x000D_
https://www.google.com/search?q=NICHOLAS+CAREW+1356+1432+ISABELLA+Hayme_x000D_
.born: 135605  -          Surrey county England_x000D_
.died: 14320904-          Surrey county England, age:76y 4m 3d, _x000D_
.bapt: 1785GE_x000D_
.will: 2004MO_x000D_
.obit: 1890OH_x000D_
.bury: 1850IL _x000D_
.wpbt: 1826PA_x000D_
.anc#:double ancestor_x000D_
citiz:foreign_x000D_
#spos:2_x000D_
#srcs:1_x000D_
#comment:0_x000D_
#events:2_x000D_
#kids:1_x000D_
lived:ENSURRE_x000D_
issue:_x000D_
.recs:Birth,Marriage,Death_x000D_
.imm?:no_x000D_
..Spo:ISABELLA MARE</t>
        </r>
      </text>
    </comment>
    <comment ref="W490" authorId="0" shapeId="0" xr:uid="{FDE46C6B-8A32-4C9D-8F25-52D6425F67A7}">
      <text>
        <r>
          <rPr>
            <sz val="9"/>
            <color indexed="81"/>
            <rFont val="Tahoma"/>
            <family val="2"/>
          </rPr>
          <t>LUCY WILLOUGHBY_x000D_
http://yeinfo.com/family/I09066489.html_x000D_
https://www.google.com/search?q=LUCY+WILLOUGHBY+1330+1390+CAREW_x000D_
.born:?1330    -          Wollaton (Nottinghamshire) England_x000D_
.died: 1390    -          England, age:60y 0m 0d, _x000D_
.bapt: 1785GE_x000D_
.will: 2004MO_x000D_
.obit: 1890OH_x000D_
.bury: 1850IL _x000D_
.wpbt: 1826PA_x000D_
.anc#:double ancestor_x000D_
citiz:foreign_x000D_
#spos:1_x000D_
#srcs:1_x000D_
#comment:0_x000D_
#events:1_x000D_
#kids:1_x000D_
lived:ENNOTTIWOLLATO_x000D_
issue:_x000D_
.recs:Birth,Marriage,Death_x000D_
.imm?:no_x000D_
..Spo:NICHOLAS CAREW</t>
        </r>
      </text>
    </comment>
    <comment ref="U492" authorId="0" shapeId="0" xr:uid="{849572BD-CB8B-4E5C-AD10-02C5FF4438A5}">
      <text>
        <r>
          <rPr>
            <sz val="9"/>
            <color indexed="81"/>
            <rFont val="Tahoma"/>
            <family val="2"/>
          </rPr>
          <t>THOMAS CAREW_x000D_
http://yeinfo.com/family/I09066080.html_x000D_
https://www.google.com/search?q=THOMAS+CAREW+1398+1430+AGNES+Mare_x000D_
.born:c1398    -          Surrey county England_x000D_
.died: 143010  -          London (Middlesex) England, age:32y 9m 0d, _x000D_
.bapt: 1785GE_x000D_
.will: 2004MO_x000D_
.obit: 1890OH_x000D_
.bury: 1850IL _x000D_
.wpbt: 1826PA_x000D_
.anc#:double ancestor_x000D_
citiz:foreign_x000D_
#spos:2_x000D_
#srcs:1_x000D_
#comment:0_x000D_
#events:2_x000D_
#kids:1_x000D_
lived:ENMIDDLLONDON,ENSURRE_x000D_
issue:_x000D_
.recs:Birth,Marriage,Death_x000D_
.imm?:no_x000D_
..Spo:AGNES HAYTON</t>
        </r>
      </text>
    </comment>
    <comment ref="W494" authorId="0" shapeId="0" xr:uid="{CF54087A-06AB-4AE5-B56B-92A30BC21A4F}">
      <text>
        <r>
          <rPr>
            <sz val="9"/>
            <color indexed="81"/>
            <rFont val="Tahoma"/>
            <family val="2"/>
          </rPr>
          <t>STEPHEN MARE_x000D_
http://yeinfo.com/family/I09066472.html_x000D_
https://www.google.com/search?q=STEPHEN+MARE+1330+1362+ALICE_x000D_
.born: 1330    -          Delamere (Cheshire) England_x000D_
.died: 1362    -1420      England, age:32y 0m 0d, _x000D_
.bapt: 1785GE_x000D_
.will: 2004MO_x000D_
.obit: 1890OH_x000D_
.bury: 1850IL _x000D_
.wpbt: 1826PA_x000D_
.anc#:double ancestor_x000D_
citiz:foreign_x000D_
#spos:1_x000D_
#srcs:1_x000D_
#comment:0_x000D_
#events:1_x000D_
#kids:1_x000D_
lived:ENCHESHDELAMER_x000D_
issue:_x000D_
.recs:Birth,Marriage,Death_x000D_
.imm?:no_x000D_
..Spo:ALICE MARE</t>
        </r>
      </text>
    </comment>
    <comment ref="V496" authorId="0" shapeId="0" xr:uid="{AF3661A0-9937-4C58-91DB-AE73C5CF172E}">
      <text>
        <r>
          <rPr>
            <sz val="9"/>
            <color indexed="81"/>
            <rFont val="Tahoma"/>
            <family val="2"/>
          </rPr>
          <t>ISABELLA MARE_x000D_
http://yeinfo.com/family/I09066299.html_x000D_
https://www.google.com/search?q=ISABELLA+MARE+1362+1421+CAREW_x000D_
.born: 1362    -          Lilford (Northamptonshire) England_x000D_
.died: 1421    -          Surrey county England, age:59y 0m 0d, _x000D_
.bapt: 1785GE_x000D_
.will: 2004MO_x000D_
.obit: 1890OH_x000D_
.bury: 1850IL _x000D_
.wpbt: 1826PA_x000D_
.anc#:double ancestor_x000D_
citiz:foreign_x000D_
#spos:1_x000D_
#srcs:1_x000D_
#comment:0_x000D_
#events:1_x000D_
#kids:1_x000D_
lived:?ENSURRE,ENNORTALILFORD_x000D_
issue:_x000D_
.recs:Birth,Marriage,Death_x000D_
.imm?:no_x000D_
..Spo:NICHOLAS CAREW</t>
        </r>
      </text>
    </comment>
    <comment ref="W498" authorId="0" shapeId="0" xr:uid="{F1E7446F-363A-470D-89C8-23CFFA62A6A8}">
      <text>
        <r>
          <rPr>
            <sz val="9"/>
            <color indexed="81"/>
            <rFont val="Tahoma"/>
            <family val="2"/>
          </rPr>
          <t>Mrs. ALICE MARE_x000D_
http://yeinfo.com/family/I09066471.html_x000D_
https://www.google.com/search?q=ALICE+MARE+1335+1362+MARE_x000D_
.born: 1335    -          England_x000D_
.died: 1362    -1425      England, age:27y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..Spo:STEPHEN MARE</t>
        </r>
      </text>
    </comment>
    <comment ref="T500" authorId="0" shapeId="0" xr:uid="{B1A6AD99-8CFE-470C-BF56-852AB5938623}">
      <text>
        <r>
          <rPr>
            <sz val="9"/>
            <color indexed="81"/>
            <rFont val="Tahoma"/>
            <family val="2"/>
          </rPr>
          <t>JOAN CAREW_x000D_
http://yeinfo.com/family/I09065918.html_x000D_
https://www.google.com/search?q=JOAN+CAREW+1430+1470+SAUNDERS_x000D_
.born: 1430    -          London (Middlesex) England_x000D_
.died: 14700806-          Charlwood (Surrey) England, age:40y 7m 5d, _x000D_
.bapt: 1785GE_x000D_
.will: 2004MO_x000D_
.obit: 1890OH_x000D_
.bury: 1850IL _x000D_
.wpbt: 1826PA_x000D_
.anc#:double ancestor_x000D_
citiz:foreign_x000D_
#spos:1_x000D_
#srcs:1_x000D_
#comment:0_x000D_
#events:1_x000D_
#kids:1_x000D_
lived:ENMIDDLLONDON,ENSURRECHARLWO_x000D_
issue:Died after Age 100_x000D_
.recs:Birth,Marriage,Death_x000D_
.imm?:no_x000D_
..Spo:WILLIAM SAUNDERS</t>
        </r>
      </text>
    </comment>
    <comment ref="V502" authorId="0" shapeId="0" xr:uid="{7FB9992B-2C1D-4E6D-91A1-5FDDC8305260}">
      <text>
        <r>
          <rPr>
            <sz val="9"/>
            <color indexed="81"/>
            <rFont val="Tahoma"/>
            <family val="2"/>
          </rPr>
          <t>THOMAS HAYTON_x000D_
http://yeinfo.com/family/I09066294.html_x000D_
https://www.google.com/search?q=THOMAS+HAYTON+1370+1432+BEATRICE_x000D_
.born:?1370    -          Ewell (Surrey) England_x000D_
.died:c1432    -         ?Surrey county England, age:62y 0m 0d, _x000D_
.bapt: 1785GE_x000D_
.will: 2004MO_x000D_
.obit: 1890OH_x000D_
.bury: 1850IL _x000D_
.wpbt: 1826PA_x000D_
.anc#:double ancestor_x000D_
citiz:foreign_x000D_
#spos:1_x000D_
#srcs:1_x000D_
#comment:0_x000D_
#events:1_x000D_
#kids:1_x000D_
lived:ENSURREEWELL_x000D_
issue:_x000D_
.recs:Birth,Marriage,Death_x000D_
.imm?:no_x000D_
..Spo:BEATRICE HAYTON</t>
        </r>
      </text>
    </comment>
    <comment ref="U504" authorId="0" shapeId="0" xr:uid="{03DF62BF-403C-47AD-AFC9-BA0608593476}">
      <text>
        <r>
          <rPr>
            <sz val="9"/>
            <color indexed="81"/>
            <rFont val="Tahoma"/>
            <family val="2"/>
          </rPr>
          <t>AGNES HAYTON_x000D_
http://yeinfo.com/family/I09066093.html_x000D_
https://www.google.com/search?q=AGNES+HAYTON+1395+1450+CAREW_x000D_
.born:c1395    -          Ewell (Surrey) England_x000D_
.died:c1450    -          England, age:55y 0m 0d, _x000D_
.bapt: 1785GE_x000D_
.will: 2004MO_x000D_
.obit: 1890OH_x000D_
.bury: 1850IL _x000D_
.wpbt: 1826PA_x000D_
.anc#:double ancestor_x000D_
citiz:foreign_x000D_
#spos:1_x000D_
#srcs:1_x000D_
#comment:0_x000D_
#events:1_x000D_
#kids:1_x000D_
lived:ENSURREEWELL_x000D_
issue:_x000D_
.recs:Birth,Marriage,Death_x000D_
.imm?:no_x000D_
..Spo:THOMAS CAREW</t>
        </r>
      </text>
    </comment>
    <comment ref="V506" authorId="0" shapeId="0" xr:uid="{24BA46D2-588E-4823-8A54-ABCBF8707F74}">
      <text>
        <r>
          <rPr>
            <sz val="9"/>
            <color indexed="81"/>
            <rFont val="Tahoma"/>
            <family val="2"/>
          </rPr>
          <t>Mrs. BEATRICE HAYTON_x000D_
http://yeinfo.com/family/I09066293.html_x000D_
https://www.google.com/search?q=BEATRICE+HAYTON+1370+1395+HAYTON_x000D_
.born:?1370    -          England_x000D_
.died: 1395    -1460     ?Surrey county England, age:25y 0m 0d, _x000D_
.bapt: 1785GE_x000D_
.will: 2004MO_x000D_
.obit: 1890OH_x000D_
.bury: 1850IL _x000D_
.wpbt: 1826PA_x000D_
.anc#:double ancestor_x000D_
citiz:foreign_x000D_
#spos:1_x000D_
#srcs:1_x000D_
#comment:0_x000D_
#events:1_x000D_
#kids:1_x000D_
lived:?ENSURRE,EN_x000D_
issue:_x000D_
.recs:Birth,Marriage,Death_x000D_
.imm?:no_x000D_
..Spo:THOMAS HAYTON</t>
        </r>
      </text>
    </comment>
    <comment ref="R508" authorId="0" shapeId="0" xr:uid="{6A4BCB57-3780-40A0-82EF-A9C354170096}">
      <text>
        <r>
          <rPr>
            <sz val="9"/>
            <color indexed="81"/>
            <rFont val="Tahoma"/>
            <family val="2"/>
          </rPr>
          <t>KATHERINE SAUNDERS_x000D_
http://yeinfo.com/family/I09065665.html_x000D_
https://www.google.com/search?q=KATHERINE+SAUNDERS+1480+1550+BUDD_x000D_
.born:c1480    -          West Clandon (Surrey) England_x000D_
.died:c1550    -          England, age:70y 0m 0d, _x000D_
.bapt: 1785GE_x000D_
.will: 2004MO_x000D_
.obit: 1890OH_x000D_
.bury: 1850IL _x000D_
.wpbt: 1826PA_x000D_
.anc#:double ancestor_x000D_
citiz:foreign_x000D_
#spos:1_x000D_
#srcs:1_x000D_
#comment:0_x000D_
#events:1_x000D_
#kids:1_x000D_
lived:?ENSURREWANDSWO,ENSURREW.CLAND_x000D_
issue:_x000D_
.recs:Birth,Marriage,Death_x000D_
.imm?:no_x000D_
..Spo:WILLIAM BUDD</t>
        </r>
      </text>
    </comment>
    <comment ref="S510" authorId="0" shapeId="0" xr:uid="{0E1C9A55-C05A-4974-8792-91202B7DD200}">
      <text>
        <r>
          <rPr>
            <sz val="9"/>
            <color indexed="81"/>
            <rFont val="Tahoma"/>
            <family val="2"/>
          </rPr>
          <t>Mrs. AGNES SAUNDERS_x000D_
http://yeinfo.com/family/I09065791.html_x000D_
https://www.google.com/search?q=AGNES+SAUNDERS+1452+1485+SAUNDERS_x000D_
.born: 1452    -          Charlwood (Surrey) England_x000D_
.died: 14850107-          Charlwood (Surrey) England, age:33y 0m 6d, _x000D_
.bapt: 1785GE_x000D_
.will: 2004MO_x000D_
.obit: 1890OH_x000D_
.bury: 1850IL _x000D_
.wpbt: 1826PA_x000D_
.anc#:double ancestor_x000D_
citiz:foreign_x000D_
#spos:1_x000D_
#srcs:1_x000D_
#comment:0_x000D_
#events:1_x000D_
#kids:1_x000D_
lived:ENSURRECHARLWO_x000D_
issue:_x000D_
.recs:Birth,Marriage,Death_x000D_
.imm?:no_x000D_
..Spo:RICHARD OSWELL SAUNDERS</t>
        </r>
      </text>
    </comment>
    <comment ref="P512" authorId="0" shapeId="0" xr:uid="{A49BE489-BECC-4DE3-BD24-4070986FB53A}">
      <text>
        <r>
          <rPr>
            <sz val="9"/>
            <color indexed="81"/>
            <rFont val="Tahoma"/>
            <family val="2"/>
          </rPr>
          <t>RICHARD WRIGHT BUDD Sr._x000D_
http://yeinfo.com/family/I09020696.html_x000D_
https://www.google.com/search?q=RICHARD+WRIGHT+BUDD+1528+1550+MARGARET_x000D_
.born: 15280911-          Westham (Sussex) England_x000D_
.died: 1550    -1618      Westham (Sussex) England, age:21y 3m 21d, _x000D_
.bapt: 1785GE_x000D_
.will: 2004MO_x000D_
.obit: 1890OH_x000D_
.bury: 1850IL _x000D_
.wpbt: 1826PA_x000D_
.anc#:double ancestor_x000D_
citiz:foreign_x000D_
#spos:1_x000D_
#srcs:1_x000D_
#comment:0_x000D_
#events:1_x000D_
#kids:1_x000D_
lived:ENSUSSEWESTHAM_x000D_
issue:_x000D_
.recs:Birth,Marriage,Death_x000D_
.imm?:no_x000D_
..Spo:MARGARET SYMONDS</t>
        </r>
      </text>
    </comment>
    <comment ref="R514" authorId="0" shapeId="0" xr:uid="{55B00090-ADF8-4F21-A211-DE5F5E41D8F3}">
      <text>
        <r>
          <rPr>
            <sz val="9"/>
            <color indexed="81"/>
            <rFont val="Tahoma"/>
            <family val="2"/>
          </rPr>
          <t>THOMAS WRIGHT_x000D_
http://yeinfo.com/family/I09065674.html_x000D_
https://www.google.com/search?q=THOMAS+WRIGHT+1476+1550+MARGARET_x000D_
.born: 1476    -          London (Middlesex) England_x000D_
.died:c1550    -          London (Middlesex) England, age:74y 0m 0d, _x000D_
.bapt: 1785GE_x000D_
.will: 2004MO_x000D_
.obit: 1890OH_x000D_
.bury: 1850IL _x000D_
.wpbt: 1826PA_x000D_
.anc#:double ancestor_x000D_
citiz:foreign_x000D_
#spos:1_x000D_
#srcs:1_x000D_
#comment:0_x000D_
#events:1_x000D_
#kids:1_x000D_
lived:ENMIDDLLONDON_x000D_
issue:_x000D_
.recs:Birth,Marriage,Death_x000D_
.imm?:no_x000D_
..Spo:MARGARET LECHE</t>
        </r>
      </text>
    </comment>
    <comment ref="Q516" authorId="0" shapeId="0" xr:uid="{FB95717A-5976-468F-86F9-721B49A2733C}">
      <text>
        <r>
          <rPr>
            <sz val="9"/>
            <color indexed="81"/>
            <rFont val="Tahoma"/>
            <family val="2"/>
          </rPr>
          <t>ELIZABETH WRIGHT_x000D_
http://yeinfo.com/family/I09041393.html_x000D_
https://www.google.com/search?q=ELIZABETH+WRIGHT+1504+1575+BUDD_x000D_
.born:c1504    -          London (Middlesex) England_x000D_
.died:c1575    -          England, age:71y 0m 0d, _x000D_
.bapt: 1785GE_x000D_
.will: 2004MO_x000D_
.obit: 1890OH_x000D_
.bury: 1850IL _x000D_
.wpbt: 1826PA_x000D_
.anc#:double ancestor_x000D_
citiz:foreign_x000D_
#spos:1_x000D_
#srcs:1_x000D_
#comment:0_x000D_
#events:1_x000D_
#kids:1_x000D_
lived:ENMIDDLLONDON_x000D_
issue:_x000D_
.recs:Birth,Marriage,Death_x000D_
.imm?:no_x000D_
..Spo:NICHOLAS BUDD</t>
        </r>
      </text>
    </comment>
    <comment ref="S518" authorId="0" shapeId="0" xr:uid="{A92DBAB9-50E9-48D2-AF11-2539DDF48CA2}">
      <text>
        <r>
          <rPr>
            <sz val="9"/>
            <color indexed="81"/>
            <rFont val="Tahoma"/>
            <family val="2"/>
          </rPr>
          <t>JOHN LECHE_x000D_
http://yeinfo.com/family/I09065784.html_x000D_
https://www.google.com/search?q=JOHN+LECHE+1449+1475+MARGARET_x000D_
.born: 1449    -         ?England_x000D_
.died: 1475    -1539     ?England, age:26y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..Spo:MARGARET MAINWARING</t>
        </r>
      </text>
    </comment>
    <comment ref="R520" authorId="0" shapeId="0" xr:uid="{EA525514-9BCA-4954-8D08-5791DF9C019F}">
      <text>
        <r>
          <rPr>
            <sz val="9"/>
            <color indexed="81"/>
            <rFont val="Tahoma"/>
            <family val="2"/>
          </rPr>
          <t>MARGARET LECHE_x000D_
http://yeinfo.com/family/I09065656.html_x000D_
https://www.google.com/search?q=MARGARET+LECHE+1475+1552+WRIGHT_x000D_
.born: 1475    -          London (Middlesex) England_x000D_
.died: 1552    -         ?London (Middlesex) England, age:77y 0m 0d, _x000D_
.bapt: 1785GE_x000D_
.will: 2004MO_x000D_
.obit: 1890OH_x000D_
.bury: 1850IL _x000D_
.wpbt: 1826PA_x000D_
.anc#:double ancestor_x000D_
citiz:foreign_x000D_
#spos:1_x000D_
#srcs:1_x000D_
#comment:0_x000D_
#events:1_x000D_
#kids:1_x000D_
lived:ENMIDDLLONDON_x000D_
issue:_x000D_
.recs:Birth,Marriage,Death_x000D_
.imm?:no_x000D_
..Spo:THOMAS WRIGHT</t>
        </r>
      </text>
    </comment>
    <comment ref="S522" authorId="0" shapeId="0" xr:uid="{1626E4DB-DCE5-45E3-B15E-3BFC9387C98E}">
      <text>
        <r>
          <rPr>
            <sz val="9"/>
            <color indexed="81"/>
            <rFont val="Tahoma"/>
            <family val="2"/>
          </rPr>
          <t>MARGARET MAINWARING_x000D_
http://yeinfo.com/family/I09065788.html_x000D_
https://www.google.com/search?q=MARGARET+MAINWARING+1455+1475+LECHE_x000D_
.born:?1455    -         ?England_x000D_
.died: 1475    -1545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..Spo:JOHN LECHE</t>
        </r>
      </text>
    </comment>
    <comment ref="O524" authorId="0" shapeId="0" xr:uid="{3E959A70-9509-4F33-802B-C939D6B005AF}">
      <text>
        <r>
          <rPr>
            <sz val="9"/>
            <color indexed="81"/>
            <rFont val="Tahoma"/>
            <family val="2"/>
          </rPr>
          <t>THOMAS BUDD_x000D_
http://yeinfo.com/family/I09010348.html_x000D_
https://www.google.com/search?q=THOMAS+BUDD+1550+1609+MARGARET_x000D_
.born: 15500911-          Westham (Sussex) England_x000D_
.died: 16090424-          London (Middlesex) England, age:58y 7m 13d, _x000D_
.bapt: 1785GE_x000D_
.will: 2004MO_x000D_
.obit: 1890OH_x000D_
.bury: 1850IL _x000D_
.wpbt: 1826PA_x000D_
.anc#:double ancestor_x000D_
citiz:foreign_x000D_
#spos:1_x000D_
#srcs:2_x000D_
#comment:1_x000D_
#events:1_x000D_
#kids:6_x000D_
lived:ENMIDDLLONDON,ENSURREWEYBRID,ENSUSSEWESTHAM_x000D_
issue:_x000D_
.recs:Birth,Marriage,Death_x000D_
.imm?:no_x000D_
..Spo:MARGARET WEST</t>
        </r>
      </text>
    </comment>
    <comment ref="Q526" authorId="0" shapeId="0" xr:uid="{9253AA0D-8BFC-4E3C-9190-8CAEBE37082D}">
      <text>
        <r>
          <rPr>
            <sz val="9"/>
            <color indexed="81"/>
            <rFont val="Tahoma"/>
            <family val="2"/>
          </rPr>
          <t>THOMAS SYMONDS_x000D_
http://yeinfo.com/family/I09041394.html_x000D_
https://www.google.com/search?q=THOMAS+SYMONDS+1500+1532+{_?_}_x000D_
.born: 1500    -          London (Middlesex) England_x000D_
.died: 1532    -1590     ?England, age:32y 0m 0d, _x000D_
.bapt: 1785GE_x000D_
.will: 2004MO_x000D_
.obit: 1890OH_x000D_
.bury: 1850IL _x000D_
.wpbt: 1826PA_x000D_
.anc#:double ancestor_x000D_
citiz:foreign_x000D_
#spos:1_x000D_
#srcs:1_x000D_
#comment:0_x000D_
#events:1_x000D_
#kids:1_x000D_
lived:ENMIDDLLONDON_x000D_
issue:_x000D_
.recs:Birth,Marriage,Death_x000D_
.imm?:no_x000D_
..Spo:{_?_} SYMONDS</t>
        </r>
      </text>
    </comment>
    <comment ref="P528" authorId="0" shapeId="0" xr:uid="{0D31C27A-711B-44E3-8970-1FB7A8E0D058}">
      <text>
        <r>
          <rPr>
            <sz val="9"/>
            <color indexed="81"/>
            <rFont val="Tahoma"/>
            <family val="2"/>
          </rPr>
          <t>MARGARET SYMONDS_x000D_
http://yeinfo.com/family/I09020697.html_x000D_
https://www.google.com/search?q=MARGARET+SYMONDS+1532+1556+BUDD_x000D_
.born: 1532    -          West Clandon (Surrey) England_x000D_
.died: 1556    -          Surrey county England, age:24y 0m 0d, _x000D_
.bapt: 1785GE_x000D_
.will: 2004MO_x000D_
.obit: 1890OH_x000D_
.bury: 1850IL _x000D_
.wpbt: 1826PA_x000D_
.anc#:double ancestor_x000D_
citiz:foreign_x000D_
#spos:1_x000D_
#srcs:1_x000D_
#comment:0_x000D_
#events:1_x000D_
#kids:1_x000D_
lived:ENSURREW.CLAND_x000D_
issue:_x000D_
.recs:Birth,Marriage,Death_x000D_
.imm?:no_x000D_
..Spo:RICHARD WRIGHT BUDD</t>
        </r>
      </text>
    </comment>
    <comment ref="Q530" authorId="0" shapeId="0" xr:uid="{710C46C4-A8CF-4DB4-93A9-8718C1FE962A}">
      <text>
        <r>
          <rPr>
            <sz val="9"/>
            <color indexed="81"/>
            <rFont val="Tahoma"/>
            <family val="2"/>
          </rPr>
          <t>Mrs. {_?_} SYMONDS_x000D_
http://yeinfo.com/family/I09041395.html_x000D_
https://www.google.com/search?q={_?_}+SYMONDS+1500+1532+SYMONDS_x000D_
.born:?1500    -         ?England_x000D_
.died: 1532    -1590     ?England, age:32y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..Spo:THOMAS SYMONDS</t>
        </r>
      </text>
    </comment>
    <comment ref="N532" authorId="0" shapeId="0" xr:uid="{D74E93F8-FAAE-4FA4-A550-01259FA660B8}">
      <text>
        <r>
          <rPr>
            <sz val="9"/>
            <color indexed="81"/>
            <rFont val="Tahoma"/>
            <family val="2"/>
          </rPr>
          <t>JOHN BUDD Sr._x000D_
http://yeinfo.com/family/I09005174.html_x000D_
https://www.google.com/search?q=JOHN+BUDD+1599+1670+KATHERINE_x000D_
.born: 15991121-         ?_x000D_
.died: 16701026-         ?, age:70y 11m 5d, _x000D_
.bapt: 1785GE_x000D_
.will: 2004MO_x000D_
.obit: 1890OH_x000D_
.bury: 1850IL _x000D_
.wpbt: 1826PA_x000D_
.anc#:double ancestor_x000D_
citiz:US born_x000D_
#spos:1_x000D_
#srcs:3_x000D_
#comment:0_x000D_
#events:1_x000D_
#kids:1_x000D_
lived:ENSUSSECHICHES_x000D_
issue:_x000D_
.recs:Birth,Marriage,Death_x000D_
.imm?:no_x000D_
..Spo:KATHERINE BUTCHER</t>
        </r>
      </text>
    </comment>
    <comment ref="O534" authorId="0" shapeId="0" xr:uid="{80DF4B19-5AD3-48A5-AF13-DC09BC26C9ED}">
      <text>
        <r>
          <rPr>
            <sz val="9"/>
            <color indexed="81"/>
            <rFont val="Tahoma"/>
            <family val="2"/>
          </rPr>
          <t>MARGARET WEST_x000D_
http://yeinfo.com/family/I09010349.html_x000D_
https://www.google.com/search?q=MARGARET+WEST+1555+1630+BUDD_x000D_
.born:?1555    -          Weybridge (Surrey) England_x000D_
.died: 1630    -          Surrey county England, age:75y 0m 0d, _x000D_
.bapt: 1785GE_x000D_
.will: 2004MO_x000D_
.obit: 1890OH_x000D_
.bury: 1850IL _x000D_
.wpbt: 1826PA_x000D_
.anc#:double ancestor_x000D_
citiz:foreign_x000D_
#spos:1_x000D_
#srcs:2_x000D_
#comment:1_x000D_
#events:1_x000D_
#kids:6_x000D_
lived:ENSURREWEYBRID_x000D_
issue:_x000D_
.recs:Birth,Marriage,Death_x000D_
.imm?:no_x000D_
..Spo:THOMAS BUDD</t>
        </r>
      </text>
    </comment>
    <comment ref="M536" authorId="0" shapeId="0" xr:uid="{C11BEC23-9E2C-451D-A783-3E16E9234691}">
      <text>
        <r>
          <rPr>
            <sz val="9"/>
            <color indexed="81"/>
            <rFont val="Tahoma"/>
            <family val="2"/>
          </rPr>
          <t>ELIZABETH BUDD_x000D_
http://yeinfo.com/family/I09002587.html_x000D_
https://www.google.com/search?q=ELIZABETH+BUDD+1641+1661+HOYT_x000D_
.born: 1641    -         ?_x000D_
.died: 1661    -1731      Eastchester (Westchester) New York, age:20y 0m 0d, _x000D_
.bapt: 1785GE_x000D_
.will: 2004MO_x000D_
.obit: 1890OH_x000D_
.bury: 1850IL _x000D_
.wpbt: 1826PA_x000D_
.anc#:double ancestor_x000D_
citiz:US born_x000D_
#spos:1_x000D_
#srcs:6_x000D_
#comment:0_x000D_
#events:1_x000D_
#kids:1_x000D_
lived:CTFAIRDFAIRFIE,NYWESTCEASTCHE_x000D_
issue:_x000D_
.recs:Birth,Marriage,Death_x000D_
.imm?:no_x000D_
..Spo:MOSES HOYT</t>
        </r>
      </text>
    </comment>
    <comment ref="O538" authorId="0" shapeId="0" xr:uid="{D759F4BA-D52F-49B0-8B73-CD23F0B2CB7E}">
      <text>
        <r>
          <rPr>
            <sz val="9"/>
            <color indexed="81"/>
            <rFont val="Tahoma"/>
            <family val="2"/>
          </rPr>
          <t>RICHARD BUTCHER_x000D_
http://yeinfo.com/family/I09010350.html_x000D_
https://www.google.com/search?q=RICHARD+BUTCHER+1550+1601+KATHERINE_x000D_
.born:?1550    -          Chichester (Sussex) England_x000D_
.died: 1601    -1640     ?England, age:51y 0m 0d, _x000D_
.bapt: 1785GE_x000D_
.will: 2004MO_x000D_
.obit: 1890OH_x000D_
.bury: 1850IL _x000D_
.wpbt: 1826PA_x000D_
.anc#:double ancestor_x000D_
citiz:foreign_x000D_
#spos:1_x000D_
#srcs:2_x000D_
#comment:1_x000D_
#events:1_x000D_
#kids:7_x000D_
lived:ENSUSSECHICHES_x000D_
issue:_x000D_
.recs:Birth,Marriage,Death_x000D_
.imm?:no_x000D_
..Spo:KATHERINE HARGRAVE</t>
        </r>
      </text>
    </comment>
    <comment ref="N540" authorId="0" shapeId="0" xr:uid="{D07F593F-EB25-49CF-8B73-DAA4DA29B732}">
      <text>
        <r>
          <rPr>
            <sz val="9"/>
            <color indexed="81"/>
            <rFont val="Tahoma"/>
            <family val="2"/>
          </rPr>
          <t>KATHERINE BUTCHER_x000D_
http://yeinfo.com/family/I09005175.html_x000D_
https://www.google.com/search?q=KATHERINE+BUTCHER+1598+1674+BUDD_x000D_
.born: 15980924-         ?England_x000D_
.died: 16740513-          Eastchester (Westchester) New York, age:75y 7m 19d, _x000D_
.bapt: 1785GE_x000D_
.will: 2004MO_x000D_
.obit: 1890OH_x000D_
.bury: 1850IL _x000D_
.wpbt: 1826PA_x000D_
.anc#:double ancestor_x000D_
citiz:immigrant_x000D_
#spos:1_x000D_
#srcs:3_x000D_
#comment:0_x000D_
#events:1_x000D_
#kids:1_x000D_
lived:?EN,ENSUSSECHICHES,ENWORCSBEWDLEY,NYWESTCEASTCHE_x000D_
issue:_x000D_
.recs:Birth,Marriage,Death_x000D_
.imm?:immigrant_x000D_
..Spo:JOHN BUDD</t>
        </r>
      </text>
    </comment>
    <comment ref="O542" authorId="0" shapeId="0" xr:uid="{B92B0FC0-A91A-4F62-AE0B-3421A008F92C}">
      <text>
        <r>
          <rPr>
            <sz val="9"/>
            <color indexed="81"/>
            <rFont val="Tahoma"/>
            <family val="2"/>
          </rPr>
          <t>KATHERINE HARGRAVE_x000D_
http://yeinfo.com/family/I09010351.html_x000D_
https://www.google.com/search?q=KATHERINE+HARGRAVE+1561+1601+BUTCHER_x000D_
.born:c156104  -          London (Middlesex) England_x000D_
.died: 1601    -1651     ?England, age:39y 9m 0d, _x000D_
.bapt: 1785GE_x000D_
.will: 2004MO_x000D_
.obit: 1890OH_x000D_
.bury: 1850IL _x000D_
.wpbt: 1826PA_x000D_
.anc#:double ancestor_x000D_
citiz:foreign_x000D_
#spos:1_x000D_
#srcs:2_x000D_
#comment:1_x000D_
#events:1_x000D_
#kids:7_x000D_
lived:?ENSUSSECHICHES,ENMIDDLLONDON_x000D_
issue:_x000D_
.recs:Birth,Marriage,Death_x000D_
.imm?:no_x000D_
..Spo:RICHARD BUTCHER</t>
        </r>
      </text>
    </comment>
    <comment ref="J544" authorId="0" shapeId="0" xr:uid="{76123A26-16C9-45CF-8B59-B68EB7049EC5}">
      <text>
        <r>
          <rPr>
            <sz val="9"/>
            <color indexed="81"/>
            <rFont val="Tahoma"/>
            <family val="2"/>
          </rPr>
          <t>MARTHA FOWLER_x000D_
http://yeinfo.com/family/I09000323.html_x000D_
https://www.google.com/search?q=MARTHA+FOWLER+1704+1737+IRELAND_x000D_
.born: 1704    -         ?Westchester county New York_x000D_
.died: 1737    -1794     ?Westchester county New York, age:33y 0m 0d, _x000D_
.bapt: 1785GE_x000D_
.will: 2004MO_x000D_
.obit: 1890OH_x000D_
.bury: 1850IL _x000D_
.wpbt: 1826PA_x000D_
.anc#:double ancestor_x000D_
citiz:US born_x000D_
#spos:1_x000D_
#srcs:3_x000D_
#comment:1_x000D_
#events:3_x000D_
#kids:3_x000D_
lived:NYWESTCNORTH C_x000D_
issue:Born before Parents Married_x000D_
.recs:Birth,Marriage,Will Written,Death_x000D_
.imm?:no_x000D_
..Spo:ADAM IRELAND</t>
        </r>
      </text>
    </comment>
    <comment ref="P546" authorId="0" shapeId="0" xr:uid="{97DCCCF0-41DD-42E7-8491-B1487B2D9160}">
      <text>
        <r>
          <rPr>
            <sz val="9"/>
            <color indexed="81"/>
            <rFont val="Tahoma"/>
            <family val="2"/>
          </rPr>
          <t>ROBERT DRAKE_x000D_
http://yeinfo.com/family/I09020704.html_x000D_
https://www.google.com/search?q=ROBERT+DRAKE+1528+1600+ELIZABETH_x000D_
.born: 1528    -         ?Devon county England_x000D_
.died: 1600    -         ?England, age:72y 0m 0d, _x000D_
.bapt: 1785GE_x000D_
.will: 2004MO_x000D_
.obit: 1890OH_x000D_
.bury: 1850IL _x000D_
.wpbt: 1826PA_x000D_
.anc#:double ancestor_x000D_
citiz:foreign_x000D_
#spos:1_x000D_
#srcs:1_x000D_
#comment:0_x000D_
#events:1_x000D_
#kids:1_x000D_
lived:?ENDEVON_x000D_
issue:_x000D_
.recs:Birth,Marriage,Death_x000D_
.imm?:no_x000D_
..Spo:ELIZABETH PRIDEAUX</t>
        </r>
      </text>
    </comment>
    <comment ref="O548" authorId="0" shapeId="0" xr:uid="{BE597ED4-C8ED-4267-AD1D-49D1AEF4B6E4}">
      <text>
        <r>
          <rPr>
            <sz val="9"/>
            <color indexed="81"/>
            <rFont val="Tahoma"/>
            <family val="2"/>
          </rPr>
          <t>WILLIAM DRAKE_x000D_
http://yeinfo.com/family/I09010352.html_x000D_
https://www.google.com/search?q=WILLIAM+DRAKE+1564+1625+PHILLIPPA_x000D_
.born: 1564    -          Devon county England_x000D_
.died: 16250512-          Devon county England, age:61y 4m 11d, _x000D_
.bapt: 1785GE_x000D_
.will: 2004MO_x000D_
.obit: 1890OH_x000D_
.bury: 1850IL _x000D_
.wpbt: 1826PA_x000D_
.anc#:double ancestor_x000D_
citiz:foreign_x000D_
#spos:1_x000D_
#srcs:1_x000D_
#comment:0_x000D_
#events:1_x000D_
#kids:1_x000D_
lived:ENDEVON_x000D_
issue:_x000D_
.recs:Birth,Marriage,Death_x000D_
.imm?:no_x000D_
..Spo:PHILLIPPA DENNIS</t>
        </r>
      </text>
    </comment>
    <comment ref="P550" authorId="0" shapeId="0" xr:uid="{4BC34763-1943-490B-A6E9-1E530F1897B4}">
      <text>
        <r>
          <rPr>
            <sz val="9"/>
            <color indexed="81"/>
            <rFont val="Tahoma"/>
            <family val="2"/>
          </rPr>
          <t>ELIZABETH PRIDEAUX_x000D_
http://yeinfo.com/family/I09020705.html_x000D_
https://www.google.com/search?q=ELIZABETH+PRIDEAUX+1523+1572+DRAKE_x000D_
.born: 1523    -         ?England_x000D_
.died: 1572    -         ?England, age:49y 0m 0d, _x000D_
.bapt: 1785GE_x000D_
.will: 2004MO_x000D_
.obit: 1890OH_x000D_
.bury: 1850IL _x000D_
.wpbt: 1826PA_x000D_
.anc#:double ancestor_x000D_
citiz:foreign_x000D_
#spos:1_x000D_
#srcs:1_x000D_
#comment:0_x000D_
#events:1_x000D_
#kids:1_x000D_
lived:?ENDEVON_x000D_
issue:_x000D_
.recs:Birth,Marriage,Death_x000D_
.imm?:no_x000D_
..Spo:ROBERT DRAKE</t>
        </r>
      </text>
    </comment>
    <comment ref="N552" authorId="0" shapeId="0" xr:uid="{FBBE1F55-3667-408B-BECB-6B0FBAC71A39}">
      <text>
        <r>
          <rPr>
            <sz val="9"/>
            <color indexed="81"/>
            <rFont val="Tahoma"/>
            <family val="2"/>
          </rPr>
          <t>JOHN DRAKE Sr._x000D_
http://yeinfo.com/family/I09005176.html_x000D_
https://www.google.com/search?q=JOHN+DRAKE+1585+1659+ELIZABETH_x000D_
.born: 1585    -         ?England_x000D_
.died: 16590817-         ?Hartford county Connecticut, age:74y 7m 16d, _x000D_
.bapt: 1785GE_x000D_
.will: 2004MO_x000D_
.obit: 1890OH_x000D_
.bury: 1850IL Palisado Cemetery_x000D_
.wpbt: 1826PA_x000D_
.anc#:double ancestor_x000D_
citiz:immigrant_x000D_
#spos:1_x000D_
#srcs:1_x000D_
#comment:0_x000D_
#events:2_x000D_
#kids:1_x000D_
lived:?ENNORTA,CTHARTFWINDSOR_x000D_
issue:_x000D_
.recs:Birth,Marriage,Death,Interment/Burial_x000D_
.imm?:immigrant_x000D_
..Spo:ELIZABETH ROGERS</t>
        </r>
      </text>
    </comment>
    <comment ref="P554" authorId="0" shapeId="0" xr:uid="{4DF90771-6D45-4A54-B94F-15994601BF43}">
      <text>
        <r>
          <rPr>
            <sz val="9"/>
            <color indexed="81"/>
            <rFont val="Tahoma"/>
            <family val="2"/>
          </rPr>
          <t>ROBERT DENNIS_x000D_
http://yeinfo.com/family/I09020706.html_x000D_
https://www.google.com/search?q=ROBERT+DENNIS+1540+1592+{_?_}_x000D_
.born:?1540    -         ?England_x000D_
.died: 15920904-         ?Devon county England, age:52y 8m 3d, _x000D_
.bapt: 1785GE_x000D_
.will: 2004MO_x000D_
.obit: 1890OH_x000D_
.bury: 1850IL St.John the Baptist Churchyard_x000D_
.wpbt: 1826PA_x000D_
.anc#:double ancestor_x000D_
citiz:foreign_x000D_
#spos:1_x000D_
#srcs:1_x000D_
#comment:0_x000D_
#events:2_x000D_
#kids:1_x000D_
lived:?EN,ENDEVONHOLCBUR_x000D_
issue:_x000D_
.recs:Birth,Marriage,Death,Interment/Burial_x000D_
.imm?:no_x000D_
..Spo:{_?_} DENNIS</t>
        </r>
      </text>
    </comment>
    <comment ref="O556" authorId="0" shapeId="0" xr:uid="{6B3DB621-3D56-4948-AAE4-A7CF143D66A2}">
      <text>
        <r>
          <rPr>
            <sz val="9"/>
            <color indexed="81"/>
            <rFont val="Tahoma"/>
            <family val="2"/>
          </rPr>
          <t>PHILLIPPA DENNIS_x000D_
http://yeinfo.com/family/I09010353.html_x000D_
https://www.google.com/search?q=PHILLIPPA+DENNIS+1561+1655+DRAKE_x000D_
.born: 15610326-          Holcombe Burnell (Devon) England_x000D_
.died: 16551005-          Southleigh (Devon) England, age:94y 6m 9d, _x000D_
.bapt: 1785GE_x000D_
.will: 2004MO_x000D_
.obit: 1890OH_x000D_
.bury: 1850IL _x000D_
.wpbt: 1826PA_x000D_
.anc#:double ancestor_x000D_
citiz:foreign_x000D_
#spos:1_x000D_
#srcs:1_x000D_
#comment:0_x000D_
#events:1_x000D_
#kids:1_x000D_
lived:ENDEVONHOLCBUR,ENDEVONSOUTHLE_x000D_
issue:_x000D_
.recs:Birth,Marriage,Death_x000D_
.imm?:no_x000D_
..Spo:WILLIAM DRAKE</t>
        </r>
      </text>
    </comment>
    <comment ref="P558" authorId="0" shapeId="0" xr:uid="{AEF0E5AC-2F9A-4D47-9BE5-1A62ED72DF98}">
      <text>
        <r>
          <rPr>
            <sz val="9"/>
            <color indexed="81"/>
            <rFont val="Tahoma"/>
            <family val="2"/>
          </rPr>
          <t>Mrs. {_?_} DENNIS_x000D_
http://yeinfo.com/family/I09020707.html_x000D_
https://www.google.com/search?q={_?_}+DENNIS+1540+1561+DENNIS_x000D_
.born:?1540    -         ?England_x000D_
.died: 1561    -1630     ?Devon county England, age:21y 0m 0d, _x000D_
.bapt: 1785GE_x000D_
.will: 2004MO_x000D_
.obit: 1890OH_x000D_
.bury: 1850IL _x000D_
.wpbt: 1826PA_x000D_
.anc#:double ancestor_x000D_
citiz:foreign_x000D_
#spos:1_x000D_
#srcs:1_x000D_
#comment:0_x000D_
#events:1_x000D_
#kids:1_x000D_
lived:?ENDEVON_x000D_
issue:_x000D_
.recs:Birth,Marriage,Death_x000D_
.imm?:no_x000D_
..Spo:ROBERT DENNIS</t>
        </r>
      </text>
    </comment>
    <comment ref="M560" authorId="0" shapeId="0" xr:uid="{06E8D99E-2D5C-47F2-A555-6BE2E339CEAC}">
      <text>
        <r>
          <rPr>
            <sz val="9"/>
            <color indexed="81"/>
            <rFont val="Tahoma"/>
            <family val="2"/>
          </rPr>
          <t>SAMUEL DRAKE_x000D_
http://yeinfo.com/family/I09002588.html_x000D_
https://www.google.com/search?q=SAMUEL+DRAKE+1623+1686+ANNE_x000D_
.born: 1623    -          England_x000D_
.died: 16860510-          Eastchester (Westchester) New York, age:63y 4m 9d, _x000D_
.bapt: 1785GE_x000D_
.will: 2004MO_x000D_
.obit: 1890OH_x000D_
.bury: 1850IL _x000D_
.wpbt: 1826PA_x000D_
.anc#:double ancestor_x000D_
citiz:immigrant_x000D_
#spos:1_x000D_
#srcs:1_x000D_
#comment:0_x000D_
#events:1_x000D_
#kids:1_x000D_
lived:CTFAIRD,EN,NYWESTCEASTCHE_x000D_
issue:_x000D_
.recs:Birth,Marriage,Death_x000D_
.imm?:immigrant_x000D_
..Spo:ANNE BARLOW</t>
        </r>
      </text>
    </comment>
    <comment ref="N562" authorId="0" shapeId="0" xr:uid="{E8C3AC4B-BAC9-4E16-9891-F38BA9A9DBB7}">
      <text>
        <r>
          <rPr>
            <sz val="9"/>
            <color indexed="81"/>
            <rFont val="Tahoma"/>
            <family val="2"/>
          </rPr>
          <t>ELIZABETH ROGERS_x000D_
http://yeinfo.com/family/I09005177.html_x000D_
https://www.google.com/search?q=ELIZABETH+ROGERS+1600+1681+DRAKE_x000D_
.born: 1600    -          Watford (Northamptonshire) England_x000D_
.died: 16811007-         ?Hartford county Connecticut, age:81y 9m 6d, _x000D_
.bapt: 1785GE_x000D_
.will: 2004MO_x000D_
.obit: 1890OH_x000D_
.bury: 1850IL Palisado Cemetery_x000D_
.wpbt: 1826PA_x000D_
.anc#:double ancestor_x000D_
citiz:immigrant_x000D_
#spos:1_x000D_
#srcs:1_x000D_
#comment:0_x000D_
#events:2_x000D_
#kids:1_x000D_
lived:CTHARTFWINDSOR,ENNORTAWATFORD_x000D_
issue:_x000D_
.recs:Birth,Marriage,Death,Interment/Burial_x000D_
.imm?:immigrant_x000D_
..Spo:JOHN DRAKE</t>
        </r>
      </text>
    </comment>
    <comment ref="L564" authorId="0" shapeId="0" xr:uid="{101877DD-A4CB-4C29-9A6D-47A38FC8EE0E}">
      <text>
        <r>
          <rPr>
            <sz val="9"/>
            <color indexed="81"/>
            <rFont val="Tahoma"/>
            <family val="2"/>
          </rPr>
          <t>JOSEPH DRAKE_x000D_
http://yeinfo.com/family/I09001294.html_x000D_
https://www.google.com/search?q=JOSEPH+DRAKE+1663+1731+MARY+SARAH_x000D_
.born: 1663    -          Eastchester (Westchester) New York_x000D_
.died: 17310310-          Eastchester (Westchester) New York, age:68y 2m 9d, _x000D_
.bapt: 1785GE_x000D_
.will: 2004MO_x000D_
.obit: 1890OH_x000D_
.bury: 1850IL _x000D_
.wpbt: 1826PA_x000D_
.anc#:double ancestor_x000D_
citiz:US born_x000D_
#spos:1_x000D_
#srcs:1_x000D_
#comment:0_x000D_
#events:1_x000D_
#kids:1_x000D_
lived:NYWESTCEASTCHE_x000D_
issue:_x000D_
.recs:Birth,Marriage,Death_x000D_
.imm?:no_x000D_
..Spo:MARY SARAH SHUTE</t>
        </r>
      </text>
    </comment>
    <comment ref="S566" authorId="0" shapeId="0" xr:uid="{890A8860-E4B3-4136-9762-F265802AD0EB}">
      <text>
        <r>
          <rPr>
            <sz val="9"/>
            <color indexed="81"/>
            <rFont val="Tahoma"/>
            <family val="2"/>
          </rPr>
          <t>ALEXANDER BARLOW_x000D_
http://yeinfo.com/family/I09066778.html_x000D_
https://www.google.com/search?q=ALEXANDER+BARLOW+1414+1466+ELIZABETH_x000D_
.born: 1414    -          Lancashire county England_x000D_
.died: 1466    -          Lancashire county England, age:52y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..Spo:ELIZABETH ASHTON</t>
        </r>
      </text>
    </comment>
    <comment ref="R568" authorId="0" shapeId="0" xr:uid="{76615DE8-C5AC-48A8-B3AA-6EA5DDF1416B}">
      <text>
        <r>
          <rPr>
            <sz val="9"/>
            <color indexed="81"/>
            <rFont val="Tahoma"/>
            <family val="2"/>
          </rPr>
          <t>ROGER BARLOW_x000D_
http://yeinfo.com/family/I09066779.html_x000D_
https://www.google.com/search?q=ROGER+BARLOW+1461+1529+CATHERINE_x000D_
.born: 1461    -          Lancashire county England_x000D_
.died: 1529    -         ?England, age:68y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..Spo:CATHERINE PRESTWICH</t>
        </r>
      </text>
    </comment>
    <comment ref="S570" authorId="0" shapeId="0" xr:uid="{9BE03A31-F854-44A3-AF76-0BC538B5D89C}">
      <text>
        <r>
          <rPr>
            <sz val="9"/>
            <color indexed="81"/>
            <rFont val="Tahoma"/>
            <family val="2"/>
          </rPr>
          <t>ELIZABETH ASHTON_x000D_
http://yeinfo.com/family/I09066772.html_x000D_
https://www.google.com/search?q=ELIZABETH+ASHTON+1428+1465+BARLOW_x000D_
.born: 1428    -          Lancashire county England_x000D_
.died: 1465    -          Derbyshire county England, age:37y 0m 0d, _x000D_
.bapt: 1785GE_x000D_
.will: 2004MO_x000D_
.obit: 1890OH_x000D_
.bury: 1850IL _x000D_
.wpbt: 1826PA_x000D_
.anc#:double ancestor_x000D_
citiz:foreign_x000D_
#spos:1_x000D_
#srcs:1_x000D_
#comment:0_x000D_
#events:1_x000D_
#kids:1_x000D_
lived:ENDERBS,ENLANCS_x000D_
issue:_x000D_
.recs:Birth,Marriage,Death_x000D_
.imm?:no_x000D_
..Spo:ALEXANDER BARLOW</t>
        </r>
      </text>
    </comment>
    <comment ref="Q572" authorId="0" shapeId="0" xr:uid="{9592E783-B569-49A7-A9AF-929B0BE3D9F8}">
      <text>
        <r>
          <rPr>
            <sz val="9"/>
            <color indexed="81"/>
            <rFont val="Tahoma"/>
            <family val="2"/>
          </rPr>
          <t>ELLIS BARLOW_x000D_
http://yeinfo.com/family/I09041424.html_x000D_
https://www.google.com/search?q=ELLIS+BARLOW+1501+1521+ANNE_x000D_
.born:?1501    -         ?_x000D_
.died: 1521    -1586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issue:Died after Age 100,Spouse Age more than 30-Year Difference_x000D_
.recs:Birth,Marriage,Death_x000D_
.imm?:no_x000D_
..Spo:ANNE REDDISH</t>
        </r>
      </text>
    </comment>
    <comment ref="S574" authorId="0" shapeId="0" xr:uid="{A08B45C9-DF05-4C16-A99C-ABECAD2632DC}">
      <text>
        <r>
          <rPr>
            <sz val="9"/>
            <color indexed="81"/>
            <rFont val="Tahoma"/>
            <family val="2"/>
          </rPr>
          <t>ELLIS PRESTWICH_x000D_
http://yeinfo.com/family/I09066826.html_x000D_
https://www.google.com/search?q=ELLIS+PRESTWICH+1437+1501+ISABELLA_x000D_
.born: 1437    -          Lancashire county England_x000D_
.died: 15010410-          Lancashire county England, age:64y 3m 9d,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..Spo:ISABELLA TYLDESLEY</t>
        </r>
      </text>
    </comment>
    <comment ref="R576" authorId="0" shapeId="0" xr:uid="{B5F6145A-87D5-4DDC-86C2-FC24CF8A71C9}">
      <text>
        <r>
          <rPr>
            <sz val="9"/>
            <color indexed="81"/>
            <rFont val="Tahoma"/>
            <family val="2"/>
          </rPr>
          <t>CATHERINE PRESTWICH_x000D_
http://yeinfo.com/family/I09066827.html_x000D_
https://www.google.com/search?q=CATHERINE+PRESTWICH+1463+1525+BARLOW_x000D_
.born: 1463    -          Lancashire county England_x000D_
.died: 1525    -          Lancashire county England, age:62y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..Spo:ROGER BARLOW</t>
        </r>
      </text>
    </comment>
    <comment ref="U578" authorId="0" shapeId="0" xr:uid="{380A3CBF-EC70-4F26-B8BB-13E681312DF8}">
      <text>
        <r>
          <rPr>
            <sz val="9"/>
            <color indexed="81"/>
            <rFont val="Tahoma"/>
            <family val="2"/>
          </rPr>
          <t>HUGH TYLDESLEY_x000D_
http://yeinfo.com/family/I09066839.html_x000D_
https://www.google.com/search?q=HUGH+TYLDESLEY+1370+1434+CECILIA_x000D_
.born: 1370    -          Manchester (Lancashire) England_x000D_
.died: 1434    -          Lancashire county England, age:64y 0m 0d, _x000D_
.bapt: 1785GE_x000D_
.will: 2004MO_x000D_
.obit: 1890OH_x000D_
.bury: 1850IL _x000D_
.wpbt: 1826PA_x000D_
.anc#:double ancestor_x000D_
citiz:foreign_x000D_
#spos:1_x000D_
#srcs:1_x000D_
#comment:1_x000D_
#events:1_x000D_
#kids:1_x000D_
lived:ENLANCSMANCHES_x000D_
issue:_x000D_
.recs:Birth,Marriage,Death_x000D_
.imm?:no_x000D_
..Spo:CECILIA ASHTON</t>
        </r>
      </text>
    </comment>
    <comment ref="T580" authorId="0" shapeId="0" xr:uid="{2BAE4024-1CD0-43DD-AA4A-E2782ADE4F95}">
      <text>
        <r>
          <rPr>
            <sz val="9"/>
            <color indexed="81"/>
            <rFont val="Tahoma"/>
            <family val="2"/>
          </rPr>
          <t>THURSTON TYLDESLEY_x000D_
http://yeinfo.com/family/I09066840.html_x000D_
https://www.google.com/search?q=THURSTON+TYLDESLEY+1400+1441+MARY_x000D_
.born: 1400    -          Manchester (Lancashire) England_x000D_
.died: 1441    -1506      Manchester (Lancashire) England, age:41y 0m 0d, _x000D_
.bapt: 1785GE_x000D_
.will: 2004MO_x000D_
.obit: 1890OH_x000D_
.bury: 1850IL _x000D_
.wpbt: 1826PA_x000D_
.anc#:double ancestor_x000D_
citiz:foreign_x000D_
#spos:1_x000D_
#srcs:1_x000D_
#comment:0_x000D_
#events:1_x000D_
#kids:1_x000D_
lived:ENLANCSMANCHES_x000D_
issue:_x000D_
.recs:Birth,Marriage,Death_x000D_
.imm?:no_x000D_
..Spo:MARY SAVAGE</t>
        </r>
      </text>
    </comment>
    <comment ref="U582" authorId="0" shapeId="0" xr:uid="{A586B148-0B0E-4FA6-9551-41C5361245CA}">
      <text>
        <r>
          <rPr>
            <sz val="9"/>
            <color indexed="81"/>
            <rFont val="Tahoma"/>
            <family val="2"/>
          </rPr>
          <t>CECILIA ASHTON_x000D_
http://yeinfo.com/family/I09066771.html_x000D_
https://www.google.com/search?q=CECILIA+ASHTON+1372+1430+TYLDESLEY_x000D_
.born:?1372    -          Lancashire county England_x000D_
.died: 14300327-          Lancashire county England, age:58y 2m 26d, _x000D_
.bapt: 1785GE_x000D_
.will: 2004MO_x000D_
.obit: 1890OH_x000D_
.bury: 1850IL _x000D_
.wpbt: 1826PA_x000D_
.anc#:double ancestor_x000D_
citiz:foreign_x000D_
#spos:1_x000D_
#srcs:1_x000D_
#comment:1_x000D_
#events:1_x000D_
#kids:1_x000D_
lived:ENLANCS_x000D_
issue:_x000D_
.recs:Birth,Marriage,Death_x000D_
.imm?:no_x000D_
..Spo:HUGH TYLDESLEY</t>
        </r>
      </text>
    </comment>
    <comment ref="S584" authorId="0" shapeId="0" xr:uid="{1B12EEBB-48B3-40C2-BBE5-23AABB9A168B}">
      <text>
        <r>
          <rPr>
            <sz val="9"/>
            <color indexed="81"/>
            <rFont val="Tahoma"/>
            <family val="2"/>
          </rPr>
          <t>ISABELLA TYLDESLEY_x000D_
http://yeinfo.com/family/I09066841.html_x000D_
https://www.google.com/search?q=ISABELLA+TYLDESLEY+1441+1508+PRESTWICH_x000D_
.born: 1441    -          Lancashire county England_x000D_
.died: 1508    -          Lancashire county England, age:67y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..Spo:ELLIS PRESTWICH</t>
        </r>
      </text>
    </comment>
    <comment ref="T586" authorId="0" shapeId="0" xr:uid="{9AE076AA-C0D6-4713-BF07-9877646159E1}">
      <text>
        <r>
          <rPr>
            <sz val="9"/>
            <color indexed="81"/>
            <rFont val="Tahoma"/>
            <family val="2"/>
          </rPr>
          <t>MARY SAVAGE_x000D_
http://yeinfo.com/family/I09066831.html_x000D_
https://www.google.com/search?q=MARY+SAVAGE+1419+1460+TYLDESLEY_x000D_
.born: 1419    -          Manchester (Lancashire) England_x000D_
.died: 1460    -          Manchester (Lancashire) England, age:41y 0m 0d, _x000D_
.bapt: 1785GE_x000D_
.will: 2004MO_x000D_
.obit: 1890OH_x000D_
.bury: 1850IL _x000D_
.wpbt: 1826PA_x000D_
.anc#:double ancestor_x000D_
citiz:foreign_x000D_
#spos:1_x000D_
#srcs:1_x000D_
#comment:0_x000D_
#events:1_x000D_
#kids:1_x000D_
lived:ENLANCSMANCHES_x000D_
issue:_x000D_
.recs:Birth,Marriage,Death_x000D_
.imm?:no_x000D_
..Spo:THURSTON TYLDESLEY</t>
        </r>
      </text>
    </comment>
    <comment ref="P588" authorId="0" shapeId="0" xr:uid="{9EBBFA49-B7E5-4161-B3EE-579114F34F1B}">
      <text>
        <r>
          <rPr>
            <sz val="9"/>
            <color indexed="81"/>
            <rFont val="Tahoma"/>
            <family val="2"/>
          </rPr>
          <t>ALEXANDER BARLOW_x000D_
http://yeinfo.com/family/I09020712.html_x000D_
https://www.google.com/search?q=ALEXANDER+BARLOW+1506+1584+ELIZABETH_x000D_
.born: 1506    -          Lancashire county England_x000D_
.died: 15840826-          Lancashire county England, age:78y 7m 25d, _x000D_
.bapt: 1785GE_x000D_
.will: 2004MO_x000D_
.obit: 1890OH_x000D_
.bury: 1850IL _x000D_
.wpbt: 1826PA_x000D_
.anc#:double ancestor_x000D_
citiz:foreign_x000D_
#spos:1_x000D_
#srcs:1_x000D_
#comment:0_x000D_
#events:1_x000D_
#kids:1_x000D_
lived:ENLANCS_x000D_
issue:Born before Parents Married_x000D_
.recs:Birth,Marriage,Death_x000D_
.imm?:no_x000D_
..Spo:ELIZABETH LEIGH</t>
        </r>
      </text>
    </comment>
    <comment ref="R590" authorId="0" shapeId="0" xr:uid="{797B06BF-94F5-4821-A335-6077FE8B301B}">
      <text>
        <r>
          <rPr>
            <sz val="9"/>
            <color indexed="81"/>
            <rFont val="Tahoma"/>
            <family val="2"/>
          </rPr>
          <t>JOHN REDDISH_x000D_
http://yeinfo.com/family/I09066830.html_x000D_
https://www.google.com/search?q=JOHN+REDDISH+1477+1559+{_?_}_x000D_
.born: 1477    -          Lancashire county England_x000D_
.died: 15591217-          Lancashire county England, age:82y 11m 16d, _x000D_
.bapt: 1785GE_x000D_
.will: 2004MO_x000D_
.obit: 1890OH_x000D_
.bury: 1850IL _x000D_
.wpbt: 1826PA_x000D_
.anc#:double ancestor_x000D_
citiz:foreign_x000D_
#spos:1_x000D_
#srcs:1_x000D_
#comment:0_x000D_
#events:1_x000D_
#kids:1_x000D_
lived:ENLANCS_x000D_
issue:Died after Age 100_x000D_
.recs:Birth,Marriage,Death_x000D_
.imm?:no_x000D_
..Spo:{_?_} REDDISH</t>
        </r>
      </text>
    </comment>
    <comment ref="Q592" authorId="0" shapeId="0" xr:uid="{8871D629-6523-4FC8-8DC7-79D3501411C4}">
      <text>
        <r>
          <rPr>
            <sz val="9"/>
            <color indexed="81"/>
            <rFont val="Tahoma"/>
            <family val="2"/>
          </rPr>
          <t>ANNE REDDISH_x000D_
http://yeinfo.com/family/I09041425.html_x000D_
https://www.google.com/search?q=ANNE+REDDISH+1464+1521+BARLOW_x000D_
.born: 1464    -          Lancashire county England_x000D_
.died: 1521    -1586     ?England, age:57y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issue:Born before Parents Married,Spouse Age more than 30-Year Difference_x000D_
.recs:Birth,Marriage,Death_x000D_
.imm?:no_x000D_
..Spo:ELLIS BARLOW</t>
        </r>
      </text>
    </comment>
    <comment ref="R594" authorId="0" shapeId="0" xr:uid="{593429EA-87B9-42EB-BE73-A8C6BF838DD0}">
      <text>
        <r>
          <rPr>
            <sz val="9"/>
            <color indexed="81"/>
            <rFont val="Tahoma"/>
            <family val="2"/>
          </rPr>
          <t>Mrs. {_?_} REDDISH_x000D_
http://yeinfo.com/family/I09066829.html_x000D_
https://www.google.com/search?q={_?_}+REDDISH+1480+1479+REDDISH_x000D_
.born:?1480    -         ?Lancashire county England_x000D_
.died: 1479    -1544     ?Lancashire county England, age:0y 0m 0d, _x000D_
.bapt: 1785GE_x000D_
.will: 2004MO_x000D_
.obit: 1890OH_x000D_
.bury: 1850IL _x000D_
.wpbt: 1826PA_x000D_
.anc#:double ancestor_x000D_
citiz:foreign_x000D_
#spos:1_x000D_
#srcs:1_x000D_
#comment:0_x000D_
#events:1_x000D_
#kids:1_x000D_
lived:?ENLANCS_x000D_
issue:_x000D_
.recs:Birth,Marriage,Death_x000D_
.imm?:no_x000D_
..Spo:JOHN REDDISH</t>
        </r>
      </text>
    </comment>
    <comment ref="O596" authorId="0" shapeId="0" xr:uid="{92CED6EB-AE49-41CF-BCC0-1C4291889F35}">
      <text>
        <r>
          <rPr>
            <sz val="9"/>
            <color indexed="81"/>
            <rFont val="Tahoma"/>
            <family val="2"/>
          </rPr>
          <t>ALEXANDER BARLOW_x000D_
http://yeinfo.com/family/I09010356.html_x000D_
https://www.google.com/search?q=ALEXANDER+BARLOW+1557+1620+MARY_x000D_
.born: 15570628-          Lancashire county England_x000D_
.died: 16200420-          Manchester (Lancashire) England, age:62y 9m 23d, _x000D_
.bapt: 1785GE_x000D_
.will: 2004MO_x000D_
.obit: 1890OH_x000D_
.bury: 1850IL _x000D_
.wpbt: 1826PA_x000D_
.anc#:double ancestor_x000D_
citiz:foreign_x000D_
#spos:1_x000D_
#srcs:1_x000D_
#comment:0_x000D_
#events:1_x000D_
#kids:1_x000D_
lived:ENLANCSMANCHES,ENLANCSMIDDLET_x000D_
issue:_x000D_
.recs:Birth,Marriage,Death_x000D_
.imm?:no_x000D_
..Spo:MARY BRERETON</t>
        </r>
      </text>
    </comment>
    <comment ref="R598" authorId="0" shapeId="0" xr:uid="{C8D878BA-36D1-4B7F-A6CB-026B86ECC997}">
      <text>
        <r>
          <rPr>
            <sz val="9"/>
            <color indexed="81"/>
            <rFont val="Tahoma"/>
            <family val="2"/>
          </rPr>
          <t>THOMAS LEIGH_x000D_
http://yeinfo.com/family/I09066812.html_x000D_
https://www.google.com/search?q=THOMAS+LEIGH+1451+1499+DULCIA_x000D_
.born: 1451    -          Cheshire county England_x000D_
.died: 1499    -1564     ?Lancashire county England, age:48y 0m 0d, _x000D_
.bapt: 1785GE_x000D_
.will: 2004MO_x000D_
.obit: 1890OH_x000D_
.bury: 1850IL _x000D_
.wpbt: 1826PA_x000D_
.anc#:double ancestor_x000D_
citiz:foreign_x000D_
#spos:1_x000D_
#srcs:1_x000D_
#comment:0_x000D_
#events:1_x000D_
#kids:1_x000D_
lived:?ENLANCS,ENCHESH_x000D_
issue:_x000D_
.recs:Birth,Marriage,Death_x000D_
.imm?:no_x000D_
..Spo:DULCIA BOOTH</t>
        </r>
      </text>
    </comment>
    <comment ref="Q600" authorId="0" shapeId="0" xr:uid="{D1234532-54BB-4A49-9F4E-4EC08B30CC6F}">
      <text>
        <r>
          <rPr>
            <sz val="9"/>
            <color indexed="81"/>
            <rFont val="Tahoma"/>
            <family val="2"/>
          </rPr>
          <t>GEORGE LEIGH_x000D_
http://yeinfo.com/family/I09041426.html_x000D_
https://www.google.com/search?q=GEORGE+LEIGH+1499+1530+{_?_}_x000D_
.born:?1499    -          Cheshire county England_x000D_
.died: 1530    -1595     ?England, age:31y 0m 0d, _x000D_
.bapt: 1785GE_x000D_
.will: 2004MO_x000D_
.obit: 1890OH_x000D_
.bury: 1850IL _x000D_
.wpbt: 1826PA_x000D_
.anc#:double ancestor_x000D_
citiz:foreign_x000D_
#spos:1_x000D_
#srcs:1_x000D_
#comment:0_x000D_
#events:1_x000D_
#kids:1_x000D_
lived:ENCHESH_x000D_
issue:_x000D_
.recs:Birth,Marriage,Death_x000D_
.imm?:no_x000D_
..Spo:{_?_} LEIGH</t>
        </r>
      </text>
    </comment>
    <comment ref="R602" authorId="0" shapeId="0" xr:uid="{A73DCF12-450C-439C-A5BC-33204ABA675B}">
      <text>
        <r>
          <rPr>
            <sz val="9"/>
            <color indexed="81"/>
            <rFont val="Tahoma"/>
            <family val="2"/>
          </rPr>
          <t>DULCIA BOOTH_x000D_
http://yeinfo.com/family/I09066781.html_x000D_
https://www.google.com/search?q=DULCIA+BOOTH+1460+1499+LEIGH_x000D_
.born:?1460    -          Cheshire county England_x000D_
.died: 1499    -1564     ?Lancashire county England, age:39y 0m 0d, _x000D_
.bapt: 1785GE_x000D_
.will: 2004MO_x000D_
.obit: 1890OH_x000D_
.bury: 1850IL _x000D_
.wpbt: 1826PA_x000D_
.anc#:double ancestor_x000D_
citiz:foreign_x000D_
#spos:1_x000D_
#srcs:1_x000D_
#comment:1_x000D_
#events:1_x000D_
#kids:1_x000D_
lived:?ENLANCS,ENCHESH_x000D_
issue:_x000D_
.recs:Birth,Marriage,Death_x000D_
.imm?:no_x000D_
..Spo:THOMAS LEIGH</t>
        </r>
      </text>
    </comment>
    <comment ref="P604" authorId="0" shapeId="0" xr:uid="{6333DE98-2D5C-4216-8BF8-A603F8D3BEBF}">
      <text>
        <r>
          <rPr>
            <sz val="9"/>
            <color indexed="81"/>
            <rFont val="Tahoma"/>
            <family val="2"/>
          </rPr>
          <t>ELIZABETH LEIGH_x000D_
http://yeinfo.com/family/I09020713.html_x000D_
https://www.google.com/search?q=ELIZABETH+LEIGH+1530+1563+BARLOW_x000D_
.born: 1530    -          Cheshire county England_x000D_
.died: 15631226-         ?England, age:33y 11m 25d, _x000D_
.bapt: 1785GE_x000D_
.will: 2004MO_x000D_
.obit: 1890OH_x000D_
.bury: 1850IL _x000D_
.wpbt: 1826PA_x000D_
.anc#:double ancestor_x000D_
citiz:foreign_x000D_
#spos:1_x000D_
#srcs:1_x000D_
#comment:0_x000D_
#events:1_x000D_
#kids:1_x000D_
lived:ENCHESH,ENLANCS_x000D_
issue:_x000D_
.recs:Birth,Marriage,Death_x000D_
.imm?:no_x000D_
..Spo:ALEXANDER BARLOW</t>
        </r>
      </text>
    </comment>
    <comment ref="Q606" authorId="0" shapeId="0" xr:uid="{F192FB61-EE95-454B-B0EC-67185580C2F4}">
      <text>
        <r>
          <rPr>
            <sz val="9"/>
            <color indexed="81"/>
            <rFont val="Tahoma"/>
            <family val="2"/>
          </rPr>
          <t>Mrs. {_?_} LEIGH_x000D_
http://yeinfo.com/family/I09041427.html_x000D_
https://www.google.com/search?q={_?_}+LEIGH+1484+1530+LEIGH_x000D_
.born: 1484    -         ?England_x000D_
.died: 1530    -1595     ?England, age:46y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..Spo:GEORGE LEIGH</t>
        </r>
      </text>
    </comment>
    <comment ref="N608" authorId="0" shapeId="0" xr:uid="{777F77D2-0B62-4D40-A409-7CBEAE3C3607}">
      <text>
        <r>
          <rPr>
            <sz val="9"/>
            <color indexed="81"/>
            <rFont val="Tahoma"/>
            <family val="2"/>
          </rPr>
          <t>JOHN BARLOW Jr._x000D_
http://yeinfo.com/family/I09005178.html_x000D_
https://www.google.com/search?q=JOHN+BARLOW+1594+1674+ANN+BARLOW_x000D_
.born:c1594    -          Manchester (Lancashire) England_x000D_
.died: 16740328-          Fairfield (Fairfield) Connecticut, age:80y 2m 27d, _x000D_
.bapt: 1785GE_x000D_
.will: 2004MO_x000D_
.obit: 1890OH_x000D_
.bury: 1850IL _x000D_
.wpbt: 1826PA_x000D_
.anc#:double ancestor_x000D_
citiz:immigrant_x000D_
#spos:2_x000D_
#srcs:1_x000D_
#comment:0_x000D_
#events:2_x000D_
#kids:1_x000D_
lived:CTFAIRDFAIRFIE,ENLANCSMANCHES_x000D_
issue:_x000D_
.recs:Birth,Marriage,Death_x000D_
.imm?:immigrant_x000D_
..Spo:ANN WARD</t>
        </r>
      </text>
    </comment>
    <comment ref="P610" authorId="0" shapeId="0" xr:uid="{17098D3F-11FA-4304-95A3-1E8BCB3326A0}">
      <text>
        <r>
          <rPr>
            <sz val="9"/>
            <color indexed="81"/>
            <rFont val="Tahoma"/>
            <family val="2"/>
          </rPr>
          <t>URIAN BRERETON_x000D_
http://yeinfo.com/family/I09020714.html_x000D_
https://www.google.com/search?q=URIAN+BRERETON+1522+1577+ALICE_x000D_
.born:?1522    -          Cheshire county England_x000D_
.died: 15770319-          Lancashire county England, age:55y 2m 18d, _x000D_
.bapt: 1785GE_x000D_
.will: 2004MO_x000D_
.obit: 1890OH_x000D_
.bury: 1850IL _x000D_
.wpbt: 1826PA_x000D_
.anc#:double ancestor_x000D_
citiz:foreign_x000D_
#spos:1_x000D_
#srcs:1_x000D_
#comment:0_x000D_
#events:1_x000D_
#kids:1_x000D_
lived:?ENLANCS,ENCHESH_x000D_
issue:_x000D_
.recs:Birth,Marriage,Death_x000D_
.imm?:no_x000D_
..Spo:ALICE TRAFFORD</t>
        </r>
      </text>
    </comment>
    <comment ref="O612" authorId="0" shapeId="0" xr:uid="{D9A91CC1-F844-4449-831E-16C88EA63385}">
      <text>
        <r>
          <rPr>
            <sz val="9"/>
            <color indexed="81"/>
            <rFont val="Tahoma"/>
            <family val="2"/>
          </rPr>
          <t>MARY BRERETON_x000D_
http://yeinfo.com/family/I09010357.html_x000D_
https://www.google.com/search?q=MARY+BRERETON+1552+1627+BARLOW_x000D_
.born: 15521204-          Cheshire county England_x000D_
.died: 16270710-          Chester (Cheshire) England, age:74y 7m 6d, _x000D_
.bapt: 1785GE_x000D_
.will: 2004MO_x000D_
.obit: 1890OH_x000D_
.bury: 1850IL _x000D_
.wpbt: 1826PA_x000D_
.anc#:double ancestor_x000D_
citiz:foreign_x000D_
#spos:1_x000D_
#srcs:1_x000D_
#comment:0_x000D_
#events:1_x000D_
#kids:1_x000D_
lived:ENCHESHCHESTER,ENLANCSMIDDLET_x000D_
issue:Born before Parents Married_x000D_
.recs:Birth,Marriage,Death_x000D_
.imm?:no_x000D_
..Spo:ALEXANDER BARLOW</t>
        </r>
      </text>
    </comment>
    <comment ref="Y614" authorId="0" shapeId="0" xr:uid="{A8E58633-2DA9-4694-A9FF-6C0C05BD1E19}">
      <text>
        <r>
          <rPr>
            <sz val="9"/>
            <color indexed="81"/>
            <rFont val="Tahoma"/>
            <family val="2"/>
          </rPr>
          <t>HENRY TRAFFORD_x000D_
http://yeinfo.com/family/I09066981.html_x000D_
https://www.google.com/search?q=HENRY+TRAFFORD+1225+1264+MARGARET_x000D_
.born:?1225    -          Lancashire county England_x000D_
.died:?1264    -1310      Lancashire county England, age:39y 0m 0d, _x000D_
.bapt: 1785GE_x000D_
.will: 2004MO_x000D_
.obit: 1890OH_x000D_
.bury: 1850IL _x000D_
.wpbt: 1826PA_x000D_
.anc#:  nontuple ancestor_x000D_
citiz:foreign_x000D_
#spos:1_x000D_
#srcs:1_x000D_
#comment:1_x000D_
#events:1_x000D_
#kids:1_x000D_
lived:ENLANCS_x000D_
issue:_x000D_
.recs:Birth,Marriage,Death_x000D_
.imm?:no_x000D_
..Spo:MARGARET TRAFFORD</t>
        </r>
      </text>
    </comment>
    <comment ref="X616" authorId="0" shapeId="0" xr:uid="{B276B902-1FD9-4961-AD0C-932B164EFE95}">
      <text>
        <r>
          <rPr>
            <sz val="9"/>
            <color indexed="81"/>
            <rFont val="Tahoma"/>
            <family val="2"/>
          </rPr>
          <t>JOHN TRAFFORD_x000D_
http://yeinfo.com/family/I09066434.html_x000D_
https://www.google.com/search?q=JOHN+TRAFFORD+1264+1340+ELIZABETH_x000D_
.born: 1264    -          Lancashire county England_x000D_
.died: 1340    -1350      Lancashire county England, age:76y 0m 0d, _x000D_
.bapt: 1785GE_x000D_
.will: 2004MO_x000D_
.obit: 1890OH_x000D_
.bury: 1850IL _x000D_
.wpbt: 1826PA_x000D_
.anc#:  nontuple ancestor_x000D_
citiz:foreign_x000D_
#spos:1_x000D_
#srcs:7_x000D_
#comment:1_x000D_
#events:1_x000D_
#kids:2_x000D_
lived:ENLANCS_x000D_
issue:_x000D_
.recs:Birth,Marriage,Death_x000D_
.imm?:no_x000D_
..Spo:ELIZABETH ASHTON</t>
        </r>
      </text>
    </comment>
    <comment ref="Y618" authorId="0" shapeId="0" xr:uid="{098ED8B5-C534-41BD-83B9-A99FB1702F3D}">
      <text>
        <r>
          <rPr>
            <sz val="9"/>
            <color indexed="81"/>
            <rFont val="Tahoma"/>
            <family val="2"/>
          </rPr>
          <t>Mrs. MARGARET TRAFFORD_x000D_
http://yeinfo.com/family/I09066980.html_x000D_
https://www.google.com/search?q=MARGARET+TRAFFORD+1236+1334+TRAFFORD_x000D_
.born: 1236    -          Lancashire county England_x000D_
.died: 1334    -          Lancashire county England, age:98y 0m 0d, _x000D_
.bapt: 1785GE_x000D_
.will: 2004MO_x000D_
.obit: 1890OH_x000D_
.bury: 1850IL _x000D_
.wpbt: 1826PA_x000D_
.anc#:  nontuple ancestor_x000D_
citiz:foreign_x000D_
#spos:1_x000D_
#srcs:1_x000D_
#comment:0_x000D_
#events:1_x000D_
#kids:1_x000D_
lived:ENLANCS_x000D_
issue:_x000D_
.recs:Birth,Marriage,Death_x000D_
.imm?:no_x000D_
..Spo:HENRY TRAFFORD</t>
        </r>
      </text>
    </comment>
    <comment ref="W620" authorId="0" shapeId="0" xr:uid="{7B289218-EAC3-4304-84D0-3D04ABECA795}">
      <text>
        <r>
          <rPr>
            <sz val="9"/>
            <color indexed="81"/>
            <rFont val="Tahoma"/>
            <family val="2"/>
          </rPr>
          <t>HENRY TRAFFORD_x000D_
http://yeinfo.com/family/I09066317.html_x000D_
https://www.google.com/search?q=HENRY+TRAFFORD+1292+1370+AGNES_x000D_
.born: 1292    -          Lancashire county England_x000D_
.died: 1370    -          Lancashire county England, age:78y 0m 0d, _x000D_
.bapt: 1785GE_x000D_
.will: 2004MO_x000D_
.obit: 1890OH_x000D_
.bury: 1850IL _x000D_
.wpbt: 1826PA_x000D_
.anc#:  nontuple ancestor_x000D_
citiz:foreign_x000D_
#spos:1_x000D_
#srcs:1_x000D_
#comment:0_x000D_
#events:1_x000D_
#kids:3_x000D_
lived:ENLANCS_x000D_
issue:_x000D_
.recs:Birth,Marriage,Death_x000D_
.imm?:no_x000D_
..Spo:AGNES DOTERINDE</t>
        </r>
      </text>
    </comment>
    <comment ref="X622" authorId="0" shapeId="0" xr:uid="{91F5F72A-4CE3-4F63-8202-FC87D7726D46}">
      <text>
        <r>
          <rPr>
            <sz val="9"/>
            <color indexed="81"/>
            <rFont val="Tahoma"/>
            <family val="2"/>
          </rPr>
          <t>ELIZABETH ASHTON_x000D_
http://yeinfo.com/family/I09066433.html_x000D_
https://www.google.com/search?q=ELIZABETH+ASHTON+1268+1340+TRAFFORD_x000D_
.born: 1268    -          Lancashire county England_x000D_
.died: 1340    -1350      Lancashire county England, age:72y 0m 0d, _x000D_
.bapt: 1785GE_x000D_
.will: 2004MO_x000D_
.obit: 1890OH_x000D_
.bury: 1850IL _x000D_
.wpbt: 1826PA_x000D_
.anc#:  nontuple ancestor_x000D_
citiz:foreign_x000D_
#spos:1_x000D_
#srcs:1_x000D_
#comment:1_x000D_
#events:1_x000D_
#kids:2_x000D_
lived:ENLANCS_x000D_
issue:_x000D_
.recs:Birth,Marriage,Death_x000D_
.imm?:no_x000D_
..Spo:JOHN TRAFFORD</t>
        </r>
      </text>
    </comment>
    <comment ref="V624" authorId="0" shapeId="0" xr:uid="{97197FC7-AA57-4DBD-8E4A-C595ED5F028F}">
      <text>
        <r>
          <rPr>
            <sz val="9"/>
            <color indexed="81"/>
            <rFont val="Tahoma"/>
            <family val="2"/>
          </rPr>
          <t>HENRY TRAFFORD_x000D_
http://yeinfo.com/family/I09066982.html_x000D_
https://www.google.com/search?q=HENRY+TRAFFORD+1335+1386+MARGARET_x000D_
.born:?1335    -         ?Lancashire county England_x000D_
.died: 1386    -          Lancashire county England, age:51y 0m 0d, _x000D_
.bapt: 1785GE_x000D_
.will: 2004MO_x000D_
.obit: 1890OH_x000D_
.bury: 1850IL _x000D_
.wpbt: 1826PA_x000D_
.anc#:  sextuple ancestor_x000D_
citiz:foreign_x000D_
#spos:1_x000D_
#srcs:8_x000D_
#comment:0_x000D_
#events:1_x000D_
#kids:3_x000D_
lived:?ENLANCS,ENCHESH_x000D_
issue:Died after Age 100_x000D_
.recs:Birth,Marriage,Death_x000D_
.imm?:no_x000D_
..Spo:MARGARET INCE</t>
        </r>
      </text>
    </comment>
    <comment ref="X626" authorId="0" shapeId="0" xr:uid="{C22A0E3D-3D51-4131-B687-35A72280BCC1}">
      <text>
        <r>
          <rPr>
            <sz val="9"/>
            <color indexed="81"/>
            <rFont val="Tahoma"/>
            <family val="2"/>
          </rPr>
          <t>RICHARD DOTERINDE_x000D_
http://yeinfo.com/family/I09066492.html_x000D_
https://www.google.com/search?q=RICHARD+DOTERINDE+1280+1345+{_?_}_x000D_
.born:?1280    -          Norfolk county England_x000D_
.died: 1345    -         ?England, age:65y 0m 0d, _x000D_
.bapt: 1785GE_x000D_
.will: 2004MO_x000D_
.obit: 1890OH_x000D_
.bury: 1850IL _x000D_
.wpbt: 1826PA_x000D_
.anc#:  nontuple ancestor_x000D_
citiz:foreign_x000D_
#spos:1_x000D_
#srcs:1_x000D_
#comment:0_x000D_
#events:1_x000D_
#kids:1_x000D_
lived:ENNORFO_x000D_
issue:_x000D_
.recs:Birth,Marriage,Death_x000D_
.imm?:no_x000D_
..Spo:{_?_} DOTERINDE</t>
        </r>
      </text>
    </comment>
    <comment ref="W628" authorId="0" shapeId="0" xr:uid="{FC440188-5340-411E-B739-3C048A10FF69}">
      <text>
        <r>
          <rPr>
            <sz val="9"/>
            <color indexed="81"/>
            <rFont val="Tahoma"/>
            <family val="2"/>
          </rPr>
          <t>AGNES DOTERINDE_x000D_
http://yeinfo.com/family/I09066318.html_x000D_
https://www.google.com/search?q=AGNES+DOTERINDE+1302+1360+TRAFFORD_x000D_
.born: 1302    -          Birch (Lancashire) England_x000D_
.died: 1360    -          Lancashire county England, age:58y 0m 0d, _x000D_
.bapt: 1785GE_x000D_
.will: 2004MO_x000D_
.obit: 1890OH_x000D_
.bury: 1850IL _x000D_
.wpbt: 1826PA_x000D_
.anc#:  nontuple ancestor_x000D_
citiz:foreign_x000D_
#spos:1_x000D_
#srcs:1_x000D_
#comment:0_x000D_
#events:1_x000D_
#kids:3_x000D_
lived:ENLANCSBIRCH_x000D_
issue:_x000D_
.recs:Birth,Marriage,Death_x000D_
.imm?:no_x000D_
..Spo:HENRY TRAFFORD</t>
        </r>
      </text>
    </comment>
    <comment ref="X630" authorId="0" shapeId="0" xr:uid="{10E25EB0-6D7B-4F04-92CF-E10133F4E9B8}">
      <text>
        <r>
          <rPr>
            <sz val="9"/>
            <color indexed="81"/>
            <rFont val="Tahoma"/>
            <family val="2"/>
          </rPr>
          <t>Mrs. {_?_} DOTERINDE_x000D_
http://yeinfo.com/family/I09066493.html_x000D_
https://www.google.com/search?q={_?_}+DOTERINDE+1280+1302+DOTERINDE_x000D_
.born:?1280    -         ?England_x000D_
.died: 1302    -1370     ?England, age:22y 0m 0d, _x000D_
.bapt: 1785GE_x000D_
.will: 2004MO_x000D_
.obit: 1890OH_x000D_
.bury: 1850IL _x000D_
.wpbt: 1826PA_x000D_
.anc#:  nontuple ancestor_x000D_
citiz:foreign_x000D_
#spos:1_x000D_
#srcs:1_x000D_
#comment:0_x000D_
#events:1_x000D_
#kids:1_x000D_
lived:?EN_x000D_
issue:_x000D_
.recs:Birth,Marriage,Death_x000D_
.imm?:no_x000D_
..Spo:RICHARD DOTERINDE</t>
        </r>
      </text>
    </comment>
    <comment ref="U632" authorId="0" shapeId="0" xr:uid="{CD93879C-647D-4EF1-A2A7-0EF466E6E45B}">
      <text>
        <r>
          <rPr>
            <sz val="9"/>
            <color indexed="81"/>
            <rFont val="Tahoma"/>
            <family val="2"/>
          </rPr>
          <t>HENRY TRAFFORD_x000D_
http://yeinfo.com/family/I09066984.html_x000D_
https://www.google.com/search?q=HENRY+TRAFFORD+1362+1418+ELIZABETH_x000D_
.born:?1362    -          Lancashire county England_x000D_
.died:?1418    -         ?Lancashire county England, age:56y 0m 0d, _x000D_
.bapt: 1785GE_x000D_
.will: 2004MO_x000D_
.obit: 1890OH_x000D_
.bury: 1850IL _x000D_
.wpbt: 1826PA_x000D_
.anc#:double ancestor_x000D_
citiz:foreign_x000D_
#spos:1_x000D_
#srcs:12_x000D_
#comment:0_x000D_
#events:1_x000D_
#kids:1_x000D_
lived:ENLANCS_x000D_
issue:_x000D_
.recs:Birth,Marriage,Death_x000D_
.imm?:no_x000D_
..Spo:ELIZABETH RADCLIFFE</t>
        </r>
      </text>
    </comment>
    <comment ref="Y634" authorId="0" shapeId="0" xr:uid="{EF70C6FD-DA46-49EA-9B31-3D501AD43141}">
      <text>
        <r>
          <rPr>
            <sz val="9"/>
            <color indexed="81"/>
            <rFont val="Tahoma"/>
            <family val="2"/>
          </rPr>
          <t>ALFREDUS INCE I_x000D_
http://yeinfo.com/family/I09066930.html_x000D_
https://www.google.com/search?q=ALFREDUS+INCE+1265+1290+ALICE\ALESIA_x000D_
.born:?1265    -          Ince (Lancashire) England_x000D_
.died:?1290    -1350      Wigan (Lancashire) England, age:25y 0m 0d, _x000D_
.bapt: 1785GE_x000D_
.will: 2004MO_x000D_
.obit: 1890OH_x000D_
.bury: 1850IL _x000D_
.wpbt: 1826PA_x000D_
.anc#:  sextuple ancestor_x000D_
citiz:foreign_x000D_
#spos:1_x000D_
#srcs:3_x000D_
#comment:1_x000D_
#events:1_x000D_
#kids:1_x000D_
lived:ENLANCSINCE,ENLANCSWIGAN_x000D_
issue:_x000D_
.recs:Birth,Marriage,Death_x000D_
.imm?:no_x000D_
..Spo:ALICE\ALESIA STANDISH</t>
        </r>
      </text>
    </comment>
    <comment ref="X636" authorId="0" shapeId="0" xr:uid="{E99EE762-5235-4F1D-8E8E-434023D084EC}">
      <text>
        <r>
          <rPr>
            <sz val="9"/>
            <color indexed="81"/>
            <rFont val="Tahoma"/>
            <family val="2"/>
          </rPr>
          <t>RICHARD INCE I_x000D_
http://yeinfo.com/family/I09066931.html_x000D_
https://www.google.com/search?q=RICHARD+INCE+1290+1333+ELIZABETH_x000D_
.born:?1290    -          Wigan (Lancashire) England_x000D_
.died: 1333    -1375      Wigan (Lancashire) England, age:43y 0m 0d, _x000D_
.bapt: 1785GE_x000D_
.will: 2004MO_x000D_
.obit: 1890OH_x000D_
.bury: 1850IL _x000D_
.wpbt: 1826PA_x000D_
.anc#:  sextuple ancestor_x000D_
citiz:foreign_x000D_
#spos:1_x000D_
#srcs:6_x000D_
#comment:0_x000D_
#events:1_x000D_
#kids:1_x000D_
lived:ENLANCSWIGAN_x000D_
issue:Died after Age 100_x000D_
.recs:Birth,Marriage,Death_x000D_
.imm?:no_x000D_
..Spo:ELIZABETH RADCLIFFE</t>
        </r>
      </text>
    </comment>
    <comment ref="Y638" authorId="0" shapeId="0" xr:uid="{3F358CC3-D71B-4781-9C80-CB061167947A}">
      <text>
        <r>
          <rPr>
            <sz val="9"/>
            <color indexed="81"/>
            <rFont val="Tahoma"/>
            <family val="2"/>
          </rPr>
          <t>ALICE\ALESIA STANDISH_x000D_
http://yeinfo.com/family/I09066976.html_x000D_
https://www.google.com/search?q=ALICE\ALESIA+STANDISH+1262+1290+INCE_x000D_
.born:?1262    -          Standish (Lancashire) England_x000D_
.died: 1290    -1350     ?Lancashire county England, age:28y 0m 0d, _x000D_
.bapt: 1785GE_x000D_
.will: 2004MO_x000D_
.obit: 1890OH_x000D_
.bury: 1850IL _x000D_
.wpbt: 1826PA_x000D_
.anc#:  sextuple ancestor_x000D_
citiz:foreign_x000D_
#spos:1_x000D_
#srcs:4_x000D_
#comment:0_x000D_
#events:1_x000D_
#kids:1_x000D_
lived:ENLANCSSTANDIS_x000D_
issue:_x000D_
.recs:Birth,Marriage,Death_x000D_
.imm?:no_x000D_
..Spo:ALFREDUS INCE</t>
        </r>
      </text>
    </comment>
    <comment ref="W640" authorId="0" shapeId="0" xr:uid="{9A694AD2-7D77-4DEA-AA36-6799281FB291}">
      <text>
        <r>
          <rPr>
            <sz val="9"/>
            <color indexed="81"/>
            <rFont val="Tahoma"/>
            <family val="2"/>
          </rPr>
          <t>ROBERT INCE_x000D_
http://yeinfo.com/family/I09066933.html_x000D_
https://www.google.com/search?q=ROBERT+INCE+1304+1335+{_?_}_x000D_
.born: 1304    -          Lancashire county England_x000D_
.died: 1335    -1390     ?Lancashire county England, age:31y 0m 0d, _x000D_
.bapt: 1785GE_x000D_
.will: 2004MO_x000D_
.obit: 1890OH_x000D_
.bury: 1850IL _x000D_
.wpbt: 1826PA_x000D_
.anc#:  sextuple ancestor_x000D_
citiz:foreign_x000D_
#spos:1_x000D_
#srcs:6_x000D_
#comment:0_x000D_
#events:1_x000D_
#kids:1_x000D_
lived:ENLANCS_x000D_
issue:Born before Parents Married_x000D_
.recs:Birth,Marriage,Death_x000D_
.imm?:no_x000D_
..Spo:{_?_} INCE</t>
        </r>
      </text>
    </comment>
    <comment ref="AA642" authorId="0" shapeId="0" xr:uid="{AE9AAA75-B0EA-4DD6-82C5-EC0291468EE1}">
      <text>
        <r>
          <rPr>
            <sz val="9"/>
            <color indexed="81"/>
            <rFont val="Tahoma"/>
            <family val="2"/>
          </rPr>
          <t>ROBERT RADCLIFFE_x000D_
http://yeinfo.com/family/I09066959.html_x000D_
https://www.google.com/search?q=ROBERT+RADCLIFFE+1208+1239+AMBIL\AMABIL_x000D_
.born:?1208    -          Lancashire county England_x000D_
.died: 1239    -1290     ?Lancashire county England, age:31y 0m 0d, _x000D_
.bapt: 1785GE_x000D_
.will: 2004MO_x000D_
.obit: 1890OH_x000D_
.bury: 1850IL _x000D_
.wpbt: 1826PA_x000D_
.anc#: decuple ancestor_x000D_
citiz:foreign_x000D_
#spos:1_x000D_
#srcs:3_x000D_
#comment:1_x000D_
#events:1_x000D_
#kids:1_x000D_
lived:ENLANCS_x000D_
issue:Died after Age 100_x000D_
.recs:Birth,Marriage,Death_x000D_
.imm?:no_x000D_
..Spo:AMBIL\AMABIL TRAFFORD</t>
        </r>
      </text>
    </comment>
    <comment ref="Z644" authorId="0" shapeId="0" xr:uid="{2A4A50E6-F60D-42C9-9227-E7F30B02AC58}">
      <text>
        <r>
          <rPr>
            <sz val="9"/>
            <color indexed="81"/>
            <rFont val="Tahoma"/>
            <family val="2"/>
          </rPr>
          <t>RICHARD RADCLIFFE_x000D_
http://yeinfo.com/family/I09066960.html_x000D_
https://www.google.com/search?q=RICHARD+RADCLIFFE+1224+1326+JOAN\MARGARET_x000D_
.born: 1224    -          Lancashire county England_x000D_
.died: 1326    -          Lancashire county England, age:102y 0m 0d, _x000D_
.bapt: 1785GE_x000D_
.will: 2004MO_x000D_
.obit: 1890OH_x000D_
.bury: 1850IL _x000D_
.wpbt: 1826PA_x000D_
.anc#: decuple ancestor_x000D_
citiz:foreign_x000D_
#spos:1_x000D_
#srcs:3_x000D_
#comment:0_x000D_
#events:1_x000D_
#kids:2_x000D_
lived:ENLANCS_x000D_
issue:Married after Age 60_x000D_
.recs:Birth,Marriage,Death_x000D_
.imm?:no_x000D_
..Spo:JOAN\MARGARET BOTELER</t>
        </r>
      </text>
    </comment>
    <comment ref="AA646" authorId="0" shapeId="0" xr:uid="{8A8605F3-4867-4E05-B114-F0DA76594A89}">
      <text>
        <r>
          <rPr>
            <sz val="9"/>
            <color indexed="81"/>
            <rFont val="Tahoma"/>
            <family val="2"/>
          </rPr>
          <t>AMBIL\AMABIL TRAFFORD_x000D_
http://yeinfo.com/family/I09066988.html_x000D_
https://www.google.com/search?q=AMBIL\AMABIL+TRAFFORD+1222+1239+RADCLIFFE_x000D_
.born:?1222    -          Lancashire county England_x000D_
.died: 1239    -1304     ?Lancashire county England, age:17y 0m 0d, _x000D_
.bapt: 1785GE_x000D_
.will: 2004MO_x000D_
.obit: 1890OH_x000D_
.bury: 1850IL _x000D_
.wpbt: 1826PA_x000D_
.anc#: decuple ancestor_x000D_
citiz:foreign_x000D_
#spos:1_x000D_
#srcs:3_x000D_
#comment:1_x000D_
#events:1_x000D_
#kids:1_x000D_
lived:ENLANCS_x000D_
issue:Died after Age 100_x000D_
.recs:Birth,Marriage,Death_x000D_
.imm?:no_x000D_
..Spo:ROBERT RADCLIFFE</t>
        </r>
      </text>
    </comment>
    <comment ref="Y648" authorId="0" shapeId="0" xr:uid="{27DFBC43-E27C-4CE6-91CA-7E683A1DC2E8}">
      <text>
        <r>
          <rPr>
            <sz val="9"/>
            <color indexed="81"/>
            <rFont val="Tahoma"/>
            <family val="2"/>
          </rPr>
          <t>WILLIAM RADCLIFFE_x000D_
http://yeinfo.com/family/I09066961.html_x000D_
https://www.google.com/search?q=WILLIAM+RADCLIFFE+1267+1333+MARGARET_x000D_
.born: 1267    -          Lancashire county England_x000D_
.died: 1333    -         ?Lancashire county England, age:66y 0m 0d, _x000D_
.bapt: 1785GE_x000D_
.will: 2004MO_x000D_
.obit: 1890OH_x000D_
.bury: 1850IL _x000D_
.wpbt: 1826PA_x000D_
.anc#:  octuple ancestor_x000D_
citiz:foreign_x000D_
#spos:1_x000D_
#srcs:4_x000D_
#comment:0_x000D_
#events:1_x000D_
#kids:2_x000D_
lived:ENLANCS_x000D_
issue:_x000D_
.recs:Birth,Marriage,Death_x000D_
.imm?:no_x000D_
..Spo:MARGARET PEASFURLONG</t>
        </r>
      </text>
    </comment>
    <comment ref="AA650" authorId="0" shapeId="0" xr:uid="{7F17383C-21FF-4095-B74B-F309FF9FA175}">
      <text>
        <r>
          <rPr>
            <sz val="9"/>
            <color indexed="81"/>
            <rFont val="Tahoma"/>
            <family val="2"/>
          </rPr>
          <t>HENRY\WILLIAM\ROBERT BOTELER_x000D_
http://yeinfo.com/family/I09066877.html_x000D_
https://www.google.com/search?q=HENRY\WILLIAM\ROBERT+BOTELER+1230+1247+ISABELLA_x000D_
.born:?1230    -          Warrington (Lancashire) England_x000D_
.died: 1247    -1280     ?Lancashire county England, age:17y 0m 0d, _x000D_
.bapt: 1785GE_x000D_
.will: 2004MO_x000D_
.obit: 1890OH_x000D_
.bury: 1850IL _x000D_
.wpbt: 1826PA_x000D_
.anc#: decuple ancestor_x000D_
citiz:foreign_x000D_
#spos:1_x000D_
#srcs:1_x000D_
#comment:1_x000D_
#events:2_x000D_
#kids:1_x000D_
lived:ENLANCSWARRING_x000D_
issue:_x000D_
.recs:Birth,Marriage,Death_x000D_
.imm?:no_x000D_
..Spo:ISABELLA BOTELER</t>
        </r>
      </text>
    </comment>
    <comment ref="Z652" authorId="0" shapeId="0" xr:uid="{4FF798EF-07B3-4CBB-A179-74D54EBB01FD}">
      <text>
        <r>
          <rPr>
            <sz val="9"/>
            <color indexed="81"/>
            <rFont val="Tahoma"/>
            <family val="2"/>
          </rPr>
          <t>JOAN\MARGARET BOTELER_x000D_
http://yeinfo.com/family/I09066878.html_x000D_
https://www.google.com/search?q=JOAN\MARGARET+BOTELER+1232+1267+RADCLIFFE_x000D_
.born: 1232    -          Warrington (Lancashire) England_x000D_
.died: 1267    -1332     ?Lancashire county England, age:35y 0m 0d, _x000D_
.bapt: 1785GE_x000D_
.will: 2004MO_x000D_
.obit: 1890OH_x000D_
.bury: 1850IL _x000D_
.wpbt: 1826PA_x000D_
.anc#: decuple ancestor_x000D_
citiz:foreign_x000D_
#spos:1_x000D_
#srcs:3_x000D_
#comment:0_x000D_
#events:1_x000D_
#kids:2_x000D_
lived:ENLANCSWARRING_x000D_
issue:Born before Parents Married_x000D_
.recs:Birth,Marriage,Death_x000D_
.imm?:no_x000D_
..Spo:RICHARD RADCLIFFE</t>
        </r>
      </text>
    </comment>
    <comment ref="AA654" authorId="0" shapeId="0" xr:uid="{E438F497-2E74-455E-9DA2-9EADA5030CFF}">
      <text>
        <r>
          <rPr>
            <sz val="9"/>
            <color indexed="81"/>
            <rFont val="Tahoma"/>
            <family val="2"/>
          </rPr>
          <t>Mrs. ISABELLA BOTELER_x000D_
http://yeinfo.com/family/I09066876.html_x000D_
https://www.google.com/search?q=ISABELLA+BOTELER+1227+1247+BOTELER_x000D_
.born:?1227    -          Merton (Lancashire) England_x000D_
.died: 1247    -1312     ?Lancashire county England, age:20y 0m 0d, _x000D_
.bapt: 1785GE_x000D_
.will: 2004MO_x000D_
.obit: 1890OH_x000D_
.bury: 1850IL _x000D_
.wpbt: 1826PA_x000D_
.anc#: decuple ancestor_x000D_
citiz:foreign_x000D_
#spos:1_x000D_
#srcs:2_x000D_
#comment:1_x000D_
#events:1_x000D_
#kids:1_x000D_
lived:ENLANCSMERTON_x000D_
issue:_x000D_
.recs:Birth,Marriage,Death_x000D_
.imm?:no_x000D_
..Spo:HENRY\WILLIAM\ROBERT BOTELER</t>
        </r>
      </text>
    </comment>
    <comment ref="X656" authorId="0" shapeId="0" xr:uid="{EA6867A9-D8E5-45DB-B996-CBE1825604D1}">
      <text>
        <r>
          <rPr>
            <sz val="9"/>
            <color indexed="81"/>
            <rFont val="Tahoma"/>
            <family val="2"/>
          </rPr>
          <t>ELIZABETH RADCLIFFE_x000D_
http://yeinfo.com/family/I09066963.html_x000D_
https://www.google.com/search?q=ELIZABETH+RADCLIFFE+1290+1310+INCE_x000D_
.born: 1290    -          Lancashire county England_x000D_
.died: 1310    -1375     ?Lancashire county England, age:20y 0m 0d, _x000D_
.bapt: 1785GE_x000D_
.will: 2004MO_x000D_
.obit: 1890OH_x000D_
.bury: 1850IL _x000D_
.wpbt: 1826PA_x000D_
.anc#:  sextuple ancestor_x000D_
citiz:foreign_x000D_
#spos:1_x000D_
#srcs:6_x000D_
#comment:0_x000D_
#events:1_x000D_
#kids:1_x000D_
lived:ENLANCS_x000D_
issue:Died after Age 100_x000D_
.recs:Birth,Marriage,Death_x000D_
.imm?:no_x000D_
..Spo:RICHARD INCE</t>
        </r>
      </text>
    </comment>
    <comment ref="Z658" authorId="0" shapeId="0" xr:uid="{9CFE4BE6-5906-477C-9889-2B6B4154A22A}">
      <text>
        <r>
          <rPr>
            <sz val="9"/>
            <color indexed="81"/>
            <rFont val="Tahoma"/>
            <family val="2"/>
          </rPr>
          <t>ADAM PEASFURLONG_x000D_
http://yeinfo.com/family/I09066956.html_x000D_
https://www.google.com/search?q=ADAM+PEASFURLONG+1242+1274+ELIZABETH_x000D_
.born:?1242    -          Wigan (Lancashire) England_x000D_
.died: 1274    -1339     ?Lancashire county England, age:32y 0m 0d, _x000D_
.bapt: 1785GE_x000D_
.will: 2004MO_x000D_
.obit: 1890OH_x000D_
.bury: 1850IL _x000D_
.wpbt: 1826PA_x000D_
.anc#:  octuple ancestor_x000D_
citiz:foreign_x000D_
#spos:1_x000D_
#srcs:3_x000D_
#comment:0_x000D_
#events:1_x000D_
#kids:1_x000D_
lived:ENLANCSWIGAN_x000D_
issue:_x000D_
.recs:Birth,Marriage,Death_x000D_
.imm?:no_x000D_
..Spo:ELIZABETH CULCHETH</t>
        </r>
      </text>
    </comment>
    <comment ref="Y660" authorId="0" shapeId="0" xr:uid="{18621592-8B39-4450-90E1-E277009F9234}">
      <text>
        <r>
          <rPr>
            <sz val="9"/>
            <color indexed="81"/>
            <rFont val="Tahoma"/>
            <family val="2"/>
          </rPr>
          <t>MARGARET PEASFURLONG_x000D_
http://yeinfo.com/family/I09066957.html_x000D_
https://www.google.com/search?q=MARGARET+PEASFURLONG+1244+1290+RADCLIFFE_x000D_
.born: 1244    -          Warrington (Lancashire) England_x000D_
.died: 1290    -1355     ?Lancashire county England, age:46y 0m 0d, _x000D_
.bapt: 1785GE_x000D_
.will: 2004MO_x000D_
.obit: 1890OH_x000D_
.bury: 1850IL _x000D_
.wpbt: 1826PA_x000D_
.anc#:  octuple ancestor_x000D_
citiz:foreign_x000D_
#spos:1_x000D_
#srcs:4_x000D_
#comment:0_x000D_
#events:1_x000D_
#kids:2_x000D_
lived:ENLANCSWARRING_x000D_
issue:Born before Parents Married_x000D_
.recs:Birth,Marriage,Death_x000D_
.imm?:no_x000D_
..Spo:WILLIAM RADCLIFFE</t>
        </r>
      </text>
    </comment>
    <comment ref="AA662" authorId="0" shapeId="0" xr:uid="{2FED7DF5-FF33-4299-BFB5-823382E2B2CE}">
      <text>
        <r>
          <rPr>
            <sz val="9"/>
            <color indexed="81"/>
            <rFont val="Tahoma"/>
            <family val="2"/>
          </rPr>
          <t>GILBERT CULCHETH_x000D_
http://yeinfo.com/family/I09066895.html_x000D_
https://www.google.com/search?q=GILBERT+CULCHETH+1205+1246+CECILIA_x000D_
.born:?1205    -          Culcheth (Lancashire) England_x000D_
.died: 1246    -         ?Lancashire county England, age:41y 0m 0d, _x000D_
.bapt: 1785GE_x000D_
.will: 2004MO_x000D_
.obit: 1890OH_x000D_
.bury: 1850IL _x000D_
.wpbt: 1826PA_x000D_
.anc#:  octuple ancestor_x000D_
citiz:foreign_x000D_
#spos:1_x000D_
#srcs:3_x000D_
#comment:1_x000D_
#events:1_x000D_
#kids:1_x000D_
lived:ENLANCSCULCHET_x000D_
issue:Died after Age 100_x000D_
.recs:Birth,Marriage,Death_x000D_
.imm?:no_x000D_
..Spo:CECILIA LATHOM</t>
        </r>
      </text>
    </comment>
    <comment ref="Z664" authorId="0" shapeId="0" xr:uid="{0E241F80-636F-474F-AA93-2D365B08A16F}">
      <text>
        <r>
          <rPr>
            <sz val="9"/>
            <color indexed="81"/>
            <rFont val="Tahoma"/>
            <family val="2"/>
          </rPr>
          <t>ELIZABETH CULCHETH_x000D_
http://yeinfo.com/family/I09066896.html_x000D_
https://www.google.com/search?q=ELIZABETH+CULCHETH+1215+1274+PEASFURLONG_x000D_
.born: 1215    -          Culcheth (Lancashire) England_x000D_
.died: 1274    -1339     ?Lancashire county England, age:59y 0m 0d, _x000D_
.bapt: 1785GE_x000D_
.will: 2004MO_x000D_
.obit: 1890OH_x000D_
.bury: 1850IL _x000D_
.wpbt: 1826PA_x000D_
.anc#:  octuple ancestor_x000D_
citiz:foreign_x000D_
#spos:1_x000D_
#srcs:3_x000D_
#comment:0_x000D_
#events:1_x000D_
#kids:1_x000D_
lived:ENLANCSCULCHET_x000D_
issue:_x000D_
.recs:Birth,Marriage,Death_x000D_
.imm?:no_x000D_
..Spo:ADAM PEASFURLONG</t>
        </r>
      </text>
    </comment>
    <comment ref="AA666" authorId="0" shapeId="0" xr:uid="{B9548B75-7F5D-49CD-98FD-EC73F212D3D1}">
      <text>
        <r>
          <rPr>
            <sz val="9"/>
            <color indexed="81"/>
            <rFont val="Tahoma"/>
            <family val="2"/>
          </rPr>
          <t>CECILIA LATHOM_x000D_
http://yeinfo.com/family/I09066935.html_x000D_
https://www.google.com/search?q=CECILIA+LATHOM+1222+1245+CULCHETH_x000D_
.born:?1222    -          Latham (Lancashire) England_x000D_
.died: 1245    -1310     ?Lancashire county England, age:23y 0m 0d, _x000D_
.bapt: 1785GE_x000D_
.will: 2004MO_x000D_
.obit: 1890OH_x000D_
.bury: 1850IL _x000D_
.wpbt: 1826PA_x000D_
.anc#:  octuple ancestor_x000D_
citiz:foreign_x000D_
#spos:1_x000D_
#srcs:3_x000D_
#comment:1_x000D_
#events:1_x000D_
#kids:1_x000D_
lived:ENLANCSLATHAM_x000D_
issue:Died after Age 100_x000D_
.recs:Birth,Marriage,Death_x000D_
.imm?:no_x000D_
..Spo:GILBERT CULCHETH</t>
        </r>
      </text>
    </comment>
    <comment ref="V668" authorId="0" shapeId="0" xr:uid="{A6ED82FB-DCCA-4A75-8894-C70CAA38302F}">
      <text>
        <r>
          <rPr>
            <sz val="9"/>
            <color indexed="81"/>
            <rFont val="Tahoma"/>
            <family val="2"/>
          </rPr>
          <t>MARGARET INCE_x000D_
http://yeinfo.com/family/I09066934.html_x000D_
https://www.google.com/search?q=MARGARET+INCE+1330+1417+TRAFFORD_x000D_
.born:?1330    -          Lancashire county England_x000D_
.died:?141701  -         ?Lancashire county England, age:87y 0m 0d, _x000D_
.bapt: 1785GE_x000D_
.will: 2004MO_x000D_
.obit: 1890OH_x000D_
.bury: 1850IL _x000D_
.wpbt: 1826PA_x000D_
.anc#:  sextuple ancestor_x000D_
citiz:foreign_x000D_
#spos:1_x000D_
#srcs:8_x000D_
#comment:0_x000D_
#events:1_x000D_
#kids:3_x000D_
lived:ENCHESH,ENLANCS_x000D_
issue:_x000D_
.recs:Birth,Marriage,Death_x000D_
.imm?:no_x000D_
..Spo:HENRY TRAFFORD</t>
        </r>
      </text>
    </comment>
    <comment ref="W670" authorId="0" shapeId="0" xr:uid="{CB982C70-8D42-4768-9AEF-CF0A4B100500}">
      <text>
        <r>
          <rPr>
            <sz val="9"/>
            <color indexed="81"/>
            <rFont val="Tahoma"/>
            <family val="2"/>
          </rPr>
          <t>Mrs. {_?_} INCE_x000D_
http://yeinfo.com/family/I09066932.html_x000D_
https://www.google.com/search?q={_?_}+INCE+1310+1335+INCE_x000D_
.born:?1310    -         ?_x000D_
.died: 1335    -1390     ?Lancashire county England, age:25y 0m 0d, _x000D_
.bapt: 1785GE_x000D_
.will: 2004MO_x000D_
.obit: 1890OH_x000D_
.bury: 1850IL _x000D_
.wpbt: 1826PA_x000D_
.anc#:  sextuple ancestor_x000D_
citiz:foreign_x000D_
#spos:1_x000D_
#srcs:0_x000D_
#comment:0_x000D_
#events:1_x000D_
#kids:1_x000D_
lived:?ENLANCS_x000D_
issue:_x000D_
.recs:Birth,Marriage,Death_x000D_
.imm?:no_x000D_
..Spo:ROBERT INCE</t>
        </r>
      </text>
    </comment>
    <comment ref="T672" authorId="0" shapeId="0" xr:uid="{2D005363-9A12-4304-8B67-C39A0B8C2379}">
      <text>
        <r>
          <rPr>
            <sz val="9"/>
            <color indexed="81"/>
            <rFont val="Tahoma"/>
            <family val="2"/>
          </rPr>
          <t>EDMUND TRAFFORD_x000D_
http://yeinfo.com/family/I09066985.html_x000D_
https://www.google.com/search?q=EDMUND+TRAFFORD+1390+1457+ALICE_x000D_
.born: 1390    -          Lancashire county England_x000D_
.died: 1457    -          Lancashire county England, age:67y 0m 0d, _x000D_
.bapt: 1785GE_x000D_
.will: 2004MO_x000D_
.obit: 1890OH_x000D_
.bury: 1850IL Trafford Manor_x000D_
.wpbt: 1826PA_x000D_
.anc#:double ancestor_x000D_
citiz:foreign_x000D_
#spos:1_x000D_
#srcs:1_x000D_
#comment:0_x000D_
#events:2_x000D_
#kids:1_x000D_
lived:ENCHESH,ENLANCS_x000D_
issue:Born before Parents Married_x000D_
.recs:Birth,Marriage,Death,Interment/Burial_x000D_
.imm?:no_x000D_
..Spo:ALICE VENABLES</t>
        </r>
      </text>
    </comment>
    <comment ref="W674" authorId="0" shapeId="0" xr:uid="{5AB0B68F-8FEF-48D7-86C2-D762CB39E849}">
      <text>
        <r>
          <rPr>
            <sz val="9"/>
            <color indexed="81"/>
            <rFont val="Tahoma"/>
            <family val="2"/>
          </rPr>
          <t>RALPH RADCLIFFE_x000D_
http://yeinfo.com/family/I09066966.html_x000D_
https://www.google.com/search?q=RALPH+RADCLIFFE+1355+1406+ELENA_x000D_
.born: 1355    -          England_x000D_
.died: 1406    -         ?Lancashire county England, age:51y 0m 0d, _x000D_
.bapt: 1785GE_x000D_
.will: 2004MO_x000D_
.obit: 1890OH_x000D_
.bury: 1850IL _x000D_
.wpbt: 1826PA_x000D_
.anc#:double ancestor_x000D_
citiz:foreign_x000D_
#spos:1_x000D_
#srcs:1_x000D_
#comment:0_x000D_
#events:1_x000D_
#kids:1_x000D_
lived:?ENLANCS,EN_x000D_
issue:_x000D_
.recs:Birth,Marriage,Death_x000D_
.imm?:no_x000D_
..Spo:ELENA MASSEY</t>
        </r>
      </text>
    </comment>
    <comment ref="V676" authorId="0" shapeId="0" xr:uid="{93A9481B-CE2E-4845-94F4-2C4737E04FAF}">
      <text>
        <r>
          <rPr>
            <sz val="9"/>
            <color indexed="81"/>
            <rFont val="Tahoma"/>
            <family val="2"/>
          </rPr>
          <t>RALPH RADCLIFFE_x000D_
http://yeinfo.com/family/I09066968.html_x000D_
https://www.google.com/search?q=RALPH+RADCLIFFE+1355+1406+{_?_}_x000D_
.born: 1355    -          Bolton (Lancashire) England_x000D_
.died: 1406    -          Bolton (Lancashire) England, age:51y 0m 0d, _x000D_
.bapt: 1785GE_x000D_
.will: 2004MO_x000D_
.obit: 1890OH_x000D_
.bury: 1850IL _x000D_
.wpbt: 1826PA_x000D_
.anc#:double ancestor_x000D_
citiz:foreign_x000D_
#spos:1_x000D_
#srcs:1_x000D_
#comment:0_x000D_
#events:1_x000D_
#kids:1_x000D_
lived:ENLANCSBOLTON_x000D_
issue:Born before Parents Married,Died after Age 100_x000D_
.recs:Birth,Marriage,Death_x000D_
.imm?:no_x000D_
..Spo:{_?_} RADCLIFFE</t>
        </r>
      </text>
    </comment>
    <comment ref="AA678" authorId="0" shapeId="0" xr:uid="{75EF6C57-8928-46AF-B80E-311529CC5CF1}">
      <text>
        <r>
          <rPr>
            <sz val="9"/>
            <color indexed="81"/>
            <rFont val="Tahoma"/>
            <family val="2"/>
          </rPr>
          <t>WILLIAM MASSEY_x000D_
http://yeinfo.com/family/I09066946.html_x000D_
https://www.google.com/search?q=WILLIAM+MASSEY+1190+1272+MARGERY_x000D_
.born: 1190    -          Cheshire county England_x000D_
.died: 1272    -          Israel, age:82y 0m 0d, died during the 9th Crusade_x000D_
.bapt: 1785GE_x000D_
.will: 2004MO_x000D_
.obit: 1890OH_x000D_
.bury: 1850IL _x000D_
.wpbt: 1826PA_x000D_
.anc#:  quadruple ancestor_x000D_
citiz:foreign_x000D_
#spos:1_x000D_
#srcs:1_x000D_
#comment:1_x000D_
#events:1_x000D_
#kids:1_x000D_
lived:ENCHESH,IS_x000D_
issue:_x000D_
.recs:Birth,Marriage,Death_x000D_
.imm?:no_x000D_
..Spo:MARGERY ROSTHERNE</t>
        </r>
      </text>
    </comment>
    <comment ref="Z680" authorId="0" shapeId="0" xr:uid="{E42F7DFA-6D1B-4902-9084-BB51FA731EBD}">
      <text>
        <r>
          <rPr>
            <sz val="9"/>
            <color indexed="81"/>
            <rFont val="Tahoma"/>
            <family val="2"/>
          </rPr>
          <t>ROBERT ROSTHERNE MASSEY_x000D_
http://yeinfo.com/family/I09066947.html_x000D_
https://www.google.com/search?q=ROBERT+ROSTHERNE+MASSEY+1228+1328+MARGARET_x000D_
.born: 1228    -          Cheshire county England_x000D_
.died: 1328    -          Cheshire county England, age:100y 0m 0d, _x000D_
.bapt: 1785GE_x000D_
.will: 2004MO_x000D_
.obit: 1890OH_x000D_
.bury: 1850IL _x000D_
.wpbt: 1826PA_x000D_
.anc#:  quadruple ancestor_x000D_
citiz:foreign_x000D_
#spos:1_x000D_
#srcs:1_x000D_
#comment:0_x000D_
#events:1_x000D_
#kids:1_x000D_
lived:ENCHESH_x000D_
issue:_x000D_
.recs:Birth,Marriage,Death_x000D_
.imm?:no_x000D_
..Spo:MARGARET ROSTHERNE</t>
        </r>
      </text>
    </comment>
    <comment ref="AA682" authorId="0" shapeId="0" xr:uid="{1AC458E2-7E0A-4EF7-BE58-D98983F167B6}">
      <text>
        <r>
          <rPr>
            <sz val="9"/>
            <color indexed="81"/>
            <rFont val="Tahoma"/>
            <family val="2"/>
          </rPr>
          <t>MARGERY ROSTHERNE_x000D_
http://yeinfo.com/family/I09066970.html_x000D_
https://www.google.com/search?q=MARGERY+ROSTHERNE+1190+1228+MASSEY_x000D_
.born: 1190    -          Rostherne (Cheshire) England_x000D_
.died: 1228    -1293      Rostherne (Cheshire) England, age:38y 0m 0d, _x000D_
.bapt: 1785GE_x000D_
.will: 2004MO_x000D_
.obit: 1890OH_x000D_
.bury: 1850IL _x000D_
.wpbt: 1826PA_x000D_
.anc#:  quadruple ancestor_x000D_
citiz:foreign_x000D_
#spos:1_x000D_
#srcs:1_x000D_
#comment:0_x000D_
#events:1_x000D_
#kids:1_x000D_
lived:ENCHESHROSTHER_x000D_
issue:_x000D_
.recs:Birth,Marriage,Death_x000D_
.imm?:no_x000D_
..Spo:WILLIAM MASSEY</t>
        </r>
      </text>
    </comment>
    <comment ref="Y684" authorId="0" shapeId="0" xr:uid="{763F6DEC-2A31-4C0B-8114-707257BB2E24}">
      <text>
        <r>
          <rPr>
            <sz val="9"/>
            <color indexed="81"/>
            <rFont val="Tahoma"/>
            <family val="2"/>
          </rPr>
          <t>WILLIAM MASSEY_x000D_
http://yeinfo.com/family/I09066948.html_x000D_
https://www.google.com/search?q=WILLIAM+MASSEY+1290+1338+MARGERY_x000D_
.born: 1290    -          Cheshire county England_x000D_
.died: 13380502-          England, age:48y 4m 1d, _x000D_
.bapt: 1785GE_x000D_
.will: 2004MO_x000D_
.obit: 1890OH_x000D_
.bury: 1850IL _x000D_
.wpbt: 1826PA_x000D_
.anc#:  quadruple ancestor_x000D_
citiz:foreign_x000D_
#spos:1_x000D_
#srcs:1_x000D_
#comment:0_x000D_
#events:1_x000D_
#kids:1_x000D_
lived:ENCHESH_x000D_
issue:Born after Dad Age 60_x000D_
.recs:Birth,Marriage,Death_x000D_
.imm?:no_x000D_
..Spo:MARGERY LEIGH</t>
        </r>
      </text>
    </comment>
    <comment ref="Z686" authorId="0" shapeId="0" xr:uid="{F615EA9D-CAB0-4B45-A638-70630870255B}">
      <text>
        <r>
          <rPr>
            <sz val="9"/>
            <color indexed="81"/>
            <rFont val="Tahoma"/>
            <family val="2"/>
          </rPr>
          <t>MARGARET ROSTHERNE_x000D_
http://yeinfo.com/family/I09066971.html_x000D_
https://www.google.com/search?q=MARGARET+ROSTHERNE+1242+1340+MASSEY_x000D_
.born: 1242    -          Rostherne (Cheshire) England_x000D_
.died: 1340    -         ?Cheshire county England, age:98y 0m 0d, _x000D_
.bapt: 1785GE_x000D_
.will: 2004MO_x000D_
.obit: 1890OH_x000D_
.bury: 1850IL _x000D_
.wpbt: 1826PA_x000D_
.anc#:  quadruple ancestor_x000D_
citiz:foreign_x000D_
#spos:1_x000D_
#srcs:1_x000D_
#comment:0_x000D_
#events:1_x000D_
#kids:1_x000D_
lived:ENCHESHROSTHER_x000D_
issue:Died after Age 100_x000D_
.recs:Birth,Marriage,Death_x000D_
.imm?:no_x000D_
..Spo:ROBERT ROSTHERNE MASSEY</t>
        </r>
      </text>
    </comment>
    <comment ref="X688" authorId="0" shapeId="0" xr:uid="{67CA1F59-ED16-47C8-9352-0C8D54A5479D}">
      <text>
        <r>
          <rPr>
            <sz val="9"/>
            <color indexed="81"/>
            <rFont val="Tahoma"/>
            <family val="2"/>
          </rPr>
          <t>HUGH MASSEY_x000D_
http://yeinfo.com/family/I09066949.html_x000D_
https://www.google.com/search?q=HUGH+MASSEY+1320+1371+ALICE_x000D_
.born: 1320    -          Tatton (Cheshire) England_x000D_
.died: 1371    -          Knutsford (Cheshire) England, age:51y 0m 0d, _x000D_
.bapt: 1785GE_x000D_
.will: 2004MO_x000D_
.obit: 1890OH_x000D_
.bury: 1850IL _x000D_
.wpbt: 1826PA_x000D_
.anc#:  quadruple ancestor_x000D_
citiz:foreign_x000D_
#spos:1_x000D_
#srcs:1_x000D_
#comment:0_x000D_
#events:1_x000D_
#kids:2_x000D_
lived:ENCHESHKNUTSFO,ENCHESHTATTON_x000D_
issue:_x000D_
.recs:Birth,Marriage,Death_x000D_
.imm?:no_x000D_
..Spo:ALICE WRENBURY</t>
        </r>
      </text>
    </comment>
    <comment ref="Z690" authorId="0" shapeId="0" xr:uid="{26ECDD12-4711-4056-A49A-97E495B5187D}">
      <text>
        <r>
          <rPr>
            <sz val="9"/>
            <color indexed="81"/>
            <rFont val="Tahoma"/>
            <family val="2"/>
          </rPr>
          <t>THOMAS LYMM LEIGH_x000D_
http://yeinfo.com/family/I09066941.html_x000D_
https://www.google.com/search?q=THOMAS+LYMM+LEIGH+1263+1317+CECILY\SYBIL_x000D_
.born:?1263    -          Cheshire county England_x000D_
.died: 1317    -          Devon county England, age:54y 0m 0d, _x000D_
.bapt: 1785GE_x000D_
.will: 2004MO_x000D_
.obit: 1890OH_x000D_
.bury: 1850IL _x000D_
.wpbt: 1826PA_x000D_
.anc#:  quadruple ancestor_x000D_
citiz:foreign_x000D_
#spos:1_x000D_
#srcs:1_x000D_
#comment:1_x000D_
#events:1_x000D_
#kids:1_x000D_
lived:ENCHESHHIGHLEI,ENDEVON_x000D_
issue:Died after Age 100_x000D_
.recs:Birth,Marriage,Death_x000D_
.imm?:no_x000D_
..Spo:CECILY\SYBIL LEIGH</t>
        </r>
      </text>
    </comment>
    <comment ref="Y692" authorId="0" shapeId="0" xr:uid="{BF758F48-EE88-4AA0-B3A0-838ABCBE53EA}">
      <text>
        <r>
          <rPr>
            <sz val="9"/>
            <color indexed="81"/>
            <rFont val="Tahoma"/>
            <family val="2"/>
          </rPr>
          <t>MARGERY LEIGH_x000D_
http://yeinfo.com/family/I09066942.html_x000D_
https://www.google.com/search?q=MARGERY+LEIGH+1280+1338+MASSEY_x000D_
.born:?1280    -          High Leigh (Cheshire) England_x000D_
.died: 1338    -          Cheshire county England, age:58y 0m 0d, _x000D_
.bapt: 1785GE_x000D_
.will: 2004MO_x000D_
.obit: 1890OH_x000D_
.bury: 1850IL _x000D_
.wpbt: 1826PA_x000D_
.anc#:  quadruple ancestor_x000D_
citiz:foreign_x000D_
#spos:1_x000D_
#srcs:1_x000D_
#comment:0_x000D_
#events:1_x000D_
#kids:1_x000D_
lived:ENCHESHHIGHLEI_x000D_
issue:_x000D_
.recs:Birth,Marriage,Death_x000D_
.imm?:no_x000D_
..Spo:WILLIAM MASSEY</t>
        </r>
      </text>
    </comment>
    <comment ref="Z694" authorId="0" shapeId="0" xr:uid="{321B2B9F-F30A-44B4-8509-C4B4A214A816}">
      <text>
        <r>
          <rPr>
            <sz val="9"/>
            <color indexed="81"/>
            <rFont val="Tahoma"/>
            <family val="2"/>
          </rPr>
          <t>Mrs. CECILY\SYBIL LEIGH_x000D_
http://yeinfo.com/family/I09066940.html_x000D_
https://www.google.com/search?q=CECILY\SYBIL+LEIGH+1250+1305+LEIGH_x000D_
.born:?1250    -          Westhall (Suffolk) England_x000D_
.died: 1305    -          Macclesfield (Cheshire) England, age:55y 0m 0d, _x000D_
.bapt: 1785GE_x000D_
.will: 2004MO_x000D_
.obit: 1890OH_x000D_
.bury: 1850IL _x000D_
.wpbt: 1826PA_x000D_
.anc#:  quadruple ancestor_x000D_
citiz:foreign_x000D_
#spos:1_x000D_
#srcs:1_x000D_
#comment:1_x000D_
#events:1_x000D_
#kids:1_x000D_
lived:ENCHESHHIGHLEI,ENCHESHMACCMAC,ENSUFFOWESTHAL_x000D_
issue:_x000D_
.recs:Birth,Marriage,Death_x000D_
.imm?:no_x000D_
..Spo:THOMAS LYMM LEIGH</t>
        </r>
      </text>
    </comment>
    <comment ref="W696" authorId="0" shapeId="0" xr:uid="{4EC7246E-867B-4AB2-ACDE-73E1537D4D96}">
      <text>
        <r>
          <rPr>
            <sz val="9"/>
            <color indexed="81"/>
            <rFont val="Tahoma"/>
            <family val="2"/>
          </rPr>
          <t>ELENA MASSEY_x000D_
http://yeinfo.com/family/I09066950.html_x000D_
https://www.google.com/search?q=ELENA+MASSEY+1358+1416+RADCLIFFE_x000D_
.born: 1358    -          England_x000D_
.died: 1416    -          Lancashire county England, age:58y 0m 0d, _x000D_
.bapt: 1785GE_x000D_
.will: 2004MO_x000D_
.obit: 1890OH_x000D_
.bury: 1850IL _x000D_
.wpbt: 1826PA_x000D_
.anc#:double ancestor_x000D_
citiz:foreign_x000D_
#spos:1_x000D_
#srcs:1_x000D_
#comment:0_x000D_
#events:1_x000D_
#kids:1_x000D_
lived:?ENLANCS,EN_x000D_
issue:_x000D_
.recs:Birth,Marriage,Death_x000D_
.imm?:no_x000D_
..Spo:RALPH RADCLIFFE</t>
        </r>
      </text>
    </comment>
    <comment ref="Y698" authorId="0" shapeId="0" xr:uid="{D839F489-90F1-46B4-8A28-1D5B8E13B462}">
      <text>
        <r>
          <rPr>
            <sz val="9"/>
            <color indexed="81"/>
            <rFont val="Tahoma"/>
            <family val="2"/>
          </rPr>
          <t>JOHN WRENBURY_x000D_
http://yeinfo.com/family/I09067009.html_x000D_
https://www.google.com/search?q=JOHN+WRENBURY+1292+1349+ALICE_x000D_
.born: 1292    -          Wrenbury (Cheshire) England_x000D_
.died: 1349    -          Wrenbury (Cheshire) England, age:57y 0m 0d, _x000D_
.bapt: 1785GE_x000D_
.will: 2004MO_x000D_
.obit: 1890OH_x000D_
.bury: 1850IL _x000D_
.wpbt: 1826PA_x000D_
.anc#:  quadruple ancestor_x000D_
citiz:foreign_x000D_
#spos:1_x000D_
#srcs:1_x000D_
#comment:0_x000D_
#events:2_x000D_
#kids:1_x000D_
lived:ENCHESHWRENBUR_x000D_
issue:_x000D_
.recs:Birth,Marriage,Death_x000D_
.imm?:no_x000D_
..Spo:ALICE AUDLEM</t>
        </r>
      </text>
    </comment>
    <comment ref="X700" authorId="0" shapeId="0" xr:uid="{EB2AC62C-FF95-46D3-BB42-2AF1780606F7}">
      <text>
        <r>
          <rPr>
            <sz val="9"/>
            <color indexed="81"/>
            <rFont val="Tahoma"/>
            <family val="2"/>
          </rPr>
          <t>ALICE WRENBURY_x000D_
http://yeinfo.com/family/I09067010.html_x000D_
https://www.google.com/search?q=ALICE+WRENBURY+1320+1370+MASSEY_x000D_
.born: 1320    -          Oulton (Cheshire) England_x000D_
.died: 1370    -          Tatton (Cheshire) England, age:50y 0m 0d, _x000D_
.bapt: 1785GE_x000D_
.will: 2004MO_x000D_
.obit: 1890OH_x000D_
.bury: 1850IL _x000D_
.wpbt: 1826PA_x000D_
.anc#:  quadruple ancestor_x000D_
citiz:foreign_x000D_
#spos:1_x000D_
#srcs:1_x000D_
#comment:0_x000D_
#events:1_x000D_
#kids:2_x000D_
lived:ENCHESHOULTON,ENCHESHTATTON_x000D_
issue:_x000D_
.recs:Birth,Marriage,Death_x000D_
.imm?:no_x000D_
..Spo:HUGH MASSEY</t>
        </r>
      </text>
    </comment>
    <comment ref="Y702" authorId="0" shapeId="0" xr:uid="{190A5856-8DD0-4CD3-8381-223C39E4C1B8}">
      <text>
        <r>
          <rPr>
            <sz val="9"/>
            <color indexed="81"/>
            <rFont val="Tahoma"/>
            <family val="2"/>
          </rPr>
          <t>ALICE AUDLEM_x000D_
http://yeinfo.com/family/I09066863.html_x000D_
https://www.google.com/search?q=ALICE+AUDLEM+1290+1320+WRENBURY_x000D_
.born: 1290    -          Wrenbury (Cheshire) England_x000D_
.died:?1320    -          Cheshire county England, age:30y 0m 0d, _x000D_
.bapt: 1785GE_x000D_
.will: 2004MO_x000D_
.obit: 1890OH_x000D_
.bury: 1850IL _x000D_
.wpbt: 1826PA_x000D_
.anc#:  quadruple ancestor_x000D_
citiz:foreign_x000D_
#spos:1_x000D_
#srcs:1_x000D_
#comment:0_x000D_
#events:1_x000D_
#kids:1_x000D_
lived:ENCHESHWRENBUR_x000D_
issue:_x000D_
.recs:Birth,Marriage,Death_x000D_
.imm?:no_x000D_
..Spo:JOHN WRENBURY</t>
        </r>
      </text>
    </comment>
    <comment ref="U704" authorId="0" shapeId="0" xr:uid="{3532F13F-6408-4F6D-BD9C-B77C0623CF81}">
      <text>
        <r>
          <rPr>
            <sz val="9"/>
            <color indexed="81"/>
            <rFont val="Tahoma"/>
            <family val="2"/>
          </rPr>
          <t>ELIZABETH RADCLIFFE_x000D_
http://yeinfo.com/family/I09066969.html_x000D_
https://www.google.com/search?q=ELIZABETH+RADCLIFFE+1370+1432+TRAFFORD_x000D_
.born: 1370    -          Bolton (Lancashire) England_x000D_
.died: 1432    -          Manchester (Lancashire) England, age:62y 0m 0d, _x000D_
.bapt: 1785GE_x000D_
.will: 2004MO_x000D_
.obit: 1890OH_x000D_
.bury: 1850IL _x000D_
.wpbt: 1826PA_x000D_
.anc#:double ancestor_x000D_
citiz:foreign_x000D_
#spos:1_x000D_
#srcs:1_x000D_
#comment:0_x000D_
#events:1_x000D_
#kids:1_x000D_
lived:ENLANCSBOLTON,ENLANCSMANCHES_x000D_
issue:_x000D_
.recs:Birth,Marriage,Death_x000D_
.imm?:no_x000D_
..Spo:HENRY TRAFFORD</t>
        </r>
      </text>
    </comment>
    <comment ref="V706" authorId="0" shapeId="0" xr:uid="{B08E0285-E9CD-4362-9863-77CA49E8F136}">
      <text>
        <r>
          <rPr>
            <sz val="9"/>
            <color indexed="81"/>
            <rFont val="Tahoma"/>
            <family val="2"/>
          </rPr>
          <t>Mrs. {_?_} RADCLIFFE_x000D_
http://yeinfo.com/family/I09066967.html_x000D_
https://www.google.com/search?q={_?_}+RADCLIFFE+1350+1370+RADCLIFFE_x000D_
.born:?1350    -         ?Lancashire county England_x000D_
.died: 1370    -1435     ?Lancashire county England, age:20y 0m 0d, _x000D_
.bapt: 1785GE_x000D_
.will: 2004MO_x000D_
.obit: 1890OH_x000D_
.bury: 1850IL _x000D_
.wpbt: 1826PA_x000D_
.anc#:double ancestor_x000D_
citiz:foreign_x000D_
#spos:1_x000D_
#srcs:0_x000D_
#comment:0_x000D_
#events:1_x000D_
#kids:1_x000D_
lived:?ENLANCS_x000D_
issue:_x000D_
.recs:Birth,Marriage,Death_x000D_
.imm?:no_x000D_
..Spo:RALPH RADCLIFFE</t>
        </r>
      </text>
    </comment>
    <comment ref="S708" authorId="0" shapeId="0" xr:uid="{99EEA337-EB88-49D8-8DBA-5BECC820350D}">
      <text>
        <r>
          <rPr>
            <sz val="9"/>
            <color indexed="81"/>
            <rFont val="Tahoma"/>
            <family val="2"/>
          </rPr>
          <t>JOHN TRAFFORD_x000D_
http://yeinfo.com/family/I09066986.html_x000D_
https://www.google.com/search?q=JOHN+TRAFFORD+1420+1445+ELIZABETH_x000D_
.born:?1420    -          Lancashire county England_x000D_
.died:?1445    -1505      Lancashire county England, age:25y 0m 0d, _x000D_
.bapt: 1785GE_x000D_
.will: 2004MO_x000D_
.obit: 1890OH_x000D_
.bury: 1850IL _x000D_
.wpbt: 1826PA_x000D_
.anc#:double ancestor_x000D_
citiz:foreign_x000D_
#spos:1_x000D_
#srcs:1_x000D_
#comment:0_x000D_
#events:2_x000D_
#kids:1_x000D_
lived:ENLANCSMANCHES_x000D_
issue:_x000D_
.recs:Birth,Marriage,Death_x000D_
.imm?:no_x000D_
..Spo:ELIZABETH ASHTON</t>
        </r>
      </text>
    </comment>
    <comment ref="Z710" authorId="0" shapeId="0" xr:uid="{2FB88B28-311C-46BF-8916-53A4873C4DD0}">
      <text>
        <r>
          <rPr>
            <sz val="9"/>
            <color indexed="81"/>
            <rFont val="Tahoma"/>
            <family val="2"/>
          </rPr>
          <t>ROGER VENABLES_x000D_
http://yeinfo.com/family/I09066989.html_x000D_
https://www.google.com/search?q=ROGER+VENABLES+1211+1260+ALICEA_x000D_
.born:?1211    -          Kinderton (Cheshire) England_x000D_
.died:a12600929-          Kinderton (Cheshire) England, age:49y 8m 28d, _x000D_
.bapt: 1785GE_x000D_
.will: 2004MO_x000D_
.obit: 1890OH_x000D_
.bury: 1850IL _x000D_
.wpbt: 1826PA_x000D_
.anc#:double ancestor_x000D_
citiz:foreign_x000D_
#spos:1_x000D_
#srcs:1_x000D_
#comment:1_x000D_
#events:1_x000D_
#kids:1_x000D_
lived:ENCHESHKINDERT,ENLANCSPENNING_x000D_
issue:_x000D_
.recs:Birth,Marriage,Death_x000D_
.imm?:no_x000D_
..Spo:ALICEA PENNINGTON</t>
        </r>
      </text>
    </comment>
    <comment ref="Y712" authorId="0" shapeId="0" xr:uid="{509FFB7D-5EEE-42CE-BB2A-9A7B9B0FD6A9}">
      <text>
        <r>
          <rPr>
            <sz val="9"/>
            <color indexed="81"/>
            <rFont val="Tahoma"/>
            <family val="2"/>
          </rPr>
          <t>WILLIAM VENABLES_x000D_
http://yeinfo.com/family/I09066990.html_x000D_
https://www.google.com/search?q=WILLIAM+VENABLES+1233+1292+MARGARET_x000D_
.born: 1233    -          Kinderton (Cheshire) England_x000D_
.died: 12920712-          Kinderton (Cheshire) England, age:59y 6m 11d, _x000D_
.bapt: 1785GE_x000D_
.will: 2004MO_x000D_
.obit: 1890OH_x000D_
.bury: 1850IL _x000D_
.wpbt: 1826PA_x000D_
.anc#:double ancestor_x000D_
citiz:foreign_x000D_
#spos:1_x000D_
#srcs:1_x000D_
#comment:0_x000D_
#events:1_x000D_
#kids:1_x000D_
lived:ENCHESHKINDERT_x000D_
issue:_x000D_
.recs:Birth,Marriage,Death_x000D_
.imm?:no_x000D_
..Spo:MARGARET DUTTON</t>
        </r>
      </text>
    </comment>
    <comment ref="Z714" authorId="0" shapeId="0" xr:uid="{A427F727-A7D2-4C4F-9EA2-F622BAC53BD6}">
      <text>
        <r>
          <rPr>
            <sz val="9"/>
            <color indexed="81"/>
            <rFont val="Tahoma"/>
            <family val="2"/>
          </rPr>
          <t>ALICEA PENNINGTON_x000D_
http://yeinfo.com/family/I09066958.html_x000D_
https://www.google.com/search?q=ALICEA+PENNINGTON+1212+1306+VENABLES_x000D_
.born: 1212    -          Pennington (Lancashire) England_x000D_
.died: 1306    -          Kinderton (Cheshire) England, age:94y 0m 0d, _x000D_
.bapt: 1785GE_x000D_
.will: 2004MO_x000D_
.obit: 1890OH_x000D_
.bury: 1850IL _x000D_
.wpbt: 1826PA_x000D_
.anc#:double ancestor_x000D_
citiz:foreign_x000D_
#spos:1_x000D_
#srcs:1_x000D_
#comment:1_x000D_
#events:1_x000D_
#kids:1_x000D_
lived:ENCHESHKINDERT,ENLANCSPENNING_x000D_
issue:_x000D_
.recs:Birth,Marriage,Death_x000D_
.imm?:no_x000D_
..Spo:ROGER VENABLES</t>
        </r>
      </text>
    </comment>
    <comment ref="X716" authorId="0" shapeId="0" xr:uid="{394E7D5C-EEE5-435F-81DD-406CE2F2A085}">
      <text>
        <r>
          <rPr>
            <sz val="9"/>
            <color indexed="81"/>
            <rFont val="Tahoma"/>
            <family val="2"/>
          </rPr>
          <t>HUGH VENABLES_x000D_
http://yeinfo.com/family/I09066991.html_x000D_
https://www.google.com/search?q=HUGH+VENABLES+1256+1311+AGATHA_x000D_
.born: 1256    -          Northwich (Cheshire) England_x000D_
.died: 13110425-          Kinderton (Cheshire) England, age:55y 3m 24d, _x000D_
.bapt: 1785GE_x000D_
.will: 2004MO_x000D_
.obit: 1890OH_x000D_
.bury: 1850IL _x000D_
.wpbt: 1826PA_x000D_
.anc#:double ancestor_x000D_
citiz:foreign_x000D_
#spos:1_x000D_
#srcs:1_x000D_
#comment:0_x000D_
#events:1_x000D_
#kids:1_x000D_
lived:ENCHESHKINDERT,ENCHESHNORTWCH_x000D_
issue:_x000D_
.recs:Birth,Marriage,Death_x000D_
.imm?:no_x000D_
..Spo:AGATHA VERNON</t>
        </r>
      </text>
    </comment>
    <comment ref="Z718" authorId="0" shapeId="0" xr:uid="{A7D1E3C9-1346-475A-AB31-8BEDAA945824}">
      <text>
        <r>
          <rPr>
            <sz val="9"/>
            <color indexed="81"/>
            <rFont val="Tahoma"/>
            <family val="2"/>
          </rPr>
          <t>THOMAS DUTTON_x000D_
http://yeinfo.com/family/I09066902.html_x000D_
https://www.google.com/search?q=THOMAS+DUTTON+1214+1272+PHILIPPA_x000D_
.born: 1214    -          Dutton (Cheshire) England_x000D_
.died: 1272    -          Dutton (Cheshire) England, age:58y 0m 0d, _x000D_
.bapt: 1785GE_x000D_
.will: 2004MO_x000D_
.obit: 1890OH_x000D_
.bury: 1850IL _x000D_
.wpbt: 1826PA_x000D_
.anc#:double ancestor_x000D_
citiz:foreign_x000D_
#spos:1_x000D_
#srcs:1_x000D_
#comment:1_x000D_
#events:2_x000D_
#kids:1_x000D_
lived:ENCHESHDUTTON,ENLANCS,ENSTAFSSTANDON_x000D_
issue:_x000D_
.recs:Birth,Marriage,Death_x000D_
.imm?:no_x000D_
..Spo:PHILIPPA STANDON</t>
        </r>
      </text>
    </comment>
    <comment ref="Y720" authorId="0" shapeId="0" xr:uid="{0B73535C-F55E-4879-ADA7-DC31C302A3FA}">
      <text>
        <r>
          <rPr>
            <sz val="9"/>
            <color indexed="81"/>
            <rFont val="Tahoma"/>
            <family val="2"/>
          </rPr>
          <t>MARGARET DUTTON_x000D_
http://yeinfo.com/family/I09066903.html_x000D_
https://www.google.com/search?q=MARGARET+DUTTON+1235+1293+VENABLES_x000D_
.born: 1235    -          Kinderton (Cheshire) England_x000D_
.died: 1293    -          Kinderton (Cheshire) England, age:58y 0m 0d, _x000D_
.bapt: 1785GE_x000D_
.will: 2004MO_x000D_
.obit: 1890OH_x000D_
.bury: 1850IL _x000D_
.wpbt: 1826PA_x000D_
.anc#:double ancestor_x000D_
citiz:foreign_x000D_
#spos:1_x000D_
#srcs:1_x000D_
#comment:0_x000D_
#events:1_x000D_
#kids:1_x000D_
lived:ENCHESHKINDERT_x000D_
issue:Born before Parents Married_x000D_
.recs:Birth,Marriage,Death_x000D_
.imm?:no_x000D_
..Spo:WILLIAM VENABLES</t>
        </r>
      </text>
    </comment>
    <comment ref="Z722" authorId="0" shapeId="0" xr:uid="{A130CA20-8817-4409-8109-5D603B9CB2ED}">
      <text>
        <r>
          <rPr>
            <sz val="9"/>
            <color indexed="81"/>
            <rFont val="Tahoma"/>
            <family val="2"/>
          </rPr>
          <t>PHILIPPA STANDON_x000D_
http://yeinfo.com/family/I09066977.html_x000D_
https://www.google.com/search?q=PHILIPPA+STANDON+1220+1294+DUTTON_x000D_
.born: 1220    -          Standon (Staffordshire) England_x000D_
.died: 1294    -1305      Dutton (Cheshire) England, age:74y 0m 0d, _x000D_
.bapt: 1785GE_x000D_
.will: 2004MO_x000D_
.obit: 1890OH_x000D_
.bury: 1850IL _x000D_
.wpbt: 1826PA_x000D_
.anc#:double ancestor_x000D_
citiz:foreign_x000D_
#spos:1_x000D_
#srcs:1_x000D_
#comment:1_x000D_
#events:1_x000D_
#kids:1_x000D_
lived:ENCHESHDUTTON,ENSTAFSSTANDON_x000D_
issue:_x000D_
.recs:Birth,Marriage,Death_x000D_
.imm?:no_x000D_
..Spo:THOMAS DUTTON</t>
        </r>
      </text>
    </comment>
    <comment ref="W724" authorId="0" shapeId="0" xr:uid="{FDD20105-CA28-45D9-BE0F-F0C0B5F51C50}">
      <text>
        <r>
          <rPr>
            <sz val="9"/>
            <color indexed="81"/>
            <rFont val="Tahoma"/>
            <family val="2"/>
          </rPr>
          <t>HUGH VENABLES_x000D_
http://yeinfo.com/family/I09066992.html_x000D_
https://www.google.com/search?q=HUGH+VENABLES+1296+1368+KATHERINE_x000D_
.born: 1296    -          Kinderton (Cheshire) England_x000D_
.died: 13681122-          Kinderton (Cheshire) England, age:72y 10m 21d, _x000D_
.bapt: 1785GE_x000D_
.will: 2004MO_x000D_
.obit: 1890OH_x000D_
.bury: 1850IL _x000D_
.wpbt: 1826PA_x000D_
.anc#:double ancestor_x000D_
citiz:foreign_x000D_
#spos:1_x000D_
#srcs:1_x000D_
#comment:0_x000D_
#events:3_x000D_
#kids:1_x000D_
lived:ENCHESHKINDERT,ENLANCS_x000D_
issue:_x000D_
.recs:Birth,Marriage,Death_x000D_
.imm?:no_x000D_
..Spo:KATHERINE HOUGHTON</t>
        </r>
      </text>
    </comment>
    <comment ref="Z726" authorId="0" shapeId="0" xr:uid="{C661876E-E2EC-48B8-B4DB-4C43E7EF679D}">
      <text>
        <r>
          <rPr>
            <sz val="9"/>
            <color indexed="81"/>
            <rFont val="Tahoma"/>
            <family val="2"/>
          </rPr>
          <t>RALPH VERNON_x000D_
http://yeinfo.com/family/I09066995.html_x000D_
https://www.google.com/search?q=RALPH+VERNON+1190+1270+CECILIA_x000D_
.born: 1190    -          Shipbrook (Cheshire) England_x000D_
.died: 1270    -          Shipbrook (Cheshire) England, age:80y 0m 0d, _x000D_
.bapt: 1785GE_x000D_
.will: 2004MO_x000D_
.obit: 1890OH_x000D_
.bury: 1850IL _x000D_
.wpbt: 1826PA_x000D_
.anc#:double ancestor_x000D_
citiz:foreign_x000D_
#spos:1_x000D_
#srcs:1_x000D_
#comment:1_x000D_
#events:1_x000D_
#kids:1_x000D_
lived:ENCHESHSHIPBRO_x000D_
issue:_x000D_
.recs:Birth,Marriage,Death_x000D_
.imm?:no_x000D_
..Spo:CECILIA CREW</t>
        </r>
      </text>
    </comment>
    <comment ref="Y728" authorId="0" shapeId="0" xr:uid="{12C32657-B625-4A93-94B6-D55E39507D5A}">
      <text>
        <r>
          <rPr>
            <sz val="9"/>
            <color indexed="81"/>
            <rFont val="Tahoma"/>
            <family val="2"/>
          </rPr>
          <t>RALPH VERNON_x000D_
http://yeinfo.com/family/I09066996.html_x000D_
https://www.google.com/search?q=RALPH+VERNON+1241+1325+MARY_x000D_
.born: 1241    -          Shipbrook (Cheshire) England_x000D_
.died: 1325    -          Bostock (Cheshire) England, age:84y 0m 0d, _x000D_
.bapt: 1785GE_x000D_
.will: 2004MO_x000D_
.obit: 1890OH_x000D_
.bury: 1850IL _x000D_
.wpbt: 1826PA_x000D_
.anc#:double ancestor_x000D_
citiz:foreign_x000D_
#spos:1_x000D_
#srcs:1_x000D_
#comment:0_x000D_
#events:1_x000D_
#kids:1_x000D_
lived:ENCHESHBOSTOCK,ENCHESHDAVENHA,ENCHESHSHIPBRO_x000D_
issue:_x000D_
.recs:Birth,Marriage,Death_x000D_
.imm?:no_x000D_
..Spo:MARY DACRE</t>
        </r>
      </text>
    </comment>
    <comment ref="Z730" authorId="0" shapeId="0" xr:uid="{43AF0AB6-E354-4962-8409-B40AAAFEFECF}">
      <text>
        <r>
          <rPr>
            <sz val="9"/>
            <color indexed="81"/>
            <rFont val="Tahoma"/>
            <family val="2"/>
          </rPr>
          <t>CECILIA CREW_x000D_
http://yeinfo.com/family/I09066894.html_x000D_
https://www.google.com/search?q=CECILIA+CREW+1220+1260+VERNON_x000D_
.born:?1220    -          Shipbrook (Cheshire) England_x000D_
.died: 1260    -          Cheshire county England, age:40y 0m 0d, _x000D_
.bapt: 1785GE_x000D_
.will: 2004MO_x000D_
.obit: 1890OH_x000D_
.bury: 1850IL _x000D_
.wpbt: 1826PA_x000D_
.anc#:double ancestor_x000D_
citiz:foreign_x000D_
#spos:1_x000D_
#srcs:1_x000D_
#comment:0_x000D_
#events:1_x000D_
#kids:1_x000D_
lived:ENCHESHSHIPBRO_x000D_
issue:_x000D_
.recs:Birth,Marriage,Death_x000D_
.imm?:no_x000D_
..Spo:RALPH VERNON</t>
        </r>
      </text>
    </comment>
    <comment ref="X732" authorId="0" shapeId="0" xr:uid="{25EF17C6-2015-439B-9DEA-C2A1A4BF6CE9}">
      <text>
        <r>
          <rPr>
            <sz val="9"/>
            <color indexed="81"/>
            <rFont val="Tahoma"/>
            <family val="2"/>
          </rPr>
          <t>AGATHA VERNON_x000D_
http://yeinfo.com/family/I09066997.html_x000D_
https://www.google.com/search?q=AGATHA+VERNON+1270+1350+VENABLES_x000D_
.born:?1270    -          Northwich (Cheshire) England_x000D_
.died: 1350    -          Kinderton (Cheshire) England, age:80y 0m 0d, _x000D_
.bapt: 1785GE_x000D_
.will: 2004MO_x000D_
.obit: 1890OH_x000D_
.bury: 1850IL _x000D_
.wpbt: 1826PA_x000D_
.anc#:double ancestor_x000D_
citiz:foreign_x000D_
#spos:1_x000D_
#srcs:1_x000D_
#comment:0_x000D_
#events:1_x000D_
#kids:1_x000D_
lived:ENCHESHKINDERT,ENCHESHNORTWCH_x000D_
issue:_x000D_
.recs:Birth,Marriage,Death_x000D_
.imm?:no_x000D_
..Spo:HUGH VENABLES</t>
        </r>
      </text>
    </comment>
    <comment ref="Z734" authorId="0" shapeId="0" xr:uid="{03B94720-16DC-486D-AD06-5223CC36EBB1}">
      <text>
        <r>
          <rPr>
            <sz val="9"/>
            <color indexed="81"/>
            <rFont val="Tahoma"/>
            <family val="2"/>
          </rPr>
          <t>RANDULPH DACRE_x000D_
http://yeinfo.com/family/I09066897.html_x000D_
https://www.google.com/search?q=RANDULPH+DACRE+1236+1285+JOAN_x000D_
.born: 1236    -          Cumberland county England_x000D_
.died: 12850618-         ?Cumberland county England, age:49y 5m 17d, _x000D_
.bapt: 1785GE_x000D_
.will: 2004MO_x000D_
.obit: 1890OH_x000D_
.bury: 1850IL _x000D_
.wpbt: 1826PA_x000D_
.anc#:double ancestor_x000D_
citiz:foreign_x000D_
#spos:1_x000D_
#srcs:1_x000D_
#comment:1_x000D_
#events:1_x000D_
#kids:1_x000D_
lived:ENCUMBE_x000D_
issue:Died after Age 100_x000D_
.recs:Birth,Marriage,Death_x000D_
.imm?:no_x000D_
..Spo:JOAN LUCY</t>
        </r>
      </text>
    </comment>
    <comment ref="Y736" authorId="0" shapeId="0" xr:uid="{F1E6F40A-75A0-4BCF-9C2F-7C46284D3EEB}">
      <text>
        <r>
          <rPr>
            <sz val="9"/>
            <color indexed="81"/>
            <rFont val="Tahoma"/>
            <family val="2"/>
          </rPr>
          <t>MARY DACRE_x000D_
http://yeinfo.com/family/I09066898.html_x000D_
https://www.google.com/search?q=MARY+DACRE+1250+1319+VERNON_x000D_
.born: 1250    -          Dacre (Cumberland) England_x000D_
.died: 13190601-          Bostock (Cheshire) England, age:69y 5m 0d, _x000D_
.bapt: 1785GE_x000D_
.will: 2004MO_x000D_
.obit: 1890OH_x000D_
.bury: 1850IL _x000D_
.wpbt: 1826PA_x000D_
.anc#:double ancestor_x000D_
citiz:foreign_x000D_
#spos:1_x000D_
#srcs:1_x000D_
#comment:0_x000D_
#events:1_x000D_
#kids:1_x000D_
lived:ENCHESHBOSTOCK,ENCHESHDAVENHA,ENCUMBEDACRE_x000D_
issue:Died after Age 100_x000D_
.recs:Birth,Marriage,Death_x000D_
.imm?:no_x000D_
..Spo:RALPH VERNON</t>
        </r>
      </text>
    </comment>
    <comment ref="Z738" authorId="0" shapeId="0" xr:uid="{F7CF5624-1310-4B5B-9E6D-4B18AEAB4E45}">
      <text>
        <r>
          <rPr>
            <sz val="9"/>
            <color indexed="81"/>
            <rFont val="Tahoma"/>
            <family val="2"/>
          </rPr>
          <t>JOAN LUCY_x000D_
http://yeinfo.com/family/I09066945.html_x000D_
https://www.google.com/search?q=JOAN+LUCY+1236+1288+DACRE_x000D_
.born:?1236    -          Cumberland county England_x000D_
.died: 1288    -          Cumberland county England, age:52y 0m 0d, _x000D_
.bapt: 1785GE_x000D_
.will: 2004MO_x000D_
.obit: 1890OH_x000D_
.bury: 1850IL _x000D_
.wpbt: 1826PA_x000D_
.anc#:double ancestor_x000D_
citiz:foreign_x000D_
#spos:1_x000D_
#srcs:1_x000D_
#comment:1_x000D_
#events:1_x000D_
#kids:1_x000D_
lived:ENCUMBE_x000D_
issue:Died after Age 100_x000D_
.recs:Birth,Marriage,Death_x000D_
.imm?:no_x000D_
..Spo:RANDULPH DACRE</t>
        </r>
      </text>
    </comment>
    <comment ref="V740" authorId="0" shapeId="0" xr:uid="{64BF3B61-E1C2-43EF-ABC4-DFD7EBA15A65}">
      <text>
        <r>
          <rPr>
            <sz val="9"/>
            <color indexed="81"/>
            <rFont val="Tahoma"/>
            <family val="2"/>
          </rPr>
          <t>HUGH VENABLES_x000D_
http://yeinfo.com/family/I09066993.html_x000D_
https://www.google.com/search?q=HUGH+VENABLES+1330+1382+MARGERY_x000D_
.born: 1330    -          Northwich (Cheshire) England_x000D_
.died: 13820418-          Kinderton (Cheshire) England, age:52y 3m 17d, _x000D_
.bapt: 1785GE_x000D_
.will: 2004MO_x000D_
.obit: 1890OH_x000D_
.bury: 1850IL _x000D_
.wpbt: 1826PA_x000D_
.anc#:double ancestor_x000D_
citiz:foreign_x000D_
#spos:1_x000D_
#srcs:1_x000D_
#comment:0_x000D_
#events:2_x000D_
#kids:1_x000D_
lived:ENCHESHKINDERT,ENCHESHNORTWCH,ENLANCS_x000D_
issue:_x000D_
.recs:Birth,Marriage,Death_x000D_
.imm?:no_x000D_
..Spo:MARGERY COTTON</t>
        </r>
      </text>
    </comment>
    <comment ref="Z742" authorId="0" shapeId="0" xr:uid="{7FFADD00-06A8-426A-AC69-AB33438646DD}">
      <text>
        <r>
          <rPr>
            <sz val="9"/>
            <color indexed="81"/>
            <rFont val="Tahoma"/>
            <family val="2"/>
          </rPr>
          <t>ADAM HOUGHTON I_x000D_
http://yeinfo.com/family/I09066925.html_x000D_
https://www.google.com/search?q=ADAM+HOUGHTON+1192+1283+AGNES_x000D_
.born: 1192    -          Warrington (Lancashire) England_x000D_
.died: 1283    -          Lancashire county England, age:91y 0m 0d, _x000D_
.bapt: 1785GE_x000D_
.will: 2004MO_x000D_
.obit: 1890OH_x000D_
.bury: 1850IL _x000D_
.wpbt: 1826PA_x000D_
.anc#:double ancestor_x000D_
citiz:foreign_x000D_
#spos:1_x000D_
#srcs:1_x000D_
#comment:1_x000D_
#events:1_x000D_
#kids:1_x000D_
lived:ENLANCSWARRING,ENLINCSNOCTON_x000D_
issue:_x000D_
.recs:Birth,Marriage,Death_x000D_
.imm?:no_x000D_
..Spo:AGNES HOCTON</t>
        </r>
      </text>
    </comment>
    <comment ref="Y744" authorId="0" shapeId="0" xr:uid="{D3E44529-5A21-42CE-925A-2E1E2F38AF33}">
      <text>
        <r>
          <rPr>
            <sz val="9"/>
            <color indexed="81"/>
            <rFont val="Tahoma"/>
            <family val="2"/>
          </rPr>
          <t>ADAM HOUGHTON IV_x000D_
http://yeinfo.com/family/I09066926.html_x000D_
https://www.google.com/search?q=ADAM+HOUGHTON+1225+1280+AVICIA_x000D_
.born: 1225    -          Warrington (Lancashire) England_x000D_
.died: 1280    -          Lancashire county England, age:55y 0m 0d, _x000D_
.bapt: 1785GE_x000D_
.will: 2004MO_x000D_
.obit: 1890OH_x000D_
.bury: 1850IL _x000D_
.wpbt: 1826PA_x000D_
.anc#:double ancestor_x000D_
citiz:foreign_x000D_
#spos:1_x000D_
#srcs:1_x000D_
#comment:0_x000D_
#events:1_x000D_
#kids:1_x000D_
lived:ENLANCSWARRING_x000D_
issue:_x000D_
.recs:Birth,Marriage,Death_x000D_
.imm?:no_x000D_
..Spo:AVICIA HOWICK</t>
        </r>
      </text>
    </comment>
    <comment ref="Z746" authorId="0" shapeId="0" xr:uid="{60CC7054-F622-44B1-A967-AF509A5D4121}">
      <text>
        <r>
          <rPr>
            <sz val="9"/>
            <color indexed="81"/>
            <rFont val="Tahoma"/>
            <family val="2"/>
          </rPr>
          <t>AGNES HOCTON_x000D_
http://yeinfo.com/family/I09066921.html_x000D_
https://www.google.com/search?q=AGNES+HOCTON+1196+1283+HOUGHTON_x000D_
.born: 1196    -          Lancashire county England_x000D_
.died: 1283    -          Lancashire county England, age:87y 0m 0d, _x000D_
.bapt: 1785GE_x000D_
.will: 2004MO_x000D_
.obit: 1890OH_x000D_
.bury: 1850IL _x000D_
.wpbt: 1826PA_x000D_
.anc#:double ancestor_x000D_
citiz:foreign_x000D_
#spos:1_x000D_
#srcs:1_x000D_
#comment:0_x000D_
#events:1_x000D_
#kids:1_x000D_
lived:ENLANCS,ENLINCSNOCTON_x000D_
issue:_x000D_
.recs:Birth,Marriage,Death_x000D_
.imm?:no_x000D_
..Spo:ADAM HOUGHTON</t>
        </r>
      </text>
    </comment>
    <comment ref="X748" authorId="0" shapeId="0" xr:uid="{C8E0AD13-C6C4-45BB-BAF7-F55E6243943F}">
      <text>
        <r>
          <rPr>
            <sz val="9"/>
            <color indexed="81"/>
            <rFont val="Tahoma"/>
            <family val="2"/>
          </rPr>
          <t>RICHARD HOUGHTON_x000D_
http://yeinfo.com/family/I09066927.html_x000D_
https://www.google.com/search?q=RICHARD+HOUGHTON+1268+1341+SYBIL_x000D_
.born: 1268    -          Warrington (Lancashire) England_x000D_
.died: 134112  -          Lea (Lancashire) England, age:73y 11m 0d, _x000D_
.bapt: 1785GE_x000D_
.will: 2004MO_x000D_
.obit: 1890OH_x000D_
.bury: 1850IL _x000D_
.wpbt: 1826PA_x000D_
.anc#:double ancestor_x000D_
citiz:foreign_x000D_
#spos:1_x000D_
#srcs:1_x000D_
#comment:0_x000D_
#events:1_x000D_
#kids:1_x000D_
lived:ENCHESHMOLLING,ENLANCSLEA,ENLANCSWARRING_x000D_
issue:_x000D_
.recs:Birth,Marriage,Death_x000D_
.imm?:no_x000D_
..Spo:SYBIL LEA</t>
        </r>
      </text>
    </comment>
    <comment ref="Y750" authorId="0" shapeId="0" xr:uid="{5DE70CFA-D1B1-47E4-A138-A77CBE735D59}">
      <text>
        <r>
          <rPr>
            <sz val="9"/>
            <color indexed="81"/>
            <rFont val="Tahoma"/>
            <family val="2"/>
          </rPr>
          <t>AVICIA HOWICK_x000D_
http://yeinfo.com/family/I09066929.html_x000D_
https://www.google.com/search?q=AVICIA+HOWICK+1233+1293+HOUGHTON_x000D_
.born: 1233    -          Sefton (Lancashire) England_x000D_
.died: 1293    -          Lancashire (Lancashire) England, age:60y 0m 0d, _x000D_
.bapt: 1785GE_x000D_
.will: 2004MO_x000D_
.obit: 1890OH_x000D_
.bury: 1850IL _x000D_
.wpbt: 1826PA_x000D_
.anc#:double ancestor_x000D_
citiz:foreign_x000D_
#spos:1_x000D_
#srcs:1_x000D_
#comment:1_x000D_
#events:1_x000D_
#kids:1_x000D_
lived:ENLANCSLANCASH,ENLANCSSEFTON_x000D_
issue:_x000D_
.recs:Birth,Marriage,Death_x000D_
.imm?:no_x000D_
..Spo:ADAM HOUGHTON</t>
        </r>
      </text>
    </comment>
    <comment ref="W752" authorId="0" shapeId="0" xr:uid="{69E00D2F-25A6-4ACE-A950-81BF1EE1F17D}">
      <text>
        <r>
          <rPr>
            <sz val="9"/>
            <color indexed="81"/>
            <rFont val="Tahoma"/>
            <family val="2"/>
          </rPr>
          <t>KATHERINE HOUGHTON_x000D_
http://yeinfo.com/family/I09066928.html_x000D_
https://www.google.com/search?q=KATHERINE+HOUGHTON+1308+1368+VENABLES_x000D_
.born: 1308    -          Mollington (Cheshire) England_x000D_
.died: 1368    -          Kinderton (Cheshire) England, age:60y 0m 0d, _x000D_
.bapt: 1785GE_x000D_
.will: 2004MO_x000D_
.obit: 1890OH_x000D_
.bury: 1850IL _x000D_
.wpbt: 1826PA_x000D_
.anc#:double ancestor_x000D_
citiz:foreign_x000D_
#spos:1_x000D_
#srcs:1_x000D_
#comment:0_x000D_
#events:1_x000D_
#kids:1_x000D_
lived:ENCHESHKINDERT,ENCHESHMOLLING_x000D_
issue:_x000D_
.recs:Birth,Marriage,Death_x000D_
.imm?:no_x000D_
..Spo:HUGH VENABLES</t>
        </r>
      </text>
    </comment>
    <comment ref="Y754" authorId="0" shapeId="0" xr:uid="{D2D34A18-56F9-4E7F-A5B2-713ED4352593}">
      <text>
        <r>
          <rPr>
            <sz val="9"/>
            <color indexed="81"/>
            <rFont val="Tahoma"/>
            <family val="2"/>
          </rPr>
          <t>WILLIAM LEA_x000D_
http://yeinfo.com/family/I09066938.html_x000D_
https://www.google.com/search?q=WILLIAM+LEA+1237+1302+CLEMENCE_x000D_
.born:?1237    -          Lea Hall (Lancashire) England_x000D_
.died: 130204  -          Lea Hall (Lancashire) England, age:65y 3m 0d, _x000D_
.bapt: 1785GE_x000D_
.will: 2004MO_x000D_
.obit: 1890OH_x000D_
.bury: 1850IL _x000D_
.wpbt: 1826PA_x000D_
.anc#:double ancestor_x000D_
citiz:foreign_x000D_
#spos:1_x000D_
#srcs:1_x000D_
#comment:1_x000D_
#events:2_x000D_
#kids:1_x000D_
lived:ENCHESHMOLLING,ENLANCSLEA HAL,ENLANCSPRESTON_x000D_
issue:_x000D_
.recs:Birth,Marriage,Death_x000D_
.imm?:no_x000D_
..Spo:CLEMENCE BANASTRE</t>
        </r>
      </text>
    </comment>
    <comment ref="X756" authorId="0" shapeId="0" xr:uid="{785A7B9D-085F-4FD7-A727-A5DABD555F42}">
      <text>
        <r>
          <rPr>
            <sz val="9"/>
            <color indexed="81"/>
            <rFont val="Tahoma"/>
            <family val="2"/>
          </rPr>
          <t>SYBIL LEA_x000D_
http://yeinfo.com/family/I09066939.html_x000D_
https://www.google.com/search?q=SYBIL+LEA+1283+1330+HOUGHTON_x000D_
.born: 1283    -          Cheshire county England_x000D_
.died: 1330    -          Millington (Cheshire) England, age:47y 0m 0d, _x000D_
.bapt: 1785GE_x000D_
.will: 2004MO_x000D_
.obit: 1890OH_x000D_
.bury: 1850IL _x000D_
.wpbt: 1826PA_x000D_
.anc#:double ancestor_x000D_
citiz:foreign_x000D_
#spos:1_x000D_
#srcs:1_x000D_
#comment:0_x000D_
#events:1_x000D_
#kids:1_x000D_
lived:ENCHESHMILLING,ENCHESHMOLLING_x000D_
issue:_x000D_
.recs:Birth,Marriage,Death_x000D_
.imm?:no_x000D_
..Spo:RICHARD HOUGHTON</t>
        </r>
      </text>
    </comment>
    <comment ref="Y758" authorId="0" shapeId="0" xr:uid="{2F67C928-7A7B-430B-BAF1-8F0A9D00DDBD}">
      <text>
        <r>
          <rPr>
            <sz val="9"/>
            <color indexed="81"/>
            <rFont val="Tahoma"/>
            <family val="2"/>
          </rPr>
          <t>CLEMENCE BANASTRE_x000D_
http://yeinfo.com/family/I09066867.html_x000D_
https://www.google.com/search?q=CLEMENCE+BANASTRE+1240+1298+LEA_x000D_
.born:?1240    -          Mollington (Cheshire) England_x000D_
.died:?1298    -          Mollington (Cheshire) England, age:58y 0m 0d, _x000D_
.bapt: 1785GE_x000D_
.will: 2004MO_x000D_
.obit: 1890OH_x000D_
.bury: 1850IL _x000D_
.wpbt: 1826PA_x000D_
.anc#:double ancestor_x000D_
citiz:foreign_x000D_
#spos:1_x000D_
#srcs:1_x000D_
#comment:1_x000D_
#events:1_x000D_
#kids:1_x000D_
lived:ENCHESHMOLLING_x000D_
issue:_x000D_
.recs:Birth,Marriage,Death_x000D_
.imm?:no_x000D_
..Spo:WILLIAM LEA</t>
        </r>
      </text>
    </comment>
    <comment ref="U760" authorId="0" shapeId="0" xr:uid="{EDE82F18-C7EA-478F-8A2B-40484C427CC8}">
      <text>
        <r>
          <rPr>
            <sz val="9"/>
            <color indexed="81"/>
            <rFont val="Tahoma"/>
            <family val="2"/>
          </rPr>
          <t>WILLIAM RICHARD VENABLES_x000D_
http://yeinfo.com/family/I09066994.html_x000D_
https://www.google.com/search?q=WILLIAM+RICHARD+VENABLES+1376+1459+JOHANNA+JOAN_x000D_
.born: 13760413-          Cheshire county England_x000D_
.died: 1459    -          Cheshire county England, age:82y 8m 19d, _x000D_
.bapt: 1785GE_x000D_
.will: 2004MO_x000D_
.obit: 1890OH_x000D_
.bury: 1850IL _x000D_
.wpbt: 1826PA_x000D_
.anc#:double ancestor_x000D_
citiz:foreign_x000D_
#spos:1_x000D_
#srcs:1_x000D_
#comment:0_x000D_
#events:1_x000D_
#kids:1_x000D_
lived:ENCHESHBURTON_x000D_
issue:_x000D_
.recs:Birth,Marriage,Death_x000D_
.imm?:no_x000D_
..Spo:JOHANNA JOAN MASSEY</t>
        </r>
      </text>
    </comment>
    <comment ref="Z762" authorId="0" shapeId="0" xr:uid="{5AEF8F25-7D88-4026-9B16-E91D12151F3C}">
      <text>
        <r>
          <rPr>
            <sz val="9"/>
            <color indexed="81"/>
            <rFont val="Tahoma"/>
            <family val="2"/>
          </rPr>
          <t>WILLIAM COTTON_x000D_
http://yeinfo.com/family/I09066889.html_x000D_
https://www.google.com/search?q=WILLIAM+COTTON+1235+1290+ISABELLA_x000D_
.born: 1235    -          Coton (Shropshire) England_x000D_
.died: 1290    -         ?Shropshire county England, age:55y 0m 0d, _x000D_
.bapt: 1785GE_x000D_
.will: 2004MO_x000D_
.obit: 1890OH_x000D_
.bury: 1850IL _x000D_
.wpbt: 1826PA_x000D_
.anc#:double ancestor_x000D_
citiz:foreign_x000D_
#spos:1_x000D_
#srcs:1_x000D_
#comment:1_x000D_
#events:1_x000D_
#kids:1_x000D_
lived:ENSHROPCOTON_x000D_
issue:Died after Age 100_x000D_
.recs:Birth,Marriage,Death_x000D_
.imm?:no_x000D_
..Spo:ISABELLA LEON</t>
        </r>
      </text>
    </comment>
    <comment ref="Y764" authorId="0" shapeId="0" xr:uid="{3826A15A-AA66-4EF1-8267-6D56186553B7}">
      <text>
        <r>
          <rPr>
            <sz val="9"/>
            <color indexed="81"/>
            <rFont val="Tahoma"/>
            <family val="2"/>
          </rPr>
          <t>HUGH COTTON_x000D_
http://yeinfo.com/family/I09066890.html_x000D_
https://www.google.com/search?q=HUGH+COTTON+1265+1288+ELIZABETH_x000D_
.born:?1265    -          Tittenley (Cheshire) England_x000D_
.died:?1288    -1350      Rudheath (Cheshire) England, age:23y 0m 0d, _x000D_
.bapt: 1785GE_x000D_
.will: 2004MO_x000D_
.obit: 1890OH_x000D_
.bury: 1850IL _x000D_
.wpbt: 1826PA_x000D_
.anc#:double ancestor_x000D_
citiz:foreign_x000D_
#spos:1_x000D_
#srcs:1_x000D_
#comment:0_x000D_
#events:1_x000D_
#kids:1_x000D_
lived:ENCHESHRUDHEAT,ENCHESHTITTENL_x000D_
issue:Died after Age 100_x000D_
.recs:Birth,Marriage,Death_x000D_
.imm?:no_x000D_
..Spo:ELIZABETH TITTENLEGH</t>
        </r>
      </text>
    </comment>
    <comment ref="Z766" authorId="0" shapeId="0" xr:uid="{76918839-A4D1-4A98-88C1-721FE6A43D41}">
      <text>
        <r>
          <rPr>
            <sz val="9"/>
            <color indexed="81"/>
            <rFont val="Tahoma"/>
            <family val="2"/>
          </rPr>
          <t>ISABELLA LEON_x000D_
http://yeinfo.com/family/I09066943.html_x000D_
https://www.google.com/search?q=ISABELLA+LEON+1234+1302+COTTON_x000D_
.born: 1234    -          Cotton (Cheshire) England_x000D_
.died: 1302    -         ?Cheshire county England, age:68y 0m 0d, _x000D_
.bapt: 1785GE_x000D_
.will: 2004MO_x000D_
.obit: 1890OH_x000D_
.bury: 1850IL _x000D_
.wpbt: 1826PA_x000D_
.anc#:double ancestor_x000D_
citiz:foreign_x000D_
#spos:1_x000D_
#srcs:1_x000D_
#comment:0_x000D_
#events:1_x000D_
#kids:1_x000D_
lived:?ENSHROP,ENCHESHCOTTON_x000D_
issue:Died after Age 100_x000D_
.recs:Birth,Marriage,Death_x000D_
.imm?:no_x000D_
..Spo:WILLIAM COTTON</t>
        </r>
      </text>
    </comment>
    <comment ref="X768" authorId="0" shapeId="0" xr:uid="{CA6008D2-A0E1-4038-9288-7DE937EC34C6}">
      <text>
        <r>
          <rPr>
            <sz val="9"/>
            <color indexed="81"/>
            <rFont val="Tahoma"/>
            <family val="2"/>
          </rPr>
          <t>ALAN COTTON_x000D_
http://yeinfo.com/family/I09066891.html_x000D_
https://www.google.com/search?q=ALAN+COTTON+1290+1322+MARGARET_x000D_
.born: 1290    -          Cotton (Shropshire) England_x000D_
.died: 1322    -         ?Cheshire county England, age:32y 0m 0d, _x000D_
.bapt: 1785GE_x000D_
.will: 2004MO_x000D_
.obit: 1890OH_x000D_
.bury: 1850IL _x000D_
.wpbt: 1826PA_x000D_
.anc#:double ancestor_x000D_
citiz:foreign_x000D_
#spos:1_x000D_
#srcs:1_x000D_
#comment:0_x000D_
#events:1_x000D_
#kids:1_x000D_
lived:?ENCHESH,ENSHROPCOTTON_x000D_
issue:Born after Parent Died_x000D_
.recs:Birth,Marriage,Death_x000D_
.imm?:no_x000D_
..Spo:MARGARET ACTON</t>
        </r>
      </text>
    </comment>
    <comment ref="Z770" authorId="0" shapeId="0" xr:uid="{DD6F60E6-0724-4BE8-8A5E-93F0FA62720A}">
      <text>
        <r>
          <rPr>
            <sz val="9"/>
            <color indexed="81"/>
            <rFont val="Tahoma"/>
            <family val="2"/>
          </rPr>
          <t>HAMON TITTENLEGH_x000D_
http://yeinfo.com/family/I09066978.html_x000D_
https://www.google.com/search?q=HAMON+TITTENLEGH+1209+1295+HAWISE_x000D_
.born: 1209    -          Coton (Shropshire) England_x000D_
.died: 1295    -          Coton (Shropshire) England, age:86y 0m 0d, _x000D_
.bapt: 1785GE_x000D_
.will: 2004MO_x000D_
.obit: 1890OH_x000D_
.bury: 1850IL _x000D_
.wpbt: 1826PA_x000D_
.anc#:double ancestor_x000D_
citiz:foreign_x000D_
#spos:1_x000D_
#srcs:1_x000D_
#comment:0_x000D_
#events:1_x000D_
#kids:1_x000D_
lived:ENSHROPCOTON_x000D_
issue:_x000D_
.recs:Birth,Marriage,Death_x000D_
.imm?:no_x000D_
..Spo:HAWISE ACTON</t>
        </r>
      </text>
    </comment>
    <comment ref="Y772" authorId="0" shapeId="0" xr:uid="{018123F1-FA5B-4BF6-9FF4-945F1B11DF70}">
      <text>
        <r>
          <rPr>
            <sz val="9"/>
            <color indexed="81"/>
            <rFont val="Tahoma"/>
            <family val="2"/>
          </rPr>
          <t>ELIZABETH TITTENLEGH_x000D_
http://yeinfo.com/family/I09066979.html_x000D_
https://www.google.com/search?q=ELIZABETH+TITTENLEGH+1265+1319+COTTON_x000D_
.born:?1265    -          Tittenley (Cheshire) England_x000D_
.died: 1319    -          Coton (Shropshire) England, age:54y 0m 0d, _x000D_
.bapt: 1785GE_x000D_
.will: 2004MO_x000D_
.obit: 1890OH_x000D_
.bury: 1850IL _x000D_
.wpbt: 1826PA_x000D_
.anc#:double ancestor_x000D_
citiz:foreign_x000D_
#spos:1_x000D_
#srcs:1_x000D_
#comment:0_x000D_
#events:1_x000D_
#kids:1_x000D_
lived:ENCHESHTITTENL,ENSHROPCOTON_x000D_
issue:Died after Age 100_x000D_
.recs:Birth,Marriage,Death_x000D_
.imm?:no_x000D_
..Spo:HUGH COTTON</t>
        </r>
      </text>
    </comment>
    <comment ref="Z774" authorId="0" shapeId="0" xr:uid="{D4BF6BF7-FA73-4118-94FF-B162446A8A87}">
      <text>
        <r>
          <rPr>
            <sz val="9"/>
            <color indexed="81"/>
            <rFont val="Tahoma"/>
            <family val="2"/>
          </rPr>
          <t>HAWISE ACTON_x000D_
http://yeinfo.com/family/I09066856.html_x000D_
https://www.google.com/search?q=HAWISE+ACTON+1215+1265+TITTENLEGH_x000D_
.born: 1215    -          Coton (Shropshire) England_x000D_
.died: 1265    -1330     ?Coton (Shropshire) England, age:50y 0m 0d, _x000D_
.bapt: 1785GE_x000D_
.will: 2004MO_x000D_
.obit: 1890OH_x000D_
.bury: 1850IL _x000D_
.wpbt: 1826PA_x000D_
.anc#:double ancestor_x000D_
citiz:foreign_x000D_
#spos:1_x000D_
#srcs:1_x000D_
#comment:0_x000D_
#events:1_x000D_
#kids:1_x000D_
lived:ENSHROPCOTON_x000D_
issue:_x000D_
.recs:Birth,Marriage,Death_x000D_
.imm?:no_x000D_
..Spo:HAMON TITTENLEGH</t>
        </r>
      </text>
    </comment>
    <comment ref="W776" authorId="0" shapeId="0" xr:uid="{908B2E6A-721A-4DAF-94E6-B33CADADB9B7}">
      <text>
        <r>
          <rPr>
            <sz val="9"/>
            <color indexed="81"/>
            <rFont val="Tahoma"/>
            <family val="2"/>
          </rPr>
          <t>HUGH COTTON_x000D_
http://yeinfo.com/family/I09066892.html_x000D_
https://www.google.com/search?q=HUGH+COTTON+1315+1360+ISABEL_x000D_
.born: 1315    -         ?_x000D_
.died: 1360    -          Rudheath (Cheshire) England, age:45y 0m 0d, _x000D_
.bapt: 1785GE_x000D_
.will: 2004MO_x000D_
.obit: 1890OH_x000D_
.bury: 1850IL _x000D_
.wpbt: 1826PA_x000D_
.anc#:double ancestor_x000D_
citiz:foreign_x000D_
#spos:1_x000D_
#srcs:1_x000D_
#comment:0_x000D_
#events:1_x000D_
#kids:1_x000D_
lived:ENCHESHRUDHEAT,ENSHROPALVELEY_x000D_
issue:_x000D_
.recs:Birth,Marriage,Death_x000D_
.imm?:no_x000D_
..Spo:ISABEL HEATON</t>
        </r>
      </text>
    </comment>
    <comment ref="Y778" authorId="0" shapeId="0" xr:uid="{EDC6A0A0-8DCC-4015-A097-8FD1230C2C43}">
      <text>
        <r>
          <rPr>
            <sz val="9"/>
            <color indexed="81"/>
            <rFont val="Tahoma"/>
            <family val="2"/>
          </rPr>
          <t>ROGER ACTON_x000D_
http://yeinfo.com/family/I09066854.html_x000D_
https://www.google.com/search?q=ROGER+ACTON+1273+1343+MATILDA+MAUD_x000D_
.born: 1273    -          Acton (Cheshire) England_x000D_
.died: 1343    -          Acton (Shropshire) England, age:70y 0m 0d, _x000D_
.bapt: 1785GE_x000D_
.will: 2004MO_x000D_
.obit: 1890OH_x000D_
.bury: 1850IL _x000D_
.wpbt: 1826PA_x000D_
.anc#:double ancestor_x000D_
citiz:foreign_x000D_
#spos:1_x000D_
#srcs:1_x000D_
#comment:1_x000D_
#events:1_x000D_
#kids:1_x000D_
lived:ENCHESHACTON,ENSHROPACTON_x000D_
issue:_x000D_
.recs:Birth,Marriage,Death_x000D_
.imm?:no_x000D_
..Spo:MATILDA MAUD D'AGILOFINGES</t>
        </r>
      </text>
    </comment>
    <comment ref="X780" authorId="0" shapeId="0" xr:uid="{1D5A0BC5-5BC4-43CD-96A0-C08F4A866620}">
      <text>
        <r>
          <rPr>
            <sz val="9"/>
            <color indexed="81"/>
            <rFont val="Tahoma"/>
            <family val="2"/>
          </rPr>
          <t>MARGARET ACTON_x000D_
http://yeinfo.com/family/I09066855.html_x000D_
https://www.google.com/search?q=MARGARET+ACTON+1295+1320+COTTON_x000D_
.born: 1295    -          Acton (Cheshire) England_x000D_
.died: 1320    -1380      Cheshire county England, age:25y 0m 0d, _x000D_
.bapt: 1785GE_x000D_
.will: 2004MO_x000D_
.obit: 1890OH_x000D_
.bury: 1850IL _x000D_
.wpbt: 1826PA_x000D_
.anc#:double ancestor_x000D_
citiz:foreign_x000D_
#spos:1_x000D_
#srcs:1_x000D_
#comment:0_x000D_
#events:1_x000D_
#kids:1_x000D_
lived:ENCHESHACTON_x000D_
issue:Died after Age 100_x000D_
.recs:Birth,Marriage,Death_x000D_
.imm?:no_x000D_
..Spo:ALAN COTTON</t>
        </r>
      </text>
    </comment>
    <comment ref="Y782" authorId="0" shapeId="0" xr:uid="{95600645-A4B1-401B-85A9-A345CF968B09}">
      <text>
        <r>
          <rPr>
            <sz val="9"/>
            <color indexed="81"/>
            <rFont val="Tahoma"/>
            <family val="2"/>
          </rPr>
          <t>MATILDA MAUD D'AGILOFINGES_x000D_
http://yeinfo.com/family/I09066899.html_x000D_
https://www.google.com/search?q=MATILDA+MAUD+D'AGILOFINGES+1275+1304+ACTON_x000D_
.born: 1275    -          Acton (Shropshire) England_x000D_
.died: 1304    -          Sodbury Chipping (Gloucestershire) England, age:29y 0m 0d, _x000D_
.bapt: 1785GE_x000D_
.will: 2004MO_x000D_
.obit: 1890OH_x000D_
.bury: 1850IL _x000D_
.wpbt: 1826PA_x000D_
.anc#:double ancestor_x000D_
citiz:foreign_x000D_
#spos:1_x000D_
#srcs:1_x000D_
#comment:1_x000D_
#events:1_x000D_
#kids:1_x000D_
lived:ENGLOUSSODBURY,ENSHROPACTON_x000D_
issue:_x000D_
.recs:Birth,Marriage,Death_x000D_
.imm?:no_x000D_
..Spo:ROGER ACTON</t>
        </r>
      </text>
    </comment>
    <comment ref="V784" authorId="0" shapeId="0" xr:uid="{87762422-807D-4E6D-948A-E5A29C8A0851}">
      <text>
        <r>
          <rPr>
            <sz val="9"/>
            <color indexed="81"/>
            <rFont val="Tahoma"/>
            <family val="2"/>
          </rPr>
          <t>MARGERY COTTON_x000D_
http://yeinfo.com/family/I09066893.html_x000D_
https://www.google.com/search?q=MARGERY+COTTON+1335+1398+VENABLES_x000D_
.born: 1335    -          Rudheath (Cheshire) England_x000D_
.died: 1398    -          Chester (Cheshire) England, age:63y 0m 0d, _x000D_
.bapt: 1785GE_x000D_
.will: 2004MO_x000D_
.obit: 1890OH_x000D_
.bury: 1850IL _x000D_
.wpbt: 1826PA_x000D_
.anc#:double ancestor_x000D_
citiz:foreign_x000D_
#spos:1_x000D_
#srcs:1_x000D_
#comment:0_x000D_
#events:1_x000D_
#kids:1_x000D_
lived:ENCHESHCHESTER,ENCHESHRUDHEAT_x000D_
issue:_x000D_
.recs:Birth,Marriage,Death_x000D_
.imm?:no_x000D_
..Spo:HUGH VENABLES</t>
        </r>
      </text>
    </comment>
    <comment ref="Y786" authorId="0" shapeId="0" xr:uid="{03F5989E-16B1-451A-9CC3-113562CECEB4}">
      <text>
        <r>
          <rPr>
            <sz val="9"/>
            <color indexed="81"/>
            <rFont val="Tahoma"/>
            <family val="2"/>
          </rPr>
          <t>THOMAS HEATON_x000D_
http://yeinfo.com/family/I09066916.html_x000D_
https://www.google.com/search?q=THOMAS+HEATON+1257+1292+JOAN_x000D_
.born: 1257    -          Chillingham (Northumberland) England_x000D_
.died: 1292    -          Heaton (Lancashire) England, age:35y 0m 0d, _x000D_
.bapt: 1785GE_x000D_
.will: 2004MO_x000D_
.obit: 1890OH_x000D_
.bury: 1850IL _x000D_
.wpbt: 1826PA_x000D_
.anc#:double ancestor_x000D_
citiz:foreign_x000D_
#spos:1_x000D_
#srcs:1_x000D_
#comment:1_x000D_
#events:1_x000D_
#kids:1_x000D_
lived:ENLANCSHEATON,ENNORTUCHILLIN_x000D_
issue:_x000D_
.recs:Birth,Marriage,Death_x000D_
.imm?:no_x000D_
..Spo:JOAN NEVILLE</t>
        </r>
      </text>
    </comment>
    <comment ref="X788" authorId="0" shapeId="0" xr:uid="{7F9FC0F7-C3ED-42FE-91E8-D035C865476E}">
      <text>
        <r>
          <rPr>
            <sz val="9"/>
            <color indexed="81"/>
            <rFont val="Tahoma"/>
            <family val="2"/>
          </rPr>
          <t>THOMAS HEATON_x000D_
http://yeinfo.com/family/I09066917.html_x000D_
https://www.google.com/search?q=THOMAS+HEATON+1288+1353+AGNES_x000D_
.born: 1288    -          Chillingham (Northumberland) England_x000D_
.died: 13530130-          Northumberland county England, age:65y 0m 29d, _x000D_
.bapt: 1785GE_x000D_
.will: 2004MO_x000D_
.obit: 1890OH_x000D_
.bury: 1850IL _x000D_
.wpbt: 1826PA_x000D_
.anc#:double ancestor_x000D_
citiz:foreign_x000D_
#spos:1_x000D_
#srcs:1_x000D_
#comment:0_x000D_
#events:1_x000D_
#kids:1_x000D_
lived:ENNORTUCHILLIN_x000D_
issue:_x000D_
.recs:Birth,Marriage,Death_x000D_
.imm?:no_x000D_
..Spo:AGNES HEYTON</t>
        </r>
      </text>
    </comment>
    <comment ref="Y790" authorId="0" shapeId="0" xr:uid="{3464ABC8-3B70-406A-AC3F-FC6E07191CD4}">
      <text>
        <r>
          <rPr>
            <sz val="9"/>
            <color indexed="81"/>
            <rFont val="Tahoma"/>
            <family val="2"/>
          </rPr>
          <t>JOAN NEVILLE_x000D_
http://yeinfo.com/family/I09066953.html_x000D_
https://www.google.com/search?q=JOAN+NEVILLE+1267+1326+HEATON_x000D_
.born: 1267    -          Durham county England_x000D_
.died: 1326    -          Northumberland county England, age:59y 0m 0d, _x000D_
.bapt: 1785GE_x000D_
.will: 2004MO_x000D_
.obit: 1890OH_x000D_
.bury: 1850IL _x000D_
.wpbt: 1826PA_x000D_
.anc#:double ancestor_x000D_
citiz:foreign_x000D_
#spos:1_x000D_
#srcs:1_x000D_
#comment:1_x000D_
#events:1_x000D_
#kids:1_x000D_
lived:ENDURHA,ENNORTU_x000D_
issue:_x000D_
.recs:Birth,Marriage,Death_x000D_
.imm?:no_x000D_
..Spo:THOMAS HEATON</t>
        </r>
      </text>
    </comment>
    <comment ref="W792" authorId="0" shapeId="0" xr:uid="{638E9069-F817-4EFF-AC61-8476BEB2AB36}">
      <text>
        <r>
          <rPr>
            <sz val="9"/>
            <color indexed="81"/>
            <rFont val="Tahoma"/>
            <family val="2"/>
          </rPr>
          <t>ISABEL HEATON_x000D_
http://yeinfo.com/family/I09066918.html_x000D_
https://www.google.com/search?q=ISABEL+HEATON+1317+1335+COTTON_x000D_
.born:?1317    -          Chillingham (Northumberland) England_x000D_
.died: 1335    -1400      Coton (Shropshire) England, age:18y 0m 0d, _x000D_
.bapt: 1785GE_x000D_
.will: 2004MO_x000D_
.obit: 1890OH_x000D_
.bury: 1850IL _x000D_
.wpbt: 1826PA_x000D_
.anc#:double ancestor_x000D_
citiz:foreign_x000D_
#spos:1_x000D_
#srcs:1_x000D_
#comment:0_x000D_
#events:1_x000D_
#kids:1_x000D_
lived:ENNORTUCHILLIN,ENSHROPALVELEY,ENSHROPCOTON_x000D_
issue:Died after Age 100_x000D_
.recs:Birth,Marriage,Death_x000D_
.imm?:no_x000D_
..Spo:HUGH COTTON</t>
        </r>
      </text>
    </comment>
    <comment ref="Y794" authorId="0" shapeId="0" xr:uid="{27DAA284-764D-44D5-B2BC-8CD9D2C710D0}">
      <text>
        <r>
          <rPr>
            <sz val="9"/>
            <color indexed="81"/>
            <rFont val="Tahoma"/>
            <family val="2"/>
          </rPr>
          <t>ELLIS HEYTON_x000D_
http://yeinfo.com/family/I09066919.html_x000D_
https://www.google.com/search?q=ELLIS+HEYTON+1238+1292+JOAN_x000D_
.born: 1238    -          Heaton (Lancashire) England_x000D_
.died: 1292    -          England, age:54y 0m 0d, _x000D_
.bapt: 1785GE_x000D_
.will: 2004MO_x000D_
.obit: 1890OH_x000D_
.bury: 1850IL _x000D_
.wpbt: 1826PA_x000D_
.anc#:double ancestor_x000D_
citiz:foreign_x000D_
#spos:1_x000D_
#srcs:1_x000D_
#comment:1_x000D_
#events:1_x000D_
#kids:1_x000D_
lived:ENLANCSHEATON_x000D_
issue:_x000D_
.recs:Birth,Marriage,Death_x000D_
.imm?:no_x000D_
..Spo:JOAN NEVILLE</t>
        </r>
      </text>
    </comment>
    <comment ref="X796" authorId="0" shapeId="0" xr:uid="{2A4D4E2E-F613-445B-AC1E-329B61101B3A}">
      <text>
        <r>
          <rPr>
            <sz val="9"/>
            <color indexed="81"/>
            <rFont val="Tahoma"/>
            <family val="2"/>
          </rPr>
          <t>AGNES HEYTON_x000D_
http://yeinfo.com/family/I09066920.html_x000D_
https://www.google.com/search?q=AGNES+HEYTON+1292+1336+HEATON_x000D_
.born: 1292    -          Alnwick (Northumberland) England_x000D_
.died: 1336    -          Chillingham (Northumberland) England, age:44y 0m 0d, _x000D_
.bapt: 1785GE_x000D_
.will: 2004MO_x000D_
.obit: 1890OH_x000D_
.bury: 1850IL _x000D_
.wpbt: 1826PA_x000D_
.anc#:double ancestor_x000D_
citiz:foreign_x000D_
#spos:1_x000D_
#srcs:1_x000D_
#comment:0_x000D_
#events:1_x000D_
#kids:1_x000D_
lived:ENNORTUALNWICK,ENNORTUCHILLIN_x000D_
issue:_x000D_
.recs:Birth,Marriage,Death_x000D_
.imm?:no_x000D_
..Spo:THOMAS HEATON</t>
        </r>
      </text>
    </comment>
    <comment ref="Y798" authorId="0" shapeId="0" xr:uid="{D99BD3E5-2095-4B89-AB50-F5DB4BA3EB6C}">
      <text>
        <r>
          <rPr>
            <sz val="9"/>
            <color indexed="81"/>
            <rFont val="Tahoma"/>
            <family val="2"/>
          </rPr>
          <t>JOAN NEVILLE_x000D_
http://yeinfo.com/family/I09066954.html_x000D_
https://www.google.com/search?q=JOAN+NEVILLE+1242+1326+HEYTON_x000D_
.born: 1242    -          Lancashire county England_x000D_
.died: 1326    -          Yorkshire county England, age:84y 0m 0d, _x000D_
.bapt: 1785GE_x000D_
.will: 2004MO_x000D_
.obit: 1890OH_x000D_
.bury: 1850IL _x000D_
.wpbt: 1826PA_x000D_
.anc#:double ancestor_x000D_
citiz:foreign_x000D_
#spos:1_x000D_
#srcs:1_x000D_
#comment:0_x000D_
#events:1_x000D_
#kids:1_x000D_
lived:ENLANCS,ENYORKS_x000D_
issue:_x000D_
.recs:Birth,Marriage,Death_x000D_
.imm?:no_x000D_
..Spo:ELLIS HEYTON</t>
        </r>
      </text>
    </comment>
    <comment ref="T800" authorId="0" shapeId="0" xr:uid="{28BBCCE9-964E-4FC2-8DB2-F02B1F0749B2}">
      <text>
        <r>
          <rPr>
            <sz val="9"/>
            <color indexed="81"/>
            <rFont val="Tahoma"/>
            <family val="2"/>
          </rPr>
          <t>ALICE VENABLES_x000D_
http://yeinfo.com/family/I09066853.html_x000D_
https://www.google.com/search?q=ALICE+VENABLES+1398+1463+TRAFFORD_x000D_
.born: 13981101-          Wilmslow (Cheshire) England_x000D_
.died: 14630923-          Cheshire county England, age:64y 10m 22d, _x000D_
.bapt: 1785GE_x000D_
.will: 2004MO_x000D_
.obit: 1890OH_x000D_
.bury: 1850IL _x000D_
.wpbt: 1826PA_x000D_
.anc#:double ancestor_x000D_
citiz:foreign_x000D_
#spos:1_x000D_
#srcs:1_x000D_
#comment:0_x000D_
#events:1_x000D_
#kids:1_x000D_
lived:ENCHESHWILMSLO_x000D_
issue:_x000D_
.recs:Birth,Marriage,Death_x000D_
.imm?:no_x000D_
..Spo:EDMUND TRAFFORD</t>
        </r>
      </text>
    </comment>
    <comment ref="Z802" authorId="0" shapeId="0" xr:uid="{04869D48-A8E1-4C90-91EE-5212A40F04C4}">
      <text>
        <r>
          <rPr>
            <sz val="9"/>
            <color indexed="81"/>
            <rFont val="Tahoma"/>
            <family val="2"/>
          </rPr>
          <t>WILLIAM MASSEY_x000D_
http://yeinfo.com/family/I09066946.html_x000D_
https://www.google.com/search?q=WILLIAM+MASSEY+1190+1272+MARGERY_x000D_
.born: 1190    -          Cheshire county England_x000D_
.died: 1272    -          Israel, age:82y 0m 0d, died during the 9th Crusade_x000D_
.bapt: 1785GE_x000D_
.will: 2004MO_x000D_
.obit: 1890OH_x000D_
.bury: 1850IL _x000D_
.wpbt: 1826PA_x000D_
.anc#:  quadruple ancestor_x000D_
citiz:foreign_x000D_
#spos:1_x000D_
#srcs:1_x000D_
#comment:1_x000D_
#events:1_x000D_
#kids:1_x000D_
lived:ENCHESH,IS_x000D_
issue:_x000D_
.recs:Birth,Marriage,Death_x000D_
.imm?:no_x000D_
..Spo:MARGERY ROSTHERNE</t>
        </r>
      </text>
    </comment>
    <comment ref="Y804" authorId="0" shapeId="0" xr:uid="{CAE20AD9-0420-4534-BFEA-A4BF0FDEF99E}">
      <text>
        <r>
          <rPr>
            <sz val="9"/>
            <color indexed="81"/>
            <rFont val="Tahoma"/>
            <family val="2"/>
          </rPr>
          <t>ROBERT ROSTHERNE MASSEY_x000D_
http://yeinfo.com/family/I09066947.html_x000D_
https://www.google.com/search?q=ROBERT+ROSTHERNE+MASSEY+1228+1328+MARGARET_x000D_
.born: 1228    -          Cheshire county England_x000D_
.died: 1328    -          Cheshire county England, age:100y 0m 0d, _x000D_
.bapt: 1785GE_x000D_
.will: 2004MO_x000D_
.obit: 1890OH_x000D_
.bury: 1850IL _x000D_
.wpbt: 1826PA_x000D_
.anc#:  quadruple ancestor_x000D_
citiz:foreign_x000D_
#spos:1_x000D_
#srcs:1_x000D_
#comment:0_x000D_
#events:1_x000D_
#kids:1_x000D_
lived:ENCHESH_x000D_
issue:_x000D_
.recs:Birth,Marriage,Death_x000D_
.imm?:no_x000D_
..Spo:MARGARET ROSTHERNE</t>
        </r>
      </text>
    </comment>
    <comment ref="Z806" authorId="0" shapeId="0" xr:uid="{5F45427D-1A7A-486A-940E-6F6C875DF769}">
      <text>
        <r>
          <rPr>
            <sz val="9"/>
            <color indexed="81"/>
            <rFont val="Tahoma"/>
            <family val="2"/>
          </rPr>
          <t>MARGERY ROSTHERNE_x000D_
http://yeinfo.com/family/I09066970.html_x000D_
https://www.google.com/search?q=MARGERY+ROSTHERNE+1190+1228+MASSEY_x000D_
.born: 1190    -          Rostherne (Cheshire) England_x000D_
.died: 1228    -1293      Rostherne (Cheshire) England, age:38y 0m 0d, _x000D_
.bapt: 1785GE_x000D_
.will: 2004MO_x000D_
.obit: 1890OH_x000D_
.bury: 1850IL _x000D_
.wpbt: 1826PA_x000D_
.anc#:  quadruple ancestor_x000D_
citiz:foreign_x000D_
#spos:1_x000D_
#srcs:1_x000D_
#comment:0_x000D_
#events:1_x000D_
#kids:1_x000D_
lived:ENCHESHROSTHER_x000D_
issue:_x000D_
.recs:Birth,Marriage,Death_x000D_
.imm?:no_x000D_
..Spo:WILLIAM MASSEY</t>
        </r>
      </text>
    </comment>
    <comment ref="X808" authorId="0" shapeId="0" xr:uid="{3DE47E28-1432-4A87-AFD5-F2E0A0E16F64}">
      <text>
        <r>
          <rPr>
            <sz val="9"/>
            <color indexed="81"/>
            <rFont val="Tahoma"/>
            <family val="2"/>
          </rPr>
          <t>WILLIAM MASSEY_x000D_
http://yeinfo.com/family/I09066948.html_x000D_
https://www.google.com/search?q=WILLIAM+MASSEY+1290+1338+MARGERY_x000D_
.born: 1290    -          Cheshire county England_x000D_
.died: 13380502-          England, age:48y 4m 1d, _x000D_
.bapt: 1785GE_x000D_
.will: 2004MO_x000D_
.obit: 1890OH_x000D_
.bury: 1850IL _x000D_
.wpbt: 1826PA_x000D_
.anc#:  quadruple ancestor_x000D_
citiz:foreign_x000D_
#spos:1_x000D_
#srcs:1_x000D_
#comment:0_x000D_
#events:1_x000D_
#kids:1_x000D_
lived:ENCHESH_x000D_
issue:Born after Dad Age 60_x000D_
.recs:Birth,Marriage,Death_x000D_
.imm?:no_x000D_
..Spo:MARGERY LEIGH</t>
        </r>
      </text>
    </comment>
    <comment ref="Y810" authorId="0" shapeId="0" xr:uid="{AD95A91D-FBA9-4D75-8C9B-39B2F8A5A35A}">
      <text>
        <r>
          <rPr>
            <sz val="9"/>
            <color indexed="81"/>
            <rFont val="Tahoma"/>
            <family val="2"/>
          </rPr>
          <t>MARGARET ROSTHERNE_x000D_
http://yeinfo.com/family/I09066971.html_x000D_
https://www.google.com/search?q=MARGARET+ROSTHERNE+1242+1340+MASSEY_x000D_
.born: 1242    -          Rostherne (Cheshire) England_x000D_
.died: 1340    -         ?Cheshire county England, age:98y 0m 0d, _x000D_
.bapt: 1785GE_x000D_
.will: 2004MO_x000D_
.obit: 1890OH_x000D_
.bury: 1850IL _x000D_
.wpbt: 1826PA_x000D_
.anc#:  quadruple ancestor_x000D_
citiz:foreign_x000D_
#spos:1_x000D_
#srcs:1_x000D_
#comment:0_x000D_
#events:1_x000D_
#kids:1_x000D_
lived:ENCHESHROSTHER_x000D_
issue:Died after Age 100_x000D_
.recs:Birth,Marriage,Death_x000D_
.imm?:no_x000D_
..Spo:ROBERT ROSTHERNE MASSEY</t>
        </r>
      </text>
    </comment>
    <comment ref="W812" authorId="0" shapeId="0" xr:uid="{9DB181A5-5C1C-4600-8FC0-803B788779D0}">
      <text>
        <r>
          <rPr>
            <sz val="9"/>
            <color indexed="81"/>
            <rFont val="Tahoma"/>
            <family val="2"/>
          </rPr>
          <t>HUGH MASSEY_x000D_
http://yeinfo.com/family/I09066949.html_x000D_
https://www.google.com/search?q=HUGH+MASSEY+1320+1371+ALICE_x000D_
.born: 1320    -          Tatton (Cheshire) England_x000D_
.died: 1371    -          Knutsford (Cheshire) England, age:51y 0m 0d, _x000D_
.bapt: 1785GE_x000D_
.will: 2004MO_x000D_
.obit: 1890OH_x000D_
.bury: 1850IL _x000D_
.wpbt: 1826PA_x000D_
.anc#:  quadruple ancestor_x000D_
citiz:foreign_x000D_
#spos:1_x000D_
#srcs:1_x000D_
#comment:0_x000D_
#events:1_x000D_
#kids:2_x000D_
lived:ENCHESHKNUTSFO,ENCHESHTATTON_x000D_
issue:_x000D_
.recs:Birth,Marriage,Death_x000D_
.imm?:no_x000D_
..Spo:ALICE WRENBURY</t>
        </r>
      </text>
    </comment>
    <comment ref="Y814" authorId="0" shapeId="0" xr:uid="{B015328E-A695-4F4D-89A2-16F741EEF679}">
      <text>
        <r>
          <rPr>
            <sz val="9"/>
            <color indexed="81"/>
            <rFont val="Tahoma"/>
            <family val="2"/>
          </rPr>
          <t>THOMAS LYMM LEIGH_x000D_
http://yeinfo.com/family/I09066941.html_x000D_
https://www.google.com/search?q=THOMAS+LYMM+LEIGH+1263+1317+CECILY\SYBIL_x000D_
.born:?1263    -          Cheshire county England_x000D_
.died: 1317    -          Devon county England, age:54y 0m 0d, _x000D_
.bapt: 1785GE_x000D_
.will: 2004MO_x000D_
.obit: 1890OH_x000D_
.bury: 1850IL _x000D_
.wpbt: 1826PA_x000D_
.anc#:  quadruple ancestor_x000D_
citiz:foreign_x000D_
#spos:1_x000D_
#srcs:1_x000D_
#comment:1_x000D_
#events:1_x000D_
#kids:1_x000D_
lived:ENCHESHHIGHLEI,ENDEVON_x000D_
issue:Died after Age 100_x000D_
.recs:Birth,Marriage,Death_x000D_
.imm?:no_x000D_
..Spo:CECILY\SYBIL LEIGH</t>
        </r>
      </text>
    </comment>
    <comment ref="X816" authorId="0" shapeId="0" xr:uid="{0BD5A693-D25A-4AB7-B905-75640E76079C}">
      <text>
        <r>
          <rPr>
            <sz val="9"/>
            <color indexed="81"/>
            <rFont val="Tahoma"/>
            <family val="2"/>
          </rPr>
          <t>MARGERY LEIGH_x000D_
http://yeinfo.com/family/I09066942.html_x000D_
https://www.google.com/search?q=MARGERY+LEIGH+1280+1338+MASSEY_x000D_
.born:?1280    -          High Leigh (Cheshire) England_x000D_
.died: 1338    -          Cheshire county England, age:58y 0m 0d, _x000D_
.bapt: 1785GE_x000D_
.will: 2004MO_x000D_
.obit: 1890OH_x000D_
.bury: 1850IL _x000D_
.wpbt: 1826PA_x000D_
.anc#:  quadruple ancestor_x000D_
citiz:foreign_x000D_
#spos:1_x000D_
#srcs:1_x000D_
#comment:0_x000D_
#events:1_x000D_
#kids:1_x000D_
lived:ENCHESHHIGHLEI_x000D_
issue:_x000D_
.recs:Birth,Marriage,Death_x000D_
.imm?:no_x000D_
..Spo:WILLIAM MASSEY</t>
        </r>
      </text>
    </comment>
    <comment ref="Y818" authorId="0" shapeId="0" xr:uid="{FFE94B82-1CC1-4041-9E99-0B0A664D0139}">
      <text>
        <r>
          <rPr>
            <sz val="9"/>
            <color indexed="81"/>
            <rFont val="Tahoma"/>
            <family val="2"/>
          </rPr>
          <t>Mrs. CECILY\SYBIL LEIGH_x000D_
http://yeinfo.com/family/I09066940.html_x000D_
https://www.google.com/search?q=CECILY\SYBIL+LEIGH+1250+1305+LEIGH_x000D_
.born:?1250    -          Westhall (Suffolk) England_x000D_
.died: 1305    -          Macclesfield (Cheshire) England, age:55y 0m 0d, _x000D_
.bapt: 1785GE_x000D_
.will: 2004MO_x000D_
.obit: 1890OH_x000D_
.bury: 1850IL _x000D_
.wpbt: 1826PA_x000D_
.anc#:  quadruple ancestor_x000D_
citiz:foreign_x000D_
#spos:1_x000D_
#srcs:1_x000D_
#comment:1_x000D_
#events:1_x000D_
#kids:1_x000D_
lived:ENCHESHHIGHLEI,ENCHESHMACCMAC,ENSUFFOWESTHAL_x000D_
issue:_x000D_
.recs:Birth,Marriage,Death_x000D_
.imm?:no_x000D_
..Spo:THOMAS LYMM LEIGH</t>
        </r>
      </text>
    </comment>
    <comment ref="V820" authorId="0" shapeId="0" xr:uid="{ED68B2BE-D75F-4871-ADD3-2F4D3786561D}">
      <text>
        <r>
          <rPr>
            <sz val="9"/>
            <color indexed="81"/>
            <rFont val="Tahoma"/>
            <family val="2"/>
          </rPr>
          <t>JOHN MASSEY_x000D_
http://yeinfo.com/family/I09066951.html_x000D_
https://www.google.com/search?q=JOHN+MASSEY+1344+1403+ALICE_x000D_
.born: 1344    -          Tatton (Cheshire) England_x000D_
.died: 14030722-          Shropshire county England, age:59y 6m 21d, _x000D_
.bapt: 1785GE_x000D_
.will: 2004MO_x000D_
.obit: 1890OH_x000D_
.bury: 1850IL _x000D_
.wpbt: 1826PA_x000D_
.anc#:double ancestor_x000D_
citiz:foreign_x000D_
#spos:1_x000D_
#srcs:1_x000D_
#comment:0_x000D_
#events:1_x000D_
#kids:1_x000D_
lived:ENCHESHTATTON,ENSHROP_x000D_
issue:Born before Parents Married_x000D_
.recs:Birth,Marriage,Death_x000D_
.imm?:no_x000D_
..Spo:ALICE WORSLEY</t>
        </r>
      </text>
    </comment>
    <comment ref="X822" authorId="0" shapeId="0" xr:uid="{EE83E896-13D5-4CC1-A8E6-34EE105DDCC6}">
      <text>
        <r>
          <rPr>
            <sz val="9"/>
            <color indexed="81"/>
            <rFont val="Tahoma"/>
            <family val="2"/>
          </rPr>
          <t>JOHN WRENBURY_x000D_
http://yeinfo.com/family/I09067009.html_x000D_
https://www.google.com/search?q=JOHN+WRENBURY+1292+1349+ALICE_x000D_
.born: 1292    -          Wrenbury (Cheshire) England_x000D_
.died: 1349    -          Wrenbury (Cheshire) England, age:57y 0m 0d, _x000D_
.bapt: 1785GE_x000D_
.will: 2004MO_x000D_
.obit: 1890OH_x000D_
.bury: 1850IL _x000D_
.wpbt: 1826PA_x000D_
.anc#:  quadruple ancestor_x000D_
citiz:foreign_x000D_
#spos:1_x000D_
#srcs:1_x000D_
#comment:0_x000D_
#events:2_x000D_
#kids:1_x000D_
lived:ENCHESHWRENBUR_x000D_
issue:_x000D_
.recs:Birth,Marriage,Death_x000D_
.imm?:no_x000D_
..Spo:ALICE AUDLEM</t>
        </r>
      </text>
    </comment>
    <comment ref="W824" authorId="0" shapeId="0" xr:uid="{D83B2EE4-5DC6-4488-984E-544DD9033846}">
      <text>
        <r>
          <rPr>
            <sz val="9"/>
            <color indexed="81"/>
            <rFont val="Tahoma"/>
            <family val="2"/>
          </rPr>
          <t>ALICE WRENBURY_x000D_
http://yeinfo.com/family/I09067010.html_x000D_
https://www.google.com/search?q=ALICE+WRENBURY+1320+1370+MASSEY_x000D_
.born: 1320    -          Oulton (Cheshire) England_x000D_
.died: 1370    -          Tatton (Cheshire) England, age:50y 0m 0d, _x000D_
.bapt: 1785GE_x000D_
.will: 2004MO_x000D_
.obit: 1890OH_x000D_
.bury: 1850IL _x000D_
.wpbt: 1826PA_x000D_
.anc#:  quadruple ancestor_x000D_
citiz:foreign_x000D_
#spos:1_x000D_
#srcs:1_x000D_
#comment:0_x000D_
#events:1_x000D_
#kids:2_x000D_
lived:ENCHESHOULTON,ENCHESHTATTON_x000D_
issue:_x000D_
.recs:Birth,Marriage,Death_x000D_
.imm?:no_x000D_
..Spo:HUGH MASSEY</t>
        </r>
      </text>
    </comment>
    <comment ref="X826" authorId="0" shapeId="0" xr:uid="{430C64EB-50AF-4029-8E4E-84BD4FA61530}">
      <text>
        <r>
          <rPr>
            <sz val="9"/>
            <color indexed="81"/>
            <rFont val="Tahoma"/>
            <family val="2"/>
          </rPr>
          <t>ALICE AUDLEM_x000D_
http://yeinfo.com/family/I09066863.html_x000D_
https://www.google.com/search?q=ALICE+AUDLEM+1290+1320+WRENBURY_x000D_
.born: 1290    -          Wrenbury (Cheshire) England_x000D_
.died:?1320    -          Cheshire county England, age:30y 0m 0d, _x000D_
.bapt: 1785GE_x000D_
.will: 2004MO_x000D_
.obit: 1890OH_x000D_
.bury: 1850IL _x000D_
.wpbt: 1826PA_x000D_
.anc#:  quadruple ancestor_x000D_
citiz:foreign_x000D_
#spos:1_x000D_
#srcs:1_x000D_
#comment:0_x000D_
#events:1_x000D_
#kids:1_x000D_
lived:ENCHESHWRENBUR_x000D_
issue:_x000D_
.recs:Birth,Marriage,Death_x000D_
.imm?:no_x000D_
..Spo:JOHN WRENBURY</t>
        </r>
      </text>
    </comment>
    <comment ref="U828" authorId="0" shapeId="0" xr:uid="{6964FFBF-ABC0-4526-AD9B-8B584FE307E8}">
      <text>
        <r>
          <rPr>
            <sz val="9"/>
            <color indexed="81"/>
            <rFont val="Tahoma"/>
            <family val="2"/>
          </rPr>
          <t>JOHANNA JOAN MASSEY_x000D_
http://yeinfo.com/family/I09066952.html_x000D_
https://www.google.com/search?q=JOHANNA+JOAN+MASSEY+1375+1420+VENABLES_x000D_
.born: 1375    -          Tatton (Cheshire) England_x000D_
.died: 1420    -          Cheshire county England, age:45y 0m 0d, _x000D_
.bapt: 1785GE_x000D_
.will: 2004MO_x000D_
.obit: 1890OH_x000D_
.bury: 1850IL _x000D_
.wpbt: 1826PA_x000D_
.anc#:double ancestor_x000D_
citiz:foreign_x000D_
#spos:1_x000D_
#srcs:1_x000D_
#comment:0_x000D_
#events:1_x000D_
#kids:1_x000D_
lived:ENCHESHBURTON,ENCHESHTATTON_x000D_
issue:Born before Parents Married_x000D_
.recs:Birth,Marriage,Death_x000D_
.imm?:no_x000D_
..Spo:WILLIAM RICHARD VENABLES</t>
        </r>
      </text>
    </comment>
    <comment ref="AA830" authorId="0" shapeId="0" xr:uid="{88CB5533-6250-40B7-907D-FAC63B2D34D8}">
      <text>
        <r>
          <rPr>
            <sz val="9"/>
            <color indexed="81"/>
            <rFont val="Tahoma"/>
            <family val="2"/>
          </rPr>
          <t>RICHARD WORSLEY_x000D_
http://yeinfo.com/family/I09066999.html_x000D_
https://www.google.com/search?q=RICHARD+WORSLEY+1218+1292+MAUD_x000D_
.born:?1218    -          Lancashire county England_x000D_
.died: 1292    -          Norway, age:74y 0m 0d, _x000D_
.bapt: 1785GE_x000D_
.will: 2004MO_x000D_
.obit: 1890OH_x000D_
.bury: 1850IL _x000D_
.wpbt: 1826PA_x000D_
.anc#:  quadruple ancestor_x000D_
citiz:foreign_x000D_
#spos:1_x000D_
#srcs:1_x000D_
#comment:1_x000D_
#events:1_x000D_
#kids:1_x000D_
lived:ENLANCS,NO_x000D_
issue:_x000D_
.recs:Birth,Marriage,Death_x000D_
.imm?:no_x000D_
..Spo:MAUD WARDLEY</t>
        </r>
      </text>
    </comment>
    <comment ref="Z832" authorId="0" shapeId="0" xr:uid="{9EC9DE09-7389-4713-A2B9-F7543BD20F3F}">
      <text>
        <r>
          <rPr>
            <sz val="9"/>
            <color indexed="81"/>
            <rFont val="Tahoma"/>
            <family val="2"/>
          </rPr>
          <t>HENRY WORSLEY_x000D_
http://yeinfo.com/family/I09067001.html_x000D_
https://www.google.com/search?q=HENRY+WORSLEY+1240+1303+JOAN+SHORESWORTH_x000D_
.born: 1240    -          England_x000D_
.died: 1303    -          Worsley (Lancashire) England, age:63y 0m 0d, _x000D_
.bapt: 1785GE_x000D_
.will: 2004MO_x000D_
.obit: 1890OH_x000D_
.bury: 1850IL _x000D_
.wpbt: 1826PA_x000D_
.anc#:  quadruple ancestor_x000D_
citiz:foreign_x000D_
#spos:2_x000D_
#srcs:1_x000D_
#comment:1_x000D_
#events:2_x000D_
#kids:2_x000D_
lived:ENLANCSWORSLEY_x000D_
issue:AncFlags between Spouses Mismatched_x000D_
.recs:Birth,Marriage,Death_x000D_
.imm?:no_x000D_
..Spo:JOAN WORSLEY</t>
        </r>
      </text>
    </comment>
    <comment ref="AA834" authorId="0" shapeId="0" xr:uid="{8AE5511F-6A38-45A7-BD04-8DD761B0A16F}">
      <text>
        <r>
          <rPr>
            <sz val="9"/>
            <color indexed="81"/>
            <rFont val="Tahoma"/>
            <family val="2"/>
          </rPr>
          <t>MAUD WARDLEY_x000D_
http://yeinfo.com/family/I09066998.html_x000D_
https://www.google.com/search?q=MAUD+WARDLEY+1240+1277+WORSLEY_x000D_
.born: 1240    -          Wardley (Lancashire) England_x000D_
.died: 1277    -          Lancashire county England, age:37y 0m 0d, _x000D_
.bapt: 1785GE_x000D_
.will: 2004MO_x000D_
.obit: 1890OH_x000D_
.bury: 1850IL _x000D_
.wpbt: 1826PA_x000D_
.anc#:  quadruple ancestor_x000D_
citiz:foreign_x000D_
#spos:1_x000D_
#srcs:1_x000D_
#comment:1_x000D_
#events:1_x000D_
#kids:1_x000D_
lived:ENLANCSWARDLEY_x000D_
issue:Died after Age 100_x000D_
.recs:Birth,Marriage,Death_x000D_
.imm?:no_x000D_
..Spo:RICHARD WORSLEY</t>
        </r>
      </text>
    </comment>
    <comment ref="Y836" authorId="0" shapeId="0" xr:uid="{607D92DF-08C5-4BF4-9A06-68D8180EB2BF}">
      <text>
        <r>
          <rPr>
            <sz val="9"/>
            <color indexed="81"/>
            <rFont val="Tahoma"/>
            <family val="2"/>
          </rPr>
          <t>RICHARD WORSLEY_x000D_
http://yeinfo.com/family/I09067003.html_x000D_
https://www.google.com/search?q=RICHARD+WORSLEY+1265+1334+MARGARET_x000D_
.born:?1265    -          Worsley (Lancashire) England_x000D_
.died: 1334    -          Worsley (Lancashire) England, age:69y 0m 0d, _x000D_
.bapt: 1785GE_x000D_
.will: 2004MO_x000D_
.obit: 1890OH_x000D_
.bury: 1850IL _x000D_
.wpbt: 1826PA_x000D_
.anc#:double ancestor_x000D_
citiz:foreign_x000D_
#spos:1_x000D_
#srcs:1_x000D_
#comment:0_x000D_
#events:1_x000D_
#kids:1_x000D_
lived:ENLANCSWORSLEY_x000D_
issue:_x000D_
.recs:Birth,Marriage,Death_x000D_
.imm?:no_x000D_
..Spo:MARGARET WORSLEY</t>
        </r>
      </text>
    </comment>
    <comment ref="Z838" authorId="0" shapeId="0" xr:uid="{15979AE9-F227-40B5-B5A3-3765C2F31987}">
      <text>
        <r>
          <rPr>
            <sz val="9"/>
            <color indexed="81"/>
            <rFont val="Tahoma"/>
            <family val="2"/>
          </rPr>
          <t>Mrs. JOAN WORSLEY_x000D_
http://yeinfo.com/family/I09067000.html_x000D_
https://www.google.com/search?q=JOAN+WORSLEY+1240+1293+WORSLEY_x000D_
.born: 1240    -          England_x000D_
.died: 1293    -          Worsley (Lancashire) England, age:53y 0m 0d, _x000D_
.bapt: 1785GE_x000D_
.will: 2004MO_x000D_
.obit: 1890OH_x000D_
.bury: 1850IL _x000D_
.wpbt: 1826PA_x000D_
.anc#:double ancestor_x000D_
citiz:foreign_x000D_
#spos:1_x000D_
#srcs:1_x000D_
#comment:0_x000D_
#events:1_x000D_
#kids:1_x000D_
lived:ENLANCSWORSLEY_x000D_
issue:_x000D_
.recs:Birth,Marriage,Death_x000D_
.imm?:no_x000D_
..Spo:HENRY WORSLEY</t>
        </r>
      </text>
    </comment>
    <comment ref="X840" authorId="0" shapeId="0" xr:uid="{D86D5CDD-1983-43FA-928B-327C1362AD82}">
      <text>
        <r>
          <rPr>
            <sz val="9"/>
            <color indexed="81"/>
            <rFont val="Tahoma"/>
            <family val="2"/>
          </rPr>
          <t>HENRY WORSLEY II_x000D_
http://yeinfo.com/family/I09067005.html_x000D_
https://www.google.com/search?q=HENRY+WORSLEY+1295+1318+ALICE_x000D_
.born: 1295    -          Barton (Lancashire) England_x000D_
.died: 1318    -1350      Cheshire county England, age:23y 0m 0d, _x000D_
.bapt: 1785GE_x000D_
.will: 2004MO_x000D_
.obit: 1890OH_x000D_
.bury: 1850IL _x000D_
.wpbt: 1826PA_x000D_
.anc#:double ancestor_x000D_
citiz:foreign_x000D_
#spos:1_x000D_
#srcs:1_x000D_
#comment:0_x000D_
#events:1_x000D_
#kids:1_x000D_
lived:ENCHESH,ENLANCSBARTON_x000D_
issue:_x000D_
.recs:Birth,Marriage,Death_x000D_
.imm?:no_x000D_
..Spo:ALICE RADCLIFFE</t>
        </r>
      </text>
    </comment>
    <comment ref="Y842" authorId="0" shapeId="0" xr:uid="{2CC95558-F1EC-4BD5-AC20-92450DAE5B6D}">
      <text>
        <r>
          <rPr>
            <sz val="9"/>
            <color indexed="81"/>
            <rFont val="Tahoma"/>
            <family val="2"/>
          </rPr>
          <t>Mrs. MARGARET WORSLEY_x000D_
http://yeinfo.com/family/I09067002.html_x000D_
https://www.google.com/search?q=MARGARET+WORSLEY+1275+1295+WORSLEY_x000D_
.born:?1275    -          Manchester (Lancashire) England_x000D_
.died: 1295    -1360     ?Lancashire county England, age:20y 0m 0d, _x000D_
.bapt: 1785GE_x000D_
.will: 2004MO_x000D_
.obit: 1890OH_x000D_
.bury: 1850IL _x000D_
.wpbt: 1826PA_x000D_
.anc#:double ancestor_x000D_
citiz:foreign_x000D_
#spos:1_x000D_
#srcs:1_x000D_
#comment:0_x000D_
#events:1_x000D_
#kids:1_x000D_
lived:ENLANCSMANCHES_x000D_
issue:_x000D_
.recs:Birth,Marriage,Death_x000D_
.imm?:no_x000D_
..Spo:RICHARD WORSLEY</t>
        </r>
      </text>
    </comment>
    <comment ref="W844" authorId="0" shapeId="0" xr:uid="{C637CB25-895A-4971-9E34-42B6E326B1DC}">
      <text>
        <r>
          <rPr>
            <sz val="9"/>
            <color indexed="81"/>
            <rFont val="Tahoma"/>
            <family val="2"/>
          </rPr>
          <t>GEOFFREY WORSLEY_x000D_
http://yeinfo.com/family/I09067006.html_x000D_
https://www.google.com/search?q=GEOFFREY+WORSLEY+1318+1352+ANABEL_x000D_
.born: 1318    -          Worsley (Lancashire) England_x000D_
.died: 1352    -          Lancashire county England, age:34y 0m 0d, _x000D_
.bapt: 1785GE_x000D_
.will: 2004MO_x000D_
.obit: 1890OH_x000D_
.bury: 1850IL _x000D_
.wpbt: 1826PA_x000D_
.anc#:double ancestor_x000D_
citiz:foreign_x000D_
#spos:1_x000D_
#srcs:1_x000D_
#comment:0_x000D_
#events:1_x000D_
#kids:1_x000D_
lived:ENLANCSWORSLEY_x000D_
issue:_x000D_
.recs:Birth,Marriage,Death_x000D_
.imm?:no_x000D_
..Spo:ANABEL HAYDOCK</t>
        </r>
      </text>
    </comment>
    <comment ref="AA846" authorId="0" shapeId="0" xr:uid="{4F870116-4A8B-43E4-A931-3A2F0AE46EE9}">
      <text>
        <r>
          <rPr>
            <sz val="9"/>
            <color indexed="81"/>
            <rFont val="Tahoma"/>
            <family val="2"/>
          </rPr>
          <t>ROBERT RADCLIFFE_x000D_
http://yeinfo.com/family/I09066959.html_x000D_
https://www.google.com/search?q=ROBERT+RADCLIFFE+1208+1239+AMBIL\AMABIL_x000D_
.born:?1208    -          Lancashire county England_x000D_
.died: 1239    -1290     ?Lancashire county England, age:31y 0m 0d, _x000D_
.bapt: 1785GE_x000D_
.will: 2004MO_x000D_
.obit: 1890OH_x000D_
.bury: 1850IL _x000D_
.wpbt: 1826PA_x000D_
.anc#: decuple ancestor_x000D_
citiz:foreign_x000D_
#spos:1_x000D_
#srcs:3_x000D_
#comment:1_x000D_
#events:1_x000D_
#kids:1_x000D_
lived:ENLANCS_x000D_
issue:Died after Age 100_x000D_
.recs:Birth,Marriage,Death_x000D_
.imm?:no_x000D_
..Spo:AMBIL\AMABIL TRAFFORD</t>
        </r>
      </text>
    </comment>
    <comment ref="Z848" authorId="0" shapeId="0" xr:uid="{EF01F72E-310E-4A22-BB43-45CAB5A8E27D}">
      <text>
        <r>
          <rPr>
            <sz val="9"/>
            <color indexed="81"/>
            <rFont val="Tahoma"/>
            <family val="2"/>
          </rPr>
          <t>RICHARD RADCLIFFE_x000D_
http://yeinfo.com/family/I09066960.html_x000D_
https://www.google.com/search?q=RICHARD+RADCLIFFE+1224+1326+JOAN\MARGARET_x000D_
.born: 1224    -          Lancashire county England_x000D_
.died: 1326    -          Lancashire county England, age:102y 0m 0d, _x000D_
.bapt: 1785GE_x000D_
.will: 2004MO_x000D_
.obit: 1890OH_x000D_
.bury: 1850IL _x000D_
.wpbt: 1826PA_x000D_
.anc#: decuple ancestor_x000D_
citiz:foreign_x000D_
#spos:1_x000D_
#srcs:3_x000D_
#comment:0_x000D_
#events:1_x000D_
#kids:2_x000D_
lived:ENLANCS_x000D_
issue:Married after Age 60_x000D_
.recs:Birth,Marriage,Death_x000D_
.imm?:no_x000D_
..Spo:JOAN\MARGARET BOTELER</t>
        </r>
      </text>
    </comment>
    <comment ref="AA850" authorId="0" shapeId="0" xr:uid="{8881D88C-E771-4C35-AC71-9B7859052FEA}">
      <text>
        <r>
          <rPr>
            <sz val="9"/>
            <color indexed="81"/>
            <rFont val="Tahoma"/>
            <family val="2"/>
          </rPr>
          <t>AMBIL\AMABIL TRAFFORD_x000D_
http://yeinfo.com/family/I09066988.html_x000D_
https://www.google.com/search?q=AMBIL\AMABIL+TRAFFORD+1222+1239+RADCLIFFE_x000D_
.born:?1222    -          Lancashire county England_x000D_
.died: 1239    -1304     ?Lancashire county England, age:17y 0m 0d, _x000D_
.bapt: 1785GE_x000D_
.will: 2004MO_x000D_
.obit: 1890OH_x000D_
.bury: 1850IL _x000D_
.wpbt: 1826PA_x000D_
.anc#: decuple ancestor_x000D_
citiz:foreign_x000D_
#spos:1_x000D_
#srcs:3_x000D_
#comment:1_x000D_
#events:1_x000D_
#kids:1_x000D_
lived:ENLANCS_x000D_
issue:Died after Age 100_x000D_
.recs:Birth,Marriage,Death_x000D_
.imm?:no_x000D_
..Spo:ROBERT RADCLIFFE</t>
        </r>
      </text>
    </comment>
    <comment ref="Y852" authorId="0" shapeId="0" xr:uid="{0A7FE223-A547-4F1E-8330-07BF5F35A7E4}">
      <text>
        <r>
          <rPr>
            <sz val="9"/>
            <color indexed="81"/>
            <rFont val="Tahoma"/>
            <family val="2"/>
          </rPr>
          <t>WILLIAM RADCLIFFE_x000D_
http://yeinfo.com/family/I09066961.html_x000D_
https://www.google.com/search?q=WILLIAM+RADCLIFFE+1267+1333+MARGARET_x000D_
.born: 1267    -          Lancashire county England_x000D_
.died: 1333    -         ?Lancashire county England, age:66y 0m 0d, _x000D_
.bapt: 1785GE_x000D_
.will: 2004MO_x000D_
.obit: 1890OH_x000D_
.bury: 1850IL _x000D_
.wpbt: 1826PA_x000D_
.anc#:  octuple ancestor_x000D_
citiz:foreign_x000D_
#spos:1_x000D_
#srcs:4_x000D_
#comment:0_x000D_
#events:1_x000D_
#kids:2_x000D_
lived:ENLANCS_x000D_
issue:_x000D_
.recs:Birth,Marriage,Death_x000D_
.imm?:no_x000D_
..Spo:MARGARET PEASFURLONG</t>
        </r>
      </text>
    </comment>
    <comment ref="AA854" authorId="0" shapeId="0" xr:uid="{3B40946F-D89F-4EDC-B8E8-6269E3EF3EB5}">
      <text>
        <r>
          <rPr>
            <sz val="9"/>
            <color indexed="81"/>
            <rFont val="Tahoma"/>
            <family val="2"/>
          </rPr>
          <t>HENRY\WILLIAM\ROBERT BOTELER_x000D_
http://yeinfo.com/family/I09066877.html_x000D_
https://www.google.com/search?q=HENRY\WILLIAM\ROBERT+BOTELER+1230+1247+ISABELLA_x000D_
.born:?1230    -          Warrington (Lancashire) England_x000D_
.died: 1247    -1280     ?Lancashire county England, age:17y 0m 0d, _x000D_
.bapt: 1785GE_x000D_
.will: 2004MO_x000D_
.obit: 1890OH_x000D_
.bury: 1850IL _x000D_
.wpbt: 1826PA_x000D_
.anc#: decuple ancestor_x000D_
citiz:foreign_x000D_
#spos:1_x000D_
#srcs:1_x000D_
#comment:1_x000D_
#events:2_x000D_
#kids:1_x000D_
lived:ENLANCSWARRING_x000D_
issue:_x000D_
.recs:Birth,Marriage,Death_x000D_
.imm?:no_x000D_
..Spo:ISABELLA BOTELER</t>
        </r>
      </text>
    </comment>
    <comment ref="Z856" authorId="0" shapeId="0" xr:uid="{DFD27A92-31B1-480C-BF07-2930711155F8}">
      <text>
        <r>
          <rPr>
            <sz val="9"/>
            <color indexed="81"/>
            <rFont val="Tahoma"/>
            <family val="2"/>
          </rPr>
          <t>JOAN\MARGARET BOTELER_x000D_
http://yeinfo.com/family/I09066878.html_x000D_
https://www.google.com/search?q=JOAN\MARGARET+BOTELER+1232+1267+RADCLIFFE_x000D_
.born: 1232    -          Warrington (Lancashire) England_x000D_
.died: 1267    -1332     ?Lancashire county England, age:35y 0m 0d, _x000D_
.bapt: 1785GE_x000D_
.will: 2004MO_x000D_
.obit: 1890OH_x000D_
.bury: 1850IL _x000D_
.wpbt: 1826PA_x000D_
.anc#: decuple ancestor_x000D_
citiz:foreign_x000D_
#spos:1_x000D_
#srcs:3_x000D_
#comment:0_x000D_
#events:1_x000D_
#kids:2_x000D_
lived:ENLANCSWARRING_x000D_
issue:Born before Parents Married_x000D_
.recs:Birth,Marriage,Death_x000D_
.imm?:no_x000D_
..Spo:RICHARD RADCLIFFE</t>
        </r>
      </text>
    </comment>
    <comment ref="AA858" authorId="0" shapeId="0" xr:uid="{DEC99031-87BF-425A-A17D-189EA4B03B05}">
      <text>
        <r>
          <rPr>
            <sz val="9"/>
            <color indexed="81"/>
            <rFont val="Tahoma"/>
            <family val="2"/>
          </rPr>
          <t>Mrs. ISABELLA BOTELER_x000D_
http://yeinfo.com/family/I09066876.html_x000D_
https://www.google.com/search?q=ISABELLA+BOTELER+1227+1247+BOTELER_x000D_
.born:?1227    -          Merton (Lancashire) England_x000D_
.died: 1247    -1312     ?Lancashire county England, age:20y 0m 0d, _x000D_
.bapt: 1785GE_x000D_
.will: 2004MO_x000D_
.obit: 1890OH_x000D_
.bury: 1850IL _x000D_
.wpbt: 1826PA_x000D_
.anc#: decuple ancestor_x000D_
citiz:foreign_x000D_
#spos:1_x000D_
#srcs:2_x000D_
#comment:1_x000D_
#events:1_x000D_
#kids:1_x000D_
lived:ENLANCSMERTON_x000D_
issue:_x000D_
.recs:Birth,Marriage,Death_x000D_
.imm?:no_x000D_
..Spo:HENRY\WILLIAM\ROBERT BOTELER</t>
        </r>
      </text>
    </comment>
    <comment ref="X860" authorId="0" shapeId="0" xr:uid="{88F5A323-551F-4C8F-8B74-7B8ADD715929}">
      <text>
        <r>
          <rPr>
            <sz val="9"/>
            <color indexed="81"/>
            <rFont val="Tahoma"/>
            <family val="2"/>
          </rPr>
          <t>ALICE RADCLIFFE_x000D_
http://yeinfo.com/family/I09066962.html_x000D_
https://www.google.com/search?q=ALICE+RADCLIFFE+1298+1354+WORSLEY_x000D_
.born: 1298    -          Radcliffe (Lancashire) England_x000D_
.died: 1354    -          Barton (Lancashire) England, age:56y 0m 0d, _x000D_
.bapt: 1785GE_x000D_
.will: 2004MO_x000D_
.obit: 1890OH_x000D_
.bury: 1850IL _x000D_
.wpbt: 1826PA_x000D_
.anc#:double ancestor_x000D_
citiz:foreign_x000D_
#spos:1_x000D_
#srcs:1_x000D_
#comment:0_x000D_
#events:1_x000D_
#kids:1_x000D_
lived:ENLANCSBARTON,ENLANCSRADCLIF_x000D_
issue:Born after Parent Died,Born after Mom Age 50_x000D_
.recs:Birth,Marriage,Death_x000D_
.imm?:no_x000D_
..Spo:HENRY WORSLEY</t>
        </r>
      </text>
    </comment>
    <comment ref="Z862" authorId="0" shapeId="0" xr:uid="{AF94030B-282E-4AE3-902A-80C777680B42}">
      <text>
        <r>
          <rPr>
            <sz val="9"/>
            <color indexed="81"/>
            <rFont val="Tahoma"/>
            <family val="2"/>
          </rPr>
          <t>ADAM PEASFURLONG_x000D_
http://yeinfo.com/family/I09066956.html_x000D_
https://www.google.com/search?q=ADAM+PEASFURLONG+1242+1274+ELIZABETH_x000D_
.born:?1242    -          Wigan (Lancashire) England_x000D_
.died: 1274    -1339     ?Lancashire county England, age:32y 0m 0d, _x000D_
.bapt: 1785GE_x000D_
.will: 2004MO_x000D_
.obit: 1890OH_x000D_
.bury: 1850IL _x000D_
.wpbt: 1826PA_x000D_
.anc#:  octuple ancestor_x000D_
citiz:foreign_x000D_
#spos:1_x000D_
#srcs:3_x000D_
#comment:0_x000D_
#events:1_x000D_
#kids:1_x000D_
lived:ENLANCSWIGAN_x000D_
issue:_x000D_
.recs:Birth,Marriage,Death_x000D_
.imm?:no_x000D_
..Spo:ELIZABETH CULCHETH</t>
        </r>
      </text>
    </comment>
    <comment ref="Y864" authorId="0" shapeId="0" xr:uid="{ED4604BF-4B66-4E8B-ACCE-D1EBC16A5792}">
      <text>
        <r>
          <rPr>
            <sz val="9"/>
            <color indexed="81"/>
            <rFont val="Tahoma"/>
            <family val="2"/>
          </rPr>
          <t>MARGARET PEASFURLONG_x000D_
http://yeinfo.com/family/I09066957.html_x000D_
https://www.google.com/search?q=MARGARET+PEASFURLONG+1244+1290+RADCLIFFE_x000D_
.born: 1244    -          Warrington (Lancashire) England_x000D_
.died: 1290    -1355     ?Lancashire county England, age:46y 0m 0d, _x000D_
.bapt: 1785GE_x000D_
.will: 2004MO_x000D_
.obit: 1890OH_x000D_
.bury: 1850IL _x000D_
.wpbt: 1826PA_x000D_
.anc#:  octuple ancestor_x000D_
citiz:foreign_x000D_
#spos:1_x000D_
#srcs:4_x000D_
#comment:0_x000D_
#events:1_x000D_
#kids:2_x000D_
lived:ENLANCSWARRING_x000D_
issue:Born before Parents Married_x000D_
.recs:Birth,Marriage,Death_x000D_
.imm?:no_x000D_
..Spo:WILLIAM RADCLIFFE</t>
        </r>
      </text>
    </comment>
    <comment ref="AA866" authorId="0" shapeId="0" xr:uid="{C8AC367B-DE14-46AF-B184-9AD01519DA8A}">
      <text>
        <r>
          <rPr>
            <sz val="9"/>
            <color indexed="81"/>
            <rFont val="Tahoma"/>
            <family val="2"/>
          </rPr>
          <t>GILBERT CULCHETH_x000D_
http://yeinfo.com/family/I09066895.html_x000D_
https://www.google.com/search?q=GILBERT+CULCHETH+1205+1246+CECILIA_x000D_
.born:?1205    -          Culcheth (Lancashire) England_x000D_
.died: 1246    -         ?Lancashire county England, age:41y 0m 0d, _x000D_
.bapt: 1785GE_x000D_
.will: 2004MO_x000D_
.obit: 1890OH_x000D_
.bury: 1850IL _x000D_
.wpbt: 1826PA_x000D_
.anc#:  octuple ancestor_x000D_
citiz:foreign_x000D_
#spos:1_x000D_
#srcs:3_x000D_
#comment:1_x000D_
#events:1_x000D_
#kids:1_x000D_
lived:ENLANCSCULCHET_x000D_
issue:Died after Age 100_x000D_
.recs:Birth,Marriage,Death_x000D_
.imm?:no_x000D_
..Spo:CECILIA LATHOM</t>
        </r>
      </text>
    </comment>
    <comment ref="Z868" authorId="0" shapeId="0" xr:uid="{8AB3D8FD-AACD-46A6-BE75-B07C5793B78C}">
      <text>
        <r>
          <rPr>
            <sz val="9"/>
            <color indexed="81"/>
            <rFont val="Tahoma"/>
            <family val="2"/>
          </rPr>
          <t>ELIZABETH CULCHETH_x000D_
http://yeinfo.com/family/I09066896.html_x000D_
https://www.google.com/search?q=ELIZABETH+CULCHETH+1215+1274+PEASFURLONG_x000D_
.born: 1215    -          Culcheth (Lancashire) England_x000D_
.died: 1274    -1339     ?Lancashire county England, age:59y 0m 0d, _x000D_
.bapt: 1785GE_x000D_
.will: 2004MO_x000D_
.obit: 1890OH_x000D_
.bury: 1850IL _x000D_
.wpbt: 1826PA_x000D_
.anc#:  octuple ancestor_x000D_
citiz:foreign_x000D_
#spos:1_x000D_
#srcs:3_x000D_
#comment:0_x000D_
#events:1_x000D_
#kids:1_x000D_
lived:ENLANCSCULCHET_x000D_
issue:_x000D_
.recs:Birth,Marriage,Death_x000D_
.imm?:no_x000D_
..Spo:ADAM PEASFURLONG</t>
        </r>
      </text>
    </comment>
    <comment ref="AA870" authorId="0" shapeId="0" xr:uid="{4BB4C544-4812-45BB-A711-536AB366DC65}">
      <text>
        <r>
          <rPr>
            <sz val="9"/>
            <color indexed="81"/>
            <rFont val="Tahoma"/>
            <family val="2"/>
          </rPr>
          <t>CECILIA LATHOM_x000D_
http://yeinfo.com/family/I09066935.html_x000D_
https://www.google.com/search?q=CECILIA+LATHOM+1222+1245+CULCHETH_x000D_
.born:?1222    -          Latham (Lancashire) England_x000D_
.died: 1245    -1310     ?Lancashire county England, age:23y 0m 0d, _x000D_
.bapt: 1785GE_x000D_
.will: 2004MO_x000D_
.obit: 1890OH_x000D_
.bury: 1850IL _x000D_
.wpbt: 1826PA_x000D_
.anc#:  octuple ancestor_x000D_
citiz:foreign_x000D_
#spos:1_x000D_
#srcs:3_x000D_
#comment:1_x000D_
#events:1_x000D_
#kids:1_x000D_
lived:ENLANCSLATHAM_x000D_
issue:Died after Age 100_x000D_
.recs:Birth,Marriage,Death_x000D_
.imm?:no_x000D_
..Spo:GILBERT CULCHETH</t>
        </r>
      </text>
    </comment>
    <comment ref="V872" authorId="0" shapeId="0" xr:uid="{D9ADE276-FA89-4A2F-924B-C5314EAD28D3}">
      <text>
        <r>
          <rPr>
            <sz val="9"/>
            <color indexed="81"/>
            <rFont val="Tahoma"/>
            <family val="2"/>
          </rPr>
          <t>ALICE WORSLEY_x000D_
http://yeinfo.com/family/I09067008.html_x000D_
https://www.google.com/search?q=ALICE+WORSLEY+1352+1427+MASSEY_x000D_
.born: 1352    -          Oxfordshire county England_x000D_
.died: 14271006-          Knutsford (Cheshire) England, age:75y 9m 5d, _x000D_
.bapt: 1785GE_x000D_
.will: 2004MO_x000D_
.obit: 1890OH_x000D_
.bury: 1850IL _x000D_
.wpbt: 1826PA_x000D_
.anc#:double ancestor_x000D_
citiz:foreign_x000D_
#spos:1_x000D_
#srcs:1_x000D_
#comment:0_x000D_
#events:1_x000D_
#kids:1_x000D_
lived:ENCHESHKNUTSFO,ENCHESHTATTON,ENOXFOS_x000D_
issue:_x000D_
.recs:Birth,Marriage,Death_x000D_
.imm?:no_x000D_
..Spo:JOHN MASSEY</t>
        </r>
      </text>
    </comment>
    <comment ref="AA874" authorId="0" shapeId="0" xr:uid="{60923537-F420-4B93-BFEF-0922E8918D91}">
      <text>
        <r>
          <rPr>
            <sz val="9"/>
            <color indexed="81"/>
            <rFont val="Tahoma"/>
            <family val="2"/>
          </rPr>
          <t>HUGH HAYDOCK_x000D_
http://yeinfo.com/family/I09066910.html_x000D_
https://www.google.com/search?q=HUGH+HAYDOCK+1190+1270+CECELIA_x000D_
.born: 1190    -          Haydock (Lancashire) England_x000D_
.died: 1270    -          Haydock (Lancashire) England, age:80y 0m 0d, _x000D_
.bapt: 1785GE_x000D_
.will: 2004MO_x000D_
.obit: 1890OH_x000D_
.bury: 1850IL _x000D_
.wpbt: 1826PA_x000D_
.anc#:double ancestor_x000D_
citiz:foreign_x000D_
#spos:1_x000D_
#srcs:1_x000D_
#comment:1_x000D_
#events:1_x000D_
#kids:1_x000D_
lived:ENCHESHCHURLAW,ENLANCSHAYDOCK_x000D_
issue:_x000D_
.recs:Birth,Marriage,Death_x000D_
.imm?:no_x000D_
..Spo:CECELIA LAUTON</t>
        </r>
      </text>
    </comment>
    <comment ref="Z876" authorId="0" shapeId="0" xr:uid="{351CA42D-9AE2-4F9D-A17F-17ADDEEE7112}">
      <text>
        <r>
          <rPr>
            <sz val="9"/>
            <color indexed="81"/>
            <rFont val="Tahoma"/>
            <family val="2"/>
          </rPr>
          <t>GILBERT HAYDOCK_x000D_
http://yeinfo.com/family/I09066911.html_x000D_
https://www.google.com/search?q=GILBERT+HAYDOCK+1210+1299+ALICIA_x000D_
.born: 1210    -          England_x000D_
.died: 1299    -          Haydock (Lancashire) England, age:89y 0m 0d, _x000D_
.bapt: 1785GE_x000D_
.will: 2004MO_x000D_
.obit: 1890OH_x000D_
.bury: 1850IL _x000D_
.wpbt: 1826PA_x000D_
.anc#:double ancestor_x000D_
citiz:foreign_x000D_
#spos:1_x000D_
#srcs:1_x000D_
#comment:0_x000D_
#events:1_x000D_
#kids:1_x000D_
lived:ENLANCSBOLD,ENLANCSHAYDOCK_x000D_
issue:Born before Parents Married_x000D_
.recs:Birth,Marriage,Death_x000D_
.imm?:no_x000D_
..Spo:ALICIA BOLD</t>
        </r>
      </text>
    </comment>
    <comment ref="AA878" authorId="0" shapeId="0" xr:uid="{45802310-8E64-4679-B384-21A20C28739B}">
      <text>
        <r>
          <rPr>
            <sz val="9"/>
            <color indexed="81"/>
            <rFont val="Tahoma"/>
            <family val="2"/>
          </rPr>
          <t>CECELIA LAUTON_x000D_
http://yeinfo.com/family/I09066937.html_x000D_
https://www.google.com/search?q=CECELIA+LAUTON+1195+1225+HAYDOCK_x000D_
.born:?1195    -          Lancashire county England_x000D_
.died: 1225    -1290     ?Lancashire county England, age:30y 0m 0d, _x000D_
.bapt: 1785GE_x000D_
.will: 2004MO_x000D_
.obit: 1890OH_x000D_
.bury: 1850IL _x000D_
.wpbt: 1826PA_x000D_
.anc#:double ancestor_x000D_
citiz:foreign_x000D_
#spos:1_x000D_
#srcs:1_x000D_
#comment:1_x000D_
#events:1_x000D_
#kids:1_x000D_
lived:ENCHESHCHURLAW,ENLANCS_x000D_
issue:Died before Birth_x000D_
.recs:Birth,Marriage,Death_x000D_
.imm?:no_x000D_
..Spo:HUGH HAYDOCK</t>
        </r>
      </text>
    </comment>
    <comment ref="Y880" authorId="0" shapeId="0" xr:uid="{EB941676-340A-4F7F-B51C-586A7BE956B7}">
      <text>
        <r>
          <rPr>
            <sz val="9"/>
            <color indexed="81"/>
            <rFont val="Tahoma"/>
            <family val="2"/>
          </rPr>
          <t>GILBERT HAYDOCK II_x000D_
http://yeinfo.com/family/I09066913.html_x000D_
https://www.google.com/search?q=GILBERT+HAYDOCK+1250+1290+{_?_}_x000D_
.born: 1250    -          Lancashire county England_x000D_
.died: 1290    -1355     ?Lancashire county England, age:40y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..Spo:{_?_} HAYDOCK</t>
        </r>
      </text>
    </comment>
    <comment ref="AA882" authorId="0" shapeId="0" xr:uid="{18C40A88-486C-49A5-AB18-14E7992442BB}">
      <text>
        <r>
          <rPr>
            <sz val="9"/>
            <color indexed="81"/>
            <rFont val="Tahoma"/>
            <family val="2"/>
          </rPr>
          <t>MATTHEW BOLD_x000D_
http://yeinfo.com/family/I09066870.html_x000D_
https://www.google.com/search?q=MATTHEW+BOLD+1190+1242+AGNES_x000D_
.born:?1190    -          Bold (Lancashire) England_x000D_
.died: 1242    -         ?Lancashire county England, age:52y 0m 0d, _x000D_
.bapt: 1785GE_x000D_
.will: 2004MO_x000D_
.obit: 1890OH_x000D_
.bury: 1850IL _x000D_
.wpbt: 1826PA_x000D_
.anc#:double ancestor_x000D_
citiz:foreign_x000D_
#spos:1_x000D_
#srcs:1_x000D_
#comment:1_x000D_
#events:1_x000D_
#kids:1_x000D_
lived:ENLANCSBOLD_x000D_
issue:_x000D_
.recs:Birth,Marriage,Death_x000D_
.imm?:no_x000D_
..Spo:AGNES BOLD</t>
        </r>
      </text>
    </comment>
    <comment ref="Z884" authorId="0" shapeId="0" xr:uid="{5E0CC8A7-56A1-4AFA-9158-7E67147BD17C}">
      <text>
        <r>
          <rPr>
            <sz val="9"/>
            <color indexed="81"/>
            <rFont val="Tahoma"/>
            <family val="2"/>
          </rPr>
          <t>ALICIA BOLD_x000D_
http://yeinfo.com/family/I09066871.html_x000D_
https://www.google.com/search?q=ALICIA+BOLD+1225+1312+HAYDOCK_x000D_
.born: 1225    -          Prescot (Lancashire) England_x000D_
.died: 131212  -          Bold (Lancashire) England, age:87y 11m 0d, _x000D_
.bapt: 1785GE_x000D_
.will: 2004MO_x000D_
.obit: 1890OH_x000D_
.bury: 1850IL _x000D_
.wpbt: 1826PA_x000D_
.anc#:double ancestor_x000D_
citiz:foreign_x000D_
#spos:1_x000D_
#srcs:1_x000D_
#comment:0_x000D_
#events:1_x000D_
#kids:1_x000D_
lived:ENLANCSBOLD,ENLANCSPRESCOT_x000D_
issue:_x000D_
.recs:Birth,Marriage,Death_x000D_
.imm?:no_x000D_
..Spo:GILBERT HAYDOCK</t>
        </r>
      </text>
    </comment>
    <comment ref="AA886" authorId="0" shapeId="0" xr:uid="{E7C5E7AA-6B04-4354-9C56-8F24BC5362A4}">
      <text>
        <r>
          <rPr>
            <sz val="9"/>
            <color indexed="81"/>
            <rFont val="Tahoma"/>
            <family val="2"/>
          </rPr>
          <t>Mrs. AGNES BOLD_x000D_
http://yeinfo.com/family/I09066869.html_x000D_
https://www.google.com/search?q=AGNES+BOLD+1200+1290+BOLD_x000D_
.born: 1200    -          Bold (Lancashire) England_x000D_
.died: 1290    -          Bold (Lancashire) England, age:90y 0m 0d, _x000D_
.bapt: 1785GE_x000D_
.will: 2004MO_x000D_
.obit: 1890OH_x000D_
.bury: 1850IL _x000D_
.wpbt: 1826PA_x000D_
.anc#:double ancestor_x000D_
citiz:foreign_x000D_
#spos:1_x000D_
#srcs:1_x000D_
#comment:0_x000D_
#events:1_x000D_
#kids:1_x000D_
lived:ENLANCSBOLD_x000D_
issue:_x000D_
.recs:Birth,Marriage,Death_x000D_
.imm?:no_x000D_
..Spo:MATTHEW BOLD</t>
        </r>
      </text>
    </comment>
    <comment ref="X888" authorId="0" shapeId="0" xr:uid="{2875ED5E-985B-431B-9D22-20790D0044F7}">
      <text>
        <r>
          <rPr>
            <sz val="9"/>
            <color indexed="81"/>
            <rFont val="Tahoma"/>
            <family val="2"/>
          </rPr>
          <t>GILBERT HAYDOCK III_x000D_
http://yeinfo.com/family/I09066914.html_x000D_
https://www.google.com/search?q=GILBERT+HAYDOCK+1290+1322+EMMA_x000D_
.born: 1290    -          Warrington (Lancashire) England_x000D_
.died: 1322    -1361      Haydock (Lancashire) England, age:32y 0m 0d, _x000D_
.bapt: 1785GE_x000D_
.will: 2004MO_x000D_
.obit: 1890OH_x000D_
.bury: 1850IL _x000D_
.wpbt: 1826PA_x000D_
.anc#:double ancestor_x000D_
citiz:foreign_x000D_
#spos:1_x000D_
#srcs:1_x000D_
#comment:0_x000D_
#events:1_x000D_
#kids:1_x000D_
lived:ENLANCSHAYDOCK,ENLANCSWARRING_x000D_
issue:_x000D_
.recs:Birth,Marriage,Death_x000D_
.imm?:no_x000D_
..Spo:EMMA HOUGHTON</t>
        </r>
      </text>
    </comment>
    <comment ref="Y890" authorId="0" shapeId="0" xr:uid="{103E6CAC-ED44-47B3-A748-D8454F645D6E}">
      <text>
        <r>
          <rPr>
            <sz val="9"/>
            <color indexed="81"/>
            <rFont val="Tahoma"/>
            <family val="2"/>
          </rPr>
          <t>Mrs. {_?_} HAYDOCK_x000D_
http://yeinfo.com/family/I09066912.html_x000D_
https://www.google.com/search?q={_?_}+HAYDOCK+1265+1290+HAYDOCK_x000D_
.born:?1265    -         ?Lancashire county England_x000D_
.died: 1290    -1355     ?Lancashire county England, age:25y 0m 0d, _x000D_
.bapt: 1785GE_x000D_
.will: 2004MO_x000D_
.obit: 1890OH_x000D_
.bury: 1850IL _x000D_
.wpbt: 1826PA_x000D_
.anc#:double ancestor_x000D_
citiz:foreign_x000D_
#spos:1_x000D_
#srcs:1_x000D_
#comment:0_x000D_
#events:1_x000D_
#kids:1_x000D_
lived:?ENLANCS_x000D_
issue:_x000D_
.recs:Birth,Marriage,Death_x000D_
.imm?:no_x000D_
..Spo:GILBERT HAYDOCK</t>
        </r>
      </text>
    </comment>
    <comment ref="W892" authorId="0" shapeId="0" xr:uid="{581EAF03-7FCD-43ED-9725-0C1D05A9B681}">
      <text>
        <r>
          <rPr>
            <sz val="9"/>
            <color indexed="81"/>
            <rFont val="Tahoma"/>
            <family val="2"/>
          </rPr>
          <t>ANABEL HAYDOCK_x000D_
http://yeinfo.com/family/I09066915.html_x000D_
https://www.google.com/search?q=ANABEL+HAYDOCK+1322+1390+WORSLEY_x000D_
.born: 1322    -          Haydock (Lancashire) England_x000D_
.died: 1390    -          Worsley (Lancashire) England, age:68y 0m 0d, _x000D_
.bapt: 1785GE_x000D_
.will: 2004MO_x000D_
.obit: 1890OH_x000D_
.bury: 1850IL _x000D_
.wpbt: 1826PA_x000D_
.anc#:double ancestor_x000D_
citiz:foreign_x000D_
#spos:1_x000D_
#srcs:1_x000D_
#comment:0_x000D_
#events:1_x000D_
#kids:1_x000D_
lived:ENLANCSHAYDOCK,ENLANCSWORSLEY_x000D_
issue:_x000D_
.recs:Birth,Marriage,Death_x000D_
.imm?:no_x000D_
..Spo:GEOFFREY WORSLEY</t>
        </r>
      </text>
    </comment>
    <comment ref="Y894" authorId="0" shapeId="0" xr:uid="{6458525B-4C05-46FB-8317-9D0C1BE7D521}">
      <text>
        <r>
          <rPr>
            <sz val="9"/>
            <color indexed="81"/>
            <rFont val="Tahoma"/>
            <family val="2"/>
          </rPr>
          <t>WILLIAM HOUGHTON_x000D_
http://yeinfo.com/family/I09066923.html_x000D_
https://www.google.com/search?q=WILLIAM+HOUGHTON+1277+1320+{_?_}_x000D_
.born:?1277    -          England_x000D_
.died:?1320    -          England, age:43y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..Spo:{_?_} HOUGHTON</t>
        </r>
      </text>
    </comment>
    <comment ref="X896" authorId="0" shapeId="0" xr:uid="{0F95FF65-51D1-4795-B0FE-B9C63E325899}">
      <text>
        <r>
          <rPr>
            <sz val="9"/>
            <color indexed="81"/>
            <rFont val="Tahoma"/>
            <family val="2"/>
          </rPr>
          <t>EMMA HOUGHTON_x000D_
http://yeinfo.com/family/I09066924.html_x000D_
https://www.google.com/search?q=EMMA+HOUGHTON+1303+1332+HAYDOCK_x000D_
.born:?1303    -          Haydock (Lancashire) England_x000D_
.died: 1332    -          Warrington (Lancashire) England, age:29y 0m 0d, _x000D_
.bapt: 1785GE_x000D_
.will: 2004MO_x000D_
.obit: 1890OH_x000D_
.bury: 1850IL _x000D_
.wpbt: 1826PA_x000D_
.anc#:double ancestor_x000D_
citiz:foreign_x000D_
#spos:1_x000D_
#srcs:1_x000D_
#comment:0_x000D_
#events:1_x000D_
#kids:1_x000D_
lived:ENLANCSHAYDOCK,ENLANCSWARRING_x000D_
issue:_x000D_
.recs:Birth,Marriage,Death_x000D_
.imm?:no_x000D_
..Spo:GILBERT HAYDOCK</t>
        </r>
      </text>
    </comment>
    <comment ref="Y898" authorId="0" shapeId="0" xr:uid="{7D79F9CB-7B9B-46EE-8B16-801DC8358F3F}">
      <text>
        <r>
          <rPr>
            <sz val="9"/>
            <color indexed="81"/>
            <rFont val="Tahoma"/>
            <family val="2"/>
          </rPr>
          <t>Mrs. {_?_} HOUGHTON_x000D_
http://yeinfo.com/family/I09066922.html_x000D_
https://www.google.com/search?q={_?_}+HOUGHTON+1280+1303+HOUGHTON_x000D_
.born:?1280    -          England_x000D_
.died: 1303    -1368      England, age:23y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..Spo:WILLIAM HOUGHTON</t>
        </r>
      </text>
    </comment>
    <comment ref="R900" authorId="0" shapeId="0" xr:uid="{63636170-A3AA-4F6C-9054-FE936DF4282C}">
      <text>
        <r>
          <rPr>
            <sz val="9"/>
            <color indexed="81"/>
            <rFont val="Tahoma"/>
            <family val="2"/>
          </rPr>
          <t>EDMUND TRAFFORD_x000D_
http://yeinfo.com/family/I09066987.html_x000D_
https://www.google.com/search?q=EDMUND+TRAFFORD+1445+1513+MARGARET_x000D_
.born: 1445    -          Lancashire county England_x000D_
.died: 15130815-          Lancashire county England, age:68y 7m 14d, _x000D_
.bapt: 1785GE_x000D_
.will: 2004MO_x000D_
.obit: 1890OH_x000D_
.bury: 1850IL Manchester Cathedral_x000D_
.wpbt: 1826PA_x000D_
.anc#:double ancestor_x000D_
citiz:foreign_x000D_
#spos:1_x000D_
#srcs:1_x000D_
#comment:0_x000D_
#events:2_x000D_
#kids:1_x000D_
lived:ENLANCSMANCHES_x000D_
issue:_x000D_
.recs:Birth,Marriage,Death,Interment/Burial_x000D_
.imm?:no_x000D_
..Spo:MARGARET SAVAGE</t>
        </r>
      </text>
    </comment>
    <comment ref="X902" authorId="0" shapeId="0" xr:uid="{531B2CAF-DBE0-48F5-94B0-A21C636F0949}">
      <text>
        <r>
          <rPr>
            <sz val="9"/>
            <color indexed="81"/>
            <rFont val="Tahoma"/>
            <family val="2"/>
          </rPr>
          <t>ROBERT ASHTON_x000D_
http://yeinfo.com/family/I09066857.html_x000D_
https://www.google.com/search?q=ROBERT+ASHTON+1303+1321+ELIZABETH_x000D_
.born:?1303    -          Ashton under Lyne (Lancashire) England_x000D_
.died:?1321    -1388      Kent county England, age:18y 0m 0d, _x000D_
.bapt: 1785GE_x000D_
.will: 2004MO_x000D_
.obit: 1890OH_x000D_
.bury: 1850IL _x000D_
.wpbt: 1826PA_x000D_
.anc#:double ancestor_x000D_
citiz:foreign_x000D_
#spos:1_x000D_
#srcs:1_x000D_
#comment:1_x000D_
#events:1_x000D_
#kids:1_x000D_
lived:ENKENT,ENLANCSASHTONL_x000D_
issue:_x000D_
.recs:Birth,Marriage,Death_x000D_
.imm?:no_x000D_
..Spo:ELIZABETH GORGES</t>
        </r>
      </text>
    </comment>
    <comment ref="W904" authorId="0" shapeId="0" xr:uid="{00A01757-8B33-4165-B9C3-67A677D989CE}">
      <text>
        <r>
          <rPr>
            <sz val="9"/>
            <color indexed="81"/>
            <rFont val="Tahoma"/>
            <family val="2"/>
          </rPr>
          <t>THOMAS ASHTON II_x000D_
http://yeinfo.com/family/I09066858.html_x000D_
https://www.google.com/search?q=THOMAS+ASHTON+1306+1354+ELEANOR_x000D_
.born: 1306    -          Ashton under Lyne (Lancashire) England_x000D_
.died:?1354    -1406     ?Lancashire county England, age:48y 0m 0d, _x000D_
.bapt: 1785GE_x000D_
.will: 2004MO_x000D_
.obit: 1890OH_x000D_
.bury: 1850IL _x000D_
.wpbt: 1826PA_x000D_
.anc#:double ancestor_x000D_
citiz:foreign_x000D_
#spos:1_x000D_
#srcs:1_x000D_
#comment:0_x000D_
#events:1_x000D_
#kids:1_x000D_
lived:ENLANCSASHTONL_x000D_
issue:Born before Parents Married_x000D_
.recs:Birth,Marriage,Death_x000D_
.imm?:no_x000D_
..Spo:ELEANOR BUMBLEY</t>
        </r>
      </text>
    </comment>
    <comment ref="Z906" authorId="0" shapeId="0" xr:uid="{C53F0B4F-68EF-403E-ACA8-CEB57B490058}">
      <text>
        <r>
          <rPr>
            <sz val="9"/>
            <color indexed="81"/>
            <rFont val="Tahoma"/>
            <family val="2"/>
          </rPr>
          <t>RALPH GORGES II_x000D_
http://yeinfo.com/family/I09066907.html_x000D_
https://www.google.com/search?q=RALPH+GORGES+1254+1297+MAUD_x000D_
.born:?1254    -          Gloucestershire county England_x000D_
.died: 1297    -          France, age:43y 0m 0d, _x000D_
.bapt: 1785GE_x000D_
.will: 2004MO_x000D_
.obit: 1890OH_x000D_
.bury: 1850IL _x000D_
.wpbt: 1826PA_x000D_
.anc#:double ancestor_x000D_
citiz:foreign_x000D_
#spos:1_x000D_
#srcs:3_x000D_
#comment:1_x000D_
#events:2_x000D_
#kids:1_x000D_
lived:ENDERBYLITTON,ENGLOUS,FR_x000D_
issue:_x000D_
.recs:Birth,Marriage,Death_x000D_
.imm?:no_x000D_
..Spo:MAUD LOVELL</t>
        </r>
      </text>
    </comment>
    <comment ref="Y908" authorId="0" shapeId="0" xr:uid="{901E8190-78A2-475E-B6F6-53ACD04DEF49}">
      <text>
        <r>
          <rPr>
            <sz val="9"/>
            <color indexed="81"/>
            <rFont val="Tahoma"/>
            <family val="2"/>
          </rPr>
          <t>RALPH GORGES III_x000D_
http://yeinfo.com/family/I09066908.html_x000D_
https://www.google.com/search?q=RALPH+GORGES+1280+1333+ELEANOR_x000D_
.born: 1280    -          Gloucestershire county England_x000D_
.died: 13331207-          Berwick (Dorset) England, age:53y 11m 6d, _x000D_
.bapt: 1785GE_x000D_
.will: 2004MO_x000D_
.obit: 1890OH_x000D_
.bury: 1850IL _x000D_
.wpbt: 1826PA_x000D_
.anc#:double ancestor_x000D_
citiz:foreign_x000D_
#spos:1_x000D_
#srcs:2_x000D_
#comment:0_x000D_
#events:1_x000D_
#kids:1_x000D_
lived:ENDORSEBERWICK,ENGLOUS_x000D_
issue:_x000D_
.recs:Birth,Marriage,Death_x000D_
.imm?:no_x000D_
..Spo:ELEANOR FERRERS</t>
        </r>
      </text>
    </comment>
    <comment ref="Z910" authorId="0" shapeId="0" xr:uid="{F91C2AF8-2F3D-48A1-820D-4B355B29D2E3}">
      <text>
        <r>
          <rPr>
            <sz val="9"/>
            <color indexed="81"/>
            <rFont val="Tahoma"/>
            <family val="2"/>
          </rPr>
          <t>MAUD LOVELL_x000D_
http://yeinfo.com/family/I09066944.html_x000D_
https://www.google.com/search?q=MAUD+LOVELL+1260+1297+GORGES_x000D_
.born:?1260    -          Thrapston (Northamptonshire) England_x000D_
.died: 1297    -1345      Bradpole (Dorset) England, age:37y 0m 0d, _x000D_
.bapt: 1785GE_x000D_
.will: 2004MO_x000D_
.obit: 1890OH_x000D_
.bury: 1850IL _x000D_
.wpbt: 1826PA_x000D_
.anc#:double ancestor_x000D_
citiz:foreign_x000D_
#spos:1_x000D_
#srcs:2_x000D_
#comment:1_x000D_
#events:1_x000D_
#kids:1_x000D_
lived:ENDORSEBRADPOL,ENNORTATHRAPST_x000D_
issue:_x000D_
.recs:Birth,Marriage,Death_x000D_
.imm?:no_x000D_
..Spo:RALPH GORGES</t>
        </r>
      </text>
    </comment>
    <comment ref="X912" authorId="0" shapeId="0" xr:uid="{F9D25964-833D-41CD-B80B-A5A0C004E5E5}">
      <text>
        <r>
          <rPr>
            <sz val="9"/>
            <color indexed="81"/>
            <rFont val="Tahoma"/>
            <family val="2"/>
          </rPr>
          <t>ELIZABETH GORGES_x000D_
http://yeinfo.com/family/I09066909.html_x000D_
https://www.google.com/search?q=ELIZABETH+GORGES+1305+1348+ASHTON_x000D_
.born:?1305    -          Ashton by Makerfield (Lancashire) England_x000D_
.died: 1348    -          Ashton by Makerfield (Lancashire) England, age:43y 0m 0d, _x000D_
.bapt: 1785GE_x000D_
.will: 2004MO_x000D_
.obit: 1890OH_x000D_
.bury: 1850IL _x000D_
.wpbt: 1826PA_x000D_
.anc#:double ancestor_x000D_
citiz:foreign_x000D_
#spos:1_x000D_
#srcs:1_x000D_
#comment:0_x000D_
#events:1_x000D_
#kids:1_x000D_
lived:ENLANCSASHTONL,ENLANCSASHTONM_x000D_
issue:Died after Age 100_x000D_
.recs:Birth,Marriage,Death_x000D_
.imm?:no_x000D_
..Spo:ROBERT ASHTON</t>
        </r>
      </text>
    </comment>
    <comment ref="Z914" authorId="0" shapeId="0" xr:uid="{A9118CAA-6A74-4159-99CD-0646A57095E2}">
      <text>
        <r>
          <rPr>
            <sz val="9"/>
            <color indexed="81"/>
            <rFont val="Tahoma"/>
            <family val="2"/>
          </rPr>
          <t>JOHN FERRERS_x000D_
http://yeinfo.com/family/I09066905.html_x000D_
https://www.google.com/search?q=JOHN+FERRERS+1260+1280+{_?_}_x000D_
.born:?1260    -          Tothill (Lincolnshire) England_x000D_
.died: 1280    -1345      England, age:20y 0m 0d, _x000D_
.bapt: 1785GE_x000D_
.will: 2004MO_x000D_
.obit: 1890OH_x000D_
.bury: 1850IL _x000D_
.wpbt: 1826PA_x000D_
.anc#:double ancestor_x000D_
citiz:foreign_x000D_
#spos:1_x000D_
#srcs:2_x000D_
#comment:0_x000D_
#events:1_x000D_
#kids:1_x000D_
lived:ENLINCSTOTHILL_x000D_
issue:_x000D_
.recs:Birth,Marriage,Death_x000D_
.imm?:no_x000D_
..Spo:{_?_} FERRERS</t>
        </r>
      </text>
    </comment>
    <comment ref="Y916" authorId="0" shapeId="0" xr:uid="{AC93D844-AF55-4CE7-B74A-ABDFE9A835C5}">
      <text>
        <r>
          <rPr>
            <sz val="9"/>
            <color indexed="81"/>
            <rFont val="Tahoma"/>
            <family val="2"/>
          </rPr>
          <t>ELEANOR FERRERS_x000D_
http://yeinfo.com/family/I09066906.html_x000D_
https://www.google.com/search?q=ELEANOR+FERRERS+1280+1343+GORGES_x000D_
.born: 1280    -          Tothill (Lincolnshire) England_x000D_
.died: 1343    -          Braunton (Devon) England, age:63y 0m 0d, _x000D_
.bapt: 1785GE_x000D_
.will: 2004MO_x000D_
.obit: 1890OH_x000D_
.bury: 1850IL _x000D_
.wpbt: 1826PA_x000D_
.anc#:double ancestor_x000D_
citiz:foreign_x000D_
#spos:1_x000D_
#srcs:1_x000D_
#comment:0_x000D_
#events:1_x000D_
#kids:1_x000D_
lived:ENDEVONBRAUNTO,ENLINCSTOTHILL_x000D_
issue:_x000D_
.recs:Birth,Marriage,Death_x000D_
.imm?:no_x000D_
..Spo:RALPH GORGES</t>
        </r>
      </text>
    </comment>
    <comment ref="Z918" authorId="0" shapeId="0" xr:uid="{5B3CEE1B-6AEC-4BB1-A6AD-1F327A9BA88B}">
      <text>
        <r>
          <rPr>
            <sz val="9"/>
            <color indexed="81"/>
            <rFont val="Tahoma"/>
            <family val="2"/>
          </rPr>
          <t>Mrs. {_?_} FERRERS_x000D_
http://yeinfo.com/family/I09066904.html_x000D_
https://www.google.com/search?q={_?_}+FERRERS+1260+1280+FERRERS_x000D_
.born:?1260    -          England_x000D_
.died: 1280    -1345      England, age:20y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..Spo:JOHN FERRERS</t>
        </r>
      </text>
    </comment>
    <comment ref="V920" authorId="0" shapeId="0" xr:uid="{A14E7B92-CC0B-4781-A091-C3EECB7CA661}">
      <text>
        <r>
          <rPr>
            <sz val="9"/>
            <color indexed="81"/>
            <rFont val="Tahoma"/>
            <family val="2"/>
          </rPr>
          <t>JOHN ASHTON_x000D_
http://yeinfo.com/family/I09066859.html_x000D_
https://www.google.com/search?q=JOHN+ASHTON+1339+1375+JOAN_x000D_
.born: 1339    -          Ashton under Lyne (Lancashire) England_x000D_
.died:?1375    -1439      Northumberland county England, age:36y 0m 0d, _x000D_
.bapt: 1785GE_x000D_
.will: 2004MO_x000D_
.obit: 1890OH_x000D_
.bury: 1850IL _x000D_
.wpbt: 1826PA_x000D_
.anc#:double ancestor_x000D_
citiz:foreign_x000D_
#spos:1_x000D_
#srcs:1_x000D_
#comment:0_x000D_
#events:1_x000D_
#kids:1_x000D_
lived:ENLANCSASHTONL,ENNORTU_x000D_
issue:Born before Parents Married_x000D_
.recs:Birth,Marriage,Death_x000D_
.imm?:no_x000D_
..Spo:JOAN RADCLIFFE</t>
        </r>
      </text>
    </comment>
    <comment ref="X922" authorId="0" shapeId="0" xr:uid="{5743CB42-373E-4378-A5BD-F010993484F8}">
      <text>
        <r>
          <rPr>
            <sz val="9"/>
            <color indexed="81"/>
            <rFont val="Tahoma"/>
            <family val="2"/>
          </rPr>
          <t>JOHN BUMBLEY_x000D_
http://yeinfo.com/family/I09066883.html_x000D_
https://www.google.com/search?q=JOHN+BUMBLEY+1270+1336+{_?_}_x000D_
.born:?1270    -          Ashton under Lyne (Lancashire) England_x000D_
.died: 1336    -          England, age:66y 0m 0d, _x000D_
.bapt: 1785GE_x000D_
.will: 2004MO_x000D_
.obit: 1890OH_x000D_
.bury: 1850IL _x000D_
.wpbt: 1826PA_x000D_
.anc#:double ancestor_x000D_
citiz:foreign_x000D_
#spos:1_x000D_
#srcs:1_x000D_
#comment:1_x000D_
#events:1_x000D_
#kids:1_x000D_
lived:ENLANCSASHTONL_x000D_
issue:_x000D_
.recs:Birth,Marriage,Death_x000D_
.imm?:no_x000D_
..Spo:{_?_} BUMBLEY</t>
        </r>
      </text>
    </comment>
    <comment ref="W924" authorId="0" shapeId="0" xr:uid="{C5AA1DAB-ADF1-4025-AB80-36820DC12034}">
      <text>
        <r>
          <rPr>
            <sz val="9"/>
            <color indexed="81"/>
            <rFont val="Tahoma"/>
            <family val="2"/>
          </rPr>
          <t>ELEANOR BUMBLEY_x000D_
http://yeinfo.com/family/I09066884.html_x000D_
https://www.google.com/search?q=ELEANOR+BUMBLEY+1300+1360+ASHTON_x000D_
.born: 1300    -          England_x000D_
.died:?1360    -          Ashton under Lyne (Lancashire) England, age:60y 0m 0d, _x000D_
.bapt: 1785GE_x000D_
.will: 2004MO_x000D_
.obit: 1890OH_x000D_
.bury: 1850IL _x000D_
.wpbt: 1826PA_x000D_
.anc#:double ancestor_x000D_
citiz:foreign_x000D_
#spos:1_x000D_
#srcs:1_x000D_
#comment:0_x000D_
#events:1_x000D_
#kids:1_x000D_
lived:ENLANCSASHTONL_x000D_
issue:_x000D_
.recs:Birth,Marriage,Death_x000D_
.imm?:no_x000D_
..Spo:THOMAS ASHTON</t>
        </r>
      </text>
    </comment>
    <comment ref="X926" authorId="0" shapeId="0" xr:uid="{AC55DF8B-35E0-4AAA-86AE-05F9D1E4CE92}">
      <text>
        <r>
          <rPr>
            <sz val="9"/>
            <color indexed="81"/>
            <rFont val="Tahoma"/>
            <family val="2"/>
          </rPr>
          <t>Mrs. {_?_} BUMBLEY_x000D_
http://yeinfo.com/family/I09066882.html_x000D_
https://www.google.com/search?q={_?_}+BUMBLEY+1275+1300+BUMBLEY_x000D_
.born:?1275    -          England_x000D_
.died: 1300    -1365      England, age:25y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..Spo:JOHN BUMBLEY</t>
        </r>
      </text>
    </comment>
    <comment ref="U928" authorId="0" shapeId="0" xr:uid="{C5ECB8D8-A958-4610-9220-80DD47F17F44}">
      <text>
        <r>
          <rPr>
            <sz val="9"/>
            <color indexed="81"/>
            <rFont val="Tahoma"/>
            <family val="2"/>
          </rPr>
          <t>JOHN ASHTON II_x000D_
http://yeinfo.com/family/I09066860.html_x000D_
https://www.google.com/search?q=JOHN+ASHTON+1360+1428+JANE_x000D_
.born: 1360    -          Lancashire county England_x000D_
.died: 1428    -          Lancashire county England, age:68y 0m 0d, _x000D_
.bapt: 1785GE_x000D_
.will: 2004MO_x000D_
.obit: 1890OH_x000D_
.bury: 1850IL _x000D_
.wpbt: 1826PA_x000D_
.anc#:double ancestor_x000D_
citiz:foreign_x000D_
#spos:1_x000D_
#srcs:1_x000D_
#comment:0_x000D_
#events:2_x000D_
#kids:1_x000D_
lived:ENLANCS,ENYORKSTANKERS_x000D_
issue:Born before Parents Married_x000D_
.recs:Birth,Marriage,Death_x000D_
.imm?:no_x000D_
..Spo:JANE SAVILLE</t>
        </r>
      </text>
    </comment>
    <comment ref="Z930" authorId="0" shapeId="0" xr:uid="{ED1BDB82-3D0F-4073-94A6-75F171E62048}">
      <text>
        <r>
          <rPr>
            <sz val="9"/>
            <color indexed="81"/>
            <rFont val="Tahoma"/>
            <family val="2"/>
          </rPr>
          <t>ROBERT RADCLIFFE_x000D_
http://yeinfo.com/family/I09066959.html_x000D_
https://www.google.com/search?q=ROBERT+RADCLIFFE+1208+1239+AMBIL\AMABIL_x000D_
.born:?1208    -          Lancashire county England_x000D_
.died: 1239    -1290     ?Lancashire county England, age:31y 0m 0d, _x000D_
.bapt: 1785GE_x000D_
.will: 2004MO_x000D_
.obit: 1890OH_x000D_
.bury: 1850IL _x000D_
.wpbt: 1826PA_x000D_
.anc#: decuple ancestor_x000D_
citiz:foreign_x000D_
#spos:1_x000D_
#srcs:3_x000D_
#comment:1_x000D_
#events:1_x000D_
#kids:1_x000D_
lived:ENLANCS_x000D_
issue:Died after Age 100_x000D_
.recs:Birth,Marriage,Death_x000D_
.imm?:no_x000D_
..Spo:AMBIL\AMABIL TRAFFORD</t>
        </r>
      </text>
    </comment>
    <comment ref="Y932" authorId="0" shapeId="0" xr:uid="{45181174-616A-4722-AC65-7FB223834CA7}">
      <text>
        <r>
          <rPr>
            <sz val="9"/>
            <color indexed="81"/>
            <rFont val="Tahoma"/>
            <family val="2"/>
          </rPr>
          <t>RICHARD RADCLIFFE_x000D_
http://yeinfo.com/family/I09066960.html_x000D_
https://www.google.com/search?q=RICHARD+RADCLIFFE+1224+1326+JOAN\MARGARET_x000D_
.born: 1224    -          Lancashire county England_x000D_
.died: 1326    -          Lancashire county England, age:102y 0m 0d, _x000D_
.bapt: 1785GE_x000D_
.will: 2004MO_x000D_
.obit: 1890OH_x000D_
.bury: 1850IL _x000D_
.wpbt: 1826PA_x000D_
.anc#: decuple ancestor_x000D_
citiz:foreign_x000D_
#spos:1_x000D_
#srcs:3_x000D_
#comment:0_x000D_
#events:1_x000D_
#kids:2_x000D_
lived:ENLANCS_x000D_
issue:Married after Age 60_x000D_
.recs:Birth,Marriage,Death_x000D_
.imm?:no_x000D_
..Spo:JOAN\MARGARET BOTELER</t>
        </r>
      </text>
    </comment>
    <comment ref="Z934" authorId="0" shapeId="0" xr:uid="{B77CCE0D-280F-4940-A82A-20D7FC19C755}">
      <text>
        <r>
          <rPr>
            <sz val="9"/>
            <color indexed="81"/>
            <rFont val="Tahoma"/>
            <family val="2"/>
          </rPr>
          <t>AMBIL\AMABIL TRAFFORD_x000D_
http://yeinfo.com/family/I09066988.html_x000D_
https://www.google.com/search?q=AMBIL\AMABIL+TRAFFORD+1222+1239+RADCLIFFE_x000D_
.born:?1222    -          Lancashire county England_x000D_
.died: 1239    -1304     ?Lancashire county England, age:17y 0m 0d, _x000D_
.bapt: 1785GE_x000D_
.will: 2004MO_x000D_
.obit: 1890OH_x000D_
.bury: 1850IL _x000D_
.wpbt: 1826PA_x000D_
.anc#: decuple ancestor_x000D_
citiz:foreign_x000D_
#spos:1_x000D_
#srcs:3_x000D_
#comment:1_x000D_
#events:1_x000D_
#kids:1_x000D_
lived:ENLANCS_x000D_
issue:Died after Age 100_x000D_
.recs:Birth,Marriage,Death_x000D_
.imm?:no_x000D_
..Spo:ROBERT RADCLIFFE</t>
        </r>
      </text>
    </comment>
    <comment ref="X936" authorId="0" shapeId="0" xr:uid="{23594E3C-EA11-4C0D-A6B7-643C2AD57CD1}">
      <text>
        <r>
          <rPr>
            <sz val="9"/>
            <color indexed="81"/>
            <rFont val="Tahoma"/>
            <family val="2"/>
          </rPr>
          <t>ROBERT RADCLIFFE_x000D_
http://yeinfo.com/family/I09067011.html_x000D_
https://www.google.com/search?q=ROBERT+RADCLIFFE+1267+1333+SHORESWORTH_x000D_
.born: 1267    -          Lancashire county England_x000D_
.died: 1333    -         ?Lancashire county England, age:66y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issue:AncFlags between Spouses Mismatched_x000D_
.recs:Birth,Marriage,Death_x000D_
.imm?:no_x000D_
..Spo:</t>
        </r>
      </text>
    </comment>
    <comment ref="Z938" authorId="0" shapeId="0" xr:uid="{8B7FA3B6-1598-46FE-A4A5-37A3390B4F14}">
      <text>
        <r>
          <rPr>
            <sz val="9"/>
            <color indexed="81"/>
            <rFont val="Tahoma"/>
            <family val="2"/>
          </rPr>
          <t>HENRY\WILLIAM\ROBERT BOTELER_x000D_
http://yeinfo.com/family/I09066877.html_x000D_
https://www.google.com/search?q=HENRY\WILLIAM\ROBERT+BOTELER+1230+1247+ISABELLA_x000D_
.born:?1230    -          Warrington (Lancashire) England_x000D_
.died: 1247    -1280     ?Lancashire county England, age:17y 0m 0d, _x000D_
.bapt: 1785GE_x000D_
.will: 2004MO_x000D_
.obit: 1890OH_x000D_
.bury: 1850IL _x000D_
.wpbt: 1826PA_x000D_
.anc#: decuple ancestor_x000D_
citiz:foreign_x000D_
#spos:1_x000D_
#srcs:1_x000D_
#comment:1_x000D_
#events:2_x000D_
#kids:1_x000D_
lived:ENLANCSWARRING_x000D_
issue:_x000D_
.recs:Birth,Marriage,Death_x000D_
.imm?:no_x000D_
..Spo:ISABELLA BOTELER</t>
        </r>
      </text>
    </comment>
    <comment ref="Y940" authorId="0" shapeId="0" xr:uid="{EC6F89A7-92F0-41EF-8153-C231B725F928}">
      <text>
        <r>
          <rPr>
            <sz val="9"/>
            <color indexed="81"/>
            <rFont val="Tahoma"/>
            <family val="2"/>
          </rPr>
          <t>JOAN\MARGARET BOTELER_x000D_
http://yeinfo.com/family/I09066878.html_x000D_
https://www.google.com/search?q=JOAN\MARGARET+BOTELER+1232+1267+RADCLIFFE_x000D_
.born: 1232    -          Warrington (Lancashire) England_x000D_
.died: 1267    -1332     ?Lancashire county England, age:35y 0m 0d, _x000D_
.bapt: 1785GE_x000D_
.will: 2004MO_x000D_
.obit: 1890OH_x000D_
.bury: 1850IL _x000D_
.wpbt: 1826PA_x000D_
.anc#: decuple ancestor_x000D_
citiz:foreign_x000D_
#spos:1_x000D_
#srcs:3_x000D_
#comment:0_x000D_
#events:1_x000D_
#kids:2_x000D_
lived:ENLANCSWARRING_x000D_
issue:Born before Parents Married_x000D_
.recs:Birth,Marriage,Death_x000D_
.imm?:no_x000D_
..Spo:RICHARD RADCLIFFE</t>
        </r>
      </text>
    </comment>
    <comment ref="Z942" authorId="0" shapeId="0" xr:uid="{4DFC3EBE-93AF-4BBC-97AF-65FBCF38EBF2}">
      <text>
        <r>
          <rPr>
            <sz val="9"/>
            <color indexed="81"/>
            <rFont val="Tahoma"/>
            <family val="2"/>
          </rPr>
          <t>Mrs. ISABELLA BOTELER_x000D_
http://yeinfo.com/family/I09066876.html_x000D_
https://www.google.com/search?q=ISABELLA+BOTELER+1227+1247+BOTELER_x000D_
.born:?1227    -          Merton (Lancashire) England_x000D_
.died: 1247    -1312     ?Lancashire county England, age:20y 0m 0d, _x000D_
.bapt: 1785GE_x000D_
.will: 2004MO_x000D_
.obit: 1890OH_x000D_
.bury: 1850IL _x000D_
.wpbt: 1826PA_x000D_
.anc#: decuple ancestor_x000D_
citiz:foreign_x000D_
#spos:1_x000D_
#srcs:2_x000D_
#comment:1_x000D_
#events:1_x000D_
#kids:1_x000D_
lived:ENLANCSMERTON_x000D_
issue:_x000D_
.recs:Birth,Marriage,Death_x000D_
.imm?:no_x000D_
..Spo:HENRY\WILLIAM\ROBERT BOTELER</t>
        </r>
      </text>
    </comment>
    <comment ref="W944" authorId="0" shapeId="0" xr:uid="{5A8575CB-9CAF-49FD-8862-D8C44726E888}">
      <text>
        <r>
          <rPr>
            <sz val="9"/>
            <color indexed="81"/>
            <rFont val="Tahoma"/>
            <family val="2"/>
          </rPr>
          <t>WILLIAM RADCLIFFE_x000D_
http://yeinfo.com/family/I09066964.html_x000D_
https://www.google.com/search?q=WILLIAM+RADCLIFFE+1304+1330+KATHERINE_x000D_
.born: 1304    -          Pilsworth (Lancashire) England_x000D_
.died: 1330    -1389      Lancashire county England, age:26y 0m 0d, _x000D_
.bapt: 1785GE_x000D_
.will: 2004MO_x000D_
.obit: 1890OH_x000D_
.bury: 1850IL _x000D_
.wpbt: 1826PA_x000D_
.anc#:double ancestor_x000D_
citiz:foreign_x000D_
#spos:1_x000D_
#srcs:1_x000D_
#comment:0_x000D_
#events:1_x000D_
#kids:1_x000D_
lived:ENLANCSPILSWOR_x000D_
issue:_x000D_
.recs:Birth,Marriage,Death_x000D_
.imm?:no_x000D_
..Spo:KATHERINE NORLEY</t>
        </r>
      </text>
    </comment>
    <comment ref="Y946" authorId="0" shapeId="0" xr:uid="{84CA0938-928D-48FF-8B3B-7B84D4D664CF}">
      <text>
        <r>
          <rPr>
            <sz val="9"/>
            <color indexed="81"/>
            <rFont val="Tahoma"/>
            <family val="2"/>
          </rPr>
          <t>ROBERT SHORESWORTH_x000D_
http://yeinfo.com/family/I09066974.html_x000D_
https://www.google.com/search?q=ROBERT+SHORESWORTH+1235+1300+CECILY_x000D_
.born:?1235    -          Lancashire county England_x000D_
.died: 1300    -1330     ?Lancashire county England, age:65y 0m 0d, _x000D_
.bapt: 1785GE_x000D_
.will: 2004MO_x000D_
.obit: 1890OH_x000D_
.bury: 1850IL _x000D_
.wpbt: 1826PA_x000D_
.anc#:  quadruple ancestor_x000D_
citiz:foreign_x000D_
#spos:1_x000D_
#srcs:1_x000D_
#comment:1_x000D_
#events:1_x000D_
#kids:1_x000D_
lived:ENLANCS_x000D_
issue:_x000D_
.recs:Birth,Marriage,Death_x000D_
.imm?:no_x000D_
..Spo:CECILY DENTON</t>
        </r>
      </text>
    </comment>
    <comment ref="X948" authorId="0" shapeId="0" xr:uid="{0C205FA1-72E5-4B5D-B470-DB8C28C82A5C}">
      <text>
        <r>
          <rPr>
            <sz val="9"/>
            <color indexed="81"/>
            <rFont val="Tahoma"/>
            <family val="2"/>
          </rPr>
          <t>MARGARET SHORESWORTH_x000D_
http://yeinfo.com/family/I09066975.html_x000D_
https://www.google.com/search?q=MARGARET+SHORESWORTH+1265+1343+HENRY_x000D_
.born: 1265    -          Bury (Lancashire) England_x000D_
.died: 1343    -          Bury (Lancashire) England, age:78y 0m 0d, _x000D_
.bapt: 1785GE_x000D_
.will: 2004MO_x000D_
.obit: 1890OH_x000D_
.bury: 1850IL _x000D_
.wpbt: 1826PA_x000D_
.anc#:  quadruple ancestor_x000D_
citiz:foreign_x000D_
#spos:3_x000D_
#srcs:1_x000D_
#comment:0_x000D_
#events:3_x000D_
#kids:2_x000D_
lived:ENLANCSBURY_x000D_
issue:_x000D_
.recs:Birth,Marriage,Death_x000D_
.imm?:no_x000D_
..Spo:</t>
        </r>
      </text>
    </comment>
    <comment ref="Y950" authorId="0" shapeId="0" xr:uid="{131157D8-7EBC-46F1-BD56-4564BFE3CE44}">
      <text>
        <r>
          <rPr>
            <sz val="9"/>
            <color indexed="81"/>
            <rFont val="Tahoma"/>
            <family val="2"/>
          </rPr>
          <t>CECILY DENTON_x000D_
http://yeinfo.com/family/I09066900.html_x000D_
https://www.google.com/search?q=CECILY+DENTON+1242+1299+SHORESWORTH_x000D_
.born: 1242    -          England_x000D_
.died: 1299    -          Lancashire county England, age:57y 0m 0d, _x000D_
.bapt: 1785GE_x000D_
.will: 2004MO_x000D_
.obit: 1890OH_x000D_
.bury: 1850IL _x000D_
.wpbt: 1826PA_x000D_
.anc#:  quadruple ancestor_x000D_
citiz:foreign_x000D_
#spos:1_x000D_
#srcs:1_x000D_
#comment:1_x000D_
#events:1_x000D_
#kids:1_x000D_
lived:?ENLANCS,EN_x000D_
issue:_x000D_
.recs:Birth,Marriage,Death_x000D_
.imm?:no_x000D_
..Spo:ROBERT SHORESWORTH</t>
        </r>
      </text>
    </comment>
    <comment ref="V952" authorId="0" shapeId="0" xr:uid="{CBE2D681-F0C9-4902-A34D-F11F62E47D71}">
      <text>
        <r>
          <rPr>
            <sz val="9"/>
            <color indexed="81"/>
            <rFont val="Tahoma"/>
            <family val="2"/>
          </rPr>
          <t>JOAN RADCLIFFE_x000D_
http://yeinfo.com/family/I09066965.html_x000D_
https://www.google.com/search?q=JOAN+RADCLIFFE+1324+1375+ASHTON_x000D_
.born: 1324    -          Lancashire county England_x000D_
.died: 1375    -1440      England, age:51y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..Spo:JOHN ASHTON</t>
        </r>
      </text>
    </comment>
    <comment ref="W954" authorId="0" shapeId="0" xr:uid="{B65B3847-F328-4F75-915B-ECC95D04839F}">
      <text>
        <r>
          <rPr>
            <sz val="9"/>
            <color indexed="81"/>
            <rFont val="Tahoma"/>
            <family val="2"/>
          </rPr>
          <t>KATHERINE NORLEY_x000D_
http://yeinfo.com/family/I09066955.html_x000D_
https://www.google.com/search?q=KATHERINE+NORLEY+1305+1333+RADCLIFFE_x000D_
.born:?1305    -          Smithills (Lancashire) England_x000D_
.died: 1333    -          England, age:28y 0m 0d, _x000D_
.bapt: 1785GE_x000D_
.will: 2004MO_x000D_
.obit: 1890OH_x000D_
.bury: 1850IL _x000D_
.wpbt: 1826PA_x000D_
.anc#:double ancestor_x000D_
citiz:foreign_x000D_
#spos:1_x000D_
#srcs:1_x000D_
#comment:1_x000D_
#events:1_x000D_
#kids:1_x000D_
lived:ENLANCSSMITHIL_x000D_
issue:_x000D_
.recs:Birth,Marriage,Death_x000D_
.imm?:no_x000D_
..Spo:WILLIAM RADCLIFFE</t>
        </r>
      </text>
    </comment>
    <comment ref="T956" authorId="0" shapeId="0" xr:uid="{C88650AA-C957-41C9-A2D7-C5677F0A4BA8}">
      <text>
        <r>
          <rPr>
            <sz val="9"/>
            <color indexed="81"/>
            <rFont val="Tahoma"/>
            <family val="2"/>
          </rPr>
          <t>THOMAS ASHTON_x000D_
http://yeinfo.com/family/I09066861.html_x000D_
https://www.google.com/search?q=THOMAS+ASHTON+1403+1446+ELIZABETH_x000D_
.born: 1403    -          Lancashire county England_x000D_
.died: 1446    -         ?Lancashire county England, age:43y 0m 0d, _x000D_
.bapt: 1785GE_x000D_
.will: 2004MO_x000D_
.obit: 1890OH_x000D_
.bury: 1850IL _x000D_
.wpbt: 1826PA_x000D_
.anc#:double ancestor_x000D_
citiz:foreign_x000D_
#spos:1_x000D_
#srcs:1_x000D_
#comment:0_x000D_
#events:2_x000D_
#kids:1_x000D_
lived:ENLANCS_x000D_
issue:_x000D_
.recs:Birth,Marriage,Death_x000D_
.imm?:no_x000D_
..Spo:ELIZABETH BYRON</t>
        </r>
      </text>
    </comment>
    <comment ref="V958" authorId="0" shapeId="0" xr:uid="{4BFBDA9E-6E1C-4492-B4F0-531A9F1F118B}">
      <text>
        <r>
          <rPr>
            <sz val="9"/>
            <color indexed="81"/>
            <rFont val="Tahoma"/>
            <family val="2"/>
          </rPr>
          <t>JOHN SAVILLE_x000D_
http://yeinfo.com/family/I09066972.html_x000D_
https://www.google.com/search?q=JOHN+SAVILLE+1332+1399+ISABEL_x000D_
.born: 1332    -          Golcar (Yorkshire) England_x000D_
.died: 139909  -          Elland (Yorkshire) England, age:67y 8m 0d, _x000D_
.bapt: 1785GE_x000D_
.will: 2004MO_x000D_
.obit: 1890OH_x000D_
.bury: 1850IL _x000D_
.wpbt: 1826PA_x000D_
.anc#:double ancestor_x000D_
citiz:foreign_x000D_
#spos:1_x000D_
#srcs:1_x000D_
#comment:1_x000D_
#events:1_x000D_
#kids:1_x000D_
lived:ENYORKSELLAND,ENYORKSGOLCAR_x000D_
issue:_x000D_
.recs:Birth,Marriage,Death_x000D_
.imm?:no_x000D_
..Spo:ISABEL LATHOM</t>
        </r>
      </text>
    </comment>
    <comment ref="U960" authorId="0" shapeId="0" xr:uid="{DFC1FF7C-3E48-4C1D-9D96-EF7E87369EB0}">
      <text>
        <r>
          <rPr>
            <sz val="9"/>
            <color indexed="81"/>
            <rFont val="Tahoma"/>
            <family val="2"/>
          </rPr>
          <t>JANE SAVILLE_x000D_
http://yeinfo.com/family/I09066973.html_x000D_
https://www.google.com/search?q=JANE+SAVILLE+1372+1410+ASHTON_x000D_
.born: 1372    -          Tankersley (Yorkshire) England_x000D_
.died: 1410    -          England, age:38y 0m 0d, _x000D_
.bapt: 1785GE_x000D_
.will: 2004MO_x000D_
.obit: 1890OH_x000D_
.bury: 1850IL _x000D_
.wpbt: 1826PA_x000D_
.anc#:double ancestor_x000D_
citiz:foreign_x000D_
#spos:1_x000D_
#srcs:1_x000D_
#comment:0_x000D_
#events:1_x000D_
#kids:1_x000D_
lived:ENYORKSTANKERS_x000D_
issue:_x000D_
.recs:Birth,Marriage,Death_x000D_
.imm?:no_x000D_
..Spo:JOHN ASHTON</t>
        </r>
      </text>
    </comment>
    <comment ref="V962" authorId="0" shapeId="0" xr:uid="{21950020-7FB9-4521-8602-5F965CD50105}">
      <text>
        <r>
          <rPr>
            <sz val="9"/>
            <color indexed="81"/>
            <rFont val="Tahoma"/>
            <family val="2"/>
          </rPr>
          <t>ISABEL LATHOM_x000D_
http://yeinfo.com/family/I09066936.html_x000D_
https://www.google.com/search?q=ISABEL+LATHOM+1339+1424+SAVILLE_x000D_
.born:?1339    -          Elland (Yorkshire) England_x000D_
.died: 1424    -1425      Ormskirk (Lancashire) England, age:85y 0m 0d, _x000D_
.bapt: 1785GE_x000D_
.will: 2004MO_x000D_
.obit: 1890OH_x000D_
.bury: 1850IL _x000D_
.wpbt: 1826PA_x000D_
.anc#:double ancestor_x000D_
citiz:foreign_x000D_
#spos:1_x000D_
#srcs:1_x000D_
#comment:1_x000D_
#events:1_x000D_
#kids:1_x000D_
lived:ENLANCSORMSKIR,ENYORKSELLAND_x000D_
issue:Died after Age 100_x000D_
.recs:Birth,Marriage,Death_x000D_
.imm?:no_x000D_
..Spo:JOHN SAVILLE</t>
        </r>
      </text>
    </comment>
    <comment ref="S964" authorId="0" shapeId="0" xr:uid="{19B982E5-2E32-4F30-BBA2-E2F06D8A6EE3}">
      <text>
        <r>
          <rPr>
            <sz val="9"/>
            <color indexed="81"/>
            <rFont val="Tahoma"/>
            <family val="2"/>
          </rPr>
          <t>ELIZABETH ASHTON_x000D_
http://yeinfo.com/family/I09066862.html_x000D_
https://www.google.com/search?q=ELIZABETH+ASHTON+1431+1490+TRAFFORD_x000D_
.born: 1431    -          Lancashire county England_x000D_
.died: 1490    -          Lancashire county England, age:59y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issue:Died after Age 100_x000D_
.recs:Birth,Marriage,Death_x000D_
.imm?:no_x000D_
..Spo:JOHN TRAFFORD</t>
        </r>
      </text>
    </comment>
    <comment ref="V966" authorId="0" shapeId="0" xr:uid="{5D319BCA-544D-4FF9-B1C0-A82DA53D23A4}">
      <text>
        <r>
          <rPr>
            <sz val="9"/>
            <color indexed="81"/>
            <rFont val="Tahoma"/>
            <family val="2"/>
          </rPr>
          <t>RICHARD BYRON_x000D_
http://yeinfo.com/family/I09066885.html_x000D_
https://www.google.com/search?q=RICHARD+BYRON+1329+1397+JOAN_x000D_
.born: 1329    -          Clayton (Lancashire) England_x000D_
.died: 13970627-          Clayton (Lancashire) England, age:68y 5m 26d, _x000D_
.bapt: 1785GE_x000D_
.will: 2004MO_x000D_
.obit: 1890OH_x000D_
.bury: 1850IL _x000D_
.wpbt: 1826PA_x000D_
.anc#:double ancestor_x000D_
citiz:foreign_x000D_
#spos:1_x000D_
#srcs:1_x000D_
#comment:1_x000D_
#events:1_x000D_
#kids:1_x000D_
lived:ENLANCSCLAYTON,ENYORKSBRADFOR_x000D_
issue:_x000D_
.recs:Birth,Marriage,Death_x000D_
.imm?:no_x000D_
..Spo:JOAN COLWICK</t>
        </r>
      </text>
    </comment>
    <comment ref="U968" authorId="0" shapeId="0" xr:uid="{85742AD4-562E-42C7-B01E-86474E3CB02F}">
      <text>
        <r>
          <rPr>
            <sz val="9"/>
            <color indexed="81"/>
            <rFont val="Tahoma"/>
            <family val="2"/>
          </rPr>
          <t>JOHN BYRON_x000D_
http://yeinfo.com/family/I09066886.html_x000D_
https://www.google.com/search?q=JOHN+BYRON+1362+1445+MARGERY_x000D_
.born: 1362    -          Clayton (Lancashire) England_x000D_
.died: 1445    -          Lancashire county England, age:83y 0m 0d, _x000D_
.bapt: 1785GE_x000D_
.will: 2004MO_x000D_
.obit: 1890OH_x000D_
.bury: 1850IL Manchester Cathedral_x000D_
.wpbt: 1826PA_x000D_
.anc#:double ancestor_x000D_
citiz:foreign_x000D_
#spos:1_x000D_
#srcs:1_x000D_
#comment:0_x000D_
#events:3_x000D_
#kids:1_x000D_
lived:ENLANCSCLAYTON,ENLANCSMANCHES_x000D_
issue:Born before Parents Married_x000D_
.recs:Birth,Marriage,Death,Interment/Burial_x000D_
.imm?:no_x000D_
..Spo:MARGERY BOOTH</t>
        </r>
      </text>
    </comment>
    <comment ref="V970" authorId="0" shapeId="0" xr:uid="{F7493CB0-CBB3-4F43-8939-2AC55D788CAC}">
      <text>
        <r>
          <rPr>
            <sz val="9"/>
            <color indexed="81"/>
            <rFont val="Tahoma"/>
            <family val="2"/>
          </rPr>
          <t>JOAN COLWICK_x000D_
http://yeinfo.com/family/I09066888.html_x000D_
https://www.google.com/search?q=JOAN+COLWICK+1342+1426+BYRON_x000D_
.born: 1342    -          Nottingham (Nottinghamshire) England_x000D_
.died: 14261008-          Clayton (Yorkshire) England, age:84y 9m 7d, _x000D_
.bapt: 1785GE_x000D_
.will: 2004MO_x000D_
.obit: 1890OH_x000D_
.bury: 1850IL _x000D_
.wpbt: 1826PA_x000D_
.anc#:double ancestor_x000D_
citiz:foreign_x000D_
#spos:1_x000D_
#srcs:1_x000D_
#comment:1_x000D_
#events:1_x000D_
#kids:1_x000D_
lived:ENNOTTINOTTHAM,ENYORKSBRADFOR,ENYORKSCLAYTON_x000D_
issue:_x000D_
.recs:Birth,Marriage,Death_x000D_
.imm?:no_x000D_
..Spo:RICHARD BYRON</t>
        </r>
      </text>
    </comment>
    <comment ref="T972" authorId="0" shapeId="0" xr:uid="{8E558DE0-B392-4112-A6CD-5BE269A59135}">
      <text>
        <r>
          <rPr>
            <sz val="9"/>
            <color indexed="81"/>
            <rFont val="Tahoma"/>
            <family val="2"/>
          </rPr>
          <t>ELIZABETH BYRON_x000D_
http://yeinfo.com/family/I09066887.html_x000D_
https://www.google.com/search?q=ELIZABETH+BYRON+1393+1460+ASHTON_x000D_
.born: 1393    -          Clayton (Lancashire) England_x000D_
.died: 1460    -          Lancashire county England, age:67y 0m 0d, _x000D_
.bapt: 1785GE_x000D_
.will: 2004MO_x000D_
.obit: 1890OH_x000D_
.bury: 1850IL _x000D_
.wpbt: 1826PA_x000D_
.anc#:double ancestor_x000D_
citiz:foreign_x000D_
#spos:1_x000D_
#srcs:1_x000D_
#comment:0_x000D_
#events:1_x000D_
#kids:1_x000D_
lived:ENLANCSCLAYTON_x000D_
issue:_x000D_
.recs:Birth,Marriage,Death_x000D_
.imm?:no_x000D_
..Spo:THOMAS ASHTON</t>
        </r>
      </text>
    </comment>
    <comment ref="X974" authorId="0" shapeId="0" xr:uid="{3FACAC08-6C14-4956-B935-63246BF7AEA6}">
      <text>
        <r>
          <rPr>
            <sz val="9"/>
            <color indexed="81"/>
            <rFont val="Tahoma"/>
            <family val="2"/>
          </rPr>
          <t>JOHN BOOTH_x000D_
http://yeinfo.com/family/I09066872.html_x000D_
https://www.google.com/search?q=JOHN+BOOTH+1280+1370+AGNES_x000D_
.born: 1280    -          Lincolnshire county England_x000D_
.died: 1370    -          Lincolnshire county England, age:90y 0m 0d, _x000D_
.bapt: 1785GE_x000D_
.will: 2004MO_x000D_
.obit: 1890OH_x000D_
.bury: 1850IL _x000D_
.wpbt: 1826PA_x000D_
.anc#:double ancestor_x000D_
citiz:foreign_x000D_
#spos:1_x000D_
#srcs:1_x000D_
#comment:1_x000D_
#events:1_x000D_
#kids:1_x000D_
lived:ENLANCSBARTON,ENLINCS_x000D_
issue:_x000D_
.recs:Birth,Marriage,Death_x000D_
.imm?:no_x000D_
..Spo:AGNES BARTON</t>
        </r>
      </text>
    </comment>
    <comment ref="W976" authorId="0" shapeId="0" xr:uid="{9D6B8C99-CD2B-4C2F-A3C6-005E97D6910B}">
      <text>
        <r>
          <rPr>
            <sz val="9"/>
            <color indexed="81"/>
            <rFont val="Tahoma"/>
            <family val="2"/>
          </rPr>
          <t>JOHN THOMAS BOOTH_x000D_
http://yeinfo.com/family/I09066873.html_x000D_
https://www.google.com/search?q=JOHN+THOMAS+BOOTH+1320+1368+ELENA_x000D_
.born:?1320    -          Preston (Lancashire) England_x000D_
.died: 1368    -          Barton (Lancashire) England, age:48y 0m 0d, _x000D_
.bapt: 1785GE_x000D_
.will: 2004MO_x000D_
.obit: 1890OH_x000D_
.bury: 1850IL St.Mary Virgin Churchyard_x000D_
.wpbt: 1826PA_x000D_
.anc#:double ancestor_x000D_
citiz:foreign_x000D_
#spos:1_x000D_
#srcs:1_x000D_
#comment:0_x000D_
#events:2_x000D_
#kids:1_x000D_
lived:ENLANCSBARTON,ENLANCSPRESTON_x000D_
issue:_x000D_
.recs:Birth,Marriage,Death,Interment/Burial_x000D_
.imm?:no_x000D_
..Spo:ELENA WORSLEY</t>
        </r>
      </text>
    </comment>
    <comment ref="X978" authorId="0" shapeId="0" xr:uid="{E6B9CD1D-34D7-4EE2-B3AB-81B0D339B7BF}">
      <text>
        <r>
          <rPr>
            <sz val="9"/>
            <color indexed="81"/>
            <rFont val="Tahoma"/>
            <family val="2"/>
          </rPr>
          <t>AGNES BARTON_x000D_
http://yeinfo.com/family/I09066868.html_x000D_
https://www.google.com/search?q=AGNES+BARTON+1276+1350+BOOTH_x000D_
.born: 1276    -          Lower Booths (Lancashire) England_x000D_
.died: 1350    -          Lower Booths (Lancashire) England, age:74y 0m 0d, _x000D_
.bapt: 1785GE_x000D_
.will: 2004MO_x000D_
.obit: 1890OH_x000D_
.bury: 1850IL _x000D_
.wpbt: 1826PA_x000D_
.anc#:double ancestor_x000D_
citiz:foreign_x000D_
#spos:1_x000D_
#srcs:1_x000D_
#comment:1_x000D_
#events:1_x000D_
#kids:1_x000D_
lived:ENLANCSBARTON,ENLANCSLOWEBOO_x000D_
issue:_x000D_
.recs:Birth,Marriage,Death_x000D_
.imm?:no_x000D_
..Spo:JOHN BOOTH</t>
        </r>
      </text>
    </comment>
    <comment ref="V980" authorId="0" shapeId="0" xr:uid="{9BE5C22B-F55E-4A9F-8F98-C0F84B8199C3}">
      <text>
        <r>
          <rPr>
            <sz val="9"/>
            <color indexed="81"/>
            <rFont val="Tahoma"/>
            <family val="2"/>
          </rPr>
          <t>JOHN BOOTH_x000D_
http://yeinfo.com/family/I09066874.html_x000D_
https://www.google.com/search?q=JOHN+BOOTH+1324+1422+JOANNA_x000D_
.born: 1324    -          Eccles (Lancashire) England_x000D_
.died: 142203  -          Winmarleigh (Lancashire) England, age:98y 2m 0d, _x000D_
.bapt: 1785GE_x000D_
.will: 2004MO_x000D_
.obit: 1890OH_x000D_
.bury: 1850IL St.Mary Virgin Churchyard_x000D_
.wpbt: 1826PA_x000D_
.anc#:double ancestor_x000D_
citiz:foreign_x000D_
#spos:1_x000D_
#srcs:1_x000D_
#comment:0_x000D_
#events:2_x000D_
#kids:1_x000D_
lived:ENLANCSBARTON,ENLANCSECCLES,ENLANCSWINMARL_x000D_
issue:Born before Parents Married,Spouse Age more than 30-Year Difference_x000D_
.recs:Birth,Marriage,Death,Interment/Burial_x000D_
.imm?:no_x000D_
..Spo:JOANNA TRAFFORD</t>
        </r>
      </text>
    </comment>
    <comment ref="Z982" authorId="0" shapeId="0" xr:uid="{5CD42C68-3186-4F7D-92A2-C642F7391B6C}">
      <text>
        <r>
          <rPr>
            <sz val="9"/>
            <color indexed="81"/>
            <rFont val="Tahoma"/>
            <family val="2"/>
          </rPr>
          <t>RICHARD WORSLEY_x000D_
http://yeinfo.com/family/I09066999.html_x000D_
https://www.google.com/search?q=RICHARD+WORSLEY+1218+1292+MAUD_x000D_
.born:?1218    -          Lancashire county England_x000D_
.died: 1292    -          Norway, age:74y 0m 0d, _x000D_
.bapt: 1785GE_x000D_
.will: 2004MO_x000D_
.obit: 1890OH_x000D_
.bury: 1850IL _x000D_
.wpbt: 1826PA_x000D_
.anc#:  quadruple ancestor_x000D_
citiz:foreign_x000D_
#spos:1_x000D_
#srcs:1_x000D_
#comment:1_x000D_
#events:1_x000D_
#kids:1_x000D_
lived:ENLANCS,NO_x000D_
issue:_x000D_
.recs:Birth,Marriage,Death_x000D_
.imm?:no_x000D_
..Spo:MAUD WARDLEY</t>
        </r>
      </text>
    </comment>
    <comment ref="Y984" authorId="0" shapeId="0" xr:uid="{7476149B-8242-479C-95DE-57C83FF328E1}">
      <text>
        <r>
          <rPr>
            <sz val="9"/>
            <color indexed="81"/>
            <rFont val="Tahoma"/>
            <family val="2"/>
          </rPr>
          <t>HENRY WORSLEY_x000D_
http://yeinfo.com/family/I09067001.html_x000D_
https://www.google.com/search?q=HENRY+WORSLEY+1240+1303+JOAN+SHORESWORTH_x000D_
.born: 1240    -          England_x000D_
.died: 1303    -          Worsley (Lancashire) England, age:63y 0m 0d, _x000D_
.bapt: 1785GE_x000D_
.will: 2004MO_x000D_
.obit: 1890OH_x000D_
.bury: 1850IL _x000D_
.wpbt: 1826PA_x000D_
.anc#:  quadruple ancestor_x000D_
citiz:foreign_x000D_
#spos:2_x000D_
#srcs:1_x000D_
#comment:1_x000D_
#events:2_x000D_
#kids:2_x000D_
lived:ENLANCSWORSLEY_x000D_
issue:AncFlags between Spouses Mismatched_x000D_
.recs:Birth,Marriage,Death_x000D_
.imm?:no_x000D_
..Spo:JOAN WORSLEY</t>
        </r>
      </text>
    </comment>
    <comment ref="Z986" authorId="0" shapeId="0" xr:uid="{B7D7C2FA-BCBA-4A01-A89C-8EA4F1FB7177}">
      <text>
        <r>
          <rPr>
            <sz val="9"/>
            <color indexed="81"/>
            <rFont val="Tahoma"/>
            <family val="2"/>
          </rPr>
          <t>MAUD WARDLEY_x000D_
http://yeinfo.com/family/I09066998.html_x000D_
https://www.google.com/search?q=MAUD+WARDLEY+1240+1277+WORSLEY_x000D_
.born: 1240    -          Wardley (Lancashire) England_x000D_
.died: 1277    -          Lancashire county England, age:37y 0m 0d, _x000D_
.bapt: 1785GE_x000D_
.will: 2004MO_x000D_
.obit: 1890OH_x000D_
.bury: 1850IL _x000D_
.wpbt: 1826PA_x000D_
.anc#:  quadruple ancestor_x000D_
citiz:foreign_x000D_
#spos:1_x000D_
#srcs:1_x000D_
#comment:1_x000D_
#events:1_x000D_
#kids:1_x000D_
lived:ENLANCSWARDLEY_x000D_
issue:Died after Age 100_x000D_
.recs:Birth,Marriage,Death_x000D_
.imm?:no_x000D_
..Spo:RICHARD WORSLEY</t>
        </r>
      </text>
    </comment>
    <comment ref="X988" authorId="0" shapeId="0" xr:uid="{26D0FF92-5E2F-4943-992F-91F00753F21D}">
      <text>
        <r>
          <rPr>
            <sz val="9"/>
            <color indexed="81"/>
            <rFont val="Tahoma"/>
            <family val="2"/>
          </rPr>
          <t>ROBERT WORSLEY_x000D_
http://yeinfo.com/family/I09067004.html_x000D_
https://www.google.com/search?q=ROBERT+WORSLEY+1294+1325+CECILY_x000D_
.born:?1294    -          England_x000D_
.died: 1325    -1350     ?Lancashire county England, age:31y 0m 0d, _x000D_
.bapt: 1785GE_x000D_
.will: 2004MO_x000D_
.obit: 1890OH_x000D_
.bury: 1850IL _x000D_
.wpbt: 1826PA_x000D_
.anc#:double ancestor_x000D_
citiz:foreign_x000D_
#spos:1_x000D_
#srcs:1_x000D_
#comment:0_x000D_
#events:1_x000D_
#kids:1_x000D_
lived:ENLANCSCLAYTON_x000D_
issue:_x000D_
.recs:Birth,Marriage,Death_x000D_
.imm?:no_x000D_
..Spo:CECILY BROMLEY</t>
        </r>
      </text>
    </comment>
    <comment ref="Z990" authorId="0" shapeId="0" xr:uid="{CDA9D5B2-1684-4358-B2E2-7C80E3FCBF5A}">
      <text>
        <r>
          <rPr>
            <sz val="9"/>
            <color indexed="81"/>
            <rFont val="Tahoma"/>
            <family val="2"/>
          </rPr>
          <t>ROBERT SHORESWORTH_x000D_
http://yeinfo.com/family/I09066974.html_x000D_
https://www.google.com/search?q=ROBERT+SHORESWORTH+1235+1300+CECILY_x000D_
.born:?1235    -          Lancashire county England_x000D_
.died: 1300    -1330     ?Lancashire county England, age:65y 0m 0d, _x000D_
.bapt: 1785GE_x000D_
.will: 2004MO_x000D_
.obit: 1890OH_x000D_
.bury: 1850IL _x000D_
.wpbt: 1826PA_x000D_
.anc#:  quadruple ancestor_x000D_
citiz:foreign_x000D_
#spos:1_x000D_
#srcs:1_x000D_
#comment:1_x000D_
#events:1_x000D_
#kids:1_x000D_
lived:ENLANCS_x000D_
issue:_x000D_
.recs:Birth,Marriage,Death_x000D_
.imm?:no_x000D_
..Spo:CECILY DENTON</t>
        </r>
      </text>
    </comment>
    <comment ref="Y992" authorId="0" shapeId="0" xr:uid="{32C29A6C-C4FC-4C53-8203-AB1B9D9FE5A8}">
      <text>
        <r>
          <rPr>
            <sz val="9"/>
            <color indexed="81"/>
            <rFont val="Tahoma"/>
            <family val="2"/>
          </rPr>
          <t>MARGARET SHORESWORTH_x000D_
http://yeinfo.com/family/I09066975.html_x000D_
https://www.google.com/search?q=MARGARET+SHORESWORTH+1265+1343+HENRY_x000D_
.born: 1265    -          Bury (Lancashire) England_x000D_
.died: 1343    -          Bury (Lancashire) England, age:78y 0m 0d, _x000D_
.bapt: 1785GE_x000D_
.will: 2004MO_x000D_
.obit: 1890OH_x000D_
.bury: 1850IL _x000D_
.wpbt: 1826PA_x000D_
.anc#:  quadruple ancestor_x000D_
citiz:foreign_x000D_
#spos:3_x000D_
#srcs:1_x000D_
#comment:0_x000D_
#events:3_x000D_
#kids:2_x000D_
lived:ENLANCSBURY_x000D_
issue:_x000D_
.recs:Birth,Marriage,Death_x000D_
.imm?:no_x000D_
..Spo:</t>
        </r>
      </text>
    </comment>
    <comment ref="Z994" authorId="0" shapeId="0" xr:uid="{83FF0FA8-9669-46C7-8822-8CEB171F54B5}">
      <text>
        <r>
          <rPr>
            <sz val="9"/>
            <color indexed="81"/>
            <rFont val="Tahoma"/>
            <family val="2"/>
          </rPr>
          <t>CECILY DENTON_x000D_
http://yeinfo.com/family/I09066900.html_x000D_
https://www.google.com/search?q=CECILY+DENTON+1242+1299+SHORESWORTH_x000D_
.born: 1242    -          England_x000D_
.died: 1299    -          Lancashire county England, age:57y 0m 0d, _x000D_
.bapt: 1785GE_x000D_
.will: 2004MO_x000D_
.obit: 1890OH_x000D_
.bury: 1850IL _x000D_
.wpbt: 1826PA_x000D_
.anc#:  quadruple ancestor_x000D_
citiz:foreign_x000D_
#spos:1_x000D_
#srcs:1_x000D_
#comment:1_x000D_
#events:1_x000D_
#kids:1_x000D_
lived:?ENLANCS,EN_x000D_
issue:_x000D_
.recs:Birth,Marriage,Death_x000D_
.imm?:no_x000D_
..Spo:ROBERT SHORESWORTH</t>
        </r>
      </text>
    </comment>
    <comment ref="W996" authorId="0" shapeId="0" xr:uid="{DFE0BB4E-1D69-44E2-B089-E3828A0A6115}">
      <text>
        <r>
          <rPr>
            <sz val="9"/>
            <color indexed="81"/>
            <rFont val="Tahoma"/>
            <family val="2"/>
          </rPr>
          <t>ELENA WORSLEY_x000D_
http://yeinfo.com/family/I09067007.html_x000D_
https://www.google.com/search?q=ELENA+WORSLEY+1325+1360+BOOTH_x000D_
.born: 1325    -          Lancashire county England_x000D_
.died: 13600929-          Barton (Lancashire) England, age:35y 8m 28d, _x000D_
.bapt: 1785GE_x000D_
.will: 2004MO_x000D_
.obit: 1890OH_x000D_
.bury: 1850IL _x000D_
.wpbt: 1826PA_x000D_
.anc#:double ancestor_x000D_
citiz:foreign_x000D_
#spos:1_x000D_
#srcs:1_x000D_
#comment:0_x000D_
#events:1_x000D_
#kids:1_x000D_
lived:ENLANCSBARTON,ENLANCSPRESTON_x000D_
issue:_x000D_
.recs:Birth,Marriage,Death_x000D_
.imm?:no_x000D_
..Spo:JOHN THOMAS BOOTH</t>
        </r>
      </text>
    </comment>
    <comment ref="Z998" authorId="0" shapeId="0" xr:uid="{459DE3F4-DB1F-47EA-8B75-772DC5EE2EFB}">
      <text>
        <r>
          <rPr>
            <sz val="9"/>
            <color indexed="81"/>
            <rFont val="Tahoma"/>
            <family val="2"/>
          </rPr>
          <t>RANULPH BROMLEY II_x000D_
http://yeinfo.com/family/I09066879.html_x000D_
https://www.google.com/search?q=RANULPH+BROMLEY+1270+1330+AGNES_x000D_
.born: 1270    -          Baddington (Cheshire) England_x000D_
.died: 1330    -          Staffordshire county England, age:60y 0m 0d, _x000D_
.bapt: 1785GE_x000D_
.will: 2004MO_x000D_
.obit: 1890OH_x000D_
.bury: 1850IL _x000D_
.wpbt: 1826PA_x000D_
.anc#:double ancestor_x000D_
citiz:foreign_x000D_
#spos:1_x000D_
#srcs:1_x000D_
#comment:1_x000D_
#events:1_x000D_
#kids:1_x000D_
lived:ENCHESHBADDTON,ENSTAFS_x000D_
issue:_x000D_
.recs:Birth,Marriage,Death_x000D_
.imm?:no_x000D_
..Spo:AGNES DIMSDALE</t>
        </r>
      </text>
    </comment>
    <comment ref="Y1000" authorId="0" shapeId="0" xr:uid="{27344450-920E-4FA4-8FCB-4B40544AB232}">
      <text>
        <r>
          <rPr>
            <sz val="9"/>
            <color indexed="81"/>
            <rFont val="Tahoma"/>
            <family val="2"/>
          </rPr>
          <t>JOHN BROMLEY_x000D_
http://yeinfo.com/family/I09066880.html_x000D_
https://www.google.com/search?q=JOHN+BROMLEY+1292+1359+JOAN_x000D_
.born: 1292    -          Abbots Bromley (Staffordshire) England_x000D_
.died: 1359    -          Baddington (Cheshire) England, age:67y 0m 0d, _x000D_
.bapt: 1785GE_x000D_
.will: 2004MO_x000D_
.obit: 1890OH_x000D_
.bury: 1850IL _x000D_
.wpbt: 1826PA_x000D_
.anc#:double ancestor_x000D_
citiz:foreign_x000D_
#spos:1_x000D_
#srcs:1_x000D_
#comment:0_x000D_
#events:1_x000D_
#kids:1_x000D_
lived:ENCHESHBADDTON,ENSTAFSABBOTSY_x000D_
issue:Died after Age 100_x000D_
.recs:Birth,Marriage,Death_x000D_
.imm?:no_x000D_
..Spo:JOAN BADDINGTON</t>
        </r>
      </text>
    </comment>
    <comment ref="Z1002" authorId="0" shapeId="0" xr:uid="{F1358014-0ABA-413B-8370-8EA8556F53E8}">
      <text>
        <r>
          <rPr>
            <sz val="9"/>
            <color indexed="81"/>
            <rFont val="Tahoma"/>
            <family val="2"/>
          </rPr>
          <t>AGNES DIMSDALE_x000D_
http://yeinfo.com/family/I09066901.html_x000D_
https://www.google.com/search?q=AGNES+DIMSDALE+1277+1330+BROMLEY_x000D_
.born: 1277    -          Baddington (Lancashire) England_x000D_
.died: 1330    -          Cheshire county England, age:53y 0m 0d, _x000D_
.bapt: 1785GE_x000D_
.will: 2004MO_x000D_
.obit: 1890OH_x000D_
.bury: 1850IL _x000D_
.wpbt: 1826PA_x000D_
.anc#:double ancestor_x000D_
citiz:foreign_x000D_
#spos:1_x000D_
#srcs:1_x000D_
#comment:0_x000D_
#events:1_x000D_
#kids:1_x000D_
lived:?ENCHESH,ENLANCSBADDTON_x000D_
issue:Died after Age 100_x000D_
.recs:Birth,Marriage,Death_x000D_
.imm?:no_x000D_
..Spo:RANULPH BROMLEY</t>
        </r>
      </text>
    </comment>
    <comment ref="X1004" authorId="0" shapeId="0" xr:uid="{C3786F5A-0F8F-41F1-90AE-417151365129}">
      <text>
        <r>
          <rPr>
            <sz val="9"/>
            <color indexed="81"/>
            <rFont val="Tahoma"/>
            <family val="2"/>
          </rPr>
          <t>CECILY BROMLEY_x000D_
http://yeinfo.com/family/I09066881.html_x000D_
https://www.google.com/search?q=CECILY+BROMLEY+1300+1346+WORSLEY_x000D_
.born:?1300    -          Baddington (Lancashire) England_x000D_
.died: 1346    -          Lancashire county England, age:46y 0m 0d, _x000D_
.bapt: 1785GE_x000D_
.will: 2004MO_x000D_
.obit: 1890OH_x000D_
.bury: 1850IL _x000D_
.wpbt: 1826PA_x000D_
.anc#:double ancestor_x000D_
citiz:foreign_x000D_
#spos:1_x000D_
#srcs:1_x000D_
#comment:0_x000D_
#events:1_x000D_
#kids:1_x000D_
lived:ENLANCSBADDTON,ENLANCSCLAYTON_x000D_
issue:Born before Parents Married_x000D_
.recs:Birth,Marriage,Death_x000D_
.imm?:no_x000D_
..Spo:ROBERT WORSLEY</t>
        </r>
      </text>
    </comment>
    <comment ref="Z1006" authorId="0" shapeId="0" xr:uid="{B1C78F47-5BCA-40D5-B0CB-9714ABFB0C22}">
      <text>
        <r>
          <rPr>
            <sz val="9"/>
            <color indexed="81"/>
            <rFont val="Tahoma"/>
            <family val="2"/>
          </rPr>
          <t>GEOFFREY BADDINGTON_x000D_
http://yeinfo.com/family/I09066865.html_x000D_
https://www.google.com/search?q=GEOFFREY+BADDINGTON+1270+1295+{_?_}_x000D_
.born: 1270    -          Baddington (Lancashire) England_x000D_
.died: 1295    -1355     ?Lancashire county England, age:25y 0m 0d, _x000D_
.bapt: 1785GE_x000D_
.will: 2004MO_x000D_
.obit: 1890OH_x000D_
.bury: 1850IL _x000D_
.wpbt: 1826PA_x000D_
.anc#:double ancestor_x000D_
citiz:foreign_x000D_
#spos:1_x000D_
#srcs:1_x000D_
#comment:0_x000D_
#events:1_x000D_
#kids:1_x000D_
lived:?ENCHESH,ENLANCSBADDTON_x000D_
issue:_x000D_
.recs:Birth,Marriage,Death_x000D_
.imm?:no_x000D_
..Spo:{_?_} BADDINGTON</t>
        </r>
      </text>
    </comment>
    <comment ref="Y1008" authorId="0" shapeId="0" xr:uid="{2F042A8A-401D-495A-8D21-759D38B26B19}">
      <text>
        <r>
          <rPr>
            <sz val="9"/>
            <color indexed="81"/>
            <rFont val="Tahoma"/>
            <family val="2"/>
          </rPr>
          <t>JOAN BADDINGTON_x000D_
http://yeinfo.com/family/I09066866.html_x000D_
https://www.google.com/search?q=JOAN+BADDINGTON+1287+1320+BROMLEY_x000D_
.born:?1287    -          Baddington (Cheshire) England_x000D_
.died:?1320    -         ?Baddington (Cheshire) England, age:33y 0m 0d, _x000D_
.bapt: 1785GE_x000D_
.will: 2004MO_x000D_
.obit: 1890OH_x000D_
.bury: 1850IL _x000D_
.wpbt: 1826PA_x000D_
.anc#:double ancestor_x000D_
citiz:foreign_x000D_
#spos:1_x000D_
#srcs:1_x000D_
#comment:0_x000D_
#events:1_x000D_
#kids:1_x000D_
lived:ENCHESHBADDTON_x000D_
issue:Died after Age 100_x000D_
.recs:Birth,Marriage,Death_x000D_
.imm?:no_x000D_
..Spo:JOHN BROMLEY</t>
        </r>
      </text>
    </comment>
    <comment ref="Z1010" authorId="0" shapeId="0" xr:uid="{B78ECB02-C386-4DBE-8CDD-D080AABE5B16}">
      <text>
        <r>
          <rPr>
            <sz val="9"/>
            <color indexed="81"/>
            <rFont val="Tahoma"/>
            <family val="2"/>
          </rPr>
          <t>Mrs. {_?_} BADDINGTON_x000D_
http://yeinfo.com/family/I09066864.html_x000D_
https://www.google.com/search?q={_?_}+BADDINGTON+1270+1295+BADDINGTON_x000D_
.born:?1270    -         ?Baddington (Lancashire) England_x000D_
.died: 1295    -1355     ?Lancashire county England, age:25y 0m 0d, _x000D_
.bapt: 1785GE_x000D_
.will: 2004MO_x000D_
.obit: 1890OH_x000D_
.bury: 1850IL _x000D_
.wpbt: 1826PA_x000D_
.anc#:double ancestor_x000D_
citiz:foreign_x000D_
#spos:1_x000D_
#srcs:0_x000D_
#comment:0_x000D_
#events:1_x000D_
#kids:1_x000D_
lived:?ENCHESH,?ENLANCSBADDTON_x000D_
issue:_x000D_
.recs:Birth,Marriage,Death_x000D_
.imm?:no_x000D_
..Spo:GEOFFREY BADDINGTON</t>
        </r>
      </text>
    </comment>
    <comment ref="U1012" authorId="0" shapeId="0" xr:uid="{53CDF2CB-1B92-4EF0-AC80-A6D70B7F1B5F}">
      <text>
        <r>
          <rPr>
            <sz val="9"/>
            <color indexed="81"/>
            <rFont val="Tahoma"/>
            <family val="2"/>
          </rPr>
          <t>MARGERY BOOTH_x000D_
http://yeinfo.com/family/I09066875.html_x000D_
https://www.google.com/search?q=MARGERY+BOOTH+1386+1461+BYRON_x000D_
.born: 1386    -          Barton (Lancashire) England_x000D_
.died: 1461    -          Derby (Derbyshire) England, age:75y 0m 0d, _x000D_
.bapt: 1785GE_x000D_
.will: 2004MO_x000D_
.obit: 1890OH_x000D_
.bury: 1850IL _x000D_
.wpbt: 1826PA_x000D_
.anc#:double ancestor_x000D_
citiz:foreign_x000D_
#spos:1_x000D_
#srcs:1_x000D_
#comment:0_x000D_
#events:1_x000D_
#kids:1_x000D_
lived:ENDERBSDERBY,ENLANCSBARTON_x000D_
issue:Born after Dad Age 60,Died after Age 100_x000D_
.recs:Birth,Marriage,Death_x000D_
.imm?:no_x000D_
..Spo:JOHN BYRON</t>
        </r>
      </text>
    </comment>
    <comment ref="Z1014" authorId="0" shapeId="0" xr:uid="{C39230B7-C091-4F67-AEA5-D601443A8294}">
      <text>
        <r>
          <rPr>
            <sz val="9"/>
            <color indexed="81"/>
            <rFont val="Tahoma"/>
            <family val="2"/>
          </rPr>
          <t>HENRY TRAFFORD_x000D_
http://yeinfo.com/family/I09066981.html_x000D_
https://www.google.com/search?q=HENRY+TRAFFORD+1225+1264+MARGARET_x000D_
.born:?1225    -          Lancashire county England_x000D_
.died:?1264    -1310      Lancashire county England, age:39y 0m 0d, _x000D_
.bapt: 1785GE_x000D_
.will: 2004MO_x000D_
.obit: 1890OH_x000D_
.bury: 1850IL _x000D_
.wpbt: 1826PA_x000D_
.anc#:  nontuple ancestor_x000D_
citiz:foreign_x000D_
#spos:1_x000D_
#srcs:1_x000D_
#comment:1_x000D_
#events:1_x000D_
#kids:1_x000D_
lived:ENLANCS_x000D_
issue:_x000D_
.recs:Birth,Marriage,Death_x000D_
.imm?:no_x000D_
..Spo:MARGARET TRAFFORD</t>
        </r>
      </text>
    </comment>
    <comment ref="Y1016" authorId="0" shapeId="0" xr:uid="{FB2A89F6-69ED-4EAA-A4F9-D80225781151}">
      <text>
        <r>
          <rPr>
            <sz val="9"/>
            <color indexed="81"/>
            <rFont val="Tahoma"/>
            <family val="2"/>
          </rPr>
          <t>JOHN TRAFFORD_x000D_
http://yeinfo.com/family/I09066434.html_x000D_
https://www.google.com/search?q=JOHN+TRAFFORD+1264+1340+ELIZABETH_x000D_
.born: 1264    -          Lancashire county England_x000D_
.died: 1340    -1350      Lancashire county England, age:76y 0m 0d, _x000D_
.bapt: 1785GE_x000D_
.will: 2004MO_x000D_
.obit: 1890OH_x000D_
.bury: 1850IL _x000D_
.wpbt: 1826PA_x000D_
.anc#:  nontuple ancestor_x000D_
citiz:foreign_x000D_
#spos:1_x000D_
#srcs:7_x000D_
#comment:1_x000D_
#events:1_x000D_
#kids:2_x000D_
lived:ENLANCS_x000D_
issue:_x000D_
.recs:Birth,Marriage,Death_x000D_
.imm?:no_x000D_
..Spo:ELIZABETH ASHTON</t>
        </r>
      </text>
    </comment>
    <comment ref="Z1018" authorId="0" shapeId="0" xr:uid="{9B0C33B9-81A4-4DDC-B2A6-2655CF28BE14}">
      <text>
        <r>
          <rPr>
            <sz val="9"/>
            <color indexed="81"/>
            <rFont val="Tahoma"/>
            <family val="2"/>
          </rPr>
          <t>Mrs. MARGARET TRAFFORD_x000D_
http://yeinfo.com/family/I09066980.html_x000D_
https://www.google.com/search?q=MARGARET+TRAFFORD+1236+1334+TRAFFORD_x000D_
.born: 1236    -          Lancashire county England_x000D_
.died: 1334    -          Lancashire county England, age:98y 0m 0d, _x000D_
.bapt: 1785GE_x000D_
.will: 2004MO_x000D_
.obit: 1890OH_x000D_
.bury: 1850IL _x000D_
.wpbt: 1826PA_x000D_
.anc#:  nontuple ancestor_x000D_
citiz:foreign_x000D_
#spos:1_x000D_
#srcs:1_x000D_
#comment:0_x000D_
#events:1_x000D_
#kids:1_x000D_
lived:ENLANCS_x000D_
issue:_x000D_
.recs:Birth,Marriage,Death_x000D_
.imm?:no_x000D_
..Spo:HENRY TRAFFORD</t>
        </r>
      </text>
    </comment>
    <comment ref="X1020" authorId="0" shapeId="0" xr:uid="{3170F839-9582-4539-9C76-34D31F2E19C1}">
      <text>
        <r>
          <rPr>
            <sz val="9"/>
            <color indexed="81"/>
            <rFont val="Tahoma"/>
            <family val="2"/>
          </rPr>
          <t>HENRY TRAFFORD_x000D_
http://yeinfo.com/family/I09066317.html_x000D_
https://www.google.com/search?q=HENRY+TRAFFORD+1292+1370+AGNES_x000D_
.born: 1292    -          Lancashire county England_x000D_
.died: 1370    -          Lancashire county England, age:78y 0m 0d, _x000D_
.bapt: 1785GE_x000D_
.will: 2004MO_x000D_
.obit: 1890OH_x000D_
.bury: 1850IL _x000D_
.wpbt: 1826PA_x000D_
.anc#:  nontuple ancestor_x000D_
citiz:foreign_x000D_
#spos:1_x000D_
#srcs:1_x000D_
#comment:0_x000D_
#events:1_x000D_
#kids:3_x000D_
lived:ENLANCS_x000D_
issue:_x000D_
.recs:Birth,Marriage,Death_x000D_
.imm?:no_x000D_
..Spo:AGNES DOTERINDE</t>
        </r>
      </text>
    </comment>
    <comment ref="Y1022" authorId="0" shapeId="0" xr:uid="{C2340FB7-F9D5-483A-AAD9-20A5ED0543B8}">
      <text>
        <r>
          <rPr>
            <sz val="9"/>
            <color indexed="81"/>
            <rFont val="Tahoma"/>
            <family val="2"/>
          </rPr>
          <t>ELIZABETH ASHTON_x000D_
http://yeinfo.com/family/I09066433.html_x000D_
https://www.google.com/search?q=ELIZABETH+ASHTON+1268+1340+TRAFFORD_x000D_
.born: 1268    -          Lancashire county England_x000D_
.died: 1340    -1350      Lancashire county England, age:72y 0m 0d, _x000D_
.bapt: 1785GE_x000D_
.will: 2004MO_x000D_
.obit: 1890OH_x000D_
.bury: 1850IL _x000D_
.wpbt: 1826PA_x000D_
.anc#:  nontuple ancestor_x000D_
citiz:foreign_x000D_
#spos:1_x000D_
#srcs:1_x000D_
#comment:1_x000D_
#events:1_x000D_
#kids:2_x000D_
lived:ENLANCS_x000D_
issue:_x000D_
.recs:Birth,Marriage,Death_x000D_
.imm?:no_x000D_
..Spo:JOHN TRAFFORD</t>
        </r>
      </text>
    </comment>
    <comment ref="W1024" authorId="0" shapeId="0" xr:uid="{CFA63FB9-1EA5-4911-A81B-6E36186D8957}">
      <text>
        <r>
          <rPr>
            <sz val="9"/>
            <color indexed="81"/>
            <rFont val="Tahoma"/>
            <family val="2"/>
          </rPr>
          <t>HENRY TRAFFORD_x000D_
http://yeinfo.com/family/I09066982.html_x000D_
https://www.google.com/search?q=HENRY+TRAFFORD+1335+1386+MARGARET_x000D_
.born:?1335    -         ?Lancashire county England_x000D_
.died: 1386    -          Lancashire county England, age:51y 0m 0d, _x000D_
.bapt: 1785GE_x000D_
.will: 2004MO_x000D_
.obit: 1890OH_x000D_
.bury: 1850IL _x000D_
.wpbt: 1826PA_x000D_
.anc#:  sextuple ancestor_x000D_
citiz:foreign_x000D_
#spos:1_x000D_
#srcs:8_x000D_
#comment:0_x000D_
#events:1_x000D_
#kids:3_x000D_
lived:?ENLANCS,ENCHESH_x000D_
issue:Died after Age 100_x000D_
.recs:Birth,Marriage,Death_x000D_
.imm?:no_x000D_
..Spo:MARGARET INCE</t>
        </r>
      </text>
    </comment>
    <comment ref="Y1026" authorId="0" shapeId="0" xr:uid="{DB7B064C-755D-4C85-BF0A-8CAD3BB96E0B}">
      <text>
        <r>
          <rPr>
            <sz val="9"/>
            <color indexed="81"/>
            <rFont val="Tahoma"/>
            <family val="2"/>
          </rPr>
          <t>RICHARD DOTERINDE_x000D_
http://yeinfo.com/family/I09066492.html_x000D_
https://www.google.com/search?q=RICHARD+DOTERINDE+1280+1345+{_?_}_x000D_
.born:?1280    -          Norfolk county England_x000D_
.died: 1345    -         ?England, age:65y 0m 0d, _x000D_
.bapt: 1785GE_x000D_
.will: 2004MO_x000D_
.obit: 1890OH_x000D_
.bury: 1850IL _x000D_
.wpbt: 1826PA_x000D_
.anc#:  nontuple ancestor_x000D_
citiz:foreign_x000D_
#spos:1_x000D_
#srcs:1_x000D_
#comment:0_x000D_
#events:1_x000D_
#kids:1_x000D_
lived:ENNORFO_x000D_
issue:_x000D_
.recs:Birth,Marriage,Death_x000D_
.imm?:no_x000D_
..Spo:{_?_} DOTERINDE</t>
        </r>
      </text>
    </comment>
    <comment ref="X1028" authorId="0" shapeId="0" xr:uid="{BFDE991F-5145-434A-AA31-3F0143794359}">
      <text>
        <r>
          <rPr>
            <sz val="9"/>
            <color indexed="81"/>
            <rFont val="Tahoma"/>
            <family val="2"/>
          </rPr>
          <t>AGNES DOTERINDE_x000D_
http://yeinfo.com/family/I09066318.html_x000D_
https://www.google.com/search?q=AGNES+DOTERINDE+1302+1360+TRAFFORD_x000D_
.born: 1302    -          Birch (Lancashire) England_x000D_
.died: 1360    -          Lancashire county England, age:58y 0m 0d, _x000D_
.bapt: 1785GE_x000D_
.will: 2004MO_x000D_
.obit: 1890OH_x000D_
.bury: 1850IL _x000D_
.wpbt: 1826PA_x000D_
.anc#:  nontuple ancestor_x000D_
citiz:foreign_x000D_
#spos:1_x000D_
#srcs:1_x000D_
#comment:0_x000D_
#events:1_x000D_
#kids:3_x000D_
lived:ENLANCSBIRCH_x000D_
issue:_x000D_
.recs:Birth,Marriage,Death_x000D_
.imm?:no_x000D_
..Spo:HENRY TRAFFORD</t>
        </r>
      </text>
    </comment>
    <comment ref="Y1030" authorId="0" shapeId="0" xr:uid="{7DB39F14-9A55-4BAD-B60E-504D7D4EB16C}">
      <text>
        <r>
          <rPr>
            <sz val="9"/>
            <color indexed="81"/>
            <rFont val="Tahoma"/>
            <family val="2"/>
          </rPr>
          <t>Mrs. {_?_} DOTERINDE_x000D_
http://yeinfo.com/family/I09066493.html_x000D_
https://www.google.com/search?q={_?_}+DOTERINDE+1280+1302+DOTERINDE_x000D_
.born:?1280    -         ?England_x000D_
.died: 1302    -1370     ?England, age:22y 0m 0d, _x000D_
.bapt: 1785GE_x000D_
.will: 2004MO_x000D_
.obit: 1890OH_x000D_
.bury: 1850IL _x000D_
.wpbt: 1826PA_x000D_
.anc#:  nontuple ancestor_x000D_
citiz:foreign_x000D_
#spos:1_x000D_
#srcs:1_x000D_
#comment:0_x000D_
#events:1_x000D_
#kids:1_x000D_
lived:?EN_x000D_
issue:_x000D_
.recs:Birth,Marriage,Death_x000D_
.imm?:no_x000D_
..Spo:RICHARD DOTERINDE</t>
        </r>
      </text>
    </comment>
    <comment ref="V1032" authorId="0" shapeId="0" xr:uid="{0CD83897-69D1-486E-BD7F-CE41A4F05251}">
      <text>
        <r>
          <rPr>
            <sz val="9"/>
            <color indexed="81"/>
            <rFont val="Tahoma"/>
            <family val="2"/>
          </rPr>
          <t>JOANNA TRAFFORD_x000D_
http://yeinfo.com/family/I09066983.html_x000D_
https://www.google.com/search?q=JOANNA+TRAFFORD+1358+1405+BOOTH_x000D_
.born: 1358    -          Lancashire county England_x000D_
.died: 1405    -          Lancashire county England, age:47y 0m 0d, _x000D_
.bapt: 1785GE_x000D_
.will: 2004MO_x000D_
.obit: 1890OH_x000D_
.bury: 1850IL _x000D_
.wpbt: 1826PA_x000D_
.anc#:double ancestor_x000D_
citiz:foreign_x000D_
#spos:1_x000D_
#srcs:1_x000D_
#comment:0_x000D_
#events:1_x000D_
#kids:1_x000D_
lived:ENLANCSBARTON_x000D_
issue:Spouse Age more than 30-Year Difference_x000D_
.recs:Birth,Marriage,Death_x000D_
.imm?:no_x000D_
..Spo:JOHN BOOTH</t>
        </r>
      </text>
    </comment>
    <comment ref="Z1034" authorId="0" shapeId="0" xr:uid="{F75FAD65-3823-42A0-91BF-3005F105D0EC}">
      <text>
        <r>
          <rPr>
            <sz val="9"/>
            <color indexed="81"/>
            <rFont val="Tahoma"/>
            <family val="2"/>
          </rPr>
          <t>ALFREDUS INCE I_x000D_
http://yeinfo.com/family/I09066930.html_x000D_
https://www.google.com/search?q=ALFREDUS+INCE+1265+1290+ALICE\ALESIA_x000D_
.born:?1265    -          Ince (Lancashire) England_x000D_
.died:?1290    -1350      Wigan (Lancashire) England, age:25y 0m 0d, _x000D_
.bapt: 1785GE_x000D_
.will: 2004MO_x000D_
.obit: 1890OH_x000D_
.bury: 1850IL _x000D_
.wpbt: 1826PA_x000D_
.anc#:  sextuple ancestor_x000D_
citiz:foreign_x000D_
#spos:1_x000D_
#srcs:3_x000D_
#comment:1_x000D_
#events:1_x000D_
#kids:1_x000D_
lived:ENLANCSINCE,ENLANCSWIGAN_x000D_
issue:_x000D_
.recs:Birth,Marriage,Death_x000D_
.imm?:no_x000D_
..Spo:ALICE\ALESIA STANDISH</t>
        </r>
      </text>
    </comment>
    <comment ref="Y1036" authorId="0" shapeId="0" xr:uid="{DE6538F5-FBD1-4065-9D7C-054F16DBCCB4}">
      <text>
        <r>
          <rPr>
            <sz val="9"/>
            <color indexed="81"/>
            <rFont val="Tahoma"/>
            <family val="2"/>
          </rPr>
          <t>RICHARD INCE I_x000D_
http://yeinfo.com/family/I09066931.html_x000D_
https://www.google.com/search?q=RICHARD+INCE+1290+1333+ELIZABETH_x000D_
.born:?1290    -          Wigan (Lancashire) England_x000D_
.died: 1333    -1375      Wigan (Lancashire) England, age:43y 0m 0d, _x000D_
.bapt: 1785GE_x000D_
.will: 2004MO_x000D_
.obit: 1890OH_x000D_
.bury: 1850IL _x000D_
.wpbt: 1826PA_x000D_
.anc#:  sextuple ancestor_x000D_
citiz:foreign_x000D_
#spos:1_x000D_
#srcs:6_x000D_
#comment:0_x000D_
#events:1_x000D_
#kids:1_x000D_
lived:ENLANCSWIGAN_x000D_
issue:Died after Age 100_x000D_
.recs:Birth,Marriage,Death_x000D_
.imm?:no_x000D_
..Spo:ELIZABETH RADCLIFFE</t>
        </r>
      </text>
    </comment>
    <comment ref="Z1038" authorId="0" shapeId="0" xr:uid="{D27E12BF-B4FF-4D0F-8AA7-0C9F1A9EA48A}">
      <text>
        <r>
          <rPr>
            <sz val="9"/>
            <color indexed="81"/>
            <rFont val="Tahoma"/>
            <family val="2"/>
          </rPr>
          <t>ALICE\ALESIA STANDISH_x000D_
http://yeinfo.com/family/I09066976.html_x000D_
https://www.google.com/search?q=ALICE\ALESIA+STANDISH+1262+1290+INCE_x000D_
.born:?1262    -          Standish (Lancashire) England_x000D_
.died: 1290    -1350     ?Lancashire county England, age:28y 0m 0d, _x000D_
.bapt: 1785GE_x000D_
.will: 2004MO_x000D_
.obit: 1890OH_x000D_
.bury: 1850IL _x000D_
.wpbt: 1826PA_x000D_
.anc#:  sextuple ancestor_x000D_
citiz:foreign_x000D_
#spos:1_x000D_
#srcs:4_x000D_
#comment:0_x000D_
#events:1_x000D_
#kids:1_x000D_
lived:ENLANCSSTANDIS_x000D_
issue:_x000D_
.recs:Birth,Marriage,Death_x000D_
.imm?:no_x000D_
..Spo:ALFREDUS INCE</t>
        </r>
      </text>
    </comment>
    <comment ref="X1040" authorId="0" shapeId="0" xr:uid="{8A477CC8-8A24-4820-9D3C-8569EBFF54BC}">
      <text>
        <r>
          <rPr>
            <sz val="9"/>
            <color indexed="81"/>
            <rFont val="Tahoma"/>
            <family val="2"/>
          </rPr>
          <t>ROBERT INCE_x000D_
http://yeinfo.com/family/I09066933.html_x000D_
https://www.google.com/search?q=ROBERT+INCE+1304+1335+{_?_}_x000D_
.born: 1304    -          Lancashire county England_x000D_
.died: 1335    -1390     ?Lancashire county England, age:31y 0m 0d, _x000D_
.bapt: 1785GE_x000D_
.will: 2004MO_x000D_
.obit: 1890OH_x000D_
.bury: 1850IL _x000D_
.wpbt: 1826PA_x000D_
.anc#:  sextuple ancestor_x000D_
citiz:foreign_x000D_
#spos:1_x000D_
#srcs:6_x000D_
#comment:0_x000D_
#events:1_x000D_
#kids:1_x000D_
lived:ENLANCS_x000D_
issue:Born before Parents Married_x000D_
.recs:Birth,Marriage,Death_x000D_
.imm?:no_x000D_
..Spo:{_?_} INCE</t>
        </r>
      </text>
    </comment>
    <comment ref="AB1042" authorId="0" shapeId="0" xr:uid="{45799C1E-4BD9-4148-BD0F-5FE1094ECC8B}">
      <text>
        <r>
          <rPr>
            <sz val="9"/>
            <color indexed="81"/>
            <rFont val="Tahoma"/>
            <family val="2"/>
          </rPr>
          <t>ROBERT RADCLIFFE_x000D_
http://yeinfo.com/family/I09066959.html_x000D_
https://www.google.com/search?q=ROBERT+RADCLIFFE+1208+1239+AMBIL\AMABIL_x000D_
.born:?1208    -          Lancashire county England_x000D_
.died: 1239    -1290     ?Lancashire county England, age:31y 0m 0d, _x000D_
.bapt: 1785GE_x000D_
.will: 2004MO_x000D_
.obit: 1890OH_x000D_
.bury: 1850IL _x000D_
.wpbt: 1826PA_x000D_
.anc#: decuple ancestor_x000D_
citiz:foreign_x000D_
#spos:1_x000D_
#srcs:3_x000D_
#comment:1_x000D_
#events:1_x000D_
#kids:1_x000D_
lived:ENLANCS_x000D_
issue:Died after Age 100_x000D_
.recs:Birth,Marriage,Death_x000D_
.imm?:no_x000D_
..Spo:AMBIL\AMABIL TRAFFORD</t>
        </r>
      </text>
    </comment>
    <comment ref="AA1044" authorId="0" shapeId="0" xr:uid="{06DB9732-E08C-4D7E-AA30-04A49DB29301}">
      <text>
        <r>
          <rPr>
            <sz val="9"/>
            <color indexed="81"/>
            <rFont val="Tahoma"/>
            <family val="2"/>
          </rPr>
          <t>RICHARD RADCLIFFE_x000D_
http://yeinfo.com/family/I09066960.html_x000D_
https://www.google.com/search?q=RICHARD+RADCLIFFE+1224+1326+JOAN\MARGARET_x000D_
.born: 1224    -          Lancashire county England_x000D_
.died: 1326    -          Lancashire county England, age:102y 0m 0d, _x000D_
.bapt: 1785GE_x000D_
.will: 2004MO_x000D_
.obit: 1890OH_x000D_
.bury: 1850IL _x000D_
.wpbt: 1826PA_x000D_
.anc#: decuple ancestor_x000D_
citiz:foreign_x000D_
#spos:1_x000D_
#srcs:3_x000D_
#comment:0_x000D_
#events:1_x000D_
#kids:2_x000D_
lived:ENLANCS_x000D_
issue:Married after Age 60_x000D_
.recs:Birth,Marriage,Death_x000D_
.imm?:no_x000D_
..Spo:JOAN\MARGARET BOTELER</t>
        </r>
      </text>
    </comment>
    <comment ref="AB1046" authorId="0" shapeId="0" xr:uid="{80401C96-ADDB-4798-98D8-C1CB50242455}">
      <text>
        <r>
          <rPr>
            <sz val="9"/>
            <color indexed="81"/>
            <rFont val="Tahoma"/>
            <family val="2"/>
          </rPr>
          <t>AMBIL\AMABIL TRAFFORD_x000D_
http://yeinfo.com/family/I09066988.html_x000D_
https://www.google.com/search?q=AMBIL\AMABIL+TRAFFORD+1222+1239+RADCLIFFE_x000D_
.born:?1222    -          Lancashire county England_x000D_
.died: 1239    -1304     ?Lancashire county England, age:17y 0m 0d, _x000D_
.bapt: 1785GE_x000D_
.will: 2004MO_x000D_
.obit: 1890OH_x000D_
.bury: 1850IL _x000D_
.wpbt: 1826PA_x000D_
.anc#: decuple ancestor_x000D_
citiz:foreign_x000D_
#spos:1_x000D_
#srcs:3_x000D_
#comment:1_x000D_
#events:1_x000D_
#kids:1_x000D_
lived:ENLANCS_x000D_
issue:Died after Age 100_x000D_
.recs:Birth,Marriage,Death_x000D_
.imm?:no_x000D_
..Spo:ROBERT RADCLIFFE</t>
        </r>
      </text>
    </comment>
    <comment ref="Z1048" authorId="0" shapeId="0" xr:uid="{EDF6CB4E-956A-44AF-80D9-C50430633A0A}">
      <text>
        <r>
          <rPr>
            <sz val="9"/>
            <color indexed="81"/>
            <rFont val="Tahoma"/>
            <family val="2"/>
          </rPr>
          <t>WILLIAM RADCLIFFE_x000D_
http://yeinfo.com/family/I09066961.html_x000D_
https://www.google.com/search?q=WILLIAM+RADCLIFFE+1267+1333+MARGARET_x000D_
.born: 1267    -          Lancashire county England_x000D_
.died: 1333    -         ?Lancashire county England, age:66y 0m 0d, _x000D_
.bapt: 1785GE_x000D_
.will: 2004MO_x000D_
.obit: 1890OH_x000D_
.bury: 1850IL _x000D_
.wpbt: 1826PA_x000D_
.anc#:  octuple ancestor_x000D_
citiz:foreign_x000D_
#spos:1_x000D_
#srcs:4_x000D_
#comment:0_x000D_
#events:1_x000D_
#kids:2_x000D_
lived:ENLANCS_x000D_
issue:_x000D_
.recs:Birth,Marriage,Death_x000D_
.imm?:no_x000D_
..Spo:MARGARET PEASFURLONG</t>
        </r>
      </text>
    </comment>
    <comment ref="AB1050" authorId="0" shapeId="0" xr:uid="{CEF86589-B348-45F6-B9F2-E113181B1751}">
      <text>
        <r>
          <rPr>
            <sz val="9"/>
            <color indexed="81"/>
            <rFont val="Tahoma"/>
            <family val="2"/>
          </rPr>
          <t>HENRY\WILLIAM\ROBERT BOTELER_x000D_
http://yeinfo.com/family/I09066877.html_x000D_
https://www.google.com/search?q=HENRY\WILLIAM\ROBERT+BOTELER+1230+1247+ISABELLA_x000D_
.born:?1230    -          Warrington (Lancashire) England_x000D_
.died: 1247    -1280     ?Lancashire county England, age:17y 0m 0d, _x000D_
.bapt: 1785GE_x000D_
.will: 2004MO_x000D_
.obit: 1890OH_x000D_
.bury: 1850IL _x000D_
.wpbt: 1826PA_x000D_
.anc#: decuple ancestor_x000D_
citiz:foreign_x000D_
#spos:1_x000D_
#srcs:1_x000D_
#comment:1_x000D_
#events:2_x000D_
#kids:1_x000D_
lived:ENLANCSWARRING_x000D_
issue:_x000D_
.recs:Birth,Marriage,Death_x000D_
.imm?:no_x000D_
..Spo:ISABELLA BOTELER</t>
        </r>
      </text>
    </comment>
    <comment ref="AA1052" authorId="0" shapeId="0" xr:uid="{5ABA6875-41BE-4F28-AAE7-6E7F17A2DFDD}">
      <text>
        <r>
          <rPr>
            <sz val="9"/>
            <color indexed="81"/>
            <rFont val="Tahoma"/>
            <family val="2"/>
          </rPr>
          <t>JOAN\MARGARET BOTELER_x000D_
http://yeinfo.com/family/I09066878.html_x000D_
https://www.google.com/search?q=JOAN\MARGARET+BOTELER+1232+1267+RADCLIFFE_x000D_
.born: 1232    -          Warrington (Lancashire) England_x000D_
.died: 1267    -1332     ?Lancashire county England, age:35y 0m 0d, _x000D_
.bapt: 1785GE_x000D_
.will: 2004MO_x000D_
.obit: 1890OH_x000D_
.bury: 1850IL _x000D_
.wpbt: 1826PA_x000D_
.anc#: decuple ancestor_x000D_
citiz:foreign_x000D_
#spos:1_x000D_
#srcs:3_x000D_
#comment:0_x000D_
#events:1_x000D_
#kids:2_x000D_
lived:ENLANCSWARRING_x000D_
issue:Born before Parents Married_x000D_
.recs:Birth,Marriage,Death_x000D_
.imm?:no_x000D_
..Spo:RICHARD RADCLIFFE</t>
        </r>
      </text>
    </comment>
    <comment ref="AB1054" authorId="0" shapeId="0" xr:uid="{3543D01C-C7D1-4786-9058-F333FBA8ED0A}">
      <text>
        <r>
          <rPr>
            <sz val="9"/>
            <color indexed="81"/>
            <rFont val="Tahoma"/>
            <family val="2"/>
          </rPr>
          <t>Mrs. ISABELLA BOTELER_x000D_
http://yeinfo.com/family/I09066876.html_x000D_
https://www.google.com/search?q=ISABELLA+BOTELER+1227+1247+BOTELER_x000D_
.born:?1227    -          Merton (Lancashire) England_x000D_
.died: 1247    -1312     ?Lancashire county England, age:20y 0m 0d, _x000D_
.bapt: 1785GE_x000D_
.will: 2004MO_x000D_
.obit: 1890OH_x000D_
.bury: 1850IL _x000D_
.wpbt: 1826PA_x000D_
.anc#: decuple ancestor_x000D_
citiz:foreign_x000D_
#spos:1_x000D_
#srcs:2_x000D_
#comment:1_x000D_
#events:1_x000D_
#kids:1_x000D_
lived:ENLANCSMERTON_x000D_
issue:_x000D_
.recs:Birth,Marriage,Death_x000D_
.imm?:no_x000D_
..Spo:HENRY\WILLIAM\ROBERT BOTELER</t>
        </r>
      </text>
    </comment>
    <comment ref="Y1056" authorId="0" shapeId="0" xr:uid="{D1B3A069-EBFC-4AA8-BAF5-D19C25243E19}">
      <text>
        <r>
          <rPr>
            <sz val="9"/>
            <color indexed="81"/>
            <rFont val="Tahoma"/>
            <family val="2"/>
          </rPr>
          <t>ELIZABETH RADCLIFFE_x000D_
http://yeinfo.com/family/I09066963.html_x000D_
https://www.google.com/search?q=ELIZABETH+RADCLIFFE+1290+1310+INCE_x000D_
.born: 1290    -          Lancashire county England_x000D_
.died: 1310    -1375     ?Lancashire county England, age:20y 0m 0d, _x000D_
.bapt: 1785GE_x000D_
.will: 2004MO_x000D_
.obit: 1890OH_x000D_
.bury: 1850IL _x000D_
.wpbt: 1826PA_x000D_
.anc#:  sextuple ancestor_x000D_
citiz:foreign_x000D_
#spos:1_x000D_
#srcs:6_x000D_
#comment:0_x000D_
#events:1_x000D_
#kids:1_x000D_
lived:ENLANCS_x000D_
issue:Died after Age 100_x000D_
.recs:Birth,Marriage,Death_x000D_
.imm?:no_x000D_
..Spo:RICHARD INCE</t>
        </r>
      </text>
    </comment>
    <comment ref="AA1058" authorId="0" shapeId="0" xr:uid="{C6595035-3627-4C65-8CDF-E1F668EDF793}">
      <text>
        <r>
          <rPr>
            <sz val="9"/>
            <color indexed="81"/>
            <rFont val="Tahoma"/>
            <family val="2"/>
          </rPr>
          <t>ADAM PEASFURLONG_x000D_
http://yeinfo.com/family/I09066956.html_x000D_
https://www.google.com/search?q=ADAM+PEASFURLONG+1242+1274+ELIZABETH_x000D_
.born:?1242    -          Wigan (Lancashire) England_x000D_
.died: 1274    -1339     ?Lancashire county England, age:32y 0m 0d, _x000D_
.bapt: 1785GE_x000D_
.will: 2004MO_x000D_
.obit: 1890OH_x000D_
.bury: 1850IL _x000D_
.wpbt: 1826PA_x000D_
.anc#:  octuple ancestor_x000D_
citiz:foreign_x000D_
#spos:1_x000D_
#srcs:3_x000D_
#comment:0_x000D_
#events:1_x000D_
#kids:1_x000D_
lived:ENLANCSWIGAN_x000D_
issue:_x000D_
.recs:Birth,Marriage,Death_x000D_
.imm?:no_x000D_
..Spo:ELIZABETH CULCHETH</t>
        </r>
      </text>
    </comment>
    <comment ref="Z1060" authorId="0" shapeId="0" xr:uid="{81E7AF43-7FD6-40C5-8840-9FB845DD9C46}">
      <text>
        <r>
          <rPr>
            <sz val="9"/>
            <color indexed="81"/>
            <rFont val="Tahoma"/>
            <family val="2"/>
          </rPr>
          <t>MARGARET PEASFURLONG_x000D_
http://yeinfo.com/family/I09066957.html_x000D_
https://www.google.com/search?q=MARGARET+PEASFURLONG+1244+1290+RADCLIFFE_x000D_
.born: 1244    -          Warrington (Lancashire) England_x000D_
.died: 1290    -1355     ?Lancashire county England, age:46y 0m 0d, _x000D_
.bapt: 1785GE_x000D_
.will: 2004MO_x000D_
.obit: 1890OH_x000D_
.bury: 1850IL _x000D_
.wpbt: 1826PA_x000D_
.anc#:  octuple ancestor_x000D_
citiz:foreign_x000D_
#spos:1_x000D_
#srcs:4_x000D_
#comment:0_x000D_
#events:1_x000D_
#kids:2_x000D_
lived:ENLANCSWARRING_x000D_
issue:Born before Parents Married_x000D_
.recs:Birth,Marriage,Death_x000D_
.imm?:no_x000D_
..Spo:WILLIAM RADCLIFFE</t>
        </r>
      </text>
    </comment>
    <comment ref="AB1062" authorId="0" shapeId="0" xr:uid="{B09B0FAD-929C-4FB3-AE70-AE33E354A047}">
      <text>
        <r>
          <rPr>
            <sz val="9"/>
            <color indexed="81"/>
            <rFont val="Tahoma"/>
            <family val="2"/>
          </rPr>
          <t>GILBERT CULCHETH_x000D_
http://yeinfo.com/family/I09066895.html_x000D_
https://www.google.com/search?q=GILBERT+CULCHETH+1205+1246+CECILIA_x000D_
.born:?1205    -          Culcheth (Lancashire) England_x000D_
.died: 1246    -         ?Lancashire county England, age:41y 0m 0d, _x000D_
.bapt: 1785GE_x000D_
.will: 2004MO_x000D_
.obit: 1890OH_x000D_
.bury: 1850IL _x000D_
.wpbt: 1826PA_x000D_
.anc#:  octuple ancestor_x000D_
citiz:foreign_x000D_
#spos:1_x000D_
#srcs:3_x000D_
#comment:1_x000D_
#events:1_x000D_
#kids:1_x000D_
lived:ENLANCSCULCHET_x000D_
issue:Died after Age 100_x000D_
.recs:Birth,Marriage,Death_x000D_
.imm?:no_x000D_
..Spo:CECILIA LATHOM</t>
        </r>
      </text>
    </comment>
    <comment ref="AA1064" authorId="0" shapeId="0" xr:uid="{58F4EA93-577D-4EB8-8581-48582D7FDAFA}">
      <text>
        <r>
          <rPr>
            <sz val="9"/>
            <color indexed="81"/>
            <rFont val="Tahoma"/>
            <family val="2"/>
          </rPr>
          <t>ELIZABETH CULCHETH_x000D_
http://yeinfo.com/family/I09066896.html_x000D_
https://www.google.com/search?q=ELIZABETH+CULCHETH+1215+1274+PEASFURLONG_x000D_
.born: 1215    -          Culcheth (Lancashire) England_x000D_
.died: 1274    -1339     ?Lancashire county England, age:59y 0m 0d, _x000D_
.bapt: 1785GE_x000D_
.will: 2004MO_x000D_
.obit: 1890OH_x000D_
.bury: 1850IL _x000D_
.wpbt: 1826PA_x000D_
.anc#:  octuple ancestor_x000D_
citiz:foreign_x000D_
#spos:1_x000D_
#srcs:3_x000D_
#comment:0_x000D_
#events:1_x000D_
#kids:1_x000D_
lived:ENLANCSCULCHET_x000D_
issue:_x000D_
.recs:Birth,Marriage,Death_x000D_
.imm?:no_x000D_
..Spo:ADAM PEASFURLONG</t>
        </r>
      </text>
    </comment>
    <comment ref="AB1066" authorId="0" shapeId="0" xr:uid="{FE3EA5A2-ED61-4859-919C-AF2A6CC1189F}">
      <text>
        <r>
          <rPr>
            <sz val="9"/>
            <color indexed="81"/>
            <rFont val="Tahoma"/>
            <family val="2"/>
          </rPr>
          <t>CECILIA LATHOM_x000D_
http://yeinfo.com/family/I09066935.html_x000D_
https://www.google.com/search?q=CECILIA+LATHOM+1222+1245+CULCHETH_x000D_
.born:?1222    -          Latham (Lancashire) England_x000D_
.died: 1245    -1310     ?Lancashire county England, age:23y 0m 0d, _x000D_
.bapt: 1785GE_x000D_
.will: 2004MO_x000D_
.obit: 1890OH_x000D_
.bury: 1850IL _x000D_
.wpbt: 1826PA_x000D_
.anc#:  octuple ancestor_x000D_
citiz:foreign_x000D_
#spos:1_x000D_
#srcs:3_x000D_
#comment:1_x000D_
#events:1_x000D_
#kids:1_x000D_
lived:ENLANCSLATHAM_x000D_
issue:Died after Age 100_x000D_
.recs:Birth,Marriage,Death_x000D_
.imm?:no_x000D_
..Spo:GILBERT CULCHETH</t>
        </r>
      </text>
    </comment>
    <comment ref="W1068" authorId="0" shapeId="0" xr:uid="{55E3A46C-099F-4590-868B-381A886AE2FE}">
      <text>
        <r>
          <rPr>
            <sz val="9"/>
            <color indexed="81"/>
            <rFont val="Tahoma"/>
            <family val="2"/>
          </rPr>
          <t>MARGARET INCE_x000D_
http://yeinfo.com/family/I09066934.html_x000D_
https://www.google.com/search?q=MARGARET+INCE+1330+1417+TRAFFORD_x000D_
.born:?1330    -          Lancashire county England_x000D_
.died:?141701  -         ?Lancashire county England, age:87y 0m 0d, _x000D_
.bapt: 1785GE_x000D_
.will: 2004MO_x000D_
.obit: 1890OH_x000D_
.bury: 1850IL _x000D_
.wpbt: 1826PA_x000D_
.anc#:  sextuple ancestor_x000D_
citiz:foreign_x000D_
#spos:1_x000D_
#srcs:8_x000D_
#comment:0_x000D_
#events:1_x000D_
#kids:3_x000D_
lived:ENCHESH,ENLANCS_x000D_
issue:_x000D_
.recs:Birth,Marriage,Death_x000D_
.imm?:no_x000D_
..Spo:HENRY TRAFFORD</t>
        </r>
      </text>
    </comment>
    <comment ref="X1070" authorId="0" shapeId="0" xr:uid="{B3070531-1D57-4D1D-8F67-60F6FAAE0D4F}">
      <text>
        <r>
          <rPr>
            <sz val="9"/>
            <color indexed="81"/>
            <rFont val="Tahoma"/>
            <family val="2"/>
          </rPr>
          <t>Mrs. {_?_} INCE_x000D_
http://yeinfo.com/family/I09066932.html_x000D_
https://www.google.com/search?q={_?_}+INCE+1310+1335+INCE_x000D_
.born:?1310    -         ?_x000D_
.died: 1335    -1390     ?Lancashire county England, age:25y 0m 0d, _x000D_
.bapt: 1785GE_x000D_
.will: 2004MO_x000D_
.obit: 1890OH_x000D_
.bury: 1850IL _x000D_
.wpbt: 1826PA_x000D_
.anc#:  sextuple ancestor_x000D_
citiz:foreign_x000D_
#spos:1_x000D_
#srcs:0_x000D_
#comment:0_x000D_
#events:1_x000D_
#kids:1_x000D_
lived:?ENLANCS_x000D_
issue:_x000D_
.recs:Birth,Marriage,Death_x000D_
.imm?:no_x000D_
..Spo:ROBERT INCE</t>
        </r>
      </text>
    </comment>
    <comment ref="Q1072" authorId="0" shapeId="0" xr:uid="{6AE24885-A63F-4497-AE0B-F67D6C1AC69D}">
      <text>
        <r>
          <rPr>
            <sz val="9"/>
            <color indexed="81"/>
            <rFont val="Tahoma"/>
            <family val="2"/>
          </rPr>
          <t>EDMUND TRAFFORD_x000D_
http://yeinfo.com/family/I09041430.html_x000D_
https://www.google.com/search?q=EDMUND+TRAFFORD+1453+1533+ELIZABETH_x000D_
.born: 1453    -          Lancashire county England_x000D_
.died: 15330628-          Lancashire county England, age:80y 5m 27d, _x000D_
.bapt: 1785GE_x000D_
.will: 2004MO_x000D_
.obit: 1890OH_x000D_
.bury: 1850IL _x000D_
.wpbt: 1826PA_x000D_
.anc#:double ancestor_x000D_
citiz:foreign_x000D_
#spos:1_x000D_
#srcs:1_x000D_
#comment:1_x000D_
#events:1_x000D_
#kids:1_x000D_
lived:ENLANCS_x000D_
issue:Born before Parents Married,Spouse Age more than 30-Year Difference_x000D_
.recs:Birth,Marriage,Death_x000D_
.imm?:no_x000D_
..Spo:ELIZABETH LONGFORD</t>
        </r>
      </text>
    </comment>
    <comment ref="W1074" authorId="0" shapeId="0" xr:uid="{3AF3DC31-E1B2-40C8-9087-14726B093F33}">
      <text>
        <r>
          <rPr>
            <sz val="9"/>
            <color indexed="81"/>
            <rFont val="Tahoma"/>
            <family val="2"/>
          </rPr>
          <t>ROBERT ROGER SAVAGE_x000D_
http://yeinfo.com/family/I09066849.html_x000D_
https://www.google.com/search?q=ROBERT+ROGER+SAVAGE+1305+1335+MARGERY_x000D_
.born:?1305    -         ?Cheshire county England_x000D_
.died:?1335    -1390     ?Cheshire county England, age:30y 0m 0d, _x000D_
.bapt: 1785GE_x000D_
.will: 2004MO_x000D_
.obit: 1890OH_x000D_
.bury: 1850IL _x000D_
.wpbt: 1826PA_x000D_
.anc#:double ancestor_x000D_
citiz:foreign_x000D_
#spos:1_x000D_
#srcs:1_x000D_
#comment:0_x000D_
#events:1_x000D_
#kids:1_x000D_
lived:?ENCHESH_x000D_
issue:Died before Birth_x000D_
.recs:Birth,Marriage,Death_x000D_
.imm?:no_x000D_
..Spo:MARGERY CHEADLE</t>
        </r>
      </text>
    </comment>
    <comment ref="V1076" authorId="0" shapeId="0" xr:uid="{1FE8D008-7970-47C4-8F93-9ED699FBE8F7}">
      <text>
        <r>
          <rPr>
            <sz val="9"/>
            <color indexed="81"/>
            <rFont val="Tahoma"/>
            <family val="2"/>
          </rPr>
          <t>JOHN SAVAGE I_x000D_
http://yeinfo.com/family/I09066850.html_x000D_
https://www.google.com/search?q=JOHN+SAVAGE+1343+1386+MARGARET_x000D_
.born: 1343    -          Stockport (Cheshire) England_x000D_
.died: 1386    -          Runcorn (Cheshire) England, age:43y 0m 0d, _x000D_
.bapt: 1785GE_x000D_
.will: 2004MO_x000D_
.obit: 1890OH_x000D_
.bury: 1850IL _x000D_
.wpbt: 1826PA_x000D_
.anc#:double ancestor_x000D_
citiz:foreign_x000D_
#spos:1_x000D_
#srcs:1_x000D_
#comment:0_x000D_
#events:1_x000D_
#kids:1_x000D_
lived:ENCHESHRUNCORN,ENCHESHSTOCKPO_x000D_
issue:Born after Parent Died,Born after Mom Age 50_x000D_
.recs:Birth,Marriage,Death_x000D_
.imm?:no_x000D_
..Spo:MARGARET DANYERS</t>
        </r>
      </text>
    </comment>
    <comment ref="X1078" authorId="0" shapeId="0" xr:uid="{6025B17B-22C2-42EA-987A-981DEA8CEC76}">
      <text>
        <r>
          <rPr>
            <sz val="9"/>
            <color indexed="81"/>
            <rFont val="Tahoma"/>
            <family val="2"/>
          </rPr>
          <t>ROGER CHEADLE_x000D_
http://yeinfo.com/family/I09066845.html_x000D_
https://www.google.com/search?q=ROGER+CHEADLE+1275+1322+MATILDA_x000D_
.born:?1275    -         ?Cheshire county England_x000D_
.died: 1322    -1387     ?Cheshire county England, age:47y 0m 0d, _x000D_
.bapt: 1785GE_x000D_
.will: 2004MO_x000D_
.obit: 1890OH_x000D_
.bury: 1850IL _x000D_
.wpbt: 1826PA_x000D_
.anc#:double ancestor_x000D_
citiz:foreign_x000D_
#spos:1_x000D_
#srcs:1_x000D_
#comment:1_x000D_
#events:1_x000D_
#kids:1_x000D_
lived:?ENCHESH_x000D_
issue:_x000D_
.recs:Birth,Marriage,Death_x000D_
.imm?:no_x000D_
..Spo:MATILDA MASSEY</t>
        </r>
      </text>
    </comment>
    <comment ref="W1080" authorId="0" shapeId="0" xr:uid="{06196811-B1A6-4E61-B90E-6663881DA9EC}">
      <text>
        <r>
          <rPr>
            <sz val="9"/>
            <color indexed="81"/>
            <rFont val="Tahoma"/>
            <family val="2"/>
          </rPr>
          <t>MARGERY CHEADLE_x000D_
http://yeinfo.com/family/I09066846.html_x000D_
https://www.google.com/search?q=MARGERY+CHEADLE+1277+1343+SAVAGE_x000D_
.born: 1277    -         ?Cheshire county England_x000D_
.died: 1343    -1408     ?Cheshire county England, age:66y 0m 0d, _x000D_
.bapt: 1785GE_x000D_
.will: 2004MO_x000D_
.obit: 1890OH_x000D_
.bury: 1850IL _x000D_
.wpbt: 1826PA_x000D_
.anc#:double ancestor_x000D_
citiz:foreign_x000D_
#spos:1_x000D_
#srcs:1_x000D_
#comment:0_x000D_
#events:1_x000D_
#kids:1_x000D_
lived:?ENCHESH_x000D_
issue:Born before Parents Married,Married before Age 16_x000D_
.recs:Birth,Marriage,Death_x000D_
.imm?:no_x000D_
..Spo:ROBERT ROGER SAVAGE</t>
        </r>
      </text>
    </comment>
    <comment ref="X1082" authorId="0" shapeId="0" xr:uid="{D0AE38F5-85DA-4FCA-B20C-6CCA1CDAB18B}">
      <text>
        <r>
          <rPr>
            <sz val="9"/>
            <color indexed="81"/>
            <rFont val="Tahoma"/>
            <family val="2"/>
          </rPr>
          <t>MATILDA MASSEY_x000D_
http://yeinfo.com/family/I09066848.html_x000D_
https://www.google.com/search?q=MATILDA+MASSEY+1283+1322+CHEADLE_x000D_
.born:?1283    -         ?Cheshire county England_x000D_
.died: 1322    -1387     ?Cheshire county England, age:39y 0m 0d, _x000D_
.bapt: 1785GE_x000D_
.will: 2004MO_x000D_
.obit: 1890OH_x000D_
.bury: 1850IL _x000D_
.wpbt: 1826PA_x000D_
.anc#:double ancestor_x000D_
citiz:foreign_x000D_
#spos:1_x000D_
#srcs:1_x000D_
#comment:1_x000D_
#events:1_x000D_
#kids:1_x000D_
lived:?ENCHESH_x000D_
issue:_x000D_
.recs:Birth,Marriage,Death_x000D_
.imm?:no_x000D_
..Spo:ROGER CHEADLE</t>
        </r>
      </text>
    </comment>
    <comment ref="U1084" authorId="0" shapeId="0" xr:uid="{5792B05F-CFB1-443F-9E5D-462C8273E23D}">
      <text>
        <r>
          <rPr>
            <sz val="9"/>
            <color indexed="81"/>
            <rFont val="Tahoma"/>
            <family val="2"/>
          </rPr>
          <t>JOHN SAVAGE II_x000D_
http://yeinfo.com/family/I09066851.html_x000D_
https://www.google.com/search?q=JOHN+SAVAGE+1370+1450+MAUD_x000D_
.born: 1370    -          Clifton (Cheshire) England_x000D_
.died: 14500801-          Clifton (Cheshire) England, age:80y 7m 0d, _x000D_
.bapt: 1785GE_x000D_
.will: 2004MO_x000D_
.obit: 1890OH_x000D_
.bury: 1850IL _x000D_
.wpbt: 1826PA_x000D_
.anc#:double ancestor_x000D_
citiz:foreign_x000D_
#spos:1_x000D_
#srcs:1_x000D_
#comment:0_x000D_
#events:1_x000D_
#kids:1_x000D_
lived:ENCHESHCLIFTON_x000D_
issue:_x000D_
.recs:Birth,Marriage,Death_x000D_
.imm?:no_x000D_
..Spo:MAUD SWYNNERTON</t>
        </r>
      </text>
    </comment>
    <comment ref="V1086" authorId="0" shapeId="0" xr:uid="{4AC9B821-BD83-4DE2-97DD-97DB880FB597}">
      <text>
        <r>
          <rPr>
            <sz val="9"/>
            <color indexed="81"/>
            <rFont val="Tahoma"/>
            <family val="2"/>
          </rPr>
          <t>MARGARET DANYERS_x000D_
http://yeinfo.com/family/I09066847.html_x000D_
https://www.google.com/search?q=MARGARET+DANYERS+1348+1370+SAVAGE_x000D_
.born: 13480502-          Bradley (Cheshire) England_x000D_
.died: 1370    -1435     ?Cheshire county England, age:21y 7m 30d, _x000D_
.bapt: 1785GE_x000D_
.will: 2004MO_x000D_
.obit: 1890OH_x000D_
.bury: 1850IL _x000D_
.wpbt: 1826PA_x000D_
.anc#:double ancestor_x000D_
citiz:foreign_x000D_
#spos:1_x000D_
#srcs:1_x000D_
#comment:0_x000D_
#events:1_x000D_
#kids:1_x000D_
lived:ENCHESHBRADLEY_x000D_
issue:_x000D_
.recs:Birth,Marriage,Death_x000D_
.imm?:no_x000D_
..Spo:JOHN SAVAGE</t>
        </r>
      </text>
    </comment>
    <comment ref="T1088" authorId="0" shapeId="0" xr:uid="{4488C3E8-4A3D-4B3B-A54D-CF216E0873B3}">
      <text>
        <r>
          <rPr>
            <sz val="9"/>
            <color indexed="81"/>
            <rFont val="Tahoma"/>
            <family val="2"/>
          </rPr>
          <t>JOHN SAVAGE III_x000D_
http://yeinfo.com/family/I09066832.html_x000D_
https://www.google.com/search?q=JOHN+SAVAGE+1393+1463+ELIZABETH\ELEANOR_x000D_
.born: 1393    -          Clifton (Cheshire) England_x000D_
.died: 14630629-          Clifton (Cheshire) England, age:70y 5m 28d, _x000D_
.bapt: 1785GE_x000D_
.will: 2004MO_x000D_
.obit: 1890OH_x000D_
.bury: 1850IL _x000D_
.wpbt: 1826PA_x000D_
.anc#:double ancestor_x000D_
citiz:foreign_x000D_
#spos:1_x000D_
#srcs:1_x000D_
#comment:0_x000D_
#events:1_x000D_
#kids:1_x000D_
lived:ENCHESHCLIFTON_x000D_
issue:_x000D_
.recs:Birth,Marriage,Death_x000D_
.imm?:no_x000D_
..Spo:ELIZABETH\ELEANOR BRERETON</t>
        </r>
      </text>
    </comment>
    <comment ref="V1090" authorId="0" shapeId="0" xr:uid="{9AADECE8-ED97-4265-A15B-5E74E62D72A6}">
      <text>
        <r>
          <rPr>
            <sz val="9"/>
            <color indexed="81"/>
            <rFont val="Tahoma"/>
            <family val="2"/>
          </rPr>
          <t>ROBERT SWYNNERTON_x000D_
http://yeinfo.com/family/I09066852.html_x000D_
https://www.google.com/search?q=ROBERT+SWYNNERTON+1335+1396+ELIZABETH_x000D_
.born: 1335    -          Staffordshire county England_x000D_
.died:a13961112-          Staffordshire county England, age:61y 10m 11d, _x000D_
.bapt: 1785GE_x000D_
.will: 2004MO_x000D_
.obit: 1890OH_x000D_
.bury: 1850IL _x000D_
.wpbt: 1826PA_x000D_
.anc#:double ancestor_x000D_
citiz:foreign_x000D_
#spos:1_x000D_
#srcs:1_x000D_
#comment:1_x000D_
#events:1_x000D_
#kids:1_x000D_
lived:?ENCHESH,ENSTAFS_x000D_
issue:_x000D_
.recs:Birth,Marriage,Death_x000D_
.imm?:no_x000D_
..Spo:ELIZABETH BEKE</t>
        </r>
      </text>
    </comment>
    <comment ref="U1092" authorId="0" shapeId="0" xr:uid="{878F0584-869D-4728-86B1-5B2CA6923C3C}">
      <text>
        <r>
          <rPr>
            <sz val="9"/>
            <color indexed="81"/>
            <rFont val="Tahoma"/>
            <family val="2"/>
          </rPr>
          <t>MAUD SWYNNERTON_x000D_
http://yeinfo.com/family/I09066844.html_x000D_
https://www.google.com/search?q=MAUD+SWYNNERTON+1371+1415+SAVAGE_x000D_
.born:?1371    -          Barrow (Cheshire) England_x000D_
.died: 1415    -          Barrow (Cheshire) England, age:44y 0m 0d, _x000D_
.bapt: 1785GE_x000D_
.will: 2004MO_x000D_
.obit: 1890OH_x000D_
.bury: 1850IL _x000D_
.wpbt: 1826PA_x000D_
.anc#:double ancestor_x000D_
citiz:foreign_x000D_
#spos:1_x000D_
#srcs:1_x000D_
#comment:0_x000D_
#events:1_x000D_
#kids:1_x000D_
lived:ENCHESHBARROW_x000D_
issue:_x000D_
.recs:Birth,Marriage,Death_x000D_
.imm?:no_x000D_
..Spo:JOHN SAVAGE</t>
        </r>
      </text>
    </comment>
    <comment ref="V1094" authorId="0" shapeId="0" xr:uid="{4ED25CAF-FB24-4A27-9119-48858E7CD225}">
      <text>
        <r>
          <rPr>
            <sz val="9"/>
            <color indexed="81"/>
            <rFont val="Tahoma"/>
            <family val="2"/>
          </rPr>
          <t>ELIZABETH BEKE_x000D_
http://yeinfo.com/family/I09066843.html_x000D_
https://www.google.com/search?q=ELIZABETH+BEKE+1340+1415+SWYNNERTON_x000D_
.born: 1340    -          Cheshire county England_x000D_
.died: 1415    -         ?Cheshire county England, age:75y 0m 0d, _x000D_
.bapt: 1785GE_x000D_
.will: 2004MO_x000D_
.obit: 1890OH_x000D_
.bury: 1850IL _x000D_
.wpbt: 1826PA_x000D_
.anc#:double ancestor_x000D_
citiz:foreign_x000D_
#spos:1_x000D_
#srcs:1_x000D_
#comment:1_x000D_
#events:1_x000D_
#kids:1_x000D_
lived:ENCHESH_x000D_
issue:_x000D_
.recs:Birth,Marriage,Death_x000D_
.imm?:no_x000D_
..Spo:ROBERT SWYNNERTON</t>
        </r>
      </text>
    </comment>
    <comment ref="S1096" authorId="0" shapeId="0" xr:uid="{DEC62B7D-DFBF-4172-A279-7ED292DA85F7}">
      <text>
        <r>
          <rPr>
            <sz val="9"/>
            <color indexed="81"/>
            <rFont val="Tahoma"/>
            <family val="2"/>
          </rPr>
          <t>JOHN SAVAGE IV_x000D_
http://yeinfo.com/family/I09066833.html_x000D_
https://www.google.com/search?q=JOHN+SAVAGE+1422+1495+KATHERINE_x000D_
.born: 14221101-          Clifton (Cheshire) England_x000D_
.died: 14951122-          England, age:73y 0m 21d, _x000D_
.bapt: 1785GE_x000D_
.will: 2004MO_x000D_
.obit: 1890OH_x000D_
.bury: 1850IL _x000D_
.wpbt: 1826PA_x000D_
.anc#:double ancestor_x000D_
citiz:foreign_x000D_
#spos:1_x000D_
#srcs:1_x000D_
#comment:0_x000D_
#events:1_x000D_
#kids:1_x000D_
lived:ENCHESHCLIFTON_x000D_
issue:_x000D_
.recs:Birth,Marriage,Death_x000D_
.imm?:no_x000D_
..Spo:KATHERINE STANLEY</t>
        </r>
      </text>
    </comment>
    <comment ref="V1098" authorId="0" shapeId="0" xr:uid="{7732BD38-596E-4C99-B3C9-9B1ED1E8B623}">
      <text>
        <r>
          <rPr>
            <sz val="9"/>
            <color indexed="81"/>
            <rFont val="Tahoma"/>
            <family val="2"/>
          </rPr>
          <t>WILLIAM BRERETON_x000D_
http://yeinfo.com/family/I09066782.html_x000D_
https://www.google.com/search?q=WILLIAM+BRERETON+1347+1398+ELIENA_x000D_
.born: 13470214-          Brereton (Cheshire) England_x000D_
.died: 1398    -         ?England, age:50y 10m 18d, _x000D_
.bapt: 1785GE_x000D_
.will: 2004MO_x000D_
.obit: 1890OH_x000D_
.bury: 1850IL _x000D_
.wpbt: 1826PA_x000D_
.anc#:double ancestor_x000D_
citiz:foreign_x000D_
#spos:1_x000D_
#srcs:1_x000D_
#comment:0_x000D_
#events:1_x000D_
#kids:1_x000D_
lived:ENCHESHBRERETO_x000D_
issue:_x000D_
.recs:Birth,Marriage,Death_x000D_
.imm?:no_x000D_
..Spo:ELIENA EGERTON</t>
        </r>
      </text>
    </comment>
    <comment ref="U1100" authorId="0" shapeId="0" xr:uid="{6FD33D66-AEDE-4789-B8C3-1D9C4D9EA470}">
      <text>
        <r>
          <rPr>
            <sz val="9"/>
            <color indexed="81"/>
            <rFont val="Tahoma"/>
            <family val="2"/>
          </rPr>
          <t>WILLIAM BRERETON_x000D_
http://yeinfo.com/family/I09066783.html_x000D_
https://www.google.com/search?q=WILLIAM+BRERETON+1370+1404+ANGELA_x000D_
.born: 1370    -          Congleton (Cheshire) England_x000D_
.died: 1404    -1469      France, age:34y 0m 0d, _x000D_
.bapt: 1785GE_x000D_
.will: 2004MO_x000D_
.obit: 1890OH_x000D_
.bury: 1850IL _x000D_
.wpbt: 1826PA_x000D_
.anc#:double ancestor_x000D_
citiz:foreign_x000D_
#spos:1_x000D_
#srcs:1_x000D_
#comment:0_x000D_
#events:1_x000D_
#kids:1_x000D_
lived:ENCHESHCONGLET,ENSTAFSAUDLEY,FR_x000D_
issue:_x000D_
.recs:Birth,Marriage,Death_x000D_
.imm?:no_x000D_
..Spo:ANGELA VENABLES</t>
        </r>
      </text>
    </comment>
    <comment ref="V1102" authorId="0" shapeId="0" xr:uid="{8CAD0AFC-0678-478D-8734-52DC3ABF4CCB}">
      <text>
        <r>
          <rPr>
            <sz val="9"/>
            <color indexed="81"/>
            <rFont val="Tahoma"/>
            <family val="2"/>
          </rPr>
          <t>ELIENA EGERTON_x000D_
http://yeinfo.com/family/I09066792.html_x000D_
https://www.google.com/search?q=ELIENA+EGERTON+1350+1370+BRERETON_x000D_
.born:?1350    -          Egerton (Cheshire) England_x000D_
.died: 1370    -1435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lived:ENCHESHEGERTON_x000D_
issue:_x000D_
.recs:Birth,Marriage,Death_x000D_
.imm?:no_x000D_
..Spo:WILLIAM BRERETON</t>
        </r>
      </text>
    </comment>
    <comment ref="T1104" authorId="0" shapeId="0" xr:uid="{FAD80EDC-8BA8-4AEA-BE75-886938708BD7}">
      <text>
        <r>
          <rPr>
            <sz val="9"/>
            <color indexed="81"/>
            <rFont val="Tahoma"/>
            <family val="2"/>
          </rPr>
          <t>ELIZABETH\ELEANOR BRERETON_x000D_
http://yeinfo.com/family/I09066784.html_x000D_
https://www.google.com/search?q=ELIZABETH\ELEANOR+BRERETON+1404+1422+SAVAGE_x000D_
.born:?1404    -          Brereton (Cheshire) England_x000D_
.died: 1422    -1487     ?England, age:18y 0m 0d, _x000D_
.bapt: 1785GE_x000D_
.will: 2004MO_x000D_
.obit: 1890OH_x000D_
.bury: 1850IL _x000D_
.wpbt: 1826PA_x000D_
.anc#:double ancestor_x000D_
citiz:foreign_x000D_
#spos:1_x000D_
#srcs:1_x000D_
#comment:0_x000D_
#events:1_x000D_
#kids:1_x000D_
lived:ENCHESHBRERETO,ENCHESHCLIFTON_x000D_
issue:_x000D_
.recs:Birth,Marriage,Death_x000D_
.imm?:no_x000D_
..Spo:JOHN SAVAGE</t>
        </r>
      </text>
    </comment>
    <comment ref="U1106" authorId="0" shapeId="0" xr:uid="{8656D912-B503-438A-BED6-7DD5156405E2}">
      <text>
        <r>
          <rPr>
            <sz val="9"/>
            <color indexed="81"/>
            <rFont val="Tahoma"/>
            <family val="2"/>
          </rPr>
          <t>ANGELA VENABLES_x000D_
http://yeinfo.com/family/I09066724.html_x000D_
https://www.google.com/search?q=ANGELA+VENABLES+1374+1442+BRERETON_x000D_
.born: 1374    -          Northwich (Cheshire) England_x000D_
.died: 1442    -          Cheshire county England, age:68y 0m 0d, _x000D_
.bapt: 1785GE_x000D_
.will: 2004MO_x000D_
.obit: 1890OH_x000D_
.bury: 1850IL _x000D_
.wpbt: 1826PA_x000D_
.anc#:double ancestor_x000D_
citiz:foreign_x000D_
#spos:1_x000D_
#srcs:1_x000D_
#comment:1_x000D_
#events:1_x000D_
#kids:1_x000D_
lived:ENCHESHNORTWCH,ENSTAFSAUDLEY_x000D_
issue:Died after Age 100_x000D_
.recs:Birth,Marriage,Death_x000D_
.imm?:no_x000D_
..Spo:WILLIAM BRERETON</t>
        </r>
      </text>
    </comment>
    <comment ref="R1108" authorId="0" shapeId="0" xr:uid="{6113DF14-DFEC-4DCF-AA7F-909906F93FA9}">
      <text>
        <r>
          <rPr>
            <sz val="9"/>
            <color indexed="81"/>
            <rFont val="Tahoma"/>
            <family val="2"/>
          </rPr>
          <t>MARGARET SAVAGE_x000D_
http://yeinfo.com/family/I09066834.html_x000D_
https://www.google.com/search?q=MARGARET+SAVAGE+1436+1525+TRAFFORD_x000D_
.born: 1436    -          Lancashire county England_x000D_
.died: 1525    -          Lancashire county England, age:89y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issue:Born before Parents Married_x000D_
.recs:Birth,Marriage,Death_x000D_
.imm?:no_x000D_
..Spo:EDMUND TRAFFORD</t>
        </r>
      </text>
    </comment>
    <comment ref="U1110" authorId="0" shapeId="0" xr:uid="{A1491BD5-1072-4BBA-BE33-B26EEAED990B}">
      <text>
        <r>
          <rPr>
            <sz val="9"/>
            <color indexed="81"/>
            <rFont val="Tahoma"/>
            <family val="2"/>
          </rPr>
          <t>JOHN STANLEY_x000D_
http://yeinfo.com/family/I09066835.html_x000D_
https://www.google.com/search?q=JOHN+STANLEY+1353+1437+MARGARET_x000D_
.born: 1353    -          Staffordshire county England_x000D_
.died: 14371127-          Wales, age:84y 10m 26d, _x000D_
.bapt: 1785GE_x000D_
.will: 2004MO_x000D_
.obit: 1890OH_x000D_
.bury: 1850IL _x000D_
.wpbt: 1826PA_x000D_
.anc#:double ancestor_x000D_
citiz:foreign_x000D_
#spos:1_x000D_
#srcs:1_x000D_
#comment:0_x000D_
#events:1_x000D_
#kids:1_x000D_
lived:ENSTAFS,WL_x000D_
issue:Spouse Age more than 30-Year Difference_x000D_
.recs:Birth,Marriage,Death_x000D_
.imm?:no_x000D_
..Spo:MARGARET HARRINGTON</t>
        </r>
      </text>
    </comment>
    <comment ref="T1112" authorId="0" shapeId="0" xr:uid="{D20F00AE-DAA8-4E62-AF5F-4CE1D4EAEFDB}">
      <text>
        <r>
          <rPr>
            <sz val="9"/>
            <color indexed="81"/>
            <rFont val="Tahoma"/>
            <family val="2"/>
          </rPr>
          <t>THOMAS STANLEY_x000D_
http://yeinfo.com/family/I09066836.html_x000D_
https://www.google.com/search?q=THOMAS+STANLEY+1392+1458+JOAN_x000D_
.born: 1392    -          Ormskirk (Lancashire) England_x000D_
.died: 14580220-          Prescot (Lancashire) England, age:66y 1m 19d, _x000D_
.bapt: 1785GE_x000D_
.will: 2004MO_x000D_
.obit: 1890OH_x000D_
.bury: 1850IL _x000D_
.wpbt: 1826PA_x000D_
.anc#:double ancestor_x000D_
citiz:foreign_x000D_
#spos:1_x000D_
#srcs:1_x000D_
#comment:0_x000D_
#events:1_x000D_
#kids:1_x000D_
lived:ENLANCSORMSKIR,ENLANCSPRESCOT_x000D_
issue:Born before Parents Married_x000D_
.recs:Birth,Marriage,Death_x000D_
.imm?:no_x000D_
..Spo:JOAN GOUSHILL</t>
        </r>
      </text>
    </comment>
    <comment ref="V1114" authorId="0" shapeId="0" xr:uid="{EC50C68B-6BB3-45C4-9211-C7D4EA273B3F}">
      <text>
        <r>
          <rPr>
            <sz val="9"/>
            <color indexed="81"/>
            <rFont val="Tahoma"/>
            <family val="2"/>
          </rPr>
          <t>NICHOLAS HARRINGTON_x000D_
http://yeinfo.com/family/I09066802.html_x000D_
https://www.google.com/search?q=NICHOLAS+HARRINGTON+1344+1397+ISABEL_x000D_
.born:?1344    -          Lancashire county England_x000D_
.died: 1397    -1449     ?England, age:53y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..Spo:ISABEL ENGLISH</t>
        </r>
      </text>
    </comment>
    <comment ref="U1116" authorId="0" shapeId="0" xr:uid="{3B6F03D8-790B-4EA5-A039-8D819EE24FCB}">
      <text>
        <r>
          <rPr>
            <sz val="9"/>
            <color indexed="81"/>
            <rFont val="Tahoma"/>
            <family val="2"/>
          </rPr>
          <t>MARGARET HARRINGTON_x000D_
http://yeinfo.com/family/I09066803.html_x000D_
https://www.google.com/search?q=MARGARET+HARRINGTON+1384+1407+STANLEY_x000D_
.born:?1384    -          Lancashire county England_x000D_
.died: 1407    -1472     ?, age:23y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issue:Spouse Age more than 30-Year Difference_x000D_
.recs:Birth,Marriage,Death_x000D_
.imm?:no_x000D_
..Spo:JOHN STANLEY</t>
        </r>
      </text>
    </comment>
    <comment ref="V1118" authorId="0" shapeId="0" xr:uid="{BFDDC0F0-FCA6-4894-ACC3-8ED7ABED40F0}">
      <text>
        <r>
          <rPr>
            <sz val="9"/>
            <color indexed="81"/>
            <rFont val="Tahoma"/>
            <family val="2"/>
          </rPr>
          <t>ISABEL ENGLISH_x000D_
http://yeinfo.com/family/I09066793.html_x000D_
https://www.google.com/search?q=ISABEL+ENGLISH+1351+1384+HARRINGTON_x000D_
.born:?1351    -          Lancashire county England_x000D_
.died: 1384    -1397     ?England, age:33y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..Spo:NICHOLAS HARRINGTON</t>
        </r>
      </text>
    </comment>
    <comment ref="S1120" authorId="0" shapeId="0" xr:uid="{378A098C-0325-4816-8CC9-A310AB28B24C}">
      <text>
        <r>
          <rPr>
            <sz val="9"/>
            <color indexed="81"/>
            <rFont val="Tahoma"/>
            <family val="2"/>
          </rPr>
          <t>KATHERINE STANLEY_x000D_
http://yeinfo.com/family/I09066837.html_x000D_
https://www.google.com/search?q=KATHERINE+STANLEY+1430+1498+SAVAGE_x000D_
.born: 1430    -          Stanley (Derbyshire) England_x000D_
.died: 1498    -          Clifton (Cheshire) England, age:68y 0m 0d, _x000D_
.bapt: 1785GE_x000D_
.will: 2004MO_x000D_
.obit: 1890OH_x000D_
.bury: 1850IL _x000D_
.wpbt: 1826PA_x000D_
.anc#:double ancestor_x000D_
citiz:foreign_x000D_
#spos:1_x000D_
#srcs:1_x000D_
#comment:0_x000D_
#events:1_x000D_
#kids:1_x000D_
lived:ENCHESHCLIFTON,ENDERBSSTANLEY_x000D_
issue:_x000D_
.recs:Birth,Marriage,Death_x000D_
.imm?:no_x000D_
..Spo:JOHN SAVAGE</t>
        </r>
      </text>
    </comment>
    <comment ref="T1122" authorId="0" shapeId="0" xr:uid="{81A46510-73DA-47F6-B934-9C6F21207E26}">
      <text>
        <r>
          <rPr>
            <sz val="9"/>
            <color indexed="81"/>
            <rFont val="Tahoma"/>
            <family val="2"/>
          </rPr>
          <t>JOAN GOUSHILL_x000D_
http://yeinfo.com/family/I09066800.html_x000D_
https://www.google.com/search?q=JOAN+GOUSHILL+1401+1459+STANLEY_x000D_
.born: 140102  -          Southwell (Nottinghamshire) England_x000D_
.died: 14590211-          Lancashire county England, age:58y 0m 10d, _x000D_
.bapt: 1785GE_x000D_
.will: 2004MO_x000D_
.obit: 1890OH_x000D_
.bury: 1850IL _x000D_
.wpbt: 1826PA_x000D_
.anc#:double ancestor_x000D_
citiz:foreign_x000D_
#spos:1_x000D_
#srcs:1_x000D_
#comment:1_x000D_
#events:1_x000D_
#kids:1_x000D_
lived:?ENLANCS,ENNOTTISOUTWEL_x000D_
issue:_x000D_
.recs:Birth,Marriage,Death_x000D_
.imm?:no_x000D_
..Spo:THOMAS STANLEY</t>
        </r>
      </text>
    </comment>
    <comment ref="P1124" authorId="0" shapeId="0" xr:uid="{A7A7BF03-AA79-47DF-89B4-0C18C272567A}">
      <text>
        <r>
          <rPr>
            <sz val="9"/>
            <color indexed="81"/>
            <rFont val="Tahoma"/>
            <family val="2"/>
          </rPr>
          <t>ALICE TRAFFORD_x000D_
http://yeinfo.com/family/I09020715.html_x000D_
https://www.google.com/search?q=ALICE+TRAFFORD+1537+1578+BRERETON_x000D_
.born: 1537    -          Lancashire county England_x000D_
.died: 15780616-          Lancashire county England, age:41y 5m 15d, _x000D_
.bapt: 1785GE_x000D_
.will: 2004MO_x000D_
.obit: 1890OH_x000D_
.bury: 1850IL _x000D_
.wpbt: 1826PA_x000D_
.anc#:double ancestor_x000D_
citiz:foreign_x000D_
#spos:1_x000D_
#srcs:1_x000D_
#comment:0_x000D_
#events:1_x000D_
#kids:1_x000D_
lived:ENLANCS_x000D_
issue:Born after Parent Died,Born after Dad Age 60_x000D_
.recs:Birth,Marriage,Death_x000D_
.imm?:no_x000D_
..Spo:URIAN BRERETON</t>
        </r>
      </text>
    </comment>
    <comment ref="U1126" authorId="0" shapeId="0" xr:uid="{97A11F86-6BE3-4FE2-922D-8E263B8FA292}">
      <text>
        <r>
          <rPr>
            <sz val="9"/>
            <color indexed="81"/>
            <rFont val="Tahoma"/>
            <family val="2"/>
          </rPr>
          <t>NICHOLAS LONGFORD_x000D_
http://yeinfo.com/family/I09066813.html_x000D_
https://www.google.com/search?q=NICHOLAS+LONGFORD+1372+1415+JOAN_x000D_
.born:?1372    -          Derbyshire county England_x000D_
.died: 14150917-          Normandy county France, age:43y 8m 16d, _x000D_
.bapt: 1785GE_x000D_
.will: 2004MO_x000D_
.obit: 1890OH_x000D_
.bury: 1850IL _x000D_
.wpbt: 1826PA_x000D_
.anc#:double ancestor_x000D_
citiz:foreign_x000D_
#spos:1_x000D_
#srcs:1_x000D_
#comment:0_x000D_
#events:1_x000D_
#kids:1_x000D_
lived:ENDERBS,FRNORMY_x000D_
issue:_x000D_
.recs:Birth,Marriage,Death_x000D_
.imm?:no_x000D_
..Spo:JOAN WARREN</t>
        </r>
      </text>
    </comment>
    <comment ref="T1128" authorId="0" shapeId="0" xr:uid="{23705A91-3B0B-4085-965D-33A280E9FD73}">
      <text>
        <r>
          <rPr>
            <sz val="9"/>
            <color indexed="81"/>
            <rFont val="Tahoma"/>
            <family val="2"/>
          </rPr>
          <t>RALPH NICHOLAS LONGFORD_x000D_
http://yeinfo.com/family/I09066814.html_x000D_
https://www.google.com/search?q=RALPH+NICHOLAS+LONGFORD+1380+1473+MARGARET_x000D_
.born: 1380    -          Derbyshire county England_x000D_
.died: 1473    -          Derbyshire county England, age:93y 0m 0d, _x000D_
.bapt: 1785GE_x000D_
.will: 2004MO_x000D_
.obit: 1890OH_x000D_
.bury: 1850IL _x000D_
.wpbt: 1826PA_x000D_
.anc#:double ancestor_x000D_
citiz:foreign_x000D_
#spos:1_x000D_
#srcs:1_x000D_
#comment:0_x000D_
#events:1_x000D_
#kids:1_x000D_
lived:ENDERBS_x000D_
issue:Born before Parents Married_x000D_
.recs:Birth,Marriage,Death_x000D_
.imm?:no_x000D_
..Spo:MARGARET MELTON</t>
        </r>
      </text>
    </comment>
    <comment ref="U1130" authorId="0" shapeId="0" xr:uid="{910AE792-D4B9-4BC2-9384-7E9EB58269FD}">
      <text>
        <r>
          <rPr>
            <sz val="9"/>
            <color indexed="81"/>
            <rFont val="Tahoma"/>
            <family val="2"/>
          </rPr>
          <t>JOAN WARREN_x000D_
http://yeinfo.com/family/I09066842.html_x000D_
https://www.google.com/search?q=JOAN+WARREN+1372+1410+LONGFORD_x000D_
.born:?1372    -          Nottinghamshire county England_x000D_
.died: 1410    -1475     ?, age:38y 0m 0d, _x000D_
.bapt: 1785GE_x000D_
.will: 2004MO_x000D_
.obit: 1890OH_x000D_
.bury: 1850IL _x000D_
.wpbt: 1826PA_x000D_
.anc#:double ancestor_x000D_
citiz:foreign_x000D_
#spos:1_x000D_
#srcs:1_x000D_
#comment:1_x000D_
#events:1_x000D_
#kids:1_x000D_
lived:ENNOTTI_x000D_
issue:_x000D_
.recs:Birth,Marriage,Death_x000D_
.imm?:no_x000D_
..Spo:NICHOLAS LONGFORD</t>
        </r>
      </text>
    </comment>
    <comment ref="S1132" authorId="0" shapeId="0" xr:uid="{DB5B4AD8-CF5A-4DFF-B2AB-E57294FBBDEE}">
      <text>
        <r>
          <rPr>
            <sz val="9"/>
            <color indexed="81"/>
            <rFont val="Tahoma"/>
            <family val="2"/>
          </rPr>
          <t>RALPH LONGFORD_x000D_
http://yeinfo.com/family/I09066815.html_x000D_
https://www.google.com/search?q=RALPH+LONGFORD+1440+1513+MABEL_x000D_
.born: 1440    -          Derbyshire county England_x000D_
.died: 1513    -          Derbyshire county England, age:73y 0m 0d, _x000D_
.bapt: 1785GE_x000D_
.will: 2004MO_x000D_
.obit: 1890OH_x000D_
.bury: 1850IL _x000D_
.wpbt: 1826PA_x000D_
.anc#:double ancestor_x000D_
citiz:foreign_x000D_
#spos:1_x000D_
#srcs:1_x000D_
#comment:0_x000D_
#events:1_x000D_
#kids:1_x000D_
lived:ENDERBS_x000D_
issue:_x000D_
.recs:Birth,Marriage,Death_x000D_
.imm?:no_x000D_
..Spo:MABEL FERRERS</t>
        </r>
      </text>
    </comment>
    <comment ref="U1134" authorId="0" shapeId="0" xr:uid="{04379165-4497-4EC3-A3A5-3F10E499E6C7}">
      <text>
        <r>
          <rPr>
            <sz val="9"/>
            <color indexed="81"/>
            <rFont val="Tahoma"/>
            <family val="2"/>
          </rPr>
          <t>JOHN MELTON_x000D_
http://yeinfo.com/family/I09066818.html_x000D_
https://www.google.com/search?q=JOHN+MELTON+1363+1455+MARGARET_x000D_
.born: 1363    -          Cheshire county England_x000D_
.died: 14550524-          Yorkshire county England, age:92y 4m 23d, _x000D_
.bapt: 1785GE_x000D_
.will: 2004MO_x000D_
.obit: 1890OH_x000D_
.bury: 1850IL _x000D_
.wpbt: 1826PA_x000D_
.anc#:double ancestor_x000D_
citiz:foreign_x000D_
#spos:1_x000D_
#srcs:1_x000D_
#comment:2_x000D_
#events:1_x000D_
#kids:1_x000D_
lived:ENCHESH,ENOXFOSBROUGHT,ENYORKS_x000D_
issue:_x000D_
.recs:Birth,Marriage,Death_x000D_
.imm?:no_x000D_
..Spo:MARGARET CLIFFORD</t>
        </r>
      </text>
    </comment>
    <comment ref="T1136" authorId="0" shapeId="0" xr:uid="{BF28650E-90D5-49A6-BB75-ADFCC3A1E094}">
      <text>
        <r>
          <rPr>
            <sz val="9"/>
            <color indexed="81"/>
            <rFont val="Tahoma"/>
            <family val="2"/>
          </rPr>
          <t>MARGARET MELTON_x000D_
http://yeinfo.com/family/I09066819.html_x000D_
https://www.google.com/search?q=MARGARET+MELTON+1400+1440+LONGFORD_x000D_
.born: 1400    -          Derbyshire county England_x000D_
.died: 1440    -1505     ?England, age:40y 0m 0d, _x000D_
.bapt: 1785GE_x000D_
.will: 2004MO_x000D_
.obit: 1890OH_x000D_
.bury: 1850IL _x000D_
.wpbt: 1826PA_x000D_
.anc#:double ancestor_x000D_
citiz:foreign_x000D_
#spos:1_x000D_
#srcs:1_x000D_
#comment:0_x000D_
#events:1_x000D_
#kids:1_x000D_
lived:ENDERBS_x000D_
issue:_x000D_
.recs:Birth,Marriage,Death_x000D_
.imm?:no_x000D_
..Spo:RALPH NICHOLAS LONGFORD</t>
        </r>
      </text>
    </comment>
    <comment ref="V1138" authorId="0" shapeId="0" xr:uid="{0E448DE4-BA91-4A6C-A764-92E67EA93D54}">
      <text>
        <r>
          <rPr>
            <sz val="9"/>
            <color indexed="81"/>
            <rFont val="Tahoma"/>
            <family val="2"/>
          </rPr>
          <t>ROGER CLIFFORD_x000D_
http://yeinfo.com/family/I09066786.html_x000D_
https://www.google.com/search?q=ROGER+CLIFFORD+1333+1390+MAUD_x000D_
.born: 13330710-          Herefordshire county England_x000D_
.died: 13900713-          Westmoreland county England, age:57y 0m 3d, _x000D_
.bapt: 1785GE_x000D_
.will: 2004MO_x000D_
.obit: 1890OH_x000D_
.bury: 1850IL _x000D_
.wpbt: 1826PA_x000D_
.anc#:  quadruple ancestor_x000D_
citiz:foreign_x000D_
#spos:1_x000D_
#srcs:1_x000D_
#comment:0_x000D_
#events:1_x000D_
#kids:2_x000D_
lived:ENHEREF,ENWESTE,ENYORKSRAVENSW_x000D_
issue:_x000D_
.recs:Birth,Marriage,Death_x000D_
.imm?:no_x000D_
..Spo:MAUD BEAUCHAMP</t>
        </r>
      </text>
    </comment>
    <comment ref="U1140" authorId="0" shapeId="0" xr:uid="{F910B731-2527-45D0-B232-00BDA8BEE38C}">
      <text>
        <r>
          <rPr>
            <sz val="9"/>
            <color indexed="81"/>
            <rFont val="Tahoma"/>
            <family val="2"/>
          </rPr>
          <t>MARGARET CLIFFORD_x000D_
http://yeinfo.com/family/I09066787.html_x000D_
https://www.google.com/search?q=MARGARET+CLIFFORD+1367+1455+MELTON_x000D_
.born: 1367    -          Westmoreland county England_x000D_
.died: 1455    -          Cheshire county England, age:88y 0m 0d, _x000D_
.bapt: 1785GE_x000D_
.will: 2004MO_x000D_
.obit: 1890OH_x000D_
.bury: 1850IL _x000D_
.wpbt: 1826PA_x000D_
.anc#:double ancestor_x000D_
citiz:foreign_x000D_
#spos:1_x000D_
#srcs:1_x000D_
#comment:1_x000D_
#events:1_x000D_
#kids:1_x000D_
lived:ENCHESH,ENOXFOSBROUGHT,ENWESTE_x000D_
issue:_x000D_
.recs:Birth,Marriage,Death_x000D_
.imm?:no_x000D_
..Spo:JOHN MELTON</t>
        </r>
      </text>
    </comment>
    <comment ref="Z1142" authorId="0" shapeId="0" xr:uid="{E03F6950-74B0-4FA6-8C5C-317F105C23C2}">
      <text>
        <r>
          <rPr>
            <sz val="9"/>
            <color indexed="81"/>
            <rFont val="Tahoma"/>
            <family val="2"/>
          </rPr>
          <t>WILLIAM BEAUCHAMP_x000D_
http://yeinfo.com/family/I09066667.html_x000D_
https://www.google.com/search?q=WILLIAM+BEAUCHAMP+1215+1268+ISABEL_x000D_
.born:c1215    -          Elmley Castle (Worcestershire) England_x000D_
.died: 12680605-          Elmley Castle (Worcestershire) England, age:53y 5m 4d, _x000D_
.bapt: 1785GE_x000D_
.will: 2004MO_x000D_
.obit: 1890OH_x000D_
.bury: 1850IL _x000D_
.wpbt: 1826PA_x000D_
.anc#: quintuple ancestor_x000D_
citiz:foreign_x000D_
#spos:1_x000D_
#srcs:2_x000D_
#comment:1_x000D_
#events:1_x000D_
#kids:1_x000D_
lived:ENWORCSELMLEY_x000D_
issue:_x000D_
.recs:Birth,Marriage,Death_x000D_
.imm?:no_x000D_
..Spo:ISABEL MAUDUIT</t>
        </r>
      </text>
    </comment>
    <comment ref="Y1144" authorId="0" shapeId="0" xr:uid="{9AA601A0-1F70-4990-844F-19FFA34BBDDB}">
      <text>
        <r>
          <rPr>
            <sz val="9"/>
            <color indexed="81"/>
            <rFont val="Tahoma"/>
            <family val="2"/>
          </rPr>
          <t>WILLIAM BEAUCHAMP_x000D_
http://yeinfo.com/family/I09066645.html_x000D_
https://www.google.com/search?q=WILLIAM+BEAUCHAMP+1237+1262+MAUD_x000D_
.born: 1237    -          Elmley Castle (Worcestershire) England_x000D_
.died: 1262    -1327      , age:25y 0m 0d, _x000D_
.bapt: 1785GE_x000D_
.will: 2004MO_x000D_
.obit: 1890OH_x000D_
.bury: 1850IL _x000D_
.wpbt: 1826PA_x000D_
.anc#: quintuple ancestor_x000D_
citiz:foreign_x000D_
#spos:1_x000D_
#srcs:2_x000D_
#comment:0_x000D_
#events:1_x000D_
#kids:1_x000D_
lived:ENWORCSELMLEY_x000D_
issue:_x000D_
.recs:Birth,Marriage,Death_x000D_
.imm?:no_x000D_
..Spo:MAUD FITZJOHN</t>
        </r>
      </text>
    </comment>
    <comment ref="Z1146" authorId="0" shapeId="0" xr:uid="{5BF12F2C-C627-45C3-A7E0-143F4D0616B3}">
      <text>
        <r>
          <rPr>
            <sz val="9"/>
            <color indexed="81"/>
            <rFont val="Tahoma"/>
            <family val="2"/>
          </rPr>
          <t>ISABEL MAUDUIT_x000D_
http://yeinfo.com/family/I09066668.html_x000D_
https://www.google.com/search?q=ISABEL+MAUDUIT+1216+1268+BEAUCHAMP_x000D_
.born: 12161227-          Hanslope (Buckinghamshire) England_x000D_
.died: 12680107-          Cookhill (Worcestershire) England, age:51y 0m 11d, _x000D_
.bapt: 1785GE_x000D_
.will: 2004MO_x000D_
.obit: 1890OH_x000D_
.bury: 1850IL _x000D_
.wpbt: 1826PA_x000D_
.anc#: quintuple ancestor_x000D_
citiz:foreign_x000D_
#spos:1_x000D_
#srcs:1_x000D_
#comment:1_x000D_
#events:1_x000D_
#kids:1_x000D_
lived:ENBUCKEHANSLOP,ENWORCSCOOKHIL_x000D_
issue:_x000D_
.recs:Birth,Marriage,Death_x000D_
.imm?:no_x000D_
..Spo:WILLIAM BEAUCHAMP</t>
        </r>
      </text>
    </comment>
    <comment ref="X1148" authorId="0" shapeId="0" xr:uid="{75EA7304-8D64-47BA-BEE7-552463B10DCA}">
      <text>
        <r>
          <rPr>
            <sz val="9"/>
            <color indexed="81"/>
            <rFont val="Tahoma"/>
            <family val="2"/>
          </rPr>
          <t>GUY BEAUCHAMP_x000D_
http://yeinfo.com/family/I09066586.html_x000D_
https://www.google.com/search?q=GUY+BEAUCHAMP+1262+1315+ALICE_x000D_
.born: 1262    -          Elmley Castle (Worcestershire) England_x000D_
.died: 13150810-          Warwick (Warwickshire) England, age:53y 7m 9d, _x000D_
.bapt: 1785GE_x000D_
.will: 2004MO_x000D_
.obit: 1890OH_x000D_
.bury: 1850IL _x000D_
.wpbt: 1826PA_x000D_
.anc#: quintuple ancestor_x000D_
citiz:foreign_x000D_
#spos:1_x000D_
#srcs:2_x000D_
#comment:1_x000D_
#events:1_x000D_
#kids:1_x000D_
lived:ENWARWEWARWICK,ENWORCSELMLEY_x000D_
issue:_x000D_
.recs:Birth,Marriage,Death_x000D_
.imm?:no_x000D_
..Spo:ALICE TOENI</t>
        </r>
      </text>
    </comment>
    <comment ref="Y1150" authorId="0" shapeId="0" xr:uid="{CA2165E7-0644-4A54-B1A1-6DA9902153E7}">
      <text>
        <r>
          <rPr>
            <sz val="9"/>
            <color indexed="81"/>
            <rFont val="Tahoma"/>
            <family val="2"/>
          </rPr>
          <t>MAUD FITZJOHN_x000D_
http://yeinfo.com/family/I09066646.html_x000D_
https://www.google.com/search?q=MAUD+FITZJOHN+1237+1301+BEAUCHAMP_x000D_
.born: 1237    -          Shere (Surrey) England_x000D_
.died:?13010416-          Worcester (Worcestershire) England, age:64y 3m 15d, _x000D_
.bapt: 1785GE_x000D_
.will: 2004MO_x000D_
.obit: 1890OH_x000D_
.bury: 1850IL _x000D_
.wpbt: 1826PA_x000D_
.anc#: quintuple ancestor_x000D_
citiz:foreign_x000D_
#spos:1_x000D_
#srcs:1_x000D_
#comment:0_x000D_
#events:1_x000D_
#kids:1_x000D_
lived:ENSURRESHERE,ENWORCSWORCEST_x000D_
issue:_x000D_
.recs:Birth,Marriage,Death_x000D_
.imm?:no_x000D_
..Spo:WILLIAM BEAUCHAMP</t>
        </r>
      </text>
    </comment>
    <comment ref="W1152" authorId="0" shapeId="0" xr:uid="{B6A9F04F-6462-4556-8CAD-5CFF5A22BEDB}">
      <text>
        <r>
          <rPr>
            <sz val="9"/>
            <color indexed="81"/>
            <rFont val="Tahoma"/>
            <family val="2"/>
          </rPr>
          <t>THOMAS BEAUCHAMP_x000D_
http://yeinfo.com/family/I09066534.html_x000D_
https://www.google.com/search?q=THOMAS+BEAUCHAMP+1313+1369+KATHERINE_x000D_
.born: 13130214-          Warwickshire county England_x000D_
.died: 13691113-          , age:56y 8m 30d, _x000D_
.bapt: 1785GE_x000D_
.will: 2004MO_x000D_
.obit: 1890OH_x000D_
.bury: 1850IL _x000D_
.wpbt: 1826PA_x000D_
.anc#: quintuple ancestor_x000D_
citiz:foreign_x000D_
#spos:1_x000D_
#srcs:2_x000D_
#comment:1_x000D_
#events:1_x000D_
#kids:3_x000D_
lived:ENWARWE_x000D_
issue:_x000D_
.recs:Birth,Marriage,Death_x000D_
.imm?:no_x000D_
..Spo:KATHERINE MORTIMER</t>
        </r>
      </text>
    </comment>
    <comment ref="Z1154" authorId="0" shapeId="0" xr:uid="{C98A6D0E-6B3D-4D8E-841E-EDDBE8DAEE5B}">
      <text>
        <r>
          <rPr>
            <sz val="9"/>
            <color indexed="81"/>
            <rFont val="Tahoma"/>
            <family val="2"/>
          </rPr>
          <t>ROGER TOENI_x000D_
http://yeinfo.com/family/I09066669.html_x000D_
https://www.google.com/search?q=ROGER+TOENI+1235+1255+ALICE\CECILIA_x000D_
.born: 12350929-          Flamstead (Hertfordshire) England_x000D_
.died: 1255    -1325      Flamstead (Hertfordshire) England, age:19y 3m 3d, _x000D_
.bapt: 1785GE_x000D_
.will: 2004MO_x000D_
.obit: 1890OH_x000D_
.bury: 1850IL _x000D_
.wpbt: 1826PA_x000D_
.anc#: quintuple ancestor_x000D_
citiz:foreign_x000D_
#spos:1_x000D_
#srcs:1_x000D_
#comment:1_x000D_
#events:1_x000D_
#kids:1_x000D_
lived:ENHERTFFLAMSTE_x000D_
issue:_x000D_
.recs:Birth,Marriage,Death_x000D_
.imm?:no_x000D_
..Spo:ALICE\CECILIA BOHUN</t>
        </r>
      </text>
    </comment>
    <comment ref="Y1156" authorId="0" shapeId="0" xr:uid="{618CAFA4-FBB8-4197-BE7F-FFC55C4522F1}">
      <text>
        <r>
          <rPr>
            <sz val="9"/>
            <color indexed="81"/>
            <rFont val="Tahoma"/>
            <family val="2"/>
          </rPr>
          <t>RALPH\RAOUI TOENI_x000D_
http://yeinfo.com/family/I09066647.html_x000D_
https://www.google.com/search?q=RALPH\RAOUI+TOENI+1253+1295+MARY+CLARISSA_x000D_
.born: 12531225-          Flamstead (Hertfordshire) England_x000D_
.died: 12950527-          Gascony (Guyenne) France, age:41y 5m 2d, _x000D_
.bapt: 1785GE_x000D_
.will: 2004MO_x000D_
.obit: 1890OH_x000D_
.bury: 1850IL _x000D_
.wpbt: 1826PA_x000D_
.anc#: quintuple ancestor_x000D_
citiz:foreign_x000D_
#spos:1_x000D_
#srcs:1_x000D_
#comment:0_x000D_
#events:1_x000D_
#kids:1_x000D_
lived:ENHERTFFLAMSTE,FRGUYENGASCONY_x000D_
issue:_x000D_
.recs:Birth,Marriage,Death_x000D_
.imm?:no_x000D_
..Spo:MARY CLARISSA BRUCE</t>
        </r>
      </text>
    </comment>
    <comment ref="AC1158" authorId="0" shapeId="0" xr:uid="{74EC6674-04A5-4484-80B8-C3225703BF40}">
      <text>
        <r>
          <rPr>
            <sz val="9"/>
            <color indexed="81"/>
            <rFont val="Tahoma"/>
            <family val="2"/>
          </rPr>
          <t>FRANCIS BOHUN_x000D_
http://yeinfo.com/family/I09066676.html_x000D_
https://www.google.com/search?q=FRANCIS+BOHUN+1165+1185+MARGERY_x000D_
.born:?1165    -         ?England_x000D_
.died: 1185    -1255     ?England, age:20y 0m 0d, _x000D_
.bapt: 1785GE_x000D_
.will: 2004MO_x000D_
.obit: 1890OH_x000D_
.bury: 1850IL _x000D_
.wpbt: 1826PA_x000D_
.anc#: quintuple ancestor_x000D_
citiz:foreign_x000D_
#spos:1_x000D_
#srcs:1_x000D_
#comment:1_x000D_
#events:1_x000D_
#kids:1_x000D_
lived:?EN_x000D_
issue:Married before Age 16,Died before Birth_x000D_
.recs:Birth,Marriage,Death_x000D_
.imm?:no_x000D_
..Spo:MARGERY LACY</t>
        </r>
      </text>
    </comment>
    <comment ref="AB1160" authorId="0" shapeId="0" xr:uid="{2974B196-29DE-45A6-BB70-464B4DA136B1}">
      <text>
        <r>
          <rPr>
            <sz val="9"/>
            <color indexed="81"/>
            <rFont val="Tahoma"/>
            <family val="2"/>
          </rPr>
          <t>JAMES BOHUN_x000D_
http://yeinfo.com/family/I09066674.html_x000D_
https://www.google.com/search?q=JAMES+BOHUN+1185+1208+{_?_}_x000D_
.born:?1185    -         ?England_x000D_
.died: 1208    -1275     ?England, age:23y 0m 0d, _x000D_
.bapt: 1785GE_x000D_
.will: 2004MO_x000D_
.obit: 1890OH_x000D_
.bury: 1850IL _x000D_
.wpbt: 1826PA_x000D_
.anc#: quintuple ancestor_x000D_
citiz:foreign_x000D_
#spos:1_x000D_
#srcs:1_x000D_
#comment:0_x000D_
#events:1_x000D_
#kids:1_x000D_
lived:?EN_x000D_
issue:Born before Parents Married,Married before Age 16,Died before Birth_x000D_
.recs:Birth,Marriage,Death_x000D_
.imm?:no_x000D_
..Spo:{_?_} BOHUN</t>
        </r>
      </text>
    </comment>
    <comment ref="AC1162" authorId="0" shapeId="0" xr:uid="{720FB1D4-D131-4193-AB64-92E43F704371}">
      <text>
        <r>
          <rPr>
            <sz val="9"/>
            <color indexed="81"/>
            <rFont val="Tahoma"/>
            <family val="2"/>
          </rPr>
          <t>MARGERY LACY_x000D_
http://yeinfo.com/family/I09066677.html_x000D_
https://www.google.com/search?q=MARGERY+LACY+1165+1185+BOHUN_x000D_
.born:?1165    -          _x000D_
.died: 1185    -1255     ?England, age:20y 0m 0d, _x000D_
.bapt: 1785GE_x000D_
.will: 2004MO_x000D_
.obit: 1890OH_x000D_
.bury: 1850IL _x000D_
.wpbt: 1826PA_x000D_
.anc#: quintuple ancestor_x000D_
citiz:foreign_x000D_
#spos:1_x000D_
#srcs:1_x000D_
#comment:0_x000D_
#events:1_x000D_
#kids:1_x000D_
lived:?EN_x000D_
issue:Married before Age 16,Died before Birth_x000D_
.recs:Birth,Marriage,Death_x000D_
.imm?:no_x000D_
..Spo:FRANCIS BOHUN</t>
        </r>
      </text>
    </comment>
    <comment ref="AA1164" authorId="0" shapeId="0" xr:uid="{4F62E852-C466-41BE-935C-76D5ACF6B68F}">
      <text>
        <r>
          <rPr>
            <sz val="9"/>
            <color indexed="81"/>
            <rFont val="Tahoma"/>
            <family val="2"/>
          </rPr>
          <t>HUMPHREY BOHUN_x000D_
http://yeinfo.com/family/I09066672.html_x000D_
https://www.google.com/search?q=HUMPHREY+BOHUN+1208+1275+MAUD_x000D_
.born:?12080506-          Essex county England_x000D_
.died: 1275    -         ?England, age:66y 7m 26d, _x000D_
.bapt: 1785GE_x000D_
.will: 2004MO_x000D_
.obit: 1890OH_x000D_
.bury: 1850IL _x000D_
.wpbt: 1826PA_x000D_
.anc#: quintuple ancestor_x000D_
citiz:foreign_x000D_
#spos:1_x000D_
#srcs:1_x000D_
#comment:1_x000D_
#events:2_x000D_
#kids:1_x000D_
lived:ENESSEX_x000D_
issue:Born before Parents Married_x000D_
.recs:Birth,Marriage,Death_x000D_
.imm?:no_x000D_
..Spo:MAUD LUSIGNAN</t>
        </r>
      </text>
    </comment>
    <comment ref="AB1166" authorId="0" shapeId="0" xr:uid="{081E0860-8D43-447F-A9C9-57E7C68CD268}">
      <text>
        <r>
          <rPr>
            <sz val="9"/>
            <color indexed="81"/>
            <rFont val="Tahoma"/>
            <family val="2"/>
          </rPr>
          <t>Mrs. {_?_} BOHUN_x000D_
http://yeinfo.com/family/I09066675.html_x000D_
https://www.google.com/search?q={_?_}+BOHUN+1185+1208+BOHUN_x000D_
.born:?1185    -          _x000D_
.died: 1208    -1275     ?England, age:23y 0m 0d, _x000D_
.bapt: 1785GE_x000D_
.will: 2004MO_x000D_
.obit: 1890OH_x000D_
.bury: 1850IL _x000D_
.wpbt: 1826PA_x000D_
.anc#: quintuple ancestor_x000D_
citiz:foreign_x000D_
#spos:1_x000D_
#srcs:1_x000D_
#comment:0_x000D_
#events:1_x000D_
#kids:1_x000D_
lived:?EN_x000D_
issue:_x000D_
.recs:Birth,Marriage,Death_x000D_
.imm?:no_x000D_
..Spo:JAMES BOHUN</t>
        </r>
      </text>
    </comment>
    <comment ref="Z1168" authorId="0" shapeId="0" xr:uid="{CA2112D7-D6BD-4E5A-8576-317455898CA8}">
      <text>
        <r>
          <rPr>
            <sz val="9"/>
            <color indexed="81"/>
            <rFont val="Tahoma"/>
            <family val="2"/>
          </rPr>
          <t>ALICE\CECILIA BOHUN_x000D_
http://yeinfo.com/family/I09066670.html_x000D_
https://www.google.com/search?q=ALICE\CECILIA+BOHUN+1242+1262+TOENI_x000D_
.born: 124209  -          Flamstead (Hertfordshire) England_x000D_
.died: 1262    -1332      , age:19y 4m 0d, _x000D_
.bapt: 1785GE_x000D_
.will: 2004MO_x000D_
.obit: 1890OH_x000D_
.bury: 1850IL _x000D_
.wpbt: 1826PA_x000D_
.anc#: quintuple ancestor_x000D_
citiz:foreign_x000D_
#spos:1_x000D_
#srcs:1_x000D_
#comment:0_x000D_
#events:1_x000D_
#kids:1_x000D_
lived:ENHERTFFLAMSTE_x000D_
issue:Died after Age 100_x000D_
.recs:Birth,Marriage,Death_x000D_
.imm?:no_x000D_
..Spo:ROGER TOENI</t>
        </r>
      </text>
    </comment>
    <comment ref="AA1170" authorId="0" shapeId="0" xr:uid="{751627EF-6A82-4253-90F2-E2BE4D1976CA}">
      <text>
        <r>
          <rPr>
            <sz val="9"/>
            <color indexed="81"/>
            <rFont val="Tahoma"/>
            <family val="2"/>
          </rPr>
          <t>MAUD LUSIGNAN_x000D_
http://yeinfo.com/family/I09066673.html_x000D_
https://www.google.com/search?q=MAUD+LUSIGNAN+1220+1242+BOHUN_x000D_
.born:?1220    -          _x000D_
.died: 1242    -1310     ?England, age:22y 0m 0d, _x000D_
.bapt: 1785GE_x000D_
.will: 2004MO_x000D_
.obit: 1890OH_x000D_
.bury: 1850IL _x000D_
.wpbt: 1826PA_x000D_
.anc#: quintuple ancestor_x000D_
citiz:foreign_x000D_
#spos:1_x000D_
#srcs:1_x000D_
#comment:0_x000D_
#events:1_x000D_
#kids:1_x000D_
lived:?EN_x000D_
issue:_x000D_
.recs:Birth,Marriage,Death_x000D_
.imm?:no_x000D_
..Spo:HUMPHREY BOHUN</t>
        </r>
      </text>
    </comment>
    <comment ref="X1172" authorId="0" shapeId="0" xr:uid="{AF8C53FC-28F6-4C57-9913-59009B8BF885}">
      <text>
        <r>
          <rPr>
            <sz val="9"/>
            <color indexed="81"/>
            <rFont val="Tahoma"/>
            <family val="2"/>
          </rPr>
          <t>ALICE TOENI_x000D_
http://yeinfo.com/family/I09066587.html_x000D_
https://www.google.com/search?q=ALICE+TOENI+1284+1313+BEAUCHAMP_x000D_
.born: 12840426-          Flamstead (Hertfordshire) England_x000D_
.died: 1313    -1374      Flamstead (Hertfordshire) England, age:28y 8m 6d, _x000D_
.bapt: 1785GE_x000D_
.will: 2004MO_x000D_
.obit: 1890OH_x000D_
.bury: 1850IL _x000D_
.wpbt: 1826PA_x000D_
.anc#: quintuple ancestor_x000D_
citiz:foreign_x000D_
#spos:1_x000D_
#srcs:1_x000D_
#comment:1_x000D_
#events:1_x000D_
#kids:1_x000D_
lived:ENHERTFFLAMSTE_x000D_
issue:_x000D_
.recs:Birth,Marriage,Death_x000D_
.imm?:no_x000D_
..Spo:GUY BEAUCHAMP</t>
        </r>
      </text>
    </comment>
    <comment ref="Y1174" authorId="0" shapeId="0" xr:uid="{A47FBAF2-52D7-4B06-A9C3-A6B4241DE8CF}">
      <text>
        <r>
          <rPr>
            <sz val="9"/>
            <color indexed="81"/>
            <rFont val="Tahoma"/>
            <family val="2"/>
          </rPr>
          <t>MARY CLARISSA BRUCE_x000D_
http://yeinfo.com/family/I09066648.html_x000D_
https://www.google.com/search?q=MARY+CLARISSA+BRUCE+1255+1284+TOENI_x000D_
.born: 1255    -          Flamstead (Hertfordshire) England_x000D_
.died: 1284    -          England, age:29y 0m 0d, _x000D_
.bapt: 1785GE_x000D_
.will: 2004MO_x000D_
.obit: 1890OH_x000D_
.bury: 1850IL _x000D_
.wpbt: 1826PA_x000D_
.anc#: quintuple ancestor_x000D_
citiz:foreign_x000D_
#spos:1_x000D_
#srcs:1_x000D_
#comment:0_x000D_
#events:1_x000D_
#kids:1_x000D_
lived:ENHERTFFLAMSTE_x000D_
issue:_x000D_
.recs:Birth,Marriage,Death_x000D_
.imm?:no_x000D_
..Spo:RALPH\RAOUI TOENI</t>
        </r>
      </text>
    </comment>
    <comment ref="V1176" authorId="0" shapeId="0" xr:uid="{82437B1B-35BB-4594-B94F-3D3ABB14158A}">
      <text>
        <r>
          <rPr>
            <sz val="9"/>
            <color indexed="81"/>
            <rFont val="Tahoma"/>
            <family val="2"/>
          </rPr>
          <t>MAUD BEAUCHAMP_x000D_
http://yeinfo.com/family/I09066780.html_x000D_
https://www.google.com/search?q=MAUD+BEAUCHAMP+1343+1403+CLIFFORD_x000D_
.born:?1343    -          Warwickshire county England_x000D_
.died: 140302  -          England, age:60y 1m 0d, _x000D_
.bapt: 1785GE_x000D_
.will: 2004MO_x000D_
.obit: 1890OH_x000D_
.bury: 1850IL _x000D_
.wpbt: 1826PA_x000D_
.anc#:  quadruple ancestor_x000D_
citiz:foreign_x000D_
#spos:1_x000D_
#srcs:1_x000D_
#comment:0_x000D_
#events:1_x000D_
#kids:2_x000D_
lived:ENWARWE,ENYORKSRAVENSW_x000D_
issue:Died after Age 100_x000D_
.recs:Birth,Marriage,Death_x000D_
.imm?:no_x000D_
..Spo:ROGER CLIFFORD</t>
        </r>
      </text>
    </comment>
    <comment ref="Y1178" authorId="0" shapeId="0" xr:uid="{D2F9C704-F50F-4A27-8483-5834BF91D8AA}">
      <text>
        <r>
          <rPr>
            <sz val="9"/>
            <color indexed="81"/>
            <rFont val="Tahoma"/>
            <family val="2"/>
          </rPr>
          <t>EDMUND MORTIMER_x000D_
http://yeinfo.com/family/I09066649.html_x000D_
https://www.google.com/search?q=EDMUND+MORTIMER+1252+1287+MARGARET_x000D_
.born: 12521027-          Wigmore (Herefordshire) England_x000D_
.died: 1287    -1342      Wigmore (Herefordshire) England, age:34y 2m 5d, _x000D_
.bapt: 1785GE_x000D_
.will: 2004MO_x000D_
.obit: 1890OH_x000D_
.bury: 1850IL _x000D_
.wpbt: 1826PA_x000D_
.anc#: quintuple ancestor_x000D_
citiz:foreign_x000D_
#spos:1_x000D_
#srcs:2_x000D_
#comment:1_x000D_
#events:1_x000D_
#kids:2_x000D_
lived:ENHEREFWIGMORE_x000D_
issue:_x000D_
.recs:Birth,Marriage,Death_x000D_
.imm?:no_x000D_
..Spo:MARGARET FIENNES</t>
        </r>
      </text>
    </comment>
    <comment ref="X1180" authorId="0" shapeId="0" xr:uid="{71BB3828-AC9D-4C9D-8B77-B7C1AA9CAF4B}">
      <text>
        <r>
          <rPr>
            <sz val="9"/>
            <color indexed="81"/>
            <rFont val="Tahoma"/>
            <family val="2"/>
          </rPr>
          <t>ROGER MORTIMER_x000D_
http://yeinfo.com/family/I09066588.html_x000D_
https://www.google.com/search?q=ROGER+MORTIMER+1287+1330+JOAN_x000D_
.born: 12870425-          Wigmore (Herefordshire) England_x000D_
.died: 13301129-          Tyburn (Middlesex) England, age:43y 7m 4d, _x000D_
.bapt: 1785GE_x000D_
.will: 2004MO_x000D_
.obit: 1890OH_x000D_
.bury: 1850IL _x000D_
.wpbt: 1826PA_x000D_
.anc#: quintuple ancestor_x000D_
citiz:foreign_x000D_
#spos:1_x000D_
#srcs:3_x000D_
#comment:1_x000D_
#events:1_x000D_
#kids:2_x000D_
lived:ENHEREFWIGMORE,ENMIDDLTYBURN_x000D_
issue:_x000D_
.recs:Birth,Marriage,Death_x000D_
.imm?:no_x000D_
..Spo:JOAN GENEVILLE</t>
        </r>
      </text>
    </comment>
    <comment ref="Y1182" authorId="0" shapeId="0" xr:uid="{78D2B68E-CF8D-4159-92F1-66D5F760458B}">
      <text>
        <r>
          <rPr>
            <sz val="9"/>
            <color indexed="81"/>
            <rFont val="Tahoma"/>
            <family val="2"/>
          </rPr>
          <t>MARGARET FIENNES_x000D_
http://yeinfo.com/family/I09066650.html_x000D_
https://www.google.com/search?q=MARGARET+FIENNES+1262+1334+MORTIMER_x000D_
.born: 1262    -          Wigmore (Herefordshire) England_x000D_
.died: 13340207-          Wigmore (Herefordshire) England, age:72y 1m 6d, _x000D_
.bapt: 1785GE_x000D_
.will: 2004MO_x000D_
.obit: 1890OH_x000D_
.bury: 1850IL _x000D_
.wpbt: 1826PA_x000D_
.anc#: quintuple ancestor_x000D_
citiz:foreign_x000D_
#spos:1_x000D_
#srcs:2_x000D_
#comment:1_x000D_
#events:1_x000D_
#kids:2_x000D_
lived:ENHEREFWIGMORE_x000D_
issue:Died after Age 100_x000D_
.recs:Birth,Marriage,Death_x000D_
.imm?:no_x000D_
..Spo:EDMUND MORTIMER</t>
        </r>
      </text>
    </comment>
    <comment ref="W1184" authorId="0" shapeId="0" xr:uid="{C062C0F0-1E00-404E-9AB6-B5EA37D7BCD7}">
      <text>
        <r>
          <rPr>
            <sz val="9"/>
            <color indexed="81"/>
            <rFont val="Tahoma"/>
            <family val="2"/>
          </rPr>
          <t>KATHERINE MORTIMER_x000D_
http://yeinfo.com/family/I09066535.html_x000D_
https://www.google.com/search?q=KATHERINE+MORTIMER+1314+1369+BEAUCHAMP_x000D_
.born: 1314    -          Wigmore (Herefordshire) England_x000D_
.died: 13690804-          , age:55y 7m 3d, _x000D_
.bapt: 1785GE_x000D_
.will: 2004MO_x000D_
.obit: 1890OH_x000D_
.bury: 1850IL _x000D_
.wpbt: 1826PA_x000D_
.anc#: quintuple ancestor_x000D_
citiz:foreign_x000D_
#spos:1_x000D_
#srcs:2_x000D_
#comment:0_x000D_
#events:1_x000D_
#kids:3_x000D_
lived:ENHEREFWIGMORE_x000D_
issue:_x000D_
.recs:Birth,Marriage,Death_x000D_
.imm?:no_x000D_
..Spo:THOMAS BEAUCHAMP</t>
        </r>
      </text>
    </comment>
    <comment ref="Y1186" authorId="0" shapeId="0" xr:uid="{7BAD94A7-01B4-4649-A2FA-B2C510B1B863}">
      <text>
        <r>
          <rPr>
            <sz val="9"/>
            <color indexed="81"/>
            <rFont val="Tahoma"/>
            <family val="2"/>
          </rPr>
          <t>PIERS GENEVILLE_x000D_
http://yeinfo.com/family/I09066651.html_x000D_
https://www.google.com/search?q=PIERS+GENEVILLE+1256+1292+JEANNE\JOAN_x000D_
.born: 1256    -          Dublin (Leinster) Ireland_x000D_
.died: 12920608-          France, age:36y 5m 7d, _x000D_
.bapt: 1785GE_x000D_
.will: 2004MO_x000D_
.obit: 1890OH_x000D_
.bury: 1850IL _x000D_
.wpbt: 1826PA_x000D_
.anc#: quintuple ancestor_x000D_
citiz:foreign_x000D_
#spos:1_x000D_
#srcs:2_x000D_
#comment:1_x000D_
#events:1_x000D_
#kids:1_x000D_
lived:ENSHROPLUDLOW,FR,IRLEINSDUBLIN_x000D_
issue:_x000D_
.recs:Birth,Marriage,Death_x000D_
.imm?:no_x000D_
..Spo:JEANNE\JOAN LUSIGNAN</t>
        </r>
      </text>
    </comment>
    <comment ref="X1188" authorId="0" shapeId="0" xr:uid="{670ACA4C-E6EF-4203-9215-D4AE940B0911}">
      <text>
        <r>
          <rPr>
            <sz val="9"/>
            <color indexed="81"/>
            <rFont val="Tahoma"/>
            <family val="2"/>
          </rPr>
          <t>JOAN GENEVILLE_x000D_
http://yeinfo.com/family/I09066589.html_x000D_
https://www.google.com/search?q=JOAN+GENEVILLE+1286+1325+MORTIMER_x000D_
.born: 12860202-          Ludlow (Shropshire) England_x000D_
.died: 1325    -1376      Gloucestershire county England, age:38y 10m 30d, _x000D_
.bapt: 1785GE_x000D_
.will: 2004MO_x000D_
.obit: 1890OH_x000D_
.bury: 1850IL _x000D_
.wpbt: 1826PA_x000D_
.anc#: quintuple ancestor_x000D_
citiz:foreign_x000D_
#spos:1_x000D_
#srcs:2_x000D_
#comment:0_x000D_
#events:1_x000D_
#kids:2_x000D_
lived:ENGLOUS,ENSHROPLUDLOW_x000D_
issue:_x000D_
.recs:Birth,Marriage,Death_x000D_
.imm?:no_x000D_
..Spo:ROGER MORTIMER</t>
        </r>
      </text>
    </comment>
    <comment ref="Y1190" authorId="0" shapeId="0" xr:uid="{FF028DE7-429C-46EE-B66F-3C1CEE624027}">
      <text>
        <r>
          <rPr>
            <sz val="9"/>
            <color indexed="81"/>
            <rFont val="Tahoma"/>
            <family val="2"/>
          </rPr>
          <t>JEANNE\JOAN LUSIGNAN_x000D_
http://yeinfo.com/family/I09066652.html_x000D_
https://www.google.com/search?q=JEANNE\JOAN+LUSIGNAN+1260+1286+GENEVILLE_x000D_
.born: 1260    -          France_x000D_
.died: 1286    -1350      , age:26y 0m 0d, _x000D_
.bapt: 1785GE_x000D_
.will: 2004MO_x000D_
.obit: 1890OH_x000D_
.bury: 1850IL _x000D_
.wpbt: 1826PA_x000D_
.anc#: quintuple ancestor_x000D_
citiz:foreign_x000D_
#spos:1_x000D_
#srcs:2_x000D_
#comment:1_x000D_
#events:1_x000D_
#kids:1_x000D_
lived:ENSHROPLUDLOW,FR_x000D_
issue:_x000D_
.recs:Birth,Marriage,Death_x000D_
.imm?:no_x000D_
..Spo:PIERS GENEVILLE</t>
        </r>
      </text>
    </comment>
    <comment ref="R1192" authorId="0" shapeId="0" xr:uid="{1A047C8C-329B-4E5F-9784-ED8954D90149}">
      <text>
        <r>
          <rPr>
            <sz val="9"/>
            <color indexed="81"/>
            <rFont val="Tahoma"/>
            <family val="2"/>
          </rPr>
          <t>NICHOLAS LONGFORD_x000D_
http://yeinfo.com/family/I09066816.html_x000D_
https://www.google.com/search?q=NICHOLAS+LONGFORD+1465+1513+MARGERY_x000D_
.born: 1465    -          Derbyshire county England_x000D_
.died: 1513    -          Derbyshire county England, age:48y 0m 0d, _x000D_
.bapt: 1785GE_x000D_
.will: 2004MO_x000D_
.obit: 1890OH_x000D_
.bury: 1850IL _x000D_
.wpbt: 1826PA_x000D_
.anc#:double ancestor_x000D_
citiz:foreign_x000D_
#spos:1_x000D_
#srcs:1_x000D_
#comment:0_x000D_
#events:1_x000D_
#kids:1_x000D_
lived:?ENLANCS,ENDERBS_x000D_
issue:_x000D_
.recs:Birth,Marriage,Death_x000D_
.imm?:no_x000D_
..Spo:MARGERY TRAFFORD</t>
        </r>
      </text>
    </comment>
    <comment ref="V1194" authorId="0" shapeId="0" xr:uid="{DBC1AA19-D3FB-47CE-AA5F-5F817B1C70E0}">
      <text>
        <r>
          <rPr>
            <sz val="9"/>
            <color indexed="81"/>
            <rFont val="Tahoma"/>
            <family val="2"/>
          </rPr>
          <t>WILLIAM FERRERS_x000D_
http://yeinfo.com/family/I09066794.html_x000D_
https://www.google.com/search?q=WILLIAM+FERRERS+1372+1445+PHILIPPE_x000D_
.born: 13720425-          Groby (Leicestershire) England_x000D_
.died: 14450518-          Essex county England, age:73y 0m 23d, _x000D_
.bapt: 1785GE_x000D_
.will: 2004MO_x000D_
.obit: 1890OH_x000D_
.bury: 1850IL _x000D_
.wpbt: 1826PA_x000D_
.anc#:double ancestor_x000D_
citiz:foreign_x000D_
#spos:1_x000D_
#srcs:1_x000D_
#comment:1_x000D_
#events:1_x000D_
#kids:1_x000D_
lived:ENESSEX,ENLEICEGROBY_x000D_
issue:_x000D_
.recs:Birth,Marriage,Death_x000D_
.imm?:no_x000D_
..Spo:PHILIPPE CLIFFORD</t>
        </r>
      </text>
    </comment>
    <comment ref="U1196" authorId="0" shapeId="0" xr:uid="{2B6451D1-5F00-48EA-AE93-690535D04E36}">
      <text>
        <r>
          <rPr>
            <sz val="9"/>
            <color indexed="81"/>
            <rFont val="Tahoma"/>
            <family val="2"/>
          </rPr>
          <t>THOMAS FERRERS_x000D_
http://yeinfo.com/family/I09066795.html_x000D_
https://www.google.com/search?q=THOMAS+FERRERS+1380+1459+ELIZABETH_x000D_
.born: 1380    -          Groby (Leicestershire) England_x000D_
.died: 14590115-          Market Bosworth (Leicestershire) England, age:79y 0m 14d, _x000D_
.bapt: 1785GE_x000D_
.will: 2004MO_x000D_
.obit: 1890OH_x000D_
.bury: 1850IL _x000D_
.wpbt: 1826PA_x000D_
.anc#:double ancestor_x000D_
citiz:foreign_x000D_
#spos:1_x000D_
#srcs:1_x000D_
#comment:0_x000D_
#events:1_x000D_
#kids:1_x000D_
lived:ENLEICEGROBY,ENLEICEMARKETB_x000D_
issue:Born before Parents Married_x000D_
.recs:Birth,Marriage,Death_x000D_
.imm?:no_x000D_
..Spo:ELIZABETH FREVILLE</t>
        </r>
      </text>
    </comment>
    <comment ref="W1198" authorId="0" shapeId="0" xr:uid="{0168384B-1BEA-4C9A-8171-44DD187068EB}">
      <text>
        <r>
          <rPr>
            <sz val="9"/>
            <color indexed="81"/>
            <rFont val="Tahoma"/>
            <family val="2"/>
          </rPr>
          <t>ROGER CLIFFORD_x000D_
http://yeinfo.com/family/I09066786.html_x000D_
https://www.google.com/search?q=ROGER+CLIFFORD+1333+1390+MAUD_x000D_
.born: 13330710-          Herefordshire county England_x000D_
.died: 13900713-          Westmoreland county England, age:57y 0m 3d, _x000D_
.bapt: 1785GE_x000D_
.will: 2004MO_x000D_
.obit: 1890OH_x000D_
.bury: 1850IL _x000D_
.wpbt: 1826PA_x000D_
.anc#:  quadruple ancestor_x000D_
citiz:foreign_x000D_
#spos:1_x000D_
#srcs:1_x000D_
#comment:0_x000D_
#events:1_x000D_
#kids:2_x000D_
lived:ENHEREF,ENWESTE,ENYORKSRAVENSW_x000D_
issue:_x000D_
.recs:Birth,Marriage,Death_x000D_
.imm?:no_x000D_
..Spo:MAUD BEAUCHAMP</t>
        </r>
      </text>
    </comment>
    <comment ref="V1200" authorId="0" shapeId="0" xr:uid="{DBE19E0B-9A56-4B23-A41C-83C9468F6DBB}">
      <text>
        <r>
          <rPr>
            <sz val="9"/>
            <color indexed="81"/>
            <rFont val="Tahoma"/>
            <family val="2"/>
          </rPr>
          <t>PHILIPPE CLIFFORD_x000D_
http://yeinfo.com/family/I09066788.html_x000D_
https://www.google.com/search?q=PHILIPPE+CLIFFORD+1375+1441+FERRERS_x000D_
.born: 1375    -          Westmoreland county England_x000D_
.died: 1441    -          Staffordshire county England, age:66y 0m 0d, _x000D_
.bapt: 1785GE_x000D_
.will: 2004MO_x000D_
.obit: 1890OH_x000D_
.bury: 1850IL _x000D_
.wpbt: 1826PA_x000D_
.anc#:double ancestor_x000D_
citiz:foreign_x000D_
#spos:1_x000D_
#srcs:1_x000D_
#comment:1_x000D_
#events:1_x000D_
#kids:1_x000D_
lived:ENSTAFS,ENWESTE_x000D_
issue:_x000D_
.recs:Birth,Marriage,Death_x000D_
.imm?:no_x000D_
..Spo:WILLIAM FERRERS</t>
        </r>
      </text>
    </comment>
    <comment ref="AA1202" authorId="0" shapeId="0" xr:uid="{2E762049-8D39-4D0A-821A-D59235A6D459}">
      <text>
        <r>
          <rPr>
            <sz val="9"/>
            <color indexed="81"/>
            <rFont val="Tahoma"/>
            <family val="2"/>
          </rPr>
          <t>WILLIAM BEAUCHAMP_x000D_
http://yeinfo.com/family/I09066667.html_x000D_
https://www.google.com/search?q=WILLIAM+BEAUCHAMP+1215+1268+ISABEL_x000D_
.born:c1215    -          Elmley Castle (Worcestershire) England_x000D_
.died: 12680605-          Elmley Castle (Worcestershire) England, age:53y 5m 4d, _x000D_
.bapt: 1785GE_x000D_
.will: 2004MO_x000D_
.obit: 1890OH_x000D_
.bury: 1850IL _x000D_
.wpbt: 1826PA_x000D_
.anc#: quintuple ancestor_x000D_
citiz:foreign_x000D_
#spos:1_x000D_
#srcs:2_x000D_
#comment:1_x000D_
#events:1_x000D_
#kids:1_x000D_
lived:ENWORCSELMLEY_x000D_
issue:_x000D_
.recs:Birth,Marriage,Death_x000D_
.imm?:no_x000D_
..Spo:ISABEL MAUDUIT</t>
        </r>
      </text>
    </comment>
    <comment ref="Z1204" authorId="0" shapeId="0" xr:uid="{B364958E-0C2C-4A7F-83D9-7C378CBFE21C}">
      <text>
        <r>
          <rPr>
            <sz val="9"/>
            <color indexed="81"/>
            <rFont val="Tahoma"/>
            <family val="2"/>
          </rPr>
          <t>WILLIAM BEAUCHAMP_x000D_
http://yeinfo.com/family/I09066645.html_x000D_
https://www.google.com/search?q=WILLIAM+BEAUCHAMP+1237+1262+MAUD_x000D_
.born: 1237    -          Elmley Castle (Worcestershire) England_x000D_
.died: 1262    -1327      , age:25y 0m 0d, _x000D_
.bapt: 1785GE_x000D_
.will: 2004MO_x000D_
.obit: 1890OH_x000D_
.bury: 1850IL _x000D_
.wpbt: 1826PA_x000D_
.anc#: quintuple ancestor_x000D_
citiz:foreign_x000D_
#spos:1_x000D_
#srcs:2_x000D_
#comment:0_x000D_
#events:1_x000D_
#kids:1_x000D_
lived:ENWORCSELMLEY_x000D_
issue:_x000D_
.recs:Birth,Marriage,Death_x000D_
.imm?:no_x000D_
..Spo:MAUD FITZJOHN</t>
        </r>
      </text>
    </comment>
    <comment ref="AA1206" authorId="0" shapeId="0" xr:uid="{C51015E6-9495-4E51-A9D9-1716276084EA}">
      <text>
        <r>
          <rPr>
            <sz val="9"/>
            <color indexed="81"/>
            <rFont val="Tahoma"/>
            <family val="2"/>
          </rPr>
          <t>ISABEL MAUDUIT_x000D_
http://yeinfo.com/family/I09066668.html_x000D_
https://www.google.com/search?q=ISABEL+MAUDUIT+1216+1268+BEAUCHAMP_x000D_
.born: 12161227-          Hanslope (Buckinghamshire) England_x000D_
.died: 12680107-          Cookhill (Worcestershire) England, age:51y 0m 11d, _x000D_
.bapt: 1785GE_x000D_
.will: 2004MO_x000D_
.obit: 1890OH_x000D_
.bury: 1850IL _x000D_
.wpbt: 1826PA_x000D_
.anc#: quintuple ancestor_x000D_
citiz:foreign_x000D_
#spos:1_x000D_
#srcs:1_x000D_
#comment:1_x000D_
#events:1_x000D_
#kids:1_x000D_
lived:ENBUCKEHANSLOP,ENWORCSCOOKHIL_x000D_
issue:_x000D_
.recs:Birth,Marriage,Death_x000D_
.imm?:no_x000D_
..Spo:WILLIAM BEAUCHAMP</t>
        </r>
      </text>
    </comment>
    <comment ref="Y1208" authorId="0" shapeId="0" xr:uid="{20EC3E9A-C62C-415E-98A8-C2E1DCF732EC}">
      <text>
        <r>
          <rPr>
            <sz val="9"/>
            <color indexed="81"/>
            <rFont val="Tahoma"/>
            <family val="2"/>
          </rPr>
          <t>GUY BEAUCHAMP_x000D_
http://yeinfo.com/family/I09066586.html_x000D_
https://www.google.com/search?q=GUY+BEAUCHAMP+1262+1315+ALICE_x000D_
.born: 1262    -          Elmley Castle (Worcestershire) England_x000D_
.died: 13150810-          Warwick (Warwickshire) England, age:53y 7m 9d, _x000D_
.bapt: 1785GE_x000D_
.will: 2004MO_x000D_
.obit: 1890OH_x000D_
.bury: 1850IL _x000D_
.wpbt: 1826PA_x000D_
.anc#: quintuple ancestor_x000D_
citiz:foreign_x000D_
#spos:1_x000D_
#srcs:2_x000D_
#comment:1_x000D_
#events:1_x000D_
#kids:1_x000D_
lived:ENWARWEWARWICK,ENWORCSELMLEY_x000D_
issue:_x000D_
.recs:Birth,Marriage,Death_x000D_
.imm?:no_x000D_
..Spo:ALICE TOENI</t>
        </r>
      </text>
    </comment>
    <comment ref="Z1210" authorId="0" shapeId="0" xr:uid="{7BC6E603-0593-4958-95F9-DB64088FC790}">
      <text>
        <r>
          <rPr>
            <sz val="9"/>
            <color indexed="81"/>
            <rFont val="Tahoma"/>
            <family val="2"/>
          </rPr>
          <t>MAUD FITZJOHN_x000D_
http://yeinfo.com/family/I09066646.html_x000D_
https://www.google.com/search?q=MAUD+FITZJOHN+1237+1301+BEAUCHAMP_x000D_
.born: 1237    -          Shere (Surrey) England_x000D_
.died:?13010416-          Worcester (Worcestershire) England, age:64y 3m 15d, _x000D_
.bapt: 1785GE_x000D_
.will: 2004MO_x000D_
.obit: 1890OH_x000D_
.bury: 1850IL _x000D_
.wpbt: 1826PA_x000D_
.anc#: quintuple ancestor_x000D_
citiz:foreign_x000D_
#spos:1_x000D_
#srcs:1_x000D_
#comment:0_x000D_
#events:1_x000D_
#kids:1_x000D_
lived:ENSURRESHERE,ENWORCSWORCEST_x000D_
issue:_x000D_
.recs:Birth,Marriage,Death_x000D_
.imm?:no_x000D_
..Spo:WILLIAM BEAUCHAMP</t>
        </r>
      </text>
    </comment>
    <comment ref="X1212" authorId="0" shapeId="0" xr:uid="{AEB8F377-39C1-4E31-B2C4-9D536083BB27}">
      <text>
        <r>
          <rPr>
            <sz val="9"/>
            <color indexed="81"/>
            <rFont val="Tahoma"/>
            <family val="2"/>
          </rPr>
          <t>THOMAS BEAUCHAMP_x000D_
http://yeinfo.com/family/I09066534.html_x000D_
https://www.google.com/search?q=THOMAS+BEAUCHAMP+1313+1369+KATHERINE_x000D_
.born: 13130214-          Warwickshire county England_x000D_
.died: 13691113-          , age:56y 8m 30d, _x000D_
.bapt: 1785GE_x000D_
.will: 2004MO_x000D_
.obit: 1890OH_x000D_
.bury: 1850IL _x000D_
.wpbt: 1826PA_x000D_
.anc#: quintuple ancestor_x000D_
citiz:foreign_x000D_
#spos:1_x000D_
#srcs:2_x000D_
#comment:1_x000D_
#events:1_x000D_
#kids:3_x000D_
lived:ENWARWE_x000D_
issue:_x000D_
.recs:Birth,Marriage,Death_x000D_
.imm?:no_x000D_
..Spo:KATHERINE MORTIMER</t>
        </r>
      </text>
    </comment>
    <comment ref="AA1214" authorId="0" shapeId="0" xr:uid="{4951C027-8F77-4B05-8964-68EA8779E8E1}">
      <text>
        <r>
          <rPr>
            <sz val="9"/>
            <color indexed="81"/>
            <rFont val="Tahoma"/>
            <family val="2"/>
          </rPr>
          <t>ROGER TOENI_x000D_
http://yeinfo.com/family/I09066669.html_x000D_
https://www.google.com/search?q=ROGER+TOENI+1235+1255+ALICE\CECILIA_x000D_
.born: 12350929-          Flamstead (Hertfordshire) England_x000D_
.died: 1255    -1325      Flamstead (Hertfordshire) England, age:19y 3m 3d, _x000D_
.bapt: 1785GE_x000D_
.will: 2004MO_x000D_
.obit: 1890OH_x000D_
.bury: 1850IL _x000D_
.wpbt: 1826PA_x000D_
.anc#: quintuple ancestor_x000D_
citiz:foreign_x000D_
#spos:1_x000D_
#srcs:1_x000D_
#comment:1_x000D_
#events:1_x000D_
#kids:1_x000D_
lived:ENHERTFFLAMSTE_x000D_
issue:_x000D_
.recs:Birth,Marriage,Death_x000D_
.imm?:no_x000D_
..Spo:ALICE\CECILIA BOHUN</t>
        </r>
      </text>
    </comment>
    <comment ref="Z1216" authorId="0" shapeId="0" xr:uid="{F23F938C-058D-4B38-A4AE-7A4BA87623D9}">
      <text>
        <r>
          <rPr>
            <sz val="9"/>
            <color indexed="81"/>
            <rFont val="Tahoma"/>
            <family val="2"/>
          </rPr>
          <t>RALPH\RAOUI TOENI_x000D_
http://yeinfo.com/family/I09066647.html_x000D_
https://www.google.com/search?q=RALPH\RAOUI+TOENI+1253+1295+MARY+CLARISSA_x000D_
.born: 12531225-          Flamstead (Hertfordshire) England_x000D_
.died: 12950527-          Gascony (Guyenne) France, age:41y 5m 2d, _x000D_
.bapt: 1785GE_x000D_
.will: 2004MO_x000D_
.obit: 1890OH_x000D_
.bury: 1850IL _x000D_
.wpbt: 1826PA_x000D_
.anc#: quintuple ancestor_x000D_
citiz:foreign_x000D_
#spos:1_x000D_
#srcs:1_x000D_
#comment:0_x000D_
#events:1_x000D_
#kids:1_x000D_
lived:ENHERTFFLAMSTE,FRGUYENGASCONY_x000D_
issue:_x000D_
.recs:Birth,Marriage,Death_x000D_
.imm?:no_x000D_
..Spo:MARY CLARISSA BRUCE</t>
        </r>
      </text>
    </comment>
    <comment ref="AD1218" authorId="0" shapeId="0" xr:uid="{682E19DB-1CEF-4A13-91DA-C6AC0D35EC3D}">
      <text>
        <r>
          <rPr>
            <sz val="9"/>
            <color indexed="81"/>
            <rFont val="Tahoma"/>
            <family val="2"/>
          </rPr>
          <t>FRANCIS BOHUN_x000D_
http://yeinfo.com/family/I09066676.html_x000D_
https://www.google.com/search?q=FRANCIS+BOHUN+1165+1185+MARGERY_x000D_
.born:?1165    -         ?England_x000D_
.died: 1185    -1255     ?England, age:20y 0m 0d, _x000D_
.bapt: 1785GE_x000D_
.will: 2004MO_x000D_
.obit: 1890OH_x000D_
.bury: 1850IL _x000D_
.wpbt: 1826PA_x000D_
.anc#: quintuple ancestor_x000D_
citiz:foreign_x000D_
#spos:1_x000D_
#srcs:1_x000D_
#comment:1_x000D_
#events:1_x000D_
#kids:1_x000D_
lived:?EN_x000D_
issue:Married before Age 16,Died before Birth_x000D_
.recs:Birth,Marriage,Death_x000D_
.imm?:no_x000D_
..Spo:MARGERY LACY</t>
        </r>
      </text>
    </comment>
    <comment ref="AC1220" authorId="0" shapeId="0" xr:uid="{A4F02B1B-E972-4804-A158-62528DD61614}">
      <text>
        <r>
          <rPr>
            <sz val="9"/>
            <color indexed="81"/>
            <rFont val="Tahoma"/>
            <family val="2"/>
          </rPr>
          <t>JAMES BOHUN_x000D_
http://yeinfo.com/family/I09066674.html_x000D_
https://www.google.com/search?q=JAMES+BOHUN+1185+1208+{_?_}_x000D_
.born:?1185    -         ?England_x000D_
.died: 1208    -1275     ?England, age:23y 0m 0d, _x000D_
.bapt: 1785GE_x000D_
.will: 2004MO_x000D_
.obit: 1890OH_x000D_
.bury: 1850IL _x000D_
.wpbt: 1826PA_x000D_
.anc#: quintuple ancestor_x000D_
citiz:foreign_x000D_
#spos:1_x000D_
#srcs:1_x000D_
#comment:0_x000D_
#events:1_x000D_
#kids:1_x000D_
lived:?EN_x000D_
issue:Born before Parents Married,Married before Age 16,Died before Birth_x000D_
.recs:Birth,Marriage,Death_x000D_
.imm?:no_x000D_
..Spo:{_?_} BOHUN</t>
        </r>
      </text>
    </comment>
    <comment ref="AD1222" authorId="0" shapeId="0" xr:uid="{9FAB893F-C844-45B1-B456-2BCBFEBB26B0}">
      <text>
        <r>
          <rPr>
            <sz val="9"/>
            <color indexed="81"/>
            <rFont val="Tahoma"/>
            <family val="2"/>
          </rPr>
          <t>MARGERY LACY_x000D_
http://yeinfo.com/family/I09066677.html_x000D_
https://www.google.com/search?q=MARGERY+LACY+1165+1185+BOHUN_x000D_
.born:?1165    -          _x000D_
.died: 1185    -1255     ?England, age:20y 0m 0d, _x000D_
.bapt: 1785GE_x000D_
.will: 2004MO_x000D_
.obit: 1890OH_x000D_
.bury: 1850IL _x000D_
.wpbt: 1826PA_x000D_
.anc#: quintuple ancestor_x000D_
citiz:foreign_x000D_
#spos:1_x000D_
#srcs:1_x000D_
#comment:0_x000D_
#events:1_x000D_
#kids:1_x000D_
lived:?EN_x000D_
issue:Married before Age 16,Died before Birth_x000D_
.recs:Birth,Marriage,Death_x000D_
.imm?:no_x000D_
..Spo:FRANCIS BOHUN</t>
        </r>
      </text>
    </comment>
    <comment ref="AB1224" authorId="0" shapeId="0" xr:uid="{80480DDC-178D-455B-9B1C-EB0FA27EB0F3}">
      <text>
        <r>
          <rPr>
            <sz val="9"/>
            <color indexed="81"/>
            <rFont val="Tahoma"/>
            <family val="2"/>
          </rPr>
          <t>HUMPHREY BOHUN_x000D_
http://yeinfo.com/family/I09066672.html_x000D_
https://www.google.com/search?q=HUMPHREY+BOHUN+1208+1275+MAUD_x000D_
.born:?12080506-          Essex county England_x000D_
.died: 1275    -         ?England, age:66y 7m 26d, _x000D_
.bapt: 1785GE_x000D_
.will: 2004MO_x000D_
.obit: 1890OH_x000D_
.bury: 1850IL _x000D_
.wpbt: 1826PA_x000D_
.anc#: quintuple ancestor_x000D_
citiz:foreign_x000D_
#spos:1_x000D_
#srcs:1_x000D_
#comment:1_x000D_
#events:2_x000D_
#kids:1_x000D_
lived:ENESSEX_x000D_
issue:Born before Parents Married_x000D_
.recs:Birth,Marriage,Death_x000D_
.imm?:no_x000D_
..Spo:MAUD LUSIGNAN</t>
        </r>
      </text>
    </comment>
    <comment ref="AC1226" authorId="0" shapeId="0" xr:uid="{4458CE19-770E-4F72-8836-9E1FFE01BB79}">
      <text>
        <r>
          <rPr>
            <sz val="9"/>
            <color indexed="81"/>
            <rFont val="Tahoma"/>
            <family val="2"/>
          </rPr>
          <t>Mrs. {_?_} BOHUN_x000D_
http://yeinfo.com/family/I09066675.html_x000D_
https://www.google.com/search?q={_?_}+BOHUN+1185+1208+BOHUN_x000D_
.born:?1185    -          _x000D_
.died: 1208    -1275     ?England, age:23y 0m 0d, _x000D_
.bapt: 1785GE_x000D_
.will: 2004MO_x000D_
.obit: 1890OH_x000D_
.bury: 1850IL _x000D_
.wpbt: 1826PA_x000D_
.anc#: quintuple ancestor_x000D_
citiz:foreign_x000D_
#spos:1_x000D_
#srcs:1_x000D_
#comment:0_x000D_
#events:1_x000D_
#kids:1_x000D_
lived:?EN_x000D_
issue:_x000D_
.recs:Birth,Marriage,Death_x000D_
.imm?:no_x000D_
..Spo:JAMES BOHUN</t>
        </r>
      </text>
    </comment>
    <comment ref="AA1228" authorId="0" shapeId="0" xr:uid="{410FC364-F15B-451C-A188-0412C3811D2D}">
      <text>
        <r>
          <rPr>
            <sz val="9"/>
            <color indexed="81"/>
            <rFont val="Tahoma"/>
            <family val="2"/>
          </rPr>
          <t>ALICE\CECILIA BOHUN_x000D_
http://yeinfo.com/family/I09066670.html_x000D_
https://www.google.com/search?q=ALICE\CECILIA+BOHUN+1242+1262+TOENI_x000D_
.born: 124209  -          Flamstead (Hertfordshire) England_x000D_
.died: 1262    -1332      , age:19y 4m 0d, _x000D_
.bapt: 1785GE_x000D_
.will: 2004MO_x000D_
.obit: 1890OH_x000D_
.bury: 1850IL _x000D_
.wpbt: 1826PA_x000D_
.anc#: quintuple ancestor_x000D_
citiz:foreign_x000D_
#spos:1_x000D_
#srcs:1_x000D_
#comment:0_x000D_
#events:1_x000D_
#kids:1_x000D_
lived:ENHERTFFLAMSTE_x000D_
issue:Died after Age 100_x000D_
.recs:Birth,Marriage,Death_x000D_
.imm?:no_x000D_
..Spo:ROGER TOENI</t>
        </r>
      </text>
    </comment>
    <comment ref="AB1230" authorId="0" shapeId="0" xr:uid="{C396FA4C-0F2A-425B-BE15-029A9C50717A}">
      <text>
        <r>
          <rPr>
            <sz val="9"/>
            <color indexed="81"/>
            <rFont val="Tahoma"/>
            <family val="2"/>
          </rPr>
          <t>MAUD LUSIGNAN_x000D_
http://yeinfo.com/family/I09066673.html_x000D_
https://www.google.com/search?q=MAUD+LUSIGNAN+1220+1242+BOHUN_x000D_
.born:?1220    -          _x000D_
.died: 1242    -1310     ?England, age:22y 0m 0d, _x000D_
.bapt: 1785GE_x000D_
.will: 2004MO_x000D_
.obit: 1890OH_x000D_
.bury: 1850IL _x000D_
.wpbt: 1826PA_x000D_
.anc#: quintuple ancestor_x000D_
citiz:foreign_x000D_
#spos:1_x000D_
#srcs:1_x000D_
#comment:0_x000D_
#events:1_x000D_
#kids:1_x000D_
lived:?EN_x000D_
issue:_x000D_
.recs:Birth,Marriage,Death_x000D_
.imm?:no_x000D_
..Spo:HUMPHREY BOHUN</t>
        </r>
      </text>
    </comment>
    <comment ref="Y1232" authorId="0" shapeId="0" xr:uid="{53940308-6551-4320-89D9-FFC4028B5E58}">
      <text>
        <r>
          <rPr>
            <sz val="9"/>
            <color indexed="81"/>
            <rFont val="Tahoma"/>
            <family val="2"/>
          </rPr>
          <t>ALICE TOENI_x000D_
http://yeinfo.com/family/I09066587.html_x000D_
https://www.google.com/search?q=ALICE+TOENI+1284+1313+BEAUCHAMP_x000D_
.born: 12840426-          Flamstead (Hertfordshire) England_x000D_
.died: 1313    -1374      Flamstead (Hertfordshire) England, age:28y 8m 6d, _x000D_
.bapt: 1785GE_x000D_
.will: 2004MO_x000D_
.obit: 1890OH_x000D_
.bury: 1850IL _x000D_
.wpbt: 1826PA_x000D_
.anc#: quintuple ancestor_x000D_
citiz:foreign_x000D_
#spos:1_x000D_
#srcs:1_x000D_
#comment:1_x000D_
#events:1_x000D_
#kids:1_x000D_
lived:ENHERTFFLAMSTE_x000D_
issue:_x000D_
.recs:Birth,Marriage,Death_x000D_
.imm?:no_x000D_
..Spo:GUY BEAUCHAMP</t>
        </r>
      </text>
    </comment>
    <comment ref="Z1234" authorId="0" shapeId="0" xr:uid="{979CD3A6-B3A8-40B1-B52E-0896DE6916A3}">
      <text>
        <r>
          <rPr>
            <sz val="9"/>
            <color indexed="81"/>
            <rFont val="Tahoma"/>
            <family val="2"/>
          </rPr>
          <t>MARY CLARISSA BRUCE_x000D_
http://yeinfo.com/family/I09066648.html_x000D_
https://www.google.com/search?q=MARY+CLARISSA+BRUCE+1255+1284+TOENI_x000D_
.born: 1255    -          Flamstead (Hertfordshire) England_x000D_
.died: 1284    -          England, age:29y 0m 0d, _x000D_
.bapt: 1785GE_x000D_
.will: 2004MO_x000D_
.obit: 1890OH_x000D_
.bury: 1850IL _x000D_
.wpbt: 1826PA_x000D_
.anc#: quintuple ancestor_x000D_
citiz:foreign_x000D_
#spos:1_x000D_
#srcs:1_x000D_
#comment:0_x000D_
#events:1_x000D_
#kids:1_x000D_
lived:ENHERTFFLAMSTE_x000D_
issue:_x000D_
.recs:Birth,Marriage,Death_x000D_
.imm?:no_x000D_
..Spo:RALPH\RAOUI TOENI</t>
        </r>
      </text>
    </comment>
    <comment ref="W1236" authorId="0" shapeId="0" xr:uid="{96E0F738-AEA1-4C5A-91CB-123F21FF185D}">
      <text>
        <r>
          <rPr>
            <sz val="9"/>
            <color indexed="81"/>
            <rFont val="Tahoma"/>
            <family val="2"/>
          </rPr>
          <t>MAUD BEAUCHAMP_x000D_
http://yeinfo.com/family/I09066780.html_x000D_
https://www.google.com/search?q=MAUD+BEAUCHAMP+1343+1403+CLIFFORD_x000D_
.born:?1343    -          Warwickshire county England_x000D_
.died: 140302  -          England, age:60y 1m 0d, _x000D_
.bapt: 1785GE_x000D_
.will: 2004MO_x000D_
.obit: 1890OH_x000D_
.bury: 1850IL _x000D_
.wpbt: 1826PA_x000D_
.anc#:  quadruple ancestor_x000D_
citiz:foreign_x000D_
#spos:1_x000D_
#srcs:1_x000D_
#comment:0_x000D_
#events:1_x000D_
#kids:2_x000D_
lived:ENWARWE,ENYORKSRAVENSW_x000D_
issue:Died after Age 100_x000D_
.recs:Birth,Marriage,Death_x000D_
.imm?:no_x000D_
..Spo:ROGER CLIFFORD</t>
        </r>
      </text>
    </comment>
    <comment ref="Z1238" authorId="0" shapeId="0" xr:uid="{B401AE9D-886B-4B9D-9D3F-8189CD6567F6}">
      <text>
        <r>
          <rPr>
            <sz val="9"/>
            <color indexed="81"/>
            <rFont val="Tahoma"/>
            <family val="2"/>
          </rPr>
          <t>EDMUND MORTIMER_x000D_
http://yeinfo.com/family/I09066649.html_x000D_
https://www.google.com/search?q=EDMUND+MORTIMER+1252+1287+MARGARET_x000D_
.born: 12521027-          Wigmore (Herefordshire) England_x000D_
.died: 1287    -1342      Wigmore (Herefordshire) England, age:34y 2m 5d, _x000D_
.bapt: 1785GE_x000D_
.will: 2004MO_x000D_
.obit: 1890OH_x000D_
.bury: 1850IL _x000D_
.wpbt: 1826PA_x000D_
.anc#: quintuple ancestor_x000D_
citiz:foreign_x000D_
#spos:1_x000D_
#srcs:2_x000D_
#comment:1_x000D_
#events:1_x000D_
#kids:2_x000D_
lived:ENHEREFWIGMORE_x000D_
issue:_x000D_
.recs:Birth,Marriage,Death_x000D_
.imm?:no_x000D_
..Spo:MARGARET FIENNES</t>
        </r>
      </text>
    </comment>
    <comment ref="Y1240" authorId="0" shapeId="0" xr:uid="{0E5E95E2-4DF9-429C-A4EA-EB3C5B62A852}">
      <text>
        <r>
          <rPr>
            <sz val="9"/>
            <color indexed="81"/>
            <rFont val="Tahoma"/>
            <family val="2"/>
          </rPr>
          <t>ROGER MORTIMER_x000D_
http://yeinfo.com/family/I09066588.html_x000D_
https://www.google.com/search?q=ROGER+MORTIMER+1287+1330+JOAN_x000D_
.born: 12870425-          Wigmore (Herefordshire) England_x000D_
.died: 13301129-          Tyburn (Middlesex) England, age:43y 7m 4d, _x000D_
.bapt: 1785GE_x000D_
.will: 2004MO_x000D_
.obit: 1890OH_x000D_
.bury: 1850IL _x000D_
.wpbt: 1826PA_x000D_
.anc#: quintuple ancestor_x000D_
citiz:foreign_x000D_
#spos:1_x000D_
#srcs:3_x000D_
#comment:1_x000D_
#events:1_x000D_
#kids:2_x000D_
lived:ENHEREFWIGMORE,ENMIDDLTYBURN_x000D_
issue:_x000D_
.recs:Birth,Marriage,Death_x000D_
.imm?:no_x000D_
..Spo:JOAN GENEVILLE</t>
        </r>
      </text>
    </comment>
    <comment ref="Z1242" authorId="0" shapeId="0" xr:uid="{889C1BDA-B468-4EB0-B6A3-6631DC048131}">
      <text>
        <r>
          <rPr>
            <sz val="9"/>
            <color indexed="81"/>
            <rFont val="Tahoma"/>
            <family val="2"/>
          </rPr>
          <t>MARGARET FIENNES_x000D_
http://yeinfo.com/family/I09066650.html_x000D_
https://www.google.com/search?q=MARGARET+FIENNES+1262+1334+MORTIMER_x000D_
.born: 1262    -          Wigmore (Herefordshire) England_x000D_
.died: 13340207-          Wigmore (Herefordshire) England, age:72y 1m 6d, _x000D_
.bapt: 1785GE_x000D_
.will: 2004MO_x000D_
.obit: 1890OH_x000D_
.bury: 1850IL _x000D_
.wpbt: 1826PA_x000D_
.anc#: quintuple ancestor_x000D_
citiz:foreign_x000D_
#spos:1_x000D_
#srcs:2_x000D_
#comment:1_x000D_
#events:1_x000D_
#kids:2_x000D_
lived:ENHEREFWIGMORE_x000D_
issue:Died after Age 100_x000D_
.recs:Birth,Marriage,Death_x000D_
.imm?:no_x000D_
..Spo:EDMUND MORTIMER</t>
        </r>
      </text>
    </comment>
    <comment ref="X1244" authorId="0" shapeId="0" xr:uid="{9F7FDEE8-BB65-4915-8A80-90FA3F69E643}">
      <text>
        <r>
          <rPr>
            <sz val="9"/>
            <color indexed="81"/>
            <rFont val="Tahoma"/>
            <family val="2"/>
          </rPr>
          <t>KATHERINE MORTIMER_x000D_
http://yeinfo.com/family/I09066535.html_x000D_
https://www.google.com/search?q=KATHERINE+MORTIMER+1314+1369+BEAUCHAMP_x000D_
.born: 1314    -          Wigmore (Herefordshire) England_x000D_
.died: 13690804-          , age:55y 7m 3d, _x000D_
.bapt: 1785GE_x000D_
.will: 2004MO_x000D_
.obit: 1890OH_x000D_
.bury: 1850IL _x000D_
.wpbt: 1826PA_x000D_
.anc#: quintuple ancestor_x000D_
citiz:foreign_x000D_
#spos:1_x000D_
#srcs:2_x000D_
#comment:0_x000D_
#events:1_x000D_
#kids:3_x000D_
lived:ENHEREFWIGMORE_x000D_
issue:_x000D_
.recs:Birth,Marriage,Death_x000D_
.imm?:no_x000D_
..Spo:THOMAS BEAUCHAMP</t>
        </r>
      </text>
    </comment>
    <comment ref="Z1246" authorId="0" shapeId="0" xr:uid="{F66C45DF-E56C-4968-8787-AAF668B17343}">
      <text>
        <r>
          <rPr>
            <sz val="9"/>
            <color indexed="81"/>
            <rFont val="Tahoma"/>
            <family val="2"/>
          </rPr>
          <t>PIERS GENEVILLE_x000D_
http://yeinfo.com/family/I09066651.html_x000D_
https://www.google.com/search?q=PIERS+GENEVILLE+1256+1292+JEANNE\JOAN_x000D_
.born: 1256    -          Dublin (Leinster) Ireland_x000D_
.died: 12920608-          France, age:36y 5m 7d, _x000D_
.bapt: 1785GE_x000D_
.will: 2004MO_x000D_
.obit: 1890OH_x000D_
.bury: 1850IL _x000D_
.wpbt: 1826PA_x000D_
.anc#: quintuple ancestor_x000D_
citiz:foreign_x000D_
#spos:1_x000D_
#srcs:2_x000D_
#comment:1_x000D_
#events:1_x000D_
#kids:1_x000D_
lived:ENSHROPLUDLOW,FR,IRLEINSDUBLIN_x000D_
issue:_x000D_
.recs:Birth,Marriage,Death_x000D_
.imm?:no_x000D_
..Spo:JEANNE\JOAN LUSIGNAN</t>
        </r>
      </text>
    </comment>
    <comment ref="Y1248" authorId="0" shapeId="0" xr:uid="{9A37817E-622A-4AD5-886B-C480E5A48DE3}">
      <text>
        <r>
          <rPr>
            <sz val="9"/>
            <color indexed="81"/>
            <rFont val="Tahoma"/>
            <family val="2"/>
          </rPr>
          <t>JOAN GENEVILLE_x000D_
http://yeinfo.com/family/I09066589.html_x000D_
https://www.google.com/search?q=JOAN+GENEVILLE+1286+1325+MORTIMER_x000D_
.born: 12860202-          Ludlow (Shropshire) England_x000D_
.died: 1325    -1376      Gloucestershire county England, age:38y 10m 30d, _x000D_
.bapt: 1785GE_x000D_
.will: 2004MO_x000D_
.obit: 1890OH_x000D_
.bury: 1850IL _x000D_
.wpbt: 1826PA_x000D_
.anc#: quintuple ancestor_x000D_
citiz:foreign_x000D_
#spos:1_x000D_
#srcs:2_x000D_
#comment:0_x000D_
#events:1_x000D_
#kids:2_x000D_
lived:ENGLOUS,ENSHROPLUDLOW_x000D_
issue:_x000D_
.recs:Birth,Marriage,Death_x000D_
.imm?:no_x000D_
..Spo:ROGER MORTIMER</t>
        </r>
      </text>
    </comment>
    <comment ref="Z1250" authorId="0" shapeId="0" xr:uid="{16051D8C-22B4-4FB6-BEE0-E1BEC78D189D}">
      <text>
        <r>
          <rPr>
            <sz val="9"/>
            <color indexed="81"/>
            <rFont val="Tahoma"/>
            <family val="2"/>
          </rPr>
          <t>JEANNE\JOAN LUSIGNAN_x000D_
http://yeinfo.com/family/I09066652.html_x000D_
https://www.google.com/search?q=JEANNE\JOAN+LUSIGNAN+1260+1286+GENEVILLE_x000D_
.born: 1260    -          France_x000D_
.died: 1286    -1350      , age:26y 0m 0d, _x000D_
.bapt: 1785GE_x000D_
.will: 2004MO_x000D_
.obit: 1890OH_x000D_
.bury: 1850IL _x000D_
.wpbt: 1826PA_x000D_
.anc#: quintuple ancestor_x000D_
citiz:foreign_x000D_
#spos:1_x000D_
#srcs:2_x000D_
#comment:1_x000D_
#events:1_x000D_
#kids:1_x000D_
lived:ENSHROPLUDLOW,FR_x000D_
issue:_x000D_
.recs:Birth,Marriage,Death_x000D_
.imm?:no_x000D_
..Spo:PIERS GENEVILLE</t>
        </r>
      </text>
    </comment>
    <comment ref="T1252" authorId="0" shapeId="0" xr:uid="{6FBFF992-C78C-47B1-96A7-D8DF2ADCD267}">
      <text>
        <r>
          <rPr>
            <sz val="9"/>
            <color indexed="81"/>
            <rFont val="Tahoma"/>
            <family val="2"/>
          </rPr>
          <t>THOMAS FERRERS_x000D_
http://yeinfo.com/family/I09066796.html_x000D_
https://www.google.com/search?q=THOMAS+FERRERS+1438+1499+ANNE_x000D_
.born: 1438    -          Warwickshire county England_x000D_
.died: 14990822-          Tamworth (Staffordshire) England, age:61y 7m 21d, _x000D_
.bapt: 1785GE_x000D_
.will: 2004MO_x000D_
.obit: 1890OH_x000D_
.bury: 1850IL _x000D_
.wpbt: 1826PA_x000D_
.anc#:double ancestor_x000D_
citiz:foreign_x000D_
#spos:1_x000D_
#srcs:1_x000D_
#comment:0_x000D_
#events:1_x000D_
#kids:1_x000D_
lived:ENSTAFSTAMWORT,ENWARWE_x000D_
issue:Born after Mom Age 50,Died after Age 100_x000D_
.recs:Birth,Marriage,Death_x000D_
.imm?:no_x000D_
..Spo:ANNE HASTINGS</t>
        </r>
      </text>
    </comment>
    <comment ref="V1254" authorId="0" shapeId="0" xr:uid="{959C0938-0F00-46DD-8707-E21DF9798876}">
      <text>
        <r>
          <rPr>
            <sz val="9"/>
            <color indexed="81"/>
            <rFont val="Tahoma"/>
            <family val="2"/>
          </rPr>
          <t>BALDWIN FREVILLE_x000D_
http://yeinfo.com/family/I09066798.html_x000D_
https://www.google.com/search?q=BALDWIN+FREVILLE+1375+1401+JOAN_x000D_
.born:?1375    -          Ashtead (Surrey) England_x000D_
.died: 1401    -          Tamworth (Staffordshire) England, age:26y 0m 0d, _x000D_
.bapt: 1785GE_x000D_
.will: 2004MO_x000D_
.obit: 1890OH_x000D_
.bury: 1850IL _x000D_
.wpbt: 1826PA_x000D_
.anc#:double ancestor_x000D_
citiz:foreign_x000D_
#spos:1_x000D_
#srcs:1_x000D_
#comment:1_x000D_
#events:1_x000D_
#kids:1_x000D_
lived:ENSTAFSTAMWORT,ENSURREASHTEAD_x000D_
issue:_x000D_
.recs:Birth,Marriage,Death_x000D_
.imm?:no_x000D_
..Spo:JOAN GREENE</t>
        </r>
      </text>
    </comment>
    <comment ref="U1256" authorId="0" shapeId="0" xr:uid="{0D19D9B6-85DE-431E-972B-792EB238F44D}">
      <text>
        <r>
          <rPr>
            <sz val="9"/>
            <color indexed="81"/>
            <rFont val="Tahoma"/>
            <family val="2"/>
          </rPr>
          <t>ELIZABETH FREVILLE_x000D_
http://yeinfo.com/family/I09066799.html_x000D_
https://www.google.com/search?q=ELIZABETH+FREVILLE+1383+1468+FERRERS_x000D_
.born: 1383    -          Tamworth (Staffordshire) England_x000D_
.died: 14680822-          Warwickshire county England, age:85y 7m 21d, _x000D_
.bapt: 1785GE_x000D_
.will: 2004MO_x000D_
.obit: 1890OH_x000D_
.bury: 1850IL _x000D_
.wpbt: 1826PA_x000D_
.anc#:double ancestor_x000D_
citiz:foreign_x000D_
#spos:1_x000D_
#srcs:1_x000D_
#comment:0_x000D_
#events:1_x000D_
#kids:1_x000D_
lived:ENLEICEGROBY,ENSTAFSTAMWORT,ENWARWE_x000D_
issue:Born before Parents Married_x000D_
.recs:Birth,Marriage,Death_x000D_
.imm?:no_x000D_
..Spo:THOMAS FERRERS</t>
        </r>
      </text>
    </comment>
    <comment ref="V1258" authorId="0" shapeId="0" xr:uid="{4ACD3411-0724-4E0D-8700-E0F0405387E2}">
      <text>
        <r>
          <rPr>
            <sz val="9"/>
            <color indexed="81"/>
            <rFont val="Tahoma"/>
            <family val="2"/>
          </rPr>
          <t>JOAN GREENE_x000D_
http://yeinfo.com/family/I09066801.html_x000D_
https://www.google.com/search?q=JOAN+GREENE+1370+1401+FREVILLE_x000D_
.born: 1370    -          Northamptonshire county England_x000D_
.died: 1401    -          Surrey county England, age:31y 0m 0d, _x000D_
.bapt: 1785GE_x000D_
.will: 2004MO_x000D_
.obit: 1890OH_x000D_
.bury: 1850IL _x000D_
.wpbt: 1826PA_x000D_
.anc#:double ancestor_x000D_
citiz:foreign_x000D_
#spos:1_x000D_
#srcs:1_x000D_
#comment:1_x000D_
#events:1_x000D_
#kids:1_x000D_
lived:ENNORTA,ENSURRE_x000D_
issue:_x000D_
.recs:Birth,Marriage,Death_x000D_
.imm?:no_x000D_
..Spo:BALDWIN FREVILLE</t>
        </r>
      </text>
    </comment>
    <comment ref="S1260" authorId="0" shapeId="0" xr:uid="{0C1C536D-25BA-43F2-BA5D-C229D1A5F2BD}">
      <text>
        <r>
          <rPr>
            <sz val="9"/>
            <color indexed="81"/>
            <rFont val="Tahoma"/>
            <family val="2"/>
          </rPr>
          <t>MABEL FERRERS_x000D_
http://yeinfo.com/family/I09066797.html_x000D_
https://www.google.com/search?q=MABEL+FERRERS+1448+1465+LONGFORD_x000D_
.born:?1448    -          Tamworth (Staffordshire) England_x000D_
.died: 1465    -1530     ?England, age:17y 0m 0d, _x000D_
.bapt: 1785GE_x000D_
.will: 2004MO_x000D_
.obit: 1890OH_x000D_
.bury: 1850IL _x000D_
.wpbt: 1826PA_x000D_
.anc#:double ancestor_x000D_
citiz:foreign_x000D_
#spos:1_x000D_
#srcs:1_x000D_
#comment:0_x000D_
#events:1_x000D_
#kids:1_x000D_
lived:ENSTAFSTAMWORT_x000D_
issue:_x000D_
.recs:Birth,Marriage,Death_x000D_
.imm?:no_x000D_
..Spo:RALPH LONGFORD</t>
        </r>
      </text>
    </comment>
    <comment ref="U1262" authorId="0" shapeId="0" xr:uid="{617CF9C8-13A3-4B10-B387-67FC34B3D9EC}">
      <text>
        <r>
          <rPr>
            <sz val="9"/>
            <color indexed="81"/>
            <rFont val="Tahoma"/>
            <family val="2"/>
          </rPr>
          <t>LEONARD HASTINGS_x000D_
http://yeinfo.com/family/I09066804.html_x000D_
https://www.google.com/search?q=LEONARD+HASTINGS+1396+1455+ALICE+PHILIPA_x000D_
.born: 1396    -          Cheshire county England_x000D_
.died: 14551020-          Market Bosworth (Leicestershire) England, age:59y 9m 19d, _x000D_
.bapt: 1785GE_x000D_
.will: 2004MO_x000D_
.obit: 1890OH_x000D_
.bury: 1850IL _x000D_
.wpbt: 1826PA_x000D_
.anc#:double ancestor_x000D_
citiz:foreign_x000D_
#spos:1_x000D_
#srcs:1_x000D_
#comment:2_x000D_
#events:1_x000D_
#kids:1_x000D_
lived:ENCHESH,ENLEICEMARKETB_x000D_
issue:_x000D_
.recs:Birth,Marriage,Death_x000D_
.imm?:no_x000D_
..Spo:ALICE PHILIPA CAMOYS</t>
        </r>
      </text>
    </comment>
    <comment ref="T1264" authorId="0" shapeId="0" xr:uid="{2C6E9242-26D1-4B0F-B76F-970C5E99D98E}">
      <text>
        <r>
          <rPr>
            <sz val="9"/>
            <color indexed="81"/>
            <rFont val="Tahoma"/>
            <family val="2"/>
          </rPr>
          <t>ANNE HASTINGS_x000D_
http://yeinfo.com/family/I09066805.html_x000D_
https://www.google.com/search?q=ANNE+HASTINGS+1427+1448+FERRERS_x000D_
.born: 1427    -          Leicestershire county England_x000D_
.died: 1448    -1513     ?England, age:21y 0m 0d, _x000D_
.bapt: 1785GE_x000D_
.will: 2004MO_x000D_
.obit: 1890OH_x000D_
.bury: 1850IL _x000D_
.wpbt: 1826PA_x000D_
.anc#:double ancestor_x000D_
citiz:foreign_x000D_
#spos:1_x000D_
#srcs:1_x000D_
#comment:0_x000D_
#events:1_x000D_
#kids:1_x000D_
lived:ENLEICE,ENSTAFS_x000D_
issue:_x000D_
.recs:Birth,Marriage,Death_x000D_
.imm?:no_x000D_
..Spo:THOMAS FERRERS</t>
        </r>
      </text>
    </comment>
    <comment ref="U1266" authorId="0" shapeId="0" xr:uid="{D392FB4F-8494-4C79-B1CB-4259FDEEE8C3}">
      <text>
        <r>
          <rPr>
            <sz val="9"/>
            <color indexed="81"/>
            <rFont val="Tahoma"/>
            <family val="2"/>
          </rPr>
          <t>ALICE PHILIPA CAMOYS_x000D_
http://yeinfo.com/family/I09066785.html_x000D_
https://www.google.com/search?q=ALICE+PHILIPA+CAMOYS+1400+1455+HASTINGS_x000D_
.born:?1400    -          Sussex county England_x000D_
.died: 14551020-          Market Bosworth (Leicestershire) England, age:55y 9m 19d, _x000D_
.bapt: 1785GE_x000D_
.will: 2004MO_x000D_
.obit: 1890OH_x000D_
.bury: 1850IL _x000D_
.wpbt: 1826PA_x000D_
.anc#:double ancestor_x000D_
citiz:foreign_x000D_
#spos:1_x000D_
#srcs:1_x000D_
#comment:2_x000D_
#events:1_x000D_
#kids:1_x000D_
lived:ENLEICEMARKETB,ENSUSSE_x000D_
issue:_x000D_
.recs:Birth,Marriage,Death_x000D_
.imm?:no_x000D_
..Spo:LEONARD HASTINGS</t>
        </r>
      </text>
    </comment>
    <comment ref="Q1268" authorId="0" shapeId="0" xr:uid="{87445F5B-C114-4B12-B2B9-89351F14D6F9}">
      <text>
        <r>
          <rPr>
            <sz val="9"/>
            <color indexed="81"/>
            <rFont val="Tahoma"/>
            <family val="2"/>
          </rPr>
          <t>ELIZABETH LONGFORD_x000D_
http://yeinfo.com/family/I09041431.html_x000D_
https://www.google.com/search?q=ELIZABETH+LONGFORD+1490+1548+TRAFFORD_x000D_
.born:?1490    -          Derbyshire county England_x000D_
.died: 15480127-          Lancashire county England, age:58y 0m 26d, _x000D_
.bapt: 1785GE_x000D_
.will: 2004MO_x000D_
.obit: 1890OH_x000D_
.bury: 1850IL _x000D_
.wpbt: 1826PA_x000D_
.anc#:double ancestor_x000D_
citiz:foreign_x000D_
#spos:1_x000D_
#srcs:1_x000D_
#comment:1_x000D_
#events:1_x000D_
#kids:1_x000D_
lived:?ENLANCS,ENDERBS_x000D_
issue:Spouse Age more than 30-Year Difference_x000D_
.recs:Birth,Marriage,Death_x000D_
.imm?:no_x000D_
..Spo:EDMUND TRAFFORD</t>
        </r>
      </text>
    </comment>
    <comment ref="V1270" authorId="0" shapeId="0" xr:uid="{48154B2D-DD14-4688-9D37-0F336CDAAEC0}">
      <text>
        <r>
          <rPr>
            <sz val="9"/>
            <color indexed="81"/>
            <rFont val="Tahoma"/>
            <family val="2"/>
          </rPr>
          <t>HENRY TRAFFORD_x000D_
http://yeinfo.com/family/I09066981.html_x000D_
https://www.google.com/search?q=HENRY+TRAFFORD+1225+1264+MARGARET_x000D_
.born:?1225    -          Lancashire county England_x000D_
.died:?1264    -1310      Lancashire county England, age:39y 0m 0d, _x000D_
.bapt: 1785GE_x000D_
.will: 2004MO_x000D_
.obit: 1890OH_x000D_
.bury: 1850IL _x000D_
.wpbt: 1826PA_x000D_
.anc#:  nontuple ancestor_x000D_
citiz:foreign_x000D_
#spos:1_x000D_
#srcs:1_x000D_
#comment:1_x000D_
#events:1_x000D_
#kids:1_x000D_
lived:ENLANCS_x000D_
issue:_x000D_
.recs:Birth,Marriage,Death_x000D_
.imm?:no_x000D_
..Spo:MARGARET TRAFFORD</t>
        </r>
      </text>
    </comment>
    <comment ref="U1272" authorId="0" shapeId="0" xr:uid="{879CD2DE-9F79-4736-8D07-EEDB27B24814}">
      <text>
        <r>
          <rPr>
            <sz val="9"/>
            <color indexed="81"/>
            <rFont val="Tahoma"/>
            <family val="2"/>
          </rPr>
          <t>JOHN TRAFFORD_x000D_
http://yeinfo.com/family/I09066434.html_x000D_
https://www.google.com/search?q=JOHN+TRAFFORD+1264+1340+ELIZABETH_x000D_
.born: 1264    -          Lancashire county England_x000D_
.died: 1340    -1350      Lancashire county England, age:76y 0m 0d, _x000D_
.bapt: 1785GE_x000D_
.will: 2004MO_x000D_
.obit: 1890OH_x000D_
.bury: 1850IL _x000D_
.wpbt: 1826PA_x000D_
.anc#:  nontuple ancestor_x000D_
citiz:foreign_x000D_
#spos:1_x000D_
#srcs:7_x000D_
#comment:1_x000D_
#events:1_x000D_
#kids:2_x000D_
lived:ENLANCS_x000D_
issue:_x000D_
.recs:Birth,Marriage,Death_x000D_
.imm?:no_x000D_
..Spo:ELIZABETH ASHTON</t>
        </r>
      </text>
    </comment>
    <comment ref="V1274" authorId="0" shapeId="0" xr:uid="{F74F9CB7-667B-4E1E-8157-F2D0C20CA623}">
      <text>
        <r>
          <rPr>
            <sz val="9"/>
            <color indexed="81"/>
            <rFont val="Tahoma"/>
            <family val="2"/>
          </rPr>
          <t>Mrs. MARGARET TRAFFORD_x000D_
http://yeinfo.com/family/I09066980.html_x000D_
https://www.google.com/search?q=MARGARET+TRAFFORD+1236+1334+TRAFFORD_x000D_
.born: 1236    -          Lancashire county England_x000D_
.died: 1334    -          Lancashire county England, age:98y 0m 0d, _x000D_
.bapt: 1785GE_x000D_
.will: 2004MO_x000D_
.obit: 1890OH_x000D_
.bury: 1850IL _x000D_
.wpbt: 1826PA_x000D_
.anc#:  nontuple ancestor_x000D_
citiz:foreign_x000D_
#spos:1_x000D_
#srcs:1_x000D_
#comment:0_x000D_
#events:1_x000D_
#kids:1_x000D_
lived:ENLANCS_x000D_
issue:_x000D_
.recs:Birth,Marriage,Death_x000D_
.imm?:no_x000D_
..Spo:HENRY TRAFFORD</t>
        </r>
      </text>
    </comment>
    <comment ref="T1276" authorId="0" shapeId="0" xr:uid="{5BF4AE8C-BE96-4D1A-8B5C-E4FCB208238C}">
      <text>
        <r>
          <rPr>
            <sz val="9"/>
            <color indexed="81"/>
            <rFont val="Tahoma"/>
            <family val="2"/>
          </rPr>
          <t>HENRY TRAFFORD_x000D_
http://yeinfo.com/family/I09066317.html_x000D_
https://www.google.com/search?q=HENRY+TRAFFORD+1292+1370+AGNES_x000D_
.born: 1292    -          Lancashire county England_x000D_
.died: 1370    -          Lancashire county England, age:78y 0m 0d, _x000D_
.bapt: 1785GE_x000D_
.will: 2004MO_x000D_
.obit: 1890OH_x000D_
.bury: 1850IL _x000D_
.wpbt: 1826PA_x000D_
.anc#:  nontuple ancestor_x000D_
citiz:foreign_x000D_
#spos:1_x000D_
#srcs:1_x000D_
#comment:0_x000D_
#events:1_x000D_
#kids:3_x000D_
lived:ENLANCS_x000D_
issue:_x000D_
.recs:Birth,Marriage,Death_x000D_
.imm?:no_x000D_
..Spo:AGNES DOTERINDE</t>
        </r>
      </text>
    </comment>
    <comment ref="U1278" authorId="0" shapeId="0" xr:uid="{DF8B4B84-7864-4168-97DE-5B813D1030DB}">
      <text>
        <r>
          <rPr>
            <sz val="9"/>
            <color indexed="81"/>
            <rFont val="Tahoma"/>
            <family val="2"/>
          </rPr>
          <t>ELIZABETH ASHTON_x000D_
http://yeinfo.com/family/I09066433.html_x000D_
https://www.google.com/search?q=ELIZABETH+ASHTON+1268+1340+TRAFFORD_x000D_
.born: 1268    -          Lancashire county England_x000D_
.died: 1340    -1350      Lancashire county England, age:72y 0m 0d, _x000D_
.bapt: 1785GE_x000D_
.will: 2004MO_x000D_
.obit: 1890OH_x000D_
.bury: 1850IL _x000D_
.wpbt: 1826PA_x000D_
.anc#:  nontuple ancestor_x000D_
citiz:foreign_x000D_
#spos:1_x000D_
#srcs:1_x000D_
#comment:1_x000D_
#events:1_x000D_
#kids:2_x000D_
lived:ENLANCS_x000D_
issue:_x000D_
.recs:Birth,Marriage,Death_x000D_
.imm?:no_x000D_
..Spo:JOHN TRAFFORD</t>
        </r>
      </text>
    </comment>
    <comment ref="S1280" authorId="0" shapeId="0" xr:uid="{83D7DD0E-6805-4055-81BE-6A8588CC3842}">
      <text>
        <r>
          <rPr>
            <sz val="9"/>
            <color indexed="81"/>
            <rFont val="Tahoma"/>
            <family val="2"/>
          </rPr>
          <t>HENRY TRAFFORD_x000D_
http://yeinfo.com/family/I09066982.html_x000D_
https://www.google.com/search?q=HENRY+TRAFFORD+1335+1386+MARGARET_x000D_
.born:?1335    -         ?Lancashire county England_x000D_
.died: 1386    -          Lancashire county England, age:51y 0m 0d, _x000D_
.bapt: 1785GE_x000D_
.will: 2004MO_x000D_
.obit: 1890OH_x000D_
.bury: 1850IL _x000D_
.wpbt: 1826PA_x000D_
.anc#:  sextuple ancestor_x000D_
citiz:foreign_x000D_
#spos:1_x000D_
#srcs:8_x000D_
#comment:0_x000D_
#events:1_x000D_
#kids:3_x000D_
lived:?ENLANCS,ENCHESH_x000D_
issue:Died after Age 100_x000D_
.recs:Birth,Marriage,Death_x000D_
.imm?:no_x000D_
..Spo:MARGARET INCE</t>
        </r>
      </text>
    </comment>
    <comment ref="U1282" authorId="0" shapeId="0" xr:uid="{12A89BBF-501D-4A06-9386-0E71F2468639}">
      <text>
        <r>
          <rPr>
            <sz val="9"/>
            <color indexed="81"/>
            <rFont val="Tahoma"/>
            <family val="2"/>
          </rPr>
          <t>RICHARD DOTERINDE_x000D_
http://yeinfo.com/family/I09066492.html_x000D_
https://www.google.com/search?q=RICHARD+DOTERINDE+1280+1345+{_?_}_x000D_
.born:?1280    -          Norfolk county England_x000D_
.died: 1345    -         ?England, age:65y 0m 0d, _x000D_
.bapt: 1785GE_x000D_
.will: 2004MO_x000D_
.obit: 1890OH_x000D_
.bury: 1850IL _x000D_
.wpbt: 1826PA_x000D_
.anc#:  nontuple ancestor_x000D_
citiz:foreign_x000D_
#spos:1_x000D_
#srcs:1_x000D_
#comment:0_x000D_
#events:1_x000D_
#kids:1_x000D_
lived:ENNORFO_x000D_
issue:_x000D_
.recs:Birth,Marriage,Death_x000D_
.imm?:no_x000D_
..Spo:{_?_} DOTERINDE</t>
        </r>
      </text>
    </comment>
    <comment ref="T1284" authorId="0" shapeId="0" xr:uid="{2E27EAEE-AD2F-4A58-8C79-2D05C2EECFDE}">
      <text>
        <r>
          <rPr>
            <sz val="9"/>
            <color indexed="81"/>
            <rFont val="Tahoma"/>
            <family val="2"/>
          </rPr>
          <t>AGNES DOTERINDE_x000D_
http://yeinfo.com/family/I09066318.html_x000D_
https://www.google.com/search?q=AGNES+DOTERINDE+1302+1360+TRAFFORD_x000D_
.born: 1302    -          Birch (Lancashire) England_x000D_
.died: 1360    -          Lancashire county England, age:58y 0m 0d, _x000D_
.bapt: 1785GE_x000D_
.will: 2004MO_x000D_
.obit: 1890OH_x000D_
.bury: 1850IL _x000D_
.wpbt: 1826PA_x000D_
.anc#:  nontuple ancestor_x000D_
citiz:foreign_x000D_
#spos:1_x000D_
#srcs:1_x000D_
#comment:0_x000D_
#events:1_x000D_
#kids:3_x000D_
lived:ENLANCSBIRCH_x000D_
issue:_x000D_
.recs:Birth,Marriage,Death_x000D_
.imm?:no_x000D_
..Spo:HENRY TRAFFORD</t>
        </r>
      </text>
    </comment>
    <comment ref="U1286" authorId="0" shapeId="0" xr:uid="{F36DB631-F2A5-4442-AC64-C8044A2921A5}">
      <text>
        <r>
          <rPr>
            <sz val="9"/>
            <color indexed="81"/>
            <rFont val="Tahoma"/>
            <family val="2"/>
          </rPr>
          <t>Mrs. {_?_} DOTERINDE_x000D_
http://yeinfo.com/family/I09066493.html_x000D_
https://www.google.com/search?q={_?_}+DOTERINDE+1280+1302+DOTERINDE_x000D_
.born:?1280    -         ?England_x000D_
.died: 1302    -1370     ?England, age:22y 0m 0d, _x000D_
.bapt: 1785GE_x000D_
.will: 2004MO_x000D_
.obit: 1890OH_x000D_
.bury: 1850IL _x000D_
.wpbt: 1826PA_x000D_
.anc#:  nontuple ancestor_x000D_
citiz:foreign_x000D_
#spos:1_x000D_
#srcs:1_x000D_
#comment:0_x000D_
#events:1_x000D_
#kids:1_x000D_
lived:?EN_x000D_
issue:_x000D_
.recs:Birth,Marriage,Death_x000D_
.imm?:no_x000D_
..Spo:RICHARD DOTERINDE</t>
        </r>
      </text>
    </comment>
    <comment ref="R1288" authorId="0" shapeId="0" xr:uid="{1F7B4D26-70F9-46F5-A253-644FD1B71A1A}">
      <text>
        <r>
          <rPr>
            <sz val="9"/>
            <color indexed="81"/>
            <rFont val="Tahoma"/>
            <family val="2"/>
          </rPr>
          <t>MARGERY TRAFFORD_x000D_
http://yeinfo.com/family/I09066838.html_x000D_
https://www.google.com/search?q=MARGERY+TRAFFORD+1462+1549+LONGFORD_x000D_
.born: 1462    -          Lancashire county England_x000D_
.died: 15490310-          Lancashire county England, age:87y 2m 9d, _x000D_
.bapt: 1785GE_x000D_
.will: 2004MO_x000D_
.obit: 1890OH_x000D_
.bury: 1850IL _x000D_
.wpbt: 1826PA_x000D_
.anc#:double ancestor_x000D_
citiz:foreign_x000D_
#spos:1_x000D_
#srcs:1_x000D_
#comment:0_x000D_
#events:1_x000D_
#kids:1_x000D_
lived:ENLANCS_x000D_
issue:Born after Parent Died,Born after Dad Age 60,Born after Mom Age 50_x000D_
.recs:Birth,Marriage,Death_x000D_
.imm?:no_x000D_
..Spo:NICHOLAS LONGFORD</t>
        </r>
      </text>
    </comment>
    <comment ref="V1290" authorId="0" shapeId="0" xr:uid="{A8088574-FC9A-4DBE-B37F-D1C36BA0C45E}">
      <text>
        <r>
          <rPr>
            <sz val="9"/>
            <color indexed="81"/>
            <rFont val="Tahoma"/>
            <family val="2"/>
          </rPr>
          <t>ALFREDUS INCE I_x000D_
http://yeinfo.com/family/I09066930.html_x000D_
https://www.google.com/search?q=ALFREDUS+INCE+1265+1290+ALICE\ALESIA_x000D_
.born:?1265    -          Ince (Lancashire) England_x000D_
.died:?1290    -1350      Wigan (Lancashire) England, age:25y 0m 0d, _x000D_
.bapt: 1785GE_x000D_
.will: 2004MO_x000D_
.obit: 1890OH_x000D_
.bury: 1850IL _x000D_
.wpbt: 1826PA_x000D_
.anc#:  sextuple ancestor_x000D_
citiz:foreign_x000D_
#spos:1_x000D_
#srcs:3_x000D_
#comment:1_x000D_
#events:1_x000D_
#kids:1_x000D_
lived:ENLANCSINCE,ENLANCSWIGAN_x000D_
issue:_x000D_
.recs:Birth,Marriage,Death_x000D_
.imm?:no_x000D_
..Spo:ALICE\ALESIA STANDISH</t>
        </r>
      </text>
    </comment>
    <comment ref="U1292" authorId="0" shapeId="0" xr:uid="{5A9B63DE-7CC4-4562-B736-C13DFA034559}">
      <text>
        <r>
          <rPr>
            <sz val="9"/>
            <color indexed="81"/>
            <rFont val="Tahoma"/>
            <family val="2"/>
          </rPr>
          <t>RICHARD INCE I_x000D_
http://yeinfo.com/family/I09066931.html_x000D_
https://www.google.com/search?q=RICHARD+INCE+1290+1333+ELIZABETH_x000D_
.born:?1290    -          Wigan (Lancashire) England_x000D_
.died: 1333    -1375      Wigan (Lancashire) England, age:43y 0m 0d, _x000D_
.bapt: 1785GE_x000D_
.will: 2004MO_x000D_
.obit: 1890OH_x000D_
.bury: 1850IL _x000D_
.wpbt: 1826PA_x000D_
.anc#:  sextuple ancestor_x000D_
citiz:foreign_x000D_
#spos:1_x000D_
#srcs:6_x000D_
#comment:0_x000D_
#events:1_x000D_
#kids:1_x000D_
lived:ENLANCSWIGAN_x000D_
issue:Died after Age 100_x000D_
.recs:Birth,Marriage,Death_x000D_
.imm?:no_x000D_
..Spo:ELIZABETH RADCLIFFE</t>
        </r>
      </text>
    </comment>
    <comment ref="V1294" authorId="0" shapeId="0" xr:uid="{F2A92E90-106B-4D6A-98C8-F5E01B858162}">
      <text>
        <r>
          <rPr>
            <sz val="9"/>
            <color indexed="81"/>
            <rFont val="Tahoma"/>
            <family val="2"/>
          </rPr>
          <t>ALICE\ALESIA STANDISH_x000D_
http://yeinfo.com/family/I09066976.html_x000D_
https://www.google.com/search?q=ALICE\ALESIA+STANDISH+1262+1290+INCE_x000D_
.born:?1262    -          Standish (Lancashire) England_x000D_
.died: 1290    -1350     ?Lancashire county England, age:28y 0m 0d, _x000D_
.bapt: 1785GE_x000D_
.will: 2004MO_x000D_
.obit: 1890OH_x000D_
.bury: 1850IL _x000D_
.wpbt: 1826PA_x000D_
.anc#:  sextuple ancestor_x000D_
citiz:foreign_x000D_
#spos:1_x000D_
#srcs:4_x000D_
#comment:0_x000D_
#events:1_x000D_
#kids:1_x000D_
lived:ENLANCSSTANDIS_x000D_
issue:_x000D_
.recs:Birth,Marriage,Death_x000D_
.imm?:no_x000D_
..Spo:ALFREDUS INCE</t>
        </r>
      </text>
    </comment>
    <comment ref="T1296" authorId="0" shapeId="0" xr:uid="{FD57AC86-D7EA-4334-AF0F-C2A4514F8819}">
      <text>
        <r>
          <rPr>
            <sz val="9"/>
            <color indexed="81"/>
            <rFont val="Tahoma"/>
            <family val="2"/>
          </rPr>
          <t>ROBERT INCE_x000D_
http://yeinfo.com/family/I09066933.html_x000D_
https://www.google.com/search?q=ROBERT+INCE+1304+1335+{_?_}_x000D_
.born: 1304    -          Lancashire county England_x000D_
.died: 1335    -1390     ?Lancashire county England, age:31y 0m 0d, _x000D_
.bapt: 1785GE_x000D_
.will: 2004MO_x000D_
.obit: 1890OH_x000D_
.bury: 1850IL _x000D_
.wpbt: 1826PA_x000D_
.anc#:  sextuple ancestor_x000D_
citiz:foreign_x000D_
#spos:1_x000D_
#srcs:6_x000D_
#comment:0_x000D_
#events:1_x000D_
#kids:1_x000D_
lived:ENLANCS_x000D_
issue:Born before Parents Married_x000D_
.recs:Birth,Marriage,Death_x000D_
.imm?:no_x000D_
..Spo:{_?_} INCE</t>
        </r>
      </text>
    </comment>
    <comment ref="X1298" authorId="0" shapeId="0" xr:uid="{0F2E6345-FA53-45BB-8132-95CEF32EADE2}">
      <text>
        <r>
          <rPr>
            <sz val="9"/>
            <color indexed="81"/>
            <rFont val="Tahoma"/>
            <family val="2"/>
          </rPr>
          <t>ROBERT RADCLIFFE_x000D_
http://yeinfo.com/family/I09066959.html_x000D_
https://www.google.com/search?q=ROBERT+RADCLIFFE+1208+1239+AMBIL\AMABIL_x000D_
.born:?1208    -          Lancashire county England_x000D_
.died: 1239    -1290     ?Lancashire county England, age:31y 0m 0d, _x000D_
.bapt: 1785GE_x000D_
.will: 2004MO_x000D_
.obit: 1890OH_x000D_
.bury: 1850IL _x000D_
.wpbt: 1826PA_x000D_
.anc#: decuple ancestor_x000D_
citiz:foreign_x000D_
#spos:1_x000D_
#srcs:3_x000D_
#comment:1_x000D_
#events:1_x000D_
#kids:1_x000D_
lived:ENLANCS_x000D_
issue:Died after Age 100_x000D_
.recs:Birth,Marriage,Death_x000D_
.imm?:no_x000D_
..Spo:AMBIL\AMABIL TRAFFORD</t>
        </r>
      </text>
    </comment>
    <comment ref="W1300" authorId="0" shapeId="0" xr:uid="{3C7E5A8A-7BB4-4B98-BCEE-6A5412CF50DE}">
      <text>
        <r>
          <rPr>
            <sz val="9"/>
            <color indexed="81"/>
            <rFont val="Tahoma"/>
            <family val="2"/>
          </rPr>
          <t>RICHARD RADCLIFFE_x000D_
http://yeinfo.com/family/I09066960.html_x000D_
https://www.google.com/search?q=RICHARD+RADCLIFFE+1224+1326+JOAN\MARGARET_x000D_
.born: 1224    -          Lancashire county England_x000D_
.died: 1326    -          Lancashire county England, age:102y 0m 0d, _x000D_
.bapt: 1785GE_x000D_
.will: 2004MO_x000D_
.obit: 1890OH_x000D_
.bury: 1850IL _x000D_
.wpbt: 1826PA_x000D_
.anc#: decuple ancestor_x000D_
citiz:foreign_x000D_
#spos:1_x000D_
#srcs:3_x000D_
#comment:0_x000D_
#events:1_x000D_
#kids:2_x000D_
lived:ENLANCS_x000D_
issue:Married after Age 60_x000D_
.recs:Birth,Marriage,Death_x000D_
.imm?:no_x000D_
..Spo:JOAN\MARGARET BOTELER</t>
        </r>
      </text>
    </comment>
    <comment ref="X1302" authorId="0" shapeId="0" xr:uid="{E1654CB0-B713-45B0-9823-441DA58450D0}">
      <text>
        <r>
          <rPr>
            <sz val="9"/>
            <color indexed="81"/>
            <rFont val="Tahoma"/>
            <family val="2"/>
          </rPr>
          <t>AMBIL\AMABIL TRAFFORD_x000D_
http://yeinfo.com/family/I09066988.html_x000D_
https://www.google.com/search?q=AMBIL\AMABIL+TRAFFORD+1222+1239+RADCLIFFE_x000D_
.born:?1222    -          Lancashire county England_x000D_
.died: 1239    -1304     ?Lancashire county England, age:17y 0m 0d, _x000D_
.bapt: 1785GE_x000D_
.will: 2004MO_x000D_
.obit: 1890OH_x000D_
.bury: 1850IL _x000D_
.wpbt: 1826PA_x000D_
.anc#: decuple ancestor_x000D_
citiz:foreign_x000D_
#spos:1_x000D_
#srcs:3_x000D_
#comment:1_x000D_
#events:1_x000D_
#kids:1_x000D_
lived:ENLANCS_x000D_
issue:Died after Age 100_x000D_
.recs:Birth,Marriage,Death_x000D_
.imm?:no_x000D_
..Spo:ROBERT RADCLIFFE</t>
        </r>
      </text>
    </comment>
    <comment ref="V1304" authorId="0" shapeId="0" xr:uid="{7D405744-48F9-462D-88FC-546172FA314B}">
      <text>
        <r>
          <rPr>
            <sz val="9"/>
            <color indexed="81"/>
            <rFont val="Tahoma"/>
            <family val="2"/>
          </rPr>
          <t>WILLIAM RADCLIFFE_x000D_
http://yeinfo.com/family/I09066961.html_x000D_
https://www.google.com/search?q=WILLIAM+RADCLIFFE+1267+1333+MARGARET_x000D_
.born: 1267    -          Lancashire county England_x000D_
.died: 1333    -         ?Lancashire county England, age:66y 0m 0d, _x000D_
.bapt: 1785GE_x000D_
.will: 2004MO_x000D_
.obit: 1890OH_x000D_
.bury: 1850IL _x000D_
.wpbt: 1826PA_x000D_
.anc#:  octuple ancestor_x000D_
citiz:foreign_x000D_
#spos:1_x000D_
#srcs:4_x000D_
#comment:0_x000D_
#events:1_x000D_
#kids:2_x000D_
lived:ENLANCS_x000D_
issue:_x000D_
.recs:Birth,Marriage,Death_x000D_
.imm?:no_x000D_
..Spo:MARGARET PEASFURLONG</t>
        </r>
      </text>
    </comment>
    <comment ref="X1306" authorId="0" shapeId="0" xr:uid="{9E93D0AC-57C1-4215-868D-006A0A892536}">
      <text>
        <r>
          <rPr>
            <sz val="9"/>
            <color indexed="81"/>
            <rFont val="Tahoma"/>
            <family val="2"/>
          </rPr>
          <t>HENRY\WILLIAM\ROBERT BOTELER_x000D_
http://yeinfo.com/family/I09066877.html_x000D_
https://www.google.com/search?q=HENRY\WILLIAM\ROBERT+BOTELER+1230+1247+ISABELLA_x000D_
.born:?1230    -          Warrington (Lancashire) England_x000D_
.died: 1247    -1280     ?Lancashire county England, age:17y 0m 0d, _x000D_
.bapt: 1785GE_x000D_
.will: 2004MO_x000D_
.obit: 1890OH_x000D_
.bury: 1850IL _x000D_
.wpbt: 1826PA_x000D_
.anc#: decuple ancestor_x000D_
citiz:foreign_x000D_
#spos:1_x000D_
#srcs:1_x000D_
#comment:1_x000D_
#events:2_x000D_
#kids:1_x000D_
lived:ENLANCSWARRING_x000D_
issue:_x000D_
.recs:Birth,Marriage,Death_x000D_
.imm?:no_x000D_
..Spo:ISABELLA BOTELER</t>
        </r>
      </text>
    </comment>
    <comment ref="W1308" authorId="0" shapeId="0" xr:uid="{A2FCCEA4-89E2-4B68-9B2A-07DF78C1ECA6}">
      <text>
        <r>
          <rPr>
            <sz val="9"/>
            <color indexed="81"/>
            <rFont val="Tahoma"/>
            <family val="2"/>
          </rPr>
          <t>JOAN\MARGARET BOTELER_x000D_
http://yeinfo.com/family/I09066878.html_x000D_
https://www.google.com/search?q=JOAN\MARGARET+BOTELER+1232+1267+RADCLIFFE_x000D_
.born: 1232    -          Warrington (Lancashire) England_x000D_
.died: 1267    -1332     ?Lancashire county England, age:35y 0m 0d, _x000D_
.bapt: 1785GE_x000D_
.will: 2004MO_x000D_
.obit: 1890OH_x000D_
.bury: 1850IL _x000D_
.wpbt: 1826PA_x000D_
.anc#: decuple ancestor_x000D_
citiz:foreign_x000D_
#spos:1_x000D_
#srcs:3_x000D_
#comment:0_x000D_
#events:1_x000D_
#kids:2_x000D_
lived:ENLANCSWARRING_x000D_
issue:Born before Parents Married_x000D_
.recs:Birth,Marriage,Death_x000D_
.imm?:no_x000D_
..Spo:RICHARD RADCLIFFE</t>
        </r>
      </text>
    </comment>
    <comment ref="X1310" authorId="0" shapeId="0" xr:uid="{FAFE5AF6-B042-41E0-9D37-AC540C73FB99}">
      <text>
        <r>
          <rPr>
            <sz val="9"/>
            <color indexed="81"/>
            <rFont val="Tahoma"/>
            <family val="2"/>
          </rPr>
          <t>Mrs. ISABELLA BOTELER_x000D_
http://yeinfo.com/family/I09066876.html_x000D_
https://www.google.com/search?q=ISABELLA+BOTELER+1227+1247+BOTELER_x000D_
.born:?1227    -          Merton (Lancashire) England_x000D_
.died: 1247    -1312     ?Lancashire county England, age:20y 0m 0d, _x000D_
.bapt: 1785GE_x000D_
.will: 2004MO_x000D_
.obit: 1890OH_x000D_
.bury: 1850IL _x000D_
.wpbt: 1826PA_x000D_
.anc#: decuple ancestor_x000D_
citiz:foreign_x000D_
#spos:1_x000D_
#srcs:2_x000D_
#comment:1_x000D_
#events:1_x000D_
#kids:1_x000D_
lived:ENLANCSMERTON_x000D_
issue:_x000D_
.recs:Birth,Marriage,Death_x000D_
.imm?:no_x000D_
..Spo:HENRY\WILLIAM\ROBERT BOTELER</t>
        </r>
      </text>
    </comment>
    <comment ref="U1312" authorId="0" shapeId="0" xr:uid="{DC966D00-77EF-4AC3-842D-1C61EC3ADA5F}">
      <text>
        <r>
          <rPr>
            <sz val="9"/>
            <color indexed="81"/>
            <rFont val="Tahoma"/>
            <family val="2"/>
          </rPr>
          <t>ELIZABETH RADCLIFFE_x000D_
http://yeinfo.com/family/I09066963.html_x000D_
https://www.google.com/search?q=ELIZABETH+RADCLIFFE+1290+1310+INCE_x000D_
.born: 1290    -          Lancashire county England_x000D_
.died: 1310    -1375     ?Lancashire county England, age:20y 0m 0d, _x000D_
.bapt: 1785GE_x000D_
.will: 2004MO_x000D_
.obit: 1890OH_x000D_
.bury: 1850IL _x000D_
.wpbt: 1826PA_x000D_
.anc#:  sextuple ancestor_x000D_
citiz:foreign_x000D_
#spos:1_x000D_
#srcs:6_x000D_
#comment:0_x000D_
#events:1_x000D_
#kids:1_x000D_
lived:ENLANCS_x000D_
issue:Died after Age 100_x000D_
.recs:Birth,Marriage,Death_x000D_
.imm?:no_x000D_
..Spo:RICHARD INCE</t>
        </r>
      </text>
    </comment>
    <comment ref="W1314" authorId="0" shapeId="0" xr:uid="{9AB0A9F6-3DFB-46C3-8FA1-C49A699C1D5C}">
      <text>
        <r>
          <rPr>
            <sz val="9"/>
            <color indexed="81"/>
            <rFont val="Tahoma"/>
            <family val="2"/>
          </rPr>
          <t>ADAM PEASFURLONG_x000D_
http://yeinfo.com/family/I09066956.html_x000D_
https://www.google.com/search?q=ADAM+PEASFURLONG+1242+1274+ELIZABETH_x000D_
.born:?1242    -          Wigan (Lancashire) England_x000D_
.died: 1274    -1339     ?Lancashire county England, age:32y 0m 0d, _x000D_
.bapt: 1785GE_x000D_
.will: 2004MO_x000D_
.obit: 1890OH_x000D_
.bury: 1850IL _x000D_
.wpbt: 1826PA_x000D_
.anc#:  octuple ancestor_x000D_
citiz:foreign_x000D_
#spos:1_x000D_
#srcs:3_x000D_
#comment:0_x000D_
#events:1_x000D_
#kids:1_x000D_
lived:ENLANCSWIGAN_x000D_
issue:_x000D_
.recs:Birth,Marriage,Death_x000D_
.imm?:no_x000D_
..Spo:ELIZABETH CULCHETH</t>
        </r>
      </text>
    </comment>
    <comment ref="V1316" authorId="0" shapeId="0" xr:uid="{273860ED-79A2-4A28-ABAC-1DEEEA102602}">
      <text>
        <r>
          <rPr>
            <sz val="9"/>
            <color indexed="81"/>
            <rFont val="Tahoma"/>
            <family val="2"/>
          </rPr>
          <t>MARGARET PEASFURLONG_x000D_
http://yeinfo.com/family/I09066957.html_x000D_
https://www.google.com/search?q=MARGARET+PEASFURLONG+1244+1290+RADCLIFFE_x000D_
.born: 1244    -          Warrington (Lancashire) England_x000D_
.died: 1290    -1355     ?Lancashire county England, age:46y 0m 0d, _x000D_
.bapt: 1785GE_x000D_
.will: 2004MO_x000D_
.obit: 1890OH_x000D_
.bury: 1850IL _x000D_
.wpbt: 1826PA_x000D_
.anc#:  octuple ancestor_x000D_
citiz:foreign_x000D_
#spos:1_x000D_
#srcs:4_x000D_
#comment:0_x000D_
#events:1_x000D_
#kids:2_x000D_
lived:ENLANCSWARRING_x000D_
issue:Born before Parents Married_x000D_
.recs:Birth,Marriage,Death_x000D_
.imm?:no_x000D_
..Spo:WILLIAM RADCLIFFE</t>
        </r>
      </text>
    </comment>
    <comment ref="X1318" authorId="0" shapeId="0" xr:uid="{89FB263E-03C1-4C69-AC5A-0946983C9887}">
      <text>
        <r>
          <rPr>
            <sz val="9"/>
            <color indexed="81"/>
            <rFont val="Tahoma"/>
            <family val="2"/>
          </rPr>
          <t>GILBERT CULCHETH_x000D_
http://yeinfo.com/family/I09066895.html_x000D_
https://www.google.com/search?q=GILBERT+CULCHETH+1205+1246+CECILIA_x000D_
.born:?1205    -          Culcheth (Lancashire) England_x000D_
.died: 1246    -         ?Lancashire county England, age:41y 0m 0d, _x000D_
.bapt: 1785GE_x000D_
.will: 2004MO_x000D_
.obit: 1890OH_x000D_
.bury: 1850IL _x000D_
.wpbt: 1826PA_x000D_
.anc#:  octuple ancestor_x000D_
citiz:foreign_x000D_
#spos:1_x000D_
#srcs:3_x000D_
#comment:1_x000D_
#events:1_x000D_
#kids:1_x000D_
lived:ENLANCSCULCHET_x000D_
issue:Died after Age 100_x000D_
.recs:Birth,Marriage,Death_x000D_
.imm?:no_x000D_
..Spo:CECILIA LATHOM</t>
        </r>
      </text>
    </comment>
    <comment ref="W1320" authorId="0" shapeId="0" xr:uid="{EC6E44A7-2982-45E5-8E3A-8C0D7DD7B962}">
      <text>
        <r>
          <rPr>
            <sz val="9"/>
            <color indexed="81"/>
            <rFont val="Tahoma"/>
            <family val="2"/>
          </rPr>
          <t>ELIZABETH CULCHETH_x000D_
http://yeinfo.com/family/I09066896.html_x000D_
https://www.google.com/search?q=ELIZABETH+CULCHETH+1215+1274+PEASFURLONG_x000D_
.born: 1215    -          Culcheth (Lancashire) England_x000D_
.died: 1274    -1339     ?Lancashire county England, age:59y 0m 0d, _x000D_
.bapt: 1785GE_x000D_
.will: 2004MO_x000D_
.obit: 1890OH_x000D_
.bury: 1850IL _x000D_
.wpbt: 1826PA_x000D_
.anc#:  octuple ancestor_x000D_
citiz:foreign_x000D_
#spos:1_x000D_
#srcs:3_x000D_
#comment:0_x000D_
#events:1_x000D_
#kids:1_x000D_
lived:ENLANCSCULCHET_x000D_
issue:_x000D_
.recs:Birth,Marriage,Death_x000D_
.imm?:no_x000D_
..Spo:ADAM PEASFURLONG</t>
        </r>
      </text>
    </comment>
    <comment ref="X1322" authorId="0" shapeId="0" xr:uid="{212ADC40-F0CF-47AD-A129-B7588EB5D721}">
      <text>
        <r>
          <rPr>
            <sz val="9"/>
            <color indexed="81"/>
            <rFont val="Tahoma"/>
            <family val="2"/>
          </rPr>
          <t>CECILIA LATHOM_x000D_
http://yeinfo.com/family/I09066935.html_x000D_
https://www.google.com/search?q=CECILIA+LATHOM+1222+1245+CULCHETH_x000D_
.born:?1222    -          Latham (Lancashire) England_x000D_
.died: 1245    -1310     ?Lancashire county England, age:23y 0m 0d, _x000D_
.bapt: 1785GE_x000D_
.will: 2004MO_x000D_
.obit: 1890OH_x000D_
.bury: 1850IL _x000D_
.wpbt: 1826PA_x000D_
.anc#:  octuple ancestor_x000D_
citiz:foreign_x000D_
#spos:1_x000D_
#srcs:3_x000D_
#comment:1_x000D_
#events:1_x000D_
#kids:1_x000D_
lived:ENLANCSLATHAM_x000D_
issue:Died after Age 100_x000D_
.recs:Birth,Marriage,Death_x000D_
.imm?:no_x000D_
..Spo:GILBERT CULCHETH</t>
        </r>
      </text>
    </comment>
    <comment ref="S1324" authorId="0" shapeId="0" xr:uid="{B0ACCE6D-1633-4E31-8322-919B5C9F3E5C}">
      <text>
        <r>
          <rPr>
            <sz val="9"/>
            <color indexed="81"/>
            <rFont val="Tahoma"/>
            <family val="2"/>
          </rPr>
          <t>MARGARET INCE_x000D_
http://yeinfo.com/family/I09066934.html_x000D_
https://www.google.com/search?q=MARGARET+INCE+1330+1417+TRAFFORD_x000D_
.born:?1330    -          Lancashire county England_x000D_
.died:?141701  -         ?Lancashire county England, age:87y 0m 0d, _x000D_
.bapt: 1785GE_x000D_
.will: 2004MO_x000D_
.obit: 1890OH_x000D_
.bury: 1850IL _x000D_
.wpbt: 1826PA_x000D_
.anc#:  sextuple ancestor_x000D_
citiz:foreign_x000D_
#spos:1_x000D_
#srcs:8_x000D_
#comment:0_x000D_
#events:1_x000D_
#kids:3_x000D_
lived:ENCHESH,ENLANCS_x000D_
issue:_x000D_
.recs:Birth,Marriage,Death_x000D_
.imm?:no_x000D_
..Spo:HENRY TRAFFORD</t>
        </r>
      </text>
    </comment>
    <comment ref="T1326" authorId="0" shapeId="0" xr:uid="{96A4885D-13E9-4C3B-99B6-D325E4EE34AC}">
      <text>
        <r>
          <rPr>
            <sz val="9"/>
            <color indexed="81"/>
            <rFont val="Tahoma"/>
            <family val="2"/>
          </rPr>
          <t>Mrs. {_?_} INCE_x000D_
http://yeinfo.com/family/I09066932.html_x000D_
https://www.google.com/search?q={_?_}+INCE+1310+1335+INCE_x000D_
.born:?1310    -         ?_x000D_
.died: 1335    -1390     ?Lancashire county England, age:25y 0m 0d, _x000D_
.bapt: 1785GE_x000D_
.will: 2004MO_x000D_
.obit: 1890OH_x000D_
.bury: 1850IL _x000D_
.wpbt: 1826PA_x000D_
.anc#:  sextuple ancestor_x000D_
citiz:foreign_x000D_
#spos:1_x000D_
#srcs:0_x000D_
#comment:0_x000D_
#events:1_x000D_
#kids:1_x000D_
lived:?ENLANCS_x000D_
issue:_x000D_
.recs:Birth,Marriage,Death_x000D_
.imm?:no_x000D_
..Spo:ROBERT INCE</t>
        </r>
      </text>
    </comment>
    <comment ref="M1328" authorId="0" shapeId="0" xr:uid="{F602801F-0EDC-47AA-AF5E-2FE48770478C}">
      <text>
        <r>
          <rPr>
            <sz val="9"/>
            <color indexed="81"/>
            <rFont val="Tahoma"/>
            <family val="2"/>
          </rPr>
          <t>ANNE BARLOW_x000D_
http://yeinfo.com/family/I09002589.html_x000D_
https://www.google.com/search?q=ANNE+BARLOW+1631+1663+DRAKE_x000D_
.born:c1631    -          England_x000D_
.died: 1663    -1721      Windsor (Hartford) Connecticut, age:32y 0m 0d, _x000D_
.bapt: 1785GE_x000D_
.will: 2004MO_x000D_
.obit: 1890OH_x000D_
.bury: 1850IL _x000D_
.wpbt: 1826PA_x000D_
.anc#:double ancestor_x000D_
citiz:immigrant_x000D_
#spos:1_x000D_
#srcs:1_x000D_
#comment:0_x000D_
#events:1_x000D_
#kids:1_x000D_
lived:CTFAIRD,CTHARTFWINDSOR,EN_x000D_
issue:_x000D_
.recs:Birth,Marriage,Death_x000D_
.imm?:immigrant_x000D_
..Spo:SAMUEL DRAKE</t>
        </r>
      </text>
    </comment>
    <comment ref="N1330" authorId="0" shapeId="0" xr:uid="{9E44E020-2FCF-4451-91BE-C23A58A830CE}">
      <text>
        <r>
          <rPr>
            <sz val="9"/>
            <color indexed="81"/>
            <rFont val="Tahoma"/>
            <family val="2"/>
          </rPr>
          <t>ANN WARD_x000D_
http://yeinfo.com/family/I09005179.html_x000D_
https://www.google.com/search?q=ANN+WARD+1604+1685+BARLOW_x000D_
.born:c1604    -          Lancashire county England_x000D_
.died: 16851225-          Fairfield (Fairfield) Connecticut, age:81y 11m 24d, _x000D_
.bapt: 1785GE_x000D_
.will: 2004MO_x000D_
.obit: 1890OH_x000D_
.bury: 1850IL _x000D_
.wpbt: 1826PA_x000D_
.anc#:double ancestor_x000D_
citiz:immigrant_x000D_
#spos:1_x000D_
#srcs:1_x000D_
#comment:0_x000D_
#events:1_x000D_
#kids:1_x000D_
lived:CTFAIRDFAIRFIE,ENLANCS_x000D_
issue:_x000D_
.recs:Birth,Marriage,Death_x000D_
.imm?:immigrant_x000D_
..Spo:JOHN BARLOW</t>
        </r>
      </text>
    </comment>
    <comment ref="K1332" authorId="0" shapeId="0" xr:uid="{D554E127-8CB4-4A2D-9A53-6E5C1A6C7AA4}">
      <text>
        <r>
          <rPr>
            <sz val="9"/>
            <color indexed="81"/>
            <rFont val="Tahoma"/>
            <family val="2"/>
          </rPr>
          <t>MARY DRAKE_x000D_
http://yeinfo.com/family/I09000647.html_x000D_
https://www.google.com/search?q=MARY+DRAKE+1691+1757+FOWLER_x000D_
.born: 16911111-          Eastchester (Westchester) New York_x000D_
.died: 17570126-          Eastchester (Westchester) New York, age:65y 2m 15d, _x000D_
.bapt: 1785GE_x000D_
.will: 2004MO_x000D_
.obit: 1890OH_x000D_
.bury: 1850IL _x000D_
.wpbt: 1826PA_x000D_
.anc#:double ancestor_x000D_
citiz:US born_x000D_
#spos:1_x000D_
#srcs:1_x000D_
#comment:0_x000D_
#events:1_x000D_
#kids:1_x000D_
lived:NYWESTCEASTCHE_x000D_
issue:_x000D_
.recs:Birth,Marriage,Death_x000D_
.imm?:no_x000D_
..Spo:WILLIAM FOWLER</t>
        </r>
      </text>
    </comment>
    <comment ref="N1334" authorId="0" shapeId="0" xr:uid="{76289145-4272-4C4F-A266-A97F6A37D641}">
      <text>
        <r>
          <rPr>
            <sz val="9"/>
            <color indexed="81"/>
            <rFont val="Tahoma"/>
            <family val="2"/>
          </rPr>
          <t>THOMAS SHUTE_x000D_
http://yeinfo.com/family/I09005180.html_x000D_
https://www.google.com/search?q=THOMAS+SHUTE+1613+1671+SARAH_x000D_
.born:c1613    -          England_x000D_
.died: 16711031-          Eastchester (Westchester) New York, age:58y 9m 30d, _x000D_
.bapt: 1785GE_x000D_
.will: 2004MO_x000D_
.obit: 1890OH_x000D_
.bury: 1850IL _x000D_
.wpbt: 1826PA_x000D_
.anc#:double ancestor_x000D_
citiz:immigrant_x000D_
#spos:1_x000D_
#srcs:1_x000D_
#comment:0_x000D_
#events:1_x000D_
#kids:1_x000D_
lived:EN,NYWESTCEASTCHE_x000D_
issue:_x000D_
.recs:Birth,Marriage,Death_x000D_
.imm?:immigrant_x000D_
..Spo:SARAH MEADOWS</t>
        </r>
      </text>
    </comment>
    <comment ref="M1336" authorId="0" shapeId="0" xr:uid="{3A41F0FF-ABC5-470A-B761-B3FB764E6820}">
      <text>
        <r>
          <rPr>
            <sz val="9"/>
            <color indexed="81"/>
            <rFont val="Tahoma"/>
            <family val="2"/>
          </rPr>
          <t>RICHARD SHUTE_x000D_
http://yeinfo.com/family/I09002590.html_x000D_
https://www.google.com/search?q=RICHARD+SHUTE+1635+1675+SARAH_x000D_
.born:c1635    -          Eastchester (Westchester) New York_x000D_
.died:c1675    -          Eastchester (Westchester) New York, age:40y 0m 0d, _x000D_
.bapt: 1785GE_x000D_
.will: 2004MO_x000D_
.obit: 1890OH_x000D_
.bury: 1850IL _x000D_
.wpbt: 1826PA_x000D_
.anc#:double ancestor_x000D_
citiz:US born_x000D_
#spos:1_x000D_
#srcs:1_x000D_
#comment:0_x000D_
#events:1_x000D_
#kids:1_x000D_
lived:CTLITCHNEW MIL,NYWESTCEASTCHE_x000D_
issue:Born before Parents Married_x000D_
.recs:Birth,Marriage,Death_x000D_
.imm?:no_x000D_
..Spo:SARAH SANFORD</t>
        </r>
      </text>
    </comment>
    <comment ref="N1338" authorId="0" shapeId="0" xr:uid="{867C05F7-C131-4BBE-9A09-295B48436566}">
      <text>
        <r>
          <rPr>
            <sz val="9"/>
            <color indexed="81"/>
            <rFont val="Tahoma"/>
            <family val="2"/>
          </rPr>
          <t>SARAH MEADOWS_x000D_
http://yeinfo.com/family/I09005181.html_x000D_
https://www.google.com/search?q=SARAH+MEADOWS+1615+1635+SHUTE_x000D_
.born:c1615    -         ?England_x000D_
.died: 1635    -1705     ?Westchester county New York, age:20y 0m 0d, _x000D_
.bapt: 1785GE_x000D_
.will: 2004MO_x000D_
.obit: 1890OH_x000D_
.bury: 1850IL _x000D_
.wpbt: 1826PA_x000D_
.anc#:double ancestor_x000D_
citiz:immigrant_x000D_
#spos:1_x000D_
#srcs:2_x000D_
#comment:0_x000D_
#events:1_x000D_
#kids:1_x000D_
lived:?EN,NYWESTCEASTCHE_x000D_
issue:Died before Birth_x000D_
.recs:Birth,Marriage,Death_x000D_
.imm?:immigrant_x000D_
..Spo:THOMAS SHUTE</t>
        </r>
      </text>
    </comment>
    <comment ref="L1340" authorId="0" shapeId="0" xr:uid="{0C24DFF3-8200-4AC1-B3ED-AE2E4183968E}">
      <text>
        <r>
          <rPr>
            <sz val="9"/>
            <color indexed="81"/>
            <rFont val="Tahoma"/>
            <family val="2"/>
          </rPr>
          <t>MARY SARAH SHUTE_x000D_
http://yeinfo.com/family/I09001295.html_x000D_
https://www.google.com/search?q=MARY+SARAH+SHUTE+1667+1731+DRAKE_x000D_
.born: 16670903-          Eastchester (Westchester) New York_x000D_
.died: 17310316-          Eastchester (Westchester) New York, age:63y 6m 13d, _x000D_
.bapt: 1785GE_x000D_
.will: 2004MO_x000D_
.obit: 1890OH_x000D_
.bury: 1850IL _x000D_
.wpbt: 1826PA_x000D_
.anc#:double ancestor_x000D_
citiz:US born_x000D_
#spos:1_x000D_
#srcs:1_x000D_
#comment:0_x000D_
#events:1_x000D_
#kids:1_x000D_
lived:NYWESTCEASTCHE_x000D_
issue:_x000D_
.recs:Birth,Marriage,Death_x000D_
.imm?:no_x000D_
..Spo:JOSEPH DRAKE</t>
        </r>
      </text>
    </comment>
    <comment ref="Q1342" authorId="0" shapeId="0" xr:uid="{DDF716CF-288F-45C8-8481-A31CCC5D4B5A}">
      <text>
        <r>
          <rPr>
            <sz val="9"/>
            <color indexed="81"/>
            <rFont val="Tahoma"/>
            <family val="2"/>
          </rPr>
          <t>RICHARD SANFORD_x000D_
http://yeinfo.com/family/I09041456.html_x000D_
https://www.google.com/search?q=RICHARD+SANFORD+1533+1591+ELIZABETH_x000D_
.born: 1533    -          Stansted Mountfichet (Essex) England_x000D_
.died: 15911115-          Stansted Mountfichet (Essex) England, age:58y 10m 14d, _x000D_
.bapt: 1785GE_x000D_
.will: 2004MO_x000D_
.obit: 1890OH_x000D_
.bury: 1850IL _x000D_
.wpbt: 1826PA_x000D_
.anc#:double ancestor_x000D_
citiz:foreign_x000D_
#spos:1_x000D_
#srcs:1_x000D_
#comment:0_x000D_
#events:1_x000D_
#kids:1_x000D_
lived:ENESSEXSTANMNT,ENHERTFMUCH HA_x000D_
issue:_x000D_
.recs:Birth,Marriage,Death_x000D_
.imm?:no_x000D_
..Spo:ELIZABETH COGGESHALL</t>
        </r>
      </text>
    </comment>
    <comment ref="P1344" authorId="0" shapeId="0" xr:uid="{6F7CB52B-067B-4AFC-989E-515E5BB4F106}">
      <text>
        <r>
          <rPr>
            <sz val="9"/>
            <color indexed="81"/>
            <rFont val="Tahoma"/>
            <family val="2"/>
          </rPr>
          <t>THOMAS SANFORD_x000D_
http://yeinfo.com/family/I09020728.html_x000D_
https://www.google.com/search?q=THOMAS+SANFORD+1558+1597+MARY+MELLET_x000D_
.born: 1558    -          Stansted Mountfichet (Essex) England_x000D_
.died: 159704  -          Much Hadham (Hertfordshire) England, age:39y 3m 0d, _x000D_
.bapt: 1785GE_x000D_
.will: 2004MO_x000D_
.obit: 1890OH_x000D_
.bury: 1850IL _x000D_
.wpbt: 1826PA_x000D_
.anc#:double ancestor_x000D_
citiz:foreign_x000D_
#spos:1_x000D_
#srcs:1_x000D_
#comment:0_x000D_
#events:1_x000D_
#kids:1_x000D_
lived:ENESSEXSTANMNT,ENHERTFMUCH HA_x000D_
issue:Born before Parents Married,Died after Age 100_x000D_
.recs:Birth,Marriage,Death_x000D_
.imm?:no_x000D_
..Spo:MARY MELLET LEWES</t>
        </r>
      </text>
    </comment>
    <comment ref="V1346" authorId="0" shapeId="0" xr:uid="{1747F9EE-8382-41A9-9CD0-CDD79A6683AE}">
      <text>
        <r>
          <rPr>
            <sz val="9"/>
            <color indexed="81"/>
            <rFont val="Tahoma"/>
            <family val="2"/>
          </rPr>
          <t>JOHN COGGESHALL_x000D_
http://yeinfo.com/family/I09066157.html_x000D_
https://www.google.com/search?q=JOHN+COGGESHALL+1380+1400+{_?_}_x000D_
.born:?1380    -         ?England_x000D_
.died: 1400    -1470     ?England, age:20y 0m 0d, _x000D_
.bapt: 1785GE_x000D_
.will: 2004MO_x000D_
.obit: 1890OH_x000D_
.bury: 1850IL _x000D_
.wpbt: 1826PA_x000D_
.anc#:double ancestor_x000D_
citiz:foreign_x000D_
#spos:1_x000D_
#srcs:1_x000D_
#comment:1_x000D_
#events:1_x000D_
#kids:1_x000D_
lived:?EN_x000D_
issue:_x000D_
.recs:Birth,Marriage,Death_x000D_
.imm?:no_x000D_
..Spo:{_?_} COGGESHALL</t>
        </r>
      </text>
    </comment>
    <comment ref="U1348" authorId="0" shapeId="0" xr:uid="{E0223874-44D5-4714-8FF4-4704207215AA}">
      <text>
        <r>
          <rPr>
            <sz val="9"/>
            <color indexed="81"/>
            <rFont val="Tahoma"/>
            <family val="2"/>
          </rPr>
          <t>JOHN COGGESHALL_x000D_
http://yeinfo.com/family/I09065973.html_x000D_
https://www.google.com/search?q=JOHN+COGGESHALL+1400+1430+KATHERINE_x000D_
.born:c1400    -         ?England_x000D_
.died: 1430    -1490     ?England, age:30y 0m 0d, _x000D_
.bapt: 1785GE_x000D_
.will: 2004MO_x000D_
.obit: 1890OH_x000D_
.bury: 1850IL _x000D_
.wpbt: 1826PA_x000D_
.anc#:double ancestor_x000D_
citiz:foreign_x000D_
#spos:1_x000D_
#srcs:1_x000D_
#comment:0_x000D_
#events:1_x000D_
#kids:1_x000D_
lived:?EN_x000D_
issue:Died after Age 100_x000D_
.recs:Birth,Marriage,Death_x000D_
.imm?:no_x000D_
..Spo:KATHERINE COGGESHALL</t>
        </r>
      </text>
    </comment>
    <comment ref="V1350" authorId="0" shapeId="0" xr:uid="{5B588287-682A-4B67-B31D-5CD8EF17F801}">
      <text>
        <r>
          <rPr>
            <sz val="9"/>
            <color indexed="81"/>
            <rFont val="Tahoma"/>
            <family val="2"/>
          </rPr>
          <t>Mrs. {_?_} COGGESHALL_x000D_
http://yeinfo.com/family/I09066158.html_x000D_
https://www.google.com/search?q={_?_}+COGGESHALL+1380+1400+COGGESHALL_x000D_
.born:?1380    -         ?England_x000D_
.died: 1400    -1470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..Spo:JOHN COGGESHALL</t>
        </r>
      </text>
    </comment>
    <comment ref="T1352" authorId="0" shapeId="0" xr:uid="{DA5D3D6A-8AF6-45D2-A687-DBDA905EDFBD}">
      <text>
        <r>
          <rPr>
            <sz val="9"/>
            <color indexed="81"/>
            <rFont val="Tahoma"/>
            <family val="2"/>
          </rPr>
          <t>JOHN COGGESHALL_x000D_
http://yeinfo.com/family/I09065815.html_x000D_
https://www.google.com/search?q=JOHN+COGGESHALL+1430+1488+ALICE_x000D_
.born:c1430    -          England_x000D_
.died: 14880524-          , age:58y 4m 23d,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..Spo:ALICE COGGESHALL</t>
        </r>
      </text>
    </comment>
    <comment ref="U1354" authorId="0" shapeId="0" xr:uid="{1300F786-F81F-4A3E-A7B3-A62F3AFF6FC4}">
      <text>
        <r>
          <rPr>
            <sz val="9"/>
            <color indexed="81"/>
            <rFont val="Tahoma"/>
            <family val="2"/>
          </rPr>
          <t>Mrs. KATHERINE COGGESHALL_x000D_
http://yeinfo.com/family/I09065974.html_x000D_
https://www.google.com/search?q=KATHERINE+COGGESHALL+1400+1460+COGGESHALL_x000D_
.born:c1400    -         ?England_x000D_
.died:c1460    -         ?England, age:60y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..Spo:JOHN COGGESHALL</t>
        </r>
      </text>
    </comment>
    <comment ref="S1356" authorId="0" shapeId="0" xr:uid="{CB1BA540-1BBF-4ABB-8112-DE9B06F0564A}">
      <text>
        <r>
          <rPr>
            <sz val="9"/>
            <color indexed="81"/>
            <rFont val="Tahoma"/>
            <family val="2"/>
          </rPr>
          <t>JOHN COGGESHALL_x000D_
http://yeinfo.com/family/I09065686.html_x000D_
https://www.google.com/search?q=JOHN+COGGESHALL+1470+1502+ALICE_x000D_
.born: 1470    -          Gosfield (Essex) England_x000D_
.died: 15020131-          Gosfield (Essex) England, age:32y 0m 30d, _x000D_
.bapt: 1785GE_x000D_
.will: 2004MO_x000D_
.obit: 1890OH_x000D_
.bury: 1850IL _x000D_
.wpbt: 1826PA_x000D_
.anc#:double ancestor_x000D_
citiz:foreign_x000D_
#spos:1_x000D_
#srcs:1_x000D_
#comment:0_x000D_
#events:1_x000D_
#kids:1_x000D_
lived:ENESSEXGOSFIEL_x000D_
issue:_x000D_
.recs:Birth,Marriage,Death_x000D_
.imm?:no_x000D_
..Spo:ALICE PARKER</t>
        </r>
      </text>
    </comment>
    <comment ref="T1358" authorId="0" shapeId="0" xr:uid="{4D709CFB-319D-49B2-80CA-C259D1B4A7FA}">
      <text>
        <r>
          <rPr>
            <sz val="9"/>
            <color indexed="81"/>
            <rFont val="Tahoma"/>
            <family val="2"/>
          </rPr>
          <t>Mrs. ALICE COGGESHALL_x000D_
http://yeinfo.com/family/I09065816.html_x000D_
https://www.google.com/search?q=ALICE+COGGESHALL+1435+1487+COGGESHALL_x000D_
.born:c1435    -          Essex county England_x000D_
.died:c1487    -          Essex county England, age:52y 0m 0d, _x000D_
.bapt: 1785GE_x000D_
.will: 2004MO_x000D_
.obit: 1890OH_x000D_
.bury: 1850IL _x000D_
.wpbt: 1826PA_x000D_
.anc#:double ancestor_x000D_
citiz:foreign_x000D_
#spos:1_x000D_
#srcs:1_x000D_
#comment:0_x000D_
#events:1_x000D_
#kids:1_x000D_
lived:ENESSEX_x000D_
issue:_x000D_
.recs:Birth,Marriage,Death_x000D_
.imm?:no_x000D_
..Spo:JOHN COGGESHALL</t>
        </r>
      </text>
    </comment>
    <comment ref="R1360" authorId="0" shapeId="0" xr:uid="{809E666B-F74C-4DBB-A853-F5D73B34D462}">
      <text>
        <r>
          <rPr>
            <sz val="9"/>
            <color indexed="81"/>
            <rFont val="Tahoma"/>
            <family val="2"/>
          </rPr>
          <t>JOHN COGGESHALL_x000D_
http://yeinfo.com/family/I09065547.html_x000D_
https://www.google.com/search?q=JOHN+COGGESHALL+1501+1541+ELIZABETH_x000D_
.born:c1501    -          Gosfield (Essex) England_x000D_
.died: 1541    -          Middlesex county England, age:40y 0m 0d, _x000D_
.bapt: 1785GE_x000D_
.will: 2004MO_x000D_
.obit: 1890OH_x000D_
.bury: 1850IL _x000D_
.wpbt: 1826PA_x000D_
.anc#:double ancestor_x000D_
citiz:foreign_x000D_
#spos:1_x000D_
#srcs:1_x000D_
#comment:0_x000D_
#events:1_x000D_
#kids:1_x000D_
lived:ENESSEXGOSFIEL,ENMIDDL_x000D_
issue:_x000D_
.recs:Birth,Marriage,Death_x000D_
.imm?:no_x000D_
..Spo:ELIZABETH COGGESHALL</t>
        </r>
      </text>
    </comment>
    <comment ref="S1362" authorId="0" shapeId="0" xr:uid="{D6A8E878-1C4B-492F-A968-004EB812DB34}">
      <text>
        <r>
          <rPr>
            <sz val="9"/>
            <color indexed="81"/>
            <rFont val="Tahoma"/>
            <family val="2"/>
          </rPr>
          <t>ALICE PARKER_x000D_
http://yeinfo.com/family/I09065687.html_x000D_
https://www.google.com/search?q=ALICE+PARKER+1478+1501+COGGESHALL_x000D_
.born:?1478    -          England_x000D_
.died: 1501    -1568      England, age:23y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..Spo:JOHN COGGESHALL</t>
        </r>
      </text>
    </comment>
    <comment ref="Q1364" authorId="0" shapeId="0" xr:uid="{1F25B248-35AF-4D23-8BA4-2E353524FD8C}">
      <text>
        <r>
          <rPr>
            <sz val="9"/>
            <color indexed="81"/>
            <rFont val="Tahoma"/>
            <family val="2"/>
          </rPr>
          <t>ELIZABETH COGGESHALL_x000D_
http://yeinfo.com/family/I09041457.html_x000D_
https://www.google.com/search?q=ELIZABETH+COGGESHALL+1537+1600+SANFORD_x000D_
.born:c1537    -          Stansted Mountfichet (Essex) England_x000D_
.died: 16000915-          Stansted Mountfichet (Essex) England, age:63y 8m 14d, _x000D_
.bapt: 1785GE_x000D_
.will: 2004MO_x000D_
.obit: 1890OH_x000D_
.bury: 1850IL _x000D_
.wpbt: 1826PA_x000D_
.anc#:double ancestor_x000D_
citiz:foreign_x000D_
#spos:1_x000D_
#srcs:1_x000D_
#comment:0_x000D_
#events:1_x000D_
#kids:1_x000D_
lived:ENESSEXSTANMNT,ENHERTFMUCH HA_x000D_
issue:_x000D_
.recs:Birth,Marriage,Death_x000D_
.imm?:no_x000D_
..Spo:RICHARD SANFORD</t>
        </r>
      </text>
    </comment>
    <comment ref="R1366" authorId="0" shapeId="0" xr:uid="{5990C899-DCC5-4377-B781-6B257777D4E4}">
      <text>
        <r>
          <rPr>
            <sz val="9"/>
            <color indexed="81"/>
            <rFont val="Tahoma"/>
            <family val="2"/>
          </rPr>
          <t>Mrs. ELIZABETH COGGESHALL_x000D_
http://yeinfo.com/family/I09065548.html_x000D_
https://www.google.com/search?q=ELIZABETH+COGGESHALL+1512+1537+COGGESHALL_x000D_
.born: 1512    -          Middlesex county England_x000D_
.died: 1537    -          England, age:25y 0m 0d, _x000D_
.bapt: 1785GE_x000D_
.will: 2004MO_x000D_
.obit: 1890OH_x000D_
.bury: 1850IL _x000D_
.wpbt: 1826PA_x000D_
.anc#:double ancestor_x000D_
citiz:foreign_x000D_
#spos:1_x000D_
#srcs:1_x000D_
#comment:2_x000D_
#events:1_x000D_
#kids:1_x000D_
lived:ENMIDDL_x000D_
issue:_x000D_
.recs:Birth,Marriage,Death_x000D_
.imm?:no_x000D_
..Spo:JOHN COGGESHALL</t>
        </r>
      </text>
    </comment>
    <comment ref="O1368" authorId="0" shapeId="0" xr:uid="{0F1C6B8A-5BEF-419D-97F8-84C9ACE6E31F}">
      <text>
        <r>
          <rPr>
            <sz val="9"/>
            <color indexed="81"/>
            <rFont val="Tahoma"/>
            <family val="2"/>
          </rPr>
          <t>EZEKIEL SANFORD_x000D_
http://yeinfo.com/family/I09010364.html_x000D_
https://www.google.com/search?q=EZEKIEL+SANFORD+1586+1607+ROSE_x000D_
.born: 15860220-          Much Hadham (Hertfordshire) England_x000D_
.died: 1607    -1676      Margaretting (Essex) England, age:20y 10m 12d, _x000D_
.bapt: 1785GE_x000D_
.will: 2004MO_x000D_
.obit: 1890OH_x000D_
.bury: 1850IL _x000D_
.wpbt: 1826PA_x000D_
.anc#:double ancestor_x000D_
citiz:foreign_x000D_
#spos:1_x000D_
#srcs:1_x000D_
#comment:0_x000D_
#events:1_x000D_
#kids:1_x000D_
lived:ENESSEXMARGARE,ENHERTFHATFIEL,ENHERTFMUCH HA_x000D_
issue:_x000D_
.recs:Birth,Marriage,Death_x000D_
.imm?:no_x000D_
..Spo:ROSE WARNER</t>
        </r>
      </text>
    </comment>
    <comment ref="Q1370" authorId="0" shapeId="0" xr:uid="{A98E29E5-8898-49DA-84E1-E6E2E7855008}">
      <text>
        <r>
          <rPr>
            <sz val="9"/>
            <color indexed="81"/>
            <rFont val="Tahoma"/>
            <family val="2"/>
          </rPr>
          <t>JOHN LEWES_x000D_
http://yeinfo.com/family/I09041458.html_x000D_
https://www.google.com/search?q=JOHN+LEWES+1537+1584+ALICE_x000D_
.born: 1537    -          Much Hadham (Hertfordshire) England_x000D_
.died: 15840704-          Much Hadham (Hertfordshire) England, age:47y 6m 3d, _x000D_
.bapt: 1785GE_x000D_
.will: 2004MO_x000D_
.obit: 1890OH_x000D_
.bury: 1850IL _x000D_
.wpbt: 1826PA_x000D_
.anc#:double ancestor_x000D_
citiz:foreign_x000D_
#spos:1_x000D_
#srcs:1_x000D_
#comment:0_x000D_
#events:1_x000D_
#kids:1_x000D_
lived:ENHERTFMUCH HA_x000D_
issue:_x000D_
.recs:Birth,Marriage,Death_x000D_
.imm?:no_x000D_
..Spo:ALICE CHERVELL</t>
        </r>
      </text>
    </comment>
    <comment ref="P1372" authorId="0" shapeId="0" xr:uid="{278B3205-23F7-46AF-9A3D-896F1EE81856}">
      <text>
        <r>
          <rPr>
            <sz val="9"/>
            <color indexed="81"/>
            <rFont val="Tahoma"/>
            <family val="2"/>
          </rPr>
          <t>MARY MELLET LEWES_x000D_
http://yeinfo.com/family/I09020729.html_x000D_
https://www.google.com/search?q=MARY+MELLET+LEWES+1563+1620+SANFORD_x000D_
.born: 1563    -          Much Hadham (Hertfordshire) England_x000D_
.died: 16200819-          Much Hadham (Hertfordshire) England, age:57y 7m 18d, _x000D_
.bapt: 1785GE_x000D_
.will: 2004MO_x000D_
.obit: 1890OH_x000D_
.bury: 1850IL _x000D_
.wpbt: 1826PA_x000D_
.anc#:double ancestor_x000D_
citiz:foreign_x000D_
#spos:1_x000D_
#srcs:1_x000D_
#comment:0_x000D_
#events:1_x000D_
#kids:1_x000D_
lived:ENHERTFMUCH HA_x000D_
issue:Born before Parents Married,Died after Age 100_x000D_
.recs:Birth,Marriage,Death_x000D_
.imm?:no_x000D_
..Spo:THOMAS SANFORD</t>
        </r>
      </text>
    </comment>
    <comment ref="Q1374" authorId="0" shapeId="0" xr:uid="{87039D26-731F-4CEF-9945-4B9876277C92}">
      <text>
        <r>
          <rPr>
            <sz val="9"/>
            <color indexed="81"/>
            <rFont val="Tahoma"/>
            <family val="2"/>
          </rPr>
          <t>ALICE CHERVELL_x000D_
http://yeinfo.com/family/I09041459.html_x000D_
https://www.google.com/search?q=ALICE+CHERVELL+1539+1600+LEWES_x000D_
.born:c1539    -          Huntington Harbour (Cambridgeshire) England_x000D_
.died: 1600    -          England, age:61y 0m 0d, _x000D_
.bapt: 1785GE_x000D_
.will: 2004MO_x000D_
.obit: 1890OH_x000D_
.bury: 1850IL _x000D_
.wpbt: 1826PA_x000D_
.anc#:double ancestor_x000D_
citiz:foreign_x000D_
#spos:1_x000D_
#srcs:1_x000D_
#comment:0_x000D_
#events:1_x000D_
#kids:1_x000D_
lived:ENCAMBSHUNTING,ENHERTFMUCH HA_x000D_
issue:_x000D_
.recs:Birth,Marriage,Death_x000D_
.imm?:no_x000D_
..Spo:JOHN LEWES</t>
        </r>
      </text>
    </comment>
    <comment ref="N1376" authorId="0" shapeId="0" xr:uid="{EAF6F020-F22A-469E-9C37-F993E6131A34}">
      <text>
        <r>
          <rPr>
            <sz val="9"/>
            <color indexed="81"/>
            <rFont val="Tahoma"/>
            <family val="2"/>
          </rPr>
          <t>THOMAS SANFORD_x000D_
http://yeinfo.com/family/I09005182.html_x000D_
https://www.google.com/search?q=THOMAS+SANFORD+1607+1681+Dorothy\Dorothea+MEADOWS_x000D_
.born: 16071109-          Hatfield Broad Oak (Essex) England_x000D_
.died: 16811018-          New Milford (Litchfield) Connecticut, age:73y 11m 9d, _x000D_
.bapt: 1785GE_x000D_
.will: 2004MO_x000D_
.obit: 1890OH_x000D_
.bury: 1850IL _x000D_
.wpbt: 1826PA_x000D_
.anc#:double ancestor_x000D_
citiz:immigrant_x000D_
#spos:2_x000D_
#srcs:4_x000D_
#comment:0_x000D_
#events:2_x000D_
#kids:8_x000D_
lived:CTLITCHNEW MIL,ENESSEXHATFOAK,MASUFFODORCHES_x000D_
issue:_x000D_
.recs:Birth,Marriage,Death_x000D_
.imm?:immigrant_x000D_
..Spo:Dorothy\Dorothea MEADOWS</t>
        </r>
      </text>
    </comment>
    <comment ref="Q1378" authorId="0" shapeId="0" xr:uid="{A2E2718F-830D-4D3B-9920-C28994F3BCBD}">
      <text>
        <r>
          <rPr>
            <sz val="9"/>
            <color indexed="81"/>
            <rFont val="Tahoma"/>
            <family val="2"/>
          </rPr>
          <t>JOHN WARNER_x000D_
http://yeinfo.com/family/I09041460.html_x000D_
https://www.google.com/search?q=JOHN+WARNER+1545+1584+MARGARET_x000D_
.born:?1545    -          England_x000D_
.died: 1584    -          England, age:39y 0m 0d, _x000D_
.bapt: 1785GE_x000D_
.will: 2004MO_x000D_
.obit: 1890OH_x000D_
.bury: 1850IL _x000D_
.wpbt: 1826PA_x000D_
.anc#:  quadruple ancestor_x000D_
citiz:foreign_x000D_
#spos:1_x000D_
#srcs:1_x000D_
#comment:0_x000D_
#events:5_x000D_
#kids:9_x000D_
lived:ENESSEXGREATWA_x000D_
issue:_x000D_
.recs:Birth,Marriage,Will Written,Death_x000D_
.imm?:no_x000D_
..Spo:MARGARET WARNER</t>
        </r>
      </text>
    </comment>
    <comment ref="P1380" authorId="0" shapeId="0" xr:uid="{FBE1CFFD-1B09-46AC-A301-A2B3BD9481B0}">
      <text>
        <r>
          <rPr>
            <sz val="9"/>
            <color indexed="81"/>
            <rFont val="Tahoma"/>
            <family val="2"/>
          </rPr>
          <t>JOHN WARNER_x000D_
http://yeinfo.com/family/I09020730.html_x000D_
https://www.google.com/search?q=JOHN+WARNER+1570+1614+MARY_x000D_
.born:?1570    -          England_x000D_
.died: 1614    -1660     ?Hatfield Broad Oak (Essex) England, age:44y 0m 0d, _x000D_
.bapt: 1785GE_x000D_
.will: 2004MO_x000D_
.obit: 1890OH_x000D_
.bury: 1850IL _x000D_
.wpbt: 1826PA_x000D_
.anc#:  quadruple ancestor_x000D_
citiz:foreign_x000D_
#spos:1_x000D_
#srcs:3_x000D_
#comment:0_x000D_
#events:6_x000D_
#kids:6_x000D_
lived:ENESSEXHATFOAK_x000D_
issue:_x000D_
.recs:Birth,Marriage,Will Written,Death_x000D_
.imm?:no_x000D_
..Spo:MARY PURCHAS</t>
        </r>
      </text>
    </comment>
    <comment ref="Q1382" authorId="0" shapeId="0" xr:uid="{384EB410-CEEE-4627-BAC7-344B9EEA4DD9}">
      <text>
        <r>
          <rPr>
            <sz val="9"/>
            <color indexed="81"/>
            <rFont val="Tahoma"/>
            <family val="2"/>
          </rPr>
          <t>Mrs. MARGARET WARNER_x000D_
http://yeinfo.com/family/I09041461.html_x000D_
https://www.google.com/search?q=MARGARET+WARNER+1545+1570+WARNER_x000D_
.born:?1545    -          England_x000D_
.died: 1570    -1635      , age:25y 0m 0d, _x000D_
.bapt: 1785GE_x000D_
.will: 2004MO_x000D_
.obit: 1890OH_x000D_
.bury: 1850IL _x000D_
.wpbt: 1826PA_x000D_
.anc#:  quadruple ancestor_x000D_
citiz:foreign_x000D_
#spos:1_x000D_
#srcs:1_x000D_
#comment:0_x000D_
#events:1_x000D_
#kids:9_x000D_
lived:EN_x000D_
issue:_x000D_
.recs:Birth,Marriage,Death_x000D_
.imm?:no_x000D_
..Spo:JOHN WARNER</t>
        </r>
      </text>
    </comment>
    <comment ref="O1384" authorId="0" shapeId="0" xr:uid="{FED4C81C-1428-45C1-BF41-6BA1A799AA8C}">
      <text>
        <r>
          <rPr>
            <sz val="9"/>
            <color indexed="81"/>
            <rFont val="Tahoma"/>
            <family val="2"/>
          </rPr>
          <t>ROSE WARNER_x000D_
http://yeinfo.com/family/I09010365.html_x000D_
https://www.google.com/search?q=ROSE+WARNER+1588+1625+SANFORD_x000D_
.born: 15880716-          Essex county England_x000D_
.died: 16251101-          Essex county England, age:37y 3m 16d, _x000D_
.bapt: 1785GE_x000D_
.will: 2004MO_x000D_
.obit: 1890OH_x000D_
.bury: 1850IL _x000D_
.wpbt: 1826PA_x000D_
.anc#:double ancestor_x000D_
citiz:foreign_x000D_
#spos:1_x000D_
#srcs:3_x000D_
#comment:0_x000D_
#events:1_x000D_
#kids:1_x000D_
lived:ENESSEX,ENHERTFHATFIEL_x000D_
issue:Born before Parents Married_x000D_
.recs:Birth,Marriage,Death_x000D_
.imm?:no_x000D_
..Spo:EZEKIEL SANFORD</t>
        </r>
      </text>
    </comment>
    <comment ref="Q1386" authorId="0" shapeId="0" xr:uid="{483F7151-DDA7-404D-967A-1274AEA69B69}">
      <text>
        <r>
          <rPr>
            <sz val="9"/>
            <color indexed="81"/>
            <rFont val="Tahoma"/>
            <family val="2"/>
          </rPr>
          <t>JOHN PURCHAS_x000D_
http://yeinfo.com/family/I09041462.html_x000D_
https://www.google.com/search?q=JOHN+PURCHAS+1550+1585+MARGARET_x000D_
.born:?1550    -          England_x000D_
.died: 1585    -          England, age:35y 0m 0d, _x000D_
.bapt: 1785GE_x000D_
.will: 2004MO_x000D_
.obit: 1890OH_x000D_
.bury: 1850IL _x000D_
.wpbt: 1826PA_x000D_
.anc#:  quadruple ancestor_x000D_
citiz:foreign_x000D_
#spos:1_x000D_
#srcs:1_x000D_
#comment:0_x000D_
#events:4_x000D_
#kids:1_x000D_
lived:ENESSEXGREATWA_x000D_
issue:_x000D_
.recs:Birth,Marriage,Job/Occupation,Will Written,Death_x000D_
.imm?:no_x000D_
..Spo:MARGARET KREABLES</t>
        </r>
      </text>
    </comment>
    <comment ref="P1388" authorId="0" shapeId="0" xr:uid="{67CA58DC-A0A6-4C74-92DE-EE822625F874}">
      <text>
        <r>
          <rPr>
            <sz val="9"/>
            <color indexed="81"/>
            <rFont val="Tahoma"/>
            <family val="2"/>
          </rPr>
          <t>MARY PURCHAS_x000D_
http://yeinfo.com/family/I09020731.html_x000D_
https://www.google.com/search?q=MARY+PURCHAS+1570+1627+WARNER_x000D_
.born:?1570    -          England_x000D_
.died: 1627    -          England, age:57y 0m 0d, _x000D_
.bapt: 1785GE_x000D_
.will: 2004MO_x000D_
.obit: 1890OH_x000D_
.bury: 1850IL _x000D_
.wpbt: 1826PA_x000D_
.anc#:  quadruple ancestor_x000D_
citiz:foreign_x000D_
#spos:1_x000D_
#srcs:2_x000D_
#comment:1_x000D_
#events:3_x000D_
#kids:6_x000D_
lived:ENHERTFBISHOST_x000D_
issue:_x000D_
.recs:Birth,Marriage,Will Written,Death_x000D_
.imm?:no_x000D_
..Spo:JOHN WARNER</t>
        </r>
      </text>
    </comment>
    <comment ref="Q1390" authorId="0" shapeId="0" xr:uid="{473C1F92-AAFB-4F2A-8F31-E7B87660EAC4}">
      <text>
        <r>
          <rPr>
            <sz val="9"/>
            <color indexed="81"/>
            <rFont val="Tahoma"/>
            <family val="2"/>
          </rPr>
          <t>MARGARET KREABLES_x000D_
http://yeinfo.com/family/I09041463.html_x000D_
https://www.google.com/search?q=MARGARET+KREABLES+1550+1570+PURCHAS_x000D_
.born:?1550    -          England_x000D_
.died: 1570    -1640      , age:20y 0m 0d, _x000D_
.bapt: 1785GE_x000D_
.will: 2004MO_x000D_
.obit: 1890OH_x000D_
.bury: 1850IL _x000D_
.wpbt: 1826PA_x000D_
.anc#:  quadruple ancestor_x000D_
citiz:foreign_x000D_
#spos:1_x000D_
#srcs:1_x000D_
#comment:0_x000D_
#events:1_x000D_
#kids:1_x000D_
lived:EN_x000D_
issue:_x000D_
.recs:Birth,Marriage,Death_x000D_
.imm?:no_x000D_
..Spo:JOHN PURCHAS</t>
        </r>
      </text>
    </comment>
    <comment ref="M1392" authorId="0" shapeId="0" xr:uid="{08208BAF-0B3C-42C5-B8F3-400E4F0B3FE2}">
      <text>
        <r>
          <rPr>
            <sz val="9"/>
            <color indexed="81"/>
            <rFont val="Tahoma"/>
            <family val="2"/>
          </rPr>
          <t>SARAH SANFORD_x000D_
http://yeinfo.com/family/I09002591.html_x000D_
https://www.google.com/search?q=SARAH+SANFORD+1639+1683+SHUTE_x000D_
.born: 16390116-          Dorchester (Suffolk) Massachusetts_x000D_
.died: 1683    -          Eastchester (Westchester) New York, age:43y 11m 16d, _x000D_
.bapt: 1785GE_x000D_
.will: 2004MO_x000D_
.obit: 1890OH_x000D_
.bury: 1850IL _x000D_
.wpbt: 1826PA_x000D_
.anc#:double ancestor_x000D_
citiz:US born_x000D_
#spos:1_x000D_
#srcs:4_x000D_
#comment:0_x000D_
#events:1_x000D_
#kids:1_x000D_
lived:CTLITCHNEW MIL,MASUFFODORCHES,NYWESTCEASTCHE_x000D_
issue:_x000D_
.recs:Birth,Marriage,Death_x000D_
.imm?:no_x000D_
..Spo:RICHARD SHUTE</t>
        </r>
      </text>
    </comment>
    <comment ref="P1394" authorId="0" shapeId="0" xr:uid="{4DB62949-9FAE-489C-9F8A-9223C9039990}">
      <text>
        <r>
          <rPr>
            <sz val="9"/>
            <color indexed="81"/>
            <rFont val="Tahoma"/>
            <family val="2"/>
          </rPr>
          <t>HENRY MEADOWS_x000D_
http://yeinfo.com/family/I09020732.html_x000D_
https://www.google.com/search?q=HENRY+MEADOWS+1555+1585+ANN_x000D_
.born: 1555    -          _x000D_
.died: 1585    -1645      , age:30y 0m 0d, _x000D_
.bapt: 1785GE_x000D_
.will: 2004MO_x000D_
.obit: 1890OH_x000D_
.bury: 1850IL _x000D_
.wpbt: 1826PA_x000D_
.anc#:double ancestor_x000D_
citiz:foreign_x000D_
#spos:1_x000D_
#srcs:2_x000D_
#comment:0_x000D_
#events:1_x000D_
#kids:1_x000D_
lived:?EN_x000D_
issue:_x000D_
.recs:Birth,Marriage,Death_x000D_
.imm?:no_x000D_
..Spo:ANN HATFIELD</t>
        </r>
      </text>
    </comment>
    <comment ref="O1396" authorId="0" shapeId="0" xr:uid="{8F3C59B6-CD18-43FC-9203-C7E791B9FFCA}">
      <text>
        <r>
          <rPr>
            <sz val="9"/>
            <color indexed="81"/>
            <rFont val="Tahoma"/>
            <family val="2"/>
          </rPr>
          <t>HENRY MEADOWS II_x000D_
http://yeinfo.com/family/I09010366.html_x000D_
https://www.google.com/search?q=HENRY+MEADOWS+1585+1615+MARGARET_x000D_
.born:c1585    -          Stow-on-the-Wold (Gloucestershire) England_x000D_
.died: 1615    -         ?England, age:30y 0m 0d, _x000D_
.bapt: 1785GE_x000D_
.will: 2004MO_x000D_
.obit: 1890OH_x000D_
.bury: 1850IL _x000D_
.wpbt: 1826PA_x000D_
.anc#:double ancestor_x000D_
citiz:foreign_x000D_
#spos:1_x000D_
#srcs:3_x000D_
#comment:0_x000D_
#events:1_x000D_
#kids:2_x000D_
lived:ENGLOUSSTOWOTW_x000D_
issue:_x000D_
.recs:Birth,Marriage,Death_x000D_
.imm?:no_x000D_
..Spo:MARGARET PRESTON</t>
        </r>
      </text>
    </comment>
    <comment ref="P1398" authorId="0" shapeId="0" xr:uid="{B3545B8E-DF57-42BE-AA2A-F721141032CE}">
      <text>
        <r>
          <rPr>
            <sz val="9"/>
            <color indexed="81"/>
            <rFont val="Tahoma"/>
            <family val="2"/>
          </rPr>
          <t>ANN HATFIELD_x000D_
http://yeinfo.com/family/I09020733.html_x000D_
https://www.google.com/search?q=ANN+HATFIELD+1555+1585+MEADOWS_x000D_
.born:?1555    -         ?England_x000D_
.died: 1585    -1645     ?England, age:30y 0m 0d, _x000D_
.bapt: 1785GE_x000D_
.will: 2004MO_x000D_
.obit: 1890OH_x000D_
.bury: 1850IL _x000D_
.wpbt: 1826PA_x000D_
.anc#:double ancestor_x000D_
citiz:foreign_x000D_
#spos:1_x000D_
#srcs:2_x000D_
#comment:0_x000D_
#events:1_x000D_
#kids:1_x000D_
lived:?EN_x000D_
issue:_x000D_
.recs:Birth,Marriage,Death_x000D_
.imm?:no_x000D_
..Spo:HENRY MEADOWS</t>
        </r>
      </text>
    </comment>
    <comment ref="N1400" authorId="0" shapeId="0" xr:uid="{D669022C-B949-405B-896E-ABA8ADC00B01}">
      <text>
        <r>
          <rPr>
            <sz val="9"/>
            <color indexed="81"/>
            <rFont val="Tahoma"/>
            <family val="2"/>
          </rPr>
          <t>SARAH DOROTHY MEADOWS_x000D_
http://yeinfo.com/family/I09005183.html_x000D_
https://www.google.com/search?q=SARAH+DOROTHY+MEADOWS+1615+1681+SANFORD_x000D_
.born: 1615    -          Essex county England_x000D_
.died: 16810514-          Milford (New Haven) Connecticut, age:66y 4m 13d, _x000D_
.bapt: 1785GE_x000D_
.will: 2004MO_x000D_
.obit: 1890OH_x000D_
.bury: 1850IL _x000D_
.wpbt: 1826PA_x000D_
.anc#:double ancestor_x000D_
citiz:immigrant_x000D_
#spos:1_x000D_
#srcs:6_x000D_
#comment:0_x000D_
#events:1_x000D_
#kids:7_x000D_
lived:CTNEW HMILFORD,ENESSEX,MASUFFODORCHES_x000D_
issue:_x000D_
.recs:Birth,Marriage,Death_x000D_
.imm?:immigrant_x000D_
..Spo:THOMAS SANFORD</t>
        </r>
      </text>
    </comment>
    <comment ref="R1402" authorId="0" shapeId="0" xr:uid="{B979491E-8413-47C9-B461-70EC6F0CFCF1}">
      <text>
        <r>
          <rPr>
            <sz val="9"/>
            <color indexed="81"/>
            <rFont val="Tahoma"/>
            <family val="2"/>
          </rPr>
          <t>GEORGE PRESTON_x000D_
http://yeinfo.com/family/I09065549.html_x000D_
https://www.google.com/search?q=GEORGE+PRESTON+1504+1525+MARION_x000D_
.born:c1504    -         ?England_x000D_
.died: 1525    -1594     ?England, age:21y 0m 0d, _x000D_
.bapt: 1785GE_x000D_
.will: 2004MO_x000D_
.obit: 1890OH_x000D_
.bury: 1850IL _x000D_
.wpbt: 1826PA_x000D_
.anc#:double ancestor_x000D_
citiz:foreign_x000D_
#spos:1_x000D_
#srcs:3_x000D_
#comment:0_x000D_
#events:1_x000D_
#kids:1_x000D_
lived:?EN_x000D_
issue:_x000D_
.recs:Birth,Marriage,Death_x000D_
.imm?:no_x000D_
..Spo:MARION SEMPHILL</t>
        </r>
      </text>
    </comment>
    <comment ref="Q1404" authorId="0" shapeId="0" xr:uid="{DA053297-2E80-4FFB-B90F-AE778016AAD6}">
      <text>
        <r>
          <rPr>
            <sz val="9"/>
            <color indexed="81"/>
            <rFont val="Tahoma"/>
            <family val="2"/>
          </rPr>
          <t>WILLIAM PRESTON Jr._x000D_
http://yeinfo.com/family/I09041468.html_x000D_
https://www.google.com/search?q=WILLIAM+PRESTON+1525+1585+ANNA_x000D_
.born:c1525    -          Giggleswick (Yorkshire) England_x000D_
.died: 15850423-          Yorkshire county England, age:60y 3m 22d, _x000D_
.bapt: 1785GE_x000D_
.will: 2004MO_x000D_
.obit: 1890OH_x000D_
.bury: 1850IL _x000D_
.wpbt: 1826PA_x000D_
.anc#:double ancestor_x000D_
citiz:foreign_x000D_
#spos:1_x000D_
#srcs:3_x000D_
#comment:0_x000D_
#events:1_x000D_
#kids:6_x000D_
lived:ENYORKSGIGGLES_x000D_
issue:_x000D_
.recs:Birth,Marriage,Death_x000D_
.imm?:no_x000D_
..Spo:ANNA SAUNDERS</t>
        </r>
      </text>
    </comment>
    <comment ref="R1406" authorId="0" shapeId="0" xr:uid="{7C43DD56-B6D4-4022-BEB4-D18DB7F4C2FD}">
      <text>
        <r>
          <rPr>
            <sz val="9"/>
            <color indexed="81"/>
            <rFont val="Tahoma"/>
            <family val="2"/>
          </rPr>
          <t>MARION SEMPHILL_x000D_
http://yeinfo.com/family/I09065550.html_x000D_
https://www.google.com/search?q=MARION+SEMPHILL+1505+1525+PRESTON_x000D_
.born:?1505    -         ?England_x000D_
.died: 1525    -1595     ?England, age:20y 0m 0d, _x000D_
.bapt: 1785GE_x000D_
.will: 2004MO_x000D_
.obit: 1890OH_x000D_
.bury: 1850IL _x000D_
.wpbt: 1826PA_x000D_
.anc#:double ancestor_x000D_
citiz:foreign_x000D_
#spos:1_x000D_
#srcs:3_x000D_
#comment:0_x000D_
#events:1_x000D_
#kids:1_x000D_
lived:?EN_x000D_
issue:_x000D_
.recs:Birth,Marriage,Death_x000D_
.imm?:no_x000D_
..Spo:GEORGE PRESTON</t>
        </r>
      </text>
    </comment>
    <comment ref="P1408" authorId="0" shapeId="0" xr:uid="{74F987C2-8993-4B59-8E1A-A905ABA324D1}">
      <text>
        <r>
          <rPr>
            <sz val="9"/>
            <color indexed="81"/>
            <rFont val="Tahoma"/>
            <family val="2"/>
          </rPr>
          <t>ADAM PRESTON_x000D_
http://yeinfo.com/family/I09020734.html_x000D_
https://www.google.com/search?q=ADAM+PRESTON+1564+1593+ISABEL\ISABELL_x000D_
.born: 1564    -          Giggleswick (Yorkshire) England_x000D_
.died: 15931108-          Giggleswick (Yorkshire) England, age:29y 10m 7d, _x000D_
.bapt: 1785GE_x000D_
.will: 2004MO_x000D_
.obit: 1890OH_x000D_
.bury: 1850IL _x000D_
.wpbt: 1826PA_x000D_
.anc#:double ancestor_x000D_
citiz:foreign_x000D_
#spos:1_x000D_
#srcs:1_x000D_
#comment:0_x000D_
#events:1_x000D_
#kids:9_x000D_
lived:ENYORKSGIGGLES_x000D_
issue:_x000D_
.recs:Birth,Marriage,Death_x000D_
.imm?:no_x000D_
..Spo:ISABEL\ISABELL BRAITHWAITE</t>
        </r>
      </text>
    </comment>
    <comment ref="R1410" authorId="0" shapeId="0" xr:uid="{58A91A98-A003-4302-AAE3-C3B39A5BA762}">
      <text>
        <r>
          <rPr>
            <sz val="9"/>
            <color indexed="81"/>
            <rFont val="Tahoma"/>
            <family val="2"/>
          </rPr>
          <t>GEORGE SAUNDERS_x000D_
http://yeinfo.com/family/I09065551.html_x000D_
https://www.google.com/search?q=GEORGE+SAUNDERS+1505+1530+HATTIE_x000D_
.born:?1505    -         ?England_x000D_
.died: 1530    -1595     ?England, age:25y 0m 0d, _x000D_
.bapt: 1785GE_x000D_
.will: 2004MO_x000D_
.obit: 1890OH_x000D_
.bury: 1850IL _x000D_
.wpbt: 1826PA_x000D_
.anc#:double ancestor_x000D_
citiz:foreign_x000D_
#spos:1_x000D_
#srcs:3_x000D_
#comment:0_x000D_
#events:1_x000D_
#kids:1_x000D_
lived:?EN_x000D_
issue:_x000D_
.recs:Birth,Marriage,Death_x000D_
.imm?:no_x000D_
..Spo:HATTIE RATLIF</t>
        </r>
      </text>
    </comment>
    <comment ref="Q1412" authorId="0" shapeId="0" xr:uid="{2563A7DF-B11C-4ABD-820C-5B71B05DFF0A}">
      <text>
        <r>
          <rPr>
            <sz val="9"/>
            <color indexed="81"/>
            <rFont val="Tahoma"/>
            <family val="2"/>
          </rPr>
          <t>ANNA SAUNDERS_x000D_
http://yeinfo.com/family/I09041469.html_x000D_
https://www.google.com/search?q=ANNA+SAUNDERS+1530+1588+PRESTON_x000D_
.born:c1530    -          Giggleswick (Yorkshire) England_x000D_
.died: 15880209-          Giggleswick (Yorkshire) England, age:58y 1m 8d, _x000D_
.bapt: 1785GE_x000D_
.will: 2004MO_x000D_
.obit: 1890OH_x000D_
.bury: 1850IL _x000D_
.wpbt: 1826PA_x000D_
.anc#:double ancestor_x000D_
citiz:foreign_x000D_
#spos:1_x000D_
#srcs:3_x000D_
#comment:0_x000D_
#events:1_x000D_
#kids:6_x000D_
lived:ENYORKSGIGGLES_x000D_
issue:_x000D_
.recs:Birth,Marriage,Death_x000D_
.imm?:no_x000D_
..Spo:WILLIAM PRESTON</t>
        </r>
      </text>
    </comment>
    <comment ref="R1414" authorId="0" shapeId="0" xr:uid="{D64422BC-405A-486B-8913-51FA3C41583C}">
      <text>
        <r>
          <rPr>
            <sz val="9"/>
            <color indexed="81"/>
            <rFont val="Tahoma"/>
            <family val="2"/>
          </rPr>
          <t>HATTIE RATLIF_x000D_
http://yeinfo.com/family/I09065552.html_x000D_
https://www.google.com/search?q=HATTIE+RATLIF+1505+1530+SAUNDERS_x000D_
.born:?1505    -         ?England_x000D_
.died: 1530    -1595     ?England, age:25y 0m 0d, _x000D_
.bapt: 1785GE_x000D_
.will: 2004MO_x000D_
.obit: 1890OH_x000D_
.bury: 1850IL _x000D_
.wpbt: 1826PA_x000D_
.anc#:double ancestor_x000D_
citiz:foreign_x000D_
#spos:1_x000D_
#srcs:3_x000D_
#comment:0_x000D_
#events:1_x000D_
#kids:1_x000D_
lived:?EN_x000D_
issue:_x000D_
.recs:Birth,Marriage,Death_x000D_
.imm?:no_x000D_
..Spo:GEORGE SAUNDERS</t>
        </r>
      </text>
    </comment>
    <comment ref="O1416" authorId="0" shapeId="0" xr:uid="{9FB59EFB-AA0B-4F9E-B111-9F41D6E938B9}">
      <text>
        <r>
          <rPr>
            <sz val="9"/>
            <color indexed="81"/>
            <rFont val="Tahoma"/>
            <family val="2"/>
          </rPr>
          <t>MARGARET PRESTON_x000D_
http://yeinfo.com/family/I09010367.html_x000D_
https://www.google.com/search?q=MARGARET+PRESTON+1593+1686+MEADOWS_x000D_
.born:c1593    -          Gloucestershire county England_x000D_
.died: 16860706-          , age:93y 6m 5d, _x000D_
.bapt: 1785GE_x000D_
.will: 2004MO_x000D_
.obit: 1890OH_x000D_
.bury: 1850IL _x000D_
.wpbt: 1826PA_x000D_
.anc#:double ancestor_x000D_
citiz:US born_x000D_
#spos:1_x000D_
#srcs:3_x000D_
#comment:0_x000D_
#events:1_x000D_
#kids:2_x000D_
lived:ENGLOUS_x000D_
issue:Died after Age 100_x000D_
.recs:Birth,Marriage,Death_x000D_
.imm?:no_x000D_
..Spo:HENRY MEADOWS</t>
        </r>
      </text>
    </comment>
    <comment ref="Q1418" authorId="0" shapeId="0" xr:uid="{EEF01FA0-EE04-47B7-B0F0-7E7077D7A5C0}">
      <text>
        <r>
          <rPr>
            <sz val="9"/>
            <color indexed="81"/>
            <rFont val="Tahoma"/>
            <family val="2"/>
          </rPr>
          <t>ROBERT BRAITHWAITE_x000D_
http://yeinfo.com/family/I09041470.html_x000D_
https://www.google.com/search?q=ROBERT+BRAITHWAITE+1538+1589+BETTERES_x000D_
.born: 1538    -          Penrith (Cumbria) England_x000D_
.died: 1589    -          , age:51y 0m 0d, _x000D_
.bapt: 1785GE_x000D_
.will: 2004MO_x000D_
.obit: 1890OH_x000D_
.bury: 1850IL _x000D_
.wpbt: 1826PA_x000D_
.anc#:double ancestor_x000D_
citiz:foreign_x000D_
#spos:1_x000D_
#srcs:4_x000D_
#comment:0_x000D_
#events:1_x000D_
#kids:1_x000D_
lived:ENCUMBRPENRITH_x000D_
issue:_x000D_
.recs:Birth,Marriage,Death_x000D_
.imm?:no_x000D_
..Spo:BETTERES VAUX</t>
        </r>
      </text>
    </comment>
    <comment ref="P1420" authorId="0" shapeId="0" xr:uid="{97EF62F6-B78B-4626-AB90-478C18A1A8BE}">
      <text>
        <r>
          <rPr>
            <sz val="9"/>
            <color indexed="81"/>
            <rFont val="Tahoma"/>
            <family val="2"/>
          </rPr>
          <t>ISABEL\ISABELL BRAITHWAITE_x000D_
http://yeinfo.com/family/I09020735.html_x000D_
https://www.google.com/search?q=ISABEL\ISABELL+BRAITHWAITE+1564+1620+PRESTON_x000D_
.born: 15640520-          Penrith (Cumbria) England_x000D_
.died: 16201213-         ?England, age:56y 6m 23d, _x000D_
.bapt: 1785GE_x000D_
.will: 2004MO_x000D_
.obit: 1890OH_x000D_
.bury: 1850IL _x000D_
.wpbt: 1826PA_x000D_
.anc#:double ancestor_x000D_
citiz:foreign_x000D_
#spos:1_x000D_
#srcs:4_x000D_
#comment:0_x000D_
#events:1_x000D_
#kids:9_x000D_
lived:ENCUMBRPENRITH,ENYORKSGIGGLES_x000D_
issue:_x000D_
.recs:Birth,Marriage,Death_x000D_
.imm?:no_x000D_
..Spo:ADAM PRESTON</t>
        </r>
      </text>
    </comment>
    <comment ref="Q1422" authorId="0" shapeId="0" xr:uid="{981FF1BE-E001-46F5-B3DF-4C11B7461836}">
      <text>
        <r>
          <rPr>
            <sz val="9"/>
            <color indexed="81"/>
            <rFont val="Tahoma"/>
            <family val="2"/>
          </rPr>
          <t>BETTERES VAUX_x000D_
http://yeinfo.com/family/I09041471.html_x000D_
https://www.google.com/search?q=BETTERES+VAUX+1543+1594+BRAITHWAITE_x000D_
.born: 1543    -          Penrith (Cumberland) England_x000D_
.died: 15940410-          Penrith (Cumberland) England, age:51y 3m 9d, _x000D_
.bapt: 1785GE_x000D_
.will: 2004MO_x000D_
.obit: 1890OH_x000D_
.bury: 1850IL _x000D_
.wpbt: 1826PA_x000D_
.anc#:double ancestor_x000D_
citiz:foreign_x000D_
#spos:1_x000D_
#srcs:6_x000D_
#comment:0_x000D_
#events:1_x000D_
#kids:1_x000D_
lived:ENCUMBEPENRITH_x000D_
issue:_x000D_
.recs:Birth,Marriage,Death_x000D_
.imm?:no_x000D_
..Spo:ROBERT BRAITHWAITE</t>
        </r>
      </text>
    </comment>
    <comment ref="G1424" authorId="0" shapeId="0" xr:uid="{ECA51979-F46C-4144-813D-94FCA849B9AA}">
      <text>
        <r>
          <rPr>
            <sz val="9"/>
            <color indexed="81"/>
            <rFont val="Tahoma"/>
            <family val="2"/>
          </rPr>
          <t>GILBERT SEARLS_x000D_
http://yeinfo.com/family/I09000040.html_x000D_
https://www.google.com/search?q=GILBERT+SEARLS+1811+1860+ELIZABETH_x000D_
.born: 18110603-          Greene county New York_x000D_
.died: 18601009-         ?Pecatonica (Winnebago) Illinois, age:49y 4m 6d, _x000D_
.bapt: 1785GE_x000D_
.will: 2004MO_x000D_
.obit: 1890OH_x000D_
.bury: 1850IL Winnebago Cemetery_x000D_
.wpbt: 1826PA_x000D_
.anc#:ancestor_x000D_
citiz:US born_x000D_
#spos:1_x000D_
#srcs:11_x000D_
#comment:2_x000D_
#events:11_x000D_
#kids:8_x000D_
lived:ILWINNEPECATON,ILWINNEWINNEBA,NYGRENE,OHMEDINHINCKLY_x000D_
issue:_x000D_
.recs:Birth,Marriage,Death,Interment/Burial,Land Transaction,Image_x000D_
.imm?:no_x000D_
..Spo:ELIZABETH HALSTEAD</t>
        </r>
      </text>
    </comment>
    <comment ref="O1426" authorId="0" shapeId="0" xr:uid="{84EBDC21-D948-48FF-A009-46111702208F}">
      <text>
        <r>
          <rPr>
            <sz val="9"/>
            <color indexed="81"/>
            <rFont val="Tahoma"/>
            <family val="2"/>
          </rPr>
          <t>WILLIAM FISHER_x000D_
http://yeinfo.com/family/I09010368.html_x000D_
https://www.google.com/search?q=WILLIAM+FISHER+1560+1589+MARY_x000D_
.born: 1560    -          Stirling City (Aryshire) Scotland_x000D_
.died: 1589    -1650     ?Scotland, age:29y 0m 0d, _x000D_
.bapt: 1785GE_x000D_
.will: 2004MO_x000D_
.obit: 1890OH_x000D_
.bury: 1850IL _x000D_
.wpbt: 1826PA_x000D_
.anc#:ancestor_x000D_
citiz:foreign_x000D_
#spos:1_x000D_
#srcs:1_x000D_
#comment:0_x000D_
#events:1_x000D_
#kids:3_x000D_
lived:STAYRSHSTIRLIN_x000D_
issue:_x000D_
.recs:Birth,Marriage,Death_x000D_
.imm?:no_x000D_
..Spo:MARY ROACH</t>
        </r>
      </text>
    </comment>
    <comment ref="N1428" authorId="0" shapeId="0" xr:uid="{D3914C51-BBAA-44DE-92C6-2706FE3EB25E}">
      <text>
        <r>
          <rPr>
            <sz val="9"/>
            <color indexed="81"/>
            <rFont val="Tahoma"/>
            <family val="2"/>
          </rPr>
          <t>JOHN FISHER_x000D_
http://yeinfo.com/family/I09005184.html_x000D_
https://www.google.com/search?q=JOHN+FISHER+1585+1621+MARTHA_x000D_
.born: 1585    -          Irvine (Aryshire) Scotland_x000D_
.died: 1621    -1675     ?Scotland, age:36y 0m 0d, _x000D_
.bapt: 1785GE_x000D_
.will: 2004MO_x000D_
.obit: 1890OH_x000D_
.bury: 1850IL _x000D_
.wpbt: 1826PA_x000D_
.anc#:ancestor_x000D_
citiz:foreign_x000D_
#spos:1_x000D_
#srcs:1_x000D_
#comment:0_x000D_
#events:1_x000D_
#kids:6_x000D_
lived:STAYRSHIRVINE_x000D_
issue:_x000D_
.recs:Birth,Marriage,Death_x000D_
.imm?:no_x000D_
..Spo:MARTHA FISHER</t>
        </r>
      </text>
    </comment>
    <comment ref="O1430" authorId="0" shapeId="0" xr:uid="{78C4B7C9-1FE1-4891-B2E5-2C203C9165D1}">
      <text>
        <r>
          <rPr>
            <sz val="9"/>
            <color indexed="81"/>
            <rFont val="Tahoma"/>
            <family val="2"/>
          </rPr>
          <t>MARY ROACH_x000D_
http://yeinfo.com/family/I09010369.html_x000D_
https://www.google.com/search?q=MARY+ROACH+1560+1585+FISHER_x000D_
.born: 1560    -          Stirlingshire county Scotland_x000D_
.died: 1585    -1650     ?Scotland, age:25y 0m 0d, _x000D_
.bapt: 1785GE_x000D_
.will: 2004MO_x000D_
.obit: 1890OH_x000D_
.bury: 1850IL _x000D_
.wpbt: 1826PA_x000D_
.anc#:ancestor_x000D_
citiz:foreign_x000D_
#spos:1_x000D_
#srcs:1_x000D_
#comment:0_x000D_
#events:1_x000D_
#kids:3_x000D_
lived:STSTIRL_x000D_
issue:_x000D_
.recs:Birth,Marriage,Death_x000D_
.imm?:no_x000D_
..Spo:WILLIAM FISHER</t>
        </r>
      </text>
    </comment>
    <comment ref="M1432" authorId="0" shapeId="0" xr:uid="{69399C93-4170-49B0-8F04-8E472D96204A}">
      <text>
        <r>
          <rPr>
            <sz val="9"/>
            <color indexed="81"/>
            <rFont val="Tahoma"/>
            <family val="2"/>
          </rPr>
          <t>JAMES FISHER_x000D_
http://yeinfo.com/family/I09002592.html_x000D_
https://www.google.com/search?q=JAMES+FISHER+1611+1672+ELIZABETH_x000D_
.born: 1611    -          Irvine (Aryshire) Scotland_x000D_
.died: 167206  -          Antrim county Ireland, age:61y 5m 0d, _x000D_
.bapt: 1785GE_x000D_
.will: 2004MO_x000D_
.obit: 1890OH_x000D_
.bury: 1850IL _x000D_
.wpbt: 1826PA_x000D_
.anc#:ancestor_x000D_
citiz:foreign_x000D_
#spos:1_x000D_
#srcs:1_x000D_
#comment:1_x000D_
#events:1_x000D_
#kids:7_x000D_
lived:IRANTRI,STAYRSHIRVINE_x000D_
issue:_x000D_
.recs:Birth,Marriage,Death_x000D_
.imm?:no_x000D_
..Spo:ELIZABETH FISHER</t>
        </r>
      </text>
    </comment>
    <comment ref="N1434" authorId="0" shapeId="0" xr:uid="{ECF3DAE3-BEDA-43D4-8B4E-2EEE8FD64D5E}">
      <text>
        <r>
          <rPr>
            <sz val="9"/>
            <color indexed="81"/>
            <rFont val="Tahoma"/>
            <family val="2"/>
          </rPr>
          <t>Mrs. MARTHA FISHER_x000D_
http://yeinfo.com/family/I09005185.html_x000D_
https://www.google.com/search?q=MARTHA+FISHER+1585+1621+FISHER_x000D_
.born: 1585    -          Stirlingshire county Scotland_x000D_
.died: 1621    -1675     ?Scotland, age:36y 0m 0d, _x000D_
.bapt: 1785GE_x000D_
.will: 2004MO_x000D_
.obit: 1890OH_x000D_
.bury: 1850IL _x000D_
.wpbt: 1826PA_x000D_
.anc#:ancestor_x000D_
citiz:foreign_x000D_
#spos:1_x000D_
#srcs:1_x000D_
#comment:0_x000D_
#events:1_x000D_
#kids:6_x000D_
lived:STSTIRL_x000D_
issue:_x000D_
.recs:Birth,Marriage,Death_x000D_
.imm?:no_x000D_
..Spo:JOHN FISHER</t>
        </r>
      </text>
    </comment>
    <comment ref="L1436" authorId="0" shapeId="0" xr:uid="{43A192B8-B19D-47C4-A68C-D3040898D1B3}">
      <text>
        <r>
          <rPr>
            <sz val="9"/>
            <color indexed="81"/>
            <rFont val="Tahoma"/>
            <family val="2"/>
          </rPr>
          <t>JAMES FISHER_x000D_
http://yeinfo.com/family/I09001296.html_x000D_
https://www.google.com/search?q=JAMES+FISHER+1636+1675+JANET_x000D_
.born: 1636    -          Glens (Antrim) Ireland_x000D_
.died: 1675    -1726      Londonderry county Northern Ireland, age:39y 0m 0d, _x000D_
.bapt: 1785GE_x000D_
.will: 2004MO_x000D_
.obit: 1890OH_x000D_
.bury: 1850IL Presbyterian Cemetery_x000D_
.wpbt: 1826PA_x000D_
.anc#:ancestor_x000D_
citiz:foreign_x000D_
#spos:1_x000D_
#srcs:2_x000D_
#comment:0_x000D_
#events:3_x000D_
#kids:11_x000D_
lived:IRANTRIGLENS,NILONDD_x000D_
issue:_x000D_
.recs:Birth,Marriage,Death,Interment/Burial_x000D_
.imm?:no_x000D_
..Spo:JANET FISHER</t>
        </r>
      </text>
    </comment>
    <comment ref="M1438" authorId="0" shapeId="0" xr:uid="{04528B4C-3FD8-4AB5-AE37-175AB635F5CD}">
      <text>
        <r>
          <rPr>
            <sz val="9"/>
            <color indexed="81"/>
            <rFont val="Tahoma"/>
            <family val="2"/>
          </rPr>
          <t>Mrs. ELIZABETH FISHER_x000D_
http://yeinfo.com/family/I09002593.html_x000D_
https://www.google.com/search?q=ELIZABETH+FISHER+1611+1652+FISHER_x000D_
.born: 1611    -         ?Scotland_x000D_
.died: 1652    -         ?Ireland, age:41y 0m 0d, _x000D_
.bapt: 1785GE_x000D_
.will: 2004MO_x000D_
.obit: 1890OH_x000D_
.bury: 1850IL _x000D_
.wpbt: 1826PA_x000D_
.anc#:ancestor_x000D_
citiz:foreign_x000D_
#spos:1_x000D_
#srcs:1_x000D_
#comment:0_x000D_
#events:1_x000D_
#kids:7_x000D_
lived:?IR,?ST_x000D_
issue:_x000D_
.recs:Birth,Marriage,Death_x000D_
.imm?:no_x000D_
..Spo:JAMES FISHER</t>
        </r>
      </text>
    </comment>
    <comment ref="K1440" authorId="0" shapeId="0" xr:uid="{9D4DBF1E-3732-4B64-9323-6E331E348459}">
      <text>
        <r>
          <rPr>
            <sz val="9"/>
            <color indexed="81"/>
            <rFont val="Tahoma"/>
            <family val="2"/>
          </rPr>
          <t>JOHN FISHER_x000D_
http://yeinfo.com/family/I09000648.html_x000D_
https://www.google.com/search?q=JOHN+FISHER+1675+1727+SARAH+ELLEN_x000D_
.born: 16751206-          Londonderry (Londonderry) Ireland_x000D_
.died: 17271219-          Londonderry (Londonderry) Ireland, age:52y 0m 13d, _x000D_
.bapt: 1785GE_x000D_
.will: 2004MO_x000D_
.obit: 1890OH_x000D_
.bury: 1850IL _x000D_
.wpbt: 1826PA_x000D_
.anc#:ancestor_x000D_
citiz:foreign_x000D_
#spos:1_x000D_
#srcs:1_x000D_
#comment:0_x000D_
#events:1_x000D_
#kids:5_x000D_
lived:IRLONDDLONDOND,IRULSTELONDOND_x000D_
issue:_x000D_
.recs:Birth,Marriage,Death_x000D_
.imm?:no_x000D_
..Spo:SARAH ELLEN WALTERS</t>
        </r>
      </text>
    </comment>
    <comment ref="L1442" authorId="0" shapeId="0" xr:uid="{11FD1CF9-C008-4D45-8916-C217F1589C38}">
      <text>
        <r>
          <rPr>
            <sz val="9"/>
            <color indexed="81"/>
            <rFont val="Tahoma"/>
            <family val="2"/>
          </rPr>
          <t>Mrs. JANET FISHER_x000D_
http://yeinfo.com/family/I09001297.html_x000D_
https://www.google.com/search?q=JANET+FISHER+1636+1675+FISHER_x000D_
.born: 1636    -          Londonderry (Londonderry) Northern Ireland_x000D_
.died: 1675    -1726      Londonderry (Londonderry) Northern Ireland, age:39y 0m 0d, _x000D_
.bapt: 1785GE_x000D_
.will: 2004MO_x000D_
.obit: 1890OH_x000D_
.bury: 1850IL _x000D_
.wpbt: 1826PA_x000D_
.anc#:ancestor_x000D_
citiz:foreign_x000D_
#spos:1_x000D_
#srcs:1_x000D_
#comment:0_x000D_
#events:1_x000D_
#kids:11_x000D_
lived:?IR,NILONDDLONDOND_x000D_
issue:_x000D_
.recs:Birth,Marriage,Death_x000D_
.imm?:no_x000D_
..Spo:JAMES FISHER</t>
        </r>
      </text>
    </comment>
    <comment ref="J1444" authorId="0" shapeId="0" xr:uid="{D128292D-B06C-483D-97D7-4375AF069FE3}">
      <text>
        <r>
          <rPr>
            <sz val="9"/>
            <color indexed="81"/>
            <rFont val="Tahoma"/>
            <family val="2"/>
          </rPr>
          <t>SAMUEL FISHER_x000D_
http://yeinfo.com/family/I09000324.html_x000D_
https://www.google.com/search?q=SAMUEL+FISHER+1722+1806+SARAH_x000D_
.born: 17220729-          Londonderry county Ireland_x000D_
.died: 18060410-          Londonderry (Rockingham) New Hampshire, age:83y 8m 12d, _x000D_
.bapt: 1785GE_x000D_
.will: 2004MO_x000D_
.obit: 1890OH_x000D_
.bury: 1850IL Old Hill Graveyard_x000D_
.wpbt: 1826PA_x000D_
.anc#:ancestor_x000D_
citiz:immigrant_x000D_
#spos:1_x000D_
#srcs:3_x000D_
#comment:0_x000D_
#events:5_x000D_
#kids:7_x000D_
lived:IRLONDD,NHROCKILONDOND_x000D_
issue:_x000D_
.recs:Birth,Death,Immigrate_x000D_
.imm?:immigrant_x000D_
..Spo:SARAH BARBER</t>
        </r>
      </text>
    </comment>
    <comment ref="K1446" authorId="0" shapeId="0" xr:uid="{93CB9F8B-41B8-494B-9FB4-F024F89E8E41}">
      <text>
        <r>
          <rPr>
            <sz val="9"/>
            <color indexed="81"/>
            <rFont val="Tahoma"/>
            <family val="2"/>
          </rPr>
          <t>SARAH ELLEN WALTERS_x000D_
http://yeinfo.com/family/I09000649.html_x000D_
https://www.google.com/search?q=SARAH+ELLEN+WALTERS+1675+1724+FISHER_x000D_
.born: 1675    -          Londonderry (Ulster) Ireland_x000D_
.died:c1724    -          Londonderry (Ulster) Ireland, age:49y 0m 0d, _x000D_
.bapt: 1785GE_x000D_
.will: 2004MO_x000D_
.obit: 1890OH_x000D_
.bury: 1850IL Londonderry Presbyterian Cemetery_x000D_
.wpbt: 1826PA_x000D_
.anc#:ancestor_x000D_
citiz:foreign_x000D_
#spos:1_x000D_
#srcs:1_x000D_
#comment:0_x000D_
#events:2_x000D_
#kids:5_x000D_
lived:IRULSTELONDOND_x000D_
issue:_x000D_
.recs:Birth,Marriage,Death,Interment/Burial_x000D_
.imm?:no_x000D_
..Spo:JOHN FISHER</t>
        </r>
      </text>
    </comment>
    <comment ref="I1448" authorId="0" shapeId="0" xr:uid="{3EA4D886-23B2-4FD5-8E95-066221311C35}">
      <text>
        <r>
          <rPr>
            <sz val="9"/>
            <color indexed="81"/>
            <rFont val="Tahoma"/>
            <family val="2"/>
          </rPr>
          <t>WILLIAM FISHER_x000D_
http://yeinfo.com/family/I09000162.html_x000D_
https://www.google.com/search?q=WILLIAM+FISHER+1762+1823+CHARITY_x000D_
.born: 17621201-         ?New York_x000D_
.died: 18231024-          New Baltimore (Greene) New York, age:60y 10m 23d, _x000D_
.bapt: 1785GE_x000D_
.will: 2004MO_x000D_
.obit: 1890OH_x000D_
.bury: 1850IL Sarls Homestead Cemetery_x000D_
.wpbt: 1826PA_x000D_
.anc#:ancestor_x000D_
citiz:US born_x000D_
#spos:1_x000D_
#srcs:11_x000D_
#comment:0_x000D_
#events:4_x000D_
#kids:3_x000D_
lived:?NY,NYGRENEHANNACR,NYGRENENEW BAL,NYWESTC_x000D_
issue:_x000D_
.recs:Birth,Marriage,Death,Interment/Burial_x000D_
.imm?:no_x000D_
..Spo:CHARITY SEARLS</t>
        </r>
      </text>
    </comment>
    <comment ref="M1450" authorId="0" shapeId="0" xr:uid="{2C4E7C64-3AA9-41D9-827B-5B001D073998}">
      <text>
        <r>
          <rPr>
            <sz val="9"/>
            <color indexed="81"/>
            <rFont val="Tahoma"/>
            <family val="2"/>
          </rPr>
          <t>JOHN BARBER_x000D_
http://yeinfo.com/family/I09002600.html_x000D_
https://www.google.com/search?q=JOHN+BARBER+1630+1669+SISELY_x000D_
.born: 1630    -          Dover (Strafford) New Hampshire_x000D_
.died: 1669    -1720     ?Massachusetts, age:39y 0m 0d, _x000D_
.bapt: 1785GE_x000D_
.will: 2004MO_x000D_
.obit: 1890OH_x000D_
.bury: 1850IL _x000D_
.wpbt: 1826PA_x000D_
.anc#:ancestor_x000D_
citiz:US born_x000D_
#spos:1_x000D_
#srcs:2_x000D_
#comment:0_x000D_
#events:4_x000D_
#kids:1_x000D_
lived:MAESSEXAMESBUR,NHROCKIEXETER,NHSTRAFDOVER_x000D_
issue:_x000D_
.recs:Birth,Marriage,Taxes,Death_x000D_
.imm?:no_x000D_
..Spo:SISELY BARBER</t>
        </r>
      </text>
    </comment>
    <comment ref="L1452" authorId="0" shapeId="0" xr:uid="{1819B222-1AFD-43FC-B7CE-7A96B3DA6287}">
      <text>
        <r>
          <rPr>
            <sz val="9"/>
            <color indexed="81"/>
            <rFont val="Tahoma"/>
            <family val="2"/>
          </rPr>
          <t>ROBERT BARBER Sr._x000D_
http://yeinfo.com/family/I09001300.html_x000D_
https://www.google.com/search?q=ROBERT+BARBER+1669+1706+SISLY_x000D_
.born: 16690301-          Amesbury (Essex) Massachusetts_x000D_
.died: 17060723-          Newfields (Rockingham) New Hampshire, age:37y 4m 22d, killed in Indian raid_x000D_
.bapt: 1785GE_x000D_
.will: 2004MO_x000D_
.obit: 1890OH_x000D_
.bury: 1850IL _x000D_
.wpbt: 1826PA_x000D_
.anc#:ancestor_x000D_
citiz:US born_x000D_
#spos:1_x000D_
#srcs:2_x000D_
#comment:0_x000D_
#events:2_x000D_
#kids:1_x000D_
lived:MAESSEXAMESBUR,NHROCKIEXETER,NHROCKINEWFLDS_x000D_
issue:_x000D_
.recs:Birth,Marriage,Death,Land Transaction_x000D_
.imm?:no_x000D_
..Spo:SISLY BARBER</t>
        </r>
      </text>
    </comment>
    <comment ref="M1454" authorId="0" shapeId="0" xr:uid="{B53011ED-7DD9-402C-A036-858F0DD7726E}">
      <text>
        <r>
          <rPr>
            <sz val="9"/>
            <color indexed="81"/>
            <rFont val="Tahoma"/>
            <family val="2"/>
          </rPr>
          <t>Mrs. SISELY BARBER_x000D_
http://yeinfo.com/family/I09002601.html_x000D_
https://www.google.com/search?q=SISELY+BARBER+1633+1669+BARBER_x000D_
.born: 1633    -          New Hampshire_x000D_
.died: 1669    -1734     ?Massachusetts, age:36y 0m 0d, _x000D_
.bapt: 1785GE_x000D_
.will: 2004MO_x000D_
.obit: 1890OH_x000D_
.bury: 1850IL _x000D_
.wpbt: 1826PA_x000D_
.anc#:ancestor_x000D_
citiz:US born_x000D_
#spos:1_x000D_
#srcs:2_x000D_
#comment:0_x000D_
#events:1_x000D_
#kids:1_x000D_
lived:?MA,NH_x000D_
issue:_x000D_
.recs:Birth,Marriage,Death_x000D_
.imm?:no_x000D_
..Spo:JOHN BARBER</t>
        </r>
      </text>
    </comment>
    <comment ref="K1456" authorId="0" shapeId="0" xr:uid="{1B0F0498-15B6-402C-8666-67DBD33154D6}">
      <text>
        <r>
          <rPr>
            <sz val="9"/>
            <color indexed="81"/>
            <rFont val="Tahoma"/>
            <family val="2"/>
          </rPr>
          <t>ROBERT BARBER_x000D_
http://yeinfo.com/family/I09000650.html_x000D_
https://www.google.com/search?q=ROBERT+BARBER+1699+1742+SARAH_x000D_
.born: 16990304-          Exeter (Rockingham) New Hampshire_x000D_
.died: 1742    -          Newfields (Rockingham) New Hampshire, age:42y 9m 28d, _x000D_
.bapt: 1785GE_x000D_
.will: 2004MO_x000D_
.obit: 1890OH_x000D_
.bury: 1850IL Worcester Common Burial Ground_x000D_
.wpbt: 1826PA_x000D_
.anc#:ancestor_x000D_
citiz:US born_x000D_
#spos:1_x000D_
#srcs:6_x000D_
#comment:1_x000D_
#events:2_x000D_
#kids:6_x000D_
lived:MAWORCEWORCEST,NHROCKIEXETER,NHROCKINEWFLDS_x000D_
issue:_x000D_
.recs:Birth,Marriage,Death,Interment/Burial_x000D_
.imm?:no_x000D_
..Spo:SARAH BEAN</t>
        </r>
      </text>
    </comment>
    <comment ref="L1458" authorId="0" shapeId="0" xr:uid="{F4CD8303-F5CC-45C6-B7E7-0EB6964CD107}">
      <text>
        <r>
          <rPr>
            <sz val="9"/>
            <color indexed="81"/>
            <rFont val="Tahoma"/>
            <family val="2"/>
          </rPr>
          <t>Mrs. SISLY BARBER_x000D_
http://yeinfo.com/family/I09001301.html_x000D_
https://www.google.com/search?q=SISLY+BARBER+1670+1699+BARBER_x000D_
.born:?1670    -          _x000D_
.died: 1699    -1760      , age:29y 0m 0d, _x000D_
.bapt: 1785GE_x000D_
.will: 2004MO_x000D_
.obit: 1890OH_x000D_
.bury: 1850IL _x000D_
.wpbt: 1826PA_x000D_
.anc#:ancestor_x000D_
citiz:US born_x000D_
#spos:1_x000D_
#srcs:1_x000D_
#comment:0_x000D_
#events:1_x000D_
#kids:1_x000D_
lived:?MA_x000D_
issue:_x000D_
.recs:Birth,Marriage,Death_x000D_
.imm?:no_x000D_
..Spo:ROBERT BARBER</t>
        </r>
      </text>
    </comment>
    <comment ref="J1460" authorId="0" shapeId="0" xr:uid="{E3445FBD-29D4-46C3-956F-2B27D51EAEC5}">
      <text>
        <r>
          <rPr>
            <sz val="9"/>
            <color indexed="81"/>
            <rFont val="Tahoma"/>
            <family val="2"/>
          </rPr>
          <t>SARAH BARBER_x000D_
http://yeinfo.com/family/I09000325.html_x000D_
https://www.google.com/search?q=SARAH+BARBER+1732+1813+FISHER_x000D_
.born: 17320526-         ?Rockingham county New Hampshire_x000D_
.died: 18130203-          Londonderry (Rockingham) New Hampshire, age:80y 8m 8d, _x000D_
.bapt: 1785GE_x000D_
.will: 2004MO_x000D_
.obit: 1890OH_x000D_
.bury: 1850IL Old Hill Graveyard_x000D_
.wpbt: 1826PA_x000D_
.anc#:ancestor_x000D_
citiz:US born_x000D_
#spos:1_x000D_
#srcs:6_x000D_
#comment:0_x000D_
#events:2_x000D_
#kids:7_x000D_
lived:MAWORCEWORCEST,NHROCKILONDOND_x000D_
issue:_x000D_
.recs:Birth,Marriage,Death,Interment/Burial_x000D_
.imm?:no_x000D_
..Spo:SAMUEL FISHER</t>
        </r>
      </text>
    </comment>
    <comment ref="U1462" authorId="0" shapeId="0" xr:uid="{C73EB17E-FBD4-4507-8A52-699E8D112ABA}">
      <text>
        <r>
          <rPr>
            <sz val="9"/>
            <color indexed="81"/>
            <rFont val="Tahoma"/>
            <family val="2"/>
          </rPr>
          <t>PAUL MACBEAN_x000D_
http://yeinfo.com/family/I09065975.html_x000D_
https://www.google.com/search?q=PAUL+MACBEAN+1350+1405+{_?_}_x000D_
.born:a1350    -          Scotland_x000D_
.died: 1405    -1440     ?Scotland, age:55y 0m 0d, _x000D_
.bapt: 1785GE_x000D_
.will: 2004MO_x000D_
.obit: 1890OH_x000D_
.bury: 1850IL _x000D_
.wpbt: 1826PA_x000D_
.anc#:ancestor_x000D_
citiz:foreign_x000D_
#spos:1_x000D_
#srcs:1_x000D_
#comment:0_x000D_
#events:1_x000D_
#kids:1_x000D_
lived:ST_x000D_
issue:_x000D_
.recs:Birth,Marriage,Death_x000D_
.imm?:no_x000D_
..Spo:{_?_} MACBEAN</t>
        </r>
      </text>
    </comment>
    <comment ref="T1464" authorId="0" shapeId="0" xr:uid="{77B51E9D-CEC3-4683-83A5-781ADFE7E5DD}">
      <text>
        <r>
          <rPr>
            <sz val="9"/>
            <color indexed="81"/>
            <rFont val="Tahoma"/>
            <family val="2"/>
          </rPr>
          <t>NOAH MACBEAN_x000D_
http://yeinfo.com/family/I09065817.html_x000D_
https://www.google.com/search?q=NOAH+MACBEAN+1405+1445+EMZARA_x000D_
.born: 1405    -          Scotland_x000D_
.died: 1445    -1495     ?Scotland, age:40y 0m 0d, _x000D_
.bapt: 1785GE_x000D_
.will: 2004MO_x000D_
.obit: 1890OH_x000D_
.bury: 1850IL _x000D_
.wpbt: 1826PA_x000D_
.anc#:ancestor_x000D_
citiz:foreign_x000D_
#spos:1_x000D_
#srcs:1_x000D_
#comment:1_x000D_
#events:1_x000D_
#kids:1_x000D_
lived:ST_x000D_
issue:_x000D_
.recs:Birth,Marriage,Death_x000D_
.imm?:no_x000D_
..Spo:EMZARA NAAMAH</t>
        </r>
      </text>
    </comment>
    <comment ref="U1466" authorId="0" shapeId="0" xr:uid="{1B0E79FF-8A17-4B98-BDE7-7038008607A8}">
      <text>
        <r>
          <rPr>
            <sz val="9"/>
            <color indexed="81"/>
            <rFont val="Tahoma"/>
            <family val="2"/>
          </rPr>
          <t>Mrs. {_?_} MACBEAN_x000D_
http://yeinfo.com/family/I09065976.html_x000D_
https://www.google.com/search?q={_?_}+MACBEAN+1355+1405+MACBEAN_x000D_
.born:?1355    -          Scotland_x000D_
.died: 1405    -1445     ?Scotland, age:50y 0m 0d, _x000D_
.bapt: 1785GE_x000D_
.will: 2004MO_x000D_
.obit: 1890OH_x000D_
.bury: 1850IL _x000D_
.wpbt: 1826PA_x000D_
.anc#:ancestor_x000D_
citiz:foreign_x000D_
#spos:1_x000D_
#srcs:1_x000D_
#comment:0_x000D_
#events:1_x000D_
#kids:1_x000D_
lived:ST_x000D_
issue:_x000D_
.recs:Birth,Marriage,Death_x000D_
.imm?:no_x000D_
..Spo:PAUL MACBEAN</t>
        </r>
      </text>
    </comment>
    <comment ref="S1468" authorId="0" shapeId="0" xr:uid="{F51D1D8A-26C9-456C-8545-9D2470E61241}">
      <text>
        <r>
          <rPr>
            <sz val="9"/>
            <color indexed="81"/>
            <rFont val="Tahoma"/>
            <family val="2"/>
          </rPr>
          <t>PAUL MACBEAN_x000D_
http://yeinfo.com/family/I09065688.html_x000D_
https://www.google.com/search?q=PAUL+MACBEAN+1445+1475+SARAH+ANNE_x000D_
.born: 1445    -          Scotland_x000D_
.died: 14751231-          Scotland, age:30y 11m 30d, _x000D_
.bapt: 1785GE_x000D_
.will: 2004MO_x000D_
.obit: 1890OH_x000D_
.bury: 1850IL _x000D_
.wpbt: 1826PA_x000D_
.anc#:ancestor_x000D_
citiz:foreign_x000D_
#spos:1_x000D_
#srcs:1_x000D_
#comment:0_x000D_
#events:1_x000D_
#kids:1_x000D_
lived:ST_x000D_
issue:Died after Age 100_x000D_
.recs:Birth,Marriage,Death_x000D_
.imm?:no_x000D_
..Spo:SARAH ANNE MORRAY</t>
        </r>
      </text>
    </comment>
    <comment ref="T1470" authorId="0" shapeId="0" xr:uid="{DA176700-FE09-4111-A679-1423A2A7047C}">
      <text>
        <r>
          <rPr>
            <sz val="9"/>
            <color indexed="81"/>
            <rFont val="Tahoma"/>
            <family val="2"/>
          </rPr>
          <t>EMZARA NAAMAH_x000D_
http://yeinfo.com/family/I09065818.html_x000D_
https://www.google.com/search?q=EMZARA+NAAMAH+1410+1445+MACBEAN_x000D_
.born:c1410    -          Scotland_x000D_
.died: 1445    -1500      Scotland, age:35y 0m 0d, _x000D_
.bapt: 1785GE_x000D_
.will: 2004MO_x000D_
.obit: 1890OH_x000D_
.bury: 1850IL _x000D_
.wpbt: 1826PA_x000D_
.anc#:ancestor_x000D_
citiz:foreign_x000D_
#spos:1_x000D_
#srcs:1_x000D_
#comment:0_x000D_
#events:1_x000D_
#kids:1_x000D_
lived:ST_x000D_
issue:_x000D_
.recs:Birth,Marriage,Death_x000D_
.imm?:no_x000D_
..Spo:NOAH MACBEAN</t>
        </r>
      </text>
    </comment>
    <comment ref="R1472" authorId="0" shapeId="0" xr:uid="{2C034453-6FC2-4E7B-871C-57F508F71781}">
      <text>
        <r>
          <rPr>
            <sz val="9"/>
            <color indexed="81"/>
            <rFont val="Tahoma"/>
            <family val="2"/>
          </rPr>
          <t>GILLIS\GILES MACBEAN_x000D_
http://yeinfo.com/family/I09065553.html_x000D_
https://www.google.com/search?q=GILLIS\GILES+MACBEAN+1470+1546+VICTORIA_x000D_
.born: 14700202-          Scotland_x000D_
.died: 15460416-          Scotland, age:76y 2m 14d, _x000D_
.bapt: 1785GE_x000D_
.will: 2004MO_x000D_
.obit: 1890OH_x000D_
.bury: 1850IL _x000D_
.wpbt: 1826PA_x000D_
.anc#:ancestor_x000D_
citiz:foreign_x000D_
#spos:1_x000D_
#srcs:1_x000D_
#comment:0_x000D_
#events:1_x000D_
#kids:1_x000D_
lived:ST_x000D_
issue:_x000D_
.recs:Birth,Marriage,Death_x000D_
.imm?:no_x000D_
..Spo:VICTORIA DOUGLAS</t>
        </r>
      </text>
    </comment>
    <comment ref="S1474" authorId="0" shapeId="0" xr:uid="{68B5A89E-B603-4A85-AA29-CFAAA83C4FE9}">
      <text>
        <r>
          <rPr>
            <sz val="9"/>
            <color indexed="81"/>
            <rFont val="Tahoma"/>
            <family val="2"/>
          </rPr>
          <t>SARAH ANNE MORRAY_x000D_
http://yeinfo.com/family/I09065689.html_x000D_
https://www.google.com/search?q=SARAH+ANNE+MORRAY+1445+1470+MACBEAN_x000D_
.born: 1445    -          Scotland_x000D_
.died: 1470    -1535      Scotland, age:25y 0m 0d, _x000D_
.bapt: 1785GE_x000D_
.will: 2004MO_x000D_
.obit: 1890OH_x000D_
.bury: 1850IL _x000D_
.wpbt: 1826PA_x000D_
.anc#:ancestor_x000D_
citiz:foreign_x000D_
#spos:1_x000D_
#srcs:1_x000D_
#comment:0_x000D_
#events:1_x000D_
#kids:1_x000D_
lived:ST_x000D_
issue:Died after Age 100_x000D_
.recs:Birth,Marriage,Death_x000D_
.imm?:no_x000D_
..Spo:PAUL MACBEAN</t>
        </r>
      </text>
    </comment>
    <comment ref="Q1476" authorId="0" shapeId="0" xr:uid="{D129360B-30A6-4E2E-B04F-2E8F6EEBF854}">
      <text>
        <r>
          <rPr>
            <sz val="9"/>
            <color indexed="81"/>
            <rFont val="Tahoma"/>
            <family val="2"/>
          </rPr>
          <t>WILLIAM MACBEAN_x000D_
http://yeinfo.com/family/I09041664.html_x000D_
https://www.google.com/search?q=WILLIAM+MACBEAN+1510+1585+ELIZABETH_x000D_
.born: 15101102-          Scotland_x000D_
.died: 15850814-          Inverness (Inverness) Scotland, age:74y 9m 12d, _x000D_
.bapt: 1785GE_x000D_
.will: 2004MO_x000D_
.obit: 1890OH_x000D_
.bury: 1850IL _x000D_
.wpbt: 1826PA_x000D_
.anc#:ancestor_x000D_
citiz:foreign_x000D_
#spos:1_x000D_
#srcs:1_x000D_
#comment:0_x000D_
#events:1_x000D_
#kids:1_x000D_
lived:STINVERINVERNE_x000D_
issue:_x000D_
.recs:Birth,Marriage,Death_x000D_
.imm?:no_x000D_
..Spo:ELIZABETH MACKINTOSH</t>
        </r>
      </text>
    </comment>
    <comment ref="R1478" authorId="0" shapeId="0" xr:uid="{4B19820B-C140-4890-BEA5-E431FD550543}">
      <text>
        <r>
          <rPr>
            <sz val="9"/>
            <color indexed="81"/>
            <rFont val="Tahoma"/>
            <family val="2"/>
          </rPr>
          <t>VICTORIA DOUGLAS_x000D_
http://yeinfo.com/family/I09065554.html_x000D_
https://www.google.com/search?q=VICTORIA+DOUGLAS+1470+1510+MACBEAN_x000D_
.born: 1470    -          Scotland_x000D_
.died: 1510    -1560      Aberdeenshire county Scotland, age:40y 0m 0d, _x000D_
.bapt: 1785GE_x000D_
.will: 2004MO_x000D_
.obit: 1890OH_x000D_
.bury: 1850IL _x000D_
.wpbt: 1826PA_x000D_
.anc#:ancestor_x000D_
citiz:foreign_x000D_
#spos:1_x000D_
#srcs:1_x000D_
#comment:0_x000D_
#events:1_x000D_
#kids:1_x000D_
lived:STABERD_x000D_
issue:_x000D_
.recs:Birth,Marriage,Death_x000D_
.imm?:no_x000D_
..Spo:GILLIS\GILES MACBEAN</t>
        </r>
      </text>
    </comment>
    <comment ref="P1480" authorId="0" shapeId="0" xr:uid="{A6B7A2A2-8B16-483F-9857-054B1B298273}">
      <text>
        <r>
          <rPr>
            <sz val="9"/>
            <color indexed="81"/>
            <rFont val="Tahoma"/>
            <family val="2"/>
          </rPr>
          <t>PAUL MACBEAN_x000D_
http://yeinfo.com/family/I09020832.html_x000D_
https://www.google.com/search?q=PAUL+MACBEAN+1545+1590+MARGARET_x000D_
.born: 15450930-          Scotland_x000D_
.died: 1590    -1635     ?Scotland, age:44y 3m 2d, _x000D_
.bapt: 1785GE_x000D_
.will: 2004MO_x000D_
.obit: 1890OH_x000D_
.bury: 1850IL _x000D_
.wpbt: 1826PA_x000D_
.anc#:ancestor_x000D_
citiz:foreign_x000D_
#spos:1_x000D_
#srcs:1_x000D_
#comment:0_x000D_
#events:1_x000D_
#kids:1_x000D_
lived:ST_x000D_
issue:_x000D_
.recs:Birth,Marriage,Death_x000D_
.imm?:no_x000D_
..Spo:MARGARET MACGOUCH</t>
        </r>
      </text>
    </comment>
    <comment ref="R1482" authorId="0" shapeId="0" xr:uid="{7F6D839F-5676-492E-98F4-510EBA17F805}">
      <text>
        <r>
          <rPr>
            <sz val="9"/>
            <color indexed="81"/>
            <rFont val="Tahoma"/>
            <family val="2"/>
          </rPr>
          <t>WILLIAM MACKINTOSH_x000D_
http://yeinfo.com/family/I09065555.html_x000D_
https://www.google.com/search?q=WILLIAM+MACKINTOSH+1470+1510+SUZANNA_x000D_
.born: 1470    -          Scotland_x000D_
.died: 1510    -1560      , age:40y 0m 0d, _x000D_
.bapt: 1785GE_x000D_
.will: 2004MO_x000D_
.obit: 1890OH_x000D_
.bury: 1850IL _x000D_
.wpbt: 1826PA_x000D_
.anc#:ancestor_x000D_
citiz:foreign_x000D_
#spos:1_x000D_
#srcs:1_x000D_
#comment:0_x000D_
#events:1_x000D_
#kids:1_x000D_
lived:ST_x000D_
issue:_x000D_
.recs:Birth,Marriage,Death_x000D_
.imm?:no_x000D_
..Spo:SUZANNA BUCHANAN</t>
        </r>
      </text>
    </comment>
    <comment ref="Q1484" authorId="0" shapeId="0" xr:uid="{09B5E265-393D-448D-AD39-EC449ACF62E9}">
      <text>
        <r>
          <rPr>
            <sz val="9"/>
            <color indexed="81"/>
            <rFont val="Tahoma"/>
            <family val="2"/>
          </rPr>
          <t>ELIZABETH MACKINTOSH_x000D_
http://yeinfo.com/family/I09041665.html_x000D_
https://www.google.com/search?q=ELIZABETH+MACKINTOSH+1510+1545+MACBEAN_x000D_
.born: 1510    -          Scotland_x000D_
.died: 1545    -1600     ?Scotland, age:35y 0m 0d, _x000D_
.bapt: 1785GE_x000D_
.will: 2004MO_x000D_
.obit: 1890OH_x000D_
.bury: 1850IL _x000D_
.wpbt: 1826PA_x000D_
.anc#:ancestor_x000D_
citiz:foreign_x000D_
#spos:1_x000D_
#srcs:1_x000D_
#comment:0_x000D_
#events:1_x000D_
#kids:1_x000D_
lived:ST_x000D_
issue:_x000D_
.recs:Birth,Marriage,Death_x000D_
.imm?:no_x000D_
..Spo:WILLIAM MACBEAN</t>
        </r>
      </text>
    </comment>
    <comment ref="R1486" authorId="0" shapeId="0" xr:uid="{E67766BD-77C6-4798-8C66-14B34B47B7C2}">
      <text>
        <r>
          <rPr>
            <sz val="9"/>
            <color indexed="81"/>
            <rFont val="Tahoma"/>
            <family val="2"/>
          </rPr>
          <t>SUZANNA BUCHANAN_x000D_
http://yeinfo.com/family/I09065556.html_x000D_
https://www.google.com/search?q=SUZANNA+BUCHANAN+1470+1510+MACKINTOSH_x000D_
.born: 1470    -          Ireland_x000D_
.died: 1510    -1560      , age:40y 0m 0d, _x000D_
.bapt: 1785GE_x000D_
.will: 2004MO_x000D_
.obit: 1890OH_x000D_
.bury: 1850IL _x000D_
.wpbt: 1826PA_x000D_
.anc#:ancestor_x000D_
citiz:foreign_x000D_
#spos:1_x000D_
#srcs:1_x000D_
#comment:0_x000D_
#events:1_x000D_
#kids:1_x000D_
lived:IR_x000D_
issue:_x000D_
.recs:Birth,Marriage,Death_x000D_
.imm?:no_x000D_
..Spo:WILLIAM MACKINTOSH</t>
        </r>
      </text>
    </comment>
    <comment ref="O1488" authorId="0" shapeId="0" xr:uid="{95B58DF2-B85F-48CF-A1CA-F2A2DDA2873A}">
      <text>
        <r>
          <rPr>
            <sz val="9"/>
            <color indexed="81"/>
            <rFont val="Tahoma"/>
            <family val="2"/>
          </rPr>
          <t>ANGUS\AARON GILLEPHADRIC MACBEAN_x000D_
http://yeinfo.com/family/I09010416.html_x000D_
https://www.google.com/search?q=ANGUS\AARON+GILLEPHADRIC+MACBEAN+1590+1689+ISOBEL_x000D_
.born: 15900627-          Daviot (Inverness) Scotland_x000D_
.died: 1689    -          Inverness (Inverness) Scotland, age:98y 6m 5d, _x000D_
.bapt: 1785GE_x000D_
.will: 2004MO_x000D_
.obit: 1890OH_x000D_
.bury: 1850IL _x000D_
.wpbt: 1826PA_x000D_
.anc#:ancestor_x000D_
citiz:foreign_x000D_
#spos:1_x000D_
#srcs:1_x000D_
#comment:1_x000D_
#events:1_x000D_
#kids:1_x000D_
lived:STINVERDAVIOT,STINVERINVERNE_x000D_
issue:Died after Age 100_x000D_
.recs:Birth,Marriage,Death_x000D_
.imm?:no_x000D_
..Spo:ISOBEL BAILIE</t>
        </r>
      </text>
    </comment>
    <comment ref="P1490" authorId="0" shapeId="0" xr:uid="{34EB3B15-F785-4FBF-8C7A-A1A37D108180}">
      <text>
        <r>
          <rPr>
            <sz val="9"/>
            <color indexed="81"/>
            <rFont val="Tahoma"/>
            <family val="2"/>
          </rPr>
          <t>MARGARET MACGOUCH_x000D_
http://yeinfo.com/family/I09020833.html_x000D_
https://www.google.com/search?q=MARGARET+MACGOUCH+1546+1590+MACBEAN_x000D_
.born: 1546    -          Scotland_x000D_
.died: 1590    -1636     ?Scotland, age:44y 0m 0d, _x000D_
.bapt: 1785GE_x000D_
.will: 2004MO_x000D_
.obit: 1890OH_x000D_
.bury: 1850IL _x000D_
.wpbt: 1826PA_x000D_
.anc#:ancestor_x000D_
citiz:foreign_x000D_
#spos:1_x000D_
#srcs:1_x000D_
#comment:0_x000D_
#events:1_x000D_
#kids:1_x000D_
lived:ST_x000D_
issue:_x000D_
.recs:Birth,Marriage,Death_x000D_
.imm?:no_x000D_
..Spo:PAUL MACBEAN</t>
        </r>
      </text>
    </comment>
    <comment ref="N1492" authorId="0" shapeId="0" xr:uid="{90E34961-A870-4255-915B-AF3A1094EEE7}">
      <text>
        <r>
          <rPr>
            <sz val="9"/>
            <color indexed="81"/>
            <rFont val="Tahoma"/>
            <family val="2"/>
          </rPr>
          <t>DONALD MACBEAN_x000D_
http://yeinfo.com/family/I09005208.html_x000D_
https://www.google.com/search?q=DONALD+MACBEAN+1610+1690+MARY_x000D_
.born:c16100701-          Lochaber (Inverness) Scotland_x000D_
.died: 1690    -          Strathdearn (Inverness) Scotland, age:79y 6m 0d, _x000D_
.bapt: 1785GE_x000D_
.will: 2004MO_x000D_
.obit: 1890OH_x000D_
.bury: 1850IL _x000D_
.wpbt: 1826PA_x000D_
.anc#:ancestor_x000D_
citiz:foreign_x000D_
#spos:1_x000D_
#srcs:1_x000D_
#comment:0_x000D_
#events:1_x000D_
#kids:1_x000D_
lived:STABERDDAVIOT,STINVERLOCHABE,STINVERSTRATHD_x000D_
issue:_x000D_
.recs:Birth,Marriage,Death_x000D_
.imm?:no_x000D_
..Spo:MARY MACGILLIS</t>
        </r>
      </text>
    </comment>
    <comment ref="Q1494" authorId="0" shapeId="0" xr:uid="{09845982-C2BC-4078-AF94-BB8730663BFD}">
      <text>
        <r>
          <rPr>
            <sz val="9"/>
            <color indexed="81"/>
            <rFont val="Tahoma"/>
            <family val="2"/>
          </rPr>
          <t>WILLIAM MAXWELL BAILIE_x000D_
http://yeinfo.com/family/I09041668.html_x000D_
https://www.google.com/search?q=WILLIAM+MAXWELL+BAILIE+1522+1558+ELIZABETH_x000D_
.born: 1522    -          Scotland_x000D_
.died: 1558    -1623      Scotland, age:36y 0m 0d, _x000D_
.bapt: 1785GE_x000D_
.will: 2004MO_x000D_
.obit: 1890OH_x000D_
.bury: 1850IL _x000D_
.wpbt: 1826PA_x000D_
.anc#:ancestor_x000D_
citiz:foreign_x000D_
#spos:1_x000D_
#srcs:3_x000D_
#comment:1_x000D_
#events:1_x000D_
#kids:1_x000D_
lived:ST_x000D_
issue:_x000D_
.recs:Birth,Marriage,Death_x000D_
.imm?:no_x000D_
..Spo:ELIZABETH STEWART</t>
        </r>
      </text>
    </comment>
    <comment ref="P1496" authorId="0" shapeId="0" xr:uid="{AF34D5BD-727C-4B22-B87E-30BBA5618016}">
      <text>
        <r>
          <rPr>
            <sz val="9"/>
            <color indexed="81"/>
            <rFont val="Tahoma"/>
            <family val="2"/>
          </rPr>
          <t>WILLIAM BAILIE_x000D_
http://yeinfo.com/family/I09020834.html_x000D_
https://www.google.com/search?q=WILLIAM+BAILIE+1558+1593+GRIZEL_x000D_
.born: 1558    -          Glasgow (Lanarkshire) Scotland_x000D_
.died: 15930526-         ?Scotland, age:35y 4m 25d, _x000D_
.bapt: 1785GE_x000D_
.will: 2004MO_x000D_
.obit: 1890OH_x000D_
.bury: 1850IL _x000D_
.wpbt: 1826PA_x000D_
.anc#:ancestor_x000D_
citiz:foreign_x000D_
#spos:1_x000D_
#srcs:4_x000D_
#comment:0_x000D_
#events:1_x000D_
#kids:1_x000D_
lived:?STINVER,STLANARGLASGOW_x000D_
issue:_x000D_
.recs:Birth,Marriage,Death_x000D_
.imm?:no_x000D_
..Spo:GRIZEL HAMILTON</t>
        </r>
      </text>
    </comment>
    <comment ref="Q1498" authorId="0" shapeId="0" xr:uid="{42C57036-326E-470C-A695-3546D31E490B}">
      <text>
        <r>
          <rPr>
            <sz val="9"/>
            <color indexed="81"/>
            <rFont val="Tahoma"/>
            <family val="2"/>
          </rPr>
          <t>ELIZABETH STEWART_x000D_
http://yeinfo.com/family/I09041669.html_x000D_
https://www.google.com/search?q=ELIZABETH+STEWART+1525+1591+BAILIE_x000D_
.born:?1525    -          Scotland_x000D_
.died: 1591    -          Scotland, age:66y 0m 0d, _x000D_
.bapt: 1785GE_x000D_
.will: 2004MO_x000D_
.obit: 1890OH_x000D_
.bury: 1850IL _x000D_
.wpbt: 1826PA_x000D_
.anc#:ancestor_x000D_
citiz:foreign_x000D_
#spos:1_x000D_
#srcs:3_x000D_
#comment:0_x000D_
#events:1_x000D_
#kids:1_x000D_
lived:ST_x000D_
issue:_x000D_
.recs:Birth,Marriage,Death_x000D_
.imm?:no_x000D_
..Spo:WILLIAM MAXWELL BAILIE</t>
        </r>
      </text>
    </comment>
    <comment ref="O1500" authorId="0" shapeId="0" xr:uid="{E3AA4E20-9BFB-4837-ACF6-9D6F82A46D51}">
      <text>
        <r>
          <rPr>
            <sz val="9"/>
            <color indexed="81"/>
            <rFont val="Tahoma"/>
            <family val="2"/>
          </rPr>
          <t>ISOBEL BAILIE_x000D_
http://yeinfo.com/family/I09010417.html_x000D_
https://www.google.com/search?q=ISOBEL+BAILIE+1575+1661+MACBEAN_x000D_
.born: 1575    -1589      Daviot (Inverness) Scotland_x000D_
.died: 1661    -1665      Daviot (Inverness) Scotland, age:86y 0m 0d, _x000D_
.bapt: 1785GE_x000D_
.will: 2004MO_x000D_
.obit: 1890OH_x000D_
.bury: 1850IL _x000D_
.wpbt: 1826PA_x000D_
.anc#:ancestor_x000D_
citiz:foreign_x000D_
#spos:1_x000D_
#srcs:1_x000D_
#comment:0_x000D_
#events:1_x000D_
#kids:1_x000D_
lived:STINVERDAVIOT_x000D_
issue:_x000D_
.recs:Birth,Marriage,Death_x000D_
.imm?:no_x000D_
..Spo:ANGUS\AARON GILLEPHADRIC MACBEAN</t>
        </r>
      </text>
    </comment>
    <comment ref="S1502" authorId="0" shapeId="0" xr:uid="{9786437F-20F7-4EE0-848C-B465B0209880}">
      <text>
        <r>
          <rPr>
            <sz val="9"/>
            <color indexed="81"/>
            <rFont val="Tahoma"/>
            <family val="2"/>
          </rPr>
          <t>JAMES HAMILTON III_x000D_
http://yeinfo.com/family/I09066759.html_x000D_
https://www.google.com/search?q=JAMES+HAMILTON+1475+1529+JANET_x000D_
.born: 14750425-          Hamilton (Lanarkshire) Scotland_x000D_
.died: 15290326-          Falkirk (Stirlingshire) Scotland, age:53y 11m 1d, _x000D_
.bapt: 1785GE_x000D_
.will: 2004MO_x000D_
.obit: 1890OH_x000D_
.bury: 1850IL _x000D_
.wpbt: 1826PA_x000D_
.anc#:ancestor_x000D_
citiz:foreign_x000D_
#spos:1_x000D_
#srcs:2_x000D_
#comment:1_x000D_
#events:1_x000D_
#kids:1_x000D_
lived:STFIFE CREICH,STLANARHAMILTO,STSTIRLFALKIRK_x000D_
issue:_x000D_
.recs:Birth,Marriage,Death_x000D_
.imm?:no_x000D_
..Spo:JANET BETHUNE</t>
        </r>
      </text>
    </comment>
    <comment ref="R1504" authorId="0" shapeId="0" xr:uid="{5A9D9339-ABA1-404C-849E-385062439282}">
      <text>
        <r>
          <rPr>
            <sz val="9"/>
            <color indexed="81"/>
            <rFont val="Tahoma"/>
            <family val="2"/>
          </rPr>
          <t>JAMES HAMILTON_x000D_
http://yeinfo.com/family/I09066757.html_x000D_
https://www.google.com/search?q=JAMES+HAMILTON+1515+1575+MARGARET_x000D_
.born: 15150115-          Morton (Dumfries) Scotland_x000D_
.died: 15750122-          Hamilton (Lanarkshire) Scotland, age:60y 0m 7d, _x000D_
.bapt: 1785GE_x000D_
.will: 2004MO_x000D_
.obit: 1890OH_x000D_
.bury: 1850IL Bo'ness_x000D_
.wpbt: 1826PA_x000D_
.anc#:ancestor_x000D_
citiz:foreign_x000D_
#spos:1_x000D_
#srcs:2_x000D_
#comment:0_x000D_
#events:4_x000D_
#kids:1_x000D_
lived:STDUMFRMORTON,STLANARHAMILTO,STSTIRLFALKIRK_x000D_
issue:_x000D_
.recs:Birth,Marriage,Death,Interment/Burial_x000D_
.imm?:no_x000D_
..Spo:MARGARET DOUGLAS</t>
        </r>
      </text>
    </comment>
    <comment ref="S1506" authorId="0" shapeId="0" xr:uid="{70597EDB-0B28-4ED8-A3D4-95FC9F14C3A0}">
      <text>
        <r>
          <rPr>
            <sz val="9"/>
            <color indexed="81"/>
            <rFont val="Tahoma"/>
            <family val="2"/>
          </rPr>
          <t>JANET BETHUNE_x000D_
http://yeinfo.com/family/I09066760.html_x000D_
https://www.google.com/search?q=JANET+BETHUNE+1486+1529+HAMILTON_x000D_
.born: 1486    -          Cupar Muir (Fife) Scotland_x000D_
.died: 15290721-          Falkirk (Stirlingshire) Scotland, age:43y 6m 20d, _x000D_
.bapt: 1785GE_x000D_
.will: 2004MO_x000D_
.obit: 1890OH_x000D_
.bury: 1850IL _x000D_
.wpbt: 1826PA_x000D_
.anc#:ancestor_x000D_
citiz:foreign_x000D_
#spos:1_x000D_
#srcs:2_x000D_
#comment:1_x000D_
#events:1_x000D_
#kids:1_x000D_
lived:STFIFE CREICH,STFIFE CUPAR M,STSTIRLFALKIRK_x000D_
issue:Died after Age 100_x000D_
.recs:Birth,Marriage,Death_x000D_
.imm?:no_x000D_
..Spo:JAMES HAMILTON</t>
        </r>
      </text>
    </comment>
    <comment ref="Q1508" authorId="0" shapeId="0" xr:uid="{3222C0FD-D1A3-43BA-BD0E-F713E287A10F}">
      <text>
        <r>
          <rPr>
            <sz val="9"/>
            <color indexed="81"/>
            <rFont val="Tahoma"/>
            <family val="2"/>
          </rPr>
          <t>CLAUDE HAMILTON_x000D_
http://yeinfo.com/family/I09041670.html_x000D_
https://www.google.com/search?q=CLAUDE+HAMILTON+1543+1621+MARGARET_x000D_
.born: 15430609-          Hamilton (Lanarkshire) Scotland_x000D_
.died:a16210503-          Paisley (Renfrewshire) Scotland, age:77y 10m 24d, _x000D_
.bapt: 1785GE_x000D_
.will: 2004MO_x000D_
.obit: 1890OH_x000D_
.bury: 1850IL _x000D_
.wpbt: 1826PA_x000D_
.anc#:ancestor_x000D_
citiz:foreign_x000D_
#spos:1_x000D_
#srcs:3_x000D_
#comment:0_x000D_
#events:1_x000D_
#kids:1_x000D_
lived:STLANARHAMILTO,STLINLI,STRENFRPAISLEY_x000D_
issue:_x000D_
.recs:Birth,Marriage,Death_x000D_
.imm?:no_x000D_
..Spo:MARGARET SETON</t>
        </r>
      </text>
    </comment>
    <comment ref="S1510" authorId="0" shapeId="0" xr:uid="{371D561C-C443-4D15-8623-CCA4B3581E3E}">
      <text>
        <r>
          <rPr>
            <sz val="9"/>
            <color indexed="81"/>
            <rFont val="Tahoma"/>
            <family val="2"/>
          </rPr>
          <t>JAMES DOUGLAS_x000D_
http://yeinfo.com/family/I09066761.html_x000D_
https://www.google.com/search?q=JAMES+DOUGLAS+1487+1548+CATHERINE_x000D_
.born: 148701  -          Aberdour (Fife) Scotland_x000D_
.died: 15481222-          Aberdour (Fife) Scotland, age:61y 11m 21d, _x000D_
.bapt: 1785GE_x000D_
.will: 2004MO_x000D_
.obit: 1890OH_x000D_
.bury: 1850IL _x000D_
.wpbt: 1826PA_x000D_
.anc#:ancestor_x000D_
citiz:foreign_x000D_
#spos:1_x000D_
#srcs:2_x000D_
#comment:1_x000D_
#events:1_x000D_
#kids:1_x000D_
lived:STDUMFR,STFIFE ABERDOU_x000D_
issue:_x000D_
.recs:Birth,Marriage,Death_x000D_
.imm?:no_x000D_
..Spo:CATHERINE STEWART</t>
        </r>
      </text>
    </comment>
    <comment ref="R1512" authorId="0" shapeId="0" xr:uid="{E5F68AAD-9E5B-450B-B3EC-7B820E63E41F}">
      <text>
        <r>
          <rPr>
            <sz val="9"/>
            <color indexed="81"/>
            <rFont val="Tahoma"/>
            <family val="2"/>
          </rPr>
          <t>MARGARET DOUGLAS_x000D_
http://yeinfo.com/family/I09066758.html_x000D_
https://www.google.com/search?q=MARGARET+DOUGLAS+1511+1579+HAMILTON_x000D_
.born: 15110101-          Morton (Dumfries) Scotland_x000D_
.died: 15790522-          Falkirk (Stirlingshire) Scotland, age:68y 4m 21d, _x000D_
.bapt: 1785GE_x000D_
.will: 2004MO_x000D_
.obit: 1890OH_x000D_
.bury: 1850IL _x000D_
.wpbt: 1826PA_x000D_
.anc#:ancestor_x000D_
citiz:foreign_x000D_
#spos:1_x000D_
#srcs:2_x000D_
#comment:0_x000D_
#events:2_x000D_
#kids:1_x000D_
lived:STDUMFRMORTON,STLANARHAMILTO,STSTIRLFALKIRK_x000D_
issue:_x000D_
.recs:Birth,Marriage,Death_x000D_
.imm?:no_x000D_
..Spo:JAMES HAMILTON</t>
        </r>
      </text>
    </comment>
    <comment ref="S1514" authorId="0" shapeId="0" xr:uid="{F2AF4F65-C702-468E-8B67-78B32799239A}">
      <text>
        <r>
          <rPr>
            <sz val="9"/>
            <color indexed="81"/>
            <rFont val="Tahoma"/>
            <family val="2"/>
          </rPr>
          <t>CATHERINE STEWART_x000D_
http://yeinfo.com/family/I09066762.html_x000D_
https://www.google.com/search?q=CATHERINE+STEWART+1491+1554+DOUGLAS_x000D_
.born: 149105  -          Edinburg (Midlothian) Scotland_x000D_
.died: 15540405-          Edinburg (Midlothian) Scotland, age:62y 11m 4d, _x000D_
.bapt: 1785GE_x000D_
.will: 2004MO_x000D_
.obit: 1890OH_x000D_
.bury: 1850IL _x000D_
.wpbt: 1826PA_x000D_
.anc#:ancestor_x000D_
citiz:foreign_x000D_
#spos:1_x000D_
#srcs:2_x000D_
#comment:1_x000D_
#events:1_x000D_
#kids:1_x000D_
lived:STDUMFR,STMIDLOEDINBUR_x000D_
issue:_x000D_
.recs:Birth,Marriage,Death_x000D_
.imm?:no_x000D_
..Spo:JAMES DOUGLAS</t>
        </r>
      </text>
    </comment>
    <comment ref="P1516" authorId="0" shapeId="0" xr:uid="{6F3A2C76-043F-4D2F-9D37-D7A431C7258F}">
      <text>
        <r>
          <rPr>
            <sz val="9"/>
            <color indexed="81"/>
            <rFont val="Tahoma"/>
            <family val="2"/>
          </rPr>
          <t>GRIZEL HAMILTON_x000D_
http://yeinfo.com/family/I09020835.html_x000D_
https://www.google.com/search?q=GRIZEL+HAMILTON+1563+1658+BAILIE_x000D_
.born:?1563    -          Linlithgow county Scotland_x000D_
.died:c1658    -         ?Scotland, age:95y 0m 0d, _x000D_
.bapt: 1785GE_x000D_
.will: 2004MO_x000D_
.obit: 1890OH_x000D_
.bury: 1850IL _x000D_
.wpbt: 1826PA_x000D_
.anc#:ancestor_x000D_
citiz:foreign_x000D_
#spos:1_x000D_
#srcs:4_x000D_
#comment:0_x000D_
#events:2_x000D_
#kids:1_x000D_
lived:?STINVER,STLANARLAMINGT,STLINLI_x000D_
issue:Born before Parents Married,Died after Age 100_x000D_
.recs:Birth,Marriage,Death_x000D_
.imm?:no_x000D_
..Spo:WILLIAM BAILIE</t>
        </r>
      </text>
    </comment>
    <comment ref="R1518" authorId="0" shapeId="0" xr:uid="{AEF89ED9-A504-4136-8057-5284BA9828D0}">
      <text>
        <r>
          <rPr>
            <sz val="9"/>
            <color indexed="81"/>
            <rFont val="Tahoma"/>
            <family val="2"/>
          </rPr>
          <t>GEORGE SETON_x000D_
http://yeinfo.com/family/I09066763.html_x000D_
https://www.google.com/search?q=GEORGE+SETON+1528+1585+ISABEL_x000D_
.born: 1528    -          Haddington (East Lothian) Scotland_x000D_
.died: 15850108-          France, age:57y 0m 7d, _x000D_
.bapt: 1785GE_x000D_
.will: 2004MO_x000D_
.obit: 1890OH_x000D_
.bury: 1850IL _x000D_
.wpbt: 1826PA_x000D_
.anc#:ancestor_x000D_
citiz:foreign_x000D_
#spos:1_x000D_
#srcs:2_x000D_
#comment:1_x000D_
#events:3_x000D_
#kids:1_x000D_
lived:FR,STELOTHHADDING,STHADDISETON_x000D_
issue:_x000D_
.recs:Birth,Marriage,Death_x000D_
.imm?:no_x000D_
..Spo:ISABEL HAMILTON</t>
        </r>
      </text>
    </comment>
    <comment ref="Q1520" authorId="0" shapeId="0" xr:uid="{57F1473C-4324-423E-8111-C4F103A6C565}">
      <text>
        <r>
          <rPr>
            <sz val="9"/>
            <color indexed="81"/>
            <rFont val="Tahoma"/>
            <family val="2"/>
          </rPr>
          <t>MARGARET SETON_x000D_
http://yeinfo.com/family/I09041671.html_x000D_
https://www.google.com/search?q=MARGARET+SETON+1550+1616+HAMILTON_x000D_
.born: 15500101-          Seton (Haddington) Scotland_x000D_
.died: 16160210-          Paisley (Renfrewshire) Scotland, age:66y 1m 9d, _x000D_
.bapt: 1785GE_x000D_
.will: 2004MO_x000D_
.obit: 1890OH_x000D_
.bury: 1850IL _x000D_
.wpbt: 1826PA_x000D_
.anc#:ancestor_x000D_
citiz:foreign_x000D_
#spos:1_x000D_
#srcs:3_x000D_
#comment:0_x000D_
#events:1_x000D_
#kids:1_x000D_
lived:STHADDISETON,STLINLI,STRENFRPAISLEY_x000D_
issue:_x000D_
.recs:Birth,Marriage,Death_x000D_
.imm?:no_x000D_
..Spo:CLAUDE HAMILTON</t>
        </r>
      </text>
    </comment>
    <comment ref="R1522" authorId="0" shapeId="0" xr:uid="{46141DF5-14DE-4B8B-9B32-6FF347105E43}">
      <text>
        <r>
          <rPr>
            <sz val="9"/>
            <color indexed="81"/>
            <rFont val="Tahoma"/>
            <family val="2"/>
          </rPr>
          <t>ISABEL HAMILTON_x000D_
http://yeinfo.com/family/I09066764.html_x000D_
https://www.google.com/search?q=ISABEL+HAMILTON+1533+1604+SETON_x000D_
.born: 1533    -          Haddington (East Lothian) Scotland_x000D_
.died: 16041113-          Haddington (East Lothian) Scotland, age:71y 10m 12d, _x000D_
.bapt: 1785GE_x000D_
.will: 2004MO_x000D_
.obit: 1890OH_x000D_
.bury: 1850IL _x000D_
.wpbt: 1826PA_x000D_
.anc#:ancestor_x000D_
citiz:foreign_x000D_
#spos:1_x000D_
#srcs:2_x000D_
#comment:1_x000D_
#events:1_x000D_
#kids:1_x000D_
lived:STELOTHHADDING_x000D_
issue:_x000D_
.recs:Birth,Marriage,Death_x000D_
.imm?:no_x000D_
..Spo:GEORGE SETON</t>
        </r>
      </text>
    </comment>
    <comment ref="M1524" authorId="0" shapeId="0" xr:uid="{7FED46FA-8C30-4A5D-8D47-37B488073B5E}">
      <text>
        <r>
          <rPr>
            <sz val="9"/>
            <color indexed="81"/>
            <rFont val="Tahoma"/>
            <family val="2"/>
          </rPr>
          <t>JOHN BEAN Sr._x000D_
http://yeinfo.com/family/I09002604.html_x000D_
https://www.google.com/search?q=JOHN+BEAN+1634+1718+MARGARET_x000D_
.born:a1634    -          Strathdearn (Inverness) Scotland_x000D_
.died: 17180124-          Exeter (Rockingham) New Hampshire, age:84y 0m 23d, _x000D_
.bapt: 1785GE_x000D_
.will: 2004MO_x000D_
.obit: 1890OH_x000D_
.bury: 1850IL _x000D_
.wpbt: 1826PA_x000D_
.anc#:ancestor_x000D_
citiz:immigrant_x000D_
#spos:1_x000D_
#srcs:1_x000D_
#comment:1_x000D_
#events:1_x000D_
#kids:1_x000D_
lived:NHROCKIEXETER,STINVERSTRATHD_x000D_
issue:_x000D_
.recs:Birth,Marriage,Death_x000D_
.imm?:immigrant_x000D_
..Spo:MARGARET EDWARDS</t>
        </r>
      </text>
    </comment>
    <comment ref="Q1526" authorId="0" shapeId="0" xr:uid="{20FF925C-DC68-4230-922F-843219FD0021}">
      <text>
        <r>
          <rPr>
            <sz val="9"/>
            <color indexed="81"/>
            <rFont val="Tahoma"/>
            <family val="2"/>
          </rPr>
          <t>STEPHEN MACGILLIS_x000D_
http://yeinfo.com/family/I09041672.html_x000D_
https://www.google.com/search?q=STEPHEN+MACGILLIS+1525+1550+MORIA+HUNT_x000D_
.born: 1525    -         ?Scotland_x000D_
.died: 1550    -1615      , age:25y 0m 0d, _x000D_
.bapt: 1785GE_x000D_
.will: 2004MO_x000D_
.obit: 1890OH_x000D_
.bury: 1850IL _x000D_
.wpbt: 1826PA_x000D_
.anc#:ancestor_x000D_
citiz:foreign_x000D_
#spos:1_x000D_
#srcs:1_x000D_
#comment:0_x000D_
#events:1_x000D_
#kids:1_x000D_
lived:?ST_x000D_
issue:_x000D_
.recs:Birth,Marriage,Death_x000D_
.imm?:no_x000D_
..Spo:MORIA HUNT WALKER</t>
        </r>
      </text>
    </comment>
    <comment ref="P1528" authorId="0" shapeId="0" xr:uid="{B288A4B6-43CF-4481-893E-90071BB1C6C6}">
      <text>
        <r>
          <rPr>
            <sz val="9"/>
            <color indexed="81"/>
            <rFont val="Tahoma"/>
            <family val="2"/>
          </rPr>
          <t>CHRISTOPHER MACGILLIS_x000D_
http://yeinfo.com/family/I09020836.html_x000D_
https://www.google.com/search?q=CHRISTOPHER+MACGILLIS+1550+1627+MARY_x000D_
.born: 1550    -          Inverness (Inverness) Scotland_x000D_
.died: 1627    -         ?Scotland, age:77y 0m 0d, _x000D_
.bapt: 1785GE_x000D_
.will: 2004MO_x000D_
.obit: 1890OH_x000D_
.bury: 1850IL _x000D_
.wpbt: 1826PA_x000D_
.anc#:ancestor_x000D_
citiz:foreign_x000D_
#spos:1_x000D_
#srcs:1_x000D_
#comment:0_x000D_
#events:1_x000D_
#kids:1_x000D_
lived:STINVERINVERNE_x000D_
issue:_x000D_
.recs:Birth,Marriage,Death_x000D_
.imm?:no_x000D_
..Spo:MARY JOYCE</t>
        </r>
      </text>
    </comment>
    <comment ref="Q1530" authorId="0" shapeId="0" xr:uid="{1894FE80-EFCD-4DCD-8F92-9B216901A6C4}">
      <text>
        <r>
          <rPr>
            <sz val="9"/>
            <color indexed="81"/>
            <rFont val="Tahoma"/>
            <family val="2"/>
          </rPr>
          <t>MORIA HUNT WALKER_x000D_
http://yeinfo.com/family/I09041673.html_x000D_
https://www.google.com/search?q=MORIA+HUNT+WALKER+1529+1550+MACGILLIS_x000D_
.born: 1529    -         ?Scotland_x000D_
.died: 1550    -1619      , age:21y 0m 0d, _x000D_
.bapt: 1785GE_x000D_
.will: 2004MO_x000D_
.obit: 1890OH_x000D_
.bury: 1850IL _x000D_
.wpbt: 1826PA_x000D_
.anc#:ancestor_x000D_
citiz:foreign_x000D_
#spos:1_x000D_
#srcs:1_x000D_
#comment:0_x000D_
#events:1_x000D_
#kids:1_x000D_
lived:?ST_x000D_
issue:_x000D_
.recs:Birth,Marriage,Death_x000D_
.imm?:no_x000D_
..Spo:STEPHEN MACGILLIS</t>
        </r>
      </text>
    </comment>
    <comment ref="O1532" authorId="0" shapeId="0" xr:uid="{C92D5FA0-547B-4409-B862-8DCB3D02EA81}">
      <text>
        <r>
          <rPr>
            <sz val="9"/>
            <color indexed="81"/>
            <rFont val="Tahoma"/>
            <family val="2"/>
          </rPr>
          <t>WILLIAM MACGILLIS_x000D_
http://yeinfo.com/family/I09010418.html_x000D_
https://www.google.com/search?q=WILLIAM+MACGILLIS+1575+1647+ALICE+JANE_x000D_
.born: 1575    -          Inverness (Inverness) Scotland_x000D_
.died: 1647    -          Scotland, age:72y 0m 0d, _x000D_
.bapt: 1785GE_x000D_
.will: 2004MO_x000D_
.obit: 1890OH_x000D_
.bury: 1850IL _x000D_
.wpbt: 1826PA_x000D_
.anc#:ancestor_x000D_
citiz:foreign_x000D_
#spos:1_x000D_
#srcs:1_x000D_
#comment:0_x000D_
#events:1_x000D_
#kids:1_x000D_
lived:STINVERINVERNE_x000D_
issue:_x000D_
.recs:Birth,Marriage,Death_x000D_
.imm?:no_x000D_
..Spo:ALICE JANE YOUNG</t>
        </r>
      </text>
    </comment>
    <comment ref="P1534" authorId="0" shapeId="0" xr:uid="{9EA45F13-C1DC-4BEA-B1E9-E5E90373B635}">
      <text>
        <r>
          <rPr>
            <sz val="9"/>
            <color indexed="81"/>
            <rFont val="Tahoma"/>
            <family val="2"/>
          </rPr>
          <t>MARY JOYCE_x000D_
http://yeinfo.com/family/I09020837.html_x000D_
https://www.google.com/search?q=MARY+JOYCE+1553+1625+MACGILLIS_x000D_
.born: 1553    -          Inverness (Inverness) Scotland_x000D_
.died: 1625    -         ?Scotland, age:72y 0m 0d, _x000D_
.bapt: 1785GE_x000D_
.will: 2004MO_x000D_
.obit: 1890OH_x000D_
.bury: 1850IL _x000D_
.wpbt: 1826PA_x000D_
.anc#:ancestor_x000D_
citiz:foreign_x000D_
#spos:1_x000D_
#srcs:1_x000D_
#comment:0_x000D_
#events:1_x000D_
#kids:1_x000D_
lived:STINVERINVERNE_x000D_
issue:_x000D_
.recs:Birth,Marriage,Death_x000D_
.imm?:no_x000D_
..Spo:CHRISTOPHER MACGILLIS</t>
        </r>
      </text>
    </comment>
    <comment ref="N1536" authorId="0" shapeId="0" xr:uid="{06FBE997-E1A5-4502-9718-28E01037C3A3}">
      <text>
        <r>
          <rPr>
            <sz val="9"/>
            <color indexed="81"/>
            <rFont val="Tahoma"/>
            <family val="2"/>
          </rPr>
          <t>MARY MACGILLIS_x000D_
http://yeinfo.com/family/I09005209.html_x000D_
https://www.google.com/search?q=MARY+MACGILLIS+1610+1710+MACBEAN_x000D_
.born: 1610    -          Daviot (Inverness) Scotland_x000D_
.died: 1710    -          Strathnair (Inverness) Scotland, age:100y 0m 0d, _x000D_
.bapt: 1785GE_x000D_
.will: 2004MO_x000D_
.obit: 1890OH_x000D_
.bury: 1850IL _x000D_
.wpbt: 1826PA_x000D_
.anc#:ancestor_x000D_
citiz:foreign_x000D_
#spos:1_x000D_
#srcs:1_x000D_
#comment:0_x000D_
#events:1_x000D_
#kids:1_x000D_
lived:STABERDDAVIOT,STINVERDAVIOT,STINVERSTRATHN_x000D_
issue:_x000D_
.recs:Birth,Marriage,Death_x000D_
.imm?:no_x000D_
..Spo:DONALD MACBEAN</t>
        </r>
      </text>
    </comment>
    <comment ref="P1538" authorId="0" shapeId="0" xr:uid="{8DA5714B-8560-4758-B0FE-49DA17E7DC06}">
      <text>
        <r>
          <rPr>
            <sz val="9"/>
            <color indexed="81"/>
            <rFont val="Tahoma"/>
            <family val="2"/>
          </rPr>
          <t>MARK YOUNG_x000D_
http://yeinfo.com/family/I09020838.html_x000D_
https://www.google.com/search?q=MARK+YOUNG+1555+1578+STEPHANIE_x000D_
.born: 1555    -          England_x000D_
.died: 1578    -1645     ?Scotland, age:23y 0m 0d, _x000D_
.bapt: 1785GE_x000D_
.will: 2004MO_x000D_
.obit: 1890OH_x000D_
.bury: 1850IL _x000D_
.wpbt: 1826PA_x000D_
.anc#:ancestor_x000D_
citiz:foreign_x000D_
#spos:1_x000D_
#srcs:1_x000D_
#comment:0_x000D_
#events:1_x000D_
#kids:1_x000D_
lived:?ST,EN_x000D_
issue:_x000D_
.recs:Birth,Marriage,Death_x000D_
.imm?:no_x000D_
..Spo:STEPHANIE BLOOMINGDALE</t>
        </r>
      </text>
    </comment>
    <comment ref="O1540" authorId="0" shapeId="0" xr:uid="{DE547B1E-6DBC-4C74-8B97-295503E77DB3}">
      <text>
        <r>
          <rPr>
            <sz val="9"/>
            <color indexed="81"/>
            <rFont val="Tahoma"/>
            <family val="2"/>
          </rPr>
          <t>ALICE JANE YOUNG_x000D_
http://yeinfo.com/family/I09010419.html_x000D_
https://www.google.com/search?q=ALICE+JANE+YOUNG+1578+1645+MACGILLIS_x000D_
.born: 1578    -          Inverness (Inverness) Scotland_x000D_
.died: 1645    -          Scotland, age:67y 0m 0d, _x000D_
.bapt: 1785GE_x000D_
.will: 2004MO_x000D_
.obit: 1890OH_x000D_
.bury: 1850IL _x000D_
.wpbt: 1826PA_x000D_
.anc#:ancestor_x000D_
citiz:foreign_x000D_
#spos:1_x000D_
#srcs:1_x000D_
#comment:0_x000D_
#events:1_x000D_
#kids:1_x000D_
lived:STINVERINVERNE_x000D_
issue:_x000D_
.recs:Birth,Marriage,Death_x000D_
.imm?:no_x000D_
..Spo:WILLIAM MACGILLIS</t>
        </r>
      </text>
    </comment>
    <comment ref="P1542" authorId="0" shapeId="0" xr:uid="{06984563-0708-4624-83BA-28D95FE28EDB}">
      <text>
        <r>
          <rPr>
            <sz val="9"/>
            <color indexed="81"/>
            <rFont val="Tahoma"/>
            <family val="2"/>
          </rPr>
          <t>STEPHANIE BLOOMINGDALE_x000D_
http://yeinfo.com/family/I09020839.html_x000D_
https://www.google.com/search?q=STEPHANIE+BLOOMINGDALE+1558+1618+YOUNG_x000D_
.born: 1558    -          Inverness (Inverness) Scotland_x000D_
.died: 1618    -         ?Scotland, age:60y 0m 0d, _x000D_
.bapt: 1785GE_x000D_
.will: 2004MO_x000D_
.obit: 1890OH_x000D_
.bury: 1850IL _x000D_
.wpbt: 1826PA_x000D_
.anc#:ancestor_x000D_
citiz:foreign_x000D_
#spos:1_x000D_
#srcs:1_x000D_
#comment:0_x000D_
#events:1_x000D_
#kids:1_x000D_
lived:STINVERINVERNE_x000D_
issue:_x000D_
.recs:Birth,Marriage,Death_x000D_
.imm?:no_x000D_
..Spo:MARK YOUNG</t>
        </r>
      </text>
    </comment>
    <comment ref="L1544" authorId="0" shapeId="0" xr:uid="{4EA53E54-5D72-460C-B0BC-65C63231F5BE}">
      <text>
        <r>
          <rPr>
            <sz val="9"/>
            <color indexed="81"/>
            <rFont val="Tahoma"/>
            <family val="2"/>
          </rPr>
          <t>JOHN BEAN Jr._x000D_
http://yeinfo.com/family/I09001302.html_x000D_
https://www.google.com/search?q=JOHN+BEAN+1668+1719+SARAH_x000D_
.born: 16681013-          Exeter (Rockingham) New Hampshire_x000D_
.died: 17190603-          Exeter (Rockingham) New Hampshire, age:50y 7m 21d, _x000D_
.bapt: 1785GE_x000D_
.will: 2004MO_x000D_
.obit: 1890OH_x000D_
.bury: 1850IL _x000D_
.wpbt: 1826PA_x000D_
.anc#:ancestor_x000D_
citiz:US born_x000D_
#spos:1_x000D_
#srcs:2_x000D_
#comment:0_x000D_
#events:1_x000D_
#kids:1_x000D_
lived:NHROCKIEXETER_x000D_
issue:_x000D_
.recs:Birth,Marriage,Death_x000D_
.imm?:no_x000D_
..Spo:SARAH WADLEIGH</t>
        </r>
      </text>
    </comment>
    <comment ref="M1546" authorId="0" shapeId="0" xr:uid="{FFAE7D9B-A9AC-4598-8B84-B81F76981003}">
      <text>
        <r>
          <rPr>
            <sz val="9"/>
            <color indexed="81"/>
            <rFont val="Tahoma"/>
            <family val="2"/>
          </rPr>
          <t>MARGARET EDWARDS_x000D_
http://yeinfo.com/family/I09002605.html_x000D_
https://www.google.com/search?q=MARGARET+EDWARDS+1640+1714+BEAN_x000D_
.born:c1640    -          Lochaber (Inverness) Scotland_x000D_
.died:?1714    -          Exeter (Rockingham) New Hampshire, age:74y 0m 0d, _x000D_
.bapt: 1785GE_x000D_
.will: 2004MO_x000D_
.obit: 1890OH_x000D_
.bury: 1850IL _x000D_
.wpbt: 1826PA_x000D_
.anc#:ancestor_x000D_
citiz:immigrant_x000D_
#spos:1_x000D_
#srcs:1_x000D_
#comment:1_x000D_
#events:1_x000D_
#kids:1_x000D_
lived:NHROCKIEXETER,STINVERLOCHABE_x000D_
issue:_x000D_
.recs:Birth,Marriage,Death_x000D_
.imm?:immigrant_x000D_
..Spo:JOHN BEAN</t>
        </r>
      </text>
    </comment>
    <comment ref="K1548" authorId="0" shapeId="0" xr:uid="{57CC417B-121C-489E-900A-A46EC5FE7A5D}">
      <text>
        <r>
          <rPr>
            <sz val="9"/>
            <color indexed="81"/>
            <rFont val="Tahoma"/>
            <family val="2"/>
          </rPr>
          <t>SARAH BEAN_x000D_
http://yeinfo.com/family/I09000651.html_x000D_
https://www.google.com/search?q=SARAH+BEAN+1704+1790+BARBER_x000D_
.born:c1704    -          Exeter (Rockingham) New Hampshire_x000D_
.died: 17900609-          Newfields (Rockingham) New Hampshire, age:86y 5m 8d, _x000D_
.bapt: 1785GE_x000D_
.will: 2004MO_x000D_
.obit: 1890OH_x000D_
.bury: 1850IL Worcester Common Burial Ground_x000D_
.wpbt: 1826PA_x000D_
.anc#:ancestor_x000D_
citiz:US born_x000D_
#spos:1_x000D_
#srcs:3_x000D_
#comment:0_x000D_
#events:2_x000D_
#kids:6_x000D_
lived:MAWORCEWORCEST,NHROCKIEXETER,NHROCKINEWFLDS_x000D_
issue:_x000D_
.recs:Birth,Marriage,Death,Interment/Burial_x000D_
.imm?:no_x000D_
..Spo:ROBERT BARBER</t>
        </r>
      </text>
    </comment>
    <comment ref="N1550" authorId="0" shapeId="0" xr:uid="{67213B03-D132-44E4-93FF-27B4ED40C944}">
      <text>
        <r>
          <rPr>
            <sz val="9"/>
            <color indexed="81"/>
            <rFont val="Tahoma"/>
            <family val="2"/>
          </rPr>
          <t>JOHN WADLEIGH_x000D_
http://yeinfo.com/family/I09005212.html_x000D_
https://www.google.com/search?q=JOHN+WADLEIGH+1607+1632+MARY_x000D_
.born: 1607    -          Bristol county England_x000D_
.died: 1632    -1697      Wells (York) Maine, age:25y 0m 0d, _x000D_
.bapt: 1785GE_x000D_
.will: 2004MO_x000D_
.obit: 1890OH_x000D_
.bury: 1850IL _x000D_
.wpbt: 1826PA_x000D_
.anc#:ancestor_x000D_
citiz:immigrant_x000D_
#spos:1_x000D_
#srcs:2_x000D_
#comment:0_x000D_
#events:1_x000D_
#kids:3_x000D_
lived:ENBRIST,MEYORK WELLS_x000D_
issue:_x000D_
.recs:Birth,Marriage,Death_x000D_
.imm?:immigrant_x000D_
..Spo:MARY MARSTON</t>
        </r>
      </text>
    </comment>
    <comment ref="M1552" authorId="0" shapeId="0" xr:uid="{B19029E2-FC75-4D30-BEA5-603902552B76}">
      <text>
        <r>
          <rPr>
            <sz val="9"/>
            <color indexed="81"/>
            <rFont val="Tahoma"/>
            <family val="2"/>
          </rPr>
          <t>ROBERT WADLEIGH_x000D_
http://yeinfo.com/family/I09002606.html_x000D_
https://www.google.com/search?q=ROBERT+WADLEIGH+1628+1672+SARAH_x000D_
.born: 1628    -         ?Bristol county England_x000D_
.died: 1672    -1718     ?Exeter (Rockingham) New Hampshire, age:44y 0m 0d, _x000D_
.bapt: 1785GE_x000D_
.will: 2004MO_x000D_
.obit: 1890OH_x000D_
.bury: 1850IL _x000D_
.wpbt: 1826PA_x000D_
.anc#:ancestor_x000D_
citiz:immigrant_x000D_
#spos:1_x000D_
#srcs:3_x000D_
#comment:0_x000D_
#events:1_x000D_
#kids:8_x000D_
lived:?ENBRIST,?NHROCKIEXETER,MEYORK WELLS_x000D_
issue:_x000D_
.recs:Birth,Marriage,Death_x000D_
.imm?:immigrant_x000D_
..Spo:SARAH SMITH</t>
        </r>
      </text>
    </comment>
    <comment ref="N1554" authorId="0" shapeId="0" xr:uid="{51C585E4-8DEB-453C-9203-0C30C1067A69}">
      <text>
        <r>
          <rPr>
            <sz val="9"/>
            <color indexed="81"/>
            <rFont val="Tahoma"/>
            <family val="2"/>
          </rPr>
          <t>MARY MARSTON_x000D_
http://yeinfo.com/family/I09005213.html_x000D_
https://www.google.com/search?q=MARY+MARSTON+1600+1632+WADLEIGH_x000D_
.born:?1600    -          England_x000D_
.died: 1632    -1690      , age:32y 0m 0d, _x000D_
.bapt: 1785GE_x000D_
.will: 2004MO_x000D_
.obit: 1890OH_x000D_
.bury: 1850IL _x000D_
.wpbt: 1826PA_x000D_
.anc#:ancestor_x000D_
citiz:US born_x000D_
#spos:1_x000D_
#srcs:2_x000D_
#comment:0_x000D_
#events:1_x000D_
#kids:3_x000D_
lived:?ENBRIST,EN_x000D_
issue:_x000D_
.recs:Birth,Marriage,Death_x000D_
.imm?:no_x000D_
..Spo:JOHN WADLEIGH</t>
        </r>
      </text>
    </comment>
    <comment ref="L1556" authorId="0" shapeId="0" xr:uid="{08A04590-1824-46FC-BB01-F177DFD8BED3}">
      <text>
        <r>
          <rPr>
            <sz val="9"/>
            <color indexed="81"/>
            <rFont val="Tahoma"/>
            <family val="2"/>
          </rPr>
          <t>SARAH WADLEIGH_x000D_
http://yeinfo.com/family/I09001303.html_x000D_
https://www.google.com/search?q=SARAH+WADLEIGH+1655+1704+BEAN_x000D_
.born: 16550615-         ?Rockingham county New Hampshire_x000D_
.died: 1704    -1745      , age:48y 6m 17d, _x000D_
.bapt: 1785GE_x000D_
.will: 2004MO_x000D_
.obit: 1890OH_x000D_
.bury: 1850IL _x000D_
.wpbt: 1826PA_x000D_
.anc#:ancestor_x000D_
citiz:US born_x000D_
#spos:1_x000D_
#srcs:3_x000D_
#comment:0_x000D_
#events:1_x000D_
#kids:1_x000D_
lived:?NHROCKI_x000D_
issue:_x000D_
.recs:Birth,Marriage,Death_x000D_
.imm?:no_x000D_
..Spo:JOHN BEAN</t>
        </r>
      </text>
    </comment>
    <comment ref="O1558" authorId="0" shapeId="0" xr:uid="{C9730B4D-967D-4767-B1CC-E9560A2D391E}">
      <text>
        <r>
          <rPr>
            <sz val="9"/>
            <color indexed="81"/>
            <rFont val="Tahoma"/>
            <family val="2"/>
          </rPr>
          <t>JOHN SMITH_x000D_
http://yeinfo.com/family/I09010428.html_x000D_
https://www.google.com/search?q=JOHN+SMITH+1594+1674+DOROTHY_x000D_
.born: 1594    -          Grantham (Lincolnshire) England_x000D_
.died: 16740613-          Boston (Suffolk) Massachusetts, age:80y 5m 12d, _x000D_
.bapt: 1785GE_x000D_
.will: 2004MO_x000D_
.obit: 1890OH_x000D_
.bury: 1850IL _x000D_
.wpbt: 1826PA_x000D_
.anc#:ancestor_x000D_
citiz:immigrant_x000D_
#spos:1_x000D_
#srcs:1_x000D_
#comment:0_x000D_
#events:1_x000D_
#kids:1_x000D_
lived:ENLINCSGRANTHA,ENNORFONORTHEL,MASUFFOBOSTON_x000D_
issue:Died after Age 100_x000D_
.recs:Birth,Marriage,Death_x000D_
.imm?:immigrant_x000D_
..Spo:DOROTHY KETRINGHAM</t>
        </r>
      </text>
    </comment>
    <comment ref="N1560" authorId="0" shapeId="0" xr:uid="{FF791867-1395-413D-A5E5-7FC91DAF3A79}">
      <text>
        <r>
          <rPr>
            <sz val="9"/>
            <color indexed="81"/>
            <rFont val="Tahoma"/>
            <family val="2"/>
          </rPr>
          <t>ROBERT SMITH_x000D_
http://yeinfo.com/family/I09005214.html_x000D_
https://www.google.com/search?q=ROBERT+SMITH+1611+1706+SUSANNAH_x000D_
.born: 16110216-          Exeter (Devon) England_x000D_
.died: 17060830-          Hampton (Rockingham) New Hampshire, age:95y 6m 14d, _x000D_
.bapt: 1785GE_x000D_
.will: 2004MO_x000D_
.obit: 1890OH_x000D_
.bury: 1850IL _x000D_
.wpbt: 1826PA_x000D_
.anc#:ancestor_x000D_
citiz:immigrant_x000D_
#spos:1_x000D_
#srcs:1_x000D_
#comment:0_x000D_
#events:1_x000D_
#kids:8_x000D_
lived:ENDEVONEXETER,NHROCKIHAMPTON_x000D_
issue:_x000D_
.recs:Birth,Marriage,Death_x000D_
.imm?:immigrant_x000D_
..Spo:SUSANNAH PORTE</t>
        </r>
      </text>
    </comment>
    <comment ref="O1562" authorId="0" shapeId="0" xr:uid="{CB236E20-8200-43C6-8717-516861812D60}">
      <text>
        <r>
          <rPr>
            <sz val="9"/>
            <color indexed="81"/>
            <rFont val="Tahoma"/>
            <family val="2"/>
          </rPr>
          <t>DOROTHY KETRINGHAM_x000D_
http://yeinfo.com/family/I09010429.html_x000D_
https://www.google.com/search?q=DOROTHY+KETRINGHAM+1588+1611+SMITH_x000D_
.born: 1588    -          England_x000D_
.died: 1611    -1678     ?Massachusetts, age:23y 0m 0d, _x000D_
.bapt: 1785GE_x000D_
.will: 2004MO_x000D_
.obit: 1890OH_x000D_
.bury: 1850IL _x000D_
.wpbt: 1826PA_x000D_
.anc#:ancestor_x000D_
citiz:immigrant_x000D_
#spos:1_x000D_
#srcs:1_x000D_
#comment:0_x000D_
#events:1_x000D_
#kids:1_x000D_
lived:?MA,ENNORFONORTHEL_x000D_
issue:_x000D_
.recs:Birth,Marriage,Death_x000D_
.imm?:immigrant_x000D_
..Spo:JOHN SMITH</t>
        </r>
      </text>
    </comment>
    <comment ref="M1564" authorId="0" shapeId="0" xr:uid="{12387F41-61C9-4A59-BDE3-1F3CA18158A7}">
      <text>
        <r>
          <rPr>
            <sz val="9"/>
            <color indexed="81"/>
            <rFont val="Tahoma"/>
            <family val="2"/>
          </rPr>
          <t>SARAH SMITH_x000D_
http://yeinfo.com/family/I09002607.html_x000D_
https://www.google.com/search?q=SARAH+SMITH+1632+1660+WADLEIGH_x000D_
.born:c1632    -          Exeter (Rockingham) New Hampshire_x000D_
.died: 1660    -1722     ?Exeter (Rockingham) New Hampshire, age:28y 0m 0d, _x000D_
.bapt: 1785GE_x000D_
.will: 2004MO_x000D_
.obit: 1890OH_x000D_
.bury: 1850IL _x000D_
.wpbt: 1826PA_x000D_
.anc#:ancestor_x000D_
citiz:US born_x000D_
#spos:1_x000D_
#srcs:3_x000D_
#comment:0_x000D_
#events:1_x000D_
#kids:8_x000D_
lived:MEYORK WELLS,NHROCKIEXETER_x000D_
issue:Born before Parents Married_x000D_
.recs:Birth,Marriage,Death_x000D_
.imm?:no_x000D_
..Spo:ROBERT WADLEIGH</t>
        </r>
      </text>
    </comment>
    <comment ref="N1566" authorId="0" shapeId="0" xr:uid="{1D6F2D47-7CD3-4CD8-A114-EBA35A23F395}">
      <text>
        <r>
          <rPr>
            <sz val="9"/>
            <color indexed="81"/>
            <rFont val="Tahoma"/>
            <family val="2"/>
          </rPr>
          <t>SUSANNAH PORTE_x000D_
http://yeinfo.com/family/I09005215.html_x000D_
https://www.google.com/search?q=SUSANNAH+PORTE+1611+1680+SMITH_x000D_
.born: 1611    -          Otley (Yorkshire) England_x000D_
.died: 16800412-          Hampton (Rockingham) New Hampshire, age:69y 3m 11d, _x000D_
.bapt: 1785GE_x000D_
.will: 2004MO_x000D_
.obit: 1890OH_x000D_
.bury: 1850IL _x000D_
.wpbt: 1826PA_x000D_
.anc#:ancestor_x000D_
citiz:immigrant_x000D_
#spos:1_x000D_
#srcs:1_x000D_
#comment:0_x000D_
#events:1_x000D_
#kids:8_x000D_
lived:ENYORKSOTLEY,NHROCKIHAMPTON_x000D_
issue:_x000D_
.recs:Birth,Marriage,Death_x000D_
.imm?:immigrant_x000D_
..Spo:ROBERT SMITH</t>
        </r>
      </text>
    </comment>
    <comment ref="H1568" authorId="0" shapeId="0" xr:uid="{5D603325-E036-4374-BB50-10018F3CF473}">
      <text>
        <r>
          <rPr>
            <sz val="9"/>
            <color indexed="81"/>
            <rFont val="Tahoma"/>
            <family val="2"/>
          </rPr>
          <t>PHOEBE FISHER_x000D_
http://yeinfo.com/family/I09000081.html_x000D_
https://www.google.com/search?q=PHOEBE+FISHER+1784+1861+SEARLS_x000D_
.born: 17841231-          New York_x000D_
.died: 18610515-          Hinckley (Medina) Ohio, age:76y 4m 14d, _x000D_
.bapt: 1785GE_x000D_
.will: 2004MO_x000D_
.obit: 1890OH_x000D_
.bury: 1850IL _x000D_
.wpbt: 1826PA_x000D_
.anc#:ancestor_x000D_
citiz:US born_x000D_
#spos:1_x000D_
#srcs:7_x000D_
#comment:1_x000D_
#events:4_x000D_
#kids:11_x000D_
lived:NYWESTC,OHMEDINHINCKLY_x000D_
issue:_x000D_
.recs:Birth,Marriage,Death,Image_x000D_
.imm?:no_x000D_
..Spo:DANIEL SEARLS</t>
        </r>
      </text>
    </comment>
    <comment ref="M1570" authorId="0" shapeId="0" xr:uid="{F9EC2DD3-EC6D-4A9C-BCDD-CA14EC902D09}">
      <text>
        <r>
          <rPr>
            <sz val="9"/>
            <color indexed="81"/>
            <rFont val="Tahoma"/>
            <family val="2"/>
          </rPr>
          <t>ROBERT SEARLS_x000D_
http://yeinfo.com/family/I09001280.html_x000D_
https://www.google.com/search?q=ROBERT+SEARLS+1640+1663+JOHANNA_x000D_
.born:?1640    -          England_x000D_
.died: 1663    -1730      England, age:23y 0m 0d, _x000D_
.bapt: 1785GE_x000D_
.will: 2004MO_x000D_
.obit: 1890OH_x000D_
.bury: 1850IL _x000D_
.wpbt: 1826PA_x000D_
.anc#:double ancestor_x000D_
citiz:foreign_x000D_
#spos:1_x000D_
#srcs:1_x000D_
#comment:0_x000D_
#events:2_x000D_
#kids:1_x000D_
lived:EN_x000D_
issue:_x000D_
.recs:Birth,Baptism,Marriage,Death_x000D_
.imm?:no_x000D_
..Spo:JOHANNA SEARLS</t>
        </r>
      </text>
    </comment>
    <comment ref="L1572" authorId="0" shapeId="0" xr:uid="{2966160B-C426-4F87-A7E6-8E297178A0D3}">
      <text>
        <r>
          <rPr>
            <sz val="9"/>
            <color indexed="81"/>
            <rFont val="Tahoma"/>
            <family val="2"/>
          </rPr>
          <t>ROBERT SEARLS_x000D_
http://yeinfo.com/family/I09000640.html_x000D_
https://www.google.com/search?q=ROBERT+SEARLS+1663+1711+MARY\MATILDA_x000D_
.born:?1663    -          England_x000D_
.died: 1711    -1753     ?England, age:48y 0m 0d, _x000D_
.bapt: 1785GE_x000D_
.will: 2004MO_x000D_
.obit: 1890OH_x000D_
.bury: 1850IL _x000D_
.wpbt: 1826PA_x000D_
.anc#:double ancestor_x000D_
citiz:foreign_x000D_
#spos:1_x000D_
#srcs:1_x000D_
#comment:1_x000D_
#events:2_x000D_
#kids:1_x000D_
lived:ENMIDDLLONDON_x000D_
issue:_x000D_
.recs:Birth,Baptism,Marriage,Death_x000D_
.imm?:no_x000D_
..Spo:MARY\MATILDA QUARTERMAIN</t>
        </r>
      </text>
    </comment>
    <comment ref="M1574" authorId="0" shapeId="0" xr:uid="{DCB3835A-6770-460F-A1E9-46BF5728ACA9}">
      <text>
        <r>
          <rPr>
            <sz val="9"/>
            <color indexed="81"/>
            <rFont val="Tahoma"/>
            <family val="2"/>
          </rPr>
          <t>Mrs. JOHANNA SEARLS_x000D_
http://yeinfo.com/family/I09001281.html_x000D_
https://www.google.com/search?q=JOHANNA+SEARLS+1640+1663+SEARLS_x000D_
.born:?1640    -          England_x000D_
.died: 1663    -1730      England, age:23y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..Spo:ROBERT SEARLS</t>
        </r>
      </text>
    </comment>
    <comment ref="K1576" authorId="0" shapeId="0" xr:uid="{9605193C-9527-4423-90D8-F4AC2FEEA5C2}">
      <text>
        <r>
          <rPr>
            <sz val="9"/>
            <color indexed="81"/>
            <rFont val="Tahoma"/>
            <family val="2"/>
          </rPr>
          <t>JOHN SEARLS Sr._x000D_
http://yeinfo.com/family/I09000320.html_x000D_
https://www.google.com/search?q=JOHN+SEARLS+1711+1770+MARY+ELIZABETH_x000D_
.born: 17110411-          London (Middlesex) England_x000D_
.died:c1770    -         ?Chappaquiddick (Westchester) New York, age:58y 8m 21d, _x000D_
.bapt: 1785GE_x000D_
.will: 2004MO_x000D_
.obit: 1890OH_x000D_
.bury: 1850IL _x000D_
.wpbt: 1826PA_x000D_
.anc#:double ancestor_x000D_
citiz:immigrant_x000D_
#spos:1_x000D_
#srcs:1_x000D_
#comment:1_x000D_
#events:5_x000D_
#kids:4_x000D_
lived:?NYWESTCCHAPPAQ,ENMIDDLLONDON,ENOXFOSBURNFOR,NYWESTCBEDFORD_x000D_
issue:_x000D_
.recs:Birth,Baptism,Marriage,Will Inclusion,Death_x000D_
.imm?:immigrant_x000D_
..Spo:MARY ELIZABETH PACKER</t>
        </r>
      </text>
    </comment>
    <comment ref="L1578" authorId="0" shapeId="0" xr:uid="{E6DE6E58-62FF-4704-8B6B-F0697D714FF3}">
      <text>
        <r>
          <rPr>
            <sz val="9"/>
            <color indexed="81"/>
            <rFont val="Tahoma"/>
            <family val="2"/>
          </rPr>
          <t>MARY\MATILDA QUARTERMAIN_x000D_
http://yeinfo.com/family/I09000641.html_x000D_
https://www.google.com/search?q=MARY\MATILDA+QUARTERMAIN+1670+1711+SEARLS_x000D_
.born:?1670    -          England_x000D_
.died: 1711    -1750      Hagley (Worcestershire) England, age:41y 0m 0d, _x000D_
.bapt: 1785GE_x000D_
.will: 2004MO_x000D_
.obit: 1890OH_x000D_
.bury: 1850IL _x000D_
.wpbt: 1826PA_x000D_
.anc#:double ancestor_x000D_
citiz:foreign_x000D_
#spos:1_x000D_
#srcs:2_x000D_
#comment:1_x000D_
#events:1_x000D_
#kids:1_x000D_
lived:ENMIDDLLONDON,ENWORCSHAGLEY_x000D_
issue:_x000D_
.recs:Birth,Marriage,Death_x000D_
.imm?:no_x000D_
..Spo:ROBERT SEARLS</t>
        </r>
      </text>
    </comment>
    <comment ref="J1580" authorId="0" shapeId="0" xr:uid="{2BA5D3F8-BD2E-4334-B5AE-EEC2EFED1AAD}">
      <text>
        <r>
          <rPr>
            <sz val="9"/>
            <color indexed="81"/>
            <rFont val="Tahoma"/>
            <family val="2"/>
          </rPr>
          <t>JOHN SEARLS Jr._x000D_
http://yeinfo.com/family/I09000160.html_x000D_
https://www.google.com/search?q=JOHN+SEARLS+1732+1810+HANNAH_x000D_
.born: 17320511-          Mount Pleasant (Westchester) New York_x000D_
.died: 18100829-          Coxsackie (Greene) New York, age:78y 3m 18d, _x000D_
.bapt: 1785GE_x000D_
.will: 2004MO_x000D_
.obit: 1890OH_x000D_
.bury: 1850IL Sarls Homestead Cemetery_x000D_
.wpbt: 1826PA_x000D_
.anc#:double ancestor_x000D_
citiz:US born_x000D_
#spos:1_x000D_
#srcs:25_x000D_
#comment:3_x000D_
#events:16_x000D_
#kids:12_x000D_
lived:?NYALBAY,NYGRENECOXSACK,NYGRENEHANNACR,NYGRENENEW BAL,NYWESTCMT. PLE,NYWESTCNORTH C,NYWESTCPOUND R_x000D_
issue:_x000D_
.recs:Birth,Marriage,Taxes,Will Written,Death,Interment/Burial_x000D_
.imm?:no_x000D_
..Spo:HANNAH IRELAND</t>
        </r>
      </text>
    </comment>
    <comment ref="K1582" authorId="0" shapeId="0" xr:uid="{F170B90F-3963-4077-8AAB-38FA859CC356}">
      <text>
        <r>
          <rPr>
            <sz val="9"/>
            <color indexed="81"/>
            <rFont val="Tahoma"/>
            <family val="2"/>
          </rPr>
          <t>MARY ELIZABETH PACKER_x000D_
http://yeinfo.com/family/I09000321.html_x000D_
https://www.google.com/search?q=MARY+ELIZABETH+PACKER+1709+1732+SEARLS_x000D_
.born: 1709    -          Biddestone (Wiltshire) England_x000D_
.died: 1732    -1799     ?Westchester county New York, age:23y 0m 0d, _x000D_
.bapt: 1785GE_x000D_
.will: 2004MO_x000D_
.obit: 1890OH_x000D_
.bury: 1850IL _x000D_
.wpbt: 1826PA_x000D_
.anc#:double ancestor_x000D_
citiz:immigrant_x000D_
#spos:1_x000D_
#srcs:1_x000D_
#comment:1_x000D_
#events:2_x000D_
#kids:4_x000D_
lived:?NYWESTC,ENOXFOSBURNFOR,ENWILTSBIDDEST_x000D_
issue:_x000D_
.recs:Birth,Baptism,Marriage,Death_x000D_
.imm?:immigrant_x000D_
..Spo:JOHN SEARLS</t>
        </r>
      </text>
    </comment>
    <comment ref="I1584" authorId="0" shapeId="0" xr:uid="{566F8883-7E66-441E-BC5D-3D6B155D0274}">
      <text>
        <r>
          <rPr>
            <sz val="9"/>
            <color indexed="81"/>
            <rFont val="Tahoma"/>
            <family val="2"/>
          </rPr>
          <t>CHARITY SEARLS_x000D_
http://yeinfo.com/family/I09000163.html_x000D_
https://www.google.com/search?q=CHARITY+SEARLS+1763+1841+FISHER_x000D_
.born: 17630710-          Westchester county New York_x000D_
.died: 18410929-          New Baltimore (Greene) New York, age:78y 2m 19d, _x000D_
.bapt: 1785GE_x000D_
.will: 2004MO_x000D_
.obit: 1890OH_x000D_
.bury: 1850IL Sarls Homestead Cemetery_x000D_
.wpbt: 1826PA_x000D_
.anc#:ancestor_x000D_
citiz:US born_x000D_
#spos:1_x000D_
#srcs:8_x000D_
#comment:1_x000D_
#events:2_x000D_
#kids:3_x000D_
lived:NYGRENEHANNACR,NYGRENENEW BAL,NYWESTC_x000D_
issue:_x000D_
.recs:Birth,Marriage,Death,Interment/Burial_x000D_
.imm?:no_x000D_
..Spo:WILLIAM FISHER</t>
        </r>
      </text>
    </comment>
    <comment ref="N1586" authorId="0" shapeId="0" xr:uid="{4472CE49-E78F-4AFC-90F2-761435BFEC51}">
      <text>
        <r>
          <rPr>
            <sz val="9"/>
            <color indexed="81"/>
            <rFont val="Tahoma"/>
            <family val="2"/>
          </rPr>
          <t>WILLIAM\SAMUEL IRELAND Jr._x000D_
http://yeinfo.com/family/I09002576.html_x000D_
https://www.google.com/search?q=WILLIAM\SAMUEL+IRELAND+1603+1639+MARY_x000D_
.born: 1603    -         ?England_x000D_
.died: 16390520-         ?, age:36y 4m 19d, _x000D_
.bapt: 1785GE_x000D_
.will: 2004MO_x000D_
.obit: 1890OH_x000D_
.bury: 1850IL _x000D_
.wpbt: 1826PA_x000D_
.anc#:double ancestor_x000D_
citiz:US born_x000D_
#spos:1_x000D_
#srcs:3_x000D_
#comment:0_x000D_
#events:1_x000D_
#kids:1_x000D_
lived:?EN_x000D_
issue:_x000D_
.recs:Birth,Marriage,Death_x000D_
.imm?:no_x000D_
..Spo:MARY LOAH</t>
        </r>
      </text>
    </comment>
    <comment ref="M1588" authorId="0" shapeId="0" xr:uid="{785F5753-B4EA-4472-B9D1-F52CD714E6E6}">
      <text>
        <r>
          <rPr>
            <sz val="9"/>
            <color indexed="81"/>
            <rFont val="Tahoma"/>
            <family val="2"/>
          </rPr>
          <t>THOMAS IRELAND_x000D_
http://yeinfo.com/family/I09001288.html_x000D_
https://www.google.com/search?q=THOMAS+IRELAND+1622+1668+JOAN_x000D_
.born: 1622    -          Warwickshire county England_x000D_
.died: 1668    -          , age:46y 0m 0d, _x000D_
.bapt: 1785GE_x000D_
.will: 2004MO_x000D_
.obit: 1890OH_x000D_
.bury: 1850IL _x000D_
.wpbt: 1826PA_x000D_
.anc#:double ancestor_x000D_
citiz:US born_x000D_
#spos:1_x000D_
#srcs:7_x000D_
#comment:1_x000D_
#events:5_x000D_
#kids:1_x000D_
lived:?NYNASSAHEMPSTE,ENWARWE_x000D_
issue:_x000D_
.recs:Birth,Marriage,Will Written,Death,Gov't Court_x000D_
.imm?:no_x000D_
..Spo:JOAN DUTTON</t>
        </r>
      </text>
    </comment>
    <comment ref="N1590" authorId="0" shapeId="0" xr:uid="{CE44DB9E-5F91-4261-A2C8-B3FA2F5BB8DD}">
      <text>
        <r>
          <rPr>
            <sz val="9"/>
            <color indexed="81"/>
            <rFont val="Tahoma"/>
            <family val="2"/>
          </rPr>
          <t>MARY LOAH_x000D_
http://yeinfo.com/family/I09002577.html_x000D_
https://www.google.com/search?q=MARY+LOAH+1590+1622+IRELAND_x000D_
.born:?1590    -         ?England_x000D_
.died: 1622    -1680     ?, age:32y 0m 0d, _x000D_
.bapt: 1785GE_x000D_
.will: 2004MO_x000D_
.obit: 1890OH_x000D_
.bury: 1850IL _x000D_
.wpbt: 1826PA_x000D_
.anc#:double ancestor_x000D_
citiz:US born_x000D_
#spos:1_x000D_
#srcs:1_x000D_
#comment:0_x000D_
#events:1_x000D_
#kids:1_x000D_
lived:?EN_x000D_
issue:_x000D_
.recs:Birth,Marriage,Death_x000D_
.imm?:no_x000D_
..Spo:WILLIAM\SAMUEL IRELAND</t>
        </r>
      </text>
    </comment>
    <comment ref="L1592" authorId="0" shapeId="0" xr:uid="{430BE859-A822-401E-80D9-1C77B739659B}">
      <text>
        <r>
          <rPr>
            <sz val="9"/>
            <color indexed="81"/>
            <rFont val="Tahoma"/>
            <family val="2"/>
          </rPr>
          <t>THOMAS JOSEPH IRELAND_x000D_
http://yeinfo.com/family/I09000644.html_x000D_
https://www.google.com/search?q=THOMAS+JOSEPH+IRELAND+1647+1710+MARY_x000D_
.born:c1647    -          Hempstead (Nassau) New York_x000D_
.died: 1710    -          New York, age:63y 0m 0d, _x000D_
.bapt: 1785GE_x000D_
.will: 2004MO_x000D_
.obit: 1890OH_x000D_
.bury: 1850IL _x000D_
.wpbt: 1826PA_x000D_
.anc#:double ancestor_x000D_
citiz:US born_x000D_
#spos:1_x000D_
#srcs:12_x000D_
#comment:1_x000D_
#events:9_x000D_
#kids:10_x000D_
lived:NYNASSAHEMPSTE,NYNASSAOYSTERB,NYSUFFOHUNTINT_x000D_
issue:_x000D_
.recs:Birth,Marriage,Deed,Land Transaction_x000D_
.imm?:no_x000D_
..Spo:MARY ABRAHAMS</t>
        </r>
      </text>
    </comment>
    <comment ref="O1594" authorId="0" shapeId="0" xr:uid="{57A83792-5901-4BD6-8691-4AA0BDFA388C}">
      <text>
        <r>
          <rPr>
            <sz val="9"/>
            <color indexed="81"/>
            <rFont val="Tahoma"/>
            <family val="2"/>
          </rPr>
          <t>THOMAS DUTTON_x000D_
http://yeinfo.com/family/I09005156.html_x000D_
https://www.google.com/search?q=THOMAS+DUTTON+1568+1614+THOMASYN_x000D_
.born: 1568    -          Cheshire county England_x000D_
.died: 16141228-          Dutton (Cheshire) England, age:46y 11m 27d, _x000D_
.bapt: 1785GE_x000D_
.will: 2004MO_x000D_
.obit: 1890OH_x000D_
.bury: 1850IL _x000D_
.wpbt: 1826PA_x000D_
.anc#:double ancestor_x000D_
citiz:foreign_x000D_
#spos:1_x000D_
#srcs:6_x000D_
#comment:1_x000D_
#events:1_x000D_
#kids:1_x000D_
lived:ENCHESHDUTTON_x000D_
issue:_x000D_
.recs:Birth,Marriage,Death_x000D_
.imm?:no_x000D_
..Spo:THOMASYN ANDERTON</t>
        </r>
      </text>
    </comment>
    <comment ref="N1596" authorId="0" shapeId="0" xr:uid="{B549B07C-735B-4657-8083-B43EFB1666F8}">
      <text>
        <r>
          <rPr>
            <sz val="9"/>
            <color indexed="81"/>
            <rFont val="Tahoma"/>
            <family val="2"/>
          </rPr>
          <t>ROLAND DUTTON_x000D_
http://yeinfo.com/family/I09002578.html_x000D_
https://www.google.com/search?q=ROLAND+DUTTON+1585+1653+ELIZABETH_x000D_
.born: 1585    -          Hatton (Cheshire) England_x000D_
.died: 1653    -          American Samoa, age:68y 0m 0d, _x000D_
.bapt: 1785GE_x000D_
.will: 2004MO_x000D_
.obit: 1890OH_x000D_
.bury: 1850IL _x000D_
.wpbt: 1826PA_x000D_
.anc#:double ancestor_x000D_
citiz:foreign_x000D_
#spos:1_x000D_
#srcs:6_x000D_
#comment:0_x000D_
#events:1_x000D_
#kids:1_x000D_
lived:AS,ENCHESHHATTON,ENSHROPSHREWSB_x000D_
issue:Born before Parents Married_x000D_
.recs:Birth,Marriage,Death_x000D_
.imm?:no_x000D_
..Spo:ELIZABETH JONES</t>
        </r>
      </text>
    </comment>
    <comment ref="R1598" authorId="0" shapeId="0" xr:uid="{71503209-6553-4515-9ED8-FED1D6E6B91F}">
      <text>
        <r>
          <rPr>
            <sz val="9"/>
            <color indexed="81"/>
            <rFont val="Tahoma"/>
            <family val="2"/>
          </rPr>
          <t>JAMES ANDERTON_x000D_
http://yeinfo.com/family/I09041256.html_x000D_
https://www.google.com/search?q=JAMES+ANDERTON+1495+1552+ANNE_x000D_
.born: 1495    -          Euxton (Lancashire) England_x000D_
.died: 1552    -          England, age:57y 0m 0d, _x000D_
.bapt: 1785GE_x000D_
.will: 2004MO_x000D_
.obit: 1890OH_x000D_
.bury: 1850IL _x000D_
.wpbt: 1826PA_x000D_
.anc#:double ancestor_x000D_
citiz:foreign_x000D_
#spos:1_x000D_
#srcs:1_x000D_
#comment:1_x000D_
#events:1_x000D_
#kids:1_x000D_
lived:ENLANCSEUXTON_x000D_
issue:Died after Age 100_x000D_
.recs:Birth,Marriage,Death_x000D_
.imm?:no_x000D_
..Spo:ANNE BANASTRE</t>
        </r>
      </text>
    </comment>
    <comment ref="Q1600" authorId="0" shapeId="0" xr:uid="{AFA0EB32-83B9-4156-AD18-84C787C1E372}">
      <text>
        <r>
          <rPr>
            <sz val="9"/>
            <color indexed="81"/>
            <rFont val="Tahoma"/>
            <family val="2"/>
          </rPr>
          <t>ROGER ANDERTON Sr._x000D_
http://yeinfo.com/family/I09020628.html_x000D_
https://www.google.com/search?q=ROGER+ANDERTON+1510+1546+{_?_}_x000D_
.born:?1510    -          Adlington (Lancashire) England_x000D_
.died: 1546    -1611     ?England, age:36y 0m 0d, _x000D_
.bapt: 1785GE_x000D_
.will: 2004MO_x000D_
.obit: 1890OH_x000D_
.bury: 1850IL _x000D_
.wpbt: 1826PA_x000D_
.anc#:double ancestor_x000D_
citiz:foreign_x000D_
#spos:1_x000D_
#srcs:1_x000D_
#comment:0_x000D_
#events:1_x000D_
#kids:1_x000D_
lived:ENLANCSADLINGT_x000D_
issue:_x000D_
.recs:Birth,Marriage,Death_x000D_
.imm?:no_x000D_
..Spo:{_?_} ANDERTON</t>
        </r>
      </text>
    </comment>
    <comment ref="U1602" authorId="0" shapeId="0" xr:uid="{150239AD-DF51-4F83-9467-37F9C1E91F69}">
      <text>
        <r>
          <rPr>
            <sz val="9"/>
            <color indexed="81"/>
            <rFont val="Tahoma"/>
            <family val="2"/>
          </rPr>
          <t>WILLIAM BANASTRE II_x000D_
http://yeinfo.com/family/I09066438.html_x000D_
https://www.google.com/search?q=WILLIAM+BANASTRE+1359+1395+ELIZABETH_x000D_
.born: 1359    -          Wheathill (Somerset) England_x000D_
.died: 1395    -          Radstock (Somerset) England, age:36y 0m 0d, _x000D_
.bapt: 1785GE_x000D_
.will: 2004MO_x000D_
.obit: 1890OH_x000D_
.bury: 1850IL _x000D_
.wpbt: 1826PA_x000D_
.anc#:  triple ancestor_x000D_
citiz:foreign_x000D_
#spos:1_x000D_
#srcs:2_x000D_
#comment:0_x000D_
#events:1_x000D_
#kids:2_x000D_
lived:ENSOMESRADSTOC,ENSOMESWHEATHI_x000D_
issue:_x000D_
.recs:Birth,Marriage,Death_x000D_
.imm?:no_x000D_
..Spo:ELIZABETH WELLESLEY</t>
        </r>
      </text>
    </comment>
    <comment ref="T1604" authorId="0" shapeId="0" xr:uid="{E34CD6A6-0022-4164-BC02-24DA449ABBFB}">
      <text>
        <r>
          <rPr>
            <sz val="9"/>
            <color indexed="81"/>
            <rFont val="Tahoma"/>
            <family val="2"/>
          </rPr>
          <t>FRANCIS BANASTRE_x000D_
http://yeinfo.com/family/I09066773.html_x000D_
https://www.google.com/search?q=FRANCIS+BANASTRE+1400+1495+ELIZABETH_x000D_
.born: 1400    -          Colne (Lancashire) England_x000D_
.died:?149503  -          Frome (Somerset) England, age:95y 2m 0d, _x000D_
.bapt: 1785GE_x000D_
.will: 2004MO_x000D_
.obit: 1890OH_x000D_
.bury: 1850IL _x000D_
.wpbt: 1826PA_x000D_
.anc#:double ancestor_x000D_
citiz:foreign_x000D_
#spos:1_x000D_
#srcs:1_x000D_
#comment:0_x000D_
#events:1_x000D_
#kids:1_x000D_
lived:ENLANCSCOLNE,ENSOMESFROME_x000D_
issue:Born after Parent Died_x000D_
.recs:Birth,Marriage,Death_x000D_
.imm?:no_x000D_
..Spo:ELIZABETH JOSEPH</t>
        </r>
      </text>
    </comment>
    <comment ref="U1606" authorId="0" shapeId="0" xr:uid="{1DC2DE6E-6EF1-4245-B3E0-FB90BF8B7289}">
      <text>
        <r>
          <rPr>
            <sz val="9"/>
            <color indexed="81"/>
            <rFont val="Tahoma"/>
            <family val="2"/>
          </rPr>
          <t>ELIZABETH WELLESLEY_x000D_
http://yeinfo.com/family/I09066486.html_x000D_
https://www.google.com/search?q=ELIZABETH+WELLESLEY+1363+1400+BANASTRE_x000D_
.born: 1363    -          Radstock (Somerset) England_x000D_
.died: 1400    -1450      Somerset county England, age:37y 0m 0d, _x000D_
.bapt: 1785GE_x000D_
.will: 2004MO_x000D_
.obit: 1890OH_x000D_
.bury: 1850IL _x000D_
.wpbt: 1826PA_x000D_
.anc#:  triple ancestor_x000D_
citiz:foreign_x000D_
#spos:1_x000D_
#srcs:1_x000D_
#comment:0_x000D_
#events:1_x000D_
#kids:2_x000D_
lived:ENSOMESRADSTOC_x000D_
issue:_x000D_
.recs:Birth,Marriage,Death_x000D_
.imm?:no_x000D_
..Spo:WILLIAM BANASTRE</t>
        </r>
      </text>
    </comment>
    <comment ref="S1608" authorId="0" shapeId="0" xr:uid="{04C49AA4-AAC3-438B-86EB-FF96A7773C55}">
      <text>
        <r>
          <rPr>
            <sz val="9"/>
            <color indexed="81"/>
            <rFont val="Tahoma"/>
            <family val="2"/>
          </rPr>
          <t>HENRY BANASTRE_x000D_
http://yeinfo.com/family/I09066774.html_x000D_
https://www.google.com/search?q=HENRY+BANASTRE+1460+1526+ELIZABETH_x000D_
.born: 1460    -          Southport (Lancashire) England_x000D_
.died: 1526    -          Bretherton (Lancashire) England, age:66y 0m 0d, _x000D_
.bapt: 1785GE_x000D_
.will: 2004MO_x000D_
.obit: 1890OH_x000D_
.bury: 1850IL _x000D_
.wpbt: 1826PA_x000D_
.anc#:double ancestor_x000D_
citiz:foreign_x000D_
#spos:1_x000D_
#srcs:1_x000D_
#comment:0_x000D_
#events:1_x000D_
#kids:1_x000D_
lived:?ENLANCSBRETHER,ENLANCSSOUTHPT_x000D_
issue:_x000D_
.recs:Birth,Marriage,Death_x000D_
.imm?:no_x000D_
..Spo:ELIZABETH OSBALDESTON</t>
        </r>
      </text>
    </comment>
    <comment ref="U1610" authorId="0" shapeId="0" xr:uid="{65B28B55-8985-49CC-9CFC-EFE1CD1BAC39}">
      <text>
        <r>
          <rPr>
            <sz val="9"/>
            <color indexed="81"/>
            <rFont val="Tahoma"/>
            <family val="2"/>
          </rPr>
          <t>THOMAS JOSEPH_x000D_
http://yeinfo.com/family/I09066807.html_x000D_
https://www.google.com/search?q=THOMAS+JOSEPH+1395+1418+{_?_}_x000D_
.born: 1395    -          Northamptonshire county England_x000D_
.died: 1418    -1483     ?England, age:23y 0m 0d, _x000D_
.bapt: 1785GE_x000D_
.will: 2004MO_x000D_
.obit: 1890OH_x000D_
.bury: 1850IL _x000D_
.wpbt: 1826PA_x000D_
.anc#:double ancestor_x000D_
citiz:foreign_x000D_
#spos:1_x000D_
#srcs:1_x000D_
#comment:0_x000D_
#events:1_x000D_
#kids:1_x000D_
lived:ENNORTA_x000D_
issue:_x000D_
.recs:Birth,Marriage,Death_x000D_
.imm?:no_x000D_
..Spo:{_?_} JOSEPH</t>
        </r>
      </text>
    </comment>
    <comment ref="T1612" authorId="0" shapeId="0" xr:uid="{2FA5805A-5402-402B-B463-3D4BD94D5192}">
      <text>
        <r>
          <rPr>
            <sz val="9"/>
            <color indexed="81"/>
            <rFont val="Tahoma"/>
            <family val="2"/>
          </rPr>
          <t>ELIZABETH JOSEPH_x000D_
http://yeinfo.com/family/I09066808.html_x000D_
https://www.google.com/search?q=ELIZABETH+JOSEPH+1418+1475+BANASTRE_x000D_
.born:?1418    -          Towcester (Northamptonshire) England_x000D_
.died: 14750624-          Towcester (Northamptonshire) England, age:57y 5m 23d, _x000D_
.bapt: 1785GE_x000D_
.will: 2004MO_x000D_
.obit: 1890OH_x000D_
.bury: 1850IL _x000D_
.wpbt: 1826PA_x000D_
.anc#:double ancestor_x000D_
citiz:foreign_x000D_
#spos:1_x000D_
#srcs:1_x000D_
#comment:0_x000D_
#events:1_x000D_
#kids:1_x000D_
lived:?ENLANCS,ENNORTATOWCEST_x000D_
issue:_x000D_
.recs:Birth,Marriage,Death_x000D_
.imm?:no_x000D_
..Spo:FRANCIS BANASTRE</t>
        </r>
      </text>
    </comment>
    <comment ref="U1614" authorId="0" shapeId="0" xr:uid="{B5247929-A08A-4777-BD12-3D6375C361D7}">
      <text>
        <r>
          <rPr>
            <sz val="9"/>
            <color indexed="81"/>
            <rFont val="Tahoma"/>
            <family val="2"/>
          </rPr>
          <t>Mrs. {_?_} JOSEPH_x000D_
http://yeinfo.com/family/I09066806.html_x000D_
https://www.google.com/search?q={_?_}+JOSEPH+1398+1418+JOSEPH_x000D_
.born:?1398    -         ?Northamptonshire county England_x000D_
.died: 1418    -1483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lived:?ENNORTA_x000D_
issue:_x000D_
.recs:Birth,Marriage,Death_x000D_
.imm?:no_x000D_
..Spo:THOMAS JOSEPH</t>
        </r>
      </text>
    </comment>
    <comment ref="R1616" authorId="0" shapeId="0" xr:uid="{5D363FF4-EC92-4124-BA4D-62CD2740B526}">
      <text>
        <r>
          <rPr>
            <sz val="9"/>
            <color indexed="81"/>
            <rFont val="Tahoma"/>
            <family val="2"/>
          </rPr>
          <t>ANNE BANASTRE_x000D_
http://yeinfo.com/family/I09041257.html_x000D_
https://www.google.com/search?q=ANNE+BANASTRE+1503+1552+ANDERTON_x000D_
.born: 1503    -          Euxton (Lancashire) England_x000D_
.died: 1552    -          England, age:49y 0m 0d, _x000D_
.bapt: 1785GE_x000D_
.will: 2004MO_x000D_
.obit: 1890OH_x000D_
.bury: 1850IL _x000D_
.wpbt: 1826PA_x000D_
.anc#:double ancestor_x000D_
citiz:foreign_x000D_
#spos:1_x000D_
#srcs:1_x000D_
#comment:0_x000D_
#events:1_x000D_
#kids:1_x000D_
lived:ENLANCSEUXTON_x000D_
issue:Born after Mom Age 50,Died after Age 100_x000D_
.recs:Birth,Marriage,Death_x000D_
.imm?:no_x000D_
..Spo:JAMES ANDERTON</t>
        </r>
      </text>
    </comment>
    <comment ref="V1618" authorId="0" shapeId="0" xr:uid="{C4B862B7-0840-439D-8E8B-FCE40BA020B4}">
      <text>
        <r>
          <rPr>
            <sz val="9"/>
            <color indexed="81"/>
            <rFont val="Tahoma"/>
            <family val="2"/>
          </rPr>
          <t>GEOFFREY OSBALDESTON_x000D_
http://yeinfo.com/family/I09066820.html_x000D_
https://www.google.com/search?q=GEOFFREY+OSBALDESTON+1335+1383+CECILY_x000D_
.born:?1335    -          Blackburn (Lancashire) England_x000D_
.died: 1383    -1448     ?England, age:48y 0m 0d, _x000D_
.bapt: 1785GE_x000D_
.will: 2004MO_x000D_
.obit: 1890OH_x000D_
.bury: 1850IL _x000D_
.wpbt: 1826PA_x000D_
.anc#:double ancestor_x000D_
citiz:foreign_x000D_
#spos:1_x000D_
#srcs:1_x000D_
#comment:1_x000D_
#events:1_x000D_
#kids:1_x000D_
lived:ENLANCSBLACKBU_x000D_
issue:_x000D_
.recs:Birth,Marriage,Death_x000D_
.imm?:no_x000D_
..Spo:CECILY MASSEY</t>
        </r>
      </text>
    </comment>
    <comment ref="U1620" authorId="0" shapeId="0" xr:uid="{2353CC3E-8925-415A-8F05-3E79981DAB50}">
      <text>
        <r>
          <rPr>
            <sz val="9"/>
            <color indexed="81"/>
            <rFont val="Tahoma"/>
            <family val="2"/>
          </rPr>
          <t>THOMAS OSBALDESTON_x000D_
http://yeinfo.com/family/I09066822.html_x000D_
https://www.google.com/search?q=THOMAS+OSBALDESTON+1383+1412+ALICE_x000D_
.born:?1383    -          Blackburn (Lancashire) England_x000D_
.died: 1412    -1460      Blackburn (Lancashire) England, age:29y 0m 0d, _x000D_
.bapt: 1785GE_x000D_
.will: 2004MO_x000D_
.obit: 1890OH_x000D_
.bury: 1850IL _x000D_
.wpbt: 1826PA_x000D_
.anc#:double ancestor_x000D_
citiz:foreign_x000D_
#spos:1_x000D_
#srcs:1_x000D_
#comment:0_x000D_
#events:1_x000D_
#kids:1_x000D_
lived:ENLANCSBLACKBU_x000D_
issue:_x000D_
.recs:Birth,Marriage,Death_x000D_
.imm?:no_x000D_
..Spo:ALICE OSBALDESTON</t>
        </r>
      </text>
    </comment>
    <comment ref="V1622" authorId="0" shapeId="0" xr:uid="{82ECCEE0-74B9-4B60-A675-BD8DB061D606}">
      <text>
        <r>
          <rPr>
            <sz val="9"/>
            <color indexed="81"/>
            <rFont val="Tahoma"/>
            <family val="2"/>
          </rPr>
          <t>CECILY MASSEY_x000D_
http://yeinfo.com/family/I09066817.html_x000D_
https://www.google.com/search?q=CECILY+MASSEY+1360+1383+OSBALDESTON_x000D_
.born:?1360    -          Puddington (Cheshire) England_x000D_
.died: 1383    -1448     ?England, age:23y 0m 0d, _x000D_
.bapt: 1785GE_x000D_
.will: 2004MO_x000D_
.obit: 1890OH_x000D_
.bury: 1850IL _x000D_
.wpbt: 1826PA_x000D_
.anc#:double ancestor_x000D_
citiz:foreign_x000D_
#spos:1_x000D_
#srcs:1_x000D_
#comment:1_x000D_
#events:1_x000D_
#kids:1_x000D_
lived:ENCHESHPUDDING_x000D_
issue:_x000D_
.recs:Birth,Marriage,Death_x000D_
.imm?:no_x000D_
..Spo:GEOFFREY OSBALDESTON</t>
        </r>
      </text>
    </comment>
    <comment ref="T1624" authorId="0" shapeId="0" xr:uid="{49F807DF-73A3-46CD-AF1A-9ABA6763706B}">
      <text>
        <r>
          <rPr>
            <sz val="9"/>
            <color indexed="81"/>
            <rFont val="Tahoma"/>
            <family val="2"/>
          </rPr>
          <t>GEOFFREY OSBALDESTON_x000D_
http://yeinfo.com/family/I09066823.html_x000D_
https://www.google.com/search?q=GEOFFREY+OSBALDESTON+1405+1475+ISABEL_x000D_
.born:?1405    -          Osbaldeston (Lancashire) England_x000D_
.died: 14750809-          Blackburn (Lancashire) England, age:70y 7m 8d, _x000D_
.bapt: 1785GE_x000D_
.will: 2004MO_x000D_
.obit: 1890OH_x000D_
.bury: 1850IL _x000D_
.wpbt: 1826PA_x000D_
.anc#:double ancestor_x000D_
citiz:foreign_x000D_
#spos:1_x000D_
#srcs:1_x000D_
#comment:0_x000D_
#events:1_x000D_
#kids:1_x000D_
lived:ENLANCSBLACKBU,ENLANCSOSBALDE_x000D_
issue:_x000D_
.recs:Birth,Marriage,Death_x000D_
.imm?:no_x000D_
..Spo:ISABEL LANGTON</t>
        </r>
      </text>
    </comment>
    <comment ref="U1626" authorId="0" shapeId="0" xr:uid="{5F196C76-648D-4025-800E-F01173424D08}">
      <text>
        <r>
          <rPr>
            <sz val="9"/>
            <color indexed="81"/>
            <rFont val="Tahoma"/>
            <family val="2"/>
          </rPr>
          <t>Mrs. ALICE OSBALDESTON_x000D_
http://yeinfo.com/family/I09066821.html_x000D_
https://www.google.com/search?q=ALICE+OSBALDESTON+1385+1459+OSBALDESTON_x000D_
.born:?1385    -          Lancashire county England_x000D_
.died: 1459    -          Lancashire county England, age:74y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..Spo:THOMAS OSBALDESTON</t>
        </r>
      </text>
    </comment>
    <comment ref="S1628" authorId="0" shapeId="0" xr:uid="{2D963A23-43A0-4AFF-9F1A-F7833002C0BA}">
      <text>
        <r>
          <rPr>
            <sz val="9"/>
            <color indexed="81"/>
            <rFont val="Tahoma"/>
            <family val="2"/>
          </rPr>
          <t>ELIZABETH OSBALDESTON_x000D_
http://yeinfo.com/family/I09066824.html_x000D_
https://www.google.com/search?q=ELIZABETH+OSBALDESTON+1449+1507+BANASTRE_x000D_
.born: 1449    -          Banks (Lancashire) England_x000D_
.died: 1507    -          Bretherton (Lancashire) England, age:58y 0m 0d, _x000D_
.bapt: 1785GE_x000D_
.will: 2004MO_x000D_
.obit: 1890OH_x000D_
.bury: 1850IL _x000D_
.wpbt: 1826PA_x000D_
.anc#:double ancestor_x000D_
citiz:foreign_x000D_
#spos:1_x000D_
#srcs:1_x000D_
#comment:0_x000D_
#events:1_x000D_
#kids:1_x000D_
lived:?ENLANCSBRETHER,ENLANCSBANKS_x000D_
issue:Born after Parent Died_x000D_
.recs:Birth,Marriage,Death_x000D_
.imm?:no_x000D_
..Spo:HENRY BANASTRE</t>
        </r>
      </text>
    </comment>
    <comment ref="V1630" authorId="0" shapeId="0" xr:uid="{F2ECF9D6-C643-4DB4-A425-218911EBF678}">
      <text>
        <r>
          <rPr>
            <sz val="9"/>
            <color indexed="81"/>
            <rFont val="Tahoma"/>
            <family val="2"/>
          </rPr>
          <t>RALPH LANGTON_x000D_
http://yeinfo.com/family/I09066809.html_x000D_
https://www.google.com/search?q=RALPH+LANGTON+1340+1406+JOAN_x000D_
.born:?1340    -          England_x000D_
.died: 1406    -          England, age:66y 0m 0d, _x000D_
.bapt: 1785GE_x000D_
.will: 2004MO_x000D_
.obit: 1890OH_x000D_
.bury: 1850IL _x000D_
.wpbt: 1826PA_x000D_
.anc#:double ancestor_x000D_
citiz:foreign_x000D_
#spos:1_x000D_
#srcs:1_x000D_
#comment:1_x000D_
#events:1_x000D_
#kids:1_x000D_
lived:EN_x000D_
issue:_x000D_
.recs:Birth,Marriage,Death_x000D_
.imm?:no_x000D_
..Spo:JOAN RADCLIFFE</t>
        </r>
      </text>
    </comment>
    <comment ref="U1632" authorId="0" shapeId="0" xr:uid="{238DE319-9620-4243-9F2C-632F34ED4CFF}">
      <text>
        <r>
          <rPr>
            <sz val="9"/>
            <color indexed="81"/>
            <rFont val="Tahoma"/>
            <family val="2"/>
          </rPr>
          <t>HENRY LANGTON_x000D_
http://yeinfo.com/family/I09066810.html_x000D_
https://www.google.com/search?q=HENRY+LANGTON+1372+1419+AGNES_x000D_
.born: 1372    -          Preston (Lancashire) England_x000D_
.died: 14190914-          Blackburn (Lancashire) England, age:47y 8m 13d, _x000D_
.bapt: 1785GE_x000D_
.will: 2004MO_x000D_
.obit: 1890OH_x000D_
.bury: 1850IL _x000D_
.wpbt: 1826PA_x000D_
.anc#:double ancestor_x000D_
citiz:foreign_x000D_
#spos:1_x000D_
#srcs:1_x000D_
#comment:0_x000D_
#events:1_x000D_
#kids:1_x000D_
lived:ENLANCSBLACKBU,ENLANCSPRESTON_x000D_
issue:_x000D_
.recs:Birth,Marriage,Death_x000D_
.imm?:no_x000D_
..Spo:AGNES DAVENPORT</t>
        </r>
      </text>
    </comment>
    <comment ref="V1634" authorId="0" shapeId="0" xr:uid="{4893B659-E34D-4B83-894B-6CBE13D94CFB}">
      <text>
        <r>
          <rPr>
            <sz val="9"/>
            <color indexed="81"/>
            <rFont val="Tahoma"/>
            <family val="2"/>
          </rPr>
          <t>JOAN RADCLIFFE_x000D_
http://yeinfo.com/family/I09066828.html_x000D_
https://www.google.com/search?q=JOAN+RADCLIFFE+1340+1425+LANGTON_x000D_
.born:?1340    -          Radcliffe (Lancashire) England_x000D_
.died: 1425    -          Gwynedd county Wales, age:85y 0m 0d, _x000D_
.bapt: 1785GE_x000D_
.will: 2004MO_x000D_
.obit: 1890OH_x000D_
.bury: 1850IL _x000D_
.wpbt: 1826PA_x000D_
.anc#:double ancestor_x000D_
citiz:foreign_x000D_
#spos:1_x000D_
#srcs:1_x000D_
#comment:1_x000D_
#events:1_x000D_
#kids:1_x000D_
lived:ENLANCSRADCLIF,WLGWYNE_x000D_
issue:_x000D_
.recs:Birth,Marriage,Death_x000D_
.imm?:no_x000D_
..Spo:RALPH LANGTON</t>
        </r>
      </text>
    </comment>
    <comment ref="T1636" authorId="0" shapeId="0" xr:uid="{9C9786A8-9689-4D3D-942D-DFC6B145BA1F}">
      <text>
        <r>
          <rPr>
            <sz val="9"/>
            <color indexed="81"/>
            <rFont val="Tahoma"/>
            <family val="2"/>
          </rPr>
          <t>ISABEL LANGTON_x000D_
http://yeinfo.com/family/I09066811.html_x000D_
https://www.google.com/search?q=ISABEL+LANGTON+1405+1438+OSBALDESTON_x000D_
.born:?1405    -          Osbaldeston (Lancashire) England_x000D_
.died: 1438    -          Lancashire county England, age:33y 0m 0d, _x000D_
.bapt: 1785GE_x000D_
.will: 2004MO_x000D_
.obit: 1890OH_x000D_
.bury: 1850IL _x000D_
.wpbt: 1826PA_x000D_
.anc#:double ancestor_x000D_
citiz:foreign_x000D_
#spos:1_x000D_
#srcs:1_x000D_
#comment:0_x000D_
#events:1_x000D_
#kids:1_x000D_
lived:ENLANCSOSBALDE_x000D_
issue:_x000D_
.recs:Birth,Marriage,Death_x000D_
.imm?:no_x000D_
..Spo:GEOFFREY OSBALDESTON</t>
        </r>
      </text>
    </comment>
    <comment ref="V1638" authorId="0" shapeId="0" xr:uid="{D1238916-27B7-45EA-BA76-1A7BD12A06A3}">
      <text>
        <r>
          <rPr>
            <sz val="9"/>
            <color indexed="81"/>
            <rFont val="Tahoma"/>
            <family val="2"/>
          </rPr>
          <t>JOHN DAVENPORT_x000D_
http://yeinfo.com/family/I09066789.html_x000D_
https://www.google.com/search?q=JOHN+DAVENPORT+1320+1384+MARGARET_x000D_
.born:?1320    -          Lancashire county England_x000D_
.died: 1384    -1390      Cheshire county England, age:64y 0m 0d, _x000D_
.bapt: 1785GE_x000D_
.will: 2004MO_x000D_
.obit: 1890OH_x000D_
.bury: 1850IL _x000D_
.wpbt: 1826PA_x000D_
.anc#:double ancestor_x000D_
citiz:foreign_x000D_
#spos:1_x000D_
#srcs:1_x000D_
#comment:1_x000D_
#events:1_x000D_
#kids:1_x000D_
lived:ENCHESH,ENLANCS_x000D_
issue:_x000D_
.recs:Birth,Marriage,Death_x000D_
.imm?:no_x000D_
..Spo:MARGARET DONNE</t>
        </r>
      </text>
    </comment>
    <comment ref="U1640" authorId="0" shapeId="0" xr:uid="{BB51D5BE-174A-4A93-A14C-6FB53FB0BD96}">
      <text>
        <r>
          <rPr>
            <sz val="9"/>
            <color indexed="81"/>
            <rFont val="Tahoma"/>
            <family val="2"/>
          </rPr>
          <t>AGNES DAVENPORT_x000D_
http://yeinfo.com/family/I09066790.html_x000D_
https://www.google.com/search?q=AGNES+DAVENPORT+1370+1405+LANGTON_x000D_
.born:?1370    -          Lancashire county England_x000D_
.died: 1405    -1470      Blackburn (Lancashire) England, age:35y 0m 0d, _x000D_
.bapt: 1785GE_x000D_
.will: 2004MO_x000D_
.obit: 1890OH_x000D_
.bury: 1850IL _x000D_
.wpbt: 1826PA_x000D_
.anc#:double ancestor_x000D_
citiz:foreign_x000D_
#spos:1_x000D_
#srcs:1_x000D_
#comment:0_x000D_
#events:1_x000D_
#kids:1_x000D_
lived:ENLANCSBLACKBU_x000D_
issue:_x000D_
.recs:Birth,Marriage,Death_x000D_
.imm?:no_x000D_
..Spo:HENRY LANGTON</t>
        </r>
      </text>
    </comment>
    <comment ref="V1642" authorId="0" shapeId="0" xr:uid="{D4D3279A-5A3A-4C3D-A27C-68FC9F8932DF}">
      <text>
        <r>
          <rPr>
            <sz val="9"/>
            <color indexed="81"/>
            <rFont val="Tahoma"/>
            <family val="2"/>
          </rPr>
          <t>MARGARET DONNE_x000D_
http://yeinfo.com/family/I09066791.html_x000D_
https://www.google.com/search?q=MARGARET+DONNE+1342+1417+DAVENPORT_x000D_
.born: 1342    -          Cheshire county England_x000D_
.died: 14170330-          Woodford (Lancashire) England, age:75y 2m 29d, _x000D_
.bapt: 1785GE_x000D_
.will: 2004MO_x000D_
.obit: 1890OH_x000D_
.bury: 1850IL _x000D_
.wpbt: 1826PA_x000D_
.anc#:double ancestor_x000D_
citiz:foreign_x000D_
#spos:1_x000D_
#srcs:1_x000D_
#comment:1_x000D_
#events:1_x000D_
#kids:1_x000D_
lived:ENCHESH,ENLANCSWOODFOR_x000D_
issue:_x000D_
.recs:Birth,Marriage,Death_x000D_
.imm?:no_x000D_
..Spo:JOHN DAVENPORT</t>
        </r>
      </text>
    </comment>
    <comment ref="P1644" authorId="0" shapeId="0" xr:uid="{433577E6-A644-476E-BF04-7FB5E676E31B}">
      <text>
        <r>
          <rPr>
            <sz val="9"/>
            <color indexed="81"/>
            <rFont val="Tahoma"/>
            <family val="2"/>
          </rPr>
          <t>ROGER ANDERTON Jr._x000D_
http://yeinfo.com/family/I09010314.html_x000D_
https://www.google.com/search?q=ROGER+ANDERTON+1546+1640+ISABEL_x000D_
.born: 1546    -          Adlington (Lancashire) England_x000D_
.died: 16401001-          Adlington (Lancashire) England, age:94y 9m 0d, _x000D_
.bapt: 1785GE_x000D_
.will: 2004MO_x000D_
.obit: 1890OH_x000D_
.bury: 1850IL _x000D_
.wpbt: 1826PA_x000D_
.anc#:double ancestor_x000D_
citiz:foreign_x000D_
#spos:1_x000D_
#srcs:3_x000D_
#comment:0_x000D_
#events:1_x000D_
#kids:1_x000D_
lived:ENLANCSADLINGT_x000D_
issue:_x000D_
.recs:Birth,Marriage,Death_x000D_
.imm?:no_x000D_
..Spo:ISABEL SHAKERLEY</t>
        </r>
      </text>
    </comment>
    <comment ref="Q1646" authorId="0" shapeId="0" xr:uid="{8F083722-F11A-4B0D-9590-38D6636B07FC}">
      <text>
        <r>
          <rPr>
            <sz val="9"/>
            <color indexed="81"/>
            <rFont val="Tahoma"/>
            <family val="2"/>
          </rPr>
          <t>Mrs. {_?_} ANDERTON_x000D_
http://yeinfo.com/family/I09020629.html_x000D_
https://www.google.com/search?q={_?_}+ANDERTON+1526+1546+ANDERTON_x000D_
.born:?1526    -         ?England_x000D_
.died: 1546    -1611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..Spo:ROGER ANDERTON</t>
        </r>
      </text>
    </comment>
    <comment ref="O1648" authorId="0" shapeId="0" xr:uid="{3377AD30-F671-4058-A643-A45A6127E176}">
      <text>
        <r>
          <rPr>
            <sz val="9"/>
            <color indexed="81"/>
            <rFont val="Tahoma"/>
            <family val="2"/>
          </rPr>
          <t>THOMASYN ANDERTON_x000D_
http://yeinfo.com/family/I09005157.html_x000D_
https://www.google.com/search?q=THOMASYN+ANDERTON+1567+1596+DUTTON_x000D_
.born: 1567    -          Anderton (Lancashire) England_x000D_
.died: 1596    -          Warrington (Cheshire) England, age:29y 0m 0d, _x000D_
.bapt: 1785GE_x000D_
.will: 2004MO_x000D_
.obit: 1890OH_x000D_
.bury: 1850IL _x000D_
.wpbt: 1826PA_x000D_
.anc#:double ancestor_x000D_
citiz:foreign_x000D_
#spos:2_x000D_
#srcs:7_x000D_
#comment:0_x000D_
#events:2_x000D_
#kids:1_x000D_
lived:ENCHESHWARRING,ENLANCSANDERTO_x000D_
issue:_x000D_
.recs:Birth,Marriage,Death_x000D_
.imm?:no_x000D_
..Spo:THOMAS DUTTON</t>
        </r>
      </text>
    </comment>
    <comment ref="R1650" authorId="0" shapeId="0" xr:uid="{27E84BC5-879F-4868-8D6A-E966B9170EA6}">
      <text>
        <r>
          <rPr>
            <sz val="9"/>
            <color indexed="81"/>
            <rFont val="Tahoma"/>
            <family val="2"/>
          </rPr>
          <t>GEOFFREY SHAKERLEY Sr._x000D_
http://yeinfo.com/family/I09041260.html_x000D_
https://www.google.com/search?q=GEOFFREY+SHAKERLEY+1500+1525+ISABEL_x000D_
.born: 1500    -          Tyldesley (Lancashire) England_x000D_
.died: 1525    -1590     ?England, age:25y 0m 0d, _x000D_
.bapt: 1785GE_x000D_
.will: 2004MO_x000D_
.obit: 1890OH_x000D_
.bury: 1850IL _x000D_
.wpbt: 1826PA_x000D_
.anc#:double ancestor_x000D_
citiz:foreign_x000D_
#spos:1_x000D_
#srcs:1_x000D_
#comment:1_x000D_
#events:1_x000D_
#kids:1_x000D_
lived:ENLANCSTYLDERS_x000D_
issue:_x000D_
.recs:Birth,Marriage,Death_x000D_
.imm?:no_x000D_
..Spo:ISABEL VENABLES</t>
        </r>
      </text>
    </comment>
    <comment ref="Q1652" authorId="0" shapeId="0" xr:uid="{3654DE21-46A2-4D30-BE11-D7410228D84A}">
      <text>
        <r>
          <rPr>
            <sz val="9"/>
            <color indexed="81"/>
            <rFont val="Tahoma"/>
            <family val="2"/>
          </rPr>
          <t>GEOFFREY SHAKERLEY Jr._x000D_
http://yeinfo.com/family/I09020630.html_x000D_
https://www.google.com/search?q=GEOFFREY+SHAKERLEY+1525+1550+ELIZABETH_x000D_
.born: 1525    -          Warrington (Cheshire) England_x000D_
.died: 1550    -1615     ?England, age:25y 0m 0d, _x000D_
.bapt: 1785GE_x000D_
.will: 2004MO_x000D_
.obit: 1890OH_x000D_
.bury: 1850IL _x000D_
.wpbt: 1826PA_x000D_
.anc#:double ancestor_x000D_
citiz:foreign_x000D_
#spos:1_x000D_
#srcs:1_x000D_
#comment:0_x000D_
#events:1_x000D_
#kids:1_x000D_
lived:ENCHESHWARRING_x000D_
issue:_x000D_
.recs:Birth,Marriage,Death_x000D_
.imm?:no_x000D_
..Spo:ELIZABETH BEESTON</t>
        </r>
      </text>
    </comment>
    <comment ref="R1654" authorId="0" shapeId="0" xr:uid="{A6F27E39-C349-4883-A352-B59022AAB014}">
      <text>
        <r>
          <rPr>
            <sz val="9"/>
            <color indexed="81"/>
            <rFont val="Tahoma"/>
            <family val="2"/>
          </rPr>
          <t>ISABEL VENABLES_x000D_
http://yeinfo.com/family/I09041261.html_x000D_
https://www.google.com/search?q=ISABEL+VENABLES+1496+1530+SHAKERLEY_x000D_
.born: 1496    -          Cheshire county England_x000D_
.died: 1530    -          Cheshire county England, age:34y 0m 0d, _x000D_
.bapt: 1785GE_x000D_
.will: 2004MO_x000D_
.obit: 1890OH_x000D_
.bury: 1850IL _x000D_
.wpbt: 1826PA_x000D_
.anc#:double ancestor_x000D_
citiz:foreign_x000D_
#spos:1_x000D_
#srcs:1_x000D_
#comment:1_x000D_
#events:1_x000D_
#kids:1_x000D_
lived:ENCHESH_x000D_
issue:_x000D_
.recs:Birth,Marriage,Death_x000D_
.imm?:no_x000D_
..Spo:GEOFFREY SHAKERLEY</t>
        </r>
      </text>
    </comment>
    <comment ref="P1656" authorId="0" shapeId="0" xr:uid="{48DC89F0-0F6A-417B-9931-8E4FE9C1D5E8}">
      <text>
        <r>
          <rPr>
            <sz val="9"/>
            <color indexed="81"/>
            <rFont val="Tahoma"/>
            <family val="2"/>
          </rPr>
          <t>ISABEL SHAKERLEY_x000D_
http://yeinfo.com/family/I09010315.html_x000D_
https://www.google.com/search?q=ISABEL+SHAKERLEY+1550+1588+ANDERTON_x000D_
.born: 1550    -          Cheshire county England_x000D_
.died:c15880418-          Yorkshire county England, age:38y 3m 17d, _x000D_
.bapt: 1785GE_x000D_
.will: 2004MO_x000D_
.obit: 1890OH_x000D_
.bury: 1850IL _x000D_
.wpbt: 1826PA_x000D_
.anc#:double ancestor_x000D_
citiz:foreign_x000D_
#spos:1_x000D_
#srcs:3_x000D_
#comment:0_x000D_
#events:1_x000D_
#kids:1_x000D_
lived:?ENLANCS,ENCHESH,ENYORKS_x000D_
issue:_x000D_
.recs:Birth,Marriage,Death_x000D_
.imm?:no_x000D_
..Spo:ROGER ANDERTON</t>
        </r>
      </text>
    </comment>
    <comment ref="R1658" authorId="0" shapeId="0" xr:uid="{134FB988-FAB2-4782-BA06-49BF7FCE26A1}">
      <text>
        <r>
          <rPr>
            <sz val="9"/>
            <color indexed="81"/>
            <rFont val="Tahoma"/>
            <family val="2"/>
          </rPr>
          <t>GEORGE BEESTON_x000D_
http://yeinfo.com/family/I09041262.html_x000D_
https://www.google.com/search?q=GEORGE+BEESTON+1501+1601+ALICE_x000D_
.born: 15010912-          Beeston (Cheshire) England_x000D_
.died: 16010913-          Bunbury (Cheshire) England, age:100y 0m 1d, _x000D_
.bapt: 1785GE_x000D_
.will: 2004MO_x000D_
.obit: 1890OH_x000D_
.bury: 1850IL Bunbury Church_x000D_
.wpbt: 1826PA_x000D_
.anc#:double ancestor_x000D_
citiz:foreign_x000D_
#spos:1_x000D_
#srcs:1_x000D_
#comment:0_x000D_
#events:2_x000D_
#kids:1_x000D_
lived:ENCHESHBEESTON,ENCHESHBUNBURY_x000D_
issue:_x000D_
.recs:Birth,Marriage,Death,Interment/Burial_x000D_
.imm?:no_x000D_
..Spo:ALICE DAVENPORT</t>
        </r>
      </text>
    </comment>
    <comment ref="Q1660" authorId="0" shapeId="0" xr:uid="{4616B6B9-62A1-4EB3-A830-85942E6137CD}">
      <text>
        <r>
          <rPr>
            <sz val="9"/>
            <color indexed="81"/>
            <rFont val="Tahoma"/>
            <family val="2"/>
          </rPr>
          <t>ELIZABETH BEESTON_x000D_
http://yeinfo.com/family/I09020631.html_x000D_
https://www.google.com/search?q=ELIZABETH+BEESTON+1529+1620+SHAKERLEY_x000D_
.born: 1529    -          Cheshire county England_x000D_
.died: 1620    -          England, age:91y 0m 0d, _x000D_
.bapt: 1785GE_x000D_
.will: 2004MO_x000D_
.obit: 1890OH_x000D_
.bury: 1850IL _x000D_
.wpbt: 1826PA_x000D_
.anc#:double ancestor_x000D_
citiz:foreign_x000D_
#spos:1_x000D_
#srcs:1_x000D_
#comment:0_x000D_
#events:1_x000D_
#kids:1_x000D_
lived:ENCHESH_x000D_
issue:_x000D_
.recs:Birth,Marriage,Death_x000D_
.imm?:no_x000D_
..Spo:GEOFFREY SHAKERLEY</t>
        </r>
      </text>
    </comment>
    <comment ref="R1662" authorId="0" shapeId="0" xr:uid="{49F4208E-AC5D-45EC-B9A2-68FF282EDB54}">
      <text>
        <r>
          <rPr>
            <sz val="9"/>
            <color indexed="81"/>
            <rFont val="Tahoma"/>
            <family val="2"/>
          </rPr>
          <t>ALICE DAVENPORT_x000D_
http://yeinfo.com/family/I09041263.html_x000D_
https://www.google.com/search?q=ALICE+DAVENPORT+1506+1591+BEESTON_x000D_
.born: 1506    -          Beeston (Cheshire) England_x000D_
.died: 15910409-          Bunbury (Cheshire) England, age:85y 3m 8d, _x000D_
.bapt: 1785GE_x000D_
.will: 2004MO_x000D_
.obit: 1890OH_x000D_
.bury: 1850IL Bunbury Church_x000D_
.wpbt: 1826PA_x000D_
.anc#:double ancestor_x000D_
citiz:foreign_x000D_
#spos:1_x000D_
#srcs:1_x000D_
#comment:0_x000D_
#events:2_x000D_
#kids:1_x000D_
lived:ENCHESHBEESTON,ENCHESHBUNBURY_x000D_
issue:_x000D_
.recs:Birth,Marriage,Death,Interment/Burial_x000D_
.imm?:no_x000D_
..Spo:GEORGE BEESTON</t>
        </r>
      </text>
    </comment>
    <comment ref="M1664" authorId="0" shapeId="0" xr:uid="{88FD5A2A-E49E-469D-AF71-90A73D3365AC}">
      <text>
        <r>
          <rPr>
            <sz val="9"/>
            <color indexed="81"/>
            <rFont val="Tahoma"/>
            <family val="2"/>
          </rPr>
          <t>JOAN DUTTON_x000D_
http://yeinfo.com/family/I09001289.html_x000D_
https://www.google.com/search?q=JOAN+DUTTON+1618+1671+IRELAND+Richard\John_x000D_
.born: 1618    -          Alcester (Warwickshire) England_x000D_
.died: 16711230-          Hempstead (Nassau) New York, age:53y 11m 29d, _x000D_
.bapt: 1785GE_x000D_
.will: 2004MO_x000D_
.obit: 1890OH_x000D_
.bury: 1850IL _x000D_
.wpbt: 1826PA_x000D_
.anc#:double ancestor_x000D_
citiz:immigrant_x000D_
#spos:2_x000D_
#srcs:8_x000D_
#comment:1_x000D_
#events:5_x000D_
#kids:1_x000D_
lived:ENWARWEALCESTE,NYNASSAHEMPSTE_x000D_
issue:Spouse Age more than 30-Year Difference_x000D_
.recs:Birth,Marriage,Deed,Land Transaction_x000D_
.imm?:immigrant_x000D_
..Spo:THOMAS IRELAND</t>
        </r>
      </text>
    </comment>
    <comment ref="O1666" authorId="0" shapeId="0" xr:uid="{12396B17-EEFF-4523-8327-3C9BA590C578}">
      <text>
        <r>
          <rPr>
            <sz val="9"/>
            <color indexed="81"/>
            <rFont val="Tahoma"/>
            <family val="2"/>
          </rPr>
          <t>JOHN JONES_x000D_
http://yeinfo.com/family/I09005158.html_x000D_
https://www.google.com/search?q=JOHN+JONES+1569+1589+ALICE_x000D_
.born:?1569    -         ?_x000D_
.died: 1589    -1659     ?, age:20y 0m 0d, _x000D_
.bapt: 1785GE_x000D_
.will: 2004MO_x000D_
.obit: 1890OH_x000D_
.bury: 1850IL _x000D_
.wpbt: 1826PA_x000D_
.anc#:double ancestor_x000D_
citiz:foreign_x000D_
#spos:1_x000D_
#srcs:6_x000D_
#comment:0_x000D_
#events:1_x000D_
#kids:1_x000D_
lived:_x000D_
issue:_x000D_
.recs:Birth,Marriage,Death_x000D_
.imm?:no_x000D_
..Spo:ALICE EVANS</t>
        </r>
      </text>
    </comment>
    <comment ref="N1668" authorId="0" shapeId="0" xr:uid="{916CE7D3-38C3-4E0C-933F-467FA2D4547E}">
      <text>
        <r>
          <rPr>
            <sz val="9"/>
            <color indexed="81"/>
            <rFont val="Tahoma"/>
            <family val="2"/>
          </rPr>
          <t>ELIZABETH JONES_x000D_
http://yeinfo.com/family/I09002579.html_x000D_
https://www.google.com/search?q=ELIZABETH+JONES+1589+1634+DUTTON_x000D_
.born: 15891116-          Shrewsbury (Shropshire) England_x000D_
.died:c1634    -          Shropshire county England, age:44y 1m 16d, _x000D_
.bapt: 1785GE_x000D_
.will: 2004MO_x000D_
.obit: 1890OH_x000D_
.bury: 1850IL _x000D_
.wpbt: 1826PA_x000D_
.anc#:double ancestor_x000D_
citiz:foreign_x000D_
#spos:1_x000D_
#srcs:6_x000D_
#comment:0_x000D_
#events:1_x000D_
#kids:1_x000D_
lived:ENSHROPSHREWSB_x000D_
issue:_x000D_
.recs:Birth,Marriage,Death_x000D_
.imm?:no_x000D_
..Spo:ROLAND DUTTON</t>
        </r>
      </text>
    </comment>
    <comment ref="O1670" authorId="0" shapeId="0" xr:uid="{7C518732-9FB8-4EF8-B71C-0FD909D04468}">
      <text>
        <r>
          <rPr>
            <sz val="9"/>
            <color indexed="81"/>
            <rFont val="Tahoma"/>
            <family val="2"/>
          </rPr>
          <t>ALICE EVANS_x000D_
http://yeinfo.com/family/I09005159.html_x000D_
https://www.google.com/search?q=ALICE+EVANS+1566+1653+JONES_x000D_
.born:?1566    -          Thornbury (Gloucestershire) England_x000D_
.died: 16530923-          Surrey county England, age:87y 8m 22d, _x000D_
.bapt: 1785GE_x000D_
.will: 2004MO_x000D_
.obit: 1890OH_x000D_
.bury: 1850IL _x000D_
.wpbt: 1826PA_x000D_
.anc#:double ancestor_x000D_
citiz:foreign_x000D_
#spos:1_x000D_
#srcs:6_x000D_
#comment:0_x000D_
#events:1_x000D_
#kids:1_x000D_
lived:ENGLOUSTHORNBU,ENSURRE_x000D_
issue:_x000D_
.recs:Birth,Marriage,Death_x000D_
.imm?:no_x000D_
..Spo:JOHN JONES</t>
        </r>
      </text>
    </comment>
    <comment ref="K1672" authorId="0" shapeId="0" xr:uid="{ED0CB961-A993-4AFD-B940-834DBA7C5CA9}">
      <text>
        <r>
          <rPr>
            <sz val="9"/>
            <color indexed="81"/>
            <rFont val="Tahoma"/>
            <family val="2"/>
          </rPr>
          <t>ADAM IRELAND_x000D_
http://yeinfo.com/family/I09000322.html_x000D_
https://www.google.com/search?q=ADAM+IRELAND+1694+1760+MARTHA_x000D_
.born:?1694    -          Hempstead (Nassau) New York_x000D_
.died: 176002  -         ?New York, age:66y 1m 0d, _x000D_
.bapt: 1785GE_x000D_
.will: 2004MO_x000D_
.obit: 1890OH_x000D_
.bury: 1850IL _x000D_
.wpbt: 1826PA_x000D_
.anc#:double ancestor_x000D_
citiz:US born_x000D_
#spos:1_x000D_
#srcs:8_x000D_
#comment:1_x000D_
#events:5_x000D_
#kids:3_x000D_
lived:ENBEDFOSANDY,NYNASSAHEMPSTE,NYWESTCNORTH C_x000D_
issue:_x000D_
.recs:Birth,Baptism,Marriage,Will Written,Death_x000D_
.imm?:no_x000D_
..Spo:MARTHA FOWLER</t>
        </r>
      </text>
    </comment>
    <comment ref="P1674" authorId="0" shapeId="0" xr:uid="{E7480B8E-C942-4959-944A-459098D7CDD4}">
      <text>
        <r>
          <rPr>
            <sz val="9"/>
            <color indexed="81"/>
            <rFont val="Tahoma"/>
            <family val="2"/>
          </rPr>
          <t>CHARLES HENRY ABRAHAMS_x000D_
http://yeinfo.com/family/I09010320.html_x000D_
https://www.google.com/search?q=CHARLES+HENRY+ABRAHAMS+1560+1580+MARIE+ANN_x000D_
.born:?1560    -          Mareuil (Grand Est) France_x000D_
.died: 1580    -1645      Mareuil (Grand Est) France, age:20y 0m 0d, _x000D_
.bapt: 1785GE_x000D_
.will: 2004MO_x000D_
.obit: 1890OH_x000D_
.bury: 1850IL _x000D_
.wpbt: 1826PA_x000D_
.anc#:double ancestor_x000D_
citiz:foreign_x000D_
#spos:1_x000D_
#srcs:1_x000D_
#comment:0_x000D_
#events:1_x000D_
#kids:1_x000D_
lived:FRGRESTMAREUIL_x000D_
issue:Died after Age 100_x000D_
.recs:Birth,Marriage,Death_x000D_
.imm?:no_x000D_
..Spo:MARIE ANN LEVAY</t>
        </r>
      </text>
    </comment>
    <comment ref="O1676" authorId="0" shapeId="0" xr:uid="{D0BCA84C-51BF-4F89-A785-777FBB30F62B}">
      <text>
        <r>
          <rPr>
            <sz val="9"/>
            <color indexed="81"/>
            <rFont val="Tahoma"/>
            <family val="2"/>
          </rPr>
          <t>CHARLES BENJAMIN ABRAHAMS_x000D_
http://yeinfo.com/family/I09005160.html_x000D_
https://www.google.com/search?q=CHARLES+BENJAMIN+ABRAHAMS+1580+1610+CLAUDET_x000D_
.born: 15800111-          Mareuil (Grand Est) France_x000D_
.died: 1610    -1670      Surrey county England, age:29y 11m 21d, _x000D_
.bapt: 1785GE_x000D_
.will: 2004MO_x000D_
.obit: 1890OH_x000D_
.bury: 1850IL _x000D_
.wpbt: 1826PA_x000D_
.anc#:double ancestor_x000D_
citiz:foreign_x000D_
#spos:1_x000D_
#srcs:1_x000D_
#comment:0_x000D_
#events:1_x000D_
#kids:1_x000D_
lived:ENSURRE,FRGRESTMAREUIL_x000D_
issue:_x000D_
.recs:Birth,Marriage,Death_x000D_
.imm?:no_x000D_
..Spo:CLAUDET MAGNIER</t>
        </r>
      </text>
    </comment>
    <comment ref="P1678" authorId="0" shapeId="0" xr:uid="{6003FB90-310C-4869-9FAE-C3C8BFCC6F51}">
      <text>
        <r>
          <rPr>
            <sz val="9"/>
            <color indexed="81"/>
            <rFont val="Tahoma"/>
            <family val="2"/>
          </rPr>
          <t>MARIE ANN LEVAY_x000D_
http://yeinfo.com/family/I09010321.html_x000D_
https://www.google.com/search?q=MARIE+ANN+LEVAY+1560+1622+ABRAHAMS_x000D_
.born:?1560    -          Mareuil (Grand Est) France_x000D_
.died:?1622    -         ?Mareuil (Grand Est) France, age:62y 0m 0d, _x000D_
.bapt: 1785GE_x000D_
.will: 2004MO_x000D_
.obit: 1890OH_x000D_
.bury: 1850IL _x000D_
.wpbt: 1826PA_x000D_
.anc#:double ancestor_x000D_
citiz:foreign_x000D_
#spos:1_x000D_
#srcs:1_x000D_
#comment:0_x000D_
#events:1_x000D_
#kids:1_x000D_
lived:FRGRESTMAREUIL_x000D_
issue:Died after Age 100_x000D_
.recs:Birth,Marriage,Death_x000D_
.imm?:no_x000D_
..Spo:CHARLES HENRY ABRAHAMS</t>
        </r>
      </text>
    </comment>
    <comment ref="N1680" authorId="0" shapeId="0" xr:uid="{90C2108A-F710-468E-AAEE-E268E2838922}">
      <text>
        <r>
          <rPr>
            <sz val="9"/>
            <color indexed="81"/>
            <rFont val="Tahoma"/>
            <family val="2"/>
          </rPr>
          <t>HENRY ABRAHAMS_x000D_
http://yeinfo.com/family/I09002580.html_x000D_
https://www.google.com/search?q=HENRY+ABRAHAMS+1610+1674+ANNE_x000D_
.born: 16100806-          Mareuil (Grand Est) France_x000D_
.died: 16740206-          Nutfield (Surrey) England, age:63y 6m 0d, _x000D_
.bapt: 1785GE_x000D_
.will: 2004MO_x000D_
.obit: 1890OH_x000D_
.bury: 1850IL _x000D_
.wpbt: 1826PA_x000D_
.anc#:double ancestor_x000D_
citiz:foreign_x000D_
#spos:1_x000D_
#srcs:1_x000D_
#comment:0_x000D_
#events:1_x000D_
#kids:2_x000D_
lived:ENSURRENUTFIEL,FRGRESTMAREUIL_x000D_
issue:_x000D_
.recs:Birth,Marriage,Death_x000D_
.imm?:no_x000D_
..Spo:ANNE HODGES</t>
        </r>
      </text>
    </comment>
    <comment ref="O1682" authorId="0" shapeId="0" xr:uid="{907A5888-923E-48EE-A1F0-5DFDBEEC3059}">
      <text>
        <r>
          <rPr>
            <sz val="9"/>
            <color indexed="81"/>
            <rFont val="Tahoma"/>
            <family val="2"/>
          </rPr>
          <t>CLAUDET MAGNIER_x000D_
http://yeinfo.com/family/I09005161.html_x000D_
https://www.google.com/search?q=CLAUDET+MAGNIER+1580+1628+ABRAHAMS_x000D_
.born:c1580    -          Mareuil (Grand Est) France_x000D_
.died: 16280325-          Mareuil (Grand Est) France, age:48y 2m 24d, _x000D_
.bapt: 1785GE_x000D_
.will: 2004MO_x000D_
.obit: 1890OH_x000D_
.bury: 1850IL _x000D_
.wpbt: 1826PA_x000D_
.anc#:double ancestor_x000D_
citiz:foreign_x000D_
#spos:1_x000D_
#srcs:1_x000D_
#comment:0_x000D_
#events:1_x000D_
#kids:1_x000D_
lived:FRGRESTMAREUIL_x000D_
issue:_x000D_
.recs:Birth,Marriage,Death_x000D_
.imm?:no_x000D_
..Spo:CHARLES BENJAMIN ABRAHAMS</t>
        </r>
      </text>
    </comment>
    <comment ref="M1684" authorId="0" shapeId="0" xr:uid="{BEE6233B-E1E5-456B-96E0-4DF42E7809DC}">
      <text>
        <r>
          <rPr>
            <sz val="9"/>
            <color indexed="81"/>
            <rFont val="Tahoma"/>
            <family val="2"/>
          </rPr>
          <t>ISAAC JOSEPH ABRAHAMS_x000D_
http://yeinfo.com/family/I09001290.html_x000D_
https://www.google.com/search?q=ISAAC+JOSEPH+ABRAHAMS+1639+1726+ELIZABETH_x000D_
.born: 1639    -          Mareuil (Grand Est) France_x000D_
.died: 17260602-          Talbot county Maryland, age:87y 5m 1d, _x000D_
.bapt: 1785GE_x000D_
.will: 2004MO_x000D_
.obit: 1890OH_x000D_
.bury: 1850IL _x000D_
.wpbt: 1826PA_x000D_
.anc#:double ancestor_x000D_
citiz:immigrant_x000D_
#spos:1_x000D_
#srcs:1_x000D_
#comment:0_x000D_
#events:1_x000D_
#kids:4_x000D_
lived:FRGRESTMAREUIL,MDTALBO_x000D_
issue:_x000D_
.recs:Birth,Marriage,Death_x000D_
.imm?:immigrant_x000D_
..Spo:ELIZABETH REED</t>
        </r>
      </text>
    </comment>
    <comment ref="N1686" authorId="0" shapeId="0" xr:uid="{98282F3D-743F-4C15-AB8C-A5E3D7418D97}">
      <text>
        <r>
          <rPr>
            <sz val="9"/>
            <color indexed="81"/>
            <rFont val="Tahoma"/>
            <family val="2"/>
          </rPr>
          <t>ANNE HODGES_x000D_
http://yeinfo.com/family/I09002581.html_x000D_
https://www.google.com/search?q=ANNE+HODGES+1615+1678+ABRAHAMS_x000D_
.born: 1615    -          Suffolk county England_x000D_
.died: 167802  -          London (Middlesex) England, age:63y 1m 0d, _x000D_
.bapt: 1785GE_x000D_
.will: 2004MO_x000D_
.obit: 1890OH_x000D_
.bury: 1850IL _x000D_
.wpbt: 1826PA_x000D_
.anc#:double ancestor_x000D_
citiz:foreign_x000D_
#spos:1_x000D_
#srcs:1_x000D_
#comment:0_x000D_
#events:1_x000D_
#kids:2_x000D_
lived:ENMIDDLLONDON,ENSUFFO_x000D_
issue:_x000D_
.recs:Birth,Marriage,Death_x000D_
.imm?:no_x000D_
..Spo:HENRY ABRAHAMS</t>
        </r>
      </text>
    </comment>
    <comment ref="L1688" authorId="0" shapeId="0" xr:uid="{31D813BD-E4C7-41C9-84D8-76425AF1EC05}">
      <text>
        <r>
          <rPr>
            <sz val="9"/>
            <color indexed="81"/>
            <rFont val="Tahoma"/>
            <family val="2"/>
          </rPr>
          <t>MARY ABRAHAMS_x000D_
http://yeinfo.com/family/I09000645.html_x000D_
https://www.google.com/search?q=MARY+ABRAHAMS+1657+1723+IRELAND_x000D_
.born: 1657    -          Hempstead (Nassau) New York_x000D_
.died: 17231113-          Southold (Suffolk) New York, age:66y 10m 12d, _x000D_
.bapt: 1785GE_x000D_
.will: 2004MO_x000D_
.obit: 1890OH_x000D_
.bury: 1850IL _x000D_
.wpbt: 1826PA_x000D_
.anc#:double ancestor_x000D_
citiz:US born_x000D_
#spos:1_x000D_
#srcs:7_x000D_
#comment:1_x000D_
#events:5_x000D_
#kids:10_x000D_
lived:NYNASSAHEMPSTE,NYSUFFOSOUTHLD_x000D_
issue:Born before Parents Married,Died after Age 100_x000D_
.recs:Birth,Marriage,Death_x000D_
.imm?:no_x000D_
..Spo:THOMAS JOSEPH IRELAND</t>
        </r>
      </text>
    </comment>
    <comment ref="M1690" authorId="0" shapeId="0" xr:uid="{2D188414-2BA6-470E-9E4E-7A0419CB9E68}">
      <text>
        <r>
          <rPr>
            <sz val="9"/>
            <color indexed="81"/>
            <rFont val="Tahoma"/>
            <family val="2"/>
          </rPr>
          <t>ELIZABETH REED_x000D_
http://yeinfo.com/family/I09001291.html_x000D_
https://www.google.com/search?q=ELIZABETH+REED+1639+1661+ABRAHAMS_x000D_
.born:?1639    -          _x000D_
.died: 1661    -1729      Bikaner (Rajasthan) India, age:22y 0m 0d, _x000D_
.bapt: 1785GE_x000D_
.will: 2004MO_x000D_
.obit: 1890OH_x000D_
.bury: 1850IL _x000D_
.wpbt: 1826PA_x000D_
.anc#:double ancestor_x000D_
citiz:US born_x000D_
#spos:1_x000D_
#srcs:1_x000D_
#comment:0_x000D_
#events:1_x000D_
#kids:4_x000D_
lived:IIRAJASBIKANER,MD_x000D_
issue:_x000D_
.recs:Birth,Marriage,Death_x000D_
.imm?:no_x000D_
..Spo:ISAAC JOSEPH ABRAHAMS</t>
        </r>
      </text>
    </comment>
    <comment ref="J1692" authorId="0" shapeId="0" xr:uid="{E38CF2FF-9557-424B-9E60-8733AF340246}">
      <text>
        <r>
          <rPr>
            <sz val="9"/>
            <color indexed="81"/>
            <rFont val="Tahoma"/>
            <family val="2"/>
          </rPr>
          <t>HANNAH IRELAND_x000D_
http://yeinfo.com/family/I09000161.html_x000D_
https://www.google.com/search?q=HANNAH+IRELAND+1735+1821+SEARLS_x000D_
.born: 17350508-          North Castle (Westchester) New York_x000D_
.died: 18211220-          New Baltimore (Greene) New York, age:86y 7m 12d, _x000D_
.bapt: 1785GE_x000D_
.will: 2004MO_x000D_
.obit: 1890OH_x000D_
.bury: 1850IL Sarls Homestead Cemetery_x000D_
.wpbt: 1826PA_x000D_
.anc#:double ancestor_x000D_
citiz:US born_x000D_
#spos:1_x000D_
#srcs:7_x000D_
#comment:1_x000D_
#events:4_x000D_
#kids:12_x000D_
lived:NYGRENEHANNACR,NYGRENENEW BAL,NYWESTCNCASTLE_x000D_
issue:_x000D_
.recs:Birth,Marriage,Will Written,Death,Interment/Burial_x000D_
.imm?:no_x000D_
..Spo:JOHN SEARLS</t>
        </r>
      </text>
    </comment>
    <comment ref="V1694" authorId="0" shapeId="0" xr:uid="{A7BA1AA8-08FB-4AAE-872D-820658CEF71E}">
      <text>
        <r>
          <rPr>
            <sz val="9"/>
            <color indexed="81"/>
            <rFont val="Tahoma"/>
            <family val="2"/>
          </rPr>
          <t>HENRY FOWLER_x000D_
http://yeinfo.com/family/I09065959.html_x000D_
https://www.google.com/search?q=HENRY+FOWLER+1380+1400+ISABEL+ELIZABETH_x000D_
.born:?1380    -          Foxley (Northamptonshire) England_x000D_
.died: 1400    -1470     ?England, age:20y 0m 0d, _x000D_
.bapt: 1785GE_x000D_
.will: 2004MO_x000D_
.obit: 1890OH_x000D_
.bury: 1850IL _x000D_
.wpbt: 1826PA_x000D_
.anc#:double ancestor_x000D_
citiz:foreign_x000D_
#spos:1_x000D_
#srcs:1_x000D_
#comment:1_x000D_
#events:1_x000D_
#kids:1_x000D_
lived:ENBERKISHRIVEN,ENNORTAFOXLEY_x000D_
issue:_x000D_
.recs:Birth,Marriage,Death_x000D_
.imm?:no_x000D_
..Spo:ISABEL ELIZABETH BARTON</t>
        </r>
      </text>
    </comment>
    <comment ref="U1696" authorId="0" shapeId="0" xr:uid="{0E33DFB3-EAA3-47D9-9203-099369486C8F}">
      <text>
        <r>
          <rPr>
            <sz val="9"/>
            <color indexed="81"/>
            <rFont val="Tahoma"/>
            <family val="2"/>
          </rPr>
          <t>WILLIAM FOWLER_x000D_
http://yeinfo.com/family/I09065807.html_x000D_
https://www.google.com/search?q=WILLIAM+FOWLER+1400+1452+CECILY_x000D_
.born:c1400    -          Foxley (Northamptonshire) England_x000D_
.died: 14520702-          London (Middlesex) England, age:52y 6m 1d, _x000D_
.bapt: 1785GE_x000D_
.will: 2004MO_x000D_
.obit: 1890OH_x000D_
.bury: 1850IL _x000D_
.wpbt: 1826PA_x000D_
.anc#:double ancestor_x000D_
citiz:foreign_x000D_
#spos:1_x000D_
#srcs:1_x000D_
#comment:0_x000D_
#events:1_x000D_
#kids:1_x000D_
lived:ENMIDDLLONDON,ENNORTAFOXLEY,ENOXFOSGREATHY_x000D_
issue:_x000D_
.recs:Birth,Marriage,Death_x000D_
.imm?:no_x000D_
..Spo:CECILY ENGLEFIELD</t>
        </r>
      </text>
    </comment>
    <comment ref="V1698" authorId="0" shapeId="0" xr:uid="{DB21D1AE-7A2C-42FA-BC1D-D63F96AC1BCB}">
      <text>
        <r>
          <rPr>
            <sz val="9"/>
            <color indexed="81"/>
            <rFont val="Tahoma"/>
            <family val="2"/>
          </rPr>
          <t>ISABEL ELIZABETH BARTON_x000D_
http://yeinfo.com/family/I09065960.html_x000D_
https://www.google.com/search?q=ISABEL+ELIZABETH+BARTON+1382+1405+FOWLER_x000D_
.born:?1382    -          Buckinghamshire county England_x000D_
.died:c1405    -          Holland Fen (Lincolnshire) England, age:23y 0m 0d, _x000D_
.bapt: 1785GE_x000D_
.will: 2004MO_x000D_
.obit: 1890OH_x000D_
.bury: 1850IL _x000D_
.wpbt: 1826PA_x000D_
.anc#:double ancestor_x000D_
citiz:foreign_x000D_
#spos:1_x000D_
#srcs:1_x000D_
#comment:1_x000D_
#events:1_x000D_
#kids:1_x000D_
lived:ENBERKISHRIVEN,ENBUCKE,ENLINCSHOLLAFE_x000D_
issue:_x000D_
.recs:Birth,Marriage,Death_x000D_
.imm?:no_x000D_
..Spo:HENRY FOWLER</t>
        </r>
      </text>
    </comment>
    <comment ref="T1700" authorId="0" shapeId="0" xr:uid="{506E38C6-A845-4DD1-B5DD-E821E7CB8077}">
      <text>
        <r>
          <rPr>
            <sz val="9"/>
            <color indexed="81"/>
            <rFont val="Tahoma"/>
            <family val="2"/>
          </rPr>
          <t>RICHARD FOWLER_x000D_
http://yeinfo.com/family/I09065682.html_x000D_
https://www.google.com/search?q=RICHARD+FOWLER+1425+1477+JOAN_x000D_
.born:c1425    -          Rycote (Oxfordshire) England_x000D_
.died:c14771103-          Holland Fen (Lincolnshire) England, age:52y 10m 2d, _x000D_
.bapt: 1785GE_x000D_
.will: 2004MO_x000D_
.obit: 1890OH_x000D_
.bury: 1850IL _x000D_
.wpbt: 1826PA_x000D_
.anc#:double ancestor_x000D_
citiz:foreign_x000D_
#spos:1_x000D_
#srcs:1_x000D_
#comment:0_x000D_
#events:1_x000D_
#kids:1_x000D_
lived:ENLINCSHOLLAFE,ENOXFOSRYCOTE_x000D_
issue:Born before Parents Married_x000D_
.recs:Birth,Marriage,Death_x000D_
.imm?:no_x000D_
..Spo:JOAN DANVERS</t>
        </r>
      </text>
    </comment>
    <comment ref="W1702" authorId="0" shapeId="0" xr:uid="{FBE77E5F-3C7D-47F6-A497-26CDB32B7059}">
      <text>
        <r>
          <rPr>
            <sz val="9"/>
            <color indexed="81"/>
            <rFont val="Tahoma"/>
            <family val="2"/>
          </rPr>
          <t>PHILIP ENGLEFIELD_x000D_
http://yeinfo.com/family/I09066135.html_x000D_
https://www.google.com/search?q=PHILIP+ENGLEFIELD+1348+1380+JOHANNE_x000D_
.born:c1348    -          Engelfield (Berkshire) England_x000D_
.died: 1380    -          Fressingfield (Suffolk) England, age:32y 0m 0d, _x000D_
.bapt: 1785GE_x000D_
.will: 2004MO_x000D_
.obit: 1890OH_x000D_
.bury: 1850IL _x000D_
.wpbt: 1826PA_x000D_
.anc#:double ancestor_x000D_
citiz:foreign_x000D_
#spos:1_x000D_
#srcs:1_x000D_
#comment:1_x000D_
#events:1_x000D_
#kids:1_x000D_
lived:ENBERKIENGLEFI,ENSUFFOFRESSIN_x000D_
issue:_x000D_
.recs:Birth,Marriage,Death_x000D_
.imm?:no_x000D_
..Spo:JOHANNE BURNET</t>
        </r>
      </text>
    </comment>
    <comment ref="V1704" authorId="0" shapeId="0" xr:uid="{2C4106E7-9F2F-48F8-BF44-74916BEF45FF}">
      <text>
        <r>
          <rPr>
            <sz val="9"/>
            <color indexed="81"/>
            <rFont val="Tahoma"/>
            <family val="2"/>
          </rPr>
          <t>NICHOLAS ENGLEFIELD_x000D_
http://yeinfo.com/family/I09065961.html_x000D_
https://www.google.com/search?q=NICHOLAS+ENGLEFIELD+1378+1415+JOAN\JOHANNA+Quartermain_x000D_
.born:c1378    -          Burford (Oxfordshire) England_x000D_
.died: 14150401-          Burford (Oxfordshire) England, age:37y 3m 0d, _x000D_
.bapt: 1785GE_x000D_
.will: 2004MO_x000D_
.obit: 1890OH_x000D_
.bury: 1850IL _x000D_
.wpbt: 1826PA_x000D_
.anc#:double ancestor_x000D_
citiz:foreign_x000D_
#spos:2_x000D_
#srcs:1_x000D_
#comment:0_x000D_
#events:2_x000D_
#kids:1_x000D_
lived:ENOXFOSBURFORD,ENOXFOSRYCOTE_x000D_
issue:_x000D_
.recs:Birth,Marriage,Death_x000D_
.imm?:no_x000D_
..Spo:JOAN\JOHANNA RYCOTE</t>
        </r>
      </text>
    </comment>
    <comment ref="W1706" authorId="0" shapeId="0" xr:uid="{408D61B2-D05E-4347-B642-D07387ADB6A1}">
      <text>
        <r>
          <rPr>
            <sz val="9"/>
            <color indexed="81"/>
            <rFont val="Tahoma"/>
            <family val="2"/>
          </rPr>
          <t>JOHANNE BURNET_x000D_
http://yeinfo.com/family/I09066136.html_x000D_
https://www.google.com/search?q=JOHANNE+BURNET+1352+1378+ENGLEFIELD_x000D_
.born:c1352    -          Engelfield (Berkshire) England_x000D_
.died:c1378    -          Engelfield (Berkshire) England, age:26y 0m 0d, _x000D_
.bapt: 1785GE_x000D_
.will: 2004MO_x000D_
.obit: 1890OH_x000D_
.bury: 1850IL _x000D_
.wpbt: 1826PA_x000D_
.anc#:double ancestor_x000D_
citiz:foreign_x000D_
#spos:1_x000D_
#srcs:1_x000D_
#comment:0_x000D_
#events:1_x000D_
#kids:1_x000D_
lived:ENBERKIENGLEFI_x000D_
issue:_x000D_
.recs:Birth,Marriage,Death_x000D_
.imm?:no_x000D_
..Spo:PHILIP ENGLEFIELD</t>
        </r>
      </text>
    </comment>
    <comment ref="U1708" authorId="0" shapeId="0" xr:uid="{E20AA5C7-6175-41B2-96DE-147F036EA2A7}">
      <text>
        <r>
          <rPr>
            <sz val="9"/>
            <color indexed="81"/>
            <rFont val="Tahoma"/>
            <family val="2"/>
          </rPr>
          <t>CECILY ENGLEFIELD_x000D_
http://yeinfo.com/family/I09065808.html_x000D_
https://www.google.com/search?q=CECILY+ENGLEFIELD+1403+1425+FOWLER_x000D_
.born: 1403    -          Rycote (Oxfordshire) England_x000D_
.died: 1425    -1493      Waterstock (Oxfordshire) England, age:22y 0m 0d, _x000D_
.bapt: 1785GE_x000D_
.will: 2004MO_x000D_
.obit: 1890OH_x000D_
.bury: 1850IL _x000D_
.wpbt: 1826PA_x000D_
.anc#:double ancestor_x000D_
citiz:foreign_x000D_
#spos:1_x000D_
#srcs:1_x000D_
#comment:0_x000D_
#events:1_x000D_
#kids:1_x000D_
lived:ENOXFOSGREATHY,ENOXFOSRYCOTE,ENOXFOSWATERST_x000D_
issue:Died before Birth_x000D_
.recs:Birth,Marriage,Death_x000D_
.imm?:no_x000D_
..Spo:WILLIAM FOWLER</t>
        </r>
      </text>
    </comment>
    <comment ref="W1710" authorId="0" shapeId="0" xr:uid="{B4349912-9378-4B20-A4A9-6468F01C481F}">
      <text>
        <r>
          <rPr>
            <sz val="9"/>
            <color indexed="81"/>
            <rFont val="Tahoma"/>
            <family val="2"/>
          </rPr>
          <t>NICHOLAS RYCOTE_x000D_
http://yeinfo.com/family/I09066137.html_x000D_
https://www.google.com/search?q=NICHOLAS+RYCOTE+1358+1412+KATHERINE_x000D_
.born:c1358    -         ?England_x000D_
.died: 1412    -          Oxfordshire county England, age:54y 0m 0d, _x000D_
.bapt: 1785GE_x000D_
.will: 2004MO_x000D_
.obit: 1890OH_x000D_
.bury: 1850IL _x000D_
.wpbt: 1826PA_x000D_
.anc#:double ancestor_x000D_
citiz:foreign_x000D_
#spos:1_x000D_
#srcs:1_x000D_
#comment:0_x000D_
#events:1_x000D_
#kids:1_x000D_
lived:?EN,ENOXFOSGREATHY_x000D_
issue:_x000D_
.recs:Birth,Marriage,Death_x000D_
.imm?:no_x000D_
..Spo:KATHERINE CLARKE</t>
        </r>
      </text>
    </comment>
    <comment ref="V1712" authorId="0" shapeId="0" xr:uid="{AF0F09F2-E615-40FD-B6D3-0ABC12B47998}">
      <text>
        <r>
          <rPr>
            <sz val="9"/>
            <color indexed="81"/>
            <rFont val="Tahoma"/>
            <family val="2"/>
          </rPr>
          <t>JOAN\JOHANNA RYCOTE_x000D_
http://yeinfo.com/family/I09065962.html_x000D_
https://www.google.com/search?q=JOAN\JOHANNA+RYCOTE+1378+1403+ENGLEFIELD_x000D_
.born:c1378    -          Oxfordshire county England_x000D_
.died: 1403    -1468      Oxfordshire county England, age:25y 0m 0d, _x000D_
.bapt: 1785GE_x000D_
.will: 2004MO_x000D_
.obit: 1890OH_x000D_
.bury: 1850IL _x000D_
.wpbt: 1826PA_x000D_
.anc#:double ancestor_x000D_
citiz:foreign_x000D_
#spos:1_x000D_
#srcs:1_x000D_
#comment:0_x000D_
#events:1_x000D_
#kids:1_x000D_
lived:ENOXFOSRYCOTE_x000D_
issue:Born before Parents Married_x000D_
.recs:Birth,Marriage,Death_x000D_
.imm?:no_x000D_
..Spo:NICHOLAS ENGLEFIELD</t>
        </r>
      </text>
    </comment>
    <comment ref="W1714" authorId="0" shapeId="0" xr:uid="{C354E5BF-4C6E-48C2-A8FD-EEA6E7D74AFE}">
      <text>
        <r>
          <rPr>
            <sz val="9"/>
            <color indexed="81"/>
            <rFont val="Tahoma"/>
            <family val="2"/>
          </rPr>
          <t>KATHERINE CLARKE_x000D_
http://yeinfo.com/family/I09066138.html_x000D_
https://www.google.com/search?q=KATHERINE+CLARKE+1350+1378+RYCOTE_x000D_
.born:c1350    -          Rycote (Oxfordshire) England_x000D_
.died: 1378    -1440      Rycote (Oxfordshire) England, age:28y 0m 0d, _x000D_
.bapt: 1785GE_x000D_
.will: 2004MO_x000D_
.obit: 1890OH_x000D_
.bury: 1850IL _x000D_
.wpbt: 1826PA_x000D_
.anc#:double ancestor_x000D_
citiz:foreign_x000D_
#spos:1_x000D_
#srcs:1_x000D_
#comment:1_x000D_
#events:1_x000D_
#kids:1_x000D_
lived:ENOXFOSGREATHY,ENOXFOSRYCOTE_x000D_
issue:Died before Birth_x000D_
.recs:Birth,Marriage,Death_x000D_
.imm?:no_x000D_
..Spo:NICHOLAS RYCOTE</t>
        </r>
      </text>
    </comment>
    <comment ref="S1716" authorId="0" shapeId="0" xr:uid="{FC59FCC6-8E09-4E46-BCCC-252C9AAB84E8}">
      <text>
        <r>
          <rPr>
            <sz val="9"/>
            <color indexed="81"/>
            <rFont val="Tahoma"/>
            <family val="2"/>
          </rPr>
          <t>RICHARD FOWLER_x000D_
http://yeinfo.com/family/I09065545.html_x000D_
https://www.google.com/search?q=RICHARD+FOWLER+1466+1504+ELIZABETH+Shaa_x000D_
.born:c1466    -          Rycote (Oxfordshire) England_x000D_
.died: 1504    -1556      London (Middlesex) England, age:38y 0m 0d, _x000D_
.bapt: 1785GE_x000D_
.will: 2004MO_x000D_
.obit: 1890OH_x000D_
.bury: 1850IL _x000D_
.wpbt: 1826PA_x000D_
.anc#:double ancestor_x000D_
citiz:foreign_x000D_
#spos:2_x000D_
#srcs:1_x000D_
#comment:0_x000D_
#events:2_x000D_
#kids:1_x000D_
lived:ENBUCKE,ENMIDDLLONDON,ENOXFOSGREATHY,ENOXFOSRYCOTE_x000D_
issue:Died before Birth_x000D_
.recs:Birth,Marriage,Death_x000D_
.imm?:no_x000D_
..Spo:ELIZABETH WINDSOR</t>
        </r>
      </text>
    </comment>
    <comment ref="X1718" authorId="0" shapeId="0" xr:uid="{D1B8B2E7-2909-4248-91B5-BF542CFFEF3D}">
      <text>
        <r>
          <rPr>
            <sz val="9"/>
            <color indexed="81"/>
            <rFont val="Tahoma"/>
            <family val="2"/>
          </rPr>
          <t>SIMON DANVERS_x000D_
http://yeinfo.com/family/I09066319.html_x000D_
https://www.google.com/search?q=SIMON+DANVERS+1256+1331+ALICE_x000D_
.born: 1256    -          Tetsworth (Oxfordshire) England_x000D_
.died:?1331    -          Oxfordshire county England, age:75y 0m 0d, _x000D_
.bapt: 1785GE_x000D_
.will: 2004MO_x000D_
.obit: 1890OH_x000D_
.bury: 1850IL _x000D_
.wpbt: 1826PA_x000D_
.anc#:  triple ancestor_x000D_
citiz:foreign_x000D_
#spos:1_x000D_
#srcs:1_x000D_
#comment:0_x000D_
#events:1_x000D_
#kids:1_x000D_
lived:ENOXFOSTETSWOR_x000D_
issue:_x000D_
.recs:Birth,Marriage,Death_x000D_
.imm?:no_x000D_
..Spo:ALICE COOK</t>
        </r>
      </text>
    </comment>
    <comment ref="W1720" authorId="0" shapeId="0" xr:uid="{38D723EF-B8F7-48B5-AF3C-00F4E2D78F6D}">
      <text>
        <r>
          <rPr>
            <sz val="9"/>
            <color indexed="81"/>
            <rFont val="Tahoma"/>
            <family val="2"/>
          </rPr>
          <t>JOHN DANVERS_x000D_
http://yeinfo.com/family/I09066139.html_x000D_
https://www.google.com/search?q=JOHN+DANVERS+1295+1347+ISABEL_x000D_
.born: 1295    -          Oxfordshire county England_x000D_
.died:c1347    -          Oxfordshire county England, age:52y 0m 0d, _x000D_
.bapt: 1785GE_x000D_
.will: 2004MO_x000D_
.obit: 1890OH_x000D_
.bury: 1850IL _x000D_
.wpbt: 1826PA_x000D_
.anc#:  triple ancestor_x000D_
citiz:foreign_x000D_
#spos:1_x000D_
#srcs:1_x000D_
#comment:1_x000D_
#events:1_x000D_
#kids:1_x000D_
lived:ENOXFOS_x000D_
issue:_x000D_
.recs:Birth,Marriage,Death_x000D_
.imm?:no_x000D_
..Spo:ISABEL LEE</t>
        </r>
      </text>
    </comment>
    <comment ref="X1722" authorId="0" shapeId="0" xr:uid="{B6D9ED3B-A1BB-4652-BDA2-3F6E7F35A6D0}">
      <text>
        <r>
          <rPr>
            <sz val="9"/>
            <color indexed="81"/>
            <rFont val="Tahoma"/>
            <family val="2"/>
          </rPr>
          <t>ALICE COOK_x000D_
http://yeinfo.com/family/I09066320.html_x000D_
https://www.google.com/search?q=ALICE+COOK+1262+1364+DANVERS_x000D_
.born:c1262    -          Oxfordshire county England_x000D_
.died: 1364    -          Oxfordshire county England, age:102y 0m 0d, _x000D_
.bapt: 1785GE_x000D_
.will: 2004MO_x000D_
.obit: 1890OH_x000D_
.bury: 1850IL _x000D_
.wpbt: 1826PA_x000D_
.anc#:  triple ancestor_x000D_
citiz:foreign_x000D_
#spos:1_x000D_
#srcs:1_x000D_
#comment:0_x000D_
#events:1_x000D_
#kids:1_x000D_
lived:ENOXFOS_x000D_
issue:Married after Age 60_x000D_
.recs:Birth,Marriage,Death_x000D_
.imm?:no_x000D_
..Spo:SIMON DANVERS</t>
        </r>
      </text>
    </comment>
    <comment ref="V1724" authorId="0" shapeId="0" xr:uid="{6C656C2B-D7D0-48F7-A614-F2B97853F555}">
      <text>
        <r>
          <rPr>
            <sz val="9"/>
            <color indexed="81"/>
            <rFont val="Tahoma"/>
            <family val="2"/>
          </rPr>
          <t>RICHARD DANVERS_x000D_
http://yeinfo.com/family/I09065963.html_x000D_
https://www.google.com/search?q=RICHARD+DANVERS+1330+1409+AGNES_x000D_
.born:c1330    -          Oxfordshire county England_x000D_
.died:c1409    -          Oxfordshire county England, age:79y 0m 0d, _x000D_
.bapt: 1785GE_x000D_
.will: 2004MO_x000D_
.obit: 1890OH_x000D_
.bury: 1850IL _x000D_
.wpbt: 1826PA_x000D_
.anc#:  triple ancestor_x000D_
citiz:foreign_x000D_
#spos:1_x000D_
#srcs:1_x000D_
#comment:0_x000D_
#events:1_x000D_
#kids:1_x000D_
lived:ENOXFOS_x000D_
issue:Married before Age 16,Spouse Age more than 30-Year Difference_x000D_
.recs:Birth,Marriage,Death_x000D_
.imm?:no_x000D_
..Spo:AGNES BRANCESTRE</t>
        </r>
      </text>
    </comment>
    <comment ref="W1726" authorId="0" shapeId="0" xr:uid="{2A5A2F8E-B5C1-45DA-B938-54ECBB875CE7}">
      <text>
        <r>
          <rPr>
            <sz val="9"/>
            <color indexed="81"/>
            <rFont val="Tahoma"/>
            <family val="2"/>
          </rPr>
          <t>ISABEL LEE_x000D_
http://yeinfo.com/family/I09066140.html_x000D_
https://www.google.com/search?q=ISABEL+LEE+1310+1330+DANVERS_x000D_
.born:c1310    -          Swalcliffe (Oxfordshire) England_x000D_
.died: 1330    -          Doncaster (Yorkshire) England, age:20y 0m 0d, _x000D_
.bapt: 1785GE_x000D_
.will: 2004MO_x000D_
.obit: 1890OH_x000D_
.bury: 1850IL _x000D_
.wpbt: 1826PA_x000D_
.anc#:  triple ancestor_x000D_
citiz:foreign_x000D_
#spos:1_x000D_
#srcs:1_x000D_
#comment:1_x000D_
#events:1_x000D_
#kids:1_x000D_
lived:ENOXFOSSWALCLI,ENYORKSDONCAST_x000D_
issue:_x000D_
.recs:Birth,Marriage,Death_x000D_
.imm?:no_x000D_
..Spo:JOHN DANVERS</t>
        </r>
      </text>
    </comment>
    <comment ref="U1728" authorId="0" shapeId="0" xr:uid="{7A52FF25-D4FE-425B-8493-273C82058693}">
      <text>
        <r>
          <rPr>
            <sz val="9"/>
            <color indexed="81"/>
            <rFont val="Tahoma"/>
            <family val="2"/>
          </rPr>
          <t>JOHN DANVERS_x000D_
http://yeinfo.com/family/I09065809.html_x000D_
https://www.google.com/search?q=JOHN+DANVERS+1390+1449+ALICE+BRULEY_x000D_
.born:c1390    -          Oxfordshire county England_x000D_
.died: 1449    -          Oxfordshire county England, age:59y 0m 0d, _x000D_
.bapt: 1785GE_x000D_
.will: 2004MO_x000D_
.obit: 1890OH_x000D_
.bury: 1850IL _x000D_
.wpbt: 1826PA_x000D_
.anc#:  triple ancestor_x000D_
citiz:foreign_x000D_
#spos:2_x000D_
#srcs:1_x000D_
#comment:1_x000D_
#events:2_x000D_
#kids:2_x000D_
lived:ENOXFOS_x000D_
issue:Born before Parents Married,Died after Age 100,AncFlags between Spouses Mismatched_x000D_
.recs:Birth,Marriage,Death_x000D_
.imm?:no_x000D_
..Spo:ALICE VERNEY</t>
        </r>
      </text>
    </comment>
    <comment ref="W1730" authorId="0" shapeId="0" xr:uid="{71A7B575-3CDF-45DE-8C2A-B02EC6F56356}">
      <text>
        <r>
          <rPr>
            <sz val="9"/>
            <color indexed="81"/>
            <rFont val="Tahoma"/>
            <family val="2"/>
          </rPr>
          <t>JOHN\RICHARD BRANCESTRE_x000D_
http://yeinfo.com/family/I09066141.html_x000D_
https://www.google.com/search?q=JOHN\RICHARD+BRANCESTRE+1340+1392+MARGARET\AGNES_x000D_
.born:?1340    -         ?England_x000D_
.died: 1392    -         ?England, age:52y 0m 0d, _x000D_
.bapt: 1785GE_x000D_
.will: 2004MO_x000D_
.obit: 1890OH_x000D_
.bury: 1850IL _x000D_
.wpbt: 1826PA_x000D_
.anc#:  triple ancestor_x000D_
citiz:foreign_x000D_
#spos:1_x000D_
#srcs:3_x000D_
#comment:0_x000D_
#events:1_x000D_
#kids:1_x000D_
lived:?ENOXFOS_x000D_
issue:_x000D_
.recs:Birth,Marriage,Death_x000D_
.imm?:no_x000D_
..Spo:MARGARET\AGNES MILE</t>
        </r>
      </text>
    </comment>
    <comment ref="V1732" authorId="0" shapeId="0" xr:uid="{F3BA869B-4760-4217-918B-C0EFF9B0FBDD}">
      <text>
        <r>
          <rPr>
            <sz val="9"/>
            <color indexed="81"/>
            <rFont val="Tahoma"/>
            <family val="2"/>
          </rPr>
          <t>AGNES BRANCESTRE_x000D_
http://yeinfo.com/family/I09065964.html_x000D_
https://www.google.com/search?q=AGNES+BRANCESTRE+1365+1394+DANVERS_x000D_
.born:c1365    -          Oxfordshire county England_x000D_
.died: 1394    -1464      Oxfordshire county England, age:29y 0m 0d, _x000D_
.bapt: 1785GE_x000D_
.will: 2004MO_x000D_
.obit: 1890OH_x000D_
.bury: 1850IL _x000D_
.wpbt: 1826PA_x000D_
.anc#:  triple ancestor_x000D_
citiz:foreign_x000D_
#spos:1_x000D_
#srcs:3_x000D_
#comment:0_x000D_
#events:1_x000D_
#kids:1_x000D_
lived:ENOXFOS_x000D_
issue:Born before Parents Married,Died before Birth,Spouse Age more than 30-Year Difference_x000D_
.recs:Birth,Marriage,Death_x000D_
.imm?:no_x000D_
..Spo:RICHARD DANVERS</t>
        </r>
      </text>
    </comment>
    <comment ref="W1734" authorId="0" shapeId="0" xr:uid="{52DE8D91-C150-4AC9-B4E7-B7A99165D9A0}">
      <text>
        <r>
          <rPr>
            <sz val="9"/>
            <color indexed="81"/>
            <rFont val="Tahoma"/>
            <family val="2"/>
          </rPr>
          <t>MARGARET\AGNES MILE_x000D_
http://yeinfo.com/family/I09066142.html_x000D_
https://www.google.com/search?q=MARGARET\AGNES+MILE+1330+1374+BRANCESTRE_x000D_
.born: 1330    -          Kineton (Warwickshire) England_x000D_
.died: 1374    -1444     ?England, age:44y 0m 0d, _x000D_
.bapt: 1785GE_x000D_
.will: 2004MO_x000D_
.obit: 1890OH_x000D_
.bury: 1850IL _x000D_
.wpbt: 1826PA_x000D_
.anc#:  triple ancestor_x000D_
citiz:foreign_x000D_
#spos:1_x000D_
#srcs:3_x000D_
#comment:1_x000D_
#events:1_x000D_
#kids:1_x000D_
lived:?ENOXFOS,ENWARWEKINETON_x000D_
issue:_x000D_
.recs:Birth,Marriage,Death_x000D_
.imm?:no_x000D_
..Spo:JOHN\RICHARD BRANCESTRE</t>
        </r>
      </text>
    </comment>
    <comment ref="T1736" authorId="0" shapeId="0" xr:uid="{BF05B9F8-4381-4C1B-9984-C0A6A61D2E3A}">
      <text>
        <r>
          <rPr>
            <sz val="9"/>
            <color indexed="81"/>
            <rFont val="Tahoma"/>
            <family val="2"/>
          </rPr>
          <t>JOAN DANVERS_x000D_
http://yeinfo.com/family/I09065683.html_x000D_
https://www.google.com/search?q=JOAN+DANVERS+1422+1505+FOWLER_x000D_
.born: 1422    -          Oxfordshire county England_x000D_
.died: 15050405-          Thame (Oxfordshire) England, age:83y 3m 4d, _x000D_
.bapt: 1785GE_x000D_
.will: 2004MO_x000D_
.obit: 1890OH_x000D_
.bury: 1850IL _x000D_
.wpbt: 1826PA_x000D_
.anc#:double ancestor_x000D_
citiz:foreign_x000D_
#spos:1_x000D_
#srcs:1_x000D_
#comment:0_x000D_
#events:1_x000D_
#kids:1_x000D_
lived:ENOXFOSTHAME_x000D_
issue:_x000D_
.recs:Birth,Marriage,Death_x000D_
.imm?:no_x000D_
..Spo:RICHARD FOWLER</t>
        </r>
      </text>
    </comment>
    <comment ref="W1738" authorId="0" shapeId="0" xr:uid="{1D229CAD-9BD9-4D44-B2EF-6F5AEB67B817}">
      <text>
        <r>
          <rPr>
            <sz val="9"/>
            <color indexed="81"/>
            <rFont val="Tahoma"/>
            <family val="2"/>
          </rPr>
          <t>WILLIAM BRULEY_x000D_
http://yeinfo.com/family/I09066143.html_x000D_
https://www.google.com/search?q=WILLIAM+BRULEY+1348+1436+AGNES_x000D_
.born: 1348    -          Waterstock (Oxfordshire) England_x000D_
.died: 1436    -          Waterstock (Oxfordshire) England, age:88y 0m 0d, _x000D_
.bapt: 1785GE_x000D_
.will: 2004MO_x000D_
.obit: 1890OH_x000D_
.bury: 1850IL _x000D_
.wpbt: 1826PA_x000D_
.anc#:double ancestor_x000D_
citiz:foreign_x000D_
#spos:1_x000D_
#srcs:1_x000D_
#comment:1_x000D_
#events:1_x000D_
#kids:1_x000D_
lived:ENOXFOSWATERST_x000D_
issue:_x000D_
.recs:Birth,Marriage,Death_x000D_
.imm?:no_x000D_
..Spo:AGNES BRULEY</t>
        </r>
      </text>
    </comment>
    <comment ref="V1740" authorId="0" shapeId="0" xr:uid="{C62A6731-5415-45FE-9316-590DEEE1B1ED}">
      <text>
        <r>
          <rPr>
            <sz val="9"/>
            <color indexed="81"/>
            <rFont val="Tahoma"/>
            <family val="2"/>
          </rPr>
          <t>JOHN BRULEY_x000D_
http://yeinfo.com/family/I09065965.html_x000D_
https://www.google.com/search?q=JOHN+BRULEY+1375+1403+MAUD+MATILDA_x000D_
.born:c1375    -          Oxfordshire county England_x000D_
.died: 1403    -1473      Oxfordshire county England, age:28y 0m 0d, _x000D_
.bapt: 1785GE_x000D_
.will: 2004MO_x000D_
.obit: 1890OH_x000D_
.bury: 1850IL _x000D_
.wpbt: 1826PA_x000D_
.anc#:double ancestor_x000D_
citiz:foreign_x000D_
#spos:1_x000D_
#srcs:2_x000D_
#comment:0_x000D_
#events:1_x000D_
#kids:1_x000D_
lived:ENOXFOS_x000D_
issue:Born before Parents Married_x000D_
.recs:Birth,Marriage,Death_x000D_
.imm?:no_x000D_
..Spo:MAUD MATILDA QUARTERMAIN</t>
        </r>
      </text>
    </comment>
    <comment ref="W1742" authorId="0" shapeId="0" xr:uid="{C8F1CE92-A798-4501-9701-DCF30319510B}">
      <text>
        <r>
          <rPr>
            <sz val="9"/>
            <color indexed="81"/>
            <rFont val="Tahoma"/>
            <family val="2"/>
          </rPr>
          <t>Mrs. AGNES BRULEY_x000D_
http://yeinfo.com/family/I09066144.html_x000D_
https://www.google.com/search?q=AGNES+BRULEY+1350+1383+BRULEY_x000D_
.born:?1350    -          Waterstock (Oxfordshire) England_x000D_
.died: 1383    -1450      Waterstock (Oxfordshire) England, age:33y 0m 0d, _x000D_
.bapt: 1785GE_x000D_
.will: 2004MO_x000D_
.obit: 1890OH_x000D_
.bury: 1850IL _x000D_
.wpbt: 1826PA_x000D_
.anc#:double ancestor_x000D_
citiz:foreign_x000D_
#spos:1_x000D_
#srcs:1_x000D_
#comment:1_x000D_
#events:1_x000D_
#kids:1_x000D_
lived:ENOXFOSWATERST_x000D_
issue:_x000D_
.recs:Birth,Marriage,Death_x000D_
.imm?:no_x000D_
..Spo:WILLIAM BRULEY</t>
        </r>
      </text>
    </comment>
    <comment ref="U1744" authorId="0" shapeId="0" xr:uid="{77FC81DC-9D17-4BF3-BEFF-8FDD6922DE37}">
      <text>
        <r>
          <rPr>
            <sz val="9"/>
            <color indexed="81"/>
            <rFont val="Tahoma"/>
            <family val="2"/>
          </rPr>
          <t>JOAN\JOANE BRULEY_x000D_
http://yeinfo.com/family/I09065810.html_x000D_
https://www.google.com/search?q=JOAN\JOANE+BRULEY+1396+1422+DANVERS+Walter_x000D_
.born:c1396    -          Oxfordshire county England_x000D_
.died: 1422    -1486      Oxfordshire county England, age:26y 0m 0d, _x000D_
.bapt: 1785GE_x000D_
.will: 2004MO_x000D_
.obit: 1890OH_x000D_
.bury: 1850IL _x000D_
.wpbt: 1826PA_x000D_
.anc#:double ancestor_x000D_
citiz:foreign_x000D_
#spos:2_x000D_
#srcs:2_x000D_
#comment:0_x000D_
#events:2_x000D_
#kids:1_x000D_
lived:ENOXFOS_x000D_
issue:Died before Birth,AncFlags between Spouses Mismatched_x000D_
.recs:Birth,Marriage,Death_x000D_
.imm?:no_x000D_
..Spo:JOHN DANVERS</t>
        </r>
      </text>
    </comment>
    <comment ref="X1746" authorId="0" shapeId="0" xr:uid="{BBE2A6E8-6036-4773-B56B-80D127812883}">
      <text>
        <r>
          <rPr>
            <sz val="9"/>
            <color indexed="81"/>
            <rFont val="Tahoma"/>
            <family val="2"/>
          </rPr>
          <t>THOMAS QUARTERMAIN Sr._x000D_
http://yeinfo.com/family/I09066432.html_x000D_
https://www.google.com/search?q=THOMAS+QUARTERMAIN+1313+1399+CATHERINE_x000D_
.born: 13130606-          North Weston (Oxfordshire) England_x000D_
.died: 13990606-          North Weston (Oxfordshire) England, age:86y 0m 0d, _x000D_
.bapt: 1785GE_x000D_
.will: 2004MO_x000D_
.obit: 1890OH_x000D_
.bury: 1850IL _x000D_
.wpbt: 1826PA_x000D_
.anc#:double ancestor_x000D_
citiz:foreign_x000D_
#spos:1_x000D_
#srcs:1_x000D_
#comment:1_x000D_
#events:2_x000D_
#kids:1_x000D_
lived:ENOXFOSNORTWST,ENOXFOSTHAME_x000D_
issue:_x000D_
.recs:Birth,Marriage,Death_x000D_
.imm?:no_x000D_
..Spo:CATHERINE BRETTON</t>
        </r>
      </text>
    </comment>
    <comment ref="W1748" authorId="0" shapeId="0" xr:uid="{FDE43CDB-C67A-4D55-AB8A-2979A873FBCF}">
      <text>
        <r>
          <rPr>
            <sz val="9"/>
            <color indexed="81"/>
            <rFont val="Tahoma"/>
            <family val="2"/>
          </rPr>
          <t>THOMAS QUARTERMAIN Jr._x000D_
http://yeinfo.com/family/I09066145.html_x000D_
https://www.google.com/search?q=THOMAS+QUARTERMAIN+1338+1398+JOAN_x000D_
.born:c1338    -          North Weston (Oxfordshire) England_x000D_
.died: 13980506-          North Weston (Oxfordshire) England, age:60y 4m 5d, _x000D_
.bapt: 1785GE_x000D_
.will: 2004MO_x000D_
.obit: 1890OH_x000D_
.bury: 1850IL _x000D_
.wpbt: 1826PA_x000D_
.anc#:double ancestor_x000D_
citiz:foreign_x000D_
#spos:1_x000D_
#srcs:2_x000D_
#comment:2_x000D_
#events:1_x000D_
#kids:1_x000D_
lived:ENOXFOSNORTWST_x000D_
issue:_x000D_
.recs:Birth,Marriage,Death_x000D_
.imm?:no_x000D_
..Spo:JOAN RUSSELL</t>
        </r>
      </text>
    </comment>
    <comment ref="X1750" authorId="0" shapeId="0" xr:uid="{B959400B-2378-4EC4-B4EF-137871CD55C7}">
      <text>
        <r>
          <rPr>
            <sz val="9"/>
            <color indexed="81"/>
            <rFont val="Tahoma"/>
            <family val="2"/>
          </rPr>
          <t>CATHERINE BRETTON_x000D_
http://yeinfo.com/family/I09066435.html_x000D_
https://www.google.com/search?q=CATHERINE+BRETTON+1317+1342+QUARTERMAIN_x000D_
.born:c13170606-          Oxfordshire county England_x000D_
.died: 13420606-          North Weston (Oxfordshire) England, age:25y 0m 0d, _x000D_
.bapt: 1785GE_x000D_
.will: 2004MO_x000D_
.obit: 1890OH_x000D_
.bury: 1850IL _x000D_
.wpbt: 1826PA_x000D_
.anc#:double ancestor_x000D_
citiz:foreign_x000D_
#spos:1_x000D_
#srcs:1_x000D_
#comment:0_x000D_
#events:2_x000D_
#kids:1_x000D_
lived:ENOXFOSNORTWST_x000D_
issue:_x000D_
.recs:Birth,Marriage,Death_x000D_
.imm?:no_x000D_
..Spo:THOMAS QUARTERMAIN</t>
        </r>
      </text>
    </comment>
    <comment ref="V1752" authorId="0" shapeId="0" xr:uid="{75284C5A-5DD6-45BD-A5D2-4E359D4D4CC2}">
      <text>
        <r>
          <rPr>
            <sz val="9"/>
            <color indexed="81"/>
            <rFont val="Tahoma"/>
            <family val="2"/>
          </rPr>
          <t>MAUD MATILDA QUARTERMAIN_x000D_
http://yeinfo.com/family/I09065966.html_x000D_
https://www.google.com/search?q=MAUD+MATILDA+QUARTERMAIN+1378+1410+BRULEY_x000D_
.born: 1378    -          North Weston (Oxfordshire) England_x000D_
.died: 1410    -          Hagley (Worcestershire) England, age:32y 0m 0d, _x000D_
.bapt: 1785GE_x000D_
.will: 2004MO_x000D_
.obit: 1890OH_x000D_
.bury: 1850IL _x000D_
.wpbt: 1826PA_x000D_
.anc#:double ancestor_x000D_
citiz:foreign_x000D_
#spos:1_x000D_
#srcs:1_x000D_
#comment:0_x000D_
#events:1_x000D_
#kids:1_x000D_
lived:ENOXFOSNORTWST,ENWORCSHAGLEY_x000D_
issue:_x000D_
.recs:Birth,Marriage,Death_x000D_
.imm?:no_x000D_
..Spo:JOHN BRULEY</t>
        </r>
      </text>
    </comment>
    <comment ref="W1754" authorId="0" shapeId="0" xr:uid="{8BEA8B7C-40B4-40A3-9B02-8D28229EAE4D}">
      <text>
        <r>
          <rPr>
            <sz val="9"/>
            <color indexed="81"/>
            <rFont val="Tahoma"/>
            <family val="2"/>
          </rPr>
          <t>JOAN RUSSELL_x000D_
http://yeinfo.com/family/I09066146.html_x000D_
https://www.google.com/search?q=JOAN+RUSSELL+1340+1399+QUARTERMAIN_x000D_
.born:c1340    -          Oxford (Oxfordshire) England_x000D_
.died: 13990506-          North Weston (Oxfordshire) England, age:59y 4m 5d, _x000D_
.bapt: 1785GE_x000D_
.will: 2004MO_x000D_
.obit: 1890OH_x000D_
.bury: 1850IL _x000D_
.wpbt: 1826PA_x000D_
.anc#:double ancestor_x000D_
citiz:foreign_x000D_
#spos:1_x000D_
#srcs:1_x000D_
#comment:2_x000D_
#events:1_x000D_
#kids:1_x000D_
lived:ENOXFOSNORTWST,ENOXFOSOXFORD_x000D_
issue:_x000D_
.recs:Birth,Marriage,Death_x000D_
.imm?:no_x000D_
..Spo:THOMAS QUARTERMAIN</t>
        </r>
      </text>
    </comment>
    <comment ref="R1756" authorId="0" shapeId="0" xr:uid="{AFDFA587-8F44-4C83-AE30-B1AD6E79500C}">
      <text>
        <r>
          <rPr>
            <sz val="9"/>
            <color indexed="81"/>
            <rFont val="Tahoma"/>
            <family val="2"/>
          </rPr>
          <t>ANTHONY FOWLER_x000D_
http://yeinfo.com/family/I09041344.html_x000D_
https://www.google.com/search?q=ANTHONY+FOWLER+1504+1530+ELIZABETH_x000D_
.born:c1504    -          Thame (Oxfordshire) England_x000D_
.died: 1530    -1594     ?England, age:26y 0m 0d, _x000D_
.bapt: 1785GE_x000D_
.will: 2004MO_x000D_
.obit: 1890OH_x000D_
.bury: 1850IL _x000D_
.wpbt: 1826PA_x000D_
.anc#:double ancestor_x000D_
citiz:foreign_x000D_
#spos:1_x000D_
#srcs:1_x000D_
#comment:0_x000D_
#events:1_x000D_
#kids:1_x000D_
lived:ENOXFOSTHAME_x000D_
issue:Died before Birth_x000D_
.recs:Birth,Marriage,Death_x000D_
.imm?:no_x000D_
..Spo:ELIZABETH FOWLER</t>
        </r>
      </text>
    </comment>
    <comment ref="W1758" authorId="0" shapeId="0" xr:uid="{898EF638-36E9-474B-ABA7-2265EC995CF7}">
      <text>
        <r>
          <rPr>
            <sz val="9"/>
            <color indexed="81"/>
            <rFont val="Tahoma"/>
            <family val="2"/>
          </rPr>
          <t>BRYAN WINDSOR_x000D_
http://yeinfo.com/family/I09066147.html_x000D_
https://www.google.com/search?q=BRYAN+WINDSOR+1371+1399+ALICE_x000D_
.born: 1371    -          Birmingham (Warwickshire) England_x000D_
.died: 13990430-          Birmingham (Warwickshire) England, age:28y 3m 29d, _x000D_
.bapt: 1785GE_x000D_
.will: 2004MO_x000D_
.obit: 1890OH_x000D_
.bury: 1850IL _x000D_
.wpbt: 1826PA_x000D_
.anc#:double ancestor_x000D_
citiz:foreign_x000D_
#spos:1_x000D_
#srcs:1_x000D_
#comment:1_x000D_
#events:1_x000D_
#kids:1_x000D_
lived:ENWARWEBIRMING_x000D_
issue:_x000D_
.recs:Birth,Marriage,Death_x000D_
.imm?:no_x000D_
..Spo:ALICE DREW</t>
        </r>
      </text>
    </comment>
    <comment ref="V1760" authorId="0" shapeId="0" xr:uid="{E32AC7C6-130C-4C10-8457-36C27E57595B}">
      <text>
        <r>
          <rPr>
            <sz val="9"/>
            <color indexed="81"/>
            <rFont val="Tahoma"/>
            <family val="2"/>
          </rPr>
          <t>RICHARD WINDSOR_x000D_
http://yeinfo.com/family/I09065967.html_x000D_
https://www.google.com/search?q=RICHARD+WINDSOR+1380+1428+CHRISTIAN_x000D_
.born:?1380    -          Buckinghamshire county England_x000D_
.died:?14280416-          London (Middlesex) England, age:48y 3m 15d, _x000D_
.bapt: 1785GE_x000D_
.will: 2004MO_x000D_
.obit: 1890OH_x000D_
.bury: 1850IL _x000D_
.wpbt: 1826PA_x000D_
.anc#:double ancestor_x000D_
citiz:foreign_x000D_
#spos:1_x000D_
#srcs:1_x000D_
#comment:0_x000D_
#events:1_x000D_
#kids:1_x000D_
lived:ENBUCKE,ENMIDDLLONDON_x000D_
issue:Born before Parents Married,Died after Age 100_x000D_
.recs:Birth,Marriage,Death_x000D_
.imm?:no_x000D_
..Spo:CHRISTIAN FAULKNER</t>
        </r>
      </text>
    </comment>
    <comment ref="W1762" authorId="0" shapeId="0" xr:uid="{ED9A39A7-18E2-4F4B-8B79-80E81EFF909D}">
      <text>
        <r>
          <rPr>
            <sz val="9"/>
            <color indexed="81"/>
            <rFont val="Tahoma"/>
            <family val="2"/>
          </rPr>
          <t>ALICE DREW_x000D_
http://yeinfo.com/family/I09066148.html_x000D_
https://www.google.com/search?q=ALICE+DREW+1378+1405+WINDSOR_x000D_
.born: 1378    -          Southampton (Hampshire) England_x000D_
.died: 1405    -          Birmingham (Warwickshire) England, age:27y 0m 0d, _x000D_
.bapt: 1785GE_x000D_
.will: 2004MO_x000D_
.obit: 1890OH_x000D_
.bury: 1850IL _x000D_
.wpbt: 1826PA_x000D_
.anc#:double ancestor_x000D_
citiz:foreign_x000D_
#spos:1_x000D_
#srcs:1_x000D_
#comment:1_x000D_
#events:1_x000D_
#kids:1_x000D_
lived:ENHAMPSSOUTHMP,ENWARWEBIRMING_x000D_
issue:Died after Age 100_x000D_
.recs:Birth,Marriage,Death_x000D_
.imm?:no_x000D_
..Spo:BRYAN WINDSOR</t>
        </r>
      </text>
    </comment>
    <comment ref="U1764" authorId="0" shapeId="0" xr:uid="{E4F52A4B-20F9-4B9E-93DC-97EE9EB2ED12}">
      <text>
        <r>
          <rPr>
            <sz val="9"/>
            <color indexed="81"/>
            <rFont val="Tahoma"/>
            <family val="2"/>
          </rPr>
          <t>MILES WINDSOR_x000D_
http://yeinfo.com/family/I09065811.html_x000D_
https://www.google.com/search?q=MILES+WINDSOR+1399+1451+JOAN_x000D_
.born: 13990130-          Stanwell (Middlesex) England_x000D_
.died: 14510930-          Italy, age:52y 8m 0d, _x000D_
.bapt: 1785GE_x000D_
.will: 2004MO_x000D_
.obit: 1890OH_x000D_
.bury: 1850IL _x000D_
.wpbt: 1826PA_x000D_
.anc#:double ancestor_x000D_
citiz:foreign_x000D_
#spos:1_x000D_
#srcs:1_x000D_
#comment:0_x000D_
#events:1_x000D_
#kids:1_x000D_
lived:ENBUCKE,ENMIDDLSTANWEL,IT_x000D_
issue:_x000D_
.recs:Birth,Marriage,Death_x000D_
.imm?:no_x000D_
..Spo:JOAN GREENE</t>
        </r>
      </text>
    </comment>
    <comment ref="X1766" authorId="0" shapeId="0" xr:uid="{6BB7F786-BFD7-44B4-BFB7-7E691DFFC1D2}">
      <text>
        <r>
          <rPr>
            <sz val="9"/>
            <color indexed="81"/>
            <rFont val="Tahoma"/>
            <family val="2"/>
          </rPr>
          <t>RICHARD FAULKNER Sr._x000D_
http://yeinfo.com/family/I09066452.html_x000D_
https://www.google.com/search?q=RICHARD+FAULKNER+1334+1401+{_?_}_x000D_
.born: 1334    -          Southampton (Hampshire) England_x000D_
.died: 1401    -         ?England, age:67y 0m 0d, _x000D_
.bapt: 1785GE_x000D_
.will: 2004MO_x000D_
.obit: 1890OH_x000D_
.bury: 1850IL _x000D_
.wpbt: 1826PA_x000D_
.anc#:double ancestor_x000D_
citiz:foreign_x000D_
#spos:1_x000D_
#srcs:1_x000D_
#comment:0_x000D_
#events:1_x000D_
#kids:1_x000D_
lived:ENHAMPSSOUTHMP_x000D_
issue:_x000D_
.recs:Birth,Marriage,Death_x000D_
.imm?:no_x000D_
..Spo:{_?_} FAULKNER</t>
        </r>
      </text>
    </comment>
    <comment ref="W1768" authorId="0" shapeId="0" xr:uid="{4776ED53-B7DA-44B1-A9EF-242DB50A15BA}">
      <text>
        <r>
          <rPr>
            <sz val="9"/>
            <color indexed="81"/>
            <rFont val="Tahoma"/>
            <family val="2"/>
          </rPr>
          <t>RICHARD FAULKNER Jr._x000D_
http://yeinfo.com/family/I09066149.html_x000D_
https://www.google.com/search?q=RICHARD+FAULKNER+1354+1401+MARGARET_x000D_
.born: 1354    -          Southampton (Hampshire) England_x000D_
.died: 1401    -          Hampshire county England, age:47y 0m 0d, _x000D_
.bapt: 1785GE_x000D_
.will: 2004MO_x000D_
.obit: 1890OH_x000D_
.bury: 1850IL _x000D_
.wpbt: 1826PA_x000D_
.anc#:double ancestor_x000D_
citiz:foreign_x000D_
#spos:1_x000D_
#srcs:2_x000D_
#comment:0_x000D_
#events:1_x000D_
#kids:1_x000D_
lived:ENHAMPSSOUTHMP_x000D_
issue:_x000D_
.recs:Birth,Marriage,Death_x000D_
.imm?:no_x000D_
..Spo:MARGARET BOULTON</t>
        </r>
      </text>
    </comment>
    <comment ref="X1770" authorId="0" shapeId="0" xr:uid="{2E2D4F57-744D-498E-A480-3EBD6BE5051A}">
      <text>
        <r>
          <rPr>
            <sz val="9"/>
            <color indexed="81"/>
            <rFont val="Tahoma"/>
            <family val="2"/>
          </rPr>
          <t>Mrs. {_?_} FAULKNER_x000D_
http://yeinfo.com/family/I09066451.html_x000D_
https://www.google.com/search?q={_?_}+FAULKNER+1335+1355+FAULKNER_x000D_
.born:?1335    -         ?England_x000D_
.died: 1355    -1425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..Spo:RICHARD FAULKNER</t>
        </r>
      </text>
    </comment>
    <comment ref="V1772" authorId="0" shapeId="0" xr:uid="{2891E2E6-500F-46AC-91CA-F30C3850F545}">
      <text>
        <r>
          <rPr>
            <sz val="9"/>
            <color indexed="81"/>
            <rFont val="Tahoma"/>
            <family val="2"/>
          </rPr>
          <t>CHRISTIAN FAULKNER_x000D_
http://yeinfo.com/family/I09065968.html_x000D_
https://www.google.com/search?q=CHRISTIAN+FAULKNER+1380+1418+WINDSOR_x000D_
.born:?1380    -          Southampton (Hampshire) England_x000D_
.died:?1418    -          London (Middlesex) England, age:38y 0m 0d, _x000D_
.bapt: 1785GE_x000D_
.will: 2004MO_x000D_
.obit: 1890OH_x000D_
.bury: 1850IL _x000D_
.wpbt: 1826PA_x000D_
.anc#:double ancestor_x000D_
citiz:foreign_x000D_
#spos:1_x000D_
#srcs:1_x000D_
#comment:0_x000D_
#events:1_x000D_
#kids:1_x000D_
lived:ENHAMPSSOUTHMP,ENMIDDLLONDON_x000D_
issue:Born before Parents Married,Died after Age 100_x000D_
.recs:Birth,Marriage,Death_x000D_
.imm?:no_x000D_
..Spo:RICHARD WINDSOR</t>
        </r>
      </text>
    </comment>
    <comment ref="W1774" authorId="0" shapeId="0" xr:uid="{95F8A122-0CAF-4CA4-9C4E-F04BC2AA19F4}">
      <text>
        <r>
          <rPr>
            <sz val="9"/>
            <color indexed="81"/>
            <rFont val="Tahoma"/>
            <family val="2"/>
          </rPr>
          <t>MARGARET BOULTON_x000D_
http://yeinfo.com/family/I09066150.html_x000D_
https://www.google.com/search?q=MARGARET+BOULTON+1360+1400+FAULKNER_x000D_
.born: 1360    -         ?Hampshire county England_x000D_
.died:?1400    -         ?Hampshire county England, age:40y 0m 0d, _x000D_
.bapt: 1785GE_x000D_
.will: 2004MO_x000D_
.obit: 1890OH_x000D_
.bury: 1850IL _x000D_
.wpbt: 1826PA_x000D_
.anc#:double ancestor_x000D_
citiz:foreign_x000D_
#spos:1_x000D_
#srcs:2_x000D_
#comment:0_x000D_
#events:1_x000D_
#kids:1_x000D_
lived:?ENHAMPS,EN_x000D_
issue:_x000D_
.recs:Birth,Marriage,Death_x000D_
.imm?:no_x000D_
..Spo:RICHARD FAULKNER</t>
        </r>
      </text>
    </comment>
    <comment ref="T1776" authorId="0" shapeId="0" xr:uid="{2C3BC6EC-FF40-4730-94D9-B98929067ADB}">
      <text>
        <r>
          <rPr>
            <sz val="9"/>
            <color indexed="81"/>
            <rFont val="Tahoma"/>
            <family val="2"/>
          </rPr>
          <t>THOMAS WINDSOR_x000D_
http://yeinfo.com/family/I09065684.html_x000D_
https://www.google.com/search?q=THOMAS+WINDSOR+1440+1485+ELIZABETH_x000D_
.born:a14401108-          Stanwell (Middlesex) England_x000D_
.died: 14850929-          Stanwell (Middlesex) England, age:44y 10m 21d, _x000D_
.bapt: 1785GE_x000D_
.will: 2004MO_x000D_
.obit: 1890OH_x000D_
.bury: 1850IL _x000D_
.wpbt: 1826PA_x000D_
.anc#:double ancestor_x000D_
citiz:foreign_x000D_
#spos:1_x000D_
#srcs:1_x000D_
#comment:0_x000D_
#events:1_x000D_
#kids:1_x000D_
lived:ENMIDDLSTANWEL,ENSUFFOBAYLHAM_x000D_
issue:Born before Parents Married_x000D_
.recs:Birth,Marriage,Death_x000D_
.imm?:no_x000D_
..Spo:ELIZABETH ANDREWS</t>
        </r>
      </text>
    </comment>
    <comment ref="W1778" authorId="0" shapeId="0" xr:uid="{3F692052-3E87-41D2-86B1-3D6198F745B7}">
      <text>
        <r>
          <rPr>
            <sz val="9"/>
            <color indexed="81"/>
            <rFont val="Tahoma"/>
            <family val="2"/>
          </rPr>
          <t>WALTER GREENE_x000D_
http://yeinfo.com/family/I09066151.html_x000D_
https://www.google.com/search?q=WALTER+GREENE+1370+1475+MARGERY_x000D_
.born: 1370    -          Bridgnorth (Shropshire) England_x000D_
.died: 1475    -          Bridgnorth (Shropshire) England, age:105y 0m 0d, _x000D_
.bapt: 1785GE_x000D_
.will: 2004MO_x000D_
.obit: 1890OH_x000D_
.bury: 1850IL _x000D_
.wpbt: 1826PA_x000D_
.anc#:double ancestor_x000D_
citiz:foreign_x000D_
#spos:1_x000D_
#srcs:2_x000D_
#comment:2_x000D_
#events:1_x000D_
#kids:1_x000D_
lived:ENSHROPBRIDGNO_x000D_
issue:Died after Age 100,Married after Age 60_x000D_
.recs:Birth,Marriage,Death_x000D_
.imm?:no_x000D_
..Spo:MARGERY MABLETHORPE</t>
        </r>
      </text>
    </comment>
    <comment ref="V1780" authorId="0" shapeId="0" xr:uid="{AE9BFA05-AF77-491A-B80D-7BF161F463CE}">
      <text>
        <r>
          <rPr>
            <sz val="9"/>
            <color indexed="81"/>
            <rFont val="Tahoma"/>
            <family val="2"/>
          </rPr>
          <t>WALTER GREENE_x000D_
http://yeinfo.com/family/I09065969.html_x000D_
https://www.google.com/search?q=WALTER+GREENE+1384+1475+{_?_}_x000D_
.born: 1384    -          Bridgnorth (Shropshire) England_x000D_
.died: 1475    -          Bridgnorth (Shropshire) England, age:91y 0m 0d, _x000D_
.bapt: 1785GE_x000D_
.will: 2004MO_x000D_
.obit: 1890OH_x000D_
.bury: 1850IL _x000D_
.wpbt: 1826PA_x000D_
.anc#:double ancestor_x000D_
citiz:foreign_x000D_
#spos:1_x000D_
#srcs:1_x000D_
#comment:0_x000D_
#events:1_x000D_
#kids:1_x000D_
lived:ENSHROPBRIDGNO_x000D_
issue:Married before Age 16,Died before Birth_x000D_
.recs:Birth,Marriage,Death_x000D_
.imm?:no_x000D_
..Spo:{_?_} GREENE</t>
        </r>
      </text>
    </comment>
    <comment ref="W1782" authorId="0" shapeId="0" xr:uid="{237C5421-217A-4A07-99CF-EE5F1E9DC210}">
      <text>
        <r>
          <rPr>
            <sz val="9"/>
            <color indexed="81"/>
            <rFont val="Tahoma"/>
            <family val="2"/>
          </rPr>
          <t>MARGERY MABLETHORPE_x000D_
http://yeinfo.com/family/I09066152.html_x000D_
https://www.google.com/search?q=MARGERY+MABLETHORPE+1370+1390+GREENE_x000D_
.born:?1370    -         ?Bridgnorth (Shropshire) England_x000D_
.died: 1390    -1460     ?Bridgnorth (Shropshire) England, age:20y 0m 0d, _x000D_
.bapt: 1785GE_x000D_
.will: 2004MO_x000D_
.obit: 1890OH_x000D_
.bury: 1850IL _x000D_
.wpbt: 1826PA_x000D_
.anc#:double ancestor_x000D_
citiz:foreign_x000D_
#spos:1_x000D_
#srcs:1_x000D_
#comment:0_x000D_
#events:1_x000D_
#kids:1_x000D_
lived:?ENSHROPBRIDGNO_x000D_
issue:Died after Age 100_x000D_
.recs:Birth,Marriage,Death_x000D_
.imm?:no_x000D_
..Spo:WALTER GREENE</t>
        </r>
      </text>
    </comment>
    <comment ref="U1784" authorId="0" shapeId="0" xr:uid="{DDEB6EB3-A3C7-4036-BD17-CAC4BE1885B7}">
      <text>
        <r>
          <rPr>
            <sz val="9"/>
            <color indexed="81"/>
            <rFont val="Tahoma"/>
            <family val="2"/>
          </rPr>
          <t>JOAN GREENE_x000D_
http://yeinfo.com/family/I09065812.html_x000D_
https://www.google.com/search?q=JOAN+GREENE+1414+1451+WINDSOR_x000D_
.born: 1414    -          Bridgnorth (Shropshire) England_x000D_
.died: 1451    -          Colnbrook (Berkshire) England, age:37y 0m 0d, _x000D_
.bapt: 1785GE_x000D_
.will: 2004MO_x000D_
.obit: 1890OH_x000D_
.bury: 1850IL _x000D_
.wpbt: 1826PA_x000D_
.anc#:double ancestor_x000D_
citiz:foreign_x000D_
#spos:1_x000D_
#srcs:1_x000D_
#comment:0_x000D_
#events:1_x000D_
#kids:1_x000D_
lived:ENBERKICOLNBRO,ENBUCKE,ENSHROPBRIDGNO_x000D_
issue:Born before Parents Married_x000D_
.recs:Birth,Marriage,Death_x000D_
.imm?:no_x000D_
..Spo:MILES WINDSOR</t>
        </r>
      </text>
    </comment>
    <comment ref="V1786" authorId="0" shapeId="0" xr:uid="{D79196A8-CB06-450C-A1DB-31B6AD058D1D}">
      <text>
        <r>
          <rPr>
            <sz val="9"/>
            <color indexed="81"/>
            <rFont val="Tahoma"/>
            <family val="2"/>
          </rPr>
          <t>Mrs. {_?_} GREENE_x000D_
http://yeinfo.com/family/I09065970.html_x000D_
https://www.google.com/search?q={_?_}+GREENE+1386+1414+GREENE_x000D_
.born: 1386    -          Bridgnorth (Shropshire) England_x000D_
.died: 1414    -1476     ?Bridgnorth (Shropshire) England, age:28y 0m 0d, _x000D_
.bapt: 1785GE_x000D_
.will: 2004MO_x000D_
.obit: 1890OH_x000D_
.bury: 1850IL _x000D_
.wpbt: 1826PA_x000D_
.anc#:double ancestor_x000D_
citiz:foreign_x000D_
#spos:1_x000D_
#srcs:1_x000D_
#comment:0_x000D_
#events:1_x000D_
#kids:1_x000D_
lived:ENSHROPBRIDGNO_x000D_
issue:_x000D_
.recs:Birth,Marriage,Death_x000D_
.imm?:no_x000D_
..Spo:WALTER GREENE</t>
        </r>
      </text>
    </comment>
    <comment ref="S1788" authorId="0" shapeId="0" xr:uid="{084AF4B3-7FDB-41C9-A7C6-699CC28EDB5B}">
      <text>
        <r>
          <rPr>
            <sz val="9"/>
            <color indexed="81"/>
            <rFont val="Tahoma"/>
            <family val="2"/>
          </rPr>
          <t>ELIZABETH WINDSOR_x000D_
http://yeinfo.com/family/I09065546.html_x000D_
https://www.google.com/search?q=ELIZABETH+WINDSOR+1467+1504+FOWLER_x000D_
.born:c1467    -         ?Bradenham (Buckinghamshire) England_x000D_
.died: 1504    -1550      Rycote (Oxfordshire) England, age:37y 0m 0d, _x000D_
.bapt: 1785GE_x000D_
.will: 2004MO_x000D_
.obit: 1890OH_x000D_
.bury: 1850IL _x000D_
.wpbt: 1826PA_x000D_
.anc#:double ancestor_x000D_
citiz:foreign_x000D_
#spos:1_x000D_
#srcs:1_x000D_
#comment:0_x000D_
#events:1_x000D_
#kids:1_x000D_
lived:?ENBUCKEBRADENH,ENBUCKE,ENOXFOSRYCOTE_x000D_
issue:_x000D_
.recs:Birth,Marriage,Death_x000D_
.imm?:no_x000D_
..Spo:RICHARD FOWLER</t>
        </r>
      </text>
    </comment>
    <comment ref="W1790" authorId="0" shapeId="0" xr:uid="{E1775504-AC26-46BB-B08B-D858759885C6}">
      <text>
        <r>
          <rPr>
            <sz val="9"/>
            <color indexed="81"/>
            <rFont val="Tahoma"/>
            <family val="2"/>
          </rPr>
          <t>WILLIAM ANDREWS_x000D_
http://yeinfo.com/family/I09066153.html_x000D_
https://www.google.com/search?q=WILLIAM+ANDREWS+1366+1397+MARGARET_x000D_
.born: 1366    -          Baylham (Suffolk) England_x000D_
.died: 1397    -          Baylham (Suffolk) England, age:31y 0m 0d, _x000D_
.bapt: 1785GE_x000D_
.will: 2004MO_x000D_
.obit: 1890OH_x000D_
.bury: 1850IL _x000D_
.wpbt: 1826PA_x000D_
.anc#:double ancestor_x000D_
citiz:foreign_x000D_
#spos:1_x000D_
#srcs:1_x000D_
#comment:0_x000D_
#events:1_x000D_
#kids:1_x000D_
lived:ENSUFFOBAYLHAM_x000D_
issue:_x000D_
.recs:Birth,Marriage,Death_x000D_
.imm?:no_x000D_
..Spo:MARGARET CHISLINGTON</t>
        </r>
      </text>
    </comment>
    <comment ref="V1792" authorId="0" shapeId="0" xr:uid="{D10B437F-8220-4B58-B763-4C2698D962FE}">
      <text>
        <r>
          <rPr>
            <sz val="9"/>
            <color indexed="81"/>
            <rFont val="Tahoma"/>
            <family val="2"/>
          </rPr>
          <t>JAMES ANDREWS_x000D_
http://yeinfo.com/family/I09065971.html_x000D_
https://www.google.com/search?q=JAMES+ANDREWS+1397+1434+ALICE_x000D_
.born: 1397    -          Baylham (Suffolk) England_x000D_
.died: 143407  -          Bury Saint Edmunds (Suffolk) England, age:37y 6m 0d, _x000D_
.bapt: 1785GE_x000D_
.will: 2004MO_x000D_
.obit: 1890OH_x000D_
.bury: 1850IL _x000D_
.wpbt: 1826PA_x000D_
.anc#:double ancestor_x000D_
citiz:foreign_x000D_
#spos:1_x000D_
#srcs:1_x000D_
#comment:0_x000D_
#events:1_x000D_
#kids:1_x000D_
lived:ENSUFFOBAYLHAM,ENSUFFOBURY SE_x000D_
issue:Married before Age 16,Died before Birth_x000D_
.recs:Birth,Marriage,Death_x000D_
.imm?:no_x000D_
..Spo:ALICE WEYLAND</t>
        </r>
      </text>
    </comment>
    <comment ref="W1794" authorId="0" shapeId="0" xr:uid="{0D9B76D1-83BD-465E-BE38-FAFF86D11A10}">
      <text>
        <r>
          <rPr>
            <sz val="9"/>
            <color indexed="81"/>
            <rFont val="Tahoma"/>
            <family val="2"/>
          </rPr>
          <t>MARGARET CHISLINGTON_x000D_
http://yeinfo.com/family/I09066154.html_x000D_
https://www.google.com/search?q=MARGARET+CHISLINGTON+1372+1397+ANDREWS_x000D_
.born:?1372    -          Baylham (Suffolk) England_x000D_
.died: 1397    -          Baylham (Suffolk) England, age:25y 0m 0d, _x000D_
.bapt: 1785GE_x000D_
.will: 2004MO_x000D_
.obit: 1890OH_x000D_
.bury: 1850IL _x000D_
.wpbt: 1826PA_x000D_
.anc#:double ancestor_x000D_
citiz:foreign_x000D_
#spos:1_x000D_
#srcs:1_x000D_
#comment:1_x000D_
#events:1_x000D_
#kids:1_x000D_
lived:ENSUFFOBAYLHAM_x000D_
issue:_x000D_
.recs:Birth,Marriage,Death_x000D_
.imm?:no_x000D_
..Spo:WILLIAM ANDREWS</t>
        </r>
      </text>
    </comment>
    <comment ref="U1796" authorId="0" shapeId="0" xr:uid="{EE65BBD5-682E-4713-AA81-986C90EF4F99}">
      <text>
        <r>
          <rPr>
            <sz val="9"/>
            <color indexed="81"/>
            <rFont val="Tahoma"/>
            <family val="2"/>
          </rPr>
          <t>JOHN ANDREWS_x000D_
http://yeinfo.com/family/I09065813.html_x000D_
https://www.google.com/search?q=JOHN+ANDREWS+1415+1473+ELIZABETH_x000D_
.born:c1415    -          Baylham (Suffolk) England_x000D_
.died: 1473    -          Weston (Norfolk) England, age:58y 0m 0d, _x000D_
.bapt: 1785GE_x000D_
.will: 2004MO_x000D_
.obit: 1890OH_x000D_
.bury: 1850IL _x000D_
.wpbt: 1826PA_x000D_
.anc#:double ancestor_x000D_
citiz:foreign_x000D_
#spos:1_x000D_
#srcs:2_x000D_
#comment:0_x000D_
#events:1_x000D_
#kids:1_x000D_
lived:ENNORFOWESTON,ENSUFFOBAYLHAM_x000D_
issue:Born before Parents Married,Died after Age 100_x000D_
.recs:Birth,Marriage,Death_x000D_
.imm?:no_x000D_
..Spo:ELIZABETH STRATTON</t>
        </r>
      </text>
    </comment>
    <comment ref="W1798" authorId="0" shapeId="0" xr:uid="{4EE49879-D335-4D45-8621-29E26EBDAFA8}">
      <text>
        <r>
          <rPr>
            <sz val="9"/>
            <color indexed="81"/>
            <rFont val="Tahoma"/>
            <family val="2"/>
          </rPr>
          <t>JOHN WEYLAND_x000D_
http://yeinfo.com/family/I09066155.html_x000D_
https://www.google.com/search?q=JOHN+WEYLAND+1373+1399+MARGARET_x000D_
.born: 1373    -          Baylham (Suffolk) England_x000D_
.died: 1399    -1460      England, age:26y 0m 0d, _x000D_
.bapt: 1785GE_x000D_
.will: 2004MO_x000D_
.obit: 1890OH_x000D_
.bury: 1850IL _x000D_
.wpbt: 1826PA_x000D_
.anc#:double ancestor_x000D_
citiz:foreign_x000D_
#spos:1_x000D_
#srcs:1_x000D_
#comment:1_x000D_
#events:1_x000D_
#kids:1_x000D_
lived:ENSUFFOBAYLHAM_x000D_
issue:Died after Age 100_x000D_
.recs:Birth,Marriage,Death_x000D_
.imm?:no_x000D_
..Spo:MARGARET BURNAVILLE</t>
        </r>
      </text>
    </comment>
    <comment ref="V1800" authorId="0" shapeId="0" xr:uid="{68ABD150-46BB-46C8-89EA-95B58623446A}">
      <text>
        <r>
          <rPr>
            <sz val="9"/>
            <color indexed="81"/>
            <rFont val="Tahoma"/>
            <family val="2"/>
          </rPr>
          <t>ALICE WEYLAND_x000D_
http://yeinfo.com/family/I09065972.html_x000D_
https://www.google.com/search?q=ALICE+WEYLAND+1399+1419+ANDREWS_x000D_
.born: 1399    -          Baylham (Suffolk) England_x000D_
.died: 1419    -1489      Baylham (Suffolk) England, age:20y 0m 0d, _x000D_
.bapt: 1785GE_x000D_
.will: 2004MO_x000D_
.obit: 1890OH_x000D_
.bury: 1850IL _x000D_
.wpbt: 1826PA_x000D_
.anc#:double ancestor_x000D_
citiz:foreign_x000D_
#spos:1_x000D_
#srcs:1_x000D_
#comment:0_x000D_
#events:1_x000D_
#kids:1_x000D_
lived:ENSUFFOBAYLHAM_x000D_
issue:Married before Age 16,Died before Birth_x000D_
.recs:Birth,Marriage,Death_x000D_
.imm?:no_x000D_
..Spo:JAMES ANDREWS</t>
        </r>
      </text>
    </comment>
    <comment ref="W1802" authorId="0" shapeId="0" xr:uid="{59680699-943C-44E2-8023-060B1F70452F}">
      <text>
        <r>
          <rPr>
            <sz val="9"/>
            <color indexed="81"/>
            <rFont val="Tahoma"/>
            <family val="2"/>
          </rPr>
          <t>MARGARET BURNAVILLE_x000D_
http://yeinfo.com/family/I09066156.html_x000D_
https://www.google.com/search?q=MARGARET+BURNAVILLE+1373+1399+WEYLAND_x000D_
.born:?1373    -          Baylham (Suffolk) England_x000D_
.died: 1399    -1460      England, age:26y 0m 0d, _x000D_
.bapt: 1785GE_x000D_
.will: 2004MO_x000D_
.obit: 1890OH_x000D_
.bury: 1850IL _x000D_
.wpbt: 1826PA_x000D_
.anc#:double ancestor_x000D_
citiz:foreign_x000D_
#spos:1_x000D_
#srcs:1_x000D_
#comment:1_x000D_
#events:1_x000D_
#kids:1_x000D_
lived:ENSUFFOBAYLHAM_x000D_
issue:Died after Age 100_x000D_
.recs:Birth,Marriage,Death_x000D_
.imm?:no_x000D_
..Spo:JOHN WEYLAND</t>
        </r>
      </text>
    </comment>
    <comment ref="T1804" authorId="0" shapeId="0" xr:uid="{3EC6E6B4-AD65-41EE-AEFE-65F7AED70F2B}">
      <text>
        <r>
          <rPr>
            <sz val="9"/>
            <color indexed="81"/>
            <rFont val="Tahoma"/>
            <family val="2"/>
          </rPr>
          <t>ELIZABETH ANDREWS_x000D_
http://yeinfo.com/family/I09065685.html_x000D_
https://www.google.com/search?q=ELIZABETH+ANDREWS+1444+1467+WINDSOR_x000D_
.born:c1444    -          Baylham (Suffolk) England_x000D_
.died: 1467    -1532     ?Weston (Norfolk) England, age:23y 0m 0d, _x000D_
.bapt: 1785GE_x000D_
.will: 2004MO_x000D_
.obit: 1890OH_x000D_
.bury: 1850IL _x000D_
.wpbt: 1826PA_x000D_
.anc#:double ancestor_x000D_
citiz:foreign_x000D_
#spos:2_x000D_
#srcs:2_x000D_
#comment:0_x000D_
#events:2_x000D_
#kids:1_x000D_
lived:?ENNORFOWESTON,ENSUFFOBAYLHAM_x000D_
issue:_x000D_
.recs:Birth,Marriage,Death_x000D_
.imm?:no_x000D_
..Spo:THOMAS WINDSOR</t>
        </r>
      </text>
    </comment>
    <comment ref="U1806" authorId="0" shapeId="0" xr:uid="{4DD3C7CB-9BA9-4069-8B26-18E3CC869955}">
      <text>
        <r>
          <rPr>
            <sz val="9"/>
            <color indexed="81"/>
            <rFont val="Tahoma"/>
            <family val="2"/>
          </rPr>
          <t>ELIZABETH STRATTON_x000D_
http://yeinfo.com/family/I09065814.html_x000D_
https://www.google.com/search?q=ELIZABETH+STRATTON+1425+1474+ANDREWS+Thomas_x000D_
.born:c1425    -          Weston (Norfolk) England_x000D_
.died: 1474    -          England, age:49y 0m 0d, _x000D_
.bapt: 1785GE_x000D_
.will: 2004MO_x000D_
.obit: 1890OH_x000D_
.bury: 1850IL St. Dionis Backchurch_x000D_
.wpbt: 1826PA_x000D_
.anc#:double ancestor_x000D_
citiz:foreign_x000D_
#spos:2_x000D_
#srcs:2_x000D_
#comment:0_x000D_
#events:3_x000D_
#kids:1_x000D_
lived:?ENMIDDLLONDON,ENNORFOWESTON_x000D_
issue:Died after Age 100_x000D_
.recs:Birth,Marriage,Death,Interment/Burial_x000D_
.imm?:no_x000D_
..Spo:JOHN ANDREWS</t>
        </r>
      </text>
    </comment>
    <comment ref="Q1808" authorId="0" shapeId="0" xr:uid="{5BFCF8D8-6ED6-42D3-8DC1-DE651BD6AF5B}">
      <text>
        <r>
          <rPr>
            <sz val="9"/>
            <color indexed="81"/>
            <rFont val="Tahoma"/>
            <family val="2"/>
          </rPr>
          <t>THOMAS FOWLER_x000D_
http://yeinfo.com/family/I09020672.html_x000D_
https://www.google.com/search?q=THOMAS+FOWLER+1530+1566+{_?_}_x000D_
.born: 1530    -          Hambleton (Rutland) England_x000D_
.died: 1566    -          Hambleton (Rutland) England, age:36y 0m 0d, _x000D_
.bapt: 1785GE_x000D_
.will: 2004MO_x000D_
.obit: 1890OH_x000D_
.bury: 1850IL _x000D_
.wpbt: 1826PA_x000D_
.anc#:double ancestor_x000D_
citiz:foreign_x000D_
#spos:1_x000D_
#srcs:1_x000D_
#comment:0_x000D_
#events:1_x000D_
#kids:1_x000D_
lived:ENRUTLAHAMBLET_x000D_
issue:Born before Parents Married_x000D_
.recs:Birth,Marriage,Death_x000D_
.imm?:no_x000D_
..Spo:{_?_} FOWLER</t>
        </r>
      </text>
    </comment>
    <comment ref="R1810" authorId="0" shapeId="0" xr:uid="{265C8F14-2996-4B8C-817C-6FB9ABA3D0A2}">
      <text>
        <r>
          <rPr>
            <sz val="9"/>
            <color indexed="81"/>
            <rFont val="Tahoma"/>
            <family val="2"/>
          </rPr>
          <t>Mrs. ELIZABETH FOWLER_x000D_
http://yeinfo.com/family/I09041345.html_x000D_
https://www.google.com/search?q=ELIZABETH+FOWLER+1505+1530+FOWLER_x000D_
.born:?1505    -         ?England_x000D_
.died: 1530    -1595     ?England, age:25y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..Spo:ANTHONY FOWLER</t>
        </r>
      </text>
    </comment>
    <comment ref="P1812" authorId="0" shapeId="0" xr:uid="{92F90E01-11B3-49B0-AD9D-09002BD594AD}">
      <text>
        <r>
          <rPr>
            <sz val="9"/>
            <color indexed="81"/>
            <rFont val="Tahoma"/>
            <family val="2"/>
          </rPr>
          <t>HENRY FOWLER I_x000D_
http://yeinfo.com/family/I09010336.html_x000D_
https://www.google.com/search?q=HENRY+FOWLER+1546+1590+ARMIS_x000D_
.born: 1546    -          Hambleden (Buckinghamshire) England_x000D_
.died: 1590    -1636      Humbleton (Rutland) England, age:44y 0m 0d, _x000D_
.bapt: 1785GE_x000D_
.will: 2004MO_x000D_
.obit: 1890OH_x000D_
.bury: 1850IL _x000D_
.wpbt: 1826PA_x000D_
.anc#:double ancestor_x000D_
citiz:foreign_x000D_
#spos:1_x000D_
#srcs:1_x000D_
#comment:0_x000D_
#events:1_x000D_
#kids:1_x000D_
lived:ENBUCKEEDLESBO,ENBUCKEHAMBLED,ENRUTLAHUMBTON_x000D_
issue:Born before Parents Married_x000D_
.recs:Birth,Marriage,Death_x000D_
.imm?:no_x000D_
..Spo:ARMIS KNIGHT</t>
        </r>
      </text>
    </comment>
    <comment ref="Q1814" authorId="0" shapeId="0" xr:uid="{5C24285D-2D03-43D4-AAC8-13F4B7E41A70}">
      <text>
        <r>
          <rPr>
            <sz val="9"/>
            <color indexed="81"/>
            <rFont val="Tahoma"/>
            <family val="2"/>
          </rPr>
          <t>Mrs. {_?_} FOWLER_x000D_
http://yeinfo.com/family/I09020673.html_x000D_
https://www.google.com/search?q={_?_}+FOWLER+1535+1566+FOWLER_x000D_
.born:?1535    -         ?England_x000D_
.died:?1566    -          Humbleton (Rutland) England, age:31y 0m 0d, _x000D_
.bapt: 1785GE_x000D_
.will: 2004MO_x000D_
.obit: 1890OH_x000D_
.bury: 1850IL _x000D_
.wpbt: 1826PA_x000D_
.anc#:double ancestor_x000D_
citiz:foreign_x000D_
#spos:1_x000D_
#srcs:1_x000D_
#comment:0_x000D_
#events:1_x000D_
#kids:1_x000D_
lived:?EN,ENRUTLAHUMBTON_x000D_
issue:_x000D_
.recs:Birth,Marriage,Death_x000D_
.imm?:no_x000D_
..Spo:THOMAS FOWLER</t>
        </r>
      </text>
    </comment>
    <comment ref="O1816" authorId="0" shapeId="0" xr:uid="{FCC705B5-EB2F-403F-A883-28077EC21DC8}">
      <text>
        <r>
          <rPr>
            <sz val="9"/>
            <color indexed="81"/>
            <rFont val="Tahoma"/>
            <family val="2"/>
          </rPr>
          <t>HENRY FOWLER II_x000D_
http://yeinfo.com/family/I09005168.html_x000D_
https://www.google.com/search?q=HENRY+FOWLER+1590+1661+SARAH+ALICE_x000D_
.born: 1590    -          Hambleton (Rutland) England_x000D_
.died:?16610625-          Mamaroneck (Westchester) New York, age:71y 5m 24d, _x000D_
.bapt: 1785GE_x000D_
.will: 2004MO_x000D_
.obit: 1890OH_x000D_
.bury: 1850IL _x000D_
.wpbt: 1826PA_x000D_
.anc#:double ancestor_x000D_
citiz:immigrant_x000D_
#spos:1_x000D_
#srcs:1_x000D_
#comment:0_x000D_
#events:1_x000D_
#kids:1_x000D_
lived:ENBUCKE,ENRUTLAHAMBLET,NYWESTCMAMARON_x000D_
issue:_x000D_
.recs:Birth,Marriage,Death_x000D_
.imm?:immigrant_x000D_
..Spo:SARAH ALICE KEVINGTON</t>
        </r>
      </text>
    </comment>
    <comment ref="P1818" authorId="0" shapeId="0" xr:uid="{309552EB-4848-4B2F-B2B1-679F81EDBC41}">
      <text>
        <r>
          <rPr>
            <sz val="9"/>
            <color indexed="81"/>
            <rFont val="Tahoma"/>
            <family val="2"/>
          </rPr>
          <t>ARMIS KNIGHT_x000D_
http://yeinfo.com/family/I09010337.html_x000D_
https://www.google.com/search?q=ARMIS+KNIGHT+1560+1590+FOWLER_x000D_
.born:?1560    -         ?Buckinghamshire county England_x000D_
.died: 1590    -1650     ?England, age:30y 0m 0d, _x000D_
.bapt: 1785GE_x000D_
.will: 2004MO_x000D_
.obit: 1890OH_x000D_
.bury: 1850IL _x000D_
.wpbt: 1826PA_x000D_
.anc#:double ancestor_x000D_
citiz:foreign_x000D_
#spos:1_x000D_
#srcs:1_x000D_
#comment:0_x000D_
#events:1_x000D_
#kids:1_x000D_
lived:ENBUCKEEDLESBO_x000D_
issue:_x000D_
.recs:Birth,Marriage,Death_x000D_
.imm?:no_x000D_
..Spo:HENRY FOWLER</t>
        </r>
      </text>
    </comment>
    <comment ref="N1820" authorId="0" shapeId="0" xr:uid="{05CC8925-AFA0-4E32-90F4-949B347D8B4E}">
      <text>
        <r>
          <rPr>
            <sz val="9"/>
            <color indexed="81"/>
            <rFont val="Tahoma"/>
            <family val="2"/>
          </rPr>
          <t>HENRY FOWLER III_x000D_
http://yeinfo.com/family/I09002584.html_x000D_
https://www.google.com/search?q=HENRY+FOWLER+1633+1687+REBECCA_x000D_
.born: 16330410-          Hambleton (Rutland) England_x000D_
.died: 1687    -          Mamaroneck (Westchester) New York, age:53y 8m 22d, _x000D_
.bapt: 1785GE_x000D_
.will: 2004MO_x000D_
.obit: 1890OH_x000D_
.bury: 1850IL _x000D_
.wpbt: 1826PA_x000D_
.anc#:double ancestor_x000D_
citiz:immigrant_x000D_
#spos:1_x000D_
#srcs:8_x000D_
#comment:0_x000D_
#events:1_x000D_
#kids:1_x000D_
lived:ENBUCKEHAMBLED,ENRUTLAHAMBLET,NYWESTCMAMARON,RIPROVIPROVIDE_x000D_
issue:_x000D_
.recs:Birth,Marriage,Death_x000D_
.imm?:immigrant_x000D_
..Spo:REBECCA NEWELL</t>
        </r>
      </text>
    </comment>
    <comment ref="Q1822" authorId="0" shapeId="0" xr:uid="{69B56DDB-8FE3-465A-A167-FD08544F424E}">
      <text>
        <r>
          <rPr>
            <sz val="9"/>
            <color indexed="81"/>
            <rFont val="Tahoma"/>
            <family val="2"/>
          </rPr>
          <t>MONTEGUE KEVINGTON Jr._x000D_
http://yeinfo.com/family/I09020676.html_x000D_
https://www.google.com/search?q=MONTEGUE+KEVINGTON+1540+1575+{_?_}_x000D_
.born: 1540    -          England_x000D_
.died: 1575    -1630     ?England, age:35y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..Spo:{_?_} KEVINGTON</t>
        </r>
      </text>
    </comment>
    <comment ref="P1824" authorId="0" shapeId="0" xr:uid="{DDD47D71-0139-4928-A531-78529B67C28E}">
      <text>
        <r>
          <rPr>
            <sz val="9"/>
            <color indexed="81"/>
            <rFont val="Tahoma"/>
            <family val="2"/>
          </rPr>
          <t>MONTEGUE KEVINGTON III_x000D_
http://yeinfo.com/family/I09010338.html_x000D_
https://www.google.com/search?q=MONTEGUE+KEVINGTON+1575+1600+DEIDRE_x000D_
.born: 1575    -          Buckinghamshire county England_x000D_
.died: 1600    -1665      England, age:25y 0m 0d, _x000D_
.bapt: 1785GE_x000D_
.will: 2004MO_x000D_
.obit: 1890OH_x000D_
.bury: 1850IL _x000D_
.wpbt: 1826PA_x000D_
.anc#:double ancestor_x000D_
citiz:foreign_x000D_
#spos:1_x000D_
#srcs:1_x000D_
#comment:0_x000D_
#events:1_x000D_
#kids:1_x000D_
lived:?ENYORKS,ENBUCKE_x000D_
issue:_x000D_
.recs:Birth,Marriage,Death_x000D_
.imm?:no_x000D_
..Spo:DEIDRE BUCKINGHAM</t>
        </r>
      </text>
    </comment>
    <comment ref="Q1826" authorId="0" shapeId="0" xr:uid="{330AD977-CE0D-4B45-B820-A1D9C351A35E}">
      <text>
        <r>
          <rPr>
            <sz val="9"/>
            <color indexed="81"/>
            <rFont val="Tahoma"/>
            <family val="2"/>
          </rPr>
          <t>Mrs. {_?_} KEVINGTON_x000D_
http://yeinfo.com/family/I09020677.html_x000D_
https://www.google.com/search?q={_?_}+KEVINGTON+1550+1575+KEVINGTON_x000D_
.born:?1550    -         ?England_x000D_
.died: 1575    -1640     ?England, age:25y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..Spo:MONTEGUE KEVINGTON</t>
        </r>
      </text>
    </comment>
    <comment ref="O1828" authorId="0" shapeId="0" xr:uid="{CF3C663E-4011-461B-B7A9-317FE7E2BFD8}">
      <text>
        <r>
          <rPr>
            <sz val="9"/>
            <color indexed="81"/>
            <rFont val="Tahoma"/>
            <family val="2"/>
          </rPr>
          <t>SARAH ALICE KEVINGTON_x000D_
http://yeinfo.com/family/I09005169.html_x000D_
https://www.google.com/search?q=SARAH+ALICE+KEVINGTON+1600+1633+FOWLER_x000D_
.born:?1600    -         ?England_x000D_
.died: 1633    -1690     ?Westchester county New York, age:33y 0m 0d, _x000D_
.bapt: 1785GE_x000D_
.will: 2004MO_x000D_
.obit: 1890OH_x000D_
.bury: 1850IL _x000D_
.wpbt: 1826PA_x000D_
.anc#:double ancestor_x000D_
citiz:immigrant_x000D_
#spos:1_x000D_
#srcs:2_x000D_
#comment:0_x000D_
#events:1_x000D_
#kids:1_x000D_
lived:?EN,?NYWESTC,ENBUCKE_x000D_
issue:Died after Age 100_x000D_
.recs:Birth,Marriage,Death_x000D_
.imm?:immigrant_x000D_
..Spo:HENRY FOWLER</t>
        </r>
      </text>
    </comment>
    <comment ref="P1830" authorId="0" shapeId="0" xr:uid="{30E18E1A-51A5-449B-B529-27907A3B48BE}">
      <text>
        <r>
          <rPr>
            <sz val="9"/>
            <color indexed="81"/>
            <rFont val="Tahoma"/>
            <family val="2"/>
          </rPr>
          <t>DEIDRE BUCKINGHAM_x000D_
http://yeinfo.com/family/I09010339.html_x000D_
https://www.google.com/search?q=DEIDRE+BUCKINGHAM+1576+1600+KEVINGTON_x000D_
.born: 1576    -          Yorkshire county England_x000D_
.died: 1600    -1666     ?England, age:24y 0m 0d, _x000D_
.bapt: 1785GE_x000D_
.will: 2004MO_x000D_
.obit: 1890OH_x000D_
.bury: 1850IL _x000D_
.wpbt: 1826PA_x000D_
.anc#:double ancestor_x000D_
citiz:foreign_x000D_
#spos:1_x000D_
#srcs:1_x000D_
#comment:0_x000D_
#events:1_x000D_
#kids:1_x000D_
lived:ENYORKS_x000D_
issue:_x000D_
.recs:Birth,Marriage,Death_x000D_
.imm?:no_x000D_
..Spo:MONTEGUE KEVINGTON</t>
        </r>
      </text>
    </comment>
    <comment ref="M1832" authorId="0" shapeId="0" xr:uid="{B264FFFD-D6FB-48B4-99E8-5EDAFE2F1B81}">
      <text>
        <r>
          <rPr>
            <sz val="9"/>
            <color indexed="81"/>
            <rFont val="Tahoma"/>
            <family val="2"/>
          </rPr>
          <t>HENRY FOWLER_x000D_
http://yeinfo.com/family/I09001292.html_x000D_
https://www.google.com/search?q=HENRY+FOWLER+1657+1687+ABIGAIL_x000D_
.born:?1657    -          Providence (Providence) Rhode Island_x000D_
.died: 1687    -1747      Westchester county New York, age:30y 0m 0d, _x000D_
.bapt: 1785GE_x000D_
.will: 2004MO_x000D_
.obit: 1890OH_x000D_
.bury: 1850IL _x000D_
.wpbt: 1826PA_x000D_
.anc#:double ancestor_x000D_
citiz:US born_x000D_
#spos:1_x000D_
#srcs:2_x000D_
#comment:0_x000D_
#events:1_x000D_
#kids:1_x000D_
lived:NYWESTCEASTCHE,RIPROVIPROVIDE_x000D_
issue:_x000D_
.recs:Birth,Marriage,Death_x000D_
.imm?:no_x000D_
..Spo:ABIGAIL HOYT</t>
        </r>
      </text>
    </comment>
    <comment ref="P1834" authorId="0" shapeId="0" xr:uid="{5D18D695-4441-4C75-8034-ADEEEF422243}">
      <text>
        <r>
          <rPr>
            <sz val="9"/>
            <color indexed="81"/>
            <rFont val="Tahoma"/>
            <family val="2"/>
          </rPr>
          <t>ABRAHAM NEWELL Sr._x000D_
http://yeinfo.com/family/I09010340.html_x000D_
https://www.google.com/search?q=ABRAHAM+NEWELL+1555+1592+FRANCES_x000D_
.born: 1555    -          Ipswich (Suffolk) England_x000D_
.died: 1592    -          Stanton Harcourt (Oxfordshire) England, age:37y 0m 0d, _x000D_
.bapt: 1785GE_x000D_
.will: 2004MO_x000D_
.obit: 1890OH_x000D_
.bury: 1850IL _x000D_
.wpbt: 1826PA_x000D_
.anc#:double ancestor_x000D_
citiz:foreign_x000D_
#spos:1_x000D_
#srcs:1_x000D_
#comment:0_x000D_
#events:1_x000D_
#kids:1_x000D_
lived:ENOXFOSSTANTHA,ENSUFFOIPSWICH_x000D_
issue:_x000D_
.recs:Birth,Marriage,Death_x000D_
.imm?:no_x000D_
..Spo:FRANCES HYNDE</t>
        </r>
      </text>
    </comment>
    <comment ref="O1836" authorId="0" shapeId="0" xr:uid="{02DAA300-5FE0-4E98-A192-D6A127692A4E}">
      <text>
        <r>
          <rPr>
            <sz val="9"/>
            <color indexed="81"/>
            <rFont val="Tahoma"/>
            <family val="2"/>
          </rPr>
          <t>ABRAHAM NEWELL Jr._x000D_
http://yeinfo.com/family/I09005170.html_x000D_
https://www.google.com/search?q=ABRAHAM+NEWELL+1583+1683+FRANCES_x000D_
.born: 15830407-          Ipswich (Suffolk) England_x000D_
.died: 16830113-          Roxbury (Suffolk) Massachusetts, age:99y 9m 6d, _x000D_
.bapt: 1785GE_x000D_
.will: 2004MO_x000D_
.obit: 1890OH_x000D_
.bury: 1850IL _x000D_
.wpbt: 1826PA_x000D_
.anc#:double ancestor_x000D_
citiz:immigrant_x000D_
#spos:1_x000D_
#srcs:1_x000D_
#comment:0_x000D_
#events:1_x000D_
#kids:1_x000D_
lived:ENSUFFOIPSWICH,MASUFFOROXBURY_x000D_
issue:_x000D_
.recs:Birth,Marriage,Death_x000D_
.imm?:immigrant_x000D_
..Spo:FRANCES FOOTE</t>
        </r>
      </text>
    </comment>
    <comment ref="P1838" authorId="0" shapeId="0" xr:uid="{0D84AB8E-5EEF-4A4B-8ACB-6F8A36443519}">
      <text>
        <r>
          <rPr>
            <sz val="9"/>
            <color indexed="81"/>
            <rFont val="Tahoma"/>
            <family val="2"/>
          </rPr>
          <t>FRANCES HYNDE_x000D_
http://yeinfo.com/family/I09010341.html_x000D_
https://www.google.com/search?q=FRANCES+HYNDE+1559+1583+NEWELL_x000D_
.born: 1559    -          Ipswich (Suffolk) England_x000D_
.died: 1583    -1649      Stanton Harcourt (Oxfordshire) England, age:24y 0m 0d, _x000D_
.bapt: 1785GE_x000D_
.will: 2004MO_x000D_
.obit: 1890OH_x000D_
.bury: 1850IL _x000D_
.wpbt: 1826PA_x000D_
.anc#:double ancestor_x000D_
citiz:foreign_x000D_
#spos:1_x000D_
#srcs:1_x000D_
#comment:0_x000D_
#events:1_x000D_
#kids:1_x000D_
lived:ENOXFOSSTANTHA,ENSUFFOIPSWICH_x000D_
issue:_x000D_
.recs:Birth,Marriage,Death_x000D_
.imm?:no_x000D_
..Spo:ABRAHAM NEWELL</t>
        </r>
      </text>
    </comment>
    <comment ref="N1840" authorId="0" shapeId="0" xr:uid="{631A810C-CF22-4135-ACCB-C73B93A3BC35}">
      <text>
        <r>
          <rPr>
            <sz val="9"/>
            <color indexed="81"/>
            <rFont val="Tahoma"/>
            <family val="2"/>
          </rPr>
          <t>REBECCA NEWELL_x000D_
http://yeinfo.com/family/I09002585.html_x000D_
https://www.google.com/search?q=REBECCA+NEWELL+1637+1730+FOWLER_x000D_
.born: 16370715-          Roxbury (Suffolk) Massachusetts_x000D_
.died: 17300323-         ?Massachusetts, age:92y 8m 8d, _x000D_
.bapt: 1785GE_x000D_
.will: 2004MO_x000D_
.obit: 1890OH_x000D_
.bury: 1850IL _x000D_
.wpbt: 1826PA_x000D_
.anc#:double ancestor_x000D_
citiz:US born_x000D_
#spos:1_x000D_
#srcs:2_x000D_
#comment:0_x000D_
#events:1_x000D_
#kids:1_x000D_
lived:MASUFFOROXBURY,RIPROVIPROVIDE_x000D_
issue:_x000D_
.recs:Birth,Marriage,Death_x000D_
.imm?:no_x000D_
..Spo:HENRY FOWLER</t>
        </r>
      </text>
    </comment>
    <comment ref="O1842" authorId="0" shapeId="0" xr:uid="{4CCA0831-EF9E-4F5A-81D9-DD11DFCD10D3}">
      <text>
        <r>
          <rPr>
            <sz val="9"/>
            <color indexed="81"/>
            <rFont val="Tahoma"/>
            <family val="2"/>
          </rPr>
          <t>FRANCES FOOTE_x000D_
http://yeinfo.com/family/I09005171.html_x000D_
https://www.google.com/search?q=FRANCES+FOOTE+1594+1637+NEWELL_x000D_
.born:c1594    -          Ipswich (Suffolk) England_x000D_
.died: 1637    -1684     ?Roxbury (Suffolk) Massachusetts, age:43y 0m 0d, _x000D_
.bapt: 1785GE_x000D_
.will: 2004MO_x000D_
.obit: 1890OH_x000D_
.bury: 1850IL _x000D_
.wpbt: 1826PA_x000D_
.anc#:double ancestor_x000D_
citiz:immigrant_x000D_
#spos:1_x000D_
#srcs:1_x000D_
#comment:1_x000D_
#events:1_x000D_
#kids:1_x000D_
lived:?MASUFFOROXBURY,ENSUFFOIPSWICH_x000D_
issue:_x000D_
.recs:Birth,Marriage,Death_x000D_
.imm?:immigrant_x000D_
..Spo:ABRAHAM NEWELL</t>
        </r>
      </text>
    </comment>
    <comment ref="L1844" authorId="0" shapeId="0" xr:uid="{46A91EDC-92EE-45E0-8F83-8E0CB4681964}">
      <text>
        <r>
          <rPr>
            <sz val="9"/>
            <color indexed="81"/>
            <rFont val="Tahoma"/>
            <family val="2"/>
          </rPr>
          <t>WILLIAM FOWLER_x000D_
http://yeinfo.com/family/I09000646.html_x000D_
https://www.google.com/search?q=WILLIAM+FOWLER+1687+1747+MARY_x000D_
.born: 1687    -          Eastchester (Westchester) New York_x000D_
.died: 1747    -          North Cowarts (Westchester) New York, age:60y 0m 0d, _x000D_
.bapt: 1785GE_x000D_
.will: 2004MO_x000D_
.obit: 1890OH_x000D_
.bury: 1850IL _x000D_
.wpbt: 1826PA_x000D_
.anc#:double ancestor_x000D_
citiz:US born_x000D_
#spos:1_x000D_
#srcs:2_x000D_
#comment:0_x000D_
#events:1_x000D_
#kids:1_x000D_
lived:NYWESTCEASTCHE,NYWESTCNORTH C_x000D_
issue:_x000D_
.recs:Birth,Marriage,Death_x000D_
.imm?:no_x000D_
..Spo:MARY DRAKE</t>
        </r>
      </text>
    </comment>
    <comment ref="O1846" authorId="0" shapeId="0" xr:uid="{B5529034-E58D-45A5-98FE-704D03163336}">
      <text>
        <r>
          <rPr>
            <sz val="9"/>
            <color indexed="81"/>
            <rFont val="Tahoma"/>
            <family val="2"/>
          </rPr>
          <t>SIMON HOYT_x000D_
http://yeinfo.com/family/I09005172.html_x000D_
https://www.google.com/search?q=SIMON+HOYT+1593+1637+SUSANNAH+Stoodlie_x000D_
.born:c1593    -          West Hatch (Somerset) England_x000D_
.died: 1637    -1683      , age:44y 0m 0d, _x000D_
.bapt: 1785GE_x000D_
.will: 2004MO_x000D_
.obit: 1890OH_x000D_
.bury: 1850IL _x000D_
.wpbt: 1826PA_x000D_
.anc#:double ancestor_x000D_
citiz:US born_x000D_
#spos:2_x000D_
#srcs:1_x000D_
#comment:0_x000D_
#events:2_x000D_
#kids:1_x000D_
lived:ENSOMESWEST HA_x000D_
issue:_x000D_
.recs:Birth,Marriage,Death_x000D_
.imm?:no_x000D_
..Spo:SUSANNAH SMITH</t>
        </r>
      </text>
    </comment>
    <comment ref="N1848" authorId="0" shapeId="0" xr:uid="{4B4CE49D-9DA0-4F47-ABD3-0584D71009B1}">
      <text>
        <r>
          <rPr>
            <sz val="9"/>
            <color indexed="81"/>
            <rFont val="Tahoma"/>
            <family val="2"/>
          </rPr>
          <t>MOSES HOYT Sr._x000D_
http://yeinfo.com/family/I09002586.html_x000D_
https://www.google.com/search?q=MOSES+HOYT+1637+1658+ELIZABETH_x000D_
.born:c1637    -          Stamford (Fairfield) Connecticut_x000D_
.died: 1658    -1727      Eastchester (Westchester) New York, age:21y 0m 0d, _x000D_
.bapt: 1785GE_x000D_
.will: 2004MO_x000D_
.obit: 1890OH_x000D_
.bury: 1850IL _x000D_
.wpbt: 1826PA_x000D_
.anc#:double ancestor_x000D_
citiz:US born_x000D_
#spos:1_x000D_
#srcs:1_x000D_
#comment:0_x000D_
#events:1_x000D_
#kids:1_x000D_
lived:CTFAIRDSTAMFOR,NYWESTCEASTCHE_x000D_
issue:_x000D_
.recs:Birth,Marriage,Death_x000D_
.imm?:no_x000D_
..Spo:ELIZABETH BUDD</t>
        </r>
      </text>
    </comment>
    <comment ref="O1850" authorId="0" shapeId="0" xr:uid="{CF8FCA16-D9B1-40EA-80CF-9822E6E4EA08}">
      <text>
        <r>
          <rPr>
            <sz val="9"/>
            <color indexed="81"/>
            <rFont val="Tahoma"/>
            <family val="2"/>
          </rPr>
          <t>SUSANNAH SMITH_x000D_
http://yeinfo.com/family/I09005173.html_x000D_
https://www.google.com/search?q=SUSANNAH+SMITH+1615+1637+HOYT+Robert_x000D_
.born:c1615    -         ?England_x000D_
.died: 1637    -1705      Fairfield county Connecticut, age:22y 0m 0d, _x000D_
.bapt: 1785GE_x000D_
.will: 2004MO_x000D_
.obit: 1890OH_x000D_
.bury: 1850IL _x000D_
.wpbt: 1826PA_x000D_
.anc#:double ancestor_x000D_
citiz:immigrant_x000D_
#spos:2_x000D_
#srcs:1_x000D_
#comment:0_x000D_
#events:2_x000D_
#kids:1_x000D_
lived:?ENSOMESWEST HA,CTFAIRD_x000D_
issue:Died before Birth_x000D_
.recs:Birth,Marriage,Death_x000D_
.imm?:immigrant_x000D_
..Spo:SIMON HOYT</t>
        </r>
      </text>
    </comment>
    <comment ref="M1852" authorId="0" shapeId="0" xr:uid="{D58B14ED-4E17-4378-ADEB-273B9B3BA097}">
      <text>
        <r>
          <rPr>
            <sz val="9"/>
            <color indexed="81"/>
            <rFont val="Tahoma"/>
            <family val="2"/>
          </rPr>
          <t>ABIGAIL HOYT_x000D_
http://yeinfo.com/family/I09001293.html_x000D_
https://www.google.com/search?q=ABIGAIL+HOYT+1658+1738+FOWLER_x000D_
.born: 1658    -          _x000D_
.died: 1738    -          , age:80y 0m 0d, _x000D_
.bapt: 1785GE_x000D_
.will: 2004MO_x000D_
.obit: 1890OH_x000D_
.bury: 1850IL _x000D_
.wpbt: 1826PA_x000D_
.anc#:double ancestor_x000D_
citiz:US born_x000D_
#spos:1_x000D_
#srcs:2_x000D_
#comment:0_x000D_
#events:1_x000D_
#kids:1_x000D_
lived:NYWESTCEASTCHE_x000D_
issue:_x000D_
.recs:Birth,Marriage,Death_x000D_
.imm?:no_x000D_
..Spo:HENRY FOWLER</t>
        </r>
      </text>
    </comment>
    <comment ref="T1854" authorId="0" shapeId="0" xr:uid="{AF63E716-4CC0-422D-9BDE-0773C11317E5}">
      <text>
        <r>
          <rPr>
            <sz val="9"/>
            <color indexed="81"/>
            <rFont val="Tahoma"/>
            <family val="2"/>
          </rPr>
          <t>JOHN BUDD_x000D_
http://yeinfo.com/family/I09065773.html_x000D_
https://www.google.com/search?q=JOHN+BUDD+1450+1520+ELIZABETH_x000D_
.born: 1450    -          Essex county England_x000D_
.died: 1520    -          Essex county England, age:70y 0m 0d, _x000D_
.bapt: 1785GE_x000D_
.will: 2004MO_x000D_
.obit: 1890OH_x000D_
.bury: 1850IL _x000D_
.wpbt: 1826PA_x000D_
.anc#:double ancestor_x000D_
citiz:foreign_x000D_
#spos:1_x000D_
#srcs:1_x000D_
#comment:0_x000D_
#events:1_x000D_
#kids:1_x000D_
lived:ENESSEX_x000D_
issue:_x000D_
.recs:Birth,Marriage,Death_x000D_
.imm?:no_x000D_
..Spo:ELIZABETH BISHOPPE</t>
        </r>
      </text>
    </comment>
    <comment ref="S1856" authorId="0" shapeId="0" xr:uid="{334871E0-8959-4178-9230-0DDF25CD7B29}">
      <text>
        <r>
          <rPr>
            <sz val="9"/>
            <color indexed="81"/>
            <rFont val="Tahoma"/>
            <family val="2"/>
          </rPr>
          <t>WILLIAM BUDD_x000D_
http://yeinfo.com/family/I09065639.html_x000D_
https://www.google.com/search?q=WILLIAM+BUDD+1479+1557+KATHERINE_x000D_
.born: 1479    -          Wandsworth (Surrey) England_x000D_
.died: 1557    -          Wandsworth (Surrey) England, age:78y 0m 0d, _x000D_
.bapt: 1785GE_x000D_
.will: 2004MO_x000D_
.obit: 1890OH_x000D_
.bury: 1850IL _x000D_
.wpbt: 1826PA_x000D_
.anc#:double ancestor_x000D_
citiz:foreign_x000D_
#spos:1_x000D_
#srcs:1_x000D_
#comment:0_x000D_
#events:1_x000D_
#kids:1_x000D_
lived:ENSURREWANDSWO_x000D_
issue:_x000D_
.recs:Birth,Marriage,Death_x000D_
.imm?:no_x000D_
..Spo:KATHERINE SAUNDERS</t>
        </r>
      </text>
    </comment>
    <comment ref="T1858" authorId="0" shapeId="0" xr:uid="{4DC223B4-56E4-4283-B8CC-C8D3ADF927FE}">
      <text>
        <r>
          <rPr>
            <sz val="9"/>
            <color indexed="81"/>
            <rFont val="Tahoma"/>
            <family val="2"/>
          </rPr>
          <t>ELIZABETH BISHOPPE_x000D_
http://yeinfo.com/family/I09065771.html_x000D_
https://www.google.com/search?q=ELIZABETH+BISHOPPE+1454+1525+BUDD_x000D_
.born:c1454    -          Essex county England_x000D_
.died: 1525    -          Essex county England, age:71y 0m 0d, _x000D_
.bapt: 1785GE_x000D_
.will: 2004MO_x000D_
.obit: 1890OH_x000D_
.bury: 1850IL _x000D_
.wpbt: 1826PA_x000D_
.anc#:double ancestor_x000D_
citiz:foreign_x000D_
#spos:1_x000D_
#srcs:1_x000D_
#comment:0_x000D_
#events:1_x000D_
#kids:1_x000D_
lived:ENESSEX_x000D_
issue:_x000D_
.recs:Birth,Marriage,Death_x000D_
.imm?:no_x000D_
..Spo:JOHN BUDD</t>
        </r>
      </text>
    </comment>
    <comment ref="R1860" authorId="0" shapeId="0" xr:uid="{15B4C9C7-5397-4D9D-B03E-263FC63A4B01}">
      <text>
        <r>
          <rPr>
            <sz val="9"/>
            <color indexed="81"/>
            <rFont val="Tahoma"/>
            <family val="2"/>
          </rPr>
          <t>NICHOLAS BUDD_x000D_
http://yeinfo.com/family/I09041392.html_x000D_
https://www.google.com/search?q=NICHOLAS+BUDD+1500+1536+ELIZABETH_x000D_
.born:c1500    -          London (Middlesex) England_x000D_
.died: 15360507-          London (Middlesex) England, age:36y 4m 6d, _x000D_
.bapt: 1785GE_x000D_
.will: 2004MO_x000D_
.obit: 1890OH_x000D_
.bury: 1850IL _x000D_
.wpbt: 1826PA_x000D_
.anc#:double ancestor_x000D_
citiz:foreign_x000D_
#spos:1_x000D_
#srcs:1_x000D_
#comment:0_x000D_
#events:1_x000D_
#kids:1_x000D_
lived:ENMIDDLLONDON_x000D_
issue:_x000D_
.recs:Birth,Marriage,Death_x000D_
.imm?:no_x000D_
..Spo:ELIZABETH WRIGHT</t>
        </r>
      </text>
    </comment>
    <comment ref="V1862" authorId="0" shapeId="0" xr:uid="{D0494B86-E6C0-43A9-9BEA-C9D2EEBC85AB}">
      <text>
        <r>
          <rPr>
            <sz val="9"/>
            <color indexed="81"/>
            <rFont val="Tahoma"/>
            <family val="2"/>
          </rPr>
          <t>THOMAS SAUNDERS_x000D_
http://yeinfo.com/family/I09066110.html_x000D_
https://www.google.com/search?q=THOMAS+SAUNDERS+1405+1425+JOANNA_x000D_
.born:?1405    -         ?England_x000D_
.died: 1425    -1495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issue:Died after Age 100_x000D_
.recs:Birth,Marriage,Death_x000D_
.imm?:no_x000D_
..Spo:JOANNA POLLARD</t>
        </r>
      </text>
    </comment>
    <comment ref="U1864" authorId="0" shapeId="0" xr:uid="{D842E567-5756-46B3-8109-917D0F839FD5}">
      <text>
        <r>
          <rPr>
            <sz val="9"/>
            <color indexed="81"/>
            <rFont val="Tahoma"/>
            <family val="2"/>
          </rPr>
          <t>WILLIAM SAUNDERS_x000D_
http://yeinfo.com/family/I09065940.html_x000D_
https://www.google.com/search?q=WILLIAM+SAUNDERS+1420+1481+JOAN_x000D_
.born:?1420    -          Charlwood (Surrey) England_x000D_
.died: 14810810-          Charlwood (Surrey) England, age:61y 7m 9d, _x000D_
.bapt: 1785GE_x000D_
.will: 2004MO_x000D_
.obit: 1890OH_x000D_
.bury: 1850IL _x000D_
.wpbt: 1826PA_x000D_
.anc#:double ancestor_x000D_
citiz:foreign_x000D_
#spos:1_x000D_
#srcs:1_x000D_
#comment:0_x000D_
#events:1_x000D_
#kids:1_x000D_
lived:ENSURRECHARLWO_x000D_
issue:_x000D_
.recs:Birth,Marriage,Death_x000D_
.imm?:no_x000D_
..Spo:JOAN CAREW</t>
        </r>
      </text>
    </comment>
    <comment ref="V1866" authorId="0" shapeId="0" xr:uid="{E0D90AFA-D9CD-4EC9-9FD5-D688C6532440}">
      <text>
        <r>
          <rPr>
            <sz val="9"/>
            <color indexed="81"/>
            <rFont val="Tahoma"/>
            <family val="2"/>
          </rPr>
          <t>JOANNA POLLARD_x000D_
http://yeinfo.com/family/I09066107.html_x000D_
https://www.google.com/search?q=JOANNA+POLLARD+1405+1425+SAUNDERS_x000D_
.born:?1405    -         ?England_x000D_
.died: 1425    -1495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issue:Died after Age 100_x000D_
.recs:Birth,Marriage,Death_x000D_
.imm?:no_x000D_
..Spo:THOMAS SAUNDERS</t>
        </r>
      </text>
    </comment>
    <comment ref="T1868" authorId="0" shapeId="0" xr:uid="{FB386A82-33FC-4281-86B9-7913788E27E7}">
      <text>
        <r>
          <rPr>
            <sz val="9"/>
            <color indexed="81"/>
            <rFont val="Tahoma"/>
            <family val="2"/>
          </rPr>
          <t>RICHARD OSWELL SAUNDERS_x000D_
http://yeinfo.com/family/I09065792.html_x000D_
https://www.google.com/search?q=RICHARD+OSWELL+SAUNDERS+1452+1480+AGNES_x000D_
.born: 1452    -          Charlwood (Surrey) England_x000D_
.died: 1480    -          Charlwood (Surrey) England, age:28y 0m 0d, _x000D_
.bapt: 1785GE_x000D_
.will: 2004MO_x000D_
.obit: 1890OH_x000D_
.bury: 1850IL _x000D_
.wpbt: 1826PA_x000D_
.anc#:double ancestor_x000D_
citiz:foreign_x000D_
#spos:1_x000D_
#srcs:1_x000D_
#comment:0_x000D_
#events:1_x000D_
#kids:1_x000D_
lived:ENSURRECHARLWO_x000D_
issue:_x000D_
.recs:Birth,Marriage,Death_x000D_
.imm?:no_x000D_
..Spo:AGNES SAUNDERS</t>
        </r>
      </text>
    </comment>
    <comment ref="X1870" authorId="0" shapeId="0" xr:uid="{EBB4352F-D93E-4C65-BA39-50193AE1AC37}">
      <text>
        <r>
          <rPr>
            <sz val="9"/>
            <color indexed="81"/>
            <rFont val="Tahoma"/>
            <family val="2"/>
          </rPr>
          <t>NICHOLAS CAREW_x000D_
http://yeinfo.com/family/I09066447.html_x000D_
https://www.google.com/search?q=NICHOLAS+CAREW+1322+1390+LUCY_x000D_
.born: 1322    -          Sandford (Devon) England_x000D_
.died: 13900817-          Buckinghamshire county England, age:68y 7m 16d, _x000D_
.bapt: 1785GE_x000D_
.will: 2004MO_x000D_
.obit: 1890OH_x000D_
.bury: 1850IL _x000D_
.wpbt: 1826PA_x000D_
.anc#:double ancestor_x000D_
citiz:foreign_x000D_
#spos:1_x000D_
#srcs:1_x000D_
#comment:1_x000D_
#events:2_x000D_
#kids:1_x000D_
lived:ENBUCKE,ENDEVONSANDFOR_x000D_
issue:_x000D_
.recs:Birth,Marriage,Death_x000D_
.imm?:no_x000D_
..Spo:LUCY WILLOUGHBY</t>
        </r>
      </text>
    </comment>
    <comment ref="W1872" authorId="0" shapeId="0" xr:uid="{4E8FA617-7529-4DFF-99A8-C9C0BEB48473}">
      <text>
        <r>
          <rPr>
            <sz val="9"/>
            <color indexed="81"/>
            <rFont val="Tahoma"/>
            <family val="2"/>
          </rPr>
          <t>NICHOLAS CAREW_x000D_
http://yeinfo.com/family/I09066281.html_x000D_
https://www.google.com/search?q=NICHOLAS+CAREW+1356+1432+ISABELLA+Hayme_x000D_
.born: 135605  -          Surrey county England_x000D_
.died: 14320904-          Surrey county England, age:76y 4m 3d, _x000D_
.bapt: 1785GE_x000D_
.will: 2004MO_x000D_
.obit: 1890OH_x000D_
.bury: 1850IL _x000D_
.wpbt: 1826PA_x000D_
.anc#:double ancestor_x000D_
citiz:foreign_x000D_
#spos:2_x000D_
#srcs:1_x000D_
#comment:0_x000D_
#events:2_x000D_
#kids:1_x000D_
lived:ENSURRE_x000D_
issue:_x000D_
.recs:Birth,Marriage,Death_x000D_
.imm?:no_x000D_
..Spo:ISABELLA MARE</t>
        </r>
      </text>
    </comment>
    <comment ref="X1874" authorId="0" shapeId="0" xr:uid="{A7DD42CF-EFC6-4E04-848D-6F491A4CB643}">
      <text>
        <r>
          <rPr>
            <sz val="9"/>
            <color indexed="81"/>
            <rFont val="Tahoma"/>
            <family val="2"/>
          </rPr>
          <t>LUCY WILLOUGHBY_x000D_
http://yeinfo.com/family/I09066489.html_x000D_
https://www.google.com/search?q=LUCY+WILLOUGHBY+1330+1390+CAREW_x000D_
.born:?1330    -          Wollaton (Nottinghamshire) England_x000D_
.died: 1390    -          England, age:60y 0m 0d, _x000D_
.bapt: 1785GE_x000D_
.will: 2004MO_x000D_
.obit: 1890OH_x000D_
.bury: 1850IL _x000D_
.wpbt: 1826PA_x000D_
.anc#:double ancestor_x000D_
citiz:foreign_x000D_
#spos:1_x000D_
#srcs:1_x000D_
#comment:0_x000D_
#events:1_x000D_
#kids:1_x000D_
lived:ENNOTTIWOLLATO_x000D_
issue:_x000D_
.recs:Birth,Marriage,Death_x000D_
.imm?:no_x000D_
..Spo:NICHOLAS CAREW</t>
        </r>
      </text>
    </comment>
    <comment ref="V1876" authorId="0" shapeId="0" xr:uid="{490563BE-75E9-4397-803E-0E7EED461A02}">
      <text>
        <r>
          <rPr>
            <sz val="9"/>
            <color indexed="81"/>
            <rFont val="Tahoma"/>
            <family val="2"/>
          </rPr>
          <t>THOMAS CAREW_x000D_
http://yeinfo.com/family/I09066080.html_x000D_
https://www.google.com/search?q=THOMAS+CAREW+1398+1430+AGNES+Mare_x000D_
.born:c1398    -          Surrey county England_x000D_
.died: 143010  -          London (Middlesex) England, age:32y 9m 0d, _x000D_
.bapt: 1785GE_x000D_
.will: 2004MO_x000D_
.obit: 1890OH_x000D_
.bury: 1850IL _x000D_
.wpbt: 1826PA_x000D_
.anc#:double ancestor_x000D_
citiz:foreign_x000D_
#spos:2_x000D_
#srcs:1_x000D_
#comment:0_x000D_
#events:2_x000D_
#kids:1_x000D_
lived:ENMIDDLLONDON,ENSURRE_x000D_
issue:_x000D_
.recs:Birth,Marriage,Death_x000D_
.imm?:no_x000D_
..Spo:AGNES HAYTON</t>
        </r>
      </text>
    </comment>
    <comment ref="X1878" authorId="0" shapeId="0" xr:uid="{1E66741F-D60B-4EA5-BA73-99FB9DD6076B}">
      <text>
        <r>
          <rPr>
            <sz val="9"/>
            <color indexed="81"/>
            <rFont val="Tahoma"/>
            <family val="2"/>
          </rPr>
          <t>STEPHEN MARE_x000D_
http://yeinfo.com/family/I09066472.html_x000D_
https://www.google.com/search?q=STEPHEN+MARE+1330+1362+ALICE_x000D_
.born: 1330    -          Delamere (Cheshire) England_x000D_
.died: 1362    -1420      England, age:32y 0m 0d, _x000D_
.bapt: 1785GE_x000D_
.will: 2004MO_x000D_
.obit: 1890OH_x000D_
.bury: 1850IL _x000D_
.wpbt: 1826PA_x000D_
.anc#:double ancestor_x000D_
citiz:foreign_x000D_
#spos:1_x000D_
#srcs:1_x000D_
#comment:0_x000D_
#events:1_x000D_
#kids:1_x000D_
lived:ENCHESHDELAMER_x000D_
issue:_x000D_
.recs:Birth,Marriage,Death_x000D_
.imm?:no_x000D_
..Spo:ALICE MARE</t>
        </r>
      </text>
    </comment>
    <comment ref="W1880" authorId="0" shapeId="0" xr:uid="{9E13526C-16AF-449B-8CAF-31AB211344C0}">
      <text>
        <r>
          <rPr>
            <sz val="9"/>
            <color indexed="81"/>
            <rFont val="Tahoma"/>
            <family val="2"/>
          </rPr>
          <t>ISABELLA MARE_x000D_
http://yeinfo.com/family/I09066299.html_x000D_
https://www.google.com/search?q=ISABELLA+MARE+1362+1421+CAREW_x000D_
.born: 1362    -          Lilford (Northamptonshire) England_x000D_
.died: 1421    -          Surrey county England, age:59y 0m 0d, _x000D_
.bapt: 1785GE_x000D_
.will: 2004MO_x000D_
.obit: 1890OH_x000D_
.bury: 1850IL _x000D_
.wpbt: 1826PA_x000D_
.anc#:double ancestor_x000D_
citiz:foreign_x000D_
#spos:1_x000D_
#srcs:1_x000D_
#comment:0_x000D_
#events:1_x000D_
#kids:1_x000D_
lived:?ENSURRE,ENNORTALILFORD_x000D_
issue:_x000D_
.recs:Birth,Marriage,Death_x000D_
.imm?:no_x000D_
..Spo:NICHOLAS CAREW</t>
        </r>
      </text>
    </comment>
    <comment ref="X1882" authorId="0" shapeId="0" xr:uid="{2ACBB4F6-E532-436A-9BFA-7E35CF36A708}">
      <text>
        <r>
          <rPr>
            <sz val="9"/>
            <color indexed="81"/>
            <rFont val="Tahoma"/>
            <family val="2"/>
          </rPr>
          <t>Mrs. ALICE MARE_x000D_
http://yeinfo.com/family/I09066471.html_x000D_
https://www.google.com/search?q=ALICE+MARE+1335+1362+MARE_x000D_
.born: 1335    -          England_x000D_
.died: 1362    -1425      England, age:27y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..Spo:STEPHEN MARE</t>
        </r>
      </text>
    </comment>
    <comment ref="U1884" authorId="0" shapeId="0" xr:uid="{6937D129-E894-48F0-98B6-51505ED2CD03}">
      <text>
        <r>
          <rPr>
            <sz val="9"/>
            <color indexed="81"/>
            <rFont val="Tahoma"/>
            <family val="2"/>
          </rPr>
          <t>JOAN CAREW_x000D_
http://yeinfo.com/family/I09065918.html_x000D_
https://www.google.com/search?q=JOAN+CAREW+1430+1470+SAUNDERS_x000D_
.born: 1430    -          London (Middlesex) England_x000D_
.died: 14700806-          Charlwood (Surrey) England, age:40y 7m 5d, _x000D_
.bapt: 1785GE_x000D_
.will: 2004MO_x000D_
.obit: 1890OH_x000D_
.bury: 1850IL _x000D_
.wpbt: 1826PA_x000D_
.anc#:double ancestor_x000D_
citiz:foreign_x000D_
#spos:1_x000D_
#srcs:1_x000D_
#comment:0_x000D_
#events:1_x000D_
#kids:1_x000D_
lived:ENMIDDLLONDON,ENSURRECHARLWO_x000D_
issue:Died after Age 100_x000D_
.recs:Birth,Marriage,Death_x000D_
.imm?:no_x000D_
..Spo:WILLIAM SAUNDERS</t>
        </r>
      </text>
    </comment>
    <comment ref="W1886" authorId="0" shapeId="0" xr:uid="{8A33C7FC-0BC5-4189-830F-332316BD1140}">
      <text>
        <r>
          <rPr>
            <sz val="9"/>
            <color indexed="81"/>
            <rFont val="Tahoma"/>
            <family val="2"/>
          </rPr>
          <t>THOMAS HAYTON_x000D_
http://yeinfo.com/family/I09066294.html_x000D_
https://www.google.com/search?q=THOMAS+HAYTON+1370+1432+BEATRICE_x000D_
.born:?1370    -          Ewell (Surrey) England_x000D_
.died:c1432    -         ?Surrey county England, age:62y 0m 0d, _x000D_
.bapt: 1785GE_x000D_
.will: 2004MO_x000D_
.obit: 1890OH_x000D_
.bury: 1850IL _x000D_
.wpbt: 1826PA_x000D_
.anc#:double ancestor_x000D_
citiz:foreign_x000D_
#spos:1_x000D_
#srcs:1_x000D_
#comment:0_x000D_
#events:1_x000D_
#kids:1_x000D_
lived:ENSURREEWELL_x000D_
issue:_x000D_
.recs:Birth,Marriage,Death_x000D_
.imm?:no_x000D_
..Spo:BEATRICE HAYTON</t>
        </r>
      </text>
    </comment>
    <comment ref="V1888" authorId="0" shapeId="0" xr:uid="{5603AF41-3135-48FD-AC8D-EAA8DDC595B9}">
      <text>
        <r>
          <rPr>
            <sz val="9"/>
            <color indexed="81"/>
            <rFont val="Tahoma"/>
            <family val="2"/>
          </rPr>
          <t>AGNES HAYTON_x000D_
http://yeinfo.com/family/I09066093.html_x000D_
https://www.google.com/search?q=AGNES+HAYTON+1395+1450+CAREW_x000D_
.born:c1395    -          Ewell (Surrey) England_x000D_
.died:c1450    -          England, age:55y 0m 0d, _x000D_
.bapt: 1785GE_x000D_
.will: 2004MO_x000D_
.obit: 1890OH_x000D_
.bury: 1850IL _x000D_
.wpbt: 1826PA_x000D_
.anc#:double ancestor_x000D_
citiz:foreign_x000D_
#spos:1_x000D_
#srcs:1_x000D_
#comment:0_x000D_
#events:1_x000D_
#kids:1_x000D_
lived:ENSURREEWELL_x000D_
issue:_x000D_
.recs:Birth,Marriage,Death_x000D_
.imm?:no_x000D_
..Spo:THOMAS CAREW</t>
        </r>
      </text>
    </comment>
    <comment ref="W1890" authorId="0" shapeId="0" xr:uid="{44460208-C00A-467C-A9DE-1008C6BF49F4}">
      <text>
        <r>
          <rPr>
            <sz val="9"/>
            <color indexed="81"/>
            <rFont val="Tahoma"/>
            <family val="2"/>
          </rPr>
          <t>Mrs. BEATRICE HAYTON_x000D_
http://yeinfo.com/family/I09066293.html_x000D_
https://www.google.com/search?q=BEATRICE+HAYTON+1370+1395+HAYTON_x000D_
.born:?1370    -          England_x000D_
.died: 1395    -1460     ?Surrey county England, age:25y 0m 0d, _x000D_
.bapt: 1785GE_x000D_
.will: 2004MO_x000D_
.obit: 1890OH_x000D_
.bury: 1850IL _x000D_
.wpbt: 1826PA_x000D_
.anc#:double ancestor_x000D_
citiz:foreign_x000D_
#spos:1_x000D_
#srcs:1_x000D_
#comment:0_x000D_
#events:1_x000D_
#kids:1_x000D_
lived:?ENSURRE,EN_x000D_
issue:_x000D_
.recs:Birth,Marriage,Death_x000D_
.imm?:no_x000D_
..Spo:THOMAS HAYTON</t>
        </r>
      </text>
    </comment>
    <comment ref="S1892" authorId="0" shapeId="0" xr:uid="{1F8BDEAE-DDE4-4601-A3DF-45177E3E2320}">
      <text>
        <r>
          <rPr>
            <sz val="9"/>
            <color indexed="81"/>
            <rFont val="Tahoma"/>
            <family val="2"/>
          </rPr>
          <t>KATHERINE SAUNDERS_x000D_
http://yeinfo.com/family/I09065665.html_x000D_
https://www.google.com/search?q=KATHERINE+SAUNDERS+1480+1550+BUDD_x000D_
.born:c1480    -          West Clandon (Surrey) England_x000D_
.died:c1550    -          England, age:70y 0m 0d, _x000D_
.bapt: 1785GE_x000D_
.will: 2004MO_x000D_
.obit: 1890OH_x000D_
.bury: 1850IL _x000D_
.wpbt: 1826PA_x000D_
.anc#:double ancestor_x000D_
citiz:foreign_x000D_
#spos:1_x000D_
#srcs:1_x000D_
#comment:0_x000D_
#events:1_x000D_
#kids:1_x000D_
lived:?ENSURREWANDSWO,ENSURREW.CLAND_x000D_
issue:_x000D_
.recs:Birth,Marriage,Death_x000D_
.imm?:no_x000D_
..Spo:WILLIAM BUDD</t>
        </r>
      </text>
    </comment>
    <comment ref="T1894" authorId="0" shapeId="0" xr:uid="{FF4DC3CB-54D2-4414-8105-8CC3C76CFB2C}">
      <text>
        <r>
          <rPr>
            <sz val="9"/>
            <color indexed="81"/>
            <rFont val="Tahoma"/>
            <family val="2"/>
          </rPr>
          <t>Mrs. AGNES SAUNDERS_x000D_
http://yeinfo.com/family/I09065791.html_x000D_
https://www.google.com/search?q=AGNES+SAUNDERS+1452+1485+SAUNDERS_x000D_
.born: 1452    -          Charlwood (Surrey) England_x000D_
.died: 14850107-          Charlwood (Surrey) England, age:33y 0m 6d, _x000D_
.bapt: 1785GE_x000D_
.will: 2004MO_x000D_
.obit: 1890OH_x000D_
.bury: 1850IL _x000D_
.wpbt: 1826PA_x000D_
.anc#:double ancestor_x000D_
citiz:foreign_x000D_
#spos:1_x000D_
#srcs:1_x000D_
#comment:0_x000D_
#events:1_x000D_
#kids:1_x000D_
lived:ENSURRECHARLWO_x000D_
issue:_x000D_
.recs:Birth,Marriage,Death_x000D_
.imm?:no_x000D_
..Spo:RICHARD OSWELL SAUNDERS</t>
        </r>
      </text>
    </comment>
    <comment ref="Q1896" authorId="0" shapeId="0" xr:uid="{1C5831F7-2798-459A-A0CA-70472F778987}">
      <text>
        <r>
          <rPr>
            <sz val="9"/>
            <color indexed="81"/>
            <rFont val="Tahoma"/>
            <family val="2"/>
          </rPr>
          <t>RICHARD WRIGHT BUDD Sr._x000D_
http://yeinfo.com/family/I09020696.html_x000D_
https://www.google.com/search?q=RICHARD+WRIGHT+BUDD+1528+1550+MARGARET_x000D_
.born: 15280911-          Westham (Sussex) England_x000D_
.died: 1550    -1618      Westham (Sussex) England, age:21y 3m 21d, _x000D_
.bapt: 1785GE_x000D_
.will: 2004MO_x000D_
.obit: 1890OH_x000D_
.bury: 1850IL _x000D_
.wpbt: 1826PA_x000D_
.anc#:double ancestor_x000D_
citiz:foreign_x000D_
#spos:1_x000D_
#srcs:1_x000D_
#comment:0_x000D_
#events:1_x000D_
#kids:1_x000D_
lived:ENSUSSEWESTHAM_x000D_
issue:_x000D_
.recs:Birth,Marriage,Death_x000D_
.imm?:no_x000D_
..Spo:MARGARET SYMONDS</t>
        </r>
      </text>
    </comment>
    <comment ref="S1898" authorId="0" shapeId="0" xr:uid="{EA00E460-FBB8-40B1-976F-DDD0BBF8048D}">
      <text>
        <r>
          <rPr>
            <sz val="9"/>
            <color indexed="81"/>
            <rFont val="Tahoma"/>
            <family val="2"/>
          </rPr>
          <t>THOMAS WRIGHT_x000D_
http://yeinfo.com/family/I09065674.html_x000D_
https://www.google.com/search?q=THOMAS+WRIGHT+1476+1550+MARGARET_x000D_
.born: 1476    -          London (Middlesex) England_x000D_
.died:c1550    -          London (Middlesex) England, age:74y 0m 0d, _x000D_
.bapt: 1785GE_x000D_
.will: 2004MO_x000D_
.obit: 1890OH_x000D_
.bury: 1850IL _x000D_
.wpbt: 1826PA_x000D_
.anc#:double ancestor_x000D_
citiz:foreign_x000D_
#spos:1_x000D_
#srcs:1_x000D_
#comment:0_x000D_
#events:1_x000D_
#kids:1_x000D_
lived:ENMIDDLLONDON_x000D_
issue:_x000D_
.recs:Birth,Marriage,Death_x000D_
.imm?:no_x000D_
..Spo:MARGARET LECHE</t>
        </r>
      </text>
    </comment>
    <comment ref="R1900" authorId="0" shapeId="0" xr:uid="{EAD664ED-1015-407E-926C-8718B8FB7B73}">
      <text>
        <r>
          <rPr>
            <sz val="9"/>
            <color indexed="81"/>
            <rFont val="Tahoma"/>
            <family val="2"/>
          </rPr>
          <t>ELIZABETH WRIGHT_x000D_
http://yeinfo.com/family/I09041393.html_x000D_
https://www.google.com/search?q=ELIZABETH+WRIGHT+1504+1575+BUDD_x000D_
.born:c1504    -          London (Middlesex) England_x000D_
.died:c1575    -          England, age:71y 0m 0d, _x000D_
.bapt: 1785GE_x000D_
.will: 2004MO_x000D_
.obit: 1890OH_x000D_
.bury: 1850IL _x000D_
.wpbt: 1826PA_x000D_
.anc#:double ancestor_x000D_
citiz:foreign_x000D_
#spos:1_x000D_
#srcs:1_x000D_
#comment:0_x000D_
#events:1_x000D_
#kids:1_x000D_
lived:ENMIDDLLONDON_x000D_
issue:_x000D_
.recs:Birth,Marriage,Death_x000D_
.imm?:no_x000D_
..Spo:NICHOLAS BUDD</t>
        </r>
      </text>
    </comment>
    <comment ref="T1902" authorId="0" shapeId="0" xr:uid="{AAFB76C2-5E43-45D2-BFC6-F15C5F7F0F9C}">
      <text>
        <r>
          <rPr>
            <sz val="9"/>
            <color indexed="81"/>
            <rFont val="Tahoma"/>
            <family val="2"/>
          </rPr>
          <t>JOHN LECHE_x000D_
http://yeinfo.com/family/I09065784.html_x000D_
https://www.google.com/search?q=JOHN+LECHE+1449+1475+MARGARET_x000D_
.born: 1449    -         ?England_x000D_
.died: 1475    -1539     ?England, age:26y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..Spo:MARGARET MAINWARING</t>
        </r>
      </text>
    </comment>
    <comment ref="S1904" authorId="0" shapeId="0" xr:uid="{350BDC58-A8F0-4C4A-95DC-F83D33EFB66B}">
      <text>
        <r>
          <rPr>
            <sz val="9"/>
            <color indexed="81"/>
            <rFont val="Tahoma"/>
            <family val="2"/>
          </rPr>
          <t>MARGARET LECHE_x000D_
http://yeinfo.com/family/I09065656.html_x000D_
https://www.google.com/search?q=MARGARET+LECHE+1475+1552+WRIGHT_x000D_
.born: 1475    -          London (Middlesex) England_x000D_
.died: 1552    -         ?London (Middlesex) England, age:77y 0m 0d, _x000D_
.bapt: 1785GE_x000D_
.will: 2004MO_x000D_
.obit: 1890OH_x000D_
.bury: 1850IL _x000D_
.wpbt: 1826PA_x000D_
.anc#:double ancestor_x000D_
citiz:foreign_x000D_
#spos:1_x000D_
#srcs:1_x000D_
#comment:0_x000D_
#events:1_x000D_
#kids:1_x000D_
lived:ENMIDDLLONDON_x000D_
issue:_x000D_
.recs:Birth,Marriage,Death_x000D_
.imm?:no_x000D_
..Spo:THOMAS WRIGHT</t>
        </r>
      </text>
    </comment>
    <comment ref="T1906" authorId="0" shapeId="0" xr:uid="{F5E780EC-4A3E-452A-8B91-F14FA962B2F1}">
      <text>
        <r>
          <rPr>
            <sz val="9"/>
            <color indexed="81"/>
            <rFont val="Tahoma"/>
            <family val="2"/>
          </rPr>
          <t>MARGARET MAINWARING_x000D_
http://yeinfo.com/family/I09065788.html_x000D_
https://www.google.com/search?q=MARGARET+MAINWARING+1455+1475+LECHE_x000D_
.born:?1455    -         ?England_x000D_
.died: 1475    -1545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..Spo:JOHN LECHE</t>
        </r>
      </text>
    </comment>
    <comment ref="P1908" authorId="0" shapeId="0" xr:uid="{1C97C743-5264-4956-B73D-0B19ED822232}">
      <text>
        <r>
          <rPr>
            <sz val="9"/>
            <color indexed="81"/>
            <rFont val="Tahoma"/>
            <family val="2"/>
          </rPr>
          <t>THOMAS BUDD_x000D_
http://yeinfo.com/family/I09010348.html_x000D_
https://www.google.com/search?q=THOMAS+BUDD+1550+1609+MARGARET_x000D_
.born: 15500911-          Westham (Sussex) England_x000D_
.died: 16090424-          London (Middlesex) England, age:58y 7m 13d, _x000D_
.bapt: 1785GE_x000D_
.will: 2004MO_x000D_
.obit: 1890OH_x000D_
.bury: 1850IL _x000D_
.wpbt: 1826PA_x000D_
.anc#:double ancestor_x000D_
citiz:foreign_x000D_
#spos:1_x000D_
#srcs:2_x000D_
#comment:1_x000D_
#events:1_x000D_
#kids:6_x000D_
lived:ENMIDDLLONDON,ENSURREWEYBRID,ENSUSSEWESTHAM_x000D_
issue:_x000D_
.recs:Birth,Marriage,Death_x000D_
.imm?:no_x000D_
..Spo:MARGARET WEST</t>
        </r>
      </text>
    </comment>
    <comment ref="R1910" authorId="0" shapeId="0" xr:uid="{F9C44FFD-8E92-46A0-8C92-59D2458F7290}">
      <text>
        <r>
          <rPr>
            <sz val="9"/>
            <color indexed="81"/>
            <rFont val="Tahoma"/>
            <family val="2"/>
          </rPr>
          <t>THOMAS SYMONDS_x000D_
http://yeinfo.com/family/I09041394.html_x000D_
https://www.google.com/search?q=THOMAS+SYMONDS+1500+1532+{_?_}_x000D_
.born: 1500    -          London (Middlesex) England_x000D_
.died: 1532    -1590     ?England, age:32y 0m 0d, _x000D_
.bapt: 1785GE_x000D_
.will: 2004MO_x000D_
.obit: 1890OH_x000D_
.bury: 1850IL _x000D_
.wpbt: 1826PA_x000D_
.anc#:double ancestor_x000D_
citiz:foreign_x000D_
#spos:1_x000D_
#srcs:1_x000D_
#comment:0_x000D_
#events:1_x000D_
#kids:1_x000D_
lived:ENMIDDLLONDON_x000D_
issue:_x000D_
.recs:Birth,Marriage,Death_x000D_
.imm?:no_x000D_
..Spo:{_?_} SYMONDS</t>
        </r>
      </text>
    </comment>
    <comment ref="Q1912" authorId="0" shapeId="0" xr:uid="{FD0CC4C7-40D2-477C-BF97-81FCA16CA750}">
      <text>
        <r>
          <rPr>
            <sz val="9"/>
            <color indexed="81"/>
            <rFont val="Tahoma"/>
            <family val="2"/>
          </rPr>
          <t>MARGARET SYMONDS_x000D_
http://yeinfo.com/family/I09020697.html_x000D_
https://www.google.com/search?q=MARGARET+SYMONDS+1532+1556+BUDD_x000D_
.born: 1532    -          West Clandon (Surrey) England_x000D_
.died: 1556    -          Surrey county England, age:24y 0m 0d, _x000D_
.bapt: 1785GE_x000D_
.will: 2004MO_x000D_
.obit: 1890OH_x000D_
.bury: 1850IL _x000D_
.wpbt: 1826PA_x000D_
.anc#:double ancestor_x000D_
citiz:foreign_x000D_
#spos:1_x000D_
#srcs:1_x000D_
#comment:0_x000D_
#events:1_x000D_
#kids:1_x000D_
lived:ENSURREW.CLAND_x000D_
issue:_x000D_
.recs:Birth,Marriage,Death_x000D_
.imm?:no_x000D_
..Spo:RICHARD WRIGHT BUDD</t>
        </r>
      </text>
    </comment>
    <comment ref="R1914" authorId="0" shapeId="0" xr:uid="{849E4116-0AEF-430B-B01D-7D3C0B57A500}">
      <text>
        <r>
          <rPr>
            <sz val="9"/>
            <color indexed="81"/>
            <rFont val="Tahoma"/>
            <family val="2"/>
          </rPr>
          <t>Mrs. {_?_} SYMONDS_x000D_
http://yeinfo.com/family/I09041395.html_x000D_
https://www.google.com/search?q={_?_}+SYMONDS+1500+1532+SYMONDS_x000D_
.born:?1500    -         ?England_x000D_
.died: 1532    -1590     ?England, age:32y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..Spo:THOMAS SYMONDS</t>
        </r>
      </text>
    </comment>
    <comment ref="O1916" authorId="0" shapeId="0" xr:uid="{C2B2F067-2951-4DB7-B8EE-B6BC69D7A1CD}">
      <text>
        <r>
          <rPr>
            <sz val="9"/>
            <color indexed="81"/>
            <rFont val="Tahoma"/>
            <family val="2"/>
          </rPr>
          <t>JOHN BUDD Sr._x000D_
http://yeinfo.com/family/I09005174.html_x000D_
https://www.google.com/search?q=JOHN+BUDD+1599+1670+KATHERINE_x000D_
.born: 15991121-         ?_x000D_
.died: 16701026-         ?, age:70y 11m 5d, _x000D_
.bapt: 1785GE_x000D_
.will: 2004MO_x000D_
.obit: 1890OH_x000D_
.bury: 1850IL _x000D_
.wpbt: 1826PA_x000D_
.anc#:double ancestor_x000D_
citiz:US born_x000D_
#spos:1_x000D_
#srcs:3_x000D_
#comment:0_x000D_
#events:1_x000D_
#kids:1_x000D_
lived:ENSUSSECHICHES_x000D_
issue:_x000D_
.recs:Birth,Marriage,Death_x000D_
.imm?:no_x000D_
..Spo:KATHERINE BUTCHER</t>
        </r>
      </text>
    </comment>
    <comment ref="P1918" authorId="0" shapeId="0" xr:uid="{03122593-2126-4E4A-8691-1E0C3D5F5898}">
      <text>
        <r>
          <rPr>
            <sz val="9"/>
            <color indexed="81"/>
            <rFont val="Tahoma"/>
            <family val="2"/>
          </rPr>
          <t>MARGARET WEST_x000D_
http://yeinfo.com/family/I09010349.html_x000D_
https://www.google.com/search?q=MARGARET+WEST+1555+1630+BUDD_x000D_
.born:?1555    -          Weybridge (Surrey) England_x000D_
.died: 1630    -          Surrey county England, age:75y 0m 0d, _x000D_
.bapt: 1785GE_x000D_
.will: 2004MO_x000D_
.obit: 1890OH_x000D_
.bury: 1850IL _x000D_
.wpbt: 1826PA_x000D_
.anc#:double ancestor_x000D_
citiz:foreign_x000D_
#spos:1_x000D_
#srcs:2_x000D_
#comment:1_x000D_
#events:1_x000D_
#kids:6_x000D_
lived:ENSURREWEYBRID_x000D_
issue:_x000D_
.recs:Birth,Marriage,Death_x000D_
.imm?:no_x000D_
..Spo:THOMAS BUDD</t>
        </r>
      </text>
    </comment>
    <comment ref="N1920" authorId="0" shapeId="0" xr:uid="{5AB5FF23-219C-49AA-BC57-1D78187D8437}">
      <text>
        <r>
          <rPr>
            <sz val="9"/>
            <color indexed="81"/>
            <rFont val="Tahoma"/>
            <family val="2"/>
          </rPr>
          <t>ELIZABETH BUDD_x000D_
http://yeinfo.com/family/I09002587.html_x000D_
https://www.google.com/search?q=ELIZABETH+BUDD+1641+1661+HOYT_x000D_
.born: 1641    -         ?_x000D_
.died: 1661    -1731      Eastchester (Westchester) New York, age:20y 0m 0d, _x000D_
.bapt: 1785GE_x000D_
.will: 2004MO_x000D_
.obit: 1890OH_x000D_
.bury: 1850IL _x000D_
.wpbt: 1826PA_x000D_
.anc#:double ancestor_x000D_
citiz:US born_x000D_
#spos:1_x000D_
#srcs:6_x000D_
#comment:0_x000D_
#events:1_x000D_
#kids:1_x000D_
lived:CTFAIRDFAIRFIE,NYWESTCEASTCHE_x000D_
issue:_x000D_
.recs:Birth,Marriage,Death_x000D_
.imm?:no_x000D_
..Spo:MOSES HOYT</t>
        </r>
      </text>
    </comment>
    <comment ref="P1922" authorId="0" shapeId="0" xr:uid="{CED5ACEC-B4A7-4663-80B8-495ADDF96528}">
      <text>
        <r>
          <rPr>
            <sz val="9"/>
            <color indexed="81"/>
            <rFont val="Tahoma"/>
            <family val="2"/>
          </rPr>
          <t>RICHARD BUTCHER_x000D_
http://yeinfo.com/family/I09010350.html_x000D_
https://www.google.com/search?q=RICHARD+BUTCHER+1550+1601+KATHERINE_x000D_
.born:?1550    -          Chichester (Sussex) England_x000D_
.died: 1601    -1640     ?England, age:51y 0m 0d, _x000D_
.bapt: 1785GE_x000D_
.will: 2004MO_x000D_
.obit: 1890OH_x000D_
.bury: 1850IL _x000D_
.wpbt: 1826PA_x000D_
.anc#:double ancestor_x000D_
citiz:foreign_x000D_
#spos:1_x000D_
#srcs:2_x000D_
#comment:1_x000D_
#events:1_x000D_
#kids:7_x000D_
lived:ENSUSSECHICHES_x000D_
issue:_x000D_
.recs:Birth,Marriage,Death_x000D_
.imm?:no_x000D_
..Spo:KATHERINE HARGRAVE</t>
        </r>
      </text>
    </comment>
    <comment ref="O1924" authorId="0" shapeId="0" xr:uid="{243E6266-674A-4D06-90B5-E58FDEFCAAE4}">
      <text>
        <r>
          <rPr>
            <sz val="9"/>
            <color indexed="81"/>
            <rFont val="Tahoma"/>
            <family val="2"/>
          </rPr>
          <t>KATHERINE BUTCHER_x000D_
http://yeinfo.com/family/I09005175.html_x000D_
https://www.google.com/search?q=KATHERINE+BUTCHER+1598+1674+BUDD_x000D_
.born: 15980924-         ?England_x000D_
.died: 16740513-          Eastchester (Westchester) New York, age:75y 7m 19d, _x000D_
.bapt: 1785GE_x000D_
.will: 2004MO_x000D_
.obit: 1890OH_x000D_
.bury: 1850IL _x000D_
.wpbt: 1826PA_x000D_
.anc#:double ancestor_x000D_
citiz:immigrant_x000D_
#spos:1_x000D_
#srcs:3_x000D_
#comment:0_x000D_
#events:1_x000D_
#kids:1_x000D_
lived:?EN,ENSUSSECHICHES,ENWORCSBEWDLEY,NYWESTCEASTCHE_x000D_
issue:_x000D_
.recs:Birth,Marriage,Death_x000D_
.imm?:immigrant_x000D_
..Spo:JOHN BUDD</t>
        </r>
      </text>
    </comment>
    <comment ref="P1926" authorId="0" shapeId="0" xr:uid="{3B02880C-CE1D-4EF2-8F3F-EC73EEB1DC75}">
      <text>
        <r>
          <rPr>
            <sz val="9"/>
            <color indexed="81"/>
            <rFont val="Tahoma"/>
            <family val="2"/>
          </rPr>
          <t>KATHERINE HARGRAVE_x000D_
http://yeinfo.com/family/I09010351.html_x000D_
https://www.google.com/search?q=KATHERINE+HARGRAVE+1561+1601+BUTCHER_x000D_
.born:c156104  -          London (Middlesex) England_x000D_
.died: 1601    -1651     ?England, age:39y 9m 0d, _x000D_
.bapt: 1785GE_x000D_
.will: 2004MO_x000D_
.obit: 1890OH_x000D_
.bury: 1850IL _x000D_
.wpbt: 1826PA_x000D_
.anc#:double ancestor_x000D_
citiz:foreign_x000D_
#spos:1_x000D_
#srcs:2_x000D_
#comment:1_x000D_
#events:1_x000D_
#kids:7_x000D_
lived:?ENSUSSECHICHES,ENMIDDLLONDON_x000D_
issue:_x000D_
.recs:Birth,Marriage,Death_x000D_
.imm?:no_x000D_
..Spo:RICHARD BUTCHER</t>
        </r>
      </text>
    </comment>
    <comment ref="K1928" authorId="0" shapeId="0" xr:uid="{8BF9EA31-F0C9-4A0F-8687-073C4BD9B7E9}">
      <text>
        <r>
          <rPr>
            <sz val="9"/>
            <color indexed="81"/>
            <rFont val="Tahoma"/>
            <family val="2"/>
          </rPr>
          <t>MARTHA FOWLER_x000D_
http://yeinfo.com/family/I09000323.html_x000D_
https://www.google.com/search?q=MARTHA+FOWLER+1704+1737+IRELAND_x000D_
.born: 1704    -         ?Westchester county New York_x000D_
.died: 1737    -1794     ?Westchester county New York, age:33y 0m 0d, _x000D_
.bapt: 1785GE_x000D_
.will: 2004MO_x000D_
.obit: 1890OH_x000D_
.bury: 1850IL _x000D_
.wpbt: 1826PA_x000D_
.anc#:double ancestor_x000D_
citiz:US born_x000D_
#spos:1_x000D_
#srcs:3_x000D_
#comment:1_x000D_
#events:3_x000D_
#kids:3_x000D_
lived:NYWESTCNORTH C_x000D_
issue:Born before Parents Married_x000D_
.recs:Birth,Marriage,Will Written,Death_x000D_
.imm?:no_x000D_
..Spo:ADAM IRELAND</t>
        </r>
      </text>
    </comment>
    <comment ref="Q1930" authorId="0" shapeId="0" xr:uid="{B7C5107D-D507-4FDF-B237-FE1648CADB22}">
      <text>
        <r>
          <rPr>
            <sz val="9"/>
            <color indexed="81"/>
            <rFont val="Tahoma"/>
            <family val="2"/>
          </rPr>
          <t>ROBERT DRAKE_x000D_
http://yeinfo.com/family/I09020704.html_x000D_
https://www.google.com/search?q=ROBERT+DRAKE+1528+1600+ELIZABETH_x000D_
.born: 1528    -         ?Devon county England_x000D_
.died: 1600    -         ?England, age:72y 0m 0d, _x000D_
.bapt: 1785GE_x000D_
.will: 2004MO_x000D_
.obit: 1890OH_x000D_
.bury: 1850IL _x000D_
.wpbt: 1826PA_x000D_
.anc#:double ancestor_x000D_
citiz:foreign_x000D_
#spos:1_x000D_
#srcs:1_x000D_
#comment:0_x000D_
#events:1_x000D_
#kids:1_x000D_
lived:?ENDEVON_x000D_
issue:_x000D_
.recs:Birth,Marriage,Death_x000D_
.imm?:no_x000D_
..Spo:ELIZABETH PRIDEAUX</t>
        </r>
      </text>
    </comment>
    <comment ref="P1932" authorId="0" shapeId="0" xr:uid="{4857C8D7-4248-4E20-80B8-CECAEF1F2FB7}">
      <text>
        <r>
          <rPr>
            <sz val="9"/>
            <color indexed="81"/>
            <rFont val="Tahoma"/>
            <family val="2"/>
          </rPr>
          <t>WILLIAM DRAKE_x000D_
http://yeinfo.com/family/I09010352.html_x000D_
https://www.google.com/search?q=WILLIAM+DRAKE+1564+1625+PHILLIPPA_x000D_
.born: 1564    -          Devon county England_x000D_
.died: 16250512-          Devon county England, age:61y 4m 11d, _x000D_
.bapt: 1785GE_x000D_
.will: 2004MO_x000D_
.obit: 1890OH_x000D_
.bury: 1850IL _x000D_
.wpbt: 1826PA_x000D_
.anc#:double ancestor_x000D_
citiz:foreign_x000D_
#spos:1_x000D_
#srcs:1_x000D_
#comment:0_x000D_
#events:1_x000D_
#kids:1_x000D_
lived:ENDEVON_x000D_
issue:_x000D_
.recs:Birth,Marriage,Death_x000D_
.imm?:no_x000D_
..Spo:PHILLIPPA DENNIS</t>
        </r>
      </text>
    </comment>
    <comment ref="Q1934" authorId="0" shapeId="0" xr:uid="{ADC4D11C-53B4-459E-BA20-C94E236D7FEA}">
      <text>
        <r>
          <rPr>
            <sz val="9"/>
            <color indexed="81"/>
            <rFont val="Tahoma"/>
            <family val="2"/>
          </rPr>
          <t>ELIZABETH PRIDEAUX_x000D_
http://yeinfo.com/family/I09020705.html_x000D_
https://www.google.com/search?q=ELIZABETH+PRIDEAUX+1523+1572+DRAKE_x000D_
.born: 1523    -         ?England_x000D_
.died: 1572    -         ?England, age:49y 0m 0d, _x000D_
.bapt: 1785GE_x000D_
.will: 2004MO_x000D_
.obit: 1890OH_x000D_
.bury: 1850IL _x000D_
.wpbt: 1826PA_x000D_
.anc#:double ancestor_x000D_
citiz:foreign_x000D_
#spos:1_x000D_
#srcs:1_x000D_
#comment:0_x000D_
#events:1_x000D_
#kids:1_x000D_
lived:?ENDEVON_x000D_
issue:_x000D_
.recs:Birth,Marriage,Death_x000D_
.imm?:no_x000D_
..Spo:ROBERT DRAKE</t>
        </r>
      </text>
    </comment>
    <comment ref="O1936" authorId="0" shapeId="0" xr:uid="{30F371B4-06AC-4B24-9053-5EAEE993EDFA}">
      <text>
        <r>
          <rPr>
            <sz val="9"/>
            <color indexed="81"/>
            <rFont val="Tahoma"/>
            <family val="2"/>
          </rPr>
          <t>JOHN DRAKE Sr._x000D_
http://yeinfo.com/family/I09005176.html_x000D_
https://www.google.com/search?q=JOHN+DRAKE+1585+1659+ELIZABETH_x000D_
.born: 1585    -         ?England_x000D_
.died: 16590817-         ?Hartford county Connecticut, age:74y 7m 16d, _x000D_
.bapt: 1785GE_x000D_
.will: 2004MO_x000D_
.obit: 1890OH_x000D_
.bury: 1850IL Palisado Cemetery_x000D_
.wpbt: 1826PA_x000D_
.anc#:double ancestor_x000D_
citiz:immigrant_x000D_
#spos:1_x000D_
#srcs:1_x000D_
#comment:0_x000D_
#events:2_x000D_
#kids:1_x000D_
lived:?ENNORTA,CTHARTFWINDSOR_x000D_
issue:_x000D_
.recs:Birth,Marriage,Death,Interment/Burial_x000D_
.imm?:immigrant_x000D_
..Spo:ELIZABETH ROGERS</t>
        </r>
      </text>
    </comment>
    <comment ref="Q1938" authorId="0" shapeId="0" xr:uid="{8B5D8FD8-8230-4A1E-B3B5-8344A794CF68}">
      <text>
        <r>
          <rPr>
            <sz val="9"/>
            <color indexed="81"/>
            <rFont val="Tahoma"/>
            <family val="2"/>
          </rPr>
          <t>ROBERT DENNIS_x000D_
http://yeinfo.com/family/I09020706.html_x000D_
https://www.google.com/search?q=ROBERT+DENNIS+1540+1592+{_?_}_x000D_
.born:?1540    -         ?England_x000D_
.died: 15920904-         ?Devon county England, age:52y 8m 3d, _x000D_
.bapt: 1785GE_x000D_
.will: 2004MO_x000D_
.obit: 1890OH_x000D_
.bury: 1850IL St.John the Baptist Churchyard_x000D_
.wpbt: 1826PA_x000D_
.anc#:double ancestor_x000D_
citiz:foreign_x000D_
#spos:1_x000D_
#srcs:1_x000D_
#comment:0_x000D_
#events:2_x000D_
#kids:1_x000D_
lived:?EN,ENDEVONHOLCBUR_x000D_
issue:_x000D_
.recs:Birth,Marriage,Death,Interment/Burial_x000D_
.imm?:no_x000D_
..Spo:{_?_} DENNIS</t>
        </r>
      </text>
    </comment>
    <comment ref="P1940" authorId="0" shapeId="0" xr:uid="{3D241D6E-F720-4C49-8CA7-0126F6DAA9D0}">
      <text>
        <r>
          <rPr>
            <sz val="9"/>
            <color indexed="81"/>
            <rFont val="Tahoma"/>
            <family val="2"/>
          </rPr>
          <t>PHILLIPPA DENNIS_x000D_
http://yeinfo.com/family/I09010353.html_x000D_
https://www.google.com/search?q=PHILLIPPA+DENNIS+1561+1655+DRAKE_x000D_
.born: 15610326-          Holcombe Burnell (Devon) England_x000D_
.died: 16551005-          Southleigh (Devon) England, age:94y 6m 9d, _x000D_
.bapt: 1785GE_x000D_
.will: 2004MO_x000D_
.obit: 1890OH_x000D_
.bury: 1850IL _x000D_
.wpbt: 1826PA_x000D_
.anc#:double ancestor_x000D_
citiz:foreign_x000D_
#spos:1_x000D_
#srcs:1_x000D_
#comment:0_x000D_
#events:1_x000D_
#kids:1_x000D_
lived:ENDEVONHOLCBUR,ENDEVONSOUTHLE_x000D_
issue:_x000D_
.recs:Birth,Marriage,Death_x000D_
.imm?:no_x000D_
..Spo:WILLIAM DRAKE</t>
        </r>
      </text>
    </comment>
    <comment ref="Q1942" authorId="0" shapeId="0" xr:uid="{D550E017-4D57-44B0-8B6F-2FD5222C5A0A}">
      <text>
        <r>
          <rPr>
            <sz val="9"/>
            <color indexed="81"/>
            <rFont val="Tahoma"/>
            <family val="2"/>
          </rPr>
          <t>Mrs. {_?_} DENNIS_x000D_
http://yeinfo.com/family/I09020707.html_x000D_
https://www.google.com/search?q={_?_}+DENNIS+1540+1561+DENNIS_x000D_
.born:?1540    -         ?England_x000D_
.died: 1561    -1630     ?Devon county England, age:21y 0m 0d, _x000D_
.bapt: 1785GE_x000D_
.will: 2004MO_x000D_
.obit: 1890OH_x000D_
.bury: 1850IL _x000D_
.wpbt: 1826PA_x000D_
.anc#:double ancestor_x000D_
citiz:foreign_x000D_
#spos:1_x000D_
#srcs:1_x000D_
#comment:0_x000D_
#events:1_x000D_
#kids:1_x000D_
lived:?ENDEVON_x000D_
issue:_x000D_
.recs:Birth,Marriage,Death_x000D_
.imm?:no_x000D_
..Spo:ROBERT DENNIS</t>
        </r>
      </text>
    </comment>
    <comment ref="N1944" authorId="0" shapeId="0" xr:uid="{A6F4BBD2-43F0-480F-B415-0DDE6BEF2447}">
      <text>
        <r>
          <rPr>
            <sz val="9"/>
            <color indexed="81"/>
            <rFont val="Tahoma"/>
            <family val="2"/>
          </rPr>
          <t>SAMUEL DRAKE_x000D_
http://yeinfo.com/family/I09002588.html_x000D_
https://www.google.com/search?q=SAMUEL+DRAKE+1623+1686+ANNE_x000D_
.born: 1623    -          England_x000D_
.died: 16860510-          Eastchester (Westchester) New York, age:63y 4m 9d, _x000D_
.bapt: 1785GE_x000D_
.will: 2004MO_x000D_
.obit: 1890OH_x000D_
.bury: 1850IL _x000D_
.wpbt: 1826PA_x000D_
.anc#:double ancestor_x000D_
citiz:immigrant_x000D_
#spos:1_x000D_
#srcs:1_x000D_
#comment:0_x000D_
#events:1_x000D_
#kids:1_x000D_
lived:CTFAIRD,EN,NYWESTCEASTCHE_x000D_
issue:_x000D_
.recs:Birth,Marriage,Death_x000D_
.imm?:immigrant_x000D_
..Spo:ANNE BARLOW</t>
        </r>
      </text>
    </comment>
    <comment ref="O1946" authorId="0" shapeId="0" xr:uid="{1C20B019-E4F6-469D-8446-7E50A8159621}">
      <text>
        <r>
          <rPr>
            <sz val="9"/>
            <color indexed="81"/>
            <rFont val="Tahoma"/>
            <family val="2"/>
          </rPr>
          <t>ELIZABETH ROGERS_x000D_
http://yeinfo.com/family/I09005177.html_x000D_
https://www.google.com/search?q=ELIZABETH+ROGERS+1600+1681+DRAKE_x000D_
.born: 1600    -          Watford (Northamptonshire) England_x000D_
.died: 16811007-         ?Hartford county Connecticut, age:81y 9m 6d, _x000D_
.bapt: 1785GE_x000D_
.will: 2004MO_x000D_
.obit: 1890OH_x000D_
.bury: 1850IL Palisado Cemetery_x000D_
.wpbt: 1826PA_x000D_
.anc#:double ancestor_x000D_
citiz:immigrant_x000D_
#spos:1_x000D_
#srcs:1_x000D_
#comment:0_x000D_
#events:2_x000D_
#kids:1_x000D_
lived:CTHARTFWINDSOR,ENNORTAWATFORD_x000D_
issue:_x000D_
.recs:Birth,Marriage,Death,Interment/Burial_x000D_
.imm?:immigrant_x000D_
..Spo:JOHN DRAKE</t>
        </r>
      </text>
    </comment>
    <comment ref="M1948" authorId="0" shapeId="0" xr:uid="{58F4C472-0C4F-4188-BCEB-D3D19283EE59}">
      <text>
        <r>
          <rPr>
            <sz val="9"/>
            <color indexed="81"/>
            <rFont val="Tahoma"/>
            <family val="2"/>
          </rPr>
          <t>JOSEPH DRAKE_x000D_
http://yeinfo.com/family/I09001294.html_x000D_
https://www.google.com/search?q=JOSEPH+DRAKE+1663+1731+MARY+SARAH_x000D_
.born: 1663    -          Eastchester (Westchester) New York_x000D_
.died: 17310310-          Eastchester (Westchester) New York, age:68y 2m 9d, _x000D_
.bapt: 1785GE_x000D_
.will: 2004MO_x000D_
.obit: 1890OH_x000D_
.bury: 1850IL _x000D_
.wpbt: 1826PA_x000D_
.anc#:double ancestor_x000D_
citiz:US born_x000D_
#spos:1_x000D_
#srcs:1_x000D_
#comment:0_x000D_
#events:1_x000D_
#kids:1_x000D_
lived:NYWESTCEASTCHE_x000D_
issue:_x000D_
.recs:Birth,Marriage,Death_x000D_
.imm?:no_x000D_
..Spo:MARY SARAH SHUTE</t>
        </r>
      </text>
    </comment>
    <comment ref="T1950" authorId="0" shapeId="0" xr:uid="{0C7FF58C-A403-40F0-8771-73A8553072A3}">
      <text>
        <r>
          <rPr>
            <sz val="9"/>
            <color indexed="81"/>
            <rFont val="Tahoma"/>
            <family val="2"/>
          </rPr>
          <t>ALEXANDER BARLOW_x000D_
http://yeinfo.com/family/I09066778.html_x000D_
https://www.google.com/search?q=ALEXANDER+BARLOW+1414+1466+ELIZABETH_x000D_
.born: 1414    -          Lancashire county England_x000D_
.died: 1466    -          Lancashire county England, age:52y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..Spo:ELIZABETH ASHTON</t>
        </r>
      </text>
    </comment>
    <comment ref="S1952" authorId="0" shapeId="0" xr:uid="{C90FE59F-233B-4C94-9930-C8651FFCBB9B}">
      <text>
        <r>
          <rPr>
            <sz val="9"/>
            <color indexed="81"/>
            <rFont val="Tahoma"/>
            <family val="2"/>
          </rPr>
          <t>ROGER BARLOW_x000D_
http://yeinfo.com/family/I09066779.html_x000D_
https://www.google.com/search?q=ROGER+BARLOW+1461+1529+CATHERINE_x000D_
.born: 1461    -          Lancashire county England_x000D_
.died: 1529    -         ?England, age:68y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..Spo:CATHERINE PRESTWICH</t>
        </r>
      </text>
    </comment>
    <comment ref="T1954" authorId="0" shapeId="0" xr:uid="{4A83BC9E-C832-436E-9069-0A5F84DEBF2F}">
      <text>
        <r>
          <rPr>
            <sz val="9"/>
            <color indexed="81"/>
            <rFont val="Tahoma"/>
            <family val="2"/>
          </rPr>
          <t>ELIZABETH ASHTON_x000D_
http://yeinfo.com/family/I09066772.html_x000D_
https://www.google.com/search?q=ELIZABETH+ASHTON+1428+1465+BARLOW_x000D_
.born: 1428    -          Lancashire county England_x000D_
.died: 1465    -          Derbyshire county England, age:37y 0m 0d, _x000D_
.bapt: 1785GE_x000D_
.will: 2004MO_x000D_
.obit: 1890OH_x000D_
.bury: 1850IL _x000D_
.wpbt: 1826PA_x000D_
.anc#:double ancestor_x000D_
citiz:foreign_x000D_
#spos:1_x000D_
#srcs:1_x000D_
#comment:0_x000D_
#events:1_x000D_
#kids:1_x000D_
lived:ENDERBS,ENLANCS_x000D_
issue:_x000D_
.recs:Birth,Marriage,Death_x000D_
.imm?:no_x000D_
..Spo:ALEXANDER BARLOW</t>
        </r>
      </text>
    </comment>
    <comment ref="R1956" authorId="0" shapeId="0" xr:uid="{6C6B803F-AE83-4A53-BE40-3B62E7477573}">
      <text>
        <r>
          <rPr>
            <sz val="9"/>
            <color indexed="81"/>
            <rFont val="Tahoma"/>
            <family val="2"/>
          </rPr>
          <t>ELLIS BARLOW_x000D_
http://yeinfo.com/family/I09041424.html_x000D_
https://www.google.com/search?q=ELLIS+BARLOW+1501+1521+ANNE_x000D_
.born:?1501    -         ?_x000D_
.died: 1521    -1586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issue:Died after Age 100,Spouse Age more than 30-Year Difference_x000D_
.recs:Birth,Marriage,Death_x000D_
.imm?:no_x000D_
..Spo:ANNE REDDISH</t>
        </r>
      </text>
    </comment>
    <comment ref="T1958" authorId="0" shapeId="0" xr:uid="{3A06B2FB-C560-4F51-910E-AC2018397205}">
      <text>
        <r>
          <rPr>
            <sz val="9"/>
            <color indexed="81"/>
            <rFont val="Tahoma"/>
            <family val="2"/>
          </rPr>
          <t>ELLIS PRESTWICH_x000D_
http://yeinfo.com/family/I09066826.html_x000D_
https://www.google.com/search?q=ELLIS+PRESTWICH+1437+1501+ISABELLA_x000D_
.born: 1437    -          Lancashire county England_x000D_
.died: 15010410-          Lancashire county England, age:64y 3m 9d,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..Spo:ISABELLA TYLDESLEY</t>
        </r>
      </text>
    </comment>
    <comment ref="S1960" authorId="0" shapeId="0" xr:uid="{E531AB40-88B2-42A7-9D15-0171BA85FB53}">
      <text>
        <r>
          <rPr>
            <sz val="9"/>
            <color indexed="81"/>
            <rFont val="Tahoma"/>
            <family val="2"/>
          </rPr>
          <t>CATHERINE PRESTWICH_x000D_
http://yeinfo.com/family/I09066827.html_x000D_
https://www.google.com/search?q=CATHERINE+PRESTWICH+1463+1525+BARLOW_x000D_
.born: 1463    -          Lancashire county England_x000D_
.died: 1525    -          Lancashire county England, age:62y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..Spo:ROGER BARLOW</t>
        </r>
      </text>
    </comment>
    <comment ref="V1962" authorId="0" shapeId="0" xr:uid="{B6C691D2-165D-47A3-92AE-060F7C6BCD50}">
      <text>
        <r>
          <rPr>
            <sz val="9"/>
            <color indexed="81"/>
            <rFont val="Tahoma"/>
            <family val="2"/>
          </rPr>
          <t>HUGH TYLDESLEY_x000D_
http://yeinfo.com/family/I09066839.html_x000D_
https://www.google.com/search?q=HUGH+TYLDESLEY+1370+1434+CECILIA_x000D_
.born: 1370    -          Manchester (Lancashire) England_x000D_
.died: 1434    -          Lancashire county England, age:64y 0m 0d, _x000D_
.bapt: 1785GE_x000D_
.will: 2004MO_x000D_
.obit: 1890OH_x000D_
.bury: 1850IL _x000D_
.wpbt: 1826PA_x000D_
.anc#:double ancestor_x000D_
citiz:foreign_x000D_
#spos:1_x000D_
#srcs:1_x000D_
#comment:1_x000D_
#events:1_x000D_
#kids:1_x000D_
lived:ENLANCSMANCHES_x000D_
issue:_x000D_
.recs:Birth,Marriage,Death_x000D_
.imm?:no_x000D_
..Spo:CECILIA ASHTON</t>
        </r>
      </text>
    </comment>
    <comment ref="U1964" authorId="0" shapeId="0" xr:uid="{EBCB1575-05C4-4082-A93F-0DAE6D105EFD}">
      <text>
        <r>
          <rPr>
            <sz val="9"/>
            <color indexed="81"/>
            <rFont val="Tahoma"/>
            <family val="2"/>
          </rPr>
          <t>THURSTON TYLDESLEY_x000D_
http://yeinfo.com/family/I09066840.html_x000D_
https://www.google.com/search?q=THURSTON+TYLDESLEY+1400+1441+MARY_x000D_
.born: 1400    -          Manchester (Lancashire) England_x000D_
.died: 1441    -1506      Manchester (Lancashire) England, age:41y 0m 0d, _x000D_
.bapt: 1785GE_x000D_
.will: 2004MO_x000D_
.obit: 1890OH_x000D_
.bury: 1850IL _x000D_
.wpbt: 1826PA_x000D_
.anc#:double ancestor_x000D_
citiz:foreign_x000D_
#spos:1_x000D_
#srcs:1_x000D_
#comment:0_x000D_
#events:1_x000D_
#kids:1_x000D_
lived:ENLANCSMANCHES_x000D_
issue:_x000D_
.recs:Birth,Marriage,Death_x000D_
.imm?:no_x000D_
..Spo:MARY SAVAGE</t>
        </r>
      </text>
    </comment>
    <comment ref="V1966" authorId="0" shapeId="0" xr:uid="{398B166E-8F55-462C-9E8A-3CEEAA46AF4C}">
      <text>
        <r>
          <rPr>
            <sz val="9"/>
            <color indexed="81"/>
            <rFont val="Tahoma"/>
            <family val="2"/>
          </rPr>
          <t>CECILIA ASHTON_x000D_
http://yeinfo.com/family/I09066771.html_x000D_
https://www.google.com/search?q=CECILIA+ASHTON+1372+1430+TYLDESLEY_x000D_
.born:?1372    -          Lancashire county England_x000D_
.died: 14300327-          Lancashire county England, age:58y 2m 26d, _x000D_
.bapt: 1785GE_x000D_
.will: 2004MO_x000D_
.obit: 1890OH_x000D_
.bury: 1850IL _x000D_
.wpbt: 1826PA_x000D_
.anc#:double ancestor_x000D_
citiz:foreign_x000D_
#spos:1_x000D_
#srcs:1_x000D_
#comment:1_x000D_
#events:1_x000D_
#kids:1_x000D_
lived:ENLANCS_x000D_
issue:_x000D_
.recs:Birth,Marriage,Death_x000D_
.imm?:no_x000D_
..Spo:HUGH TYLDESLEY</t>
        </r>
      </text>
    </comment>
    <comment ref="T1968" authorId="0" shapeId="0" xr:uid="{94F239CC-CFF9-4591-B0C5-0E5AC14525FD}">
      <text>
        <r>
          <rPr>
            <sz val="9"/>
            <color indexed="81"/>
            <rFont val="Tahoma"/>
            <family val="2"/>
          </rPr>
          <t>ISABELLA TYLDESLEY_x000D_
http://yeinfo.com/family/I09066841.html_x000D_
https://www.google.com/search?q=ISABELLA+TYLDESLEY+1441+1508+PRESTWICH_x000D_
.born: 1441    -          Lancashire county England_x000D_
.died: 1508    -          Lancashire county England, age:67y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..Spo:ELLIS PRESTWICH</t>
        </r>
      </text>
    </comment>
    <comment ref="U1970" authorId="0" shapeId="0" xr:uid="{7E8A27EC-760F-4955-B161-EB7A90404630}">
      <text>
        <r>
          <rPr>
            <sz val="9"/>
            <color indexed="81"/>
            <rFont val="Tahoma"/>
            <family val="2"/>
          </rPr>
          <t>MARY SAVAGE_x000D_
http://yeinfo.com/family/I09066831.html_x000D_
https://www.google.com/search?q=MARY+SAVAGE+1419+1460+TYLDESLEY_x000D_
.born: 1419    -          Manchester (Lancashire) England_x000D_
.died: 1460    -          Manchester (Lancashire) England, age:41y 0m 0d, _x000D_
.bapt: 1785GE_x000D_
.will: 2004MO_x000D_
.obit: 1890OH_x000D_
.bury: 1850IL _x000D_
.wpbt: 1826PA_x000D_
.anc#:double ancestor_x000D_
citiz:foreign_x000D_
#spos:1_x000D_
#srcs:1_x000D_
#comment:0_x000D_
#events:1_x000D_
#kids:1_x000D_
lived:ENLANCSMANCHES_x000D_
issue:_x000D_
.recs:Birth,Marriage,Death_x000D_
.imm?:no_x000D_
..Spo:THURSTON TYLDESLEY</t>
        </r>
      </text>
    </comment>
    <comment ref="Q1972" authorId="0" shapeId="0" xr:uid="{F4583FC3-3B5B-4D73-891C-5BFF50E606BF}">
      <text>
        <r>
          <rPr>
            <sz val="9"/>
            <color indexed="81"/>
            <rFont val="Tahoma"/>
            <family val="2"/>
          </rPr>
          <t>ALEXANDER BARLOW_x000D_
http://yeinfo.com/family/I09020712.html_x000D_
https://www.google.com/search?q=ALEXANDER+BARLOW+1506+1584+ELIZABETH_x000D_
.born: 1506    -          Lancashire county England_x000D_
.died: 15840826-          Lancashire county England, age:78y 7m 25d, _x000D_
.bapt: 1785GE_x000D_
.will: 2004MO_x000D_
.obit: 1890OH_x000D_
.bury: 1850IL _x000D_
.wpbt: 1826PA_x000D_
.anc#:double ancestor_x000D_
citiz:foreign_x000D_
#spos:1_x000D_
#srcs:1_x000D_
#comment:0_x000D_
#events:1_x000D_
#kids:1_x000D_
lived:ENLANCS_x000D_
issue:Born before Parents Married_x000D_
.recs:Birth,Marriage,Death_x000D_
.imm?:no_x000D_
..Spo:ELIZABETH LEIGH</t>
        </r>
      </text>
    </comment>
    <comment ref="S1974" authorId="0" shapeId="0" xr:uid="{CDE568F1-B9F1-4C90-8249-C1FA17348CC0}">
      <text>
        <r>
          <rPr>
            <sz val="9"/>
            <color indexed="81"/>
            <rFont val="Tahoma"/>
            <family val="2"/>
          </rPr>
          <t>JOHN REDDISH_x000D_
http://yeinfo.com/family/I09066830.html_x000D_
https://www.google.com/search?q=JOHN+REDDISH+1477+1559+{_?_}_x000D_
.born: 1477    -          Lancashire county England_x000D_
.died: 15591217-          Lancashire county England, age:82y 11m 16d, _x000D_
.bapt: 1785GE_x000D_
.will: 2004MO_x000D_
.obit: 1890OH_x000D_
.bury: 1850IL _x000D_
.wpbt: 1826PA_x000D_
.anc#:double ancestor_x000D_
citiz:foreign_x000D_
#spos:1_x000D_
#srcs:1_x000D_
#comment:0_x000D_
#events:1_x000D_
#kids:1_x000D_
lived:ENLANCS_x000D_
issue:Died after Age 100_x000D_
.recs:Birth,Marriage,Death_x000D_
.imm?:no_x000D_
..Spo:{_?_} REDDISH</t>
        </r>
      </text>
    </comment>
    <comment ref="R1976" authorId="0" shapeId="0" xr:uid="{2D8EFA1B-DE7F-447D-B835-57FDBCB2CE6F}">
      <text>
        <r>
          <rPr>
            <sz val="9"/>
            <color indexed="81"/>
            <rFont val="Tahoma"/>
            <family val="2"/>
          </rPr>
          <t>ANNE REDDISH_x000D_
http://yeinfo.com/family/I09041425.html_x000D_
https://www.google.com/search?q=ANNE+REDDISH+1464+1521+BARLOW_x000D_
.born: 1464    -          Lancashire county England_x000D_
.died: 1521    -1586     ?England, age:57y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issue:Born before Parents Married,Spouse Age more than 30-Year Difference_x000D_
.recs:Birth,Marriage,Death_x000D_
.imm?:no_x000D_
..Spo:ELLIS BARLOW</t>
        </r>
      </text>
    </comment>
    <comment ref="S1978" authorId="0" shapeId="0" xr:uid="{0CF2A7C9-5D69-4D76-A794-29374368E794}">
      <text>
        <r>
          <rPr>
            <sz val="9"/>
            <color indexed="81"/>
            <rFont val="Tahoma"/>
            <family val="2"/>
          </rPr>
          <t>Mrs. {_?_} REDDISH_x000D_
http://yeinfo.com/family/I09066829.html_x000D_
https://www.google.com/search?q={_?_}+REDDISH+1480+1479+REDDISH_x000D_
.born:?1480    -         ?Lancashire county England_x000D_
.died: 1479    -1544     ?Lancashire county England, age:0y 0m 0d, _x000D_
.bapt: 1785GE_x000D_
.will: 2004MO_x000D_
.obit: 1890OH_x000D_
.bury: 1850IL _x000D_
.wpbt: 1826PA_x000D_
.anc#:double ancestor_x000D_
citiz:foreign_x000D_
#spos:1_x000D_
#srcs:1_x000D_
#comment:0_x000D_
#events:1_x000D_
#kids:1_x000D_
lived:?ENLANCS_x000D_
issue:_x000D_
.recs:Birth,Marriage,Death_x000D_
.imm?:no_x000D_
..Spo:JOHN REDDISH</t>
        </r>
      </text>
    </comment>
    <comment ref="P1980" authorId="0" shapeId="0" xr:uid="{E626539C-5795-450E-A04F-5CAFC34E8346}">
      <text>
        <r>
          <rPr>
            <sz val="9"/>
            <color indexed="81"/>
            <rFont val="Tahoma"/>
            <family val="2"/>
          </rPr>
          <t>ALEXANDER BARLOW_x000D_
http://yeinfo.com/family/I09010356.html_x000D_
https://www.google.com/search?q=ALEXANDER+BARLOW+1557+1620+MARY_x000D_
.born: 15570628-          Lancashire county England_x000D_
.died: 16200420-          Manchester (Lancashire) England, age:62y 9m 23d, _x000D_
.bapt: 1785GE_x000D_
.will: 2004MO_x000D_
.obit: 1890OH_x000D_
.bury: 1850IL _x000D_
.wpbt: 1826PA_x000D_
.anc#:double ancestor_x000D_
citiz:foreign_x000D_
#spos:1_x000D_
#srcs:1_x000D_
#comment:0_x000D_
#events:1_x000D_
#kids:1_x000D_
lived:ENLANCSMANCHES,ENLANCSMIDDLET_x000D_
issue:_x000D_
.recs:Birth,Marriage,Death_x000D_
.imm?:no_x000D_
..Spo:MARY BRERETON</t>
        </r>
      </text>
    </comment>
    <comment ref="S1982" authorId="0" shapeId="0" xr:uid="{4A8172C4-2234-499E-8012-67E6C3795DF1}">
      <text>
        <r>
          <rPr>
            <sz val="9"/>
            <color indexed="81"/>
            <rFont val="Tahoma"/>
            <family val="2"/>
          </rPr>
          <t>THOMAS LEIGH_x000D_
http://yeinfo.com/family/I09066812.html_x000D_
https://www.google.com/search?q=THOMAS+LEIGH+1451+1499+DULCIA_x000D_
.born: 1451    -          Cheshire county England_x000D_
.died: 1499    -1564     ?Lancashire county England, age:48y 0m 0d, _x000D_
.bapt: 1785GE_x000D_
.will: 2004MO_x000D_
.obit: 1890OH_x000D_
.bury: 1850IL _x000D_
.wpbt: 1826PA_x000D_
.anc#:double ancestor_x000D_
citiz:foreign_x000D_
#spos:1_x000D_
#srcs:1_x000D_
#comment:0_x000D_
#events:1_x000D_
#kids:1_x000D_
lived:?ENLANCS,ENCHESH_x000D_
issue:_x000D_
.recs:Birth,Marriage,Death_x000D_
.imm?:no_x000D_
..Spo:DULCIA BOOTH</t>
        </r>
      </text>
    </comment>
    <comment ref="R1984" authorId="0" shapeId="0" xr:uid="{95E563E0-FB97-4F62-922F-3047F9CCD236}">
      <text>
        <r>
          <rPr>
            <sz val="9"/>
            <color indexed="81"/>
            <rFont val="Tahoma"/>
            <family val="2"/>
          </rPr>
          <t>GEORGE LEIGH_x000D_
http://yeinfo.com/family/I09041426.html_x000D_
https://www.google.com/search?q=GEORGE+LEIGH+1499+1530+{_?_}_x000D_
.born:?1499    -          Cheshire county England_x000D_
.died: 1530    -1595     ?England, age:31y 0m 0d, _x000D_
.bapt: 1785GE_x000D_
.will: 2004MO_x000D_
.obit: 1890OH_x000D_
.bury: 1850IL _x000D_
.wpbt: 1826PA_x000D_
.anc#:double ancestor_x000D_
citiz:foreign_x000D_
#spos:1_x000D_
#srcs:1_x000D_
#comment:0_x000D_
#events:1_x000D_
#kids:1_x000D_
lived:ENCHESH_x000D_
issue:_x000D_
.recs:Birth,Marriage,Death_x000D_
.imm?:no_x000D_
..Spo:{_?_} LEIGH</t>
        </r>
      </text>
    </comment>
    <comment ref="S1986" authorId="0" shapeId="0" xr:uid="{F93169E9-AD52-4A9A-B1E1-E913E754E211}">
      <text>
        <r>
          <rPr>
            <sz val="9"/>
            <color indexed="81"/>
            <rFont val="Tahoma"/>
            <family val="2"/>
          </rPr>
          <t>DULCIA BOOTH_x000D_
http://yeinfo.com/family/I09066781.html_x000D_
https://www.google.com/search?q=DULCIA+BOOTH+1460+1499+LEIGH_x000D_
.born:?1460    -          Cheshire county England_x000D_
.died: 1499    -1564     ?Lancashire county England, age:39y 0m 0d, _x000D_
.bapt: 1785GE_x000D_
.will: 2004MO_x000D_
.obit: 1890OH_x000D_
.bury: 1850IL _x000D_
.wpbt: 1826PA_x000D_
.anc#:double ancestor_x000D_
citiz:foreign_x000D_
#spos:1_x000D_
#srcs:1_x000D_
#comment:1_x000D_
#events:1_x000D_
#kids:1_x000D_
lived:?ENLANCS,ENCHESH_x000D_
issue:_x000D_
.recs:Birth,Marriage,Death_x000D_
.imm?:no_x000D_
..Spo:THOMAS LEIGH</t>
        </r>
      </text>
    </comment>
    <comment ref="Q1988" authorId="0" shapeId="0" xr:uid="{A674A5FC-7177-4F14-9F7D-8ADE51D52C83}">
      <text>
        <r>
          <rPr>
            <sz val="9"/>
            <color indexed="81"/>
            <rFont val="Tahoma"/>
            <family val="2"/>
          </rPr>
          <t>ELIZABETH LEIGH_x000D_
http://yeinfo.com/family/I09020713.html_x000D_
https://www.google.com/search?q=ELIZABETH+LEIGH+1530+1563+BARLOW_x000D_
.born: 1530    -          Cheshire county England_x000D_
.died: 15631226-         ?England, age:33y 11m 25d, _x000D_
.bapt: 1785GE_x000D_
.will: 2004MO_x000D_
.obit: 1890OH_x000D_
.bury: 1850IL _x000D_
.wpbt: 1826PA_x000D_
.anc#:double ancestor_x000D_
citiz:foreign_x000D_
#spos:1_x000D_
#srcs:1_x000D_
#comment:0_x000D_
#events:1_x000D_
#kids:1_x000D_
lived:ENCHESH,ENLANCS_x000D_
issue:_x000D_
.recs:Birth,Marriage,Death_x000D_
.imm?:no_x000D_
..Spo:ALEXANDER BARLOW</t>
        </r>
      </text>
    </comment>
    <comment ref="R1990" authorId="0" shapeId="0" xr:uid="{D308A3D9-2295-4A18-BB91-51999FDE2AFB}">
      <text>
        <r>
          <rPr>
            <sz val="9"/>
            <color indexed="81"/>
            <rFont val="Tahoma"/>
            <family val="2"/>
          </rPr>
          <t>Mrs. {_?_} LEIGH_x000D_
http://yeinfo.com/family/I09041427.html_x000D_
https://www.google.com/search?q={_?_}+LEIGH+1484+1530+LEIGH_x000D_
.born: 1484    -         ?England_x000D_
.died: 1530    -1595     ?England, age:46y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..Spo:GEORGE LEIGH</t>
        </r>
      </text>
    </comment>
    <comment ref="O1992" authorId="0" shapeId="0" xr:uid="{07AA50F9-4703-4B78-AA28-D3A736AD5E58}">
      <text>
        <r>
          <rPr>
            <sz val="9"/>
            <color indexed="81"/>
            <rFont val="Tahoma"/>
            <family val="2"/>
          </rPr>
          <t>JOHN BARLOW Jr._x000D_
http://yeinfo.com/family/I09005178.html_x000D_
https://www.google.com/search?q=JOHN+BARLOW+1594+1674+ANN+BARLOW_x000D_
.born:c1594    -          Manchester (Lancashire) England_x000D_
.died: 16740328-          Fairfield (Fairfield) Connecticut, age:80y 2m 27d, _x000D_
.bapt: 1785GE_x000D_
.will: 2004MO_x000D_
.obit: 1890OH_x000D_
.bury: 1850IL _x000D_
.wpbt: 1826PA_x000D_
.anc#:double ancestor_x000D_
citiz:immigrant_x000D_
#spos:2_x000D_
#srcs:1_x000D_
#comment:0_x000D_
#events:2_x000D_
#kids:1_x000D_
lived:CTFAIRDFAIRFIE,ENLANCSMANCHES_x000D_
issue:_x000D_
.recs:Birth,Marriage,Death_x000D_
.imm?:immigrant_x000D_
..Spo:ANN WARD</t>
        </r>
      </text>
    </comment>
    <comment ref="Q1994" authorId="0" shapeId="0" xr:uid="{36915538-E507-47D6-9F62-652F2817CC0C}">
      <text>
        <r>
          <rPr>
            <sz val="9"/>
            <color indexed="81"/>
            <rFont val="Tahoma"/>
            <family val="2"/>
          </rPr>
          <t>URIAN BRERETON_x000D_
http://yeinfo.com/family/I09020714.html_x000D_
https://www.google.com/search?q=URIAN+BRERETON+1522+1577+ALICE_x000D_
.born:?1522    -          Cheshire county England_x000D_
.died: 15770319-          Lancashire county England, age:55y 2m 18d, _x000D_
.bapt: 1785GE_x000D_
.will: 2004MO_x000D_
.obit: 1890OH_x000D_
.bury: 1850IL _x000D_
.wpbt: 1826PA_x000D_
.anc#:double ancestor_x000D_
citiz:foreign_x000D_
#spos:1_x000D_
#srcs:1_x000D_
#comment:0_x000D_
#events:1_x000D_
#kids:1_x000D_
lived:?ENLANCS,ENCHESH_x000D_
issue:_x000D_
.recs:Birth,Marriage,Death_x000D_
.imm?:no_x000D_
..Spo:ALICE TRAFFORD</t>
        </r>
      </text>
    </comment>
    <comment ref="P1996" authorId="0" shapeId="0" xr:uid="{098C6736-DE5E-4101-8520-2C205B7242A9}">
      <text>
        <r>
          <rPr>
            <sz val="9"/>
            <color indexed="81"/>
            <rFont val="Tahoma"/>
            <family val="2"/>
          </rPr>
          <t>MARY BRERETON_x000D_
http://yeinfo.com/family/I09010357.html_x000D_
https://www.google.com/search?q=MARY+BRERETON+1552+1627+BARLOW_x000D_
.born: 15521204-          Cheshire county England_x000D_
.died: 16270710-          Chester (Cheshire) England, age:74y 7m 6d, _x000D_
.bapt: 1785GE_x000D_
.will: 2004MO_x000D_
.obit: 1890OH_x000D_
.bury: 1850IL _x000D_
.wpbt: 1826PA_x000D_
.anc#:double ancestor_x000D_
citiz:foreign_x000D_
#spos:1_x000D_
#srcs:1_x000D_
#comment:0_x000D_
#events:1_x000D_
#kids:1_x000D_
lived:ENCHESHCHESTER,ENLANCSMIDDLET_x000D_
issue:Born before Parents Married_x000D_
.recs:Birth,Marriage,Death_x000D_
.imm?:no_x000D_
..Spo:ALEXANDER BARLOW</t>
        </r>
      </text>
    </comment>
    <comment ref="Z1998" authorId="0" shapeId="0" xr:uid="{53435613-4741-4727-8BC6-1E7E31884C73}">
      <text>
        <r>
          <rPr>
            <sz val="9"/>
            <color indexed="81"/>
            <rFont val="Tahoma"/>
            <family val="2"/>
          </rPr>
          <t>HENRY TRAFFORD_x000D_
http://yeinfo.com/family/I09066981.html_x000D_
https://www.google.com/search?q=HENRY+TRAFFORD+1225+1264+MARGARET_x000D_
.born:?1225    -          Lancashire county England_x000D_
.died:?1264    -1310      Lancashire county England, age:39y 0m 0d, _x000D_
.bapt: 1785GE_x000D_
.will: 2004MO_x000D_
.obit: 1890OH_x000D_
.bury: 1850IL _x000D_
.wpbt: 1826PA_x000D_
.anc#:  nontuple ancestor_x000D_
citiz:foreign_x000D_
#spos:1_x000D_
#srcs:1_x000D_
#comment:1_x000D_
#events:1_x000D_
#kids:1_x000D_
lived:ENLANCS_x000D_
issue:_x000D_
.recs:Birth,Marriage,Death_x000D_
.imm?:no_x000D_
..Spo:MARGARET TRAFFORD</t>
        </r>
      </text>
    </comment>
    <comment ref="Y2000" authorId="0" shapeId="0" xr:uid="{2568C862-F8C9-4581-BB5D-A57DDD76CEE0}">
      <text>
        <r>
          <rPr>
            <sz val="9"/>
            <color indexed="81"/>
            <rFont val="Tahoma"/>
            <family val="2"/>
          </rPr>
          <t>JOHN TRAFFORD_x000D_
http://yeinfo.com/family/I09066434.html_x000D_
https://www.google.com/search?q=JOHN+TRAFFORD+1264+1340+ELIZABETH_x000D_
.born: 1264    -          Lancashire county England_x000D_
.died: 1340    -1350      Lancashire county England, age:76y 0m 0d, _x000D_
.bapt: 1785GE_x000D_
.will: 2004MO_x000D_
.obit: 1890OH_x000D_
.bury: 1850IL _x000D_
.wpbt: 1826PA_x000D_
.anc#:  nontuple ancestor_x000D_
citiz:foreign_x000D_
#spos:1_x000D_
#srcs:7_x000D_
#comment:1_x000D_
#events:1_x000D_
#kids:2_x000D_
lived:ENLANCS_x000D_
issue:_x000D_
.recs:Birth,Marriage,Death_x000D_
.imm?:no_x000D_
..Spo:ELIZABETH ASHTON</t>
        </r>
      </text>
    </comment>
    <comment ref="Z2002" authorId="0" shapeId="0" xr:uid="{B73CB552-F2C3-46E9-AC7D-AADAA2847F46}">
      <text>
        <r>
          <rPr>
            <sz val="9"/>
            <color indexed="81"/>
            <rFont val="Tahoma"/>
            <family val="2"/>
          </rPr>
          <t>Mrs. MARGARET TRAFFORD_x000D_
http://yeinfo.com/family/I09066980.html_x000D_
https://www.google.com/search?q=MARGARET+TRAFFORD+1236+1334+TRAFFORD_x000D_
.born: 1236    -          Lancashire county England_x000D_
.died: 1334    -          Lancashire county England, age:98y 0m 0d, _x000D_
.bapt: 1785GE_x000D_
.will: 2004MO_x000D_
.obit: 1890OH_x000D_
.bury: 1850IL _x000D_
.wpbt: 1826PA_x000D_
.anc#:  nontuple ancestor_x000D_
citiz:foreign_x000D_
#spos:1_x000D_
#srcs:1_x000D_
#comment:0_x000D_
#events:1_x000D_
#kids:1_x000D_
lived:ENLANCS_x000D_
issue:_x000D_
.recs:Birth,Marriage,Death_x000D_
.imm?:no_x000D_
..Spo:HENRY TRAFFORD</t>
        </r>
      </text>
    </comment>
    <comment ref="X2004" authorId="0" shapeId="0" xr:uid="{35980CB8-4627-4588-9F8B-9455F1F8A7DC}">
      <text>
        <r>
          <rPr>
            <sz val="9"/>
            <color indexed="81"/>
            <rFont val="Tahoma"/>
            <family val="2"/>
          </rPr>
          <t>HENRY TRAFFORD_x000D_
http://yeinfo.com/family/I09066317.html_x000D_
https://www.google.com/search?q=HENRY+TRAFFORD+1292+1370+AGNES_x000D_
.born: 1292    -          Lancashire county England_x000D_
.died: 1370    -          Lancashire county England, age:78y 0m 0d, _x000D_
.bapt: 1785GE_x000D_
.will: 2004MO_x000D_
.obit: 1890OH_x000D_
.bury: 1850IL _x000D_
.wpbt: 1826PA_x000D_
.anc#:  nontuple ancestor_x000D_
citiz:foreign_x000D_
#spos:1_x000D_
#srcs:1_x000D_
#comment:0_x000D_
#events:1_x000D_
#kids:3_x000D_
lived:ENLANCS_x000D_
issue:_x000D_
.recs:Birth,Marriage,Death_x000D_
.imm?:no_x000D_
..Spo:AGNES DOTERINDE</t>
        </r>
      </text>
    </comment>
    <comment ref="Y2006" authorId="0" shapeId="0" xr:uid="{7BDB9D14-34E3-474B-B2D6-EE4D50691304}">
      <text>
        <r>
          <rPr>
            <sz val="9"/>
            <color indexed="81"/>
            <rFont val="Tahoma"/>
            <family val="2"/>
          </rPr>
          <t>ELIZABETH ASHTON_x000D_
http://yeinfo.com/family/I09066433.html_x000D_
https://www.google.com/search?q=ELIZABETH+ASHTON+1268+1340+TRAFFORD_x000D_
.born: 1268    -          Lancashire county England_x000D_
.died: 1340    -1350      Lancashire county England, age:72y 0m 0d, _x000D_
.bapt: 1785GE_x000D_
.will: 2004MO_x000D_
.obit: 1890OH_x000D_
.bury: 1850IL _x000D_
.wpbt: 1826PA_x000D_
.anc#:  nontuple ancestor_x000D_
citiz:foreign_x000D_
#spos:1_x000D_
#srcs:1_x000D_
#comment:1_x000D_
#events:1_x000D_
#kids:2_x000D_
lived:ENLANCS_x000D_
issue:_x000D_
.recs:Birth,Marriage,Death_x000D_
.imm?:no_x000D_
..Spo:JOHN TRAFFORD</t>
        </r>
      </text>
    </comment>
    <comment ref="W2008" authorId="0" shapeId="0" xr:uid="{77726979-EFA6-4225-9C94-6241B3D933BC}">
      <text>
        <r>
          <rPr>
            <sz val="9"/>
            <color indexed="81"/>
            <rFont val="Tahoma"/>
            <family val="2"/>
          </rPr>
          <t>HENRY TRAFFORD_x000D_
http://yeinfo.com/family/I09066982.html_x000D_
https://www.google.com/search?q=HENRY+TRAFFORD+1335+1386+MARGARET_x000D_
.born:?1335    -         ?Lancashire county England_x000D_
.died: 1386    -          Lancashire county England, age:51y 0m 0d, _x000D_
.bapt: 1785GE_x000D_
.will: 2004MO_x000D_
.obit: 1890OH_x000D_
.bury: 1850IL _x000D_
.wpbt: 1826PA_x000D_
.anc#:  sextuple ancestor_x000D_
citiz:foreign_x000D_
#spos:1_x000D_
#srcs:8_x000D_
#comment:0_x000D_
#events:1_x000D_
#kids:3_x000D_
lived:?ENLANCS,ENCHESH_x000D_
issue:Died after Age 100_x000D_
.recs:Birth,Marriage,Death_x000D_
.imm?:no_x000D_
..Spo:MARGARET INCE</t>
        </r>
      </text>
    </comment>
    <comment ref="Y2010" authorId="0" shapeId="0" xr:uid="{972ADD07-F850-401A-841D-A68B7C1319CF}">
      <text>
        <r>
          <rPr>
            <sz val="9"/>
            <color indexed="81"/>
            <rFont val="Tahoma"/>
            <family val="2"/>
          </rPr>
          <t>RICHARD DOTERINDE_x000D_
http://yeinfo.com/family/I09066492.html_x000D_
https://www.google.com/search?q=RICHARD+DOTERINDE+1280+1345+{_?_}_x000D_
.born:?1280    -          Norfolk county England_x000D_
.died: 1345    -         ?England, age:65y 0m 0d, _x000D_
.bapt: 1785GE_x000D_
.will: 2004MO_x000D_
.obit: 1890OH_x000D_
.bury: 1850IL _x000D_
.wpbt: 1826PA_x000D_
.anc#:  nontuple ancestor_x000D_
citiz:foreign_x000D_
#spos:1_x000D_
#srcs:1_x000D_
#comment:0_x000D_
#events:1_x000D_
#kids:1_x000D_
lived:ENNORFO_x000D_
issue:_x000D_
.recs:Birth,Marriage,Death_x000D_
.imm?:no_x000D_
..Spo:{_?_} DOTERINDE</t>
        </r>
      </text>
    </comment>
    <comment ref="X2012" authorId="0" shapeId="0" xr:uid="{15D33677-0D36-4042-ADFA-2EB65E9EEA04}">
      <text>
        <r>
          <rPr>
            <sz val="9"/>
            <color indexed="81"/>
            <rFont val="Tahoma"/>
            <family val="2"/>
          </rPr>
          <t>AGNES DOTERINDE_x000D_
http://yeinfo.com/family/I09066318.html_x000D_
https://www.google.com/search?q=AGNES+DOTERINDE+1302+1360+TRAFFORD_x000D_
.born: 1302    -          Birch (Lancashire) England_x000D_
.died: 1360    -          Lancashire county England, age:58y 0m 0d, _x000D_
.bapt: 1785GE_x000D_
.will: 2004MO_x000D_
.obit: 1890OH_x000D_
.bury: 1850IL _x000D_
.wpbt: 1826PA_x000D_
.anc#:  nontuple ancestor_x000D_
citiz:foreign_x000D_
#spos:1_x000D_
#srcs:1_x000D_
#comment:0_x000D_
#events:1_x000D_
#kids:3_x000D_
lived:ENLANCSBIRCH_x000D_
issue:_x000D_
.recs:Birth,Marriage,Death_x000D_
.imm?:no_x000D_
..Spo:HENRY TRAFFORD</t>
        </r>
      </text>
    </comment>
    <comment ref="Y2014" authorId="0" shapeId="0" xr:uid="{1274E0F5-FE00-4EA6-9C5A-3CFFC8094181}">
      <text>
        <r>
          <rPr>
            <sz val="9"/>
            <color indexed="81"/>
            <rFont val="Tahoma"/>
            <family val="2"/>
          </rPr>
          <t>Mrs. {_?_} DOTERINDE_x000D_
http://yeinfo.com/family/I09066493.html_x000D_
https://www.google.com/search?q={_?_}+DOTERINDE+1280+1302+DOTERINDE_x000D_
.born:?1280    -         ?England_x000D_
.died: 1302    -1370     ?England, age:22y 0m 0d, _x000D_
.bapt: 1785GE_x000D_
.will: 2004MO_x000D_
.obit: 1890OH_x000D_
.bury: 1850IL _x000D_
.wpbt: 1826PA_x000D_
.anc#:  nontuple ancestor_x000D_
citiz:foreign_x000D_
#spos:1_x000D_
#srcs:1_x000D_
#comment:0_x000D_
#events:1_x000D_
#kids:1_x000D_
lived:?EN_x000D_
issue:_x000D_
.recs:Birth,Marriage,Death_x000D_
.imm?:no_x000D_
..Spo:RICHARD DOTERINDE</t>
        </r>
      </text>
    </comment>
    <comment ref="V2016" authorId="0" shapeId="0" xr:uid="{A2C579A4-782E-418F-9A4F-28F283AE0FCC}">
      <text>
        <r>
          <rPr>
            <sz val="9"/>
            <color indexed="81"/>
            <rFont val="Tahoma"/>
            <family val="2"/>
          </rPr>
          <t>HENRY TRAFFORD_x000D_
http://yeinfo.com/family/I09066984.html_x000D_
https://www.google.com/search?q=HENRY+TRAFFORD+1362+1418+ELIZABETH_x000D_
.born:?1362    -          Lancashire county England_x000D_
.died:?1418    -         ?Lancashire county England, age:56y 0m 0d, _x000D_
.bapt: 1785GE_x000D_
.will: 2004MO_x000D_
.obit: 1890OH_x000D_
.bury: 1850IL _x000D_
.wpbt: 1826PA_x000D_
.anc#:double ancestor_x000D_
citiz:foreign_x000D_
#spos:1_x000D_
#srcs:12_x000D_
#comment:0_x000D_
#events:1_x000D_
#kids:1_x000D_
lived:ENLANCS_x000D_
issue:_x000D_
.recs:Birth,Marriage,Death_x000D_
.imm?:no_x000D_
..Spo:ELIZABETH RADCLIFFE</t>
        </r>
      </text>
    </comment>
    <comment ref="Z2018" authorId="0" shapeId="0" xr:uid="{62298F80-27CB-42E3-9064-062C0402F6AB}">
      <text>
        <r>
          <rPr>
            <sz val="9"/>
            <color indexed="81"/>
            <rFont val="Tahoma"/>
            <family val="2"/>
          </rPr>
          <t>ALFREDUS INCE I_x000D_
http://yeinfo.com/family/I09066930.html_x000D_
https://www.google.com/search?q=ALFREDUS+INCE+1265+1290+ALICE\ALESIA_x000D_
.born:?1265    -          Ince (Lancashire) England_x000D_
.died:?1290    -1350      Wigan (Lancashire) England, age:25y 0m 0d, _x000D_
.bapt: 1785GE_x000D_
.will: 2004MO_x000D_
.obit: 1890OH_x000D_
.bury: 1850IL _x000D_
.wpbt: 1826PA_x000D_
.anc#:  sextuple ancestor_x000D_
citiz:foreign_x000D_
#spos:1_x000D_
#srcs:3_x000D_
#comment:1_x000D_
#events:1_x000D_
#kids:1_x000D_
lived:ENLANCSINCE,ENLANCSWIGAN_x000D_
issue:_x000D_
.recs:Birth,Marriage,Death_x000D_
.imm?:no_x000D_
..Spo:ALICE\ALESIA STANDISH</t>
        </r>
      </text>
    </comment>
    <comment ref="Y2020" authorId="0" shapeId="0" xr:uid="{0BC1AD74-8C83-46BC-A24B-8F6D8A03A0E7}">
      <text>
        <r>
          <rPr>
            <sz val="9"/>
            <color indexed="81"/>
            <rFont val="Tahoma"/>
            <family val="2"/>
          </rPr>
          <t>RICHARD INCE I_x000D_
http://yeinfo.com/family/I09066931.html_x000D_
https://www.google.com/search?q=RICHARD+INCE+1290+1333+ELIZABETH_x000D_
.born:?1290    -          Wigan (Lancashire) England_x000D_
.died: 1333    -1375      Wigan (Lancashire) England, age:43y 0m 0d, _x000D_
.bapt: 1785GE_x000D_
.will: 2004MO_x000D_
.obit: 1890OH_x000D_
.bury: 1850IL _x000D_
.wpbt: 1826PA_x000D_
.anc#:  sextuple ancestor_x000D_
citiz:foreign_x000D_
#spos:1_x000D_
#srcs:6_x000D_
#comment:0_x000D_
#events:1_x000D_
#kids:1_x000D_
lived:ENLANCSWIGAN_x000D_
issue:Died after Age 100_x000D_
.recs:Birth,Marriage,Death_x000D_
.imm?:no_x000D_
..Spo:ELIZABETH RADCLIFFE</t>
        </r>
      </text>
    </comment>
    <comment ref="Z2022" authorId="0" shapeId="0" xr:uid="{C4A0229B-D489-4B56-8413-8B2A35109D8D}">
      <text>
        <r>
          <rPr>
            <sz val="9"/>
            <color indexed="81"/>
            <rFont val="Tahoma"/>
            <family val="2"/>
          </rPr>
          <t>ALICE\ALESIA STANDISH_x000D_
http://yeinfo.com/family/I09066976.html_x000D_
https://www.google.com/search?q=ALICE\ALESIA+STANDISH+1262+1290+INCE_x000D_
.born:?1262    -          Standish (Lancashire) England_x000D_
.died: 1290    -1350     ?Lancashire county England, age:28y 0m 0d, _x000D_
.bapt: 1785GE_x000D_
.will: 2004MO_x000D_
.obit: 1890OH_x000D_
.bury: 1850IL _x000D_
.wpbt: 1826PA_x000D_
.anc#:  sextuple ancestor_x000D_
citiz:foreign_x000D_
#spos:1_x000D_
#srcs:4_x000D_
#comment:0_x000D_
#events:1_x000D_
#kids:1_x000D_
lived:ENLANCSSTANDIS_x000D_
issue:_x000D_
.recs:Birth,Marriage,Death_x000D_
.imm?:no_x000D_
..Spo:ALFREDUS INCE</t>
        </r>
      </text>
    </comment>
    <comment ref="X2024" authorId="0" shapeId="0" xr:uid="{2EF2C05E-158C-4336-A915-1F7C576DA158}">
      <text>
        <r>
          <rPr>
            <sz val="9"/>
            <color indexed="81"/>
            <rFont val="Tahoma"/>
            <family val="2"/>
          </rPr>
          <t>ROBERT INCE_x000D_
http://yeinfo.com/family/I09066933.html_x000D_
https://www.google.com/search?q=ROBERT+INCE+1304+1335+{_?_}_x000D_
.born: 1304    -          Lancashire county England_x000D_
.died: 1335    -1390     ?Lancashire county England, age:31y 0m 0d, _x000D_
.bapt: 1785GE_x000D_
.will: 2004MO_x000D_
.obit: 1890OH_x000D_
.bury: 1850IL _x000D_
.wpbt: 1826PA_x000D_
.anc#:  sextuple ancestor_x000D_
citiz:foreign_x000D_
#spos:1_x000D_
#srcs:6_x000D_
#comment:0_x000D_
#events:1_x000D_
#kids:1_x000D_
lived:ENLANCS_x000D_
issue:Born before Parents Married_x000D_
.recs:Birth,Marriage,Death_x000D_
.imm?:no_x000D_
..Spo:{_?_} INCE</t>
        </r>
      </text>
    </comment>
    <comment ref="AB2026" authorId="0" shapeId="0" xr:uid="{6D222B24-E1DD-4DBD-949D-B856FBD46582}">
      <text>
        <r>
          <rPr>
            <sz val="9"/>
            <color indexed="81"/>
            <rFont val="Tahoma"/>
            <family val="2"/>
          </rPr>
          <t>ROBERT RADCLIFFE_x000D_
http://yeinfo.com/family/I09066959.html_x000D_
https://www.google.com/search?q=ROBERT+RADCLIFFE+1208+1239+AMBIL\AMABIL_x000D_
.born:?1208    -          Lancashire county England_x000D_
.died: 1239    -1290     ?Lancashire county England, age:31y 0m 0d, _x000D_
.bapt: 1785GE_x000D_
.will: 2004MO_x000D_
.obit: 1890OH_x000D_
.bury: 1850IL _x000D_
.wpbt: 1826PA_x000D_
.anc#: decuple ancestor_x000D_
citiz:foreign_x000D_
#spos:1_x000D_
#srcs:3_x000D_
#comment:1_x000D_
#events:1_x000D_
#kids:1_x000D_
lived:ENLANCS_x000D_
issue:Died after Age 100_x000D_
.recs:Birth,Marriage,Death_x000D_
.imm?:no_x000D_
..Spo:AMBIL\AMABIL TRAFFORD</t>
        </r>
      </text>
    </comment>
    <comment ref="AA2028" authorId="0" shapeId="0" xr:uid="{4E43C1F7-025E-43A3-9B87-80D69C966B6F}">
      <text>
        <r>
          <rPr>
            <sz val="9"/>
            <color indexed="81"/>
            <rFont val="Tahoma"/>
            <family val="2"/>
          </rPr>
          <t>RICHARD RADCLIFFE_x000D_
http://yeinfo.com/family/I09066960.html_x000D_
https://www.google.com/search?q=RICHARD+RADCLIFFE+1224+1326+JOAN\MARGARET_x000D_
.born: 1224    -          Lancashire county England_x000D_
.died: 1326    -          Lancashire county England, age:102y 0m 0d, _x000D_
.bapt: 1785GE_x000D_
.will: 2004MO_x000D_
.obit: 1890OH_x000D_
.bury: 1850IL _x000D_
.wpbt: 1826PA_x000D_
.anc#: decuple ancestor_x000D_
citiz:foreign_x000D_
#spos:1_x000D_
#srcs:3_x000D_
#comment:0_x000D_
#events:1_x000D_
#kids:2_x000D_
lived:ENLANCS_x000D_
issue:Married after Age 60_x000D_
.recs:Birth,Marriage,Death_x000D_
.imm?:no_x000D_
..Spo:JOAN\MARGARET BOTELER</t>
        </r>
      </text>
    </comment>
    <comment ref="AB2030" authorId="0" shapeId="0" xr:uid="{119C544E-058E-4323-9056-1B5F2480876F}">
      <text>
        <r>
          <rPr>
            <sz val="9"/>
            <color indexed="81"/>
            <rFont val="Tahoma"/>
            <family val="2"/>
          </rPr>
          <t>AMBIL\AMABIL TRAFFORD_x000D_
http://yeinfo.com/family/I09066988.html_x000D_
https://www.google.com/search?q=AMBIL\AMABIL+TRAFFORD+1222+1239+RADCLIFFE_x000D_
.born:?1222    -          Lancashire county England_x000D_
.died: 1239    -1304     ?Lancashire county England, age:17y 0m 0d, _x000D_
.bapt: 1785GE_x000D_
.will: 2004MO_x000D_
.obit: 1890OH_x000D_
.bury: 1850IL _x000D_
.wpbt: 1826PA_x000D_
.anc#: decuple ancestor_x000D_
citiz:foreign_x000D_
#spos:1_x000D_
#srcs:3_x000D_
#comment:1_x000D_
#events:1_x000D_
#kids:1_x000D_
lived:ENLANCS_x000D_
issue:Died after Age 100_x000D_
.recs:Birth,Marriage,Death_x000D_
.imm?:no_x000D_
..Spo:ROBERT RADCLIFFE</t>
        </r>
      </text>
    </comment>
    <comment ref="Z2032" authorId="0" shapeId="0" xr:uid="{EDE42A4C-A9DB-44C1-8689-5910D1E92569}">
      <text>
        <r>
          <rPr>
            <sz val="9"/>
            <color indexed="81"/>
            <rFont val="Tahoma"/>
            <family val="2"/>
          </rPr>
          <t>WILLIAM RADCLIFFE_x000D_
http://yeinfo.com/family/I09066961.html_x000D_
https://www.google.com/search?q=WILLIAM+RADCLIFFE+1267+1333+MARGARET_x000D_
.born: 1267    -          Lancashire county England_x000D_
.died: 1333    -         ?Lancashire county England, age:66y 0m 0d, _x000D_
.bapt: 1785GE_x000D_
.will: 2004MO_x000D_
.obit: 1890OH_x000D_
.bury: 1850IL _x000D_
.wpbt: 1826PA_x000D_
.anc#:  octuple ancestor_x000D_
citiz:foreign_x000D_
#spos:1_x000D_
#srcs:4_x000D_
#comment:0_x000D_
#events:1_x000D_
#kids:2_x000D_
lived:ENLANCS_x000D_
issue:_x000D_
.recs:Birth,Marriage,Death_x000D_
.imm?:no_x000D_
..Spo:MARGARET PEASFURLONG</t>
        </r>
      </text>
    </comment>
    <comment ref="AB2034" authorId="0" shapeId="0" xr:uid="{CBDF1EDE-108D-4A7C-A037-7EB2E094A812}">
      <text>
        <r>
          <rPr>
            <sz val="9"/>
            <color indexed="81"/>
            <rFont val="Tahoma"/>
            <family val="2"/>
          </rPr>
          <t>HENRY\WILLIAM\ROBERT BOTELER_x000D_
http://yeinfo.com/family/I09066877.html_x000D_
https://www.google.com/search?q=HENRY\WILLIAM\ROBERT+BOTELER+1230+1247+ISABELLA_x000D_
.born:?1230    -          Warrington (Lancashire) England_x000D_
.died: 1247    -1280     ?Lancashire county England, age:17y 0m 0d, _x000D_
.bapt: 1785GE_x000D_
.will: 2004MO_x000D_
.obit: 1890OH_x000D_
.bury: 1850IL _x000D_
.wpbt: 1826PA_x000D_
.anc#: decuple ancestor_x000D_
citiz:foreign_x000D_
#spos:1_x000D_
#srcs:1_x000D_
#comment:1_x000D_
#events:2_x000D_
#kids:1_x000D_
lived:ENLANCSWARRING_x000D_
issue:_x000D_
.recs:Birth,Marriage,Death_x000D_
.imm?:no_x000D_
..Spo:ISABELLA BOTELER</t>
        </r>
      </text>
    </comment>
    <comment ref="AA2036" authorId="0" shapeId="0" xr:uid="{0B335423-5FC1-41C6-ACC5-C6E43C728BF2}">
      <text>
        <r>
          <rPr>
            <sz val="9"/>
            <color indexed="81"/>
            <rFont val="Tahoma"/>
            <family val="2"/>
          </rPr>
          <t>JOAN\MARGARET BOTELER_x000D_
http://yeinfo.com/family/I09066878.html_x000D_
https://www.google.com/search?q=JOAN\MARGARET+BOTELER+1232+1267+RADCLIFFE_x000D_
.born: 1232    -          Warrington (Lancashire) England_x000D_
.died: 1267    -1332     ?Lancashire county England, age:35y 0m 0d, _x000D_
.bapt: 1785GE_x000D_
.will: 2004MO_x000D_
.obit: 1890OH_x000D_
.bury: 1850IL _x000D_
.wpbt: 1826PA_x000D_
.anc#: decuple ancestor_x000D_
citiz:foreign_x000D_
#spos:1_x000D_
#srcs:3_x000D_
#comment:0_x000D_
#events:1_x000D_
#kids:2_x000D_
lived:ENLANCSWARRING_x000D_
issue:Born before Parents Married_x000D_
.recs:Birth,Marriage,Death_x000D_
.imm?:no_x000D_
..Spo:RICHARD RADCLIFFE</t>
        </r>
      </text>
    </comment>
    <comment ref="AB2038" authorId="0" shapeId="0" xr:uid="{AB0BB926-93B1-4E2F-9177-17A5B188502B}">
      <text>
        <r>
          <rPr>
            <sz val="9"/>
            <color indexed="81"/>
            <rFont val="Tahoma"/>
            <family val="2"/>
          </rPr>
          <t>Mrs. ISABELLA BOTELER_x000D_
http://yeinfo.com/family/I09066876.html_x000D_
https://www.google.com/search?q=ISABELLA+BOTELER+1227+1247+BOTELER_x000D_
.born:?1227    -          Merton (Lancashire) England_x000D_
.died: 1247    -1312     ?Lancashire county England, age:20y 0m 0d, _x000D_
.bapt: 1785GE_x000D_
.will: 2004MO_x000D_
.obit: 1890OH_x000D_
.bury: 1850IL _x000D_
.wpbt: 1826PA_x000D_
.anc#: decuple ancestor_x000D_
citiz:foreign_x000D_
#spos:1_x000D_
#srcs:2_x000D_
#comment:1_x000D_
#events:1_x000D_
#kids:1_x000D_
lived:ENLANCSMERTON_x000D_
issue:_x000D_
.recs:Birth,Marriage,Death_x000D_
.imm?:no_x000D_
..Spo:HENRY\WILLIAM\ROBERT BOTELER</t>
        </r>
      </text>
    </comment>
    <comment ref="Y2040" authorId="0" shapeId="0" xr:uid="{93B9C28F-521B-48C6-BF10-0A4B52E199CB}">
      <text>
        <r>
          <rPr>
            <sz val="9"/>
            <color indexed="81"/>
            <rFont val="Tahoma"/>
            <family val="2"/>
          </rPr>
          <t>ELIZABETH RADCLIFFE_x000D_
http://yeinfo.com/family/I09066963.html_x000D_
https://www.google.com/search?q=ELIZABETH+RADCLIFFE+1290+1310+INCE_x000D_
.born: 1290    -          Lancashire county England_x000D_
.died: 1310    -1375     ?Lancashire county England, age:20y 0m 0d, _x000D_
.bapt: 1785GE_x000D_
.will: 2004MO_x000D_
.obit: 1890OH_x000D_
.bury: 1850IL _x000D_
.wpbt: 1826PA_x000D_
.anc#:  sextuple ancestor_x000D_
citiz:foreign_x000D_
#spos:1_x000D_
#srcs:6_x000D_
#comment:0_x000D_
#events:1_x000D_
#kids:1_x000D_
lived:ENLANCS_x000D_
issue:Died after Age 100_x000D_
.recs:Birth,Marriage,Death_x000D_
.imm?:no_x000D_
..Spo:RICHARD INCE</t>
        </r>
      </text>
    </comment>
    <comment ref="AA2042" authorId="0" shapeId="0" xr:uid="{0B39881C-D635-4602-B0C2-6FAB0D2EA322}">
      <text>
        <r>
          <rPr>
            <sz val="9"/>
            <color indexed="81"/>
            <rFont val="Tahoma"/>
            <family val="2"/>
          </rPr>
          <t>ADAM PEASFURLONG_x000D_
http://yeinfo.com/family/I09066956.html_x000D_
https://www.google.com/search?q=ADAM+PEASFURLONG+1242+1274+ELIZABETH_x000D_
.born:?1242    -          Wigan (Lancashire) England_x000D_
.died: 1274    -1339     ?Lancashire county England, age:32y 0m 0d, _x000D_
.bapt: 1785GE_x000D_
.will: 2004MO_x000D_
.obit: 1890OH_x000D_
.bury: 1850IL _x000D_
.wpbt: 1826PA_x000D_
.anc#:  octuple ancestor_x000D_
citiz:foreign_x000D_
#spos:1_x000D_
#srcs:3_x000D_
#comment:0_x000D_
#events:1_x000D_
#kids:1_x000D_
lived:ENLANCSWIGAN_x000D_
issue:_x000D_
.recs:Birth,Marriage,Death_x000D_
.imm?:no_x000D_
..Spo:ELIZABETH CULCHETH</t>
        </r>
      </text>
    </comment>
    <comment ref="Z2044" authorId="0" shapeId="0" xr:uid="{46043CCE-D59C-4114-B23C-1E8EFC815456}">
      <text>
        <r>
          <rPr>
            <sz val="9"/>
            <color indexed="81"/>
            <rFont val="Tahoma"/>
            <family val="2"/>
          </rPr>
          <t>MARGARET PEASFURLONG_x000D_
http://yeinfo.com/family/I09066957.html_x000D_
https://www.google.com/search?q=MARGARET+PEASFURLONG+1244+1290+RADCLIFFE_x000D_
.born: 1244    -          Warrington (Lancashire) England_x000D_
.died: 1290    -1355     ?Lancashire county England, age:46y 0m 0d, _x000D_
.bapt: 1785GE_x000D_
.will: 2004MO_x000D_
.obit: 1890OH_x000D_
.bury: 1850IL _x000D_
.wpbt: 1826PA_x000D_
.anc#:  octuple ancestor_x000D_
citiz:foreign_x000D_
#spos:1_x000D_
#srcs:4_x000D_
#comment:0_x000D_
#events:1_x000D_
#kids:2_x000D_
lived:ENLANCSWARRING_x000D_
issue:Born before Parents Married_x000D_
.recs:Birth,Marriage,Death_x000D_
.imm?:no_x000D_
..Spo:WILLIAM RADCLIFFE</t>
        </r>
      </text>
    </comment>
    <comment ref="AB2046" authorId="0" shapeId="0" xr:uid="{D450920D-8B57-4881-A514-0F49D079D832}">
      <text>
        <r>
          <rPr>
            <sz val="9"/>
            <color indexed="81"/>
            <rFont val="Tahoma"/>
            <family val="2"/>
          </rPr>
          <t>GILBERT CULCHETH_x000D_
http://yeinfo.com/family/I09066895.html_x000D_
https://www.google.com/search?q=GILBERT+CULCHETH+1205+1246+CECILIA_x000D_
.born:?1205    -          Culcheth (Lancashire) England_x000D_
.died: 1246    -         ?Lancashire county England, age:41y 0m 0d, _x000D_
.bapt: 1785GE_x000D_
.will: 2004MO_x000D_
.obit: 1890OH_x000D_
.bury: 1850IL _x000D_
.wpbt: 1826PA_x000D_
.anc#:  octuple ancestor_x000D_
citiz:foreign_x000D_
#spos:1_x000D_
#srcs:3_x000D_
#comment:1_x000D_
#events:1_x000D_
#kids:1_x000D_
lived:ENLANCSCULCHET_x000D_
issue:Died after Age 100_x000D_
.recs:Birth,Marriage,Death_x000D_
.imm?:no_x000D_
..Spo:CECILIA LATHOM</t>
        </r>
      </text>
    </comment>
    <comment ref="AA2048" authorId="0" shapeId="0" xr:uid="{3E7188EF-D354-4005-9690-5E05C4988F4F}">
      <text>
        <r>
          <rPr>
            <sz val="9"/>
            <color indexed="81"/>
            <rFont val="Tahoma"/>
            <family val="2"/>
          </rPr>
          <t>ELIZABETH CULCHETH_x000D_
http://yeinfo.com/family/I09066896.html_x000D_
https://www.google.com/search?q=ELIZABETH+CULCHETH+1215+1274+PEASFURLONG_x000D_
.born: 1215    -          Culcheth (Lancashire) England_x000D_
.died: 1274    -1339     ?Lancashire county England, age:59y 0m 0d, _x000D_
.bapt: 1785GE_x000D_
.will: 2004MO_x000D_
.obit: 1890OH_x000D_
.bury: 1850IL _x000D_
.wpbt: 1826PA_x000D_
.anc#:  octuple ancestor_x000D_
citiz:foreign_x000D_
#spos:1_x000D_
#srcs:3_x000D_
#comment:0_x000D_
#events:1_x000D_
#kids:1_x000D_
lived:ENLANCSCULCHET_x000D_
issue:_x000D_
.recs:Birth,Marriage,Death_x000D_
.imm?:no_x000D_
..Spo:ADAM PEASFURLONG</t>
        </r>
      </text>
    </comment>
    <comment ref="AB2050" authorId="0" shapeId="0" xr:uid="{0B80F6FF-1251-44EB-BB98-681C8423E020}">
      <text>
        <r>
          <rPr>
            <sz val="9"/>
            <color indexed="81"/>
            <rFont val="Tahoma"/>
            <family val="2"/>
          </rPr>
          <t>CECILIA LATHOM_x000D_
http://yeinfo.com/family/I09066935.html_x000D_
https://www.google.com/search?q=CECILIA+LATHOM+1222+1245+CULCHETH_x000D_
.born:?1222    -          Latham (Lancashire) England_x000D_
.died: 1245    -1310     ?Lancashire county England, age:23y 0m 0d, _x000D_
.bapt: 1785GE_x000D_
.will: 2004MO_x000D_
.obit: 1890OH_x000D_
.bury: 1850IL _x000D_
.wpbt: 1826PA_x000D_
.anc#:  octuple ancestor_x000D_
citiz:foreign_x000D_
#spos:1_x000D_
#srcs:3_x000D_
#comment:1_x000D_
#events:1_x000D_
#kids:1_x000D_
lived:ENLANCSLATHAM_x000D_
issue:Died after Age 100_x000D_
.recs:Birth,Marriage,Death_x000D_
.imm?:no_x000D_
..Spo:GILBERT CULCHETH</t>
        </r>
      </text>
    </comment>
    <comment ref="W2052" authorId="0" shapeId="0" xr:uid="{F94843E5-87CC-4641-9E1F-4870F7CE869D}">
      <text>
        <r>
          <rPr>
            <sz val="9"/>
            <color indexed="81"/>
            <rFont val="Tahoma"/>
            <family val="2"/>
          </rPr>
          <t>MARGARET INCE_x000D_
http://yeinfo.com/family/I09066934.html_x000D_
https://www.google.com/search?q=MARGARET+INCE+1330+1417+TRAFFORD_x000D_
.born:?1330    -          Lancashire county England_x000D_
.died:?141701  -         ?Lancashire county England, age:87y 0m 0d, _x000D_
.bapt: 1785GE_x000D_
.will: 2004MO_x000D_
.obit: 1890OH_x000D_
.bury: 1850IL _x000D_
.wpbt: 1826PA_x000D_
.anc#:  sextuple ancestor_x000D_
citiz:foreign_x000D_
#spos:1_x000D_
#srcs:8_x000D_
#comment:0_x000D_
#events:1_x000D_
#kids:3_x000D_
lived:ENCHESH,ENLANCS_x000D_
issue:_x000D_
.recs:Birth,Marriage,Death_x000D_
.imm?:no_x000D_
..Spo:HENRY TRAFFORD</t>
        </r>
      </text>
    </comment>
    <comment ref="X2054" authorId="0" shapeId="0" xr:uid="{F3EF2839-7552-47A2-A051-300A5CB80CD0}">
      <text>
        <r>
          <rPr>
            <sz val="9"/>
            <color indexed="81"/>
            <rFont val="Tahoma"/>
            <family val="2"/>
          </rPr>
          <t>Mrs. {_?_} INCE_x000D_
http://yeinfo.com/family/I09066932.html_x000D_
https://www.google.com/search?q={_?_}+INCE+1310+1335+INCE_x000D_
.born:?1310    -         ?_x000D_
.died: 1335    -1390     ?Lancashire county England, age:25y 0m 0d, _x000D_
.bapt: 1785GE_x000D_
.will: 2004MO_x000D_
.obit: 1890OH_x000D_
.bury: 1850IL _x000D_
.wpbt: 1826PA_x000D_
.anc#:  sextuple ancestor_x000D_
citiz:foreign_x000D_
#spos:1_x000D_
#srcs:0_x000D_
#comment:0_x000D_
#events:1_x000D_
#kids:1_x000D_
lived:?ENLANCS_x000D_
issue:_x000D_
.recs:Birth,Marriage,Death_x000D_
.imm?:no_x000D_
..Spo:ROBERT INCE</t>
        </r>
      </text>
    </comment>
    <comment ref="U2056" authorId="0" shapeId="0" xr:uid="{F2AAC219-9E2F-4920-B1C5-73920E940F5F}">
      <text>
        <r>
          <rPr>
            <sz val="9"/>
            <color indexed="81"/>
            <rFont val="Tahoma"/>
            <family val="2"/>
          </rPr>
          <t>EDMUND TRAFFORD_x000D_
http://yeinfo.com/family/I09066985.html_x000D_
https://www.google.com/search?q=EDMUND+TRAFFORD+1390+1457+ALICE_x000D_
.born: 1390    -          Lancashire county England_x000D_
.died: 1457    -          Lancashire county England, age:67y 0m 0d, _x000D_
.bapt: 1785GE_x000D_
.will: 2004MO_x000D_
.obit: 1890OH_x000D_
.bury: 1850IL Trafford Manor_x000D_
.wpbt: 1826PA_x000D_
.anc#:double ancestor_x000D_
citiz:foreign_x000D_
#spos:1_x000D_
#srcs:1_x000D_
#comment:0_x000D_
#events:2_x000D_
#kids:1_x000D_
lived:ENCHESH,ENLANCS_x000D_
issue:Born before Parents Married_x000D_
.recs:Birth,Marriage,Death,Interment/Burial_x000D_
.imm?:no_x000D_
..Spo:ALICE VENABLES</t>
        </r>
      </text>
    </comment>
    <comment ref="X2058" authorId="0" shapeId="0" xr:uid="{571FE52F-6959-47FB-8B0E-0F108172C63C}">
      <text>
        <r>
          <rPr>
            <sz val="9"/>
            <color indexed="81"/>
            <rFont val="Tahoma"/>
            <family val="2"/>
          </rPr>
          <t>RALPH RADCLIFFE_x000D_
http://yeinfo.com/family/I09066966.html_x000D_
https://www.google.com/search?q=RALPH+RADCLIFFE+1355+1406+ELENA_x000D_
.born: 1355    -          England_x000D_
.died: 1406    -         ?Lancashire county England, age:51y 0m 0d, _x000D_
.bapt: 1785GE_x000D_
.will: 2004MO_x000D_
.obit: 1890OH_x000D_
.bury: 1850IL _x000D_
.wpbt: 1826PA_x000D_
.anc#:double ancestor_x000D_
citiz:foreign_x000D_
#spos:1_x000D_
#srcs:1_x000D_
#comment:0_x000D_
#events:1_x000D_
#kids:1_x000D_
lived:?ENLANCS,EN_x000D_
issue:_x000D_
.recs:Birth,Marriage,Death_x000D_
.imm?:no_x000D_
..Spo:ELENA MASSEY</t>
        </r>
      </text>
    </comment>
    <comment ref="W2060" authorId="0" shapeId="0" xr:uid="{7AD14520-7831-4764-BA5E-63C3E91E0068}">
      <text>
        <r>
          <rPr>
            <sz val="9"/>
            <color indexed="81"/>
            <rFont val="Tahoma"/>
            <family val="2"/>
          </rPr>
          <t>RALPH RADCLIFFE_x000D_
http://yeinfo.com/family/I09066968.html_x000D_
https://www.google.com/search?q=RALPH+RADCLIFFE+1355+1406+{_?_}_x000D_
.born: 1355    -          Bolton (Lancashire) England_x000D_
.died: 1406    -          Bolton (Lancashire) England, age:51y 0m 0d, _x000D_
.bapt: 1785GE_x000D_
.will: 2004MO_x000D_
.obit: 1890OH_x000D_
.bury: 1850IL _x000D_
.wpbt: 1826PA_x000D_
.anc#:double ancestor_x000D_
citiz:foreign_x000D_
#spos:1_x000D_
#srcs:1_x000D_
#comment:0_x000D_
#events:1_x000D_
#kids:1_x000D_
lived:ENLANCSBOLTON_x000D_
issue:Born before Parents Married,Died after Age 100_x000D_
.recs:Birth,Marriage,Death_x000D_
.imm?:no_x000D_
..Spo:{_?_} RADCLIFFE</t>
        </r>
      </text>
    </comment>
    <comment ref="AB2062" authorId="0" shapeId="0" xr:uid="{B1DC529D-C7E2-4E24-92D6-67E60ABB62F9}">
      <text>
        <r>
          <rPr>
            <sz val="9"/>
            <color indexed="81"/>
            <rFont val="Tahoma"/>
            <family val="2"/>
          </rPr>
          <t>WILLIAM MASSEY_x000D_
http://yeinfo.com/family/I09066946.html_x000D_
https://www.google.com/search?q=WILLIAM+MASSEY+1190+1272+MARGERY_x000D_
.born: 1190    -          Cheshire county England_x000D_
.died: 1272    -          Israel, age:82y 0m 0d, died during the 9th Crusade_x000D_
.bapt: 1785GE_x000D_
.will: 2004MO_x000D_
.obit: 1890OH_x000D_
.bury: 1850IL _x000D_
.wpbt: 1826PA_x000D_
.anc#:  quadruple ancestor_x000D_
citiz:foreign_x000D_
#spos:1_x000D_
#srcs:1_x000D_
#comment:1_x000D_
#events:1_x000D_
#kids:1_x000D_
lived:ENCHESH,IS_x000D_
issue:_x000D_
.recs:Birth,Marriage,Death_x000D_
.imm?:no_x000D_
..Spo:MARGERY ROSTHERNE</t>
        </r>
      </text>
    </comment>
    <comment ref="AA2064" authorId="0" shapeId="0" xr:uid="{830E2283-E2EF-4538-86EB-484D080CF8D0}">
      <text>
        <r>
          <rPr>
            <sz val="9"/>
            <color indexed="81"/>
            <rFont val="Tahoma"/>
            <family val="2"/>
          </rPr>
          <t>ROBERT ROSTHERNE MASSEY_x000D_
http://yeinfo.com/family/I09066947.html_x000D_
https://www.google.com/search?q=ROBERT+ROSTHERNE+MASSEY+1228+1328+MARGARET_x000D_
.born: 1228    -          Cheshire county England_x000D_
.died: 1328    -          Cheshire county England, age:100y 0m 0d, _x000D_
.bapt: 1785GE_x000D_
.will: 2004MO_x000D_
.obit: 1890OH_x000D_
.bury: 1850IL _x000D_
.wpbt: 1826PA_x000D_
.anc#:  quadruple ancestor_x000D_
citiz:foreign_x000D_
#spos:1_x000D_
#srcs:1_x000D_
#comment:0_x000D_
#events:1_x000D_
#kids:1_x000D_
lived:ENCHESH_x000D_
issue:_x000D_
.recs:Birth,Marriage,Death_x000D_
.imm?:no_x000D_
..Spo:MARGARET ROSTHERNE</t>
        </r>
      </text>
    </comment>
    <comment ref="AB2066" authorId="0" shapeId="0" xr:uid="{57A52A24-9121-41D7-BBB8-1C82E44DA019}">
      <text>
        <r>
          <rPr>
            <sz val="9"/>
            <color indexed="81"/>
            <rFont val="Tahoma"/>
            <family val="2"/>
          </rPr>
          <t>MARGERY ROSTHERNE_x000D_
http://yeinfo.com/family/I09066970.html_x000D_
https://www.google.com/search?q=MARGERY+ROSTHERNE+1190+1228+MASSEY_x000D_
.born: 1190    -          Rostherne (Cheshire) England_x000D_
.died: 1228    -1293      Rostherne (Cheshire) England, age:38y 0m 0d, _x000D_
.bapt: 1785GE_x000D_
.will: 2004MO_x000D_
.obit: 1890OH_x000D_
.bury: 1850IL _x000D_
.wpbt: 1826PA_x000D_
.anc#:  quadruple ancestor_x000D_
citiz:foreign_x000D_
#spos:1_x000D_
#srcs:1_x000D_
#comment:0_x000D_
#events:1_x000D_
#kids:1_x000D_
lived:ENCHESHROSTHER_x000D_
issue:_x000D_
.recs:Birth,Marriage,Death_x000D_
.imm?:no_x000D_
..Spo:WILLIAM MASSEY</t>
        </r>
      </text>
    </comment>
    <comment ref="Z2068" authorId="0" shapeId="0" xr:uid="{C47CF8BC-C981-4365-9B05-644F4DEC71A5}">
      <text>
        <r>
          <rPr>
            <sz val="9"/>
            <color indexed="81"/>
            <rFont val="Tahoma"/>
            <family val="2"/>
          </rPr>
          <t>WILLIAM MASSEY_x000D_
http://yeinfo.com/family/I09066948.html_x000D_
https://www.google.com/search?q=WILLIAM+MASSEY+1290+1338+MARGERY_x000D_
.born: 1290    -          Cheshire county England_x000D_
.died: 13380502-          England, age:48y 4m 1d, _x000D_
.bapt: 1785GE_x000D_
.will: 2004MO_x000D_
.obit: 1890OH_x000D_
.bury: 1850IL _x000D_
.wpbt: 1826PA_x000D_
.anc#:  quadruple ancestor_x000D_
citiz:foreign_x000D_
#spos:1_x000D_
#srcs:1_x000D_
#comment:0_x000D_
#events:1_x000D_
#kids:1_x000D_
lived:ENCHESH_x000D_
issue:Born after Dad Age 60_x000D_
.recs:Birth,Marriage,Death_x000D_
.imm?:no_x000D_
..Spo:MARGERY LEIGH</t>
        </r>
      </text>
    </comment>
    <comment ref="AA2070" authorId="0" shapeId="0" xr:uid="{7F678C1E-2557-430F-9D40-6F1355243F31}">
      <text>
        <r>
          <rPr>
            <sz val="9"/>
            <color indexed="81"/>
            <rFont val="Tahoma"/>
            <family val="2"/>
          </rPr>
          <t>MARGARET ROSTHERNE_x000D_
http://yeinfo.com/family/I09066971.html_x000D_
https://www.google.com/search?q=MARGARET+ROSTHERNE+1242+1340+MASSEY_x000D_
.born: 1242    -          Rostherne (Cheshire) England_x000D_
.died: 1340    -         ?Cheshire county England, age:98y 0m 0d, _x000D_
.bapt: 1785GE_x000D_
.will: 2004MO_x000D_
.obit: 1890OH_x000D_
.bury: 1850IL _x000D_
.wpbt: 1826PA_x000D_
.anc#:  quadruple ancestor_x000D_
citiz:foreign_x000D_
#spos:1_x000D_
#srcs:1_x000D_
#comment:0_x000D_
#events:1_x000D_
#kids:1_x000D_
lived:ENCHESHROSTHER_x000D_
issue:Died after Age 100_x000D_
.recs:Birth,Marriage,Death_x000D_
.imm?:no_x000D_
..Spo:ROBERT ROSTHERNE MASSEY</t>
        </r>
      </text>
    </comment>
    <comment ref="Y2072" authorId="0" shapeId="0" xr:uid="{16C04ABB-C43D-46EE-B70F-2802014FA1CD}">
      <text>
        <r>
          <rPr>
            <sz val="9"/>
            <color indexed="81"/>
            <rFont val="Tahoma"/>
            <family val="2"/>
          </rPr>
          <t>HUGH MASSEY_x000D_
http://yeinfo.com/family/I09066949.html_x000D_
https://www.google.com/search?q=HUGH+MASSEY+1320+1371+ALICE_x000D_
.born: 1320    -          Tatton (Cheshire) England_x000D_
.died: 1371    -          Knutsford (Cheshire) England, age:51y 0m 0d, _x000D_
.bapt: 1785GE_x000D_
.will: 2004MO_x000D_
.obit: 1890OH_x000D_
.bury: 1850IL _x000D_
.wpbt: 1826PA_x000D_
.anc#:  quadruple ancestor_x000D_
citiz:foreign_x000D_
#spos:1_x000D_
#srcs:1_x000D_
#comment:0_x000D_
#events:1_x000D_
#kids:2_x000D_
lived:ENCHESHKNUTSFO,ENCHESHTATTON_x000D_
issue:_x000D_
.recs:Birth,Marriage,Death_x000D_
.imm?:no_x000D_
..Spo:ALICE WRENBURY</t>
        </r>
      </text>
    </comment>
    <comment ref="AA2074" authorId="0" shapeId="0" xr:uid="{B163C1F6-9257-48AD-838C-AA4E0C099CE2}">
      <text>
        <r>
          <rPr>
            <sz val="9"/>
            <color indexed="81"/>
            <rFont val="Tahoma"/>
            <family val="2"/>
          </rPr>
          <t>THOMAS LYMM LEIGH_x000D_
http://yeinfo.com/family/I09066941.html_x000D_
https://www.google.com/search?q=THOMAS+LYMM+LEIGH+1263+1317+CECILY\SYBIL_x000D_
.born:?1263    -          Cheshire county England_x000D_
.died: 1317    -          Devon county England, age:54y 0m 0d, _x000D_
.bapt: 1785GE_x000D_
.will: 2004MO_x000D_
.obit: 1890OH_x000D_
.bury: 1850IL _x000D_
.wpbt: 1826PA_x000D_
.anc#:  quadruple ancestor_x000D_
citiz:foreign_x000D_
#spos:1_x000D_
#srcs:1_x000D_
#comment:1_x000D_
#events:1_x000D_
#kids:1_x000D_
lived:ENCHESHHIGHLEI,ENDEVON_x000D_
issue:Died after Age 100_x000D_
.recs:Birth,Marriage,Death_x000D_
.imm?:no_x000D_
..Spo:CECILY\SYBIL LEIGH</t>
        </r>
      </text>
    </comment>
    <comment ref="Z2076" authorId="0" shapeId="0" xr:uid="{04621BC0-D5BF-4729-9869-F1F76A9D91CA}">
      <text>
        <r>
          <rPr>
            <sz val="9"/>
            <color indexed="81"/>
            <rFont val="Tahoma"/>
            <family val="2"/>
          </rPr>
          <t>MARGERY LEIGH_x000D_
http://yeinfo.com/family/I09066942.html_x000D_
https://www.google.com/search?q=MARGERY+LEIGH+1280+1338+MASSEY_x000D_
.born:?1280    -          High Leigh (Cheshire) England_x000D_
.died: 1338    -          Cheshire county England, age:58y 0m 0d, _x000D_
.bapt: 1785GE_x000D_
.will: 2004MO_x000D_
.obit: 1890OH_x000D_
.bury: 1850IL _x000D_
.wpbt: 1826PA_x000D_
.anc#:  quadruple ancestor_x000D_
citiz:foreign_x000D_
#spos:1_x000D_
#srcs:1_x000D_
#comment:0_x000D_
#events:1_x000D_
#kids:1_x000D_
lived:ENCHESHHIGHLEI_x000D_
issue:_x000D_
.recs:Birth,Marriage,Death_x000D_
.imm?:no_x000D_
..Spo:WILLIAM MASSEY</t>
        </r>
      </text>
    </comment>
    <comment ref="AA2078" authorId="0" shapeId="0" xr:uid="{D22FC5B3-3729-4D7D-876D-7BDFFA3B9F52}">
      <text>
        <r>
          <rPr>
            <sz val="9"/>
            <color indexed="81"/>
            <rFont val="Tahoma"/>
            <family val="2"/>
          </rPr>
          <t>Mrs. CECILY\SYBIL LEIGH_x000D_
http://yeinfo.com/family/I09066940.html_x000D_
https://www.google.com/search?q=CECILY\SYBIL+LEIGH+1250+1305+LEIGH_x000D_
.born:?1250    -          Westhall (Suffolk) England_x000D_
.died: 1305    -          Macclesfield (Cheshire) England, age:55y 0m 0d, _x000D_
.bapt: 1785GE_x000D_
.will: 2004MO_x000D_
.obit: 1890OH_x000D_
.bury: 1850IL _x000D_
.wpbt: 1826PA_x000D_
.anc#:  quadruple ancestor_x000D_
citiz:foreign_x000D_
#spos:1_x000D_
#srcs:1_x000D_
#comment:1_x000D_
#events:1_x000D_
#kids:1_x000D_
lived:ENCHESHHIGHLEI,ENCHESHMACCMAC,ENSUFFOWESTHAL_x000D_
issue:_x000D_
.recs:Birth,Marriage,Death_x000D_
.imm?:no_x000D_
..Spo:THOMAS LYMM LEIGH</t>
        </r>
      </text>
    </comment>
    <comment ref="X2080" authorId="0" shapeId="0" xr:uid="{41377E30-17D9-4F5D-8C28-778DF8FA0C8D}">
      <text>
        <r>
          <rPr>
            <sz val="9"/>
            <color indexed="81"/>
            <rFont val="Tahoma"/>
            <family val="2"/>
          </rPr>
          <t>ELENA MASSEY_x000D_
http://yeinfo.com/family/I09066950.html_x000D_
https://www.google.com/search?q=ELENA+MASSEY+1358+1416+RADCLIFFE_x000D_
.born: 1358    -          England_x000D_
.died: 1416    -          Lancashire county England, age:58y 0m 0d, _x000D_
.bapt: 1785GE_x000D_
.will: 2004MO_x000D_
.obit: 1890OH_x000D_
.bury: 1850IL _x000D_
.wpbt: 1826PA_x000D_
.anc#:double ancestor_x000D_
citiz:foreign_x000D_
#spos:1_x000D_
#srcs:1_x000D_
#comment:0_x000D_
#events:1_x000D_
#kids:1_x000D_
lived:?ENLANCS,EN_x000D_
issue:_x000D_
.recs:Birth,Marriage,Death_x000D_
.imm?:no_x000D_
..Spo:RALPH RADCLIFFE</t>
        </r>
      </text>
    </comment>
    <comment ref="Z2082" authorId="0" shapeId="0" xr:uid="{57A59436-6B22-4686-8FF2-E611D4803AD4}">
      <text>
        <r>
          <rPr>
            <sz val="9"/>
            <color indexed="81"/>
            <rFont val="Tahoma"/>
            <family val="2"/>
          </rPr>
          <t>JOHN WRENBURY_x000D_
http://yeinfo.com/family/I09067009.html_x000D_
https://www.google.com/search?q=JOHN+WRENBURY+1292+1349+ALICE_x000D_
.born: 1292    -          Wrenbury (Cheshire) England_x000D_
.died: 1349    -          Wrenbury (Cheshire) England, age:57y 0m 0d, _x000D_
.bapt: 1785GE_x000D_
.will: 2004MO_x000D_
.obit: 1890OH_x000D_
.bury: 1850IL _x000D_
.wpbt: 1826PA_x000D_
.anc#:  quadruple ancestor_x000D_
citiz:foreign_x000D_
#spos:1_x000D_
#srcs:1_x000D_
#comment:0_x000D_
#events:2_x000D_
#kids:1_x000D_
lived:ENCHESHWRENBUR_x000D_
issue:_x000D_
.recs:Birth,Marriage,Death_x000D_
.imm?:no_x000D_
..Spo:ALICE AUDLEM</t>
        </r>
      </text>
    </comment>
    <comment ref="Y2084" authorId="0" shapeId="0" xr:uid="{1F2B7664-67DB-4796-85AC-FC014288C175}">
      <text>
        <r>
          <rPr>
            <sz val="9"/>
            <color indexed="81"/>
            <rFont val="Tahoma"/>
            <family val="2"/>
          </rPr>
          <t>ALICE WRENBURY_x000D_
http://yeinfo.com/family/I09067010.html_x000D_
https://www.google.com/search?q=ALICE+WRENBURY+1320+1370+MASSEY_x000D_
.born: 1320    -          Oulton (Cheshire) England_x000D_
.died: 1370    -          Tatton (Cheshire) England, age:50y 0m 0d, _x000D_
.bapt: 1785GE_x000D_
.will: 2004MO_x000D_
.obit: 1890OH_x000D_
.bury: 1850IL _x000D_
.wpbt: 1826PA_x000D_
.anc#:  quadruple ancestor_x000D_
citiz:foreign_x000D_
#spos:1_x000D_
#srcs:1_x000D_
#comment:0_x000D_
#events:1_x000D_
#kids:2_x000D_
lived:ENCHESHOULTON,ENCHESHTATTON_x000D_
issue:_x000D_
.recs:Birth,Marriage,Death_x000D_
.imm?:no_x000D_
..Spo:HUGH MASSEY</t>
        </r>
      </text>
    </comment>
    <comment ref="Z2086" authorId="0" shapeId="0" xr:uid="{F5F70DF8-3931-4F8B-A36A-D2D5054F087C}">
      <text>
        <r>
          <rPr>
            <sz val="9"/>
            <color indexed="81"/>
            <rFont val="Tahoma"/>
            <family val="2"/>
          </rPr>
          <t>ALICE AUDLEM_x000D_
http://yeinfo.com/family/I09066863.html_x000D_
https://www.google.com/search?q=ALICE+AUDLEM+1290+1320+WRENBURY_x000D_
.born: 1290    -          Wrenbury (Cheshire) England_x000D_
.died:?1320    -          Cheshire county England, age:30y 0m 0d, _x000D_
.bapt: 1785GE_x000D_
.will: 2004MO_x000D_
.obit: 1890OH_x000D_
.bury: 1850IL _x000D_
.wpbt: 1826PA_x000D_
.anc#:  quadruple ancestor_x000D_
citiz:foreign_x000D_
#spos:1_x000D_
#srcs:1_x000D_
#comment:0_x000D_
#events:1_x000D_
#kids:1_x000D_
lived:ENCHESHWRENBUR_x000D_
issue:_x000D_
.recs:Birth,Marriage,Death_x000D_
.imm?:no_x000D_
..Spo:JOHN WRENBURY</t>
        </r>
      </text>
    </comment>
    <comment ref="V2088" authorId="0" shapeId="0" xr:uid="{F14A8EFC-11F3-410A-B25A-3BA16725E005}">
      <text>
        <r>
          <rPr>
            <sz val="9"/>
            <color indexed="81"/>
            <rFont val="Tahoma"/>
            <family val="2"/>
          </rPr>
          <t>ELIZABETH RADCLIFFE_x000D_
http://yeinfo.com/family/I09066969.html_x000D_
https://www.google.com/search?q=ELIZABETH+RADCLIFFE+1370+1432+TRAFFORD_x000D_
.born: 1370    -          Bolton (Lancashire) England_x000D_
.died: 1432    -          Manchester (Lancashire) England, age:62y 0m 0d, _x000D_
.bapt: 1785GE_x000D_
.will: 2004MO_x000D_
.obit: 1890OH_x000D_
.bury: 1850IL _x000D_
.wpbt: 1826PA_x000D_
.anc#:double ancestor_x000D_
citiz:foreign_x000D_
#spos:1_x000D_
#srcs:1_x000D_
#comment:0_x000D_
#events:1_x000D_
#kids:1_x000D_
lived:ENLANCSBOLTON,ENLANCSMANCHES_x000D_
issue:_x000D_
.recs:Birth,Marriage,Death_x000D_
.imm?:no_x000D_
..Spo:HENRY TRAFFORD</t>
        </r>
      </text>
    </comment>
    <comment ref="W2090" authorId="0" shapeId="0" xr:uid="{D024E85C-D427-47F4-B9C8-0540E651CF86}">
      <text>
        <r>
          <rPr>
            <sz val="9"/>
            <color indexed="81"/>
            <rFont val="Tahoma"/>
            <family val="2"/>
          </rPr>
          <t>Mrs. {_?_} RADCLIFFE_x000D_
http://yeinfo.com/family/I09066967.html_x000D_
https://www.google.com/search?q={_?_}+RADCLIFFE+1350+1370+RADCLIFFE_x000D_
.born:?1350    -         ?Lancashire county England_x000D_
.died: 1370    -1435     ?Lancashire county England, age:20y 0m 0d, _x000D_
.bapt: 1785GE_x000D_
.will: 2004MO_x000D_
.obit: 1890OH_x000D_
.bury: 1850IL _x000D_
.wpbt: 1826PA_x000D_
.anc#:double ancestor_x000D_
citiz:foreign_x000D_
#spos:1_x000D_
#srcs:0_x000D_
#comment:0_x000D_
#events:1_x000D_
#kids:1_x000D_
lived:?ENLANCS_x000D_
issue:_x000D_
.recs:Birth,Marriage,Death_x000D_
.imm?:no_x000D_
..Spo:RALPH RADCLIFFE</t>
        </r>
      </text>
    </comment>
    <comment ref="T2092" authorId="0" shapeId="0" xr:uid="{FB4F4F03-C347-4416-8377-FC4A3CBE61F1}">
      <text>
        <r>
          <rPr>
            <sz val="9"/>
            <color indexed="81"/>
            <rFont val="Tahoma"/>
            <family val="2"/>
          </rPr>
          <t>JOHN TRAFFORD_x000D_
http://yeinfo.com/family/I09066986.html_x000D_
https://www.google.com/search?q=JOHN+TRAFFORD+1420+1445+ELIZABETH_x000D_
.born:?1420    -          Lancashire county England_x000D_
.died:?1445    -1505      Lancashire county England, age:25y 0m 0d, _x000D_
.bapt: 1785GE_x000D_
.will: 2004MO_x000D_
.obit: 1890OH_x000D_
.bury: 1850IL _x000D_
.wpbt: 1826PA_x000D_
.anc#:double ancestor_x000D_
citiz:foreign_x000D_
#spos:1_x000D_
#srcs:1_x000D_
#comment:0_x000D_
#events:2_x000D_
#kids:1_x000D_
lived:ENLANCSMANCHES_x000D_
issue:_x000D_
.recs:Birth,Marriage,Death_x000D_
.imm?:no_x000D_
..Spo:ELIZABETH ASHTON</t>
        </r>
      </text>
    </comment>
    <comment ref="AA2094" authorId="0" shapeId="0" xr:uid="{CD1AA950-5CD1-444C-9C73-FCF27EA74C13}">
      <text>
        <r>
          <rPr>
            <sz val="9"/>
            <color indexed="81"/>
            <rFont val="Tahoma"/>
            <family val="2"/>
          </rPr>
          <t>ROGER VENABLES_x000D_
http://yeinfo.com/family/I09066989.html_x000D_
https://www.google.com/search?q=ROGER+VENABLES+1211+1260+ALICEA_x000D_
.born:?1211    -          Kinderton (Cheshire) England_x000D_
.died:a12600929-          Kinderton (Cheshire) England, age:49y 8m 28d, _x000D_
.bapt: 1785GE_x000D_
.will: 2004MO_x000D_
.obit: 1890OH_x000D_
.bury: 1850IL _x000D_
.wpbt: 1826PA_x000D_
.anc#:double ancestor_x000D_
citiz:foreign_x000D_
#spos:1_x000D_
#srcs:1_x000D_
#comment:1_x000D_
#events:1_x000D_
#kids:1_x000D_
lived:ENCHESHKINDERT,ENLANCSPENNING_x000D_
issue:_x000D_
.recs:Birth,Marriage,Death_x000D_
.imm?:no_x000D_
..Spo:ALICEA PENNINGTON</t>
        </r>
      </text>
    </comment>
    <comment ref="Z2096" authorId="0" shapeId="0" xr:uid="{0900E356-7AD6-4A30-8487-437B8E65B59A}">
      <text>
        <r>
          <rPr>
            <sz val="9"/>
            <color indexed="81"/>
            <rFont val="Tahoma"/>
            <family val="2"/>
          </rPr>
          <t>WILLIAM VENABLES_x000D_
http://yeinfo.com/family/I09066990.html_x000D_
https://www.google.com/search?q=WILLIAM+VENABLES+1233+1292+MARGARET_x000D_
.born: 1233    -          Kinderton (Cheshire) England_x000D_
.died: 12920712-          Kinderton (Cheshire) England, age:59y 6m 11d, _x000D_
.bapt: 1785GE_x000D_
.will: 2004MO_x000D_
.obit: 1890OH_x000D_
.bury: 1850IL _x000D_
.wpbt: 1826PA_x000D_
.anc#:double ancestor_x000D_
citiz:foreign_x000D_
#spos:1_x000D_
#srcs:1_x000D_
#comment:0_x000D_
#events:1_x000D_
#kids:1_x000D_
lived:ENCHESHKINDERT_x000D_
issue:_x000D_
.recs:Birth,Marriage,Death_x000D_
.imm?:no_x000D_
..Spo:MARGARET DUTTON</t>
        </r>
      </text>
    </comment>
    <comment ref="AA2098" authorId="0" shapeId="0" xr:uid="{761103E2-8E12-4BA8-88C2-8050EED1A06B}">
      <text>
        <r>
          <rPr>
            <sz val="9"/>
            <color indexed="81"/>
            <rFont val="Tahoma"/>
            <family val="2"/>
          </rPr>
          <t>ALICEA PENNINGTON_x000D_
http://yeinfo.com/family/I09066958.html_x000D_
https://www.google.com/search?q=ALICEA+PENNINGTON+1212+1306+VENABLES_x000D_
.born: 1212    -          Pennington (Lancashire) England_x000D_
.died: 1306    -          Kinderton (Cheshire) England, age:94y 0m 0d, _x000D_
.bapt: 1785GE_x000D_
.will: 2004MO_x000D_
.obit: 1890OH_x000D_
.bury: 1850IL _x000D_
.wpbt: 1826PA_x000D_
.anc#:double ancestor_x000D_
citiz:foreign_x000D_
#spos:1_x000D_
#srcs:1_x000D_
#comment:1_x000D_
#events:1_x000D_
#kids:1_x000D_
lived:ENCHESHKINDERT,ENLANCSPENNING_x000D_
issue:_x000D_
.recs:Birth,Marriage,Death_x000D_
.imm?:no_x000D_
..Spo:ROGER VENABLES</t>
        </r>
      </text>
    </comment>
    <comment ref="Y2100" authorId="0" shapeId="0" xr:uid="{9FA7D539-014E-4F3B-9661-08B0E65256ED}">
      <text>
        <r>
          <rPr>
            <sz val="9"/>
            <color indexed="81"/>
            <rFont val="Tahoma"/>
            <family val="2"/>
          </rPr>
          <t>HUGH VENABLES_x000D_
http://yeinfo.com/family/I09066991.html_x000D_
https://www.google.com/search?q=HUGH+VENABLES+1256+1311+AGATHA_x000D_
.born: 1256    -          Northwich (Cheshire) England_x000D_
.died: 13110425-          Kinderton (Cheshire) England, age:55y 3m 24d, _x000D_
.bapt: 1785GE_x000D_
.will: 2004MO_x000D_
.obit: 1890OH_x000D_
.bury: 1850IL _x000D_
.wpbt: 1826PA_x000D_
.anc#:double ancestor_x000D_
citiz:foreign_x000D_
#spos:1_x000D_
#srcs:1_x000D_
#comment:0_x000D_
#events:1_x000D_
#kids:1_x000D_
lived:ENCHESHKINDERT,ENCHESHNORTWCH_x000D_
issue:_x000D_
.recs:Birth,Marriage,Death_x000D_
.imm?:no_x000D_
..Spo:AGATHA VERNON</t>
        </r>
      </text>
    </comment>
    <comment ref="AA2102" authorId="0" shapeId="0" xr:uid="{19663912-71BB-4408-A2D8-36F8D97A218D}">
      <text>
        <r>
          <rPr>
            <sz val="9"/>
            <color indexed="81"/>
            <rFont val="Tahoma"/>
            <family val="2"/>
          </rPr>
          <t>THOMAS DUTTON_x000D_
http://yeinfo.com/family/I09066902.html_x000D_
https://www.google.com/search?q=THOMAS+DUTTON+1214+1272+PHILIPPA_x000D_
.born: 1214    -          Dutton (Cheshire) England_x000D_
.died: 1272    -          Dutton (Cheshire) England, age:58y 0m 0d, _x000D_
.bapt: 1785GE_x000D_
.will: 2004MO_x000D_
.obit: 1890OH_x000D_
.bury: 1850IL _x000D_
.wpbt: 1826PA_x000D_
.anc#:double ancestor_x000D_
citiz:foreign_x000D_
#spos:1_x000D_
#srcs:1_x000D_
#comment:1_x000D_
#events:2_x000D_
#kids:1_x000D_
lived:ENCHESHDUTTON,ENLANCS,ENSTAFSSTANDON_x000D_
issue:_x000D_
.recs:Birth,Marriage,Death_x000D_
.imm?:no_x000D_
..Spo:PHILIPPA STANDON</t>
        </r>
      </text>
    </comment>
    <comment ref="Z2104" authorId="0" shapeId="0" xr:uid="{0C433B6F-3D29-4899-8B72-5AB1B18A6651}">
      <text>
        <r>
          <rPr>
            <sz val="9"/>
            <color indexed="81"/>
            <rFont val="Tahoma"/>
            <family val="2"/>
          </rPr>
          <t>MARGARET DUTTON_x000D_
http://yeinfo.com/family/I09066903.html_x000D_
https://www.google.com/search?q=MARGARET+DUTTON+1235+1293+VENABLES_x000D_
.born: 1235    -          Kinderton (Cheshire) England_x000D_
.died: 1293    -          Kinderton (Cheshire) England, age:58y 0m 0d, _x000D_
.bapt: 1785GE_x000D_
.will: 2004MO_x000D_
.obit: 1890OH_x000D_
.bury: 1850IL _x000D_
.wpbt: 1826PA_x000D_
.anc#:double ancestor_x000D_
citiz:foreign_x000D_
#spos:1_x000D_
#srcs:1_x000D_
#comment:0_x000D_
#events:1_x000D_
#kids:1_x000D_
lived:ENCHESHKINDERT_x000D_
issue:Born before Parents Married_x000D_
.recs:Birth,Marriage,Death_x000D_
.imm?:no_x000D_
..Spo:WILLIAM VENABLES</t>
        </r>
      </text>
    </comment>
    <comment ref="AA2106" authorId="0" shapeId="0" xr:uid="{57C68BEC-1FCF-4E2C-94D0-C6438FB6E8D2}">
      <text>
        <r>
          <rPr>
            <sz val="9"/>
            <color indexed="81"/>
            <rFont val="Tahoma"/>
            <family val="2"/>
          </rPr>
          <t>PHILIPPA STANDON_x000D_
http://yeinfo.com/family/I09066977.html_x000D_
https://www.google.com/search?q=PHILIPPA+STANDON+1220+1294+DUTTON_x000D_
.born: 1220    -          Standon (Staffordshire) England_x000D_
.died: 1294    -1305      Dutton (Cheshire) England, age:74y 0m 0d, _x000D_
.bapt: 1785GE_x000D_
.will: 2004MO_x000D_
.obit: 1890OH_x000D_
.bury: 1850IL _x000D_
.wpbt: 1826PA_x000D_
.anc#:double ancestor_x000D_
citiz:foreign_x000D_
#spos:1_x000D_
#srcs:1_x000D_
#comment:1_x000D_
#events:1_x000D_
#kids:1_x000D_
lived:ENCHESHDUTTON,ENSTAFSSTANDON_x000D_
issue:_x000D_
.recs:Birth,Marriage,Death_x000D_
.imm?:no_x000D_
..Spo:THOMAS DUTTON</t>
        </r>
      </text>
    </comment>
    <comment ref="X2108" authorId="0" shapeId="0" xr:uid="{6ED804DD-F398-4E51-901F-062CDB0D5A54}">
      <text>
        <r>
          <rPr>
            <sz val="9"/>
            <color indexed="81"/>
            <rFont val="Tahoma"/>
            <family val="2"/>
          </rPr>
          <t>HUGH VENABLES_x000D_
http://yeinfo.com/family/I09066992.html_x000D_
https://www.google.com/search?q=HUGH+VENABLES+1296+1368+KATHERINE_x000D_
.born: 1296    -          Kinderton (Cheshire) England_x000D_
.died: 13681122-          Kinderton (Cheshire) England, age:72y 10m 21d, _x000D_
.bapt: 1785GE_x000D_
.will: 2004MO_x000D_
.obit: 1890OH_x000D_
.bury: 1850IL _x000D_
.wpbt: 1826PA_x000D_
.anc#:double ancestor_x000D_
citiz:foreign_x000D_
#spos:1_x000D_
#srcs:1_x000D_
#comment:0_x000D_
#events:3_x000D_
#kids:1_x000D_
lived:ENCHESHKINDERT,ENLANCS_x000D_
issue:_x000D_
.recs:Birth,Marriage,Death_x000D_
.imm?:no_x000D_
..Spo:KATHERINE HOUGHTON</t>
        </r>
      </text>
    </comment>
    <comment ref="AA2110" authorId="0" shapeId="0" xr:uid="{247F5E43-8DD1-4C77-AE63-80505C53D42C}">
      <text>
        <r>
          <rPr>
            <sz val="9"/>
            <color indexed="81"/>
            <rFont val="Tahoma"/>
            <family val="2"/>
          </rPr>
          <t>RALPH VERNON_x000D_
http://yeinfo.com/family/I09066995.html_x000D_
https://www.google.com/search?q=RALPH+VERNON+1190+1270+CECILIA_x000D_
.born: 1190    -          Shipbrook (Cheshire) England_x000D_
.died: 1270    -          Shipbrook (Cheshire) England, age:80y 0m 0d, _x000D_
.bapt: 1785GE_x000D_
.will: 2004MO_x000D_
.obit: 1890OH_x000D_
.bury: 1850IL _x000D_
.wpbt: 1826PA_x000D_
.anc#:double ancestor_x000D_
citiz:foreign_x000D_
#spos:1_x000D_
#srcs:1_x000D_
#comment:1_x000D_
#events:1_x000D_
#kids:1_x000D_
lived:ENCHESHSHIPBRO_x000D_
issue:_x000D_
.recs:Birth,Marriage,Death_x000D_
.imm?:no_x000D_
..Spo:CECILIA CREW</t>
        </r>
      </text>
    </comment>
    <comment ref="Z2112" authorId="0" shapeId="0" xr:uid="{F9B3D30B-663F-40F6-98C6-BFA1D2CFD0B2}">
      <text>
        <r>
          <rPr>
            <sz val="9"/>
            <color indexed="81"/>
            <rFont val="Tahoma"/>
            <family val="2"/>
          </rPr>
          <t>RALPH VERNON_x000D_
http://yeinfo.com/family/I09066996.html_x000D_
https://www.google.com/search?q=RALPH+VERNON+1241+1325+MARY_x000D_
.born: 1241    -          Shipbrook (Cheshire) England_x000D_
.died: 1325    -          Bostock (Cheshire) England, age:84y 0m 0d, _x000D_
.bapt: 1785GE_x000D_
.will: 2004MO_x000D_
.obit: 1890OH_x000D_
.bury: 1850IL _x000D_
.wpbt: 1826PA_x000D_
.anc#:double ancestor_x000D_
citiz:foreign_x000D_
#spos:1_x000D_
#srcs:1_x000D_
#comment:0_x000D_
#events:1_x000D_
#kids:1_x000D_
lived:ENCHESHBOSTOCK,ENCHESHDAVENHA,ENCHESHSHIPBRO_x000D_
issue:_x000D_
.recs:Birth,Marriage,Death_x000D_
.imm?:no_x000D_
..Spo:MARY DACRE</t>
        </r>
      </text>
    </comment>
    <comment ref="AA2114" authorId="0" shapeId="0" xr:uid="{ED379F4E-3B6D-465E-9985-69D48A7D1316}">
      <text>
        <r>
          <rPr>
            <sz val="9"/>
            <color indexed="81"/>
            <rFont val="Tahoma"/>
            <family val="2"/>
          </rPr>
          <t>CECILIA CREW_x000D_
http://yeinfo.com/family/I09066894.html_x000D_
https://www.google.com/search?q=CECILIA+CREW+1220+1260+VERNON_x000D_
.born:?1220    -          Shipbrook (Cheshire) England_x000D_
.died: 1260    -          Cheshire county England, age:40y 0m 0d, _x000D_
.bapt: 1785GE_x000D_
.will: 2004MO_x000D_
.obit: 1890OH_x000D_
.bury: 1850IL _x000D_
.wpbt: 1826PA_x000D_
.anc#:double ancestor_x000D_
citiz:foreign_x000D_
#spos:1_x000D_
#srcs:1_x000D_
#comment:0_x000D_
#events:1_x000D_
#kids:1_x000D_
lived:ENCHESHSHIPBRO_x000D_
issue:_x000D_
.recs:Birth,Marriage,Death_x000D_
.imm?:no_x000D_
..Spo:RALPH VERNON</t>
        </r>
      </text>
    </comment>
    <comment ref="Y2116" authorId="0" shapeId="0" xr:uid="{0BC40671-BCA4-4750-89B4-A44756FEF369}">
      <text>
        <r>
          <rPr>
            <sz val="9"/>
            <color indexed="81"/>
            <rFont val="Tahoma"/>
            <family val="2"/>
          </rPr>
          <t>AGATHA VERNON_x000D_
http://yeinfo.com/family/I09066997.html_x000D_
https://www.google.com/search?q=AGATHA+VERNON+1270+1350+VENABLES_x000D_
.born:?1270    -          Northwich (Cheshire) England_x000D_
.died: 1350    -          Kinderton (Cheshire) England, age:80y 0m 0d, _x000D_
.bapt: 1785GE_x000D_
.will: 2004MO_x000D_
.obit: 1890OH_x000D_
.bury: 1850IL _x000D_
.wpbt: 1826PA_x000D_
.anc#:double ancestor_x000D_
citiz:foreign_x000D_
#spos:1_x000D_
#srcs:1_x000D_
#comment:0_x000D_
#events:1_x000D_
#kids:1_x000D_
lived:ENCHESHKINDERT,ENCHESHNORTWCH_x000D_
issue:_x000D_
.recs:Birth,Marriage,Death_x000D_
.imm?:no_x000D_
..Spo:HUGH VENABLES</t>
        </r>
      </text>
    </comment>
    <comment ref="AA2118" authorId="0" shapeId="0" xr:uid="{E096D3CD-3981-424B-A854-CB20F667F95F}">
      <text>
        <r>
          <rPr>
            <sz val="9"/>
            <color indexed="81"/>
            <rFont val="Tahoma"/>
            <family val="2"/>
          </rPr>
          <t>RANDULPH DACRE_x000D_
http://yeinfo.com/family/I09066897.html_x000D_
https://www.google.com/search?q=RANDULPH+DACRE+1236+1285+JOAN_x000D_
.born: 1236    -          Cumberland county England_x000D_
.died: 12850618-         ?Cumberland county England, age:49y 5m 17d, _x000D_
.bapt: 1785GE_x000D_
.will: 2004MO_x000D_
.obit: 1890OH_x000D_
.bury: 1850IL _x000D_
.wpbt: 1826PA_x000D_
.anc#:double ancestor_x000D_
citiz:foreign_x000D_
#spos:1_x000D_
#srcs:1_x000D_
#comment:1_x000D_
#events:1_x000D_
#kids:1_x000D_
lived:ENCUMBE_x000D_
issue:Died after Age 100_x000D_
.recs:Birth,Marriage,Death_x000D_
.imm?:no_x000D_
..Spo:JOAN LUCY</t>
        </r>
      </text>
    </comment>
    <comment ref="Z2120" authorId="0" shapeId="0" xr:uid="{14BCEA18-BDF2-4AB3-B8F4-0DB7B7283CAC}">
      <text>
        <r>
          <rPr>
            <sz val="9"/>
            <color indexed="81"/>
            <rFont val="Tahoma"/>
            <family val="2"/>
          </rPr>
          <t>MARY DACRE_x000D_
http://yeinfo.com/family/I09066898.html_x000D_
https://www.google.com/search?q=MARY+DACRE+1250+1319+VERNON_x000D_
.born: 1250    -          Dacre (Cumberland) England_x000D_
.died: 13190601-          Bostock (Cheshire) England, age:69y 5m 0d, _x000D_
.bapt: 1785GE_x000D_
.will: 2004MO_x000D_
.obit: 1890OH_x000D_
.bury: 1850IL _x000D_
.wpbt: 1826PA_x000D_
.anc#:double ancestor_x000D_
citiz:foreign_x000D_
#spos:1_x000D_
#srcs:1_x000D_
#comment:0_x000D_
#events:1_x000D_
#kids:1_x000D_
lived:ENCHESHBOSTOCK,ENCHESHDAVENHA,ENCUMBEDACRE_x000D_
issue:Died after Age 100_x000D_
.recs:Birth,Marriage,Death_x000D_
.imm?:no_x000D_
..Spo:RALPH VERNON</t>
        </r>
      </text>
    </comment>
    <comment ref="AA2122" authorId="0" shapeId="0" xr:uid="{BA771043-B872-4EBA-BE54-3B4F185E2E15}">
      <text>
        <r>
          <rPr>
            <sz val="9"/>
            <color indexed="81"/>
            <rFont val="Tahoma"/>
            <family val="2"/>
          </rPr>
          <t>JOAN LUCY_x000D_
http://yeinfo.com/family/I09066945.html_x000D_
https://www.google.com/search?q=JOAN+LUCY+1236+1288+DACRE_x000D_
.born:?1236    -          Cumberland county England_x000D_
.died: 1288    -          Cumberland county England, age:52y 0m 0d, _x000D_
.bapt: 1785GE_x000D_
.will: 2004MO_x000D_
.obit: 1890OH_x000D_
.bury: 1850IL _x000D_
.wpbt: 1826PA_x000D_
.anc#:double ancestor_x000D_
citiz:foreign_x000D_
#spos:1_x000D_
#srcs:1_x000D_
#comment:1_x000D_
#events:1_x000D_
#kids:1_x000D_
lived:ENCUMBE_x000D_
issue:Died after Age 100_x000D_
.recs:Birth,Marriage,Death_x000D_
.imm?:no_x000D_
..Spo:RANDULPH DACRE</t>
        </r>
      </text>
    </comment>
    <comment ref="W2124" authorId="0" shapeId="0" xr:uid="{A2CC036C-CAE8-45CA-8810-B50F7CD1C287}">
      <text>
        <r>
          <rPr>
            <sz val="9"/>
            <color indexed="81"/>
            <rFont val="Tahoma"/>
            <family val="2"/>
          </rPr>
          <t>HUGH VENABLES_x000D_
http://yeinfo.com/family/I09066993.html_x000D_
https://www.google.com/search?q=HUGH+VENABLES+1330+1382+MARGERY_x000D_
.born: 1330    -          Northwich (Cheshire) England_x000D_
.died: 13820418-          Kinderton (Cheshire) England, age:52y 3m 17d, _x000D_
.bapt: 1785GE_x000D_
.will: 2004MO_x000D_
.obit: 1890OH_x000D_
.bury: 1850IL _x000D_
.wpbt: 1826PA_x000D_
.anc#:double ancestor_x000D_
citiz:foreign_x000D_
#spos:1_x000D_
#srcs:1_x000D_
#comment:0_x000D_
#events:2_x000D_
#kids:1_x000D_
lived:ENCHESHKINDERT,ENCHESHNORTWCH,ENLANCS_x000D_
issue:_x000D_
.recs:Birth,Marriage,Death_x000D_
.imm?:no_x000D_
..Spo:MARGERY COTTON</t>
        </r>
      </text>
    </comment>
    <comment ref="AA2126" authorId="0" shapeId="0" xr:uid="{188806AD-A2BB-4F6D-90C3-0381E643A58B}">
      <text>
        <r>
          <rPr>
            <sz val="9"/>
            <color indexed="81"/>
            <rFont val="Tahoma"/>
            <family val="2"/>
          </rPr>
          <t>ADAM HOUGHTON I_x000D_
http://yeinfo.com/family/I09066925.html_x000D_
https://www.google.com/search?q=ADAM+HOUGHTON+1192+1283+AGNES_x000D_
.born: 1192    -          Warrington (Lancashire) England_x000D_
.died: 1283    -          Lancashire county England, age:91y 0m 0d, _x000D_
.bapt: 1785GE_x000D_
.will: 2004MO_x000D_
.obit: 1890OH_x000D_
.bury: 1850IL _x000D_
.wpbt: 1826PA_x000D_
.anc#:double ancestor_x000D_
citiz:foreign_x000D_
#spos:1_x000D_
#srcs:1_x000D_
#comment:1_x000D_
#events:1_x000D_
#kids:1_x000D_
lived:ENLANCSWARRING,ENLINCSNOCTON_x000D_
issue:_x000D_
.recs:Birth,Marriage,Death_x000D_
.imm?:no_x000D_
..Spo:AGNES HOCTON</t>
        </r>
      </text>
    </comment>
    <comment ref="Z2128" authorId="0" shapeId="0" xr:uid="{A3D35E18-F9BC-4EB7-8158-4CDE27EABA75}">
      <text>
        <r>
          <rPr>
            <sz val="9"/>
            <color indexed="81"/>
            <rFont val="Tahoma"/>
            <family val="2"/>
          </rPr>
          <t>ADAM HOUGHTON IV_x000D_
http://yeinfo.com/family/I09066926.html_x000D_
https://www.google.com/search?q=ADAM+HOUGHTON+1225+1280+AVICIA_x000D_
.born: 1225    -          Warrington (Lancashire) England_x000D_
.died: 1280    -          Lancashire county England, age:55y 0m 0d, _x000D_
.bapt: 1785GE_x000D_
.will: 2004MO_x000D_
.obit: 1890OH_x000D_
.bury: 1850IL _x000D_
.wpbt: 1826PA_x000D_
.anc#:double ancestor_x000D_
citiz:foreign_x000D_
#spos:1_x000D_
#srcs:1_x000D_
#comment:0_x000D_
#events:1_x000D_
#kids:1_x000D_
lived:ENLANCSWARRING_x000D_
issue:_x000D_
.recs:Birth,Marriage,Death_x000D_
.imm?:no_x000D_
..Spo:AVICIA HOWICK</t>
        </r>
      </text>
    </comment>
    <comment ref="AA2130" authorId="0" shapeId="0" xr:uid="{E71D5045-380C-4DD9-9AD5-0E628B3C8AE5}">
      <text>
        <r>
          <rPr>
            <sz val="9"/>
            <color indexed="81"/>
            <rFont val="Tahoma"/>
            <family val="2"/>
          </rPr>
          <t>AGNES HOCTON_x000D_
http://yeinfo.com/family/I09066921.html_x000D_
https://www.google.com/search?q=AGNES+HOCTON+1196+1283+HOUGHTON_x000D_
.born: 1196    -          Lancashire county England_x000D_
.died: 1283    -          Lancashire county England, age:87y 0m 0d, _x000D_
.bapt: 1785GE_x000D_
.will: 2004MO_x000D_
.obit: 1890OH_x000D_
.bury: 1850IL _x000D_
.wpbt: 1826PA_x000D_
.anc#:double ancestor_x000D_
citiz:foreign_x000D_
#spos:1_x000D_
#srcs:1_x000D_
#comment:0_x000D_
#events:1_x000D_
#kids:1_x000D_
lived:ENLANCS,ENLINCSNOCTON_x000D_
issue:_x000D_
.recs:Birth,Marriage,Death_x000D_
.imm?:no_x000D_
..Spo:ADAM HOUGHTON</t>
        </r>
      </text>
    </comment>
    <comment ref="Y2132" authorId="0" shapeId="0" xr:uid="{6A202A12-D6EB-4729-BE12-8A72EB770D7F}">
      <text>
        <r>
          <rPr>
            <sz val="9"/>
            <color indexed="81"/>
            <rFont val="Tahoma"/>
            <family val="2"/>
          </rPr>
          <t>RICHARD HOUGHTON_x000D_
http://yeinfo.com/family/I09066927.html_x000D_
https://www.google.com/search?q=RICHARD+HOUGHTON+1268+1341+SYBIL_x000D_
.born: 1268    -          Warrington (Lancashire) England_x000D_
.died: 134112  -          Lea (Lancashire) England, age:73y 11m 0d, _x000D_
.bapt: 1785GE_x000D_
.will: 2004MO_x000D_
.obit: 1890OH_x000D_
.bury: 1850IL _x000D_
.wpbt: 1826PA_x000D_
.anc#:double ancestor_x000D_
citiz:foreign_x000D_
#spos:1_x000D_
#srcs:1_x000D_
#comment:0_x000D_
#events:1_x000D_
#kids:1_x000D_
lived:ENCHESHMOLLING,ENLANCSLEA,ENLANCSWARRING_x000D_
issue:_x000D_
.recs:Birth,Marriage,Death_x000D_
.imm?:no_x000D_
..Spo:SYBIL LEA</t>
        </r>
      </text>
    </comment>
    <comment ref="Z2134" authorId="0" shapeId="0" xr:uid="{DBBE538D-8BED-4D4C-93F1-2BB7AB112CB9}">
      <text>
        <r>
          <rPr>
            <sz val="9"/>
            <color indexed="81"/>
            <rFont val="Tahoma"/>
            <family val="2"/>
          </rPr>
          <t>AVICIA HOWICK_x000D_
http://yeinfo.com/family/I09066929.html_x000D_
https://www.google.com/search?q=AVICIA+HOWICK+1233+1293+HOUGHTON_x000D_
.born: 1233    -          Sefton (Lancashire) England_x000D_
.died: 1293    -          Lancashire (Lancashire) England, age:60y 0m 0d, _x000D_
.bapt: 1785GE_x000D_
.will: 2004MO_x000D_
.obit: 1890OH_x000D_
.bury: 1850IL _x000D_
.wpbt: 1826PA_x000D_
.anc#:double ancestor_x000D_
citiz:foreign_x000D_
#spos:1_x000D_
#srcs:1_x000D_
#comment:1_x000D_
#events:1_x000D_
#kids:1_x000D_
lived:ENLANCSLANCASH,ENLANCSSEFTON_x000D_
issue:_x000D_
.recs:Birth,Marriage,Death_x000D_
.imm?:no_x000D_
..Spo:ADAM HOUGHTON</t>
        </r>
      </text>
    </comment>
    <comment ref="X2136" authorId="0" shapeId="0" xr:uid="{3FEAB3C7-1BE2-4C6D-AE38-77F9B1816BAA}">
      <text>
        <r>
          <rPr>
            <sz val="9"/>
            <color indexed="81"/>
            <rFont val="Tahoma"/>
            <family val="2"/>
          </rPr>
          <t>KATHERINE HOUGHTON_x000D_
http://yeinfo.com/family/I09066928.html_x000D_
https://www.google.com/search?q=KATHERINE+HOUGHTON+1308+1368+VENABLES_x000D_
.born: 1308    -          Mollington (Cheshire) England_x000D_
.died: 1368    -          Kinderton (Cheshire) England, age:60y 0m 0d, _x000D_
.bapt: 1785GE_x000D_
.will: 2004MO_x000D_
.obit: 1890OH_x000D_
.bury: 1850IL _x000D_
.wpbt: 1826PA_x000D_
.anc#:double ancestor_x000D_
citiz:foreign_x000D_
#spos:1_x000D_
#srcs:1_x000D_
#comment:0_x000D_
#events:1_x000D_
#kids:1_x000D_
lived:ENCHESHKINDERT,ENCHESHMOLLING_x000D_
issue:_x000D_
.recs:Birth,Marriage,Death_x000D_
.imm?:no_x000D_
..Spo:HUGH VENABLES</t>
        </r>
      </text>
    </comment>
    <comment ref="Z2138" authorId="0" shapeId="0" xr:uid="{FB9EC85D-4E11-40DB-9555-E7A11C5CAD49}">
      <text>
        <r>
          <rPr>
            <sz val="9"/>
            <color indexed="81"/>
            <rFont val="Tahoma"/>
            <family val="2"/>
          </rPr>
          <t>WILLIAM LEA_x000D_
http://yeinfo.com/family/I09066938.html_x000D_
https://www.google.com/search?q=WILLIAM+LEA+1237+1302+CLEMENCE_x000D_
.born:?1237    -          Lea Hall (Lancashire) England_x000D_
.died: 130204  -          Lea Hall (Lancashire) England, age:65y 3m 0d, _x000D_
.bapt: 1785GE_x000D_
.will: 2004MO_x000D_
.obit: 1890OH_x000D_
.bury: 1850IL _x000D_
.wpbt: 1826PA_x000D_
.anc#:double ancestor_x000D_
citiz:foreign_x000D_
#spos:1_x000D_
#srcs:1_x000D_
#comment:1_x000D_
#events:2_x000D_
#kids:1_x000D_
lived:ENCHESHMOLLING,ENLANCSLEA HAL,ENLANCSPRESTON_x000D_
issue:_x000D_
.recs:Birth,Marriage,Death_x000D_
.imm?:no_x000D_
..Spo:CLEMENCE BANASTRE</t>
        </r>
      </text>
    </comment>
    <comment ref="Y2140" authorId="0" shapeId="0" xr:uid="{18C89A30-ECB5-4C81-A93F-2D16DEF3E599}">
      <text>
        <r>
          <rPr>
            <sz val="9"/>
            <color indexed="81"/>
            <rFont val="Tahoma"/>
            <family val="2"/>
          </rPr>
          <t>SYBIL LEA_x000D_
http://yeinfo.com/family/I09066939.html_x000D_
https://www.google.com/search?q=SYBIL+LEA+1283+1330+HOUGHTON_x000D_
.born: 1283    -          Cheshire county England_x000D_
.died: 1330    -          Millington (Cheshire) England, age:47y 0m 0d, _x000D_
.bapt: 1785GE_x000D_
.will: 2004MO_x000D_
.obit: 1890OH_x000D_
.bury: 1850IL _x000D_
.wpbt: 1826PA_x000D_
.anc#:double ancestor_x000D_
citiz:foreign_x000D_
#spos:1_x000D_
#srcs:1_x000D_
#comment:0_x000D_
#events:1_x000D_
#kids:1_x000D_
lived:ENCHESHMILLING,ENCHESHMOLLING_x000D_
issue:_x000D_
.recs:Birth,Marriage,Death_x000D_
.imm?:no_x000D_
..Spo:RICHARD HOUGHTON</t>
        </r>
      </text>
    </comment>
    <comment ref="Z2142" authorId="0" shapeId="0" xr:uid="{6A1239C8-2183-4174-9404-DFF0DB8B4F19}">
      <text>
        <r>
          <rPr>
            <sz val="9"/>
            <color indexed="81"/>
            <rFont val="Tahoma"/>
            <family val="2"/>
          </rPr>
          <t>CLEMENCE BANASTRE_x000D_
http://yeinfo.com/family/I09066867.html_x000D_
https://www.google.com/search?q=CLEMENCE+BANASTRE+1240+1298+LEA_x000D_
.born:?1240    -          Mollington (Cheshire) England_x000D_
.died:?1298    -          Mollington (Cheshire) England, age:58y 0m 0d, _x000D_
.bapt: 1785GE_x000D_
.will: 2004MO_x000D_
.obit: 1890OH_x000D_
.bury: 1850IL _x000D_
.wpbt: 1826PA_x000D_
.anc#:double ancestor_x000D_
citiz:foreign_x000D_
#spos:1_x000D_
#srcs:1_x000D_
#comment:1_x000D_
#events:1_x000D_
#kids:1_x000D_
lived:ENCHESHMOLLING_x000D_
issue:_x000D_
.recs:Birth,Marriage,Death_x000D_
.imm?:no_x000D_
..Spo:WILLIAM LEA</t>
        </r>
      </text>
    </comment>
    <comment ref="V2144" authorId="0" shapeId="0" xr:uid="{152327A4-FA09-482F-87A4-EE4A4F3CEE25}">
      <text>
        <r>
          <rPr>
            <sz val="9"/>
            <color indexed="81"/>
            <rFont val="Tahoma"/>
            <family val="2"/>
          </rPr>
          <t>WILLIAM RICHARD VENABLES_x000D_
http://yeinfo.com/family/I09066994.html_x000D_
https://www.google.com/search?q=WILLIAM+RICHARD+VENABLES+1376+1459+JOHANNA+JOAN_x000D_
.born: 13760413-          Cheshire county England_x000D_
.died: 1459    -          Cheshire county England, age:82y 8m 19d, _x000D_
.bapt: 1785GE_x000D_
.will: 2004MO_x000D_
.obit: 1890OH_x000D_
.bury: 1850IL _x000D_
.wpbt: 1826PA_x000D_
.anc#:double ancestor_x000D_
citiz:foreign_x000D_
#spos:1_x000D_
#srcs:1_x000D_
#comment:0_x000D_
#events:1_x000D_
#kids:1_x000D_
lived:ENCHESHBURTON_x000D_
issue:_x000D_
.recs:Birth,Marriage,Death_x000D_
.imm?:no_x000D_
..Spo:JOHANNA JOAN MASSEY</t>
        </r>
      </text>
    </comment>
    <comment ref="AA2146" authorId="0" shapeId="0" xr:uid="{B49B1A8C-28E9-43E7-814F-4432E10B7DBE}">
      <text>
        <r>
          <rPr>
            <sz val="9"/>
            <color indexed="81"/>
            <rFont val="Tahoma"/>
            <family val="2"/>
          </rPr>
          <t>WILLIAM COTTON_x000D_
http://yeinfo.com/family/I09066889.html_x000D_
https://www.google.com/search?q=WILLIAM+COTTON+1235+1290+ISABELLA_x000D_
.born: 1235    -          Coton (Shropshire) England_x000D_
.died: 1290    -         ?Shropshire county England, age:55y 0m 0d, _x000D_
.bapt: 1785GE_x000D_
.will: 2004MO_x000D_
.obit: 1890OH_x000D_
.bury: 1850IL _x000D_
.wpbt: 1826PA_x000D_
.anc#:double ancestor_x000D_
citiz:foreign_x000D_
#spos:1_x000D_
#srcs:1_x000D_
#comment:1_x000D_
#events:1_x000D_
#kids:1_x000D_
lived:ENSHROPCOTON_x000D_
issue:Died after Age 100_x000D_
.recs:Birth,Marriage,Death_x000D_
.imm?:no_x000D_
..Spo:ISABELLA LEON</t>
        </r>
      </text>
    </comment>
    <comment ref="Z2148" authorId="0" shapeId="0" xr:uid="{F49249F3-F8D5-4E7D-968D-AFFC285651CF}">
      <text>
        <r>
          <rPr>
            <sz val="9"/>
            <color indexed="81"/>
            <rFont val="Tahoma"/>
            <family val="2"/>
          </rPr>
          <t>HUGH COTTON_x000D_
http://yeinfo.com/family/I09066890.html_x000D_
https://www.google.com/search?q=HUGH+COTTON+1265+1288+ELIZABETH_x000D_
.born:?1265    -          Tittenley (Cheshire) England_x000D_
.died:?1288    -1350      Rudheath (Cheshire) England, age:23y 0m 0d, _x000D_
.bapt: 1785GE_x000D_
.will: 2004MO_x000D_
.obit: 1890OH_x000D_
.bury: 1850IL _x000D_
.wpbt: 1826PA_x000D_
.anc#:double ancestor_x000D_
citiz:foreign_x000D_
#spos:1_x000D_
#srcs:1_x000D_
#comment:0_x000D_
#events:1_x000D_
#kids:1_x000D_
lived:ENCHESHRUDHEAT,ENCHESHTITTENL_x000D_
issue:Died after Age 100_x000D_
.recs:Birth,Marriage,Death_x000D_
.imm?:no_x000D_
..Spo:ELIZABETH TITTENLEGH</t>
        </r>
      </text>
    </comment>
    <comment ref="AA2150" authorId="0" shapeId="0" xr:uid="{2143116D-94E5-4FD7-AAE3-1C74A76E94C4}">
      <text>
        <r>
          <rPr>
            <sz val="9"/>
            <color indexed="81"/>
            <rFont val="Tahoma"/>
            <family val="2"/>
          </rPr>
          <t>ISABELLA LEON_x000D_
http://yeinfo.com/family/I09066943.html_x000D_
https://www.google.com/search?q=ISABELLA+LEON+1234+1302+COTTON_x000D_
.born: 1234    -          Cotton (Cheshire) England_x000D_
.died: 1302    -         ?Cheshire county England, age:68y 0m 0d, _x000D_
.bapt: 1785GE_x000D_
.will: 2004MO_x000D_
.obit: 1890OH_x000D_
.bury: 1850IL _x000D_
.wpbt: 1826PA_x000D_
.anc#:double ancestor_x000D_
citiz:foreign_x000D_
#spos:1_x000D_
#srcs:1_x000D_
#comment:0_x000D_
#events:1_x000D_
#kids:1_x000D_
lived:?ENSHROP,ENCHESHCOTTON_x000D_
issue:Died after Age 100_x000D_
.recs:Birth,Marriage,Death_x000D_
.imm?:no_x000D_
..Spo:WILLIAM COTTON</t>
        </r>
      </text>
    </comment>
    <comment ref="Y2152" authorId="0" shapeId="0" xr:uid="{81BFB575-053D-46AE-A1B8-E09F2C9F1044}">
      <text>
        <r>
          <rPr>
            <sz val="9"/>
            <color indexed="81"/>
            <rFont val="Tahoma"/>
            <family val="2"/>
          </rPr>
          <t>ALAN COTTON_x000D_
http://yeinfo.com/family/I09066891.html_x000D_
https://www.google.com/search?q=ALAN+COTTON+1290+1322+MARGARET_x000D_
.born: 1290    -          Cotton (Shropshire) England_x000D_
.died: 1322    -         ?Cheshire county England, age:32y 0m 0d, _x000D_
.bapt: 1785GE_x000D_
.will: 2004MO_x000D_
.obit: 1890OH_x000D_
.bury: 1850IL _x000D_
.wpbt: 1826PA_x000D_
.anc#:double ancestor_x000D_
citiz:foreign_x000D_
#spos:1_x000D_
#srcs:1_x000D_
#comment:0_x000D_
#events:1_x000D_
#kids:1_x000D_
lived:?ENCHESH,ENSHROPCOTTON_x000D_
issue:Born after Parent Died_x000D_
.recs:Birth,Marriage,Death_x000D_
.imm?:no_x000D_
..Spo:MARGARET ACTON</t>
        </r>
      </text>
    </comment>
    <comment ref="AA2154" authorId="0" shapeId="0" xr:uid="{3D0B4B98-DED6-43C7-81AE-8587C0C71318}">
      <text>
        <r>
          <rPr>
            <sz val="9"/>
            <color indexed="81"/>
            <rFont val="Tahoma"/>
            <family val="2"/>
          </rPr>
          <t>HAMON TITTENLEGH_x000D_
http://yeinfo.com/family/I09066978.html_x000D_
https://www.google.com/search?q=HAMON+TITTENLEGH+1209+1295+HAWISE_x000D_
.born: 1209    -          Coton (Shropshire) England_x000D_
.died: 1295    -          Coton (Shropshire) England, age:86y 0m 0d, _x000D_
.bapt: 1785GE_x000D_
.will: 2004MO_x000D_
.obit: 1890OH_x000D_
.bury: 1850IL _x000D_
.wpbt: 1826PA_x000D_
.anc#:double ancestor_x000D_
citiz:foreign_x000D_
#spos:1_x000D_
#srcs:1_x000D_
#comment:0_x000D_
#events:1_x000D_
#kids:1_x000D_
lived:ENSHROPCOTON_x000D_
issue:_x000D_
.recs:Birth,Marriage,Death_x000D_
.imm?:no_x000D_
..Spo:HAWISE ACTON</t>
        </r>
      </text>
    </comment>
    <comment ref="Z2156" authorId="0" shapeId="0" xr:uid="{5D8C5510-328A-4176-8169-B1AB83CF8A35}">
      <text>
        <r>
          <rPr>
            <sz val="9"/>
            <color indexed="81"/>
            <rFont val="Tahoma"/>
            <family val="2"/>
          </rPr>
          <t>ELIZABETH TITTENLEGH_x000D_
http://yeinfo.com/family/I09066979.html_x000D_
https://www.google.com/search?q=ELIZABETH+TITTENLEGH+1265+1319+COTTON_x000D_
.born:?1265    -          Tittenley (Cheshire) England_x000D_
.died: 1319    -          Coton (Shropshire) England, age:54y 0m 0d, _x000D_
.bapt: 1785GE_x000D_
.will: 2004MO_x000D_
.obit: 1890OH_x000D_
.bury: 1850IL _x000D_
.wpbt: 1826PA_x000D_
.anc#:double ancestor_x000D_
citiz:foreign_x000D_
#spos:1_x000D_
#srcs:1_x000D_
#comment:0_x000D_
#events:1_x000D_
#kids:1_x000D_
lived:ENCHESHTITTENL,ENSHROPCOTON_x000D_
issue:Died after Age 100_x000D_
.recs:Birth,Marriage,Death_x000D_
.imm?:no_x000D_
..Spo:HUGH COTTON</t>
        </r>
      </text>
    </comment>
    <comment ref="AA2158" authorId="0" shapeId="0" xr:uid="{58FA52D4-4AB2-4E52-B500-ED52A07ED922}">
      <text>
        <r>
          <rPr>
            <sz val="9"/>
            <color indexed="81"/>
            <rFont val="Tahoma"/>
            <family val="2"/>
          </rPr>
          <t>HAWISE ACTON_x000D_
http://yeinfo.com/family/I09066856.html_x000D_
https://www.google.com/search?q=HAWISE+ACTON+1215+1265+TITTENLEGH_x000D_
.born: 1215    -          Coton (Shropshire) England_x000D_
.died: 1265    -1330     ?Coton (Shropshire) England, age:50y 0m 0d, _x000D_
.bapt: 1785GE_x000D_
.will: 2004MO_x000D_
.obit: 1890OH_x000D_
.bury: 1850IL _x000D_
.wpbt: 1826PA_x000D_
.anc#:double ancestor_x000D_
citiz:foreign_x000D_
#spos:1_x000D_
#srcs:1_x000D_
#comment:0_x000D_
#events:1_x000D_
#kids:1_x000D_
lived:ENSHROPCOTON_x000D_
issue:_x000D_
.recs:Birth,Marriage,Death_x000D_
.imm?:no_x000D_
..Spo:HAMON TITTENLEGH</t>
        </r>
      </text>
    </comment>
    <comment ref="X2160" authorId="0" shapeId="0" xr:uid="{5FFB8808-08B2-4B24-AFEA-AA44C0478689}">
      <text>
        <r>
          <rPr>
            <sz val="9"/>
            <color indexed="81"/>
            <rFont val="Tahoma"/>
            <family val="2"/>
          </rPr>
          <t>HUGH COTTON_x000D_
http://yeinfo.com/family/I09066892.html_x000D_
https://www.google.com/search?q=HUGH+COTTON+1315+1360+ISABEL_x000D_
.born: 1315    -         ?_x000D_
.died: 1360    -          Rudheath (Cheshire) England, age:45y 0m 0d, _x000D_
.bapt: 1785GE_x000D_
.will: 2004MO_x000D_
.obit: 1890OH_x000D_
.bury: 1850IL _x000D_
.wpbt: 1826PA_x000D_
.anc#:double ancestor_x000D_
citiz:foreign_x000D_
#spos:1_x000D_
#srcs:1_x000D_
#comment:0_x000D_
#events:1_x000D_
#kids:1_x000D_
lived:ENCHESHRUDHEAT,ENSHROPALVELEY_x000D_
issue:_x000D_
.recs:Birth,Marriage,Death_x000D_
.imm?:no_x000D_
..Spo:ISABEL HEATON</t>
        </r>
      </text>
    </comment>
    <comment ref="Z2162" authorId="0" shapeId="0" xr:uid="{EFE19B5E-FDA6-4ED5-A1C5-8F0098DA218E}">
      <text>
        <r>
          <rPr>
            <sz val="9"/>
            <color indexed="81"/>
            <rFont val="Tahoma"/>
            <family val="2"/>
          </rPr>
          <t>ROGER ACTON_x000D_
http://yeinfo.com/family/I09066854.html_x000D_
https://www.google.com/search?q=ROGER+ACTON+1273+1343+MATILDA+MAUD_x000D_
.born: 1273    -          Acton (Cheshire) England_x000D_
.died: 1343    -          Acton (Shropshire) England, age:70y 0m 0d, _x000D_
.bapt: 1785GE_x000D_
.will: 2004MO_x000D_
.obit: 1890OH_x000D_
.bury: 1850IL _x000D_
.wpbt: 1826PA_x000D_
.anc#:double ancestor_x000D_
citiz:foreign_x000D_
#spos:1_x000D_
#srcs:1_x000D_
#comment:1_x000D_
#events:1_x000D_
#kids:1_x000D_
lived:ENCHESHACTON,ENSHROPACTON_x000D_
issue:_x000D_
.recs:Birth,Marriage,Death_x000D_
.imm?:no_x000D_
..Spo:MATILDA MAUD D'AGILOFINGES</t>
        </r>
      </text>
    </comment>
    <comment ref="Y2164" authorId="0" shapeId="0" xr:uid="{7A73AE48-6728-4F06-8D04-9D000F48848D}">
      <text>
        <r>
          <rPr>
            <sz val="9"/>
            <color indexed="81"/>
            <rFont val="Tahoma"/>
            <family val="2"/>
          </rPr>
          <t>MARGARET ACTON_x000D_
http://yeinfo.com/family/I09066855.html_x000D_
https://www.google.com/search?q=MARGARET+ACTON+1295+1320+COTTON_x000D_
.born: 1295    -          Acton (Cheshire) England_x000D_
.died: 1320    -1380      Cheshire county England, age:25y 0m 0d, _x000D_
.bapt: 1785GE_x000D_
.will: 2004MO_x000D_
.obit: 1890OH_x000D_
.bury: 1850IL _x000D_
.wpbt: 1826PA_x000D_
.anc#:double ancestor_x000D_
citiz:foreign_x000D_
#spos:1_x000D_
#srcs:1_x000D_
#comment:0_x000D_
#events:1_x000D_
#kids:1_x000D_
lived:ENCHESHACTON_x000D_
issue:Died after Age 100_x000D_
.recs:Birth,Marriage,Death_x000D_
.imm?:no_x000D_
..Spo:ALAN COTTON</t>
        </r>
      </text>
    </comment>
    <comment ref="Z2166" authorId="0" shapeId="0" xr:uid="{3D37D23E-0CFD-4CE1-8495-53FED1BE63F5}">
      <text>
        <r>
          <rPr>
            <sz val="9"/>
            <color indexed="81"/>
            <rFont val="Tahoma"/>
            <family val="2"/>
          </rPr>
          <t>MATILDA MAUD D'AGILOFINGES_x000D_
http://yeinfo.com/family/I09066899.html_x000D_
https://www.google.com/search?q=MATILDA+MAUD+D'AGILOFINGES+1275+1304+ACTON_x000D_
.born: 1275    -          Acton (Shropshire) England_x000D_
.died: 1304    -          Sodbury Chipping (Gloucestershire) England, age:29y 0m 0d, _x000D_
.bapt: 1785GE_x000D_
.will: 2004MO_x000D_
.obit: 1890OH_x000D_
.bury: 1850IL _x000D_
.wpbt: 1826PA_x000D_
.anc#:double ancestor_x000D_
citiz:foreign_x000D_
#spos:1_x000D_
#srcs:1_x000D_
#comment:1_x000D_
#events:1_x000D_
#kids:1_x000D_
lived:ENGLOUSSODBURY,ENSHROPACTON_x000D_
issue:_x000D_
.recs:Birth,Marriage,Death_x000D_
.imm?:no_x000D_
..Spo:ROGER ACTON</t>
        </r>
      </text>
    </comment>
    <comment ref="W2168" authorId="0" shapeId="0" xr:uid="{9C3841D5-D8F7-42CA-A81E-BB5B3C1C8718}">
      <text>
        <r>
          <rPr>
            <sz val="9"/>
            <color indexed="81"/>
            <rFont val="Tahoma"/>
            <family val="2"/>
          </rPr>
          <t>MARGERY COTTON_x000D_
http://yeinfo.com/family/I09066893.html_x000D_
https://www.google.com/search?q=MARGERY+COTTON+1335+1398+VENABLES_x000D_
.born: 1335    -          Rudheath (Cheshire) England_x000D_
.died: 1398    -          Chester (Cheshire) England, age:63y 0m 0d, _x000D_
.bapt: 1785GE_x000D_
.will: 2004MO_x000D_
.obit: 1890OH_x000D_
.bury: 1850IL _x000D_
.wpbt: 1826PA_x000D_
.anc#:double ancestor_x000D_
citiz:foreign_x000D_
#spos:1_x000D_
#srcs:1_x000D_
#comment:0_x000D_
#events:1_x000D_
#kids:1_x000D_
lived:ENCHESHCHESTER,ENCHESHRUDHEAT_x000D_
issue:_x000D_
.recs:Birth,Marriage,Death_x000D_
.imm?:no_x000D_
..Spo:HUGH VENABLES</t>
        </r>
      </text>
    </comment>
    <comment ref="Z2170" authorId="0" shapeId="0" xr:uid="{B7DF2393-6FE4-463B-A849-7DD6F617E830}">
      <text>
        <r>
          <rPr>
            <sz val="9"/>
            <color indexed="81"/>
            <rFont val="Tahoma"/>
            <family val="2"/>
          </rPr>
          <t>THOMAS HEATON_x000D_
http://yeinfo.com/family/I09066916.html_x000D_
https://www.google.com/search?q=THOMAS+HEATON+1257+1292+JOAN_x000D_
.born: 1257    -          Chillingham (Northumberland) England_x000D_
.died: 1292    -          Heaton (Lancashire) England, age:35y 0m 0d, _x000D_
.bapt: 1785GE_x000D_
.will: 2004MO_x000D_
.obit: 1890OH_x000D_
.bury: 1850IL _x000D_
.wpbt: 1826PA_x000D_
.anc#:double ancestor_x000D_
citiz:foreign_x000D_
#spos:1_x000D_
#srcs:1_x000D_
#comment:1_x000D_
#events:1_x000D_
#kids:1_x000D_
lived:ENLANCSHEATON,ENNORTUCHILLIN_x000D_
issue:_x000D_
.recs:Birth,Marriage,Death_x000D_
.imm?:no_x000D_
..Spo:JOAN NEVILLE</t>
        </r>
      </text>
    </comment>
    <comment ref="Y2172" authorId="0" shapeId="0" xr:uid="{E2A4784E-3206-4D60-B21B-5010A6C5445B}">
      <text>
        <r>
          <rPr>
            <sz val="9"/>
            <color indexed="81"/>
            <rFont val="Tahoma"/>
            <family val="2"/>
          </rPr>
          <t>THOMAS HEATON_x000D_
http://yeinfo.com/family/I09066917.html_x000D_
https://www.google.com/search?q=THOMAS+HEATON+1288+1353+AGNES_x000D_
.born: 1288    -          Chillingham (Northumberland) England_x000D_
.died: 13530130-          Northumberland county England, age:65y 0m 29d, _x000D_
.bapt: 1785GE_x000D_
.will: 2004MO_x000D_
.obit: 1890OH_x000D_
.bury: 1850IL _x000D_
.wpbt: 1826PA_x000D_
.anc#:double ancestor_x000D_
citiz:foreign_x000D_
#spos:1_x000D_
#srcs:1_x000D_
#comment:0_x000D_
#events:1_x000D_
#kids:1_x000D_
lived:ENNORTUCHILLIN_x000D_
issue:_x000D_
.recs:Birth,Marriage,Death_x000D_
.imm?:no_x000D_
..Spo:AGNES HEYTON</t>
        </r>
      </text>
    </comment>
    <comment ref="Z2174" authorId="0" shapeId="0" xr:uid="{0F4E330B-3559-4BEA-8583-D7E9E398B875}">
      <text>
        <r>
          <rPr>
            <sz val="9"/>
            <color indexed="81"/>
            <rFont val="Tahoma"/>
            <family val="2"/>
          </rPr>
          <t>JOAN NEVILLE_x000D_
http://yeinfo.com/family/I09066953.html_x000D_
https://www.google.com/search?q=JOAN+NEVILLE+1267+1326+HEATON_x000D_
.born: 1267    -          Durham county England_x000D_
.died: 1326    -          Northumberland county England, age:59y 0m 0d, _x000D_
.bapt: 1785GE_x000D_
.will: 2004MO_x000D_
.obit: 1890OH_x000D_
.bury: 1850IL _x000D_
.wpbt: 1826PA_x000D_
.anc#:double ancestor_x000D_
citiz:foreign_x000D_
#spos:1_x000D_
#srcs:1_x000D_
#comment:1_x000D_
#events:1_x000D_
#kids:1_x000D_
lived:ENDURHA,ENNORTU_x000D_
issue:_x000D_
.recs:Birth,Marriage,Death_x000D_
.imm?:no_x000D_
..Spo:THOMAS HEATON</t>
        </r>
      </text>
    </comment>
    <comment ref="X2176" authorId="0" shapeId="0" xr:uid="{8E8E2DDC-AF37-4B09-8375-B3B8CA6BC31A}">
      <text>
        <r>
          <rPr>
            <sz val="9"/>
            <color indexed="81"/>
            <rFont val="Tahoma"/>
            <family val="2"/>
          </rPr>
          <t>ISABEL HEATON_x000D_
http://yeinfo.com/family/I09066918.html_x000D_
https://www.google.com/search?q=ISABEL+HEATON+1317+1335+COTTON_x000D_
.born:?1317    -          Chillingham (Northumberland) England_x000D_
.died: 1335    -1400      Coton (Shropshire) England, age:18y 0m 0d, _x000D_
.bapt: 1785GE_x000D_
.will: 2004MO_x000D_
.obit: 1890OH_x000D_
.bury: 1850IL _x000D_
.wpbt: 1826PA_x000D_
.anc#:double ancestor_x000D_
citiz:foreign_x000D_
#spos:1_x000D_
#srcs:1_x000D_
#comment:0_x000D_
#events:1_x000D_
#kids:1_x000D_
lived:ENNORTUCHILLIN,ENSHROPALVELEY,ENSHROPCOTON_x000D_
issue:Died after Age 100_x000D_
.recs:Birth,Marriage,Death_x000D_
.imm?:no_x000D_
..Spo:HUGH COTTON</t>
        </r>
      </text>
    </comment>
    <comment ref="Z2178" authorId="0" shapeId="0" xr:uid="{42A9D4BF-A2CE-434D-BDD4-93570E199AA8}">
      <text>
        <r>
          <rPr>
            <sz val="9"/>
            <color indexed="81"/>
            <rFont val="Tahoma"/>
            <family val="2"/>
          </rPr>
          <t>ELLIS HEYTON_x000D_
http://yeinfo.com/family/I09066919.html_x000D_
https://www.google.com/search?q=ELLIS+HEYTON+1238+1292+JOAN_x000D_
.born: 1238    -          Heaton (Lancashire) England_x000D_
.died: 1292    -          England, age:54y 0m 0d, _x000D_
.bapt: 1785GE_x000D_
.will: 2004MO_x000D_
.obit: 1890OH_x000D_
.bury: 1850IL _x000D_
.wpbt: 1826PA_x000D_
.anc#:double ancestor_x000D_
citiz:foreign_x000D_
#spos:1_x000D_
#srcs:1_x000D_
#comment:1_x000D_
#events:1_x000D_
#kids:1_x000D_
lived:ENLANCSHEATON_x000D_
issue:_x000D_
.recs:Birth,Marriage,Death_x000D_
.imm?:no_x000D_
..Spo:JOAN NEVILLE</t>
        </r>
      </text>
    </comment>
    <comment ref="Y2180" authorId="0" shapeId="0" xr:uid="{A7DF1AED-475E-4B4D-B07E-B2AA9FA3AAE4}">
      <text>
        <r>
          <rPr>
            <sz val="9"/>
            <color indexed="81"/>
            <rFont val="Tahoma"/>
            <family val="2"/>
          </rPr>
          <t>AGNES HEYTON_x000D_
http://yeinfo.com/family/I09066920.html_x000D_
https://www.google.com/search?q=AGNES+HEYTON+1292+1336+HEATON_x000D_
.born: 1292    -          Alnwick (Northumberland) England_x000D_
.died: 1336    -          Chillingham (Northumberland) England, age:44y 0m 0d, _x000D_
.bapt: 1785GE_x000D_
.will: 2004MO_x000D_
.obit: 1890OH_x000D_
.bury: 1850IL _x000D_
.wpbt: 1826PA_x000D_
.anc#:double ancestor_x000D_
citiz:foreign_x000D_
#spos:1_x000D_
#srcs:1_x000D_
#comment:0_x000D_
#events:1_x000D_
#kids:1_x000D_
lived:ENNORTUALNWICK,ENNORTUCHILLIN_x000D_
issue:_x000D_
.recs:Birth,Marriage,Death_x000D_
.imm?:no_x000D_
..Spo:THOMAS HEATON</t>
        </r>
      </text>
    </comment>
    <comment ref="Z2182" authorId="0" shapeId="0" xr:uid="{EF4C3C26-4D2D-4687-8849-BD8200FF5EE8}">
      <text>
        <r>
          <rPr>
            <sz val="9"/>
            <color indexed="81"/>
            <rFont val="Tahoma"/>
            <family val="2"/>
          </rPr>
          <t>JOAN NEVILLE_x000D_
http://yeinfo.com/family/I09066954.html_x000D_
https://www.google.com/search?q=JOAN+NEVILLE+1242+1326+HEYTON_x000D_
.born: 1242    -          Lancashire county England_x000D_
.died: 1326    -          Yorkshire county England, age:84y 0m 0d, _x000D_
.bapt: 1785GE_x000D_
.will: 2004MO_x000D_
.obit: 1890OH_x000D_
.bury: 1850IL _x000D_
.wpbt: 1826PA_x000D_
.anc#:double ancestor_x000D_
citiz:foreign_x000D_
#spos:1_x000D_
#srcs:1_x000D_
#comment:0_x000D_
#events:1_x000D_
#kids:1_x000D_
lived:ENLANCS,ENYORKS_x000D_
issue:_x000D_
.recs:Birth,Marriage,Death_x000D_
.imm?:no_x000D_
..Spo:ELLIS HEYTON</t>
        </r>
      </text>
    </comment>
    <comment ref="U2184" authorId="0" shapeId="0" xr:uid="{355CB6B3-9336-49D0-80AE-82BF3D95B19C}">
      <text>
        <r>
          <rPr>
            <sz val="9"/>
            <color indexed="81"/>
            <rFont val="Tahoma"/>
            <family val="2"/>
          </rPr>
          <t>ALICE VENABLES_x000D_
http://yeinfo.com/family/I09066853.html_x000D_
https://www.google.com/search?q=ALICE+VENABLES+1398+1463+TRAFFORD_x000D_
.born: 13981101-          Wilmslow (Cheshire) England_x000D_
.died: 14630923-          Cheshire county England, age:64y 10m 22d, _x000D_
.bapt: 1785GE_x000D_
.will: 2004MO_x000D_
.obit: 1890OH_x000D_
.bury: 1850IL _x000D_
.wpbt: 1826PA_x000D_
.anc#:double ancestor_x000D_
citiz:foreign_x000D_
#spos:1_x000D_
#srcs:1_x000D_
#comment:0_x000D_
#events:1_x000D_
#kids:1_x000D_
lived:ENCHESHWILMSLO_x000D_
issue:_x000D_
.recs:Birth,Marriage,Death_x000D_
.imm?:no_x000D_
..Spo:EDMUND TRAFFORD</t>
        </r>
      </text>
    </comment>
    <comment ref="AA2186" authorId="0" shapeId="0" xr:uid="{884CD553-FD09-4C0F-877A-DF2A1ADCF89B}">
      <text>
        <r>
          <rPr>
            <sz val="9"/>
            <color indexed="81"/>
            <rFont val="Tahoma"/>
            <family val="2"/>
          </rPr>
          <t>WILLIAM MASSEY_x000D_
http://yeinfo.com/family/I09066946.html_x000D_
https://www.google.com/search?q=WILLIAM+MASSEY+1190+1272+MARGERY_x000D_
.born: 1190    -          Cheshire county England_x000D_
.died: 1272    -          Israel, age:82y 0m 0d, died during the 9th Crusade_x000D_
.bapt: 1785GE_x000D_
.will: 2004MO_x000D_
.obit: 1890OH_x000D_
.bury: 1850IL _x000D_
.wpbt: 1826PA_x000D_
.anc#:  quadruple ancestor_x000D_
citiz:foreign_x000D_
#spos:1_x000D_
#srcs:1_x000D_
#comment:1_x000D_
#events:1_x000D_
#kids:1_x000D_
lived:ENCHESH,IS_x000D_
issue:_x000D_
.recs:Birth,Marriage,Death_x000D_
.imm?:no_x000D_
..Spo:MARGERY ROSTHERNE</t>
        </r>
      </text>
    </comment>
    <comment ref="Z2188" authorId="0" shapeId="0" xr:uid="{C858E3D8-3B99-4FD1-9929-372D67ACB747}">
      <text>
        <r>
          <rPr>
            <sz val="9"/>
            <color indexed="81"/>
            <rFont val="Tahoma"/>
            <family val="2"/>
          </rPr>
          <t>ROBERT ROSTHERNE MASSEY_x000D_
http://yeinfo.com/family/I09066947.html_x000D_
https://www.google.com/search?q=ROBERT+ROSTHERNE+MASSEY+1228+1328+MARGARET_x000D_
.born: 1228    -          Cheshire county England_x000D_
.died: 1328    -          Cheshire county England, age:100y 0m 0d, _x000D_
.bapt: 1785GE_x000D_
.will: 2004MO_x000D_
.obit: 1890OH_x000D_
.bury: 1850IL _x000D_
.wpbt: 1826PA_x000D_
.anc#:  quadruple ancestor_x000D_
citiz:foreign_x000D_
#spos:1_x000D_
#srcs:1_x000D_
#comment:0_x000D_
#events:1_x000D_
#kids:1_x000D_
lived:ENCHESH_x000D_
issue:_x000D_
.recs:Birth,Marriage,Death_x000D_
.imm?:no_x000D_
..Spo:MARGARET ROSTHERNE</t>
        </r>
      </text>
    </comment>
    <comment ref="AA2190" authorId="0" shapeId="0" xr:uid="{90B21080-C1D4-449E-A55E-52D276938BA5}">
      <text>
        <r>
          <rPr>
            <sz val="9"/>
            <color indexed="81"/>
            <rFont val="Tahoma"/>
            <family val="2"/>
          </rPr>
          <t>MARGERY ROSTHERNE_x000D_
http://yeinfo.com/family/I09066970.html_x000D_
https://www.google.com/search?q=MARGERY+ROSTHERNE+1190+1228+MASSEY_x000D_
.born: 1190    -          Rostherne (Cheshire) England_x000D_
.died: 1228    -1293      Rostherne (Cheshire) England, age:38y 0m 0d, _x000D_
.bapt: 1785GE_x000D_
.will: 2004MO_x000D_
.obit: 1890OH_x000D_
.bury: 1850IL _x000D_
.wpbt: 1826PA_x000D_
.anc#:  quadruple ancestor_x000D_
citiz:foreign_x000D_
#spos:1_x000D_
#srcs:1_x000D_
#comment:0_x000D_
#events:1_x000D_
#kids:1_x000D_
lived:ENCHESHROSTHER_x000D_
issue:_x000D_
.recs:Birth,Marriage,Death_x000D_
.imm?:no_x000D_
..Spo:WILLIAM MASSEY</t>
        </r>
      </text>
    </comment>
    <comment ref="Y2192" authorId="0" shapeId="0" xr:uid="{21A8A3D3-1E99-4C5C-BEFF-74CE810D312C}">
      <text>
        <r>
          <rPr>
            <sz val="9"/>
            <color indexed="81"/>
            <rFont val="Tahoma"/>
            <family val="2"/>
          </rPr>
          <t>WILLIAM MASSEY_x000D_
http://yeinfo.com/family/I09066948.html_x000D_
https://www.google.com/search?q=WILLIAM+MASSEY+1290+1338+MARGERY_x000D_
.born: 1290    -          Cheshire county England_x000D_
.died: 13380502-          England, age:48y 4m 1d, _x000D_
.bapt: 1785GE_x000D_
.will: 2004MO_x000D_
.obit: 1890OH_x000D_
.bury: 1850IL _x000D_
.wpbt: 1826PA_x000D_
.anc#:  quadruple ancestor_x000D_
citiz:foreign_x000D_
#spos:1_x000D_
#srcs:1_x000D_
#comment:0_x000D_
#events:1_x000D_
#kids:1_x000D_
lived:ENCHESH_x000D_
issue:Born after Dad Age 60_x000D_
.recs:Birth,Marriage,Death_x000D_
.imm?:no_x000D_
..Spo:MARGERY LEIGH</t>
        </r>
      </text>
    </comment>
    <comment ref="Z2194" authorId="0" shapeId="0" xr:uid="{B5E1BEBC-9A50-4B4B-9336-306CBD9E04DC}">
      <text>
        <r>
          <rPr>
            <sz val="9"/>
            <color indexed="81"/>
            <rFont val="Tahoma"/>
            <family val="2"/>
          </rPr>
          <t>MARGARET ROSTHERNE_x000D_
http://yeinfo.com/family/I09066971.html_x000D_
https://www.google.com/search?q=MARGARET+ROSTHERNE+1242+1340+MASSEY_x000D_
.born: 1242    -          Rostherne (Cheshire) England_x000D_
.died: 1340    -         ?Cheshire county England, age:98y 0m 0d, _x000D_
.bapt: 1785GE_x000D_
.will: 2004MO_x000D_
.obit: 1890OH_x000D_
.bury: 1850IL _x000D_
.wpbt: 1826PA_x000D_
.anc#:  quadruple ancestor_x000D_
citiz:foreign_x000D_
#spos:1_x000D_
#srcs:1_x000D_
#comment:0_x000D_
#events:1_x000D_
#kids:1_x000D_
lived:ENCHESHROSTHER_x000D_
issue:Died after Age 100_x000D_
.recs:Birth,Marriage,Death_x000D_
.imm?:no_x000D_
..Spo:ROBERT ROSTHERNE MASSEY</t>
        </r>
      </text>
    </comment>
    <comment ref="X2196" authorId="0" shapeId="0" xr:uid="{BF58AE5B-6D0A-4FF1-AC09-A11553A428FB}">
      <text>
        <r>
          <rPr>
            <sz val="9"/>
            <color indexed="81"/>
            <rFont val="Tahoma"/>
            <family val="2"/>
          </rPr>
          <t>HUGH MASSEY_x000D_
http://yeinfo.com/family/I09066949.html_x000D_
https://www.google.com/search?q=HUGH+MASSEY+1320+1371+ALICE_x000D_
.born: 1320    -          Tatton (Cheshire) England_x000D_
.died: 1371    -          Knutsford (Cheshire) England, age:51y 0m 0d, _x000D_
.bapt: 1785GE_x000D_
.will: 2004MO_x000D_
.obit: 1890OH_x000D_
.bury: 1850IL _x000D_
.wpbt: 1826PA_x000D_
.anc#:  quadruple ancestor_x000D_
citiz:foreign_x000D_
#spos:1_x000D_
#srcs:1_x000D_
#comment:0_x000D_
#events:1_x000D_
#kids:2_x000D_
lived:ENCHESHKNUTSFO,ENCHESHTATTON_x000D_
issue:_x000D_
.recs:Birth,Marriage,Death_x000D_
.imm?:no_x000D_
..Spo:ALICE WRENBURY</t>
        </r>
      </text>
    </comment>
    <comment ref="Z2198" authorId="0" shapeId="0" xr:uid="{ED3CE248-A137-439F-9883-79717F8E713B}">
      <text>
        <r>
          <rPr>
            <sz val="9"/>
            <color indexed="81"/>
            <rFont val="Tahoma"/>
            <family val="2"/>
          </rPr>
          <t>THOMAS LYMM LEIGH_x000D_
http://yeinfo.com/family/I09066941.html_x000D_
https://www.google.com/search?q=THOMAS+LYMM+LEIGH+1263+1317+CECILY\SYBIL_x000D_
.born:?1263    -          Cheshire county England_x000D_
.died: 1317    -          Devon county England, age:54y 0m 0d, _x000D_
.bapt: 1785GE_x000D_
.will: 2004MO_x000D_
.obit: 1890OH_x000D_
.bury: 1850IL _x000D_
.wpbt: 1826PA_x000D_
.anc#:  quadruple ancestor_x000D_
citiz:foreign_x000D_
#spos:1_x000D_
#srcs:1_x000D_
#comment:1_x000D_
#events:1_x000D_
#kids:1_x000D_
lived:ENCHESHHIGHLEI,ENDEVON_x000D_
issue:Died after Age 100_x000D_
.recs:Birth,Marriage,Death_x000D_
.imm?:no_x000D_
..Spo:CECILY\SYBIL LEIGH</t>
        </r>
      </text>
    </comment>
    <comment ref="Y2200" authorId="0" shapeId="0" xr:uid="{D2281472-B2F3-4ED8-A1AA-F3228209024C}">
      <text>
        <r>
          <rPr>
            <sz val="9"/>
            <color indexed="81"/>
            <rFont val="Tahoma"/>
            <family val="2"/>
          </rPr>
          <t>MARGERY LEIGH_x000D_
http://yeinfo.com/family/I09066942.html_x000D_
https://www.google.com/search?q=MARGERY+LEIGH+1280+1338+MASSEY_x000D_
.born:?1280    -          High Leigh (Cheshire) England_x000D_
.died: 1338    -          Cheshire county England, age:58y 0m 0d, _x000D_
.bapt: 1785GE_x000D_
.will: 2004MO_x000D_
.obit: 1890OH_x000D_
.bury: 1850IL _x000D_
.wpbt: 1826PA_x000D_
.anc#:  quadruple ancestor_x000D_
citiz:foreign_x000D_
#spos:1_x000D_
#srcs:1_x000D_
#comment:0_x000D_
#events:1_x000D_
#kids:1_x000D_
lived:ENCHESHHIGHLEI_x000D_
issue:_x000D_
.recs:Birth,Marriage,Death_x000D_
.imm?:no_x000D_
..Spo:WILLIAM MASSEY</t>
        </r>
      </text>
    </comment>
    <comment ref="Z2202" authorId="0" shapeId="0" xr:uid="{FDAB7833-45FA-4CCB-A18F-CFEE6B32F7BD}">
      <text>
        <r>
          <rPr>
            <sz val="9"/>
            <color indexed="81"/>
            <rFont val="Tahoma"/>
            <family val="2"/>
          </rPr>
          <t>Mrs. CECILY\SYBIL LEIGH_x000D_
http://yeinfo.com/family/I09066940.html_x000D_
https://www.google.com/search?q=CECILY\SYBIL+LEIGH+1250+1305+LEIGH_x000D_
.born:?1250    -          Westhall (Suffolk) England_x000D_
.died: 1305    -          Macclesfield (Cheshire) England, age:55y 0m 0d, _x000D_
.bapt: 1785GE_x000D_
.will: 2004MO_x000D_
.obit: 1890OH_x000D_
.bury: 1850IL _x000D_
.wpbt: 1826PA_x000D_
.anc#:  quadruple ancestor_x000D_
citiz:foreign_x000D_
#spos:1_x000D_
#srcs:1_x000D_
#comment:1_x000D_
#events:1_x000D_
#kids:1_x000D_
lived:ENCHESHHIGHLEI,ENCHESHMACCMAC,ENSUFFOWESTHAL_x000D_
issue:_x000D_
.recs:Birth,Marriage,Death_x000D_
.imm?:no_x000D_
..Spo:THOMAS LYMM LEIGH</t>
        </r>
      </text>
    </comment>
    <comment ref="W2204" authorId="0" shapeId="0" xr:uid="{B0A40155-2009-41DB-9AB0-432D63226D20}">
      <text>
        <r>
          <rPr>
            <sz val="9"/>
            <color indexed="81"/>
            <rFont val="Tahoma"/>
            <family val="2"/>
          </rPr>
          <t>JOHN MASSEY_x000D_
http://yeinfo.com/family/I09066951.html_x000D_
https://www.google.com/search?q=JOHN+MASSEY+1344+1403+ALICE_x000D_
.born: 1344    -          Tatton (Cheshire) England_x000D_
.died: 14030722-          Shropshire county England, age:59y 6m 21d, _x000D_
.bapt: 1785GE_x000D_
.will: 2004MO_x000D_
.obit: 1890OH_x000D_
.bury: 1850IL _x000D_
.wpbt: 1826PA_x000D_
.anc#:double ancestor_x000D_
citiz:foreign_x000D_
#spos:1_x000D_
#srcs:1_x000D_
#comment:0_x000D_
#events:1_x000D_
#kids:1_x000D_
lived:ENCHESHTATTON,ENSHROP_x000D_
issue:Born before Parents Married_x000D_
.recs:Birth,Marriage,Death_x000D_
.imm?:no_x000D_
..Spo:ALICE WORSLEY</t>
        </r>
      </text>
    </comment>
    <comment ref="Y2206" authorId="0" shapeId="0" xr:uid="{82F5787D-D3FE-4B82-80EC-FC7E0B8DB4CD}">
      <text>
        <r>
          <rPr>
            <sz val="9"/>
            <color indexed="81"/>
            <rFont val="Tahoma"/>
            <family val="2"/>
          </rPr>
          <t>JOHN WRENBURY_x000D_
http://yeinfo.com/family/I09067009.html_x000D_
https://www.google.com/search?q=JOHN+WRENBURY+1292+1349+ALICE_x000D_
.born: 1292    -          Wrenbury (Cheshire) England_x000D_
.died: 1349    -          Wrenbury (Cheshire) England, age:57y 0m 0d, _x000D_
.bapt: 1785GE_x000D_
.will: 2004MO_x000D_
.obit: 1890OH_x000D_
.bury: 1850IL _x000D_
.wpbt: 1826PA_x000D_
.anc#:  quadruple ancestor_x000D_
citiz:foreign_x000D_
#spos:1_x000D_
#srcs:1_x000D_
#comment:0_x000D_
#events:2_x000D_
#kids:1_x000D_
lived:ENCHESHWRENBUR_x000D_
issue:_x000D_
.recs:Birth,Marriage,Death_x000D_
.imm?:no_x000D_
..Spo:ALICE AUDLEM</t>
        </r>
      </text>
    </comment>
    <comment ref="X2208" authorId="0" shapeId="0" xr:uid="{C2169FE3-133B-4825-9946-99303130BB9E}">
      <text>
        <r>
          <rPr>
            <sz val="9"/>
            <color indexed="81"/>
            <rFont val="Tahoma"/>
            <family val="2"/>
          </rPr>
          <t>ALICE WRENBURY_x000D_
http://yeinfo.com/family/I09067010.html_x000D_
https://www.google.com/search?q=ALICE+WRENBURY+1320+1370+MASSEY_x000D_
.born: 1320    -          Oulton (Cheshire) England_x000D_
.died: 1370    -          Tatton (Cheshire) England, age:50y 0m 0d, _x000D_
.bapt: 1785GE_x000D_
.will: 2004MO_x000D_
.obit: 1890OH_x000D_
.bury: 1850IL _x000D_
.wpbt: 1826PA_x000D_
.anc#:  quadruple ancestor_x000D_
citiz:foreign_x000D_
#spos:1_x000D_
#srcs:1_x000D_
#comment:0_x000D_
#events:1_x000D_
#kids:2_x000D_
lived:ENCHESHOULTON,ENCHESHTATTON_x000D_
issue:_x000D_
.recs:Birth,Marriage,Death_x000D_
.imm?:no_x000D_
..Spo:HUGH MASSEY</t>
        </r>
      </text>
    </comment>
    <comment ref="Y2210" authorId="0" shapeId="0" xr:uid="{DEB8F306-3F6A-420C-8456-FC2AB46484C5}">
      <text>
        <r>
          <rPr>
            <sz val="9"/>
            <color indexed="81"/>
            <rFont val="Tahoma"/>
            <family val="2"/>
          </rPr>
          <t>ALICE AUDLEM_x000D_
http://yeinfo.com/family/I09066863.html_x000D_
https://www.google.com/search?q=ALICE+AUDLEM+1290+1320+WRENBURY_x000D_
.born: 1290    -          Wrenbury (Cheshire) England_x000D_
.died:?1320    -          Cheshire county England, age:30y 0m 0d, _x000D_
.bapt: 1785GE_x000D_
.will: 2004MO_x000D_
.obit: 1890OH_x000D_
.bury: 1850IL _x000D_
.wpbt: 1826PA_x000D_
.anc#:  quadruple ancestor_x000D_
citiz:foreign_x000D_
#spos:1_x000D_
#srcs:1_x000D_
#comment:0_x000D_
#events:1_x000D_
#kids:1_x000D_
lived:ENCHESHWRENBUR_x000D_
issue:_x000D_
.recs:Birth,Marriage,Death_x000D_
.imm?:no_x000D_
..Spo:JOHN WRENBURY</t>
        </r>
      </text>
    </comment>
    <comment ref="V2212" authorId="0" shapeId="0" xr:uid="{1919F6BC-9E4A-4734-82D4-0AE7E88A4A7F}">
      <text>
        <r>
          <rPr>
            <sz val="9"/>
            <color indexed="81"/>
            <rFont val="Tahoma"/>
            <family val="2"/>
          </rPr>
          <t>JOHANNA JOAN MASSEY_x000D_
http://yeinfo.com/family/I09066952.html_x000D_
https://www.google.com/search?q=JOHANNA+JOAN+MASSEY+1375+1420+VENABLES_x000D_
.born: 1375    -          Tatton (Cheshire) England_x000D_
.died: 1420    -          Cheshire county England, age:45y 0m 0d, _x000D_
.bapt: 1785GE_x000D_
.will: 2004MO_x000D_
.obit: 1890OH_x000D_
.bury: 1850IL _x000D_
.wpbt: 1826PA_x000D_
.anc#:double ancestor_x000D_
citiz:foreign_x000D_
#spos:1_x000D_
#srcs:1_x000D_
#comment:0_x000D_
#events:1_x000D_
#kids:1_x000D_
lived:ENCHESHBURTON,ENCHESHTATTON_x000D_
issue:Born before Parents Married_x000D_
.recs:Birth,Marriage,Death_x000D_
.imm?:no_x000D_
..Spo:WILLIAM RICHARD VENABLES</t>
        </r>
      </text>
    </comment>
    <comment ref="AB2214" authorId="0" shapeId="0" xr:uid="{E780E2D7-9517-4F4D-8C18-5A1368E00209}">
      <text>
        <r>
          <rPr>
            <sz val="9"/>
            <color indexed="81"/>
            <rFont val="Tahoma"/>
            <family val="2"/>
          </rPr>
          <t>RICHARD WORSLEY_x000D_
http://yeinfo.com/family/I09066999.html_x000D_
https://www.google.com/search?q=RICHARD+WORSLEY+1218+1292+MAUD_x000D_
.born:?1218    -          Lancashire county England_x000D_
.died: 1292    -          Norway, age:74y 0m 0d, _x000D_
.bapt: 1785GE_x000D_
.will: 2004MO_x000D_
.obit: 1890OH_x000D_
.bury: 1850IL _x000D_
.wpbt: 1826PA_x000D_
.anc#:  quadruple ancestor_x000D_
citiz:foreign_x000D_
#spos:1_x000D_
#srcs:1_x000D_
#comment:1_x000D_
#events:1_x000D_
#kids:1_x000D_
lived:ENLANCS,NO_x000D_
issue:_x000D_
.recs:Birth,Marriage,Death_x000D_
.imm?:no_x000D_
..Spo:MAUD WARDLEY</t>
        </r>
      </text>
    </comment>
    <comment ref="AA2216" authorId="0" shapeId="0" xr:uid="{B7379371-E595-4D7B-8F4C-2F759AADC0D4}">
      <text>
        <r>
          <rPr>
            <sz val="9"/>
            <color indexed="81"/>
            <rFont val="Tahoma"/>
            <family val="2"/>
          </rPr>
          <t>HENRY WORSLEY_x000D_
http://yeinfo.com/family/I09067001.html_x000D_
https://www.google.com/search?q=HENRY+WORSLEY+1240+1303+JOAN+SHORESWORTH_x000D_
.born: 1240    -          England_x000D_
.died: 1303    -          Worsley (Lancashire) England, age:63y 0m 0d, _x000D_
.bapt: 1785GE_x000D_
.will: 2004MO_x000D_
.obit: 1890OH_x000D_
.bury: 1850IL _x000D_
.wpbt: 1826PA_x000D_
.anc#:  quadruple ancestor_x000D_
citiz:foreign_x000D_
#spos:2_x000D_
#srcs:1_x000D_
#comment:1_x000D_
#events:2_x000D_
#kids:2_x000D_
lived:ENLANCSWORSLEY_x000D_
issue:AncFlags between Spouses Mismatched_x000D_
.recs:Birth,Marriage,Death_x000D_
.imm?:no_x000D_
..Spo:JOAN WORSLEY</t>
        </r>
      </text>
    </comment>
    <comment ref="AB2218" authorId="0" shapeId="0" xr:uid="{A10CFCAA-FF8F-4A9D-BE22-9DE58F690087}">
      <text>
        <r>
          <rPr>
            <sz val="9"/>
            <color indexed="81"/>
            <rFont val="Tahoma"/>
            <family val="2"/>
          </rPr>
          <t>MAUD WARDLEY_x000D_
http://yeinfo.com/family/I09066998.html_x000D_
https://www.google.com/search?q=MAUD+WARDLEY+1240+1277+WORSLEY_x000D_
.born: 1240    -          Wardley (Lancashire) England_x000D_
.died: 1277    -          Lancashire county England, age:37y 0m 0d, _x000D_
.bapt: 1785GE_x000D_
.will: 2004MO_x000D_
.obit: 1890OH_x000D_
.bury: 1850IL _x000D_
.wpbt: 1826PA_x000D_
.anc#:  quadruple ancestor_x000D_
citiz:foreign_x000D_
#spos:1_x000D_
#srcs:1_x000D_
#comment:1_x000D_
#events:1_x000D_
#kids:1_x000D_
lived:ENLANCSWARDLEY_x000D_
issue:Died after Age 100_x000D_
.recs:Birth,Marriage,Death_x000D_
.imm?:no_x000D_
..Spo:RICHARD WORSLEY</t>
        </r>
      </text>
    </comment>
    <comment ref="Z2220" authorId="0" shapeId="0" xr:uid="{D68AD17F-5E20-4C13-BB09-C29B7475D9DC}">
      <text>
        <r>
          <rPr>
            <sz val="9"/>
            <color indexed="81"/>
            <rFont val="Tahoma"/>
            <family val="2"/>
          </rPr>
          <t>RICHARD WORSLEY_x000D_
http://yeinfo.com/family/I09067003.html_x000D_
https://www.google.com/search?q=RICHARD+WORSLEY+1265+1334+MARGARET_x000D_
.born:?1265    -          Worsley (Lancashire) England_x000D_
.died: 1334    -          Worsley (Lancashire) England, age:69y 0m 0d, _x000D_
.bapt: 1785GE_x000D_
.will: 2004MO_x000D_
.obit: 1890OH_x000D_
.bury: 1850IL _x000D_
.wpbt: 1826PA_x000D_
.anc#:double ancestor_x000D_
citiz:foreign_x000D_
#spos:1_x000D_
#srcs:1_x000D_
#comment:0_x000D_
#events:1_x000D_
#kids:1_x000D_
lived:ENLANCSWORSLEY_x000D_
issue:_x000D_
.recs:Birth,Marriage,Death_x000D_
.imm?:no_x000D_
..Spo:MARGARET WORSLEY</t>
        </r>
      </text>
    </comment>
    <comment ref="AA2222" authorId="0" shapeId="0" xr:uid="{B80CB092-A1C4-4CE3-90F8-8811498FF41B}">
      <text>
        <r>
          <rPr>
            <sz val="9"/>
            <color indexed="81"/>
            <rFont val="Tahoma"/>
            <family val="2"/>
          </rPr>
          <t>Mrs. JOAN WORSLEY_x000D_
http://yeinfo.com/family/I09067000.html_x000D_
https://www.google.com/search?q=JOAN+WORSLEY+1240+1293+WORSLEY_x000D_
.born: 1240    -          England_x000D_
.died: 1293    -          Worsley (Lancashire) England, age:53y 0m 0d, _x000D_
.bapt: 1785GE_x000D_
.will: 2004MO_x000D_
.obit: 1890OH_x000D_
.bury: 1850IL _x000D_
.wpbt: 1826PA_x000D_
.anc#:double ancestor_x000D_
citiz:foreign_x000D_
#spos:1_x000D_
#srcs:1_x000D_
#comment:0_x000D_
#events:1_x000D_
#kids:1_x000D_
lived:ENLANCSWORSLEY_x000D_
issue:_x000D_
.recs:Birth,Marriage,Death_x000D_
.imm?:no_x000D_
..Spo:HENRY WORSLEY</t>
        </r>
      </text>
    </comment>
    <comment ref="Y2224" authorId="0" shapeId="0" xr:uid="{DBDB869B-2F34-42EC-87A6-D151AE812064}">
      <text>
        <r>
          <rPr>
            <sz val="9"/>
            <color indexed="81"/>
            <rFont val="Tahoma"/>
            <family val="2"/>
          </rPr>
          <t>HENRY WORSLEY II_x000D_
http://yeinfo.com/family/I09067005.html_x000D_
https://www.google.com/search?q=HENRY+WORSLEY+1295+1318+ALICE_x000D_
.born: 1295    -          Barton (Lancashire) England_x000D_
.died: 1318    -1350      Cheshire county England, age:23y 0m 0d, _x000D_
.bapt: 1785GE_x000D_
.will: 2004MO_x000D_
.obit: 1890OH_x000D_
.bury: 1850IL _x000D_
.wpbt: 1826PA_x000D_
.anc#:double ancestor_x000D_
citiz:foreign_x000D_
#spos:1_x000D_
#srcs:1_x000D_
#comment:0_x000D_
#events:1_x000D_
#kids:1_x000D_
lived:ENCHESH,ENLANCSBARTON_x000D_
issue:_x000D_
.recs:Birth,Marriage,Death_x000D_
.imm?:no_x000D_
..Spo:ALICE RADCLIFFE</t>
        </r>
      </text>
    </comment>
    <comment ref="Z2226" authorId="0" shapeId="0" xr:uid="{FC643C8A-A3C0-4252-A803-DDC097F076E1}">
      <text>
        <r>
          <rPr>
            <sz val="9"/>
            <color indexed="81"/>
            <rFont val="Tahoma"/>
            <family val="2"/>
          </rPr>
          <t>Mrs. MARGARET WORSLEY_x000D_
http://yeinfo.com/family/I09067002.html_x000D_
https://www.google.com/search?q=MARGARET+WORSLEY+1275+1295+WORSLEY_x000D_
.born:?1275    -          Manchester (Lancashire) England_x000D_
.died: 1295    -1360     ?Lancashire county England, age:20y 0m 0d, _x000D_
.bapt: 1785GE_x000D_
.will: 2004MO_x000D_
.obit: 1890OH_x000D_
.bury: 1850IL _x000D_
.wpbt: 1826PA_x000D_
.anc#:double ancestor_x000D_
citiz:foreign_x000D_
#spos:1_x000D_
#srcs:1_x000D_
#comment:0_x000D_
#events:1_x000D_
#kids:1_x000D_
lived:ENLANCSMANCHES_x000D_
issue:_x000D_
.recs:Birth,Marriage,Death_x000D_
.imm?:no_x000D_
..Spo:RICHARD WORSLEY</t>
        </r>
      </text>
    </comment>
    <comment ref="X2228" authorId="0" shapeId="0" xr:uid="{5F76B5D7-7546-42E1-AEA0-CDFD437316A2}">
      <text>
        <r>
          <rPr>
            <sz val="9"/>
            <color indexed="81"/>
            <rFont val="Tahoma"/>
            <family val="2"/>
          </rPr>
          <t>GEOFFREY WORSLEY_x000D_
http://yeinfo.com/family/I09067006.html_x000D_
https://www.google.com/search?q=GEOFFREY+WORSLEY+1318+1352+ANABEL_x000D_
.born: 1318    -          Worsley (Lancashire) England_x000D_
.died: 1352    -          Lancashire county England, age:34y 0m 0d, _x000D_
.bapt: 1785GE_x000D_
.will: 2004MO_x000D_
.obit: 1890OH_x000D_
.bury: 1850IL _x000D_
.wpbt: 1826PA_x000D_
.anc#:double ancestor_x000D_
citiz:foreign_x000D_
#spos:1_x000D_
#srcs:1_x000D_
#comment:0_x000D_
#events:1_x000D_
#kids:1_x000D_
lived:ENLANCSWORSLEY_x000D_
issue:_x000D_
.recs:Birth,Marriage,Death_x000D_
.imm?:no_x000D_
..Spo:ANABEL HAYDOCK</t>
        </r>
      </text>
    </comment>
    <comment ref="AB2230" authorId="0" shapeId="0" xr:uid="{CE780E62-15A7-49CB-BAD0-5801EDFCEC8C}">
      <text>
        <r>
          <rPr>
            <sz val="9"/>
            <color indexed="81"/>
            <rFont val="Tahoma"/>
            <family val="2"/>
          </rPr>
          <t>ROBERT RADCLIFFE_x000D_
http://yeinfo.com/family/I09066959.html_x000D_
https://www.google.com/search?q=ROBERT+RADCLIFFE+1208+1239+AMBIL\AMABIL_x000D_
.born:?1208    -          Lancashire county England_x000D_
.died: 1239    -1290     ?Lancashire county England, age:31y 0m 0d, _x000D_
.bapt: 1785GE_x000D_
.will: 2004MO_x000D_
.obit: 1890OH_x000D_
.bury: 1850IL _x000D_
.wpbt: 1826PA_x000D_
.anc#: decuple ancestor_x000D_
citiz:foreign_x000D_
#spos:1_x000D_
#srcs:3_x000D_
#comment:1_x000D_
#events:1_x000D_
#kids:1_x000D_
lived:ENLANCS_x000D_
issue:Died after Age 100_x000D_
.recs:Birth,Marriage,Death_x000D_
.imm?:no_x000D_
..Spo:AMBIL\AMABIL TRAFFORD</t>
        </r>
      </text>
    </comment>
    <comment ref="AA2232" authorId="0" shapeId="0" xr:uid="{D0EAD33C-6B51-41F2-B8B7-8A357972D2E2}">
      <text>
        <r>
          <rPr>
            <sz val="9"/>
            <color indexed="81"/>
            <rFont val="Tahoma"/>
            <family val="2"/>
          </rPr>
          <t>RICHARD RADCLIFFE_x000D_
http://yeinfo.com/family/I09066960.html_x000D_
https://www.google.com/search?q=RICHARD+RADCLIFFE+1224+1326+JOAN\MARGARET_x000D_
.born: 1224    -          Lancashire county England_x000D_
.died: 1326    -          Lancashire county England, age:102y 0m 0d, _x000D_
.bapt: 1785GE_x000D_
.will: 2004MO_x000D_
.obit: 1890OH_x000D_
.bury: 1850IL _x000D_
.wpbt: 1826PA_x000D_
.anc#: decuple ancestor_x000D_
citiz:foreign_x000D_
#spos:1_x000D_
#srcs:3_x000D_
#comment:0_x000D_
#events:1_x000D_
#kids:2_x000D_
lived:ENLANCS_x000D_
issue:Married after Age 60_x000D_
.recs:Birth,Marriage,Death_x000D_
.imm?:no_x000D_
..Spo:JOAN\MARGARET BOTELER</t>
        </r>
      </text>
    </comment>
    <comment ref="AB2234" authorId="0" shapeId="0" xr:uid="{336A6B0F-0B5C-4C63-A2E7-47B1E2887E98}">
      <text>
        <r>
          <rPr>
            <sz val="9"/>
            <color indexed="81"/>
            <rFont val="Tahoma"/>
            <family val="2"/>
          </rPr>
          <t>AMBIL\AMABIL TRAFFORD_x000D_
http://yeinfo.com/family/I09066988.html_x000D_
https://www.google.com/search?q=AMBIL\AMABIL+TRAFFORD+1222+1239+RADCLIFFE_x000D_
.born:?1222    -          Lancashire county England_x000D_
.died: 1239    -1304     ?Lancashire county England, age:17y 0m 0d, _x000D_
.bapt: 1785GE_x000D_
.will: 2004MO_x000D_
.obit: 1890OH_x000D_
.bury: 1850IL _x000D_
.wpbt: 1826PA_x000D_
.anc#: decuple ancestor_x000D_
citiz:foreign_x000D_
#spos:1_x000D_
#srcs:3_x000D_
#comment:1_x000D_
#events:1_x000D_
#kids:1_x000D_
lived:ENLANCS_x000D_
issue:Died after Age 100_x000D_
.recs:Birth,Marriage,Death_x000D_
.imm?:no_x000D_
..Spo:ROBERT RADCLIFFE</t>
        </r>
      </text>
    </comment>
    <comment ref="Z2236" authorId="0" shapeId="0" xr:uid="{C8C857AD-B798-4FB0-A6AC-39749A192C95}">
      <text>
        <r>
          <rPr>
            <sz val="9"/>
            <color indexed="81"/>
            <rFont val="Tahoma"/>
            <family val="2"/>
          </rPr>
          <t>WILLIAM RADCLIFFE_x000D_
http://yeinfo.com/family/I09066961.html_x000D_
https://www.google.com/search?q=WILLIAM+RADCLIFFE+1267+1333+MARGARET_x000D_
.born: 1267    -          Lancashire county England_x000D_
.died: 1333    -         ?Lancashire county England, age:66y 0m 0d, _x000D_
.bapt: 1785GE_x000D_
.will: 2004MO_x000D_
.obit: 1890OH_x000D_
.bury: 1850IL _x000D_
.wpbt: 1826PA_x000D_
.anc#:  octuple ancestor_x000D_
citiz:foreign_x000D_
#spos:1_x000D_
#srcs:4_x000D_
#comment:0_x000D_
#events:1_x000D_
#kids:2_x000D_
lived:ENLANCS_x000D_
issue:_x000D_
.recs:Birth,Marriage,Death_x000D_
.imm?:no_x000D_
..Spo:MARGARET PEASFURLONG</t>
        </r>
      </text>
    </comment>
    <comment ref="AB2238" authorId="0" shapeId="0" xr:uid="{4F592738-E52A-4AED-A87F-C3225B7F88E5}">
      <text>
        <r>
          <rPr>
            <sz val="9"/>
            <color indexed="81"/>
            <rFont val="Tahoma"/>
            <family val="2"/>
          </rPr>
          <t>HENRY\WILLIAM\ROBERT BOTELER_x000D_
http://yeinfo.com/family/I09066877.html_x000D_
https://www.google.com/search?q=HENRY\WILLIAM\ROBERT+BOTELER+1230+1247+ISABELLA_x000D_
.born:?1230    -          Warrington (Lancashire) England_x000D_
.died: 1247    -1280     ?Lancashire county England, age:17y 0m 0d, _x000D_
.bapt: 1785GE_x000D_
.will: 2004MO_x000D_
.obit: 1890OH_x000D_
.bury: 1850IL _x000D_
.wpbt: 1826PA_x000D_
.anc#: decuple ancestor_x000D_
citiz:foreign_x000D_
#spos:1_x000D_
#srcs:1_x000D_
#comment:1_x000D_
#events:2_x000D_
#kids:1_x000D_
lived:ENLANCSWARRING_x000D_
issue:_x000D_
.recs:Birth,Marriage,Death_x000D_
.imm?:no_x000D_
..Spo:ISABELLA BOTELER</t>
        </r>
      </text>
    </comment>
    <comment ref="AA2240" authorId="0" shapeId="0" xr:uid="{DD0D7778-B662-4985-AAF6-EFF2C7E2B749}">
      <text>
        <r>
          <rPr>
            <sz val="9"/>
            <color indexed="81"/>
            <rFont val="Tahoma"/>
            <family val="2"/>
          </rPr>
          <t>JOAN\MARGARET BOTELER_x000D_
http://yeinfo.com/family/I09066878.html_x000D_
https://www.google.com/search?q=JOAN\MARGARET+BOTELER+1232+1267+RADCLIFFE_x000D_
.born: 1232    -          Warrington (Lancashire) England_x000D_
.died: 1267    -1332     ?Lancashire county England, age:35y 0m 0d, _x000D_
.bapt: 1785GE_x000D_
.will: 2004MO_x000D_
.obit: 1890OH_x000D_
.bury: 1850IL _x000D_
.wpbt: 1826PA_x000D_
.anc#: decuple ancestor_x000D_
citiz:foreign_x000D_
#spos:1_x000D_
#srcs:3_x000D_
#comment:0_x000D_
#events:1_x000D_
#kids:2_x000D_
lived:ENLANCSWARRING_x000D_
issue:Born before Parents Married_x000D_
.recs:Birth,Marriage,Death_x000D_
.imm?:no_x000D_
..Spo:RICHARD RADCLIFFE</t>
        </r>
      </text>
    </comment>
    <comment ref="AB2242" authorId="0" shapeId="0" xr:uid="{EA487F19-D439-4FB5-BD2A-C9031BCE7001}">
      <text>
        <r>
          <rPr>
            <sz val="9"/>
            <color indexed="81"/>
            <rFont val="Tahoma"/>
            <family val="2"/>
          </rPr>
          <t>Mrs. ISABELLA BOTELER_x000D_
http://yeinfo.com/family/I09066876.html_x000D_
https://www.google.com/search?q=ISABELLA+BOTELER+1227+1247+BOTELER_x000D_
.born:?1227    -          Merton (Lancashire) England_x000D_
.died: 1247    -1312     ?Lancashire county England, age:20y 0m 0d, _x000D_
.bapt: 1785GE_x000D_
.will: 2004MO_x000D_
.obit: 1890OH_x000D_
.bury: 1850IL _x000D_
.wpbt: 1826PA_x000D_
.anc#: decuple ancestor_x000D_
citiz:foreign_x000D_
#spos:1_x000D_
#srcs:2_x000D_
#comment:1_x000D_
#events:1_x000D_
#kids:1_x000D_
lived:ENLANCSMERTON_x000D_
issue:_x000D_
.recs:Birth,Marriage,Death_x000D_
.imm?:no_x000D_
..Spo:HENRY\WILLIAM\ROBERT BOTELER</t>
        </r>
      </text>
    </comment>
    <comment ref="Y2244" authorId="0" shapeId="0" xr:uid="{6941A89A-906F-44A6-8FD9-8AD5CBDE1757}">
      <text>
        <r>
          <rPr>
            <sz val="9"/>
            <color indexed="81"/>
            <rFont val="Tahoma"/>
            <family val="2"/>
          </rPr>
          <t>ALICE RADCLIFFE_x000D_
http://yeinfo.com/family/I09066962.html_x000D_
https://www.google.com/search?q=ALICE+RADCLIFFE+1298+1354+WORSLEY_x000D_
.born: 1298    -          Radcliffe (Lancashire) England_x000D_
.died: 1354    -          Barton (Lancashire) England, age:56y 0m 0d, _x000D_
.bapt: 1785GE_x000D_
.will: 2004MO_x000D_
.obit: 1890OH_x000D_
.bury: 1850IL _x000D_
.wpbt: 1826PA_x000D_
.anc#:double ancestor_x000D_
citiz:foreign_x000D_
#spos:1_x000D_
#srcs:1_x000D_
#comment:0_x000D_
#events:1_x000D_
#kids:1_x000D_
lived:ENLANCSBARTON,ENLANCSRADCLIF_x000D_
issue:Born after Parent Died,Born after Mom Age 50_x000D_
.recs:Birth,Marriage,Death_x000D_
.imm?:no_x000D_
..Spo:HENRY WORSLEY</t>
        </r>
      </text>
    </comment>
    <comment ref="AA2246" authorId="0" shapeId="0" xr:uid="{ACBF3C99-13FE-4BE2-B0A1-8F542F195140}">
      <text>
        <r>
          <rPr>
            <sz val="9"/>
            <color indexed="81"/>
            <rFont val="Tahoma"/>
            <family val="2"/>
          </rPr>
          <t>ADAM PEASFURLONG_x000D_
http://yeinfo.com/family/I09066956.html_x000D_
https://www.google.com/search?q=ADAM+PEASFURLONG+1242+1274+ELIZABETH_x000D_
.born:?1242    -          Wigan (Lancashire) England_x000D_
.died: 1274    -1339     ?Lancashire county England, age:32y 0m 0d, _x000D_
.bapt: 1785GE_x000D_
.will: 2004MO_x000D_
.obit: 1890OH_x000D_
.bury: 1850IL _x000D_
.wpbt: 1826PA_x000D_
.anc#:  octuple ancestor_x000D_
citiz:foreign_x000D_
#spos:1_x000D_
#srcs:3_x000D_
#comment:0_x000D_
#events:1_x000D_
#kids:1_x000D_
lived:ENLANCSWIGAN_x000D_
issue:_x000D_
.recs:Birth,Marriage,Death_x000D_
.imm?:no_x000D_
..Spo:ELIZABETH CULCHETH</t>
        </r>
      </text>
    </comment>
    <comment ref="Z2248" authorId="0" shapeId="0" xr:uid="{319602E4-02BC-4DAA-A46A-D5FB01672A19}">
      <text>
        <r>
          <rPr>
            <sz val="9"/>
            <color indexed="81"/>
            <rFont val="Tahoma"/>
            <family val="2"/>
          </rPr>
          <t>MARGARET PEASFURLONG_x000D_
http://yeinfo.com/family/I09066957.html_x000D_
https://www.google.com/search?q=MARGARET+PEASFURLONG+1244+1290+RADCLIFFE_x000D_
.born: 1244    -          Warrington (Lancashire) England_x000D_
.died: 1290    -1355     ?Lancashire county England, age:46y 0m 0d, _x000D_
.bapt: 1785GE_x000D_
.will: 2004MO_x000D_
.obit: 1890OH_x000D_
.bury: 1850IL _x000D_
.wpbt: 1826PA_x000D_
.anc#:  octuple ancestor_x000D_
citiz:foreign_x000D_
#spos:1_x000D_
#srcs:4_x000D_
#comment:0_x000D_
#events:1_x000D_
#kids:2_x000D_
lived:ENLANCSWARRING_x000D_
issue:Born before Parents Married_x000D_
.recs:Birth,Marriage,Death_x000D_
.imm?:no_x000D_
..Spo:WILLIAM RADCLIFFE</t>
        </r>
      </text>
    </comment>
    <comment ref="AB2250" authorId="0" shapeId="0" xr:uid="{444E3B5A-0CA9-4451-9273-CF91CE601291}">
      <text>
        <r>
          <rPr>
            <sz val="9"/>
            <color indexed="81"/>
            <rFont val="Tahoma"/>
            <family val="2"/>
          </rPr>
          <t>GILBERT CULCHETH_x000D_
http://yeinfo.com/family/I09066895.html_x000D_
https://www.google.com/search?q=GILBERT+CULCHETH+1205+1246+CECILIA_x000D_
.born:?1205    -          Culcheth (Lancashire) England_x000D_
.died: 1246    -         ?Lancashire county England, age:41y 0m 0d, _x000D_
.bapt: 1785GE_x000D_
.will: 2004MO_x000D_
.obit: 1890OH_x000D_
.bury: 1850IL _x000D_
.wpbt: 1826PA_x000D_
.anc#:  octuple ancestor_x000D_
citiz:foreign_x000D_
#spos:1_x000D_
#srcs:3_x000D_
#comment:1_x000D_
#events:1_x000D_
#kids:1_x000D_
lived:ENLANCSCULCHET_x000D_
issue:Died after Age 100_x000D_
.recs:Birth,Marriage,Death_x000D_
.imm?:no_x000D_
..Spo:CECILIA LATHOM</t>
        </r>
      </text>
    </comment>
    <comment ref="AA2252" authorId="0" shapeId="0" xr:uid="{0E161A2D-F19C-4815-A76C-B3A4ECBCCBC3}">
      <text>
        <r>
          <rPr>
            <sz val="9"/>
            <color indexed="81"/>
            <rFont val="Tahoma"/>
            <family val="2"/>
          </rPr>
          <t>ELIZABETH CULCHETH_x000D_
http://yeinfo.com/family/I09066896.html_x000D_
https://www.google.com/search?q=ELIZABETH+CULCHETH+1215+1274+PEASFURLONG_x000D_
.born: 1215    -          Culcheth (Lancashire) England_x000D_
.died: 1274    -1339     ?Lancashire county England, age:59y 0m 0d, _x000D_
.bapt: 1785GE_x000D_
.will: 2004MO_x000D_
.obit: 1890OH_x000D_
.bury: 1850IL _x000D_
.wpbt: 1826PA_x000D_
.anc#:  octuple ancestor_x000D_
citiz:foreign_x000D_
#spos:1_x000D_
#srcs:3_x000D_
#comment:0_x000D_
#events:1_x000D_
#kids:1_x000D_
lived:ENLANCSCULCHET_x000D_
issue:_x000D_
.recs:Birth,Marriage,Death_x000D_
.imm?:no_x000D_
..Spo:ADAM PEASFURLONG</t>
        </r>
      </text>
    </comment>
    <comment ref="AB2254" authorId="0" shapeId="0" xr:uid="{29EC2BBB-16ED-4E23-A178-543FD5AB6A1A}">
      <text>
        <r>
          <rPr>
            <sz val="9"/>
            <color indexed="81"/>
            <rFont val="Tahoma"/>
            <family val="2"/>
          </rPr>
          <t>CECILIA LATHOM_x000D_
http://yeinfo.com/family/I09066935.html_x000D_
https://www.google.com/search?q=CECILIA+LATHOM+1222+1245+CULCHETH_x000D_
.born:?1222    -          Latham (Lancashire) England_x000D_
.died: 1245    -1310     ?Lancashire county England, age:23y 0m 0d, _x000D_
.bapt: 1785GE_x000D_
.will: 2004MO_x000D_
.obit: 1890OH_x000D_
.bury: 1850IL _x000D_
.wpbt: 1826PA_x000D_
.anc#:  octuple ancestor_x000D_
citiz:foreign_x000D_
#spos:1_x000D_
#srcs:3_x000D_
#comment:1_x000D_
#events:1_x000D_
#kids:1_x000D_
lived:ENLANCSLATHAM_x000D_
issue:Died after Age 100_x000D_
.recs:Birth,Marriage,Death_x000D_
.imm?:no_x000D_
..Spo:GILBERT CULCHETH</t>
        </r>
      </text>
    </comment>
    <comment ref="W2256" authorId="0" shapeId="0" xr:uid="{21663BE8-CA43-4214-9682-A1E31BC54CA5}">
      <text>
        <r>
          <rPr>
            <sz val="9"/>
            <color indexed="81"/>
            <rFont val="Tahoma"/>
            <family val="2"/>
          </rPr>
          <t>ALICE WORSLEY_x000D_
http://yeinfo.com/family/I09067008.html_x000D_
https://www.google.com/search?q=ALICE+WORSLEY+1352+1427+MASSEY_x000D_
.born: 1352    -          Oxfordshire county England_x000D_
.died: 14271006-          Knutsford (Cheshire) England, age:75y 9m 5d, _x000D_
.bapt: 1785GE_x000D_
.will: 2004MO_x000D_
.obit: 1890OH_x000D_
.bury: 1850IL _x000D_
.wpbt: 1826PA_x000D_
.anc#:double ancestor_x000D_
citiz:foreign_x000D_
#spos:1_x000D_
#srcs:1_x000D_
#comment:0_x000D_
#events:1_x000D_
#kids:1_x000D_
lived:ENCHESHKNUTSFO,ENCHESHTATTON,ENOXFOS_x000D_
issue:_x000D_
.recs:Birth,Marriage,Death_x000D_
.imm?:no_x000D_
..Spo:JOHN MASSEY</t>
        </r>
      </text>
    </comment>
    <comment ref="AB2258" authorId="0" shapeId="0" xr:uid="{FA3311D2-360F-4E51-B05E-19B840CD5224}">
      <text>
        <r>
          <rPr>
            <sz val="9"/>
            <color indexed="81"/>
            <rFont val="Tahoma"/>
            <family val="2"/>
          </rPr>
          <t>HUGH HAYDOCK_x000D_
http://yeinfo.com/family/I09066910.html_x000D_
https://www.google.com/search?q=HUGH+HAYDOCK+1190+1270+CECELIA_x000D_
.born: 1190    -          Haydock (Lancashire) England_x000D_
.died: 1270    -          Haydock (Lancashire) England, age:80y 0m 0d, _x000D_
.bapt: 1785GE_x000D_
.will: 2004MO_x000D_
.obit: 1890OH_x000D_
.bury: 1850IL _x000D_
.wpbt: 1826PA_x000D_
.anc#:double ancestor_x000D_
citiz:foreign_x000D_
#spos:1_x000D_
#srcs:1_x000D_
#comment:1_x000D_
#events:1_x000D_
#kids:1_x000D_
lived:ENCHESHCHURLAW,ENLANCSHAYDOCK_x000D_
issue:_x000D_
.recs:Birth,Marriage,Death_x000D_
.imm?:no_x000D_
..Spo:CECELIA LAUTON</t>
        </r>
      </text>
    </comment>
    <comment ref="AA2260" authorId="0" shapeId="0" xr:uid="{F37915DB-CFE9-440A-B4D8-71845F30006B}">
      <text>
        <r>
          <rPr>
            <sz val="9"/>
            <color indexed="81"/>
            <rFont val="Tahoma"/>
            <family val="2"/>
          </rPr>
          <t>GILBERT HAYDOCK_x000D_
http://yeinfo.com/family/I09066911.html_x000D_
https://www.google.com/search?q=GILBERT+HAYDOCK+1210+1299+ALICIA_x000D_
.born: 1210    -          England_x000D_
.died: 1299    -          Haydock (Lancashire) England, age:89y 0m 0d, _x000D_
.bapt: 1785GE_x000D_
.will: 2004MO_x000D_
.obit: 1890OH_x000D_
.bury: 1850IL _x000D_
.wpbt: 1826PA_x000D_
.anc#:double ancestor_x000D_
citiz:foreign_x000D_
#spos:1_x000D_
#srcs:1_x000D_
#comment:0_x000D_
#events:1_x000D_
#kids:1_x000D_
lived:ENLANCSBOLD,ENLANCSHAYDOCK_x000D_
issue:Born before Parents Married_x000D_
.recs:Birth,Marriage,Death_x000D_
.imm?:no_x000D_
..Spo:ALICIA BOLD</t>
        </r>
      </text>
    </comment>
    <comment ref="AB2262" authorId="0" shapeId="0" xr:uid="{761F97E6-017C-49CE-84B0-EB3B8EFDC1D0}">
      <text>
        <r>
          <rPr>
            <sz val="9"/>
            <color indexed="81"/>
            <rFont val="Tahoma"/>
            <family val="2"/>
          </rPr>
          <t>CECELIA LAUTON_x000D_
http://yeinfo.com/family/I09066937.html_x000D_
https://www.google.com/search?q=CECELIA+LAUTON+1195+1225+HAYDOCK_x000D_
.born:?1195    -          Lancashire county England_x000D_
.died: 1225    -1290     ?Lancashire county England, age:30y 0m 0d, _x000D_
.bapt: 1785GE_x000D_
.will: 2004MO_x000D_
.obit: 1890OH_x000D_
.bury: 1850IL _x000D_
.wpbt: 1826PA_x000D_
.anc#:double ancestor_x000D_
citiz:foreign_x000D_
#spos:1_x000D_
#srcs:1_x000D_
#comment:1_x000D_
#events:1_x000D_
#kids:1_x000D_
lived:ENCHESHCHURLAW,ENLANCS_x000D_
issue:Died before Birth_x000D_
.recs:Birth,Marriage,Death_x000D_
.imm?:no_x000D_
..Spo:HUGH HAYDOCK</t>
        </r>
      </text>
    </comment>
    <comment ref="Z2264" authorId="0" shapeId="0" xr:uid="{763A1365-16EE-4C15-B386-9E7CB3B23CCB}">
      <text>
        <r>
          <rPr>
            <sz val="9"/>
            <color indexed="81"/>
            <rFont val="Tahoma"/>
            <family val="2"/>
          </rPr>
          <t>GILBERT HAYDOCK II_x000D_
http://yeinfo.com/family/I09066913.html_x000D_
https://www.google.com/search?q=GILBERT+HAYDOCK+1250+1290+{_?_}_x000D_
.born: 1250    -          Lancashire county England_x000D_
.died: 1290    -1355     ?Lancashire county England, age:40y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..Spo:{_?_} HAYDOCK</t>
        </r>
      </text>
    </comment>
    <comment ref="AB2266" authorId="0" shapeId="0" xr:uid="{5E3E599A-F1AF-425B-9512-A024156EA943}">
      <text>
        <r>
          <rPr>
            <sz val="9"/>
            <color indexed="81"/>
            <rFont val="Tahoma"/>
            <family val="2"/>
          </rPr>
          <t>MATTHEW BOLD_x000D_
http://yeinfo.com/family/I09066870.html_x000D_
https://www.google.com/search?q=MATTHEW+BOLD+1190+1242+AGNES_x000D_
.born:?1190    -          Bold (Lancashire) England_x000D_
.died: 1242    -         ?Lancashire county England, age:52y 0m 0d, _x000D_
.bapt: 1785GE_x000D_
.will: 2004MO_x000D_
.obit: 1890OH_x000D_
.bury: 1850IL _x000D_
.wpbt: 1826PA_x000D_
.anc#:double ancestor_x000D_
citiz:foreign_x000D_
#spos:1_x000D_
#srcs:1_x000D_
#comment:1_x000D_
#events:1_x000D_
#kids:1_x000D_
lived:ENLANCSBOLD_x000D_
issue:_x000D_
.recs:Birth,Marriage,Death_x000D_
.imm?:no_x000D_
..Spo:AGNES BOLD</t>
        </r>
      </text>
    </comment>
    <comment ref="AA2268" authorId="0" shapeId="0" xr:uid="{AF2E1147-E49E-47F3-9B14-C72634DA40FF}">
      <text>
        <r>
          <rPr>
            <sz val="9"/>
            <color indexed="81"/>
            <rFont val="Tahoma"/>
            <family val="2"/>
          </rPr>
          <t>ALICIA BOLD_x000D_
http://yeinfo.com/family/I09066871.html_x000D_
https://www.google.com/search?q=ALICIA+BOLD+1225+1312+HAYDOCK_x000D_
.born: 1225    -          Prescot (Lancashire) England_x000D_
.died: 131212  -          Bold (Lancashire) England, age:87y 11m 0d, _x000D_
.bapt: 1785GE_x000D_
.will: 2004MO_x000D_
.obit: 1890OH_x000D_
.bury: 1850IL _x000D_
.wpbt: 1826PA_x000D_
.anc#:double ancestor_x000D_
citiz:foreign_x000D_
#spos:1_x000D_
#srcs:1_x000D_
#comment:0_x000D_
#events:1_x000D_
#kids:1_x000D_
lived:ENLANCSBOLD,ENLANCSPRESCOT_x000D_
issue:_x000D_
.recs:Birth,Marriage,Death_x000D_
.imm?:no_x000D_
..Spo:GILBERT HAYDOCK</t>
        </r>
      </text>
    </comment>
    <comment ref="AB2270" authorId="0" shapeId="0" xr:uid="{B757200E-E81B-4AA7-97D3-7004C4DDAFA3}">
      <text>
        <r>
          <rPr>
            <sz val="9"/>
            <color indexed="81"/>
            <rFont val="Tahoma"/>
            <family val="2"/>
          </rPr>
          <t>Mrs. AGNES BOLD_x000D_
http://yeinfo.com/family/I09066869.html_x000D_
https://www.google.com/search?q=AGNES+BOLD+1200+1290+BOLD_x000D_
.born: 1200    -          Bold (Lancashire) England_x000D_
.died: 1290    -          Bold (Lancashire) England, age:90y 0m 0d, _x000D_
.bapt: 1785GE_x000D_
.will: 2004MO_x000D_
.obit: 1890OH_x000D_
.bury: 1850IL _x000D_
.wpbt: 1826PA_x000D_
.anc#:double ancestor_x000D_
citiz:foreign_x000D_
#spos:1_x000D_
#srcs:1_x000D_
#comment:0_x000D_
#events:1_x000D_
#kids:1_x000D_
lived:ENLANCSBOLD_x000D_
issue:_x000D_
.recs:Birth,Marriage,Death_x000D_
.imm?:no_x000D_
..Spo:MATTHEW BOLD</t>
        </r>
      </text>
    </comment>
    <comment ref="Y2272" authorId="0" shapeId="0" xr:uid="{A2F22DE0-43B8-49D5-A84D-02D9E3B20C61}">
      <text>
        <r>
          <rPr>
            <sz val="9"/>
            <color indexed="81"/>
            <rFont val="Tahoma"/>
            <family val="2"/>
          </rPr>
          <t>GILBERT HAYDOCK III_x000D_
http://yeinfo.com/family/I09066914.html_x000D_
https://www.google.com/search?q=GILBERT+HAYDOCK+1290+1322+EMMA_x000D_
.born: 1290    -          Warrington (Lancashire) England_x000D_
.died: 1322    -1361      Haydock (Lancashire) England, age:32y 0m 0d, _x000D_
.bapt: 1785GE_x000D_
.will: 2004MO_x000D_
.obit: 1890OH_x000D_
.bury: 1850IL _x000D_
.wpbt: 1826PA_x000D_
.anc#:double ancestor_x000D_
citiz:foreign_x000D_
#spos:1_x000D_
#srcs:1_x000D_
#comment:0_x000D_
#events:1_x000D_
#kids:1_x000D_
lived:ENLANCSHAYDOCK,ENLANCSWARRING_x000D_
issue:_x000D_
.recs:Birth,Marriage,Death_x000D_
.imm?:no_x000D_
..Spo:EMMA HOUGHTON</t>
        </r>
      </text>
    </comment>
    <comment ref="Z2274" authorId="0" shapeId="0" xr:uid="{EA119516-B547-4C9B-ADD3-DDADB72988A4}">
      <text>
        <r>
          <rPr>
            <sz val="9"/>
            <color indexed="81"/>
            <rFont val="Tahoma"/>
            <family val="2"/>
          </rPr>
          <t>Mrs. {_?_} HAYDOCK_x000D_
http://yeinfo.com/family/I09066912.html_x000D_
https://www.google.com/search?q={_?_}+HAYDOCK+1265+1290+HAYDOCK_x000D_
.born:?1265    -         ?Lancashire county England_x000D_
.died: 1290    -1355     ?Lancashire county England, age:25y 0m 0d, _x000D_
.bapt: 1785GE_x000D_
.will: 2004MO_x000D_
.obit: 1890OH_x000D_
.bury: 1850IL _x000D_
.wpbt: 1826PA_x000D_
.anc#:double ancestor_x000D_
citiz:foreign_x000D_
#spos:1_x000D_
#srcs:1_x000D_
#comment:0_x000D_
#events:1_x000D_
#kids:1_x000D_
lived:?ENLANCS_x000D_
issue:_x000D_
.recs:Birth,Marriage,Death_x000D_
.imm?:no_x000D_
..Spo:GILBERT HAYDOCK</t>
        </r>
      </text>
    </comment>
    <comment ref="X2276" authorId="0" shapeId="0" xr:uid="{404CDA80-E0AF-44AE-8D38-8A4EE7BE7CE2}">
      <text>
        <r>
          <rPr>
            <sz val="9"/>
            <color indexed="81"/>
            <rFont val="Tahoma"/>
            <family val="2"/>
          </rPr>
          <t>ANABEL HAYDOCK_x000D_
http://yeinfo.com/family/I09066915.html_x000D_
https://www.google.com/search?q=ANABEL+HAYDOCK+1322+1390+WORSLEY_x000D_
.born: 1322    -          Haydock (Lancashire) England_x000D_
.died: 1390    -          Worsley (Lancashire) England, age:68y 0m 0d, _x000D_
.bapt: 1785GE_x000D_
.will: 2004MO_x000D_
.obit: 1890OH_x000D_
.bury: 1850IL _x000D_
.wpbt: 1826PA_x000D_
.anc#:double ancestor_x000D_
citiz:foreign_x000D_
#spos:1_x000D_
#srcs:1_x000D_
#comment:0_x000D_
#events:1_x000D_
#kids:1_x000D_
lived:ENLANCSHAYDOCK,ENLANCSWORSLEY_x000D_
issue:_x000D_
.recs:Birth,Marriage,Death_x000D_
.imm?:no_x000D_
..Spo:GEOFFREY WORSLEY</t>
        </r>
      </text>
    </comment>
    <comment ref="Z2278" authorId="0" shapeId="0" xr:uid="{FB35A4A1-425E-4A90-A019-985250C871A7}">
      <text>
        <r>
          <rPr>
            <sz val="9"/>
            <color indexed="81"/>
            <rFont val="Tahoma"/>
            <family val="2"/>
          </rPr>
          <t>WILLIAM HOUGHTON_x000D_
http://yeinfo.com/family/I09066923.html_x000D_
https://www.google.com/search?q=WILLIAM+HOUGHTON+1277+1320+{_?_}_x000D_
.born:?1277    -          England_x000D_
.died:?1320    -          England, age:43y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..Spo:{_?_} HOUGHTON</t>
        </r>
      </text>
    </comment>
    <comment ref="Y2280" authorId="0" shapeId="0" xr:uid="{640DB904-16A7-4884-B3E0-C0F5EED2E291}">
      <text>
        <r>
          <rPr>
            <sz val="9"/>
            <color indexed="81"/>
            <rFont val="Tahoma"/>
            <family val="2"/>
          </rPr>
          <t>EMMA HOUGHTON_x000D_
http://yeinfo.com/family/I09066924.html_x000D_
https://www.google.com/search?q=EMMA+HOUGHTON+1303+1332+HAYDOCK_x000D_
.born:?1303    -          Haydock (Lancashire) England_x000D_
.died: 1332    -          Warrington (Lancashire) England, age:29y 0m 0d, _x000D_
.bapt: 1785GE_x000D_
.will: 2004MO_x000D_
.obit: 1890OH_x000D_
.bury: 1850IL _x000D_
.wpbt: 1826PA_x000D_
.anc#:double ancestor_x000D_
citiz:foreign_x000D_
#spos:1_x000D_
#srcs:1_x000D_
#comment:0_x000D_
#events:1_x000D_
#kids:1_x000D_
lived:ENLANCSHAYDOCK,ENLANCSWARRING_x000D_
issue:_x000D_
.recs:Birth,Marriage,Death_x000D_
.imm?:no_x000D_
..Spo:GILBERT HAYDOCK</t>
        </r>
      </text>
    </comment>
    <comment ref="Z2282" authorId="0" shapeId="0" xr:uid="{109496BA-900A-4913-961F-ACA5F883C0EE}">
      <text>
        <r>
          <rPr>
            <sz val="9"/>
            <color indexed="81"/>
            <rFont val="Tahoma"/>
            <family val="2"/>
          </rPr>
          <t>Mrs. {_?_} HOUGHTON_x000D_
http://yeinfo.com/family/I09066922.html_x000D_
https://www.google.com/search?q={_?_}+HOUGHTON+1280+1303+HOUGHTON_x000D_
.born:?1280    -          England_x000D_
.died: 1303    -1368      England, age:23y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..Spo:WILLIAM HOUGHTON</t>
        </r>
      </text>
    </comment>
    <comment ref="S2284" authorId="0" shapeId="0" xr:uid="{D86BA3AF-C273-4230-9C67-20EE5A9EB0D8}">
      <text>
        <r>
          <rPr>
            <sz val="9"/>
            <color indexed="81"/>
            <rFont val="Tahoma"/>
            <family val="2"/>
          </rPr>
          <t>EDMUND TRAFFORD_x000D_
http://yeinfo.com/family/I09066987.html_x000D_
https://www.google.com/search?q=EDMUND+TRAFFORD+1445+1513+MARGARET_x000D_
.born: 1445    -          Lancashire county England_x000D_
.died: 15130815-          Lancashire county England, age:68y 7m 14d, _x000D_
.bapt: 1785GE_x000D_
.will: 2004MO_x000D_
.obit: 1890OH_x000D_
.bury: 1850IL Manchester Cathedral_x000D_
.wpbt: 1826PA_x000D_
.anc#:double ancestor_x000D_
citiz:foreign_x000D_
#spos:1_x000D_
#srcs:1_x000D_
#comment:0_x000D_
#events:2_x000D_
#kids:1_x000D_
lived:ENLANCSMANCHES_x000D_
issue:_x000D_
.recs:Birth,Marriage,Death,Interment/Burial_x000D_
.imm?:no_x000D_
..Spo:MARGARET SAVAGE</t>
        </r>
      </text>
    </comment>
    <comment ref="Y2286" authorId="0" shapeId="0" xr:uid="{77C28572-AAB3-4071-8C84-5A6B2E48763C}">
      <text>
        <r>
          <rPr>
            <sz val="9"/>
            <color indexed="81"/>
            <rFont val="Tahoma"/>
            <family val="2"/>
          </rPr>
          <t>ROBERT ASHTON_x000D_
http://yeinfo.com/family/I09066857.html_x000D_
https://www.google.com/search?q=ROBERT+ASHTON+1303+1321+ELIZABETH_x000D_
.born:?1303    -          Ashton under Lyne (Lancashire) England_x000D_
.died:?1321    -1388      Kent county England, age:18y 0m 0d, _x000D_
.bapt: 1785GE_x000D_
.will: 2004MO_x000D_
.obit: 1890OH_x000D_
.bury: 1850IL _x000D_
.wpbt: 1826PA_x000D_
.anc#:double ancestor_x000D_
citiz:foreign_x000D_
#spos:1_x000D_
#srcs:1_x000D_
#comment:1_x000D_
#events:1_x000D_
#kids:1_x000D_
lived:ENKENT,ENLANCSASHTONL_x000D_
issue:_x000D_
.recs:Birth,Marriage,Death_x000D_
.imm?:no_x000D_
..Spo:ELIZABETH GORGES</t>
        </r>
      </text>
    </comment>
    <comment ref="X2288" authorId="0" shapeId="0" xr:uid="{906EFDE9-445C-417D-8425-9AB8BC03535D}">
      <text>
        <r>
          <rPr>
            <sz val="9"/>
            <color indexed="81"/>
            <rFont val="Tahoma"/>
            <family val="2"/>
          </rPr>
          <t>THOMAS ASHTON II_x000D_
http://yeinfo.com/family/I09066858.html_x000D_
https://www.google.com/search?q=THOMAS+ASHTON+1306+1354+ELEANOR_x000D_
.born: 1306    -          Ashton under Lyne (Lancashire) England_x000D_
.died:?1354    -1406     ?Lancashire county England, age:48y 0m 0d, _x000D_
.bapt: 1785GE_x000D_
.will: 2004MO_x000D_
.obit: 1890OH_x000D_
.bury: 1850IL _x000D_
.wpbt: 1826PA_x000D_
.anc#:double ancestor_x000D_
citiz:foreign_x000D_
#spos:1_x000D_
#srcs:1_x000D_
#comment:0_x000D_
#events:1_x000D_
#kids:1_x000D_
lived:ENLANCSASHTONL_x000D_
issue:Born before Parents Married_x000D_
.recs:Birth,Marriage,Death_x000D_
.imm?:no_x000D_
..Spo:ELEANOR BUMBLEY</t>
        </r>
      </text>
    </comment>
    <comment ref="AA2290" authorId="0" shapeId="0" xr:uid="{6A384CAA-BF4A-4F8E-9823-1CF2023D6628}">
      <text>
        <r>
          <rPr>
            <sz val="9"/>
            <color indexed="81"/>
            <rFont val="Tahoma"/>
            <family val="2"/>
          </rPr>
          <t>RALPH GORGES II_x000D_
http://yeinfo.com/family/I09066907.html_x000D_
https://www.google.com/search?q=RALPH+GORGES+1254+1297+MAUD_x000D_
.born:?1254    -          Gloucestershire county England_x000D_
.died: 1297    -          France, age:43y 0m 0d, _x000D_
.bapt: 1785GE_x000D_
.will: 2004MO_x000D_
.obit: 1890OH_x000D_
.bury: 1850IL _x000D_
.wpbt: 1826PA_x000D_
.anc#:double ancestor_x000D_
citiz:foreign_x000D_
#spos:1_x000D_
#srcs:3_x000D_
#comment:1_x000D_
#events:2_x000D_
#kids:1_x000D_
lived:ENDERBYLITTON,ENGLOUS,FR_x000D_
issue:_x000D_
.recs:Birth,Marriage,Death_x000D_
.imm?:no_x000D_
..Spo:MAUD LOVELL</t>
        </r>
      </text>
    </comment>
    <comment ref="Z2292" authorId="0" shapeId="0" xr:uid="{E74787E4-86B4-4DC0-B438-B16AF2603DAF}">
      <text>
        <r>
          <rPr>
            <sz val="9"/>
            <color indexed="81"/>
            <rFont val="Tahoma"/>
            <family val="2"/>
          </rPr>
          <t>RALPH GORGES III_x000D_
http://yeinfo.com/family/I09066908.html_x000D_
https://www.google.com/search?q=RALPH+GORGES+1280+1333+ELEANOR_x000D_
.born: 1280    -          Gloucestershire county England_x000D_
.died: 13331207-          Berwick (Dorset) England, age:53y 11m 6d, _x000D_
.bapt: 1785GE_x000D_
.will: 2004MO_x000D_
.obit: 1890OH_x000D_
.bury: 1850IL _x000D_
.wpbt: 1826PA_x000D_
.anc#:double ancestor_x000D_
citiz:foreign_x000D_
#spos:1_x000D_
#srcs:2_x000D_
#comment:0_x000D_
#events:1_x000D_
#kids:1_x000D_
lived:ENDORSEBERWICK,ENGLOUS_x000D_
issue:_x000D_
.recs:Birth,Marriage,Death_x000D_
.imm?:no_x000D_
..Spo:ELEANOR FERRERS</t>
        </r>
      </text>
    </comment>
    <comment ref="AA2294" authorId="0" shapeId="0" xr:uid="{90EF2BE8-1FBA-4EA6-851C-3382C6285E7C}">
      <text>
        <r>
          <rPr>
            <sz val="9"/>
            <color indexed="81"/>
            <rFont val="Tahoma"/>
            <family val="2"/>
          </rPr>
          <t>MAUD LOVELL_x000D_
http://yeinfo.com/family/I09066944.html_x000D_
https://www.google.com/search?q=MAUD+LOVELL+1260+1297+GORGES_x000D_
.born:?1260    -          Thrapston (Northamptonshire) England_x000D_
.died: 1297    -1345      Bradpole (Dorset) England, age:37y 0m 0d, _x000D_
.bapt: 1785GE_x000D_
.will: 2004MO_x000D_
.obit: 1890OH_x000D_
.bury: 1850IL _x000D_
.wpbt: 1826PA_x000D_
.anc#:double ancestor_x000D_
citiz:foreign_x000D_
#spos:1_x000D_
#srcs:2_x000D_
#comment:1_x000D_
#events:1_x000D_
#kids:1_x000D_
lived:ENDORSEBRADPOL,ENNORTATHRAPST_x000D_
issue:_x000D_
.recs:Birth,Marriage,Death_x000D_
.imm?:no_x000D_
..Spo:RALPH GORGES</t>
        </r>
      </text>
    </comment>
    <comment ref="Y2296" authorId="0" shapeId="0" xr:uid="{98E6B490-3AC1-4177-8D9B-7BFF055B39E1}">
      <text>
        <r>
          <rPr>
            <sz val="9"/>
            <color indexed="81"/>
            <rFont val="Tahoma"/>
            <family val="2"/>
          </rPr>
          <t>ELIZABETH GORGES_x000D_
http://yeinfo.com/family/I09066909.html_x000D_
https://www.google.com/search?q=ELIZABETH+GORGES+1305+1348+ASHTON_x000D_
.born:?1305    -          Ashton by Makerfield (Lancashire) England_x000D_
.died: 1348    -          Ashton by Makerfield (Lancashire) England, age:43y 0m 0d, _x000D_
.bapt: 1785GE_x000D_
.will: 2004MO_x000D_
.obit: 1890OH_x000D_
.bury: 1850IL _x000D_
.wpbt: 1826PA_x000D_
.anc#:double ancestor_x000D_
citiz:foreign_x000D_
#spos:1_x000D_
#srcs:1_x000D_
#comment:0_x000D_
#events:1_x000D_
#kids:1_x000D_
lived:ENLANCSASHTONL,ENLANCSASHTONM_x000D_
issue:Died after Age 100_x000D_
.recs:Birth,Marriage,Death_x000D_
.imm?:no_x000D_
..Spo:ROBERT ASHTON</t>
        </r>
      </text>
    </comment>
    <comment ref="AA2298" authorId="0" shapeId="0" xr:uid="{B83A1938-0FBB-49CC-B886-B545E364594D}">
      <text>
        <r>
          <rPr>
            <sz val="9"/>
            <color indexed="81"/>
            <rFont val="Tahoma"/>
            <family val="2"/>
          </rPr>
          <t>JOHN FERRERS_x000D_
http://yeinfo.com/family/I09066905.html_x000D_
https://www.google.com/search?q=JOHN+FERRERS+1260+1280+{_?_}_x000D_
.born:?1260    -          Tothill (Lincolnshire) England_x000D_
.died: 1280    -1345      England, age:20y 0m 0d, _x000D_
.bapt: 1785GE_x000D_
.will: 2004MO_x000D_
.obit: 1890OH_x000D_
.bury: 1850IL _x000D_
.wpbt: 1826PA_x000D_
.anc#:double ancestor_x000D_
citiz:foreign_x000D_
#spos:1_x000D_
#srcs:2_x000D_
#comment:0_x000D_
#events:1_x000D_
#kids:1_x000D_
lived:ENLINCSTOTHILL_x000D_
issue:_x000D_
.recs:Birth,Marriage,Death_x000D_
.imm?:no_x000D_
..Spo:{_?_} FERRERS</t>
        </r>
      </text>
    </comment>
    <comment ref="Z2300" authorId="0" shapeId="0" xr:uid="{47712BE9-3F61-4460-BA5B-0A1C8428A6E2}">
      <text>
        <r>
          <rPr>
            <sz val="9"/>
            <color indexed="81"/>
            <rFont val="Tahoma"/>
            <family val="2"/>
          </rPr>
          <t>ELEANOR FERRERS_x000D_
http://yeinfo.com/family/I09066906.html_x000D_
https://www.google.com/search?q=ELEANOR+FERRERS+1280+1343+GORGES_x000D_
.born: 1280    -          Tothill (Lincolnshire) England_x000D_
.died: 1343    -          Braunton (Devon) England, age:63y 0m 0d, _x000D_
.bapt: 1785GE_x000D_
.will: 2004MO_x000D_
.obit: 1890OH_x000D_
.bury: 1850IL _x000D_
.wpbt: 1826PA_x000D_
.anc#:double ancestor_x000D_
citiz:foreign_x000D_
#spos:1_x000D_
#srcs:1_x000D_
#comment:0_x000D_
#events:1_x000D_
#kids:1_x000D_
lived:ENDEVONBRAUNTO,ENLINCSTOTHILL_x000D_
issue:_x000D_
.recs:Birth,Marriage,Death_x000D_
.imm?:no_x000D_
..Spo:RALPH GORGES</t>
        </r>
      </text>
    </comment>
    <comment ref="AA2302" authorId="0" shapeId="0" xr:uid="{96CA8B7A-129F-4404-942A-CEDC49D23EC1}">
      <text>
        <r>
          <rPr>
            <sz val="9"/>
            <color indexed="81"/>
            <rFont val="Tahoma"/>
            <family val="2"/>
          </rPr>
          <t>Mrs. {_?_} FERRERS_x000D_
http://yeinfo.com/family/I09066904.html_x000D_
https://www.google.com/search?q={_?_}+FERRERS+1260+1280+FERRERS_x000D_
.born:?1260    -          England_x000D_
.died: 1280    -1345      England, age:20y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..Spo:JOHN FERRERS</t>
        </r>
      </text>
    </comment>
    <comment ref="W2304" authorId="0" shapeId="0" xr:uid="{365D91BE-F62E-42FB-95AF-74449689DCA0}">
      <text>
        <r>
          <rPr>
            <sz val="9"/>
            <color indexed="81"/>
            <rFont val="Tahoma"/>
            <family val="2"/>
          </rPr>
          <t>JOHN ASHTON_x000D_
http://yeinfo.com/family/I09066859.html_x000D_
https://www.google.com/search?q=JOHN+ASHTON+1339+1375+JOAN_x000D_
.born: 1339    -          Ashton under Lyne (Lancashire) England_x000D_
.died:?1375    -1439      Northumberland county England, age:36y 0m 0d, _x000D_
.bapt: 1785GE_x000D_
.will: 2004MO_x000D_
.obit: 1890OH_x000D_
.bury: 1850IL _x000D_
.wpbt: 1826PA_x000D_
.anc#:double ancestor_x000D_
citiz:foreign_x000D_
#spos:1_x000D_
#srcs:1_x000D_
#comment:0_x000D_
#events:1_x000D_
#kids:1_x000D_
lived:ENLANCSASHTONL,ENNORTU_x000D_
issue:Born before Parents Married_x000D_
.recs:Birth,Marriage,Death_x000D_
.imm?:no_x000D_
..Spo:JOAN RADCLIFFE</t>
        </r>
      </text>
    </comment>
    <comment ref="Y2306" authorId="0" shapeId="0" xr:uid="{EA3F3247-1580-4100-93AC-DBA40EDC1BFD}">
      <text>
        <r>
          <rPr>
            <sz val="9"/>
            <color indexed="81"/>
            <rFont val="Tahoma"/>
            <family val="2"/>
          </rPr>
          <t>JOHN BUMBLEY_x000D_
http://yeinfo.com/family/I09066883.html_x000D_
https://www.google.com/search?q=JOHN+BUMBLEY+1270+1336+{_?_}_x000D_
.born:?1270    -          Ashton under Lyne (Lancashire) England_x000D_
.died: 1336    -          England, age:66y 0m 0d, _x000D_
.bapt: 1785GE_x000D_
.will: 2004MO_x000D_
.obit: 1890OH_x000D_
.bury: 1850IL _x000D_
.wpbt: 1826PA_x000D_
.anc#:double ancestor_x000D_
citiz:foreign_x000D_
#spos:1_x000D_
#srcs:1_x000D_
#comment:1_x000D_
#events:1_x000D_
#kids:1_x000D_
lived:ENLANCSASHTONL_x000D_
issue:_x000D_
.recs:Birth,Marriage,Death_x000D_
.imm?:no_x000D_
..Spo:{_?_} BUMBLEY</t>
        </r>
      </text>
    </comment>
    <comment ref="X2308" authorId="0" shapeId="0" xr:uid="{2190351C-F33F-4837-BC32-EB891A10976E}">
      <text>
        <r>
          <rPr>
            <sz val="9"/>
            <color indexed="81"/>
            <rFont val="Tahoma"/>
            <family val="2"/>
          </rPr>
          <t>ELEANOR BUMBLEY_x000D_
http://yeinfo.com/family/I09066884.html_x000D_
https://www.google.com/search?q=ELEANOR+BUMBLEY+1300+1360+ASHTON_x000D_
.born: 1300    -          England_x000D_
.died:?1360    -          Ashton under Lyne (Lancashire) England, age:60y 0m 0d, _x000D_
.bapt: 1785GE_x000D_
.will: 2004MO_x000D_
.obit: 1890OH_x000D_
.bury: 1850IL _x000D_
.wpbt: 1826PA_x000D_
.anc#:double ancestor_x000D_
citiz:foreign_x000D_
#spos:1_x000D_
#srcs:1_x000D_
#comment:0_x000D_
#events:1_x000D_
#kids:1_x000D_
lived:ENLANCSASHTONL_x000D_
issue:_x000D_
.recs:Birth,Marriage,Death_x000D_
.imm?:no_x000D_
..Spo:THOMAS ASHTON</t>
        </r>
      </text>
    </comment>
    <comment ref="Y2310" authorId="0" shapeId="0" xr:uid="{1B45F25D-6011-44DB-9727-C9941EC19064}">
      <text>
        <r>
          <rPr>
            <sz val="9"/>
            <color indexed="81"/>
            <rFont val="Tahoma"/>
            <family val="2"/>
          </rPr>
          <t>Mrs. {_?_} BUMBLEY_x000D_
http://yeinfo.com/family/I09066882.html_x000D_
https://www.google.com/search?q={_?_}+BUMBLEY+1275+1300+BUMBLEY_x000D_
.born:?1275    -          England_x000D_
.died: 1300    -1365      England, age:25y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..Spo:JOHN BUMBLEY</t>
        </r>
      </text>
    </comment>
    <comment ref="V2312" authorId="0" shapeId="0" xr:uid="{82209A53-E66F-4793-85E9-A3ABD0E90617}">
      <text>
        <r>
          <rPr>
            <sz val="9"/>
            <color indexed="81"/>
            <rFont val="Tahoma"/>
            <family val="2"/>
          </rPr>
          <t>JOHN ASHTON II_x000D_
http://yeinfo.com/family/I09066860.html_x000D_
https://www.google.com/search?q=JOHN+ASHTON+1360+1428+JANE_x000D_
.born: 1360    -          Lancashire county England_x000D_
.died: 1428    -          Lancashire county England, age:68y 0m 0d, _x000D_
.bapt: 1785GE_x000D_
.will: 2004MO_x000D_
.obit: 1890OH_x000D_
.bury: 1850IL _x000D_
.wpbt: 1826PA_x000D_
.anc#:double ancestor_x000D_
citiz:foreign_x000D_
#spos:1_x000D_
#srcs:1_x000D_
#comment:0_x000D_
#events:2_x000D_
#kids:1_x000D_
lived:ENLANCS,ENYORKSTANKERS_x000D_
issue:Born before Parents Married_x000D_
.recs:Birth,Marriage,Death_x000D_
.imm?:no_x000D_
..Spo:JANE SAVILLE</t>
        </r>
      </text>
    </comment>
    <comment ref="AA2314" authorId="0" shapeId="0" xr:uid="{C880F2DB-B9E0-4248-BE97-4D80D13AB7E3}">
      <text>
        <r>
          <rPr>
            <sz val="9"/>
            <color indexed="81"/>
            <rFont val="Tahoma"/>
            <family val="2"/>
          </rPr>
          <t>ROBERT RADCLIFFE_x000D_
http://yeinfo.com/family/I09066959.html_x000D_
https://www.google.com/search?q=ROBERT+RADCLIFFE+1208+1239+AMBIL\AMABIL_x000D_
.born:?1208    -          Lancashire county England_x000D_
.died: 1239    -1290     ?Lancashire county England, age:31y 0m 0d, _x000D_
.bapt: 1785GE_x000D_
.will: 2004MO_x000D_
.obit: 1890OH_x000D_
.bury: 1850IL _x000D_
.wpbt: 1826PA_x000D_
.anc#: decuple ancestor_x000D_
citiz:foreign_x000D_
#spos:1_x000D_
#srcs:3_x000D_
#comment:1_x000D_
#events:1_x000D_
#kids:1_x000D_
lived:ENLANCS_x000D_
issue:Died after Age 100_x000D_
.recs:Birth,Marriage,Death_x000D_
.imm?:no_x000D_
..Spo:AMBIL\AMABIL TRAFFORD</t>
        </r>
      </text>
    </comment>
    <comment ref="Z2316" authorId="0" shapeId="0" xr:uid="{30BED46D-8E09-4FB4-B820-4DDE674731EB}">
      <text>
        <r>
          <rPr>
            <sz val="9"/>
            <color indexed="81"/>
            <rFont val="Tahoma"/>
            <family val="2"/>
          </rPr>
          <t>RICHARD RADCLIFFE_x000D_
http://yeinfo.com/family/I09066960.html_x000D_
https://www.google.com/search?q=RICHARD+RADCLIFFE+1224+1326+JOAN\MARGARET_x000D_
.born: 1224    -          Lancashire county England_x000D_
.died: 1326    -          Lancashire county England, age:102y 0m 0d, _x000D_
.bapt: 1785GE_x000D_
.will: 2004MO_x000D_
.obit: 1890OH_x000D_
.bury: 1850IL _x000D_
.wpbt: 1826PA_x000D_
.anc#: decuple ancestor_x000D_
citiz:foreign_x000D_
#spos:1_x000D_
#srcs:3_x000D_
#comment:0_x000D_
#events:1_x000D_
#kids:2_x000D_
lived:ENLANCS_x000D_
issue:Married after Age 60_x000D_
.recs:Birth,Marriage,Death_x000D_
.imm?:no_x000D_
..Spo:JOAN\MARGARET BOTELER</t>
        </r>
      </text>
    </comment>
    <comment ref="AA2318" authorId="0" shapeId="0" xr:uid="{B5936F13-D352-45F6-AF43-CE0AF9881251}">
      <text>
        <r>
          <rPr>
            <sz val="9"/>
            <color indexed="81"/>
            <rFont val="Tahoma"/>
            <family val="2"/>
          </rPr>
          <t>AMBIL\AMABIL TRAFFORD_x000D_
http://yeinfo.com/family/I09066988.html_x000D_
https://www.google.com/search?q=AMBIL\AMABIL+TRAFFORD+1222+1239+RADCLIFFE_x000D_
.born:?1222    -          Lancashire county England_x000D_
.died: 1239    -1304     ?Lancashire county England, age:17y 0m 0d, _x000D_
.bapt: 1785GE_x000D_
.will: 2004MO_x000D_
.obit: 1890OH_x000D_
.bury: 1850IL _x000D_
.wpbt: 1826PA_x000D_
.anc#: decuple ancestor_x000D_
citiz:foreign_x000D_
#spos:1_x000D_
#srcs:3_x000D_
#comment:1_x000D_
#events:1_x000D_
#kids:1_x000D_
lived:ENLANCS_x000D_
issue:Died after Age 100_x000D_
.recs:Birth,Marriage,Death_x000D_
.imm?:no_x000D_
..Spo:ROBERT RADCLIFFE</t>
        </r>
      </text>
    </comment>
    <comment ref="Y2320" authorId="0" shapeId="0" xr:uid="{1E5A7665-3859-47B5-B8F0-DB4CAAC9C0EE}">
      <text>
        <r>
          <rPr>
            <sz val="9"/>
            <color indexed="81"/>
            <rFont val="Tahoma"/>
            <family val="2"/>
          </rPr>
          <t>ROBERT RADCLIFFE_x000D_
http://yeinfo.com/family/I09067011.html_x000D_
https://www.google.com/search?q=ROBERT+RADCLIFFE+1267+1333+SHORESWORTH_x000D_
.born: 1267    -          Lancashire county England_x000D_
.died: 1333    -         ?Lancashire county England, age:66y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issue:AncFlags between Spouses Mismatched_x000D_
.recs:Birth,Marriage,Death_x000D_
.imm?:no_x000D_
..Spo:</t>
        </r>
      </text>
    </comment>
    <comment ref="AA2322" authorId="0" shapeId="0" xr:uid="{3ACC5C0B-5BD2-4565-AF1B-F2800A8D869C}">
      <text>
        <r>
          <rPr>
            <sz val="9"/>
            <color indexed="81"/>
            <rFont val="Tahoma"/>
            <family val="2"/>
          </rPr>
          <t>HENRY\WILLIAM\ROBERT BOTELER_x000D_
http://yeinfo.com/family/I09066877.html_x000D_
https://www.google.com/search?q=HENRY\WILLIAM\ROBERT+BOTELER+1230+1247+ISABELLA_x000D_
.born:?1230    -          Warrington (Lancashire) England_x000D_
.died: 1247    -1280     ?Lancashire county England, age:17y 0m 0d, _x000D_
.bapt: 1785GE_x000D_
.will: 2004MO_x000D_
.obit: 1890OH_x000D_
.bury: 1850IL _x000D_
.wpbt: 1826PA_x000D_
.anc#: decuple ancestor_x000D_
citiz:foreign_x000D_
#spos:1_x000D_
#srcs:1_x000D_
#comment:1_x000D_
#events:2_x000D_
#kids:1_x000D_
lived:ENLANCSWARRING_x000D_
issue:_x000D_
.recs:Birth,Marriage,Death_x000D_
.imm?:no_x000D_
..Spo:ISABELLA BOTELER</t>
        </r>
      </text>
    </comment>
    <comment ref="Z2324" authorId="0" shapeId="0" xr:uid="{3E1B52A6-783E-42AE-BE4D-7FC7748DA271}">
      <text>
        <r>
          <rPr>
            <sz val="9"/>
            <color indexed="81"/>
            <rFont val="Tahoma"/>
            <family val="2"/>
          </rPr>
          <t>JOAN\MARGARET BOTELER_x000D_
http://yeinfo.com/family/I09066878.html_x000D_
https://www.google.com/search?q=JOAN\MARGARET+BOTELER+1232+1267+RADCLIFFE_x000D_
.born: 1232    -          Warrington (Lancashire) England_x000D_
.died: 1267    -1332     ?Lancashire county England, age:35y 0m 0d, _x000D_
.bapt: 1785GE_x000D_
.will: 2004MO_x000D_
.obit: 1890OH_x000D_
.bury: 1850IL _x000D_
.wpbt: 1826PA_x000D_
.anc#: decuple ancestor_x000D_
citiz:foreign_x000D_
#spos:1_x000D_
#srcs:3_x000D_
#comment:0_x000D_
#events:1_x000D_
#kids:2_x000D_
lived:ENLANCSWARRING_x000D_
issue:Born before Parents Married_x000D_
.recs:Birth,Marriage,Death_x000D_
.imm?:no_x000D_
..Spo:RICHARD RADCLIFFE</t>
        </r>
      </text>
    </comment>
    <comment ref="AA2326" authorId="0" shapeId="0" xr:uid="{7394FB3D-C188-42C0-81A7-065E037E30EB}">
      <text>
        <r>
          <rPr>
            <sz val="9"/>
            <color indexed="81"/>
            <rFont val="Tahoma"/>
            <family val="2"/>
          </rPr>
          <t>Mrs. ISABELLA BOTELER_x000D_
http://yeinfo.com/family/I09066876.html_x000D_
https://www.google.com/search?q=ISABELLA+BOTELER+1227+1247+BOTELER_x000D_
.born:?1227    -          Merton (Lancashire) England_x000D_
.died: 1247    -1312     ?Lancashire county England, age:20y 0m 0d, _x000D_
.bapt: 1785GE_x000D_
.will: 2004MO_x000D_
.obit: 1890OH_x000D_
.bury: 1850IL _x000D_
.wpbt: 1826PA_x000D_
.anc#: decuple ancestor_x000D_
citiz:foreign_x000D_
#spos:1_x000D_
#srcs:2_x000D_
#comment:1_x000D_
#events:1_x000D_
#kids:1_x000D_
lived:ENLANCSMERTON_x000D_
issue:_x000D_
.recs:Birth,Marriage,Death_x000D_
.imm?:no_x000D_
..Spo:HENRY\WILLIAM\ROBERT BOTELER</t>
        </r>
      </text>
    </comment>
    <comment ref="X2328" authorId="0" shapeId="0" xr:uid="{E9B50660-2B95-4C0F-BB8F-7BA1EB9AD4E4}">
      <text>
        <r>
          <rPr>
            <sz val="9"/>
            <color indexed="81"/>
            <rFont val="Tahoma"/>
            <family val="2"/>
          </rPr>
          <t>WILLIAM RADCLIFFE_x000D_
http://yeinfo.com/family/I09066964.html_x000D_
https://www.google.com/search?q=WILLIAM+RADCLIFFE+1304+1330+KATHERINE_x000D_
.born: 1304    -          Pilsworth (Lancashire) England_x000D_
.died: 1330    -1389      Lancashire county England, age:26y 0m 0d, _x000D_
.bapt: 1785GE_x000D_
.will: 2004MO_x000D_
.obit: 1890OH_x000D_
.bury: 1850IL _x000D_
.wpbt: 1826PA_x000D_
.anc#:double ancestor_x000D_
citiz:foreign_x000D_
#spos:1_x000D_
#srcs:1_x000D_
#comment:0_x000D_
#events:1_x000D_
#kids:1_x000D_
lived:ENLANCSPILSWOR_x000D_
issue:_x000D_
.recs:Birth,Marriage,Death_x000D_
.imm?:no_x000D_
..Spo:KATHERINE NORLEY</t>
        </r>
      </text>
    </comment>
    <comment ref="Z2330" authorId="0" shapeId="0" xr:uid="{5FE51E53-748B-4D48-B644-17CB99BBAD98}">
      <text>
        <r>
          <rPr>
            <sz val="9"/>
            <color indexed="81"/>
            <rFont val="Tahoma"/>
            <family val="2"/>
          </rPr>
          <t>ROBERT SHORESWORTH_x000D_
http://yeinfo.com/family/I09066974.html_x000D_
https://www.google.com/search?q=ROBERT+SHORESWORTH+1235+1300+CECILY_x000D_
.born:?1235    -          Lancashire county England_x000D_
.died: 1300    -1330     ?Lancashire county England, age:65y 0m 0d, _x000D_
.bapt: 1785GE_x000D_
.will: 2004MO_x000D_
.obit: 1890OH_x000D_
.bury: 1850IL _x000D_
.wpbt: 1826PA_x000D_
.anc#:  quadruple ancestor_x000D_
citiz:foreign_x000D_
#spos:1_x000D_
#srcs:1_x000D_
#comment:1_x000D_
#events:1_x000D_
#kids:1_x000D_
lived:ENLANCS_x000D_
issue:_x000D_
.recs:Birth,Marriage,Death_x000D_
.imm?:no_x000D_
..Spo:CECILY DENTON</t>
        </r>
      </text>
    </comment>
    <comment ref="Y2332" authorId="0" shapeId="0" xr:uid="{07A8A177-3D2D-4EF6-91E1-11AD5CC67AFB}">
      <text>
        <r>
          <rPr>
            <sz val="9"/>
            <color indexed="81"/>
            <rFont val="Tahoma"/>
            <family val="2"/>
          </rPr>
          <t>MARGARET SHORESWORTH_x000D_
http://yeinfo.com/family/I09066975.html_x000D_
https://www.google.com/search?q=MARGARET+SHORESWORTH+1265+1343+HENRY_x000D_
.born: 1265    -          Bury (Lancashire) England_x000D_
.died: 1343    -          Bury (Lancashire) England, age:78y 0m 0d, _x000D_
.bapt: 1785GE_x000D_
.will: 2004MO_x000D_
.obit: 1890OH_x000D_
.bury: 1850IL _x000D_
.wpbt: 1826PA_x000D_
.anc#:  quadruple ancestor_x000D_
citiz:foreign_x000D_
#spos:3_x000D_
#srcs:1_x000D_
#comment:0_x000D_
#events:3_x000D_
#kids:2_x000D_
lived:ENLANCSBURY_x000D_
issue:_x000D_
.recs:Birth,Marriage,Death_x000D_
.imm?:no_x000D_
..Spo:</t>
        </r>
      </text>
    </comment>
    <comment ref="Z2334" authorId="0" shapeId="0" xr:uid="{D27BD2B2-7DCF-4C2E-8B82-118BCFA1517F}">
      <text>
        <r>
          <rPr>
            <sz val="9"/>
            <color indexed="81"/>
            <rFont val="Tahoma"/>
            <family val="2"/>
          </rPr>
          <t>CECILY DENTON_x000D_
http://yeinfo.com/family/I09066900.html_x000D_
https://www.google.com/search?q=CECILY+DENTON+1242+1299+SHORESWORTH_x000D_
.born: 1242    -          England_x000D_
.died: 1299    -          Lancashire county England, age:57y 0m 0d, _x000D_
.bapt: 1785GE_x000D_
.will: 2004MO_x000D_
.obit: 1890OH_x000D_
.bury: 1850IL _x000D_
.wpbt: 1826PA_x000D_
.anc#:  quadruple ancestor_x000D_
citiz:foreign_x000D_
#spos:1_x000D_
#srcs:1_x000D_
#comment:1_x000D_
#events:1_x000D_
#kids:1_x000D_
lived:?ENLANCS,EN_x000D_
issue:_x000D_
.recs:Birth,Marriage,Death_x000D_
.imm?:no_x000D_
..Spo:ROBERT SHORESWORTH</t>
        </r>
      </text>
    </comment>
    <comment ref="W2336" authorId="0" shapeId="0" xr:uid="{8A2FC17F-2F99-4DFF-9691-35F3FB905E92}">
      <text>
        <r>
          <rPr>
            <sz val="9"/>
            <color indexed="81"/>
            <rFont val="Tahoma"/>
            <family val="2"/>
          </rPr>
          <t>JOAN RADCLIFFE_x000D_
http://yeinfo.com/family/I09066965.html_x000D_
https://www.google.com/search?q=JOAN+RADCLIFFE+1324+1375+ASHTON_x000D_
.born: 1324    -          Lancashire county England_x000D_
.died: 1375    -1440      England, age:51y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..Spo:JOHN ASHTON</t>
        </r>
      </text>
    </comment>
    <comment ref="X2338" authorId="0" shapeId="0" xr:uid="{3739B9A8-C3A6-45E6-82FB-11FA270F2AF6}">
      <text>
        <r>
          <rPr>
            <sz val="9"/>
            <color indexed="81"/>
            <rFont val="Tahoma"/>
            <family val="2"/>
          </rPr>
          <t>KATHERINE NORLEY_x000D_
http://yeinfo.com/family/I09066955.html_x000D_
https://www.google.com/search?q=KATHERINE+NORLEY+1305+1333+RADCLIFFE_x000D_
.born:?1305    -          Smithills (Lancashire) England_x000D_
.died: 1333    -          England, age:28y 0m 0d, _x000D_
.bapt: 1785GE_x000D_
.will: 2004MO_x000D_
.obit: 1890OH_x000D_
.bury: 1850IL _x000D_
.wpbt: 1826PA_x000D_
.anc#:double ancestor_x000D_
citiz:foreign_x000D_
#spos:1_x000D_
#srcs:1_x000D_
#comment:1_x000D_
#events:1_x000D_
#kids:1_x000D_
lived:ENLANCSSMITHIL_x000D_
issue:_x000D_
.recs:Birth,Marriage,Death_x000D_
.imm?:no_x000D_
..Spo:WILLIAM RADCLIFFE</t>
        </r>
      </text>
    </comment>
    <comment ref="U2340" authorId="0" shapeId="0" xr:uid="{6EA9638F-DB09-428C-BCCB-E4493F234423}">
      <text>
        <r>
          <rPr>
            <sz val="9"/>
            <color indexed="81"/>
            <rFont val="Tahoma"/>
            <family val="2"/>
          </rPr>
          <t>THOMAS ASHTON_x000D_
http://yeinfo.com/family/I09066861.html_x000D_
https://www.google.com/search?q=THOMAS+ASHTON+1403+1446+ELIZABETH_x000D_
.born: 1403    -          Lancashire county England_x000D_
.died: 1446    -         ?Lancashire county England, age:43y 0m 0d, _x000D_
.bapt: 1785GE_x000D_
.will: 2004MO_x000D_
.obit: 1890OH_x000D_
.bury: 1850IL _x000D_
.wpbt: 1826PA_x000D_
.anc#:double ancestor_x000D_
citiz:foreign_x000D_
#spos:1_x000D_
#srcs:1_x000D_
#comment:0_x000D_
#events:2_x000D_
#kids:1_x000D_
lived:ENLANCS_x000D_
issue:_x000D_
.recs:Birth,Marriage,Death_x000D_
.imm?:no_x000D_
..Spo:ELIZABETH BYRON</t>
        </r>
      </text>
    </comment>
    <comment ref="W2342" authorId="0" shapeId="0" xr:uid="{3145532A-4BA2-4E1E-9498-6D033F6617AF}">
      <text>
        <r>
          <rPr>
            <sz val="9"/>
            <color indexed="81"/>
            <rFont val="Tahoma"/>
            <family val="2"/>
          </rPr>
          <t>JOHN SAVILLE_x000D_
http://yeinfo.com/family/I09066972.html_x000D_
https://www.google.com/search?q=JOHN+SAVILLE+1332+1399+ISABEL_x000D_
.born: 1332    -          Golcar (Yorkshire) England_x000D_
.died: 139909  -          Elland (Yorkshire) England, age:67y 8m 0d, _x000D_
.bapt: 1785GE_x000D_
.will: 2004MO_x000D_
.obit: 1890OH_x000D_
.bury: 1850IL _x000D_
.wpbt: 1826PA_x000D_
.anc#:double ancestor_x000D_
citiz:foreign_x000D_
#spos:1_x000D_
#srcs:1_x000D_
#comment:1_x000D_
#events:1_x000D_
#kids:1_x000D_
lived:ENYORKSELLAND,ENYORKSGOLCAR_x000D_
issue:_x000D_
.recs:Birth,Marriage,Death_x000D_
.imm?:no_x000D_
..Spo:ISABEL LATHOM</t>
        </r>
      </text>
    </comment>
    <comment ref="V2344" authorId="0" shapeId="0" xr:uid="{77520085-AC28-4DEF-B8CF-FE2914BC05E8}">
      <text>
        <r>
          <rPr>
            <sz val="9"/>
            <color indexed="81"/>
            <rFont val="Tahoma"/>
            <family val="2"/>
          </rPr>
          <t>JANE SAVILLE_x000D_
http://yeinfo.com/family/I09066973.html_x000D_
https://www.google.com/search?q=JANE+SAVILLE+1372+1410+ASHTON_x000D_
.born: 1372    -          Tankersley (Yorkshire) England_x000D_
.died: 1410    -          England, age:38y 0m 0d, _x000D_
.bapt: 1785GE_x000D_
.will: 2004MO_x000D_
.obit: 1890OH_x000D_
.bury: 1850IL _x000D_
.wpbt: 1826PA_x000D_
.anc#:double ancestor_x000D_
citiz:foreign_x000D_
#spos:1_x000D_
#srcs:1_x000D_
#comment:0_x000D_
#events:1_x000D_
#kids:1_x000D_
lived:ENYORKSTANKERS_x000D_
issue:_x000D_
.recs:Birth,Marriage,Death_x000D_
.imm?:no_x000D_
..Spo:JOHN ASHTON</t>
        </r>
      </text>
    </comment>
    <comment ref="W2346" authorId="0" shapeId="0" xr:uid="{E3A9C625-DB78-4F12-BE85-869AD3D0FD82}">
      <text>
        <r>
          <rPr>
            <sz val="9"/>
            <color indexed="81"/>
            <rFont val="Tahoma"/>
            <family val="2"/>
          </rPr>
          <t>ISABEL LATHOM_x000D_
http://yeinfo.com/family/I09066936.html_x000D_
https://www.google.com/search?q=ISABEL+LATHOM+1339+1424+SAVILLE_x000D_
.born:?1339    -          Elland (Yorkshire) England_x000D_
.died: 1424    -1425      Ormskirk (Lancashire) England, age:85y 0m 0d, _x000D_
.bapt: 1785GE_x000D_
.will: 2004MO_x000D_
.obit: 1890OH_x000D_
.bury: 1850IL _x000D_
.wpbt: 1826PA_x000D_
.anc#:double ancestor_x000D_
citiz:foreign_x000D_
#spos:1_x000D_
#srcs:1_x000D_
#comment:1_x000D_
#events:1_x000D_
#kids:1_x000D_
lived:ENLANCSORMSKIR,ENYORKSELLAND_x000D_
issue:Died after Age 100_x000D_
.recs:Birth,Marriage,Death_x000D_
.imm?:no_x000D_
..Spo:JOHN SAVILLE</t>
        </r>
      </text>
    </comment>
    <comment ref="T2348" authorId="0" shapeId="0" xr:uid="{7867EDD6-E23D-4403-848B-EDC202EC00AF}">
      <text>
        <r>
          <rPr>
            <sz val="9"/>
            <color indexed="81"/>
            <rFont val="Tahoma"/>
            <family val="2"/>
          </rPr>
          <t>ELIZABETH ASHTON_x000D_
http://yeinfo.com/family/I09066862.html_x000D_
https://www.google.com/search?q=ELIZABETH+ASHTON+1431+1490+TRAFFORD_x000D_
.born: 1431    -          Lancashire county England_x000D_
.died: 1490    -          Lancashire county England, age:59y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issue:Died after Age 100_x000D_
.recs:Birth,Marriage,Death_x000D_
.imm?:no_x000D_
..Spo:JOHN TRAFFORD</t>
        </r>
      </text>
    </comment>
    <comment ref="W2350" authorId="0" shapeId="0" xr:uid="{F29C0539-7E39-4B07-B683-091DFFBB4251}">
      <text>
        <r>
          <rPr>
            <sz val="9"/>
            <color indexed="81"/>
            <rFont val="Tahoma"/>
            <family val="2"/>
          </rPr>
          <t>RICHARD BYRON_x000D_
http://yeinfo.com/family/I09066885.html_x000D_
https://www.google.com/search?q=RICHARD+BYRON+1329+1397+JOAN_x000D_
.born: 1329    -          Clayton (Lancashire) England_x000D_
.died: 13970627-          Clayton (Lancashire) England, age:68y 5m 26d, _x000D_
.bapt: 1785GE_x000D_
.will: 2004MO_x000D_
.obit: 1890OH_x000D_
.bury: 1850IL _x000D_
.wpbt: 1826PA_x000D_
.anc#:double ancestor_x000D_
citiz:foreign_x000D_
#spos:1_x000D_
#srcs:1_x000D_
#comment:1_x000D_
#events:1_x000D_
#kids:1_x000D_
lived:ENLANCSCLAYTON,ENYORKSBRADFOR_x000D_
issue:_x000D_
.recs:Birth,Marriage,Death_x000D_
.imm?:no_x000D_
..Spo:JOAN COLWICK</t>
        </r>
      </text>
    </comment>
    <comment ref="V2352" authorId="0" shapeId="0" xr:uid="{B3F342AE-4B8C-41E4-B71D-E3B741269775}">
      <text>
        <r>
          <rPr>
            <sz val="9"/>
            <color indexed="81"/>
            <rFont val="Tahoma"/>
            <family val="2"/>
          </rPr>
          <t>JOHN BYRON_x000D_
http://yeinfo.com/family/I09066886.html_x000D_
https://www.google.com/search?q=JOHN+BYRON+1362+1445+MARGERY_x000D_
.born: 1362    -          Clayton (Lancashire) England_x000D_
.died: 1445    -          Lancashire county England, age:83y 0m 0d, _x000D_
.bapt: 1785GE_x000D_
.will: 2004MO_x000D_
.obit: 1890OH_x000D_
.bury: 1850IL Manchester Cathedral_x000D_
.wpbt: 1826PA_x000D_
.anc#:double ancestor_x000D_
citiz:foreign_x000D_
#spos:1_x000D_
#srcs:1_x000D_
#comment:0_x000D_
#events:3_x000D_
#kids:1_x000D_
lived:ENLANCSCLAYTON,ENLANCSMANCHES_x000D_
issue:Born before Parents Married_x000D_
.recs:Birth,Marriage,Death,Interment/Burial_x000D_
.imm?:no_x000D_
..Spo:MARGERY BOOTH</t>
        </r>
      </text>
    </comment>
    <comment ref="W2354" authorId="0" shapeId="0" xr:uid="{CED0018B-A021-4ABF-8335-B1EB6302B985}">
      <text>
        <r>
          <rPr>
            <sz val="9"/>
            <color indexed="81"/>
            <rFont val="Tahoma"/>
            <family val="2"/>
          </rPr>
          <t>JOAN COLWICK_x000D_
http://yeinfo.com/family/I09066888.html_x000D_
https://www.google.com/search?q=JOAN+COLWICK+1342+1426+BYRON_x000D_
.born: 1342    -          Nottingham (Nottinghamshire) England_x000D_
.died: 14261008-          Clayton (Yorkshire) England, age:84y 9m 7d, _x000D_
.bapt: 1785GE_x000D_
.will: 2004MO_x000D_
.obit: 1890OH_x000D_
.bury: 1850IL _x000D_
.wpbt: 1826PA_x000D_
.anc#:double ancestor_x000D_
citiz:foreign_x000D_
#spos:1_x000D_
#srcs:1_x000D_
#comment:1_x000D_
#events:1_x000D_
#kids:1_x000D_
lived:ENNOTTINOTTHAM,ENYORKSBRADFOR,ENYORKSCLAYTON_x000D_
issue:_x000D_
.recs:Birth,Marriage,Death_x000D_
.imm?:no_x000D_
..Spo:RICHARD BYRON</t>
        </r>
      </text>
    </comment>
    <comment ref="U2356" authorId="0" shapeId="0" xr:uid="{C61A250B-C220-4962-8C2D-9A1729320B9C}">
      <text>
        <r>
          <rPr>
            <sz val="9"/>
            <color indexed="81"/>
            <rFont val="Tahoma"/>
            <family val="2"/>
          </rPr>
          <t>ELIZABETH BYRON_x000D_
http://yeinfo.com/family/I09066887.html_x000D_
https://www.google.com/search?q=ELIZABETH+BYRON+1393+1460+ASHTON_x000D_
.born: 1393    -          Clayton (Lancashire) England_x000D_
.died: 1460    -          Lancashire county England, age:67y 0m 0d, _x000D_
.bapt: 1785GE_x000D_
.will: 2004MO_x000D_
.obit: 1890OH_x000D_
.bury: 1850IL _x000D_
.wpbt: 1826PA_x000D_
.anc#:double ancestor_x000D_
citiz:foreign_x000D_
#spos:1_x000D_
#srcs:1_x000D_
#comment:0_x000D_
#events:1_x000D_
#kids:1_x000D_
lived:ENLANCSCLAYTON_x000D_
issue:_x000D_
.recs:Birth,Marriage,Death_x000D_
.imm?:no_x000D_
..Spo:THOMAS ASHTON</t>
        </r>
      </text>
    </comment>
    <comment ref="Y2358" authorId="0" shapeId="0" xr:uid="{FAA02F4A-8858-4DBF-A0E7-EE7B82A2E30A}">
      <text>
        <r>
          <rPr>
            <sz val="9"/>
            <color indexed="81"/>
            <rFont val="Tahoma"/>
            <family val="2"/>
          </rPr>
          <t>JOHN BOOTH_x000D_
http://yeinfo.com/family/I09066872.html_x000D_
https://www.google.com/search?q=JOHN+BOOTH+1280+1370+AGNES_x000D_
.born: 1280    -          Lincolnshire county England_x000D_
.died: 1370    -          Lincolnshire county England, age:90y 0m 0d, _x000D_
.bapt: 1785GE_x000D_
.will: 2004MO_x000D_
.obit: 1890OH_x000D_
.bury: 1850IL _x000D_
.wpbt: 1826PA_x000D_
.anc#:double ancestor_x000D_
citiz:foreign_x000D_
#spos:1_x000D_
#srcs:1_x000D_
#comment:1_x000D_
#events:1_x000D_
#kids:1_x000D_
lived:ENLANCSBARTON,ENLINCS_x000D_
issue:_x000D_
.recs:Birth,Marriage,Death_x000D_
.imm?:no_x000D_
..Spo:AGNES BARTON</t>
        </r>
      </text>
    </comment>
    <comment ref="X2360" authorId="0" shapeId="0" xr:uid="{F6D9428B-011F-4472-B2FE-3DEF4441FB8A}">
      <text>
        <r>
          <rPr>
            <sz val="9"/>
            <color indexed="81"/>
            <rFont val="Tahoma"/>
            <family val="2"/>
          </rPr>
          <t>JOHN THOMAS BOOTH_x000D_
http://yeinfo.com/family/I09066873.html_x000D_
https://www.google.com/search?q=JOHN+THOMAS+BOOTH+1320+1368+ELENA_x000D_
.born:?1320    -          Preston (Lancashire) England_x000D_
.died: 1368    -          Barton (Lancashire) England, age:48y 0m 0d, _x000D_
.bapt: 1785GE_x000D_
.will: 2004MO_x000D_
.obit: 1890OH_x000D_
.bury: 1850IL St.Mary Virgin Churchyard_x000D_
.wpbt: 1826PA_x000D_
.anc#:double ancestor_x000D_
citiz:foreign_x000D_
#spos:1_x000D_
#srcs:1_x000D_
#comment:0_x000D_
#events:2_x000D_
#kids:1_x000D_
lived:ENLANCSBARTON,ENLANCSPRESTON_x000D_
issue:_x000D_
.recs:Birth,Marriage,Death,Interment/Burial_x000D_
.imm?:no_x000D_
..Spo:ELENA WORSLEY</t>
        </r>
      </text>
    </comment>
    <comment ref="Y2362" authorId="0" shapeId="0" xr:uid="{FF478065-C74B-488E-B502-80C1E7BABB1C}">
      <text>
        <r>
          <rPr>
            <sz val="9"/>
            <color indexed="81"/>
            <rFont val="Tahoma"/>
            <family val="2"/>
          </rPr>
          <t>AGNES BARTON_x000D_
http://yeinfo.com/family/I09066868.html_x000D_
https://www.google.com/search?q=AGNES+BARTON+1276+1350+BOOTH_x000D_
.born: 1276    -          Lower Booths (Lancashire) England_x000D_
.died: 1350    -          Lower Booths (Lancashire) England, age:74y 0m 0d, _x000D_
.bapt: 1785GE_x000D_
.will: 2004MO_x000D_
.obit: 1890OH_x000D_
.bury: 1850IL _x000D_
.wpbt: 1826PA_x000D_
.anc#:double ancestor_x000D_
citiz:foreign_x000D_
#spos:1_x000D_
#srcs:1_x000D_
#comment:1_x000D_
#events:1_x000D_
#kids:1_x000D_
lived:ENLANCSBARTON,ENLANCSLOWEBOO_x000D_
issue:_x000D_
.recs:Birth,Marriage,Death_x000D_
.imm?:no_x000D_
..Spo:JOHN BOOTH</t>
        </r>
      </text>
    </comment>
    <comment ref="W2364" authorId="0" shapeId="0" xr:uid="{2B7FD060-D48D-4BC6-B80F-4198DB148C3A}">
      <text>
        <r>
          <rPr>
            <sz val="9"/>
            <color indexed="81"/>
            <rFont val="Tahoma"/>
            <family val="2"/>
          </rPr>
          <t>JOHN BOOTH_x000D_
http://yeinfo.com/family/I09066874.html_x000D_
https://www.google.com/search?q=JOHN+BOOTH+1324+1422+JOANNA_x000D_
.born: 1324    -          Eccles (Lancashire) England_x000D_
.died: 142203  -          Winmarleigh (Lancashire) England, age:98y 2m 0d, _x000D_
.bapt: 1785GE_x000D_
.will: 2004MO_x000D_
.obit: 1890OH_x000D_
.bury: 1850IL St.Mary Virgin Churchyard_x000D_
.wpbt: 1826PA_x000D_
.anc#:double ancestor_x000D_
citiz:foreign_x000D_
#spos:1_x000D_
#srcs:1_x000D_
#comment:0_x000D_
#events:2_x000D_
#kids:1_x000D_
lived:ENLANCSBARTON,ENLANCSECCLES,ENLANCSWINMARL_x000D_
issue:Born before Parents Married,Spouse Age more than 30-Year Difference_x000D_
.recs:Birth,Marriage,Death,Interment/Burial_x000D_
.imm?:no_x000D_
..Spo:JOANNA TRAFFORD</t>
        </r>
      </text>
    </comment>
    <comment ref="AA2366" authorId="0" shapeId="0" xr:uid="{DF68FBBA-C496-442F-ACFF-9F455559111A}">
      <text>
        <r>
          <rPr>
            <sz val="9"/>
            <color indexed="81"/>
            <rFont val="Tahoma"/>
            <family val="2"/>
          </rPr>
          <t>RICHARD WORSLEY_x000D_
http://yeinfo.com/family/I09066999.html_x000D_
https://www.google.com/search?q=RICHARD+WORSLEY+1218+1292+MAUD_x000D_
.born:?1218    -          Lancashire county England_x000D_
.died: 1292    -          Norway, age:74y 0m 0d, _x000D_
.bapt: 1785GE_x000D_
.will: 2004MO_x000D_
.obit: 1890OH_x000D_
.bury: 1850IL _x000D_
.wpbt: 1826PA_x000D_
.anc#:  quadruple ancestor_x000D_
citiz:foreign_x000D_
#spos:1_x000D_
#srcs:1_x000D_
#comment:1_x000D_
#events:1_x000D_
#kids:1_x000D_
lived:ENLANCS,NO_x000D_
issue:_x000D_
.recs:Birth,Marriage,Death_x000D_
.imm?:no_x000D_
..Spo:MAUD WARDLEY</t>
        </r>
      </text>
    </comment>
    <comment ref="Z2368" authorId="0" shapeId="0" xr:uid="{34AD5AA5-6338-4561-BEBE-E39D882E32CA}">
      <text>
        <r>
          <rPr>
            <sz val="9"/>
            <color indexed="81"/>
            <rFont val="Tahoma"/>
            <family val="2"/>
          </rPr>
          <t>HENRY WORSLEY_x000D_
http://yeinfo.com/family/I09067001.html_x000D_
https://www.google.com/search?q=HENRY+WORSLEY+1240+1303+JOAN+SHORESWORTH_x000D_
.born: 1240    -          England_x000D_
.died: 1303    -          Worsley (Lancashire) England, age:63y 0m 0d, _x000D_
.bapt: 1785GE_x000D_
.will: 2004MO_x000D_
.obit: 1890OH_x000D_
.bury: 1850IL _x000D_
.wpbt: 1826PA_x000D_
.anc#:  quadruple ancestor_x000D_
citiz:foreign_x000D_
#spos:2_x000D_
#srcs:1_x000D_
#comment:1_x000D_
#events:2_x000D_
#kids:2_x000D_
lived:ENLANCSWORSLEY_x000D_
issue:AncFlags between Spouses Mismatched_x000D_
.recs:Birth,Marriage,Death_x000D_
.imm?:no_x000D_
..Spo:JOAN WORSLEY</t>
        </r>
      </text>
    </comment>
    <comment ref="AA2370" authorId="0" shapeId="0" xr:uid="{95DD1BFF-E87B-480A-B2CE-562DA27E2A8E}">
      <text>
        <r>
          <rPr>
            <sz val="9"/>
            <color indexed="81"/>
            <rFont val="Tahoma"/>
            <family val="2"/>
          </rPr>
          <t>MAUD WARDLEY_x000D_
http://yeinfo.com/family/I09066998.html_x000D_
https://www.google.com/search?q=MAUD+WARDLEY+1240+1277+WORSLEY_x000D_
.born: 1240    -          Wardley (Lancashire) England_x000D_
.died: 1277    -          Lancashire county England, age:37y 0m 0d, _x000D_
.bapt: 1785GE_x000D_
.will: 2004MO_x000D_
.obit: 1890OH_x000D_
.bury: 1850IL _x000D_
.wpbt: 1826PA_x000D_
.anc#:  quadruple ancestor_x000D_
citiz:foreign_x000D_
#spos:1_x000D_
#srcs:1_x000D_
#comment:1_x000D_
#events:1_x000D_
#kids:1_x000D_
lived:ENLANCSWARDLEY_x000D_
issue:Died after Age 100_x000D_
.recs:Birth,Marriage,Death_x000D_
.imm?:no_x000D_
..Spo:RICHARD WORSLEY</t>
        </r>
      </text>
    </comment>
    <comment ref="Y2372" authorId="0" shapeId="0" xr:uid="{5204B2E3-94AC-4B8D-8AE6-814CDD1793FE}">
      <text>
        <r>
          <rPr>
            <sz val="9"/>
            <color indexed="81"/>
            <rFont val="Tahoma"/>
            <family val="2"/>
          </rPr>
          <t>ROBERT WORSLEY_x000D_
http://yeinfo.com/family/I09067004.html_x000D_
https://www.google.com/search?q=ROBERT+WORSLEY+1294+1325+CECILY_x000D_
.born:?1294    -          England_x000D_
.died: 1325    -1350     ?Lancashire county England, age:31y 0m 0d, _x000D_
.bapt: 1785GE_x000D_
.will: 2004MO_x000D_
.obit: 1890OH_x000D_
.bury: 1850IL _x000D_
.wpbt: 1826PA_x000D_
.anc#:double ancestor_x000D_
citiz:foreign_x000D_
#spos:1_x000D_
#srcs:1_x000D_
#comment:0_x000D_
#events:1_x000D_
#kids:1_x000D_
lived:ENLANCSCLAYTON_x000D_
issue:_x000D_
.recs:Birth,Marriage,Death_x000D_
.imm?:no_x000D_
..Spo:CECILY BROMLEY</t>
        </r>
      </text>
    </comment>
    <comment ref="AA2374" authorId="0" shapeId="0" xr:uid="{FB83AC71-04D5-405A-A71F-29D1D3E84BF2}">
      <text>
        <r>
          <rPr>
            <sz val="9"/>
            <color indexed="81"/>
            <rFont val="Tahoma"/>
            <family val="2"/>
          </rPr>
          <t>ROBERT SHORESWORTH_x000D_
http://yeinfo.com/family/I09066974.html_x000D_
https://www.google.com/search?q=ROBERT+SHORESWORTH+1235+1300+CECILY_x000D_
.born:?1235    -          Lancashire county England_x000D_
.died: 1300    -1330     ?Lancashire county England, age:65y 0m 0d, _x000D_
.bapt: 1785GE_x000D_
.will: 2004MO_x000D_
.obit: 1890OH_x000D_
.bury: 1850IL _x000D_
.wpbt: 1826PA_x000D_
.anc#:  quadruple ancestor_x000D_
citiz:foreign_x000D_
#spos:1_x000D_
#srcs:1_x000D_
#comment:1_x000D_
#events:1_x000D_
#kids:1_x000D_
lived:ENLANCS_x000D_
issue:_x000D_
.recs:Birth,Marriage,Death_x000D_
.imm?:no_x000D_
..Spo:CECILY DENTON</t>
        </r>
      </text>
    </comment>
    <comment ref="Z2376" authorId="0" shapeId="0" xr:uid="{F60BD2C4-9DD5-4A17-AA52-A06A3DD092A5}">
      <text>
        <r>
          <rPr>
            <sz val="9"/>
            <color indexed="81"/>
            <rFont val="Tahoma"/>
            <family val="2"/>
          </rPr>
          <t>MARGARET SHORESWORTH_x000D_
http://yeinfo.com/family/I09066975.html_x000D_
https://www.google.com/search?q=MARGARET+SHORESWORTH+1265+1343+HENRY_x000D_
.born: 1265    -          Bury (Lancashire) England_x000D_
.died: 1343    -          Bury (Lancashire) England, age:78y 0m 0d, _x000D_
.bapt: 1785GE_x000D_
.will: 2004MO_x000D_
.obit: 1890OH_x000D_
.bury: 1850IL _x000D_
.wpbt: 1826PA_x000D_
.anc#:  quadruple ancestor_x000D_
citiz:foreign_x000D_
#spos:3_x000D_
#srcs:1_x000D_
#comment:0_x000D_
#events:3_x000D_
#kids:2_x000D_
lived:ENLANCSBURY_x000D_
issue:_x000D_
.recs:Birth,Marriage,Death_x000D_
.imm?:no_x000D_
..Spo:</t>
        </r>
      </text>
    </comment>
    <comment ref="AA2378" authorId="0" shapeId="0" xr:uid="{5B07D4D8-77C6-45B7-938F-34EB4B769D38}">
      <text>
        <r>
          <rPr>
            <sz val="9"/>
            <color indexed="81"/>
            <rFont val="Tahoma"/>
            <family val="2"/>
          </rPr>
          <t>CECILY DENTON_x000D_
http://yeinfo.com/family/I09066900.html_x000D_
https://www.google.com/search?q=CECILY+DENTON+1242+1299+SHORESWORTH_x000D_
.born: 1242    -          England_x000D_
.died: 1299    -          Lancashire county England, age:57y 0m 0d, _x000D_
.bapt: 1785GE_x000D_
.will: 2004MO_x000D_
.obit: 1890OH_x000D_
.bury: 1850IL _x000D_
.wpbt: 1826PA_x000D_
.anc#:  quadruple ancestor_x000D_
citiz:foreign_x000D_
#spos:1_x000D_
#srcs:1_x000D_
#comment:1_x000D_
#events:1_x000D_
#kids:1_x000D_
lived:?ENLANCS,EN_x000D_
issue:_x000D_
.recs:Birth,Marriage,Death_x000D_
.imm?:no_x000D_
..Spo:ROBERT SHORESWORTH</t>
        </r>
      </text>
    </comment>
    <comment ref="X2380" authorId="0" shapeId="0" xr:uid="{103B1FA4-4446-4DA7-B2F4-A270FD73EDF9}">
      <text>
        <r>
          <rPr>
            <sz val="9"/>
            <color indexed="81"/>
            <rFont val="Tahoma"/>
            <family val="2"/>
          </rPr>
          <t>ELENA WORSLEY_x000D_
http://yeinfo.com/family/I09067007.html_x000D_
https://www.google.com/search?q=ELENA+WORSLEY+1325+1360+BOOTH_x000D_
.born: 1325    -          Lancashire county England_x000D_
.died: 13600929-          Barton (Lancashire) England, age:35y 8m 28d, _x000D_
.bapt: 1785GE_x000D_
.will: 2004MO_x000D_
.obit: 1890OH_x000D_
.bury: 1850IL _x000D_
.wpbt: 1826PA_x000D_
.anc#:double ancestor_x000D_
citiz:foreign_x000D_
#spos:1_x000D_
#srcs:1_x000D_
#comment:0_x000D_
#events:1_x000D_
#kids:1_x000D_
lived:ENLANCSBARTON,ENLANCSPRESTON_x000D_
issue:_x000D_
.recs:Birth,Marriage,Death_x000D_
.imm?:no_x000D_
..Spo:JOHN THOMAS BOOTH</t>
        </r>
      </text>
    </comment>
    <comment ref="AA2382" authorId="0" shapeId="0" xr:uid="{3DD5BF0C-A8D4-4024-A938-6D628FD5B655}">
      <text>
        <r>
          <rPr>
            <sz val="9"/>
            <color indexed="81"/>
            <rFont val="Tahoma"/>
            <family val="2"/>
          </rPr>
          <t>RANULPH BROMLEY II_x000D_
http://yeinfo.com/family/I09066879.html_x000D_
https://www.google.com/search?q=RANULPH+BROMLEY+1270+1330+AGNES_x000D_
.born: 1270    -          Baddington (Cheshire) England_x000D_
.died: 1330    -          Staffordshire county England, age:60y 0m 0d, _x000D_
.bapt: 1785GE_x000D_
.will: 2004MO_x000D_
.obit: 1890OH_x000D_
.bury: 1850IL _x000D_
.wpbt: 1826PA_x000D_
.anc#:double ancestor_x000D_
citiz:foreign_x000D_
#spos:1_x000D_
#srcs:1_x000D_
#comment:1_x000D_
#events:1_x000D_
#kids:1_x000D_
lived:ENCHESHBADDTON,ENSTAFS_x000D_
issue:_x000D_
.recs:Birth,Marriage,Death_x000D_
.imm?:no_x000D_
..Spo:AGNES DIMSDALE</t>
        </r>
      </text>
    </comment>
    <comment ref="Z2384" authorId="0" shapeId="0" xr:uid="{A735D249-D6FC-49A1-B454-3A6902348663}">
      <text>
        <r>
          <rPr>
            <sz val="9"/>
            <color indexed="81"/>
            <rFont val="Tahoma"/>
            <family val="2"/>
          </rPr>
          <t>JOHN BROMLEY_x000D_
http://yeinfo.com/family/I09066880.html_x000D_
https://www.google.com/search?q=JOHN+BROMLEY+1292+1359+JOAN_x000D_
.born: 1292    -          Abbots Bromley (Staffordshire) England_x000D_
.died: 1359    -          Baddington (Cheshire) England, age:67y 0m 0d, _x000D_
.bapt: 1785GE_x000D_
.will: 2004MO_x000D_
.obit: 1890OH_x000D_
.bury: 1850IL _x000D_
.wpbt: 1826PA_x000D_
.anc#:double ancestor_x000D_
citiz:foreign_x000D_
#spos:1_x000D_
#srcs:1_x000D_
#comment:0_x000D_
#events:1_x000D_
#kids:1_x000D_
lived:ENCHESHBADDTON,ENSTAFSABBOTSY_x000D_
issue:Died after Age 100_x000D_
.recs:Birth,Marriage,Death_x000D_
.imm?:no_x000D_
..Spo:JOAN BADDINGTON</t>
        </r>
      </text>
    </comment>
    <comment ref="AA2386" authorId="0" shapeId="0" xr:uid="{5714D38F-7877-4D69-8E13-1AFE624DA29A}">
      <text>
        <r>
          <rPr>
            <sz val="9"/>
            <color indexed="81"/>
            <rFont val="Tahoma"/>
            <family val="2"/>
          </rPr>
          <t>AGNES DIMSDALE_x000D_
http://yeinfo.com/family/I09066901.html_x000D_
https://www.google.com/search?q=AGNES+DIMSDALE+1277+1330+BROMLEY_x000D_
.born: 1277    -          Baddington (Lancashire) England_x000D_
.died: 1330    -          Cheshire county England, age:53y 0m 0d, _x000D_
.bapt: 1785GE_x000D_
.will: 2004MO_x000D_
.obit: 1890OH_x000D_
.bury: 1850IL _x000D_
.wpbt: 1826PA_x000D_
.anc#:double ancestor_x000D_
citiz:foreign_x000D_
#spos:1_x000D_
#srcs:1_x000D_
#comment:0_x000D_
#events:1_x000D_
#kids:1_x000D_
lived:?ENCHESH,ENLANCSBADDTON_x000D_
issue:Died after Age 100_x000D_
.recs:Birth,Marriage,Death_x000D_
.imm?:no_x000D_
..Spo:RANULPH BROMLEY</t>
        </r>
      </text>
    </comment>
    <comment ref="Y2388" authorId="0" shapeId="0" xr:uid="{277F820B-9F72-47C7-8242-6652B317BACB}">
      <text>
        <r>
          <rPr>
            <sz val="9"/>
            <color indexed="81"/>
            <rFont val="Tahoma"/>
            <family val="2"/>
          </rPr>
          <t>CECILY BROMLEY_x000D_
http://yeinfo.com/family/I09066881.html_x000D_
https://www.google.com/search?q=CECILY+BROMLEY+1300+1346+WORSLEY_x000D_
.born:?1300    -          Baddington (Lancashire) England_x000D_
.died: 1346    -          Lancashire county England, age:46y 0m 0d, _x000D_
.bapt: 1785GE_x000D_
.will: 2004MO_x000D_
.obit: 1890OH_x000D_
.bury: 1850IL _x000D_
.wpbt: 1826PA_x000D_
.anc#:double ancestor_x000D_
citiz:foreign_x000D_
#spos:1_x000D_
#srcs:1_x000D_
#comment:0_x000D_
#events:1_x000D_
#kids:1_x000D_
lived:ENLANCSBADDTON,ENLANCSCLAYTON_x000D_
issue:Born before Parents Married_x000D_
.recs:Birth,Marriage,Death_x000D_
.imm?:no_x000D_
..Spo:ROBERT WORSLEY</t>
        </r>
      </text>
    </comment>
    <comment ref="AA2390" authorId="0" shapeId="0" xr:uid="{855AE9CF-1219-4045-A8AB-0809F76C07CE}">
      <text>
        <r>
          <rPr>
            <sz val="9"/>
            <color indexed="81"/>
            <rFont val="Tahoma"/>
            <family val="2"/>
          </rPr>
          <t>GEOFFREY BADDINGTON_x000D_
http://yeinfo.com/family/I09066865.html_x000D_
https://www.google.com/search?q=GEOFFREY+BADDINGTON+1270+1295+{_?_}_x000D_
.born: 1270    -          Baddington (Lancashire) England_x000D_
.died: 1295    -1355     ?Lancashire county England, age:25y 0m 0d, _x000D_
.bapt: 1785GE_x000D_
.will: 2004MO_x000D_
.obit: 1890OH_x000D_
.bury: 1850IL _x000D_
.wpbt: 1826PA_x000D_
.anc#:double ancestor_x000D_
citiz:foreign_x000D_
#spos:1_x000D_
#srcs:1_x000D_
#comment:0_x000D_
#events:1_x000D_
#kids:1_x000D_
lived:?ENCHESH,ENLANCSBADDTON_x000D_
issue:_x000D_
.recs:Birth,Marriage,Death_x000D_
.imm?:no_x000D_
..Spo:{_?_} BADDINGTON</t>
        </r>
      </text>
    </comment>
    <comment ref="Z2392" authorId="0" shapeId="0" xr:uid="{84DC60FE-07E0-463C-9160-A770CF8A24ED}">
      <text>
        <r>
          <rPr>
            <sz val="9"/>
            <color indexed="81"/>
            <rFont val="Tahoma"/>
            <family val="2"/>
          </rPr>
          <t>JOAN BADDINGTON_x000D_
http://yeinfo.com/family/I09066866.html_x000D_
https://www.google.com/search?q=JOAN+BADDINGTON+1287+1320+BROMLEY_x000D_
.born:?1287    -          Baddington (Cheshire) England_x000D_
.died:?1320    -         ?Baddington (Cheshire) England, age:33y 0m 0d, _x000D_
.bapt: 1785GE_x000D_
.will: 2004MO_x000D_
.obit: 1890OH_x000D_
.bury: 1850IL _x000D_
.wpbt: 1826PA_x000D_
.anc#:double ancestor_x000D_
citiz:foreign_x000D_
#spos:1_x000D_
#srcs:1_x000D_
#comment:0_x000D_
#events:1_x000D_
#kids:1_x000D_
lived:ENCHESHBADDTON_x000D_
issue:Died after Age 100_x000D_
.recs:Birth,Marriage,Death_x000D_
.imm?:no_x000D_
..Spo:JOHN BROMLEY</t>
        </r>
      </text>
    </comment>
    <comment ref="AA2394" authorId="0" shapeId="0" xr:uid="{8B945DCF-8E0B-4804-AB07-396F54F3F5B5}">
      <text>
        <r>
          <rPr>
            <sz val="9"/>
            <color indexed="81"/>
            <rFont val="Tahoma"/>
            <family val="2"/>
          </rPr>
          <t>Mrs. {_?_} BADDINGTON_x000D_
http://yeinfo.com/family/I09066864.html_x000D_
https://www.google.com/search?q={_?_}+BADDINGTON+1270+1295+BADDINGTON_x000D_
.born:?1270    -         ?Baddington (Lancashire) England_x000D_
.died: 1295    -1355     ?Lancashire county England, age:25y 0m 0d, _x000D_
.bapt: 1785GE_x000D_
.will: 2004MO_x000D_
.obit: 1890OH_x000D_
.bury: 1850IL _x000D_
.wpbt: 1826PA_x000D_
.anc#:double ancestor_x000D_
citiz:foreign_x000D_
#spos:1_x000D_
#srcs:0_x000D_
#comment:0_x000D_
#events:1_x000D_
#kids:1_x000D_
lived:?ENCHESH,?ENLANCSBADDTON_x000D_
issue:_x000D_
.recs:Birth,Marriage,Death_x000D_
.imm?:no_x000D_
..Spo:GEOFFREY BADDINGTON</t>
        </r>
      </text>
    </comment>
    <comment ref="V2396" authorId="0" shapeId="0" xr:uid="{5A89EA44-3930-4FF9-89A5-E67E18D87317}">
      <text>
        <r>
          <rPr>
            <sz val="9"/>
            <color indexed="81"/>
            <rFont val="Tahoma"/>
            <family val="2"/>
          </rPr>
          <t>MARGERY BOOTH_x000D_
http://yeinfo.com/family/I09066875.html_x000D_
https://www.google.com/search?q=MARGERY+BOOTH+1386+1461+BYRON_x000D_
.born: 1386    -          Barton (Lancashire) England_x000D_
.died: 1461    -          Derby (Derbyshire) England, age:75y 0m 0d, _x000D_
.bapt: 1785GE_x000D_
.will: 2004MO_x000D_
.obit: 1890OH_x000D_
.bury: 1850IL _x000D_
.wpbt: 1826PA_x000D_
.anc#:double ancestor_x000D_
citiz:foreign_x000D_
#spos:1_x000D_
#srcs:1_x000D_
#comment:0_x000D_
#events:1_x000D_
#kids:1_x000D_
lived:ENDERBSDERBY,ENLANCSBARTON_x000D_
issue:Born after Dad Age 60,Died after Age 100_x000D_
.recs:Birth,Marriage,Death_x000D_
.imm?:no_x000D_
..Spo:JOHN BYRON</t>
        </r>
      </text>
    </comment>
    <comment ref="AA2398" authorId="0" shapeId="0" xr:uid="{BF4FD91B-CBCD-4111-B88D-25971C1E4925}">
      <text>
        <r>
          <rPr>
            <sz val="9"/>
            <color indexed="81"/>
            <rFont val="Tahoma"/>
            <family val="2"/>
          </rPr>
          <t>HENRY TRAFFORD_x000D_
http://yeinfo.com/family/I09066981.html_x000D_
https://www.google.com/search?q=HENRY+TRAFFORD+1225+1264+MARGARET_x000D_
.born:?1225    -          Lancashire county England_x000D_
.died:?1264    -1310      Lancashire county England, age:39y 0m 0d, _x000D_
.bapt: 1785GE_x000D_
.will: 2004MO_x000D_
.obit: 1890OH_x000D_
.bury: 1850IL _x000D_
.wpbt: 1826PA_x000D_
.anc#:  nontuple ancestor_x000D_
citiz:foreign_x000D_
#spos:1_x000D_
#srcs:1_x000D_
#comment:1_x000D_
#events:1_x000D_
#kids:1_x000D_
lived:ENLANCS_x000D_
issue:_x000D_
.recs:Birth,Marriage,Death_x000D_
.imm?:no_x000D_
..Spo:MARGARET TRAFFORD</t>
        </r>
      </text>
    </comment>
    <comment ref="Z2400" authorId="0" shapeId="0" xr:uid="{B9FB5540-281F-4849-9D83-A13142B3CE4E}">
      <text>
        <r>
          <rPr>
            <sz val="9"/>
            <color indexed="81"/>
            <rFont val="Tahoma"/>
            <family val="2"/>
          </rPr>
          <t>JOHN TRAFFORD_x000D_
http://yeinfo.com/family/I09066434.html_x000D_
https://www.google.com/search?q=JOHN+TRAFFORD+1264+1340+ELIZABETH_x000D_
.born: 1264    -          Lancashire county England_x000D_
.died: 1340    -1350      Lancashire county England, age:76y 0m 0d, _x000D_
.bapt: 1785GE_x000D_
.will: 2004MO_x000D_
.obit: 1890OH_x000D_
.bury: 1850IL _x000D_
.wpbt: 1826PA_x000D_
.anc#:  nontuple ancestor_x000D_
citiz:foreign_x000D_
#spos:1_x000D_
#srcs:7_x000D_
#comment:1_x000D_
#events:1_x000D_
#kids:2_x000D_
lived:ENLANCS_x000D_
issue:_x000D_
.recs:Birth,Marriage,Death_x000D_
.imm?:no_x000D_
..Spo:ELIZABETH ASHTON</t>
        </r>
      </text>
    </comment>
    <comment ref="AA2402" authorId="0" shapeId="0" xr:uid="{8F450A57-0C11-4395-9B27-7F458B6E3C69}">
      <text>
        <r>
          <rPr>
            <sz val="9"/>
            <color indexed="81"/>
            <rFont val="Tahoma"/>
            <family val="2"/>
          </rPr>
          <t>Mrs. MARGARET TRAFFORD_x000D_
http://yeinfo.com/family/I09066980.html_x000D_
https://www.google.com/search?q=MARGARET+TRAFFORD+1236+1334+TRAFFORD_x000D_
.born: 1236    -          Lancashire county England_x000D_
.died: 1334    -          Lancashire county England, age:98y 0m 0d, _x000D_
.bapt: 1785GE_x000D_
.will: 2004MO_x000D_
.obit: 1890OH_x000D_
.bury: 1850IL _x000D_
.wpbt: 1826PA_x000D_
.anc#:  nontuple ancestor_x000D_
citiz:foreign_x000D_
#spos:1_x000D_
#srcs:1_x000D_
#comment:0_x000D_
#events:1_x000D_
#kids:1_x000D_
lived:ENLANCS_x000D_
issue:_x000D_
.recs:Birth,Marriage,Death_x000D_
.imm?:no_x000D_
..Spo:HENRY TRAFFORD</t>
        </r>
      </text>
    </comment>
    <comment ref="Y2404" authorId="0" shapeId="0" xr:uid="{CF7A03EB-7EB1-4B0B-AD1B-F87CEF802560}">
      <text>
        <r>
          <rPr>
            <sz val="9"/>
            <color indexed="81"/>
            <rFont val="Tahoma"/>
            <family val="2"/>
          </rPr>
          <t>HENRY TRAFFORD_x000D_
http://yeinfo.com/family/I09066317.html_x000D_
https://www.google.com/search?q=HENRY+TRAFFORD+1292+1370+AGNES_x000D_
.born: 1292    -          Lancashire county England_x000D_
.died: 1370    -          Lancashire county England, age:78y 0m 0d, _x000D_
.bapt: 1785GE_x000D_
.will: 2004MO_x000D_
.obit: 1890OH_x000D_
.bury: 1850IL _x000D_
.wpbt: 1826PA_x000D_
.anc#:  nontuple ancestor_x000D_
citiz:foreign_x000D_
#spos:1_x000D_
#srcs:1_x000D_
#comment:0_x000D_
#events:1_x000D_
#kids:3_x000D_
lived:ENLANCS_x000D_
issue:_x000D_
.recs:Birth,Marriage,Death_x000D_
.imm?:no_x000D_
..Spo:AGNES DOTERINDE</t>
        </r>
      </text>
    </comment>
    <comment ref="Z2406" authorId="0" shapeId="0" xr:uid="{79E8B118-B73B-4F0C-8725-40DE31AC0856}">
      <text>
        <r>
          <rPr>
            <sz val="9"/>
            <color indexed="81"/>
            <rFont val="Tahoma"/>
            <family val="2"/>
          </rPr>
          <t>ELIZABETH ASHTON_x000D_
http://yeinfo.com/family/I09066433.html_x000D_
https://www.google.com/search?q=ELIZABETH+ASHTON+1268+1340+TRAFFORD_x000D_
.born: 1268    -          Lancashire county England_x000D_
.died: 1340    -1350      Lancashire county England, age:72y 0m 0d, _x000D_
.bapt: 1785GE_x000D_
.will: 2004MO_x000D_
.obit: 1890OH_x000D_
.bury: 1850IL _x000D_
.wpbt: 1826PA_x000D_
.anc#:  nontuple ancestor_x000D_
citiz:foreign_x000D_
#spos:1_x000D_
#srcs:1_x000D_
#comment:1_x000D_
#events:1_x000D_
#kids:2_x000D_
lived:ENLANCS_x000D_
issue:_x000D_
.recs:Birth,Marriage,Death_x000D_
.imm?:no_x000D_
..Spo:JOHN TRAFFORD</t>
        </r>
      </text>
    </comment>
    <comment ref="X2408" authorId="0" shapeId="0" xr:uid="{77A9584B-A309-4C66-BB7F-E2AE2E6B5E4F}">
      <text>
        <r>
          <rPr>
            <sz val="9"/>
            <color indexed="81"/>
            <rFont val="Tahoma"/>
            <family val="2"/>
          </rPr>
          <t>HENRY TRAFFORD_x000D_
http://yeinfo.com/family/I09066982.html_x000D_
https://www.google.com/search?q=HENRY+TRAFFORD+1335+1386+MARGARET_x000D_
.born:?1335    -         ?Lancashire county England_x000D_
.died: 1386    -          Lancashire county England, age:51y 0m 0d, _x000D_
.bapt: 1785GE_x000D_
.will: 2004MO_x000D_
.obit: 1890OH_x000D_
.bury: 1850IL _x000D_
.wpbt: 1826PA_x000D_
.anc#:  sextuple ancestor_x000D_
citiz:foreign_x000D_
#spos:1_x000D_
#srcs:8_x000D_
#comment:0_x000D_
#events:1_x000D_
#kids:3_x000D_
lived:?ENLANCS,ENCHESH_x000D_
issue:Died after Age 100_x000D_
.recs:Birth,Marriage,Death_x000D_
.imm?:no_x000D_
..Spo:MARGARET INCE</t>
        </r>
      </text>
    </comment>
    <comment ref="Z2410" authorId="0" shapeId="0" xr:uid="{815D2C90-C94B-426A-BC2A-AFD1F568BD31}">
      <text>
        <r>
          <rPr>
            <sz val="9"/>
            <color indexed="81"/>
            <rFont val="Tahoma"/>
            <family val="2"/>
          </rPr>
          <t>RICHARD DOTERINDE_x000D_
http://yeinfo.com/family/I09066492.html_x000D_
https://www.google.com/search?q=RICHARD+DOTERINDE+1280+1345+{_?_}_x000D_
.born:?1280    -          Norfolk county England_x000D_
.died: 1345    -         ?England, age:65y 0m 0d, _x000D_
.bapt: 1785GE_x000D_
.will: 2004MO_x000D_
.obit: 1890OH_x000D_
.bury: 1850IL _x000D_
.wpbt: 1826PA_x000D_
.anc#:  nontuple ancestor_x000D_
citiz:foreign_x000D_
#spos:1_x000D_
#srcs:1_x000D_
#comment:0_x000D_
#events:1_x000D_
#kids:1_x000D_
lived:ENNORFO_x000D_
issue:_x000D_
.recs:Birth,Marriage,Death_x000D_
.imm?:no_x000D_
..Spo:{_?_} DOTERINDE</t>
        </r>
      </text>
    </comment>
    <comment ref="Y2412" authorId="0" shapeId="0" xr:uid="{436A74B3-16B7-4B62-9421-D2B70C2C9306}">
      <text>
        <r>
          <rPr>
            <sz val="9"/>
            <color indexed="81"/>
            <rFont val="Tahoma"/>
            <family val="2"/>
          </rPr>
          <t>AGNES DOTERINDE_x000D_
http://yeinfo.com/family/I09066318.html_x000D_
https://www.google.com/search?q=AGNES+DOTERINDE+1302+1360+TRAFFORD_x000D_
.born: 1302    -          Birch (Lancashire) England_x000D_
.died: 1360    -          Lancashire county England, age:58y 0m 0d, _x000D_
.bapt: 1785GE_x000D_
.will: 2004MO_x000D_
.obit: 1890OH_x000D_
.bury: 1850IL _x000D_
.wpbt: 1826PA_x000D_
.anc#:  nontuple ancestor_x000D_
citiz:foreign_x000D_
#spos:1_x000D_
#srcs:1_x000D_
#comment:0_x000D_
#events:1_x000D_
#kids:3_x000D_
lived:ENLANCSBIRCH_x000D_
issue:_x000D_
.recs:Birth,Marriage,Death_x000D_
.imm?:no_x000D_
..Spo:HENRY TRAFFORD</t>
        </r>
      </text>
    </comment>
    <comment ref="Z2414" authorId="0" shapeId="0" xr:uid="{CB0E3242-3D59-4B13-A8FF-0B543D7B6B7C}">
      <text>
        <r>
          <rPr>
            <sz val="9"/>
            <color indexed="81"/>
            <rFont val="Tahoma"/>
            <family val="2"/>
          </rPr>
          <t>Mrs. {_?_} DOTERINDE_x000D_
http://yeinfo.com/family/I09066493.html_x000D_
https://www.google.com/search?q={_?_}+DOTERINDE+1280+1302+DOTERINDE_x000D_
.born:?1280    -         ?England_x000D_
.died: 1302    -1370     ?England, age:22y 0m 0d, _x000D_
.bapt: 1785GE_x000D_
.will: 2004MO_x000D_
.obit: 1890OH_x000D_
.bury: 1850IL _x000D_
.wpbt: 1826PA_x000D_
.anc#:  nontuple ancestor_x000D_
citiz:foreign_x000D_
#spos:1_x000D_
#srcs:1_x000D_
#comment:0_x000D_
#events:1_x000D_
#kids:1_x000D_
lived:?EN_x000D_
issue:_x000D_
.recs:Birth,Marriage,Death_x000D_
.imm?:no_x000D_
..Spo:RICHARD DOTERINDE</t>
        </r>
      </text>
    </comment>
    <comment ref="W2416" authorId="0" shapeId="0" xr:uid="{B78B1FC1-CD24-4576-A4FE-30A33002531F}">
      <text>
        <r>
          <rPr>
            <sz val="9"/>
            <color indexed="81"/>
            <rFont val="Tahoma"/>
            <family val="2"/>
          </rPr>
          <t>JOANNA TRAFFORD_x000D_
http://yeinfo.com/family/I09066983.html_x000D_
https://www.google.com/search?q=JOANNA+TRAFFORD+1358+1405+BOOTH_x000D_
.born: 1358    -          Lancashire county England_x000D_
.died: 1405    -          Lancashire county England, age:47y 0m 0d, _x000D_
.bapt: 1785GE_x000D_
.will: 2004MO_x000D_
.obit: 1890OH_x000D_
.bury: 1850IL _x000D_
.wpbt: 1826PA_x000D_
.anc#:double ancestor_x000D_
citiz:foreign_x000D_
#spos:1_x000D_
#srcs:1_x000D_
#comment:0_x000D_
#events:1_x000D_
#kids:1_x000D_
lived:ENLANCSBARTON_x000D_
issue:Spouse Age more than 30-Year Difference_x000D_
.recs:Birth,Marriage,Death_x000D_
.imm?:no_x000D_
..Spo:JOHN BOOTH</t>
        </r>
      </text>
    </comment>
    <comment ref="AA2418" authorId="0" shapeId="0" xr:uid="{BB983184-9FB9-489D-9877-0815B52D14DB}">
      <text>
        <r>
          <rPr>
            <sz val="9"/>
            <color indexed="81"/>
            <rFont val="Tahoma"/>
            <family val="2"/>
          </rPr>
          <t>ALFREDUS INCE I_x000D_
http://yeinfo.com/family/I09066930.html_x000D_
https://www.google.com/search?q=ALFREDUS+INCE+1265+1290+ALICE\ALESIA_x000D_
.born:?1265    -          Ince (Lancashire) England_x000D_
.died:?1290    -1350      Wigan (Lancashire) England, age:25y 0m 0d, _x000D_
.bapt: 1785GE_x000D_
.will: 2004MO_x000D_
.obit: 1890OH_x000D_
.bury: 1850IL _x000D_
.wpbt: 1826PA_x000D_
.anc#:  sextuple ancestor_x000D_
citiz:foreign_x000D_
#spos:1_x000D_
#srcs:3_x000D_
#comment:1_x000D_
#events:1_x000D_
#kids:1_x000D_
lived:ENLANCSINCE,ENLANCSWIGAN_x000D_
issue:_x000D_
.recs:Birth,Marriage,Death_x000D_
.imm?:no_x000D_
..Spo:ALICE\ALESIA STANDISH</t>
        </r>
      </text>
    </comment>
    <comment ref="Z2420" authorId="0" shapeId="0" xr:uid="{ABE1C6FA-2C50-419F-B49D-992E3F6E076D}">
      <text>
        <r>
          <rPr>
            <sz val="9"/>
            <color indexed="81"/>
            <rFont val="Tahoma"/>
            <family val="2"/>
          </rPr>
          <t>RICHARD INCE I_x000D_
http://yeinfo.com/family/I09066931.html_x000D_
https://www.google.com/search?q=RICHARD+INCE+1290+1333+ELIZABETH_x000D_
.born:?1290    -          Wigan (Lancashire) England_x000D_
.died: 1333    -1375      Wigan (Lancashire) England, age:43y 0m 0d, _x000D_
.bapt: 1785GE_x000D_
.will: 2004MO_x000D_
.obit: 1890OH_x000D_
.bury: 1850IL _x000D_
.wpbt: 1826PA_x000D_
.anc#:  sextuple ancestor_x000D_
citiz:foreign_x000D_
#spos:1_x000D_
#srcs:6_x000D_
#comment:0_x000D_
#events:1_x000D_
#kids:1_x000D_
lived:ENLANCSWIGAN_x000D_
issue:Died after Age 100_x000D_
.recs:Birth,Marriage,Death_x000D_
.imm?:no_x000D_
..Spo:ELIZABETH RADCLIFFE</t>
        </r>
      </text>
    </comment>
    <comment ref="AA2422" authorId="0" shapeId="0" xr:uid="{044E7990-B074-4C20-B161-7493DC7E542F}">
      <text>
        <r>
          <rPr>
            <sz val="9"/>
            <color indexed="81"/>
            <rFont val="Tahoma"/>
            <family val="2"/>
          </rPr>
          <t>ALICE\ALESIA STANDISH_x000D_
http://yeinfo.com/family/I09066976.html_x000D_
https://www.google.com/search?q=ALICE\ALESIA+STANDISH+1262+1290+INCE_x000D_
.born:?1262    -          Standish (Lancashire) England_x000D_
.died: 1290    -1350     ?Lancashire county England, age:28y 0m 0d, _x000D_
.bapt: 1785GE_x000D_
.will: 2004MO_x000D_
.obit: 1890OH_x000D_
.bury: 1850IL _x000D_
.wpbt: 1826PA_x000D_
.anc#:  sextuple ancestor_x000D_
citiz:foreign_x000D_
#spos:1_x000D_
#srcs:4_x000D_
#comment:0_x000D_
#events:1_x000D_
#kids:1_x000D_
lived:ENLANCSSTANDIS_x000D_
issue:_x000D_
.recs:Birth,Marriage,Death_x000D_
.imm?:no_x000D_
..Spo:ALFREDUS INCE</t>
        </r>
      </text>
    </comment>
    <comment ref="Y2424" authorId="0" shapeId="0" xr:uid="{F4512D73-AF1A-4C80-BEE9-662DCAD0A077}">
      <text>
        <r>
          <rPr>
            <sz val="9"/>
            <color indexed="81"/>
            <rFont val="Tahoma"/>
            <family val="2"/>
          </rPr>
          <t>ROBERT INCE_x000D_
http://yeinfo.com/family/I09066933.html_x000D_
https://www.google.com/search?q=ROBERT+INCE+1304+1335+{_?_}_x000D_
.born: 1304    -          Lancashire county England_x000D_
.died: 1335    -1390     ?Lancashire county England, age:31y 0m 0d, _x000D_
.bapt: 1785GE_x000D_
.will: 2004MO_x000D_
.obit: 1890OH_x000D_
.bury: 1850IL _x000D_
.wpbt: 1826PA_x000D_
.anc#:  sextuple ancestor_x000D_
citiz:foreign_x000D_
#spos:1_x000D_
#srcs:6_x000D_
#comment:0_x000D_
#events:1_x000D_
#kids:1_x000D_
lived:ENLANCS_x000D_
issue:Born before Parents Married_x000D_
.recs:Birth,Marriage,Death_x000D_
.imm?:no_x000D_
..Spo:{_?_} INCE</t>
        </r>
      </text>
    </comment>
    <comment ref="AC2426" authorId="0" shapeId="0" xr:uid="{9F51EDCD-B9C4-4162-823F-64945FBC054D}">
      <text>
        <r>
          <rPr>
            <sz val="9"/>
            <color indexed="81"/>
            <rFont val="Tahoma"/>
            <family val="2"/>
          </rPr>
          <t>ROBERT RADCLIFFE_x000D_
http://yeinfo.com/family/I09066959.html_x000D_
https://www.google.com/search?q=ROBERT+RADCLIFFE+1208+1239+AMBIL\AMABIL_x000D_
.born:?1208    -          Lancashire county England_x000D_
.died: 1239    -1290     ?Lancashire county England, age:31y 0m 0d, _x000D_
.bapt: 1785GE_x000D_
.will: 2004MO_x000D_
.obit: 1890OH_x000D_
.bury: 1850IL _x000D_
.wpbt: 1826PA_x000D_
.anc#: decuple ancestor_x000D_
citiz:foreign_x000D_
#spos:1_x000D_
#srcs:3_x000D_
#comment:1_x000D_
#events:1_x000D_
#kids:1_x000D_
lived:ENLANCS_x000D_
issue:Died after Age 100_x000D_
.recs:Birth,Marriage,Death_x000D_
.imm?:no_x000D_
..Spo:AMBIL\AMABIL TRAFFORD</t>
        </r>
      </text>
    </comment>
    <comment ref="AB2428" authorId="0" shapeId="0" xr:uid="{E4A8991F-CBB2-4451-BDF1-95DB1CD6CAB6}">
      <text>
        <r>
          <rPr>
            <sz val="9"/>
            <color indexed="81"/>
            <rFont val="Tahoma"/>
            <family val="2"/>
          </rPr>
          <t>RICHARD RADCLIFFE_x000D_
http://yeinfo.com/family/I09066960.html_x000D_
https://www.google.com/search?q=RICHARD+RADCLIFFE+1224+1326+JOAN\MARGARET_x000D_
.born: 1224    -          Lancashire county England_x000D_
.died: 1326    -          Lancashire county England, age:102y 0m 0d, _x000D_
.bapt: 1785GE_x000D_
.will: 2004MO_x000D_
.obit: 1890OH_x000D_
.bury: 1850IL _x000D_
.wpbt: 1826PA_x000D_
.anc#: decuple ancestor_x000D_
citiz:foreign_x000D_
#spos:1_x000D_
#srcs:3_x000D_
#comment:0_x000D_
#events:1_x000D_
#kids:2_x000D_
lived:ENLANCS_x000D_
issue:Married after Age 60_x000D_
.recs:Birth,Marriage,Death_x000D_
.imm?:no_x000D_
..Spo:JOAN\MARGARET BOTELER</t>
        </r>
      </text>
    </comment>
    <comment ref="AC2430" authorId="0" shapeId="0" xr:uid="{2B3EE95B-EDDA-4390-B09A-E12EE239233B}">
      <text>
        <r>
          <rPr>
            <sz val="9"/>
            <color indexed="81"/>
            <rFont val="Tahoma"/>
            <family val="2"/>
          </rPr>
          <t>AMBIL\AMABIL TRAFFORD_x000D_
http://yeinfo.com/family/I09066988.html_x000D_
https://www.google.com/search?q=AMBIL\AMABIL+TRAFFORD+1222+1239+RADCLIFFE_x000D_
.born:?1222    -          Lancashire county England_x000D_
.died: 1239    -1304     ?Lancashire county England, age:17y 0m 0d, _x000D_
.bapt: 1785GE_x000D_
.will: 2004MO_x000D_
.obit: 1890OH_x000D_
.bury: 1850IL _x000D_
.wpbt: 1826PA_x000D_
.anc#: decuple ancestor_x000D_
citiz:foreign_x000D_
#spos:1_x000D_
#srcs:3_x000D_
#comment:1_x000D_
#events:1_x000D_
#kids:1_x000D_
lived:ENLANCS_x000D_
issue:Died after Age 100_x000D_
.recs:Birth,Marriage,Death_x000D_
.imm?:no_x000D_
..Spo:ROBERT RADCLIFFE</t>
        </r>
      </text>
    </comment>
    <comment ref="AA2432" authorId="0" shapeId="0" xr:uid="{F7BBF02E-9DFA-4F81-8812-D976B54FFACB}">
      <text>
        <r>
          <rPr>
            <sz val="9"/>
            <color indexed="81"/>
            <rFont val="Tahoma"/>
            <family val="2"/>
          </rPr>
          <t>WILLIAM RADCLIFFE_x000D_
http://yeinfo.com/family/I09066961.html_x000D_
https://www.google.com/search?q=WILLIAM+RADCLIFFE+1267+1333+MARGARET_x000D_
.born: 1267    -          Lancashire county England_x000D_
.died: 1333    -         ?Lancashire county England, age:66y 0m 0d, _x000D_
.bapt: 1785GE_x000D_
.will: 2004MO_x000D_
.obit: 1890OH_x000D_
.bury: 1850IL _x000D_
.wpbt: 1826PA_x000D_
.anc#:  octuple ancestor_x000D_
citiz:foreign_x000D_
#spos:1_x000D_
#srcs:4_x000D_
#comment:0_x000D_
#events:1_x000D_
#kids:2_x000D_
lived:ENLANCS_x000D_
issue:_x000D_
.recs:Birth,Marriage,Death_x000D_
.imm?:no_x000D_
..Spo:MARGARET PEASFURLONG</t>
        </r>
      </text>
    </comment>
    <comment ref="AC2434" authorId="0" shapeId="0" xr:uid="{846EA46A-A182-4419-8058-F42A608FB78C}">
      <text>
        <r>
          <rPr>
            <sz val="9"/>
            <color indexed="81"/>
            <rFont val="Tahoma"/>
            <family val="2"/>
          </rPr>
          <t>HENRY\WILLIAM\ROBERT BOTELER_x000D_
http://yeinfo.com/family/I09066877.html_x000D_
https://www.google.com/search?q=HENRY\WILLIAM\ROBERT+BOTELER+1230+1247+ISABELLA_x000D_
.born:?1230    -          Warrington (Lancashire) England_x000D_
.died: 1247    -1280     ?Lancashire county England, age:17y 0m 0d, _x000D_
.bapt: 1785GE_x000D_
.will: 2004MO_x000D_
.obit: 1890OH_x000D_
.bury: 1850IL _x000D_
.wpbt: 1826PA_x000D_
.anc#: decuple ancestor_x000D_
citiz:foreign_x000D_
#spos:1_x000D_
#srcs:1_x000D_
#comment:1_x000D_
#events:2_x000D_
#kids:1_x000D_
lived:ENLANCSWARRING_x000D_
issue:_x000D_
.recs:Birth,Marriage,Death_x000D_
.imm?:no_x000D_
..Spo:ISABELLA BOTELER</t>
        </r>
      </text>
    </comment>
    <comment ref="AB2436" authorId="0" shapeId="0" xr:uid="{7DEC5A6E-B6D6-44BD-AEEE-E93273E6B542}">
      <text>
        <r>
          <rPr>
            <sz val="9"/>
            <color indexed="81"/>
            <rFont val="Tahoma"/>
            <family val="2"/>
          </rPr>
          <t>JOAN\MARGARET BOTELER_x000D_
http://yeinfo.com/family/I09066878.html_x000D_
https://www.google.com/search?q=JOAN\MARGARET+BOTELER+1232+1267+RADCLIFFE_x000D_
.born: 1232    -          Warrington (Lancashire) England_x000D_
.died: 1267    -1332     ?Lancashire county England, age:35y 0m 0d, _x000D_
.bapt: 1785GE_x000D_
.will: 2004MO_x000D_
.obit: 1890OH_x000D_
.bury: 1850IL _x000D_
.wpbt: 1826PA_x000D_
.anc#: decuple ancestor_x000D_
citiz:foreign_x000D_
#spos:1_x000D_
#srcs:3_x000D_
#comment:0_x000D_
#events:1_x000D_
#kids:2_x000D_
lived:ENLANCSWARRING_x000D_
issue:Born before Parents Married_x000D_
.recs:Birth,Marriage,Death_x000D_
.imm?:no_x000D_
..Spo:RICHARD RADCLIFFE</t>
        </r>
      </text>
    </comment>
    <comment ref="AC2438" authorId="0" shapeId="0" xr:uid="{6E7F796C-8F69-41AF-BDCF-52B696B07D15}">
      <text>
        <r>
          <rPr>
            <sz val="9"/>
            <color indexed="81"/>
            <rFont val="Tahoma"/>
            <family val="2"/>
          </rPr>
          <t>Mrs. ISABELLA BOTELER_x000D_
http://yeinfo.com/family/I09066876.html_x000D_
https://www.google.com/search?q=ISABELLA+BOTELER+1227+1247+BOTELER_x000D_
.born:?1227    -          Merton (Lancashire) England_x000D_
.died: 1247    -1312     ?Lancashire county England, age:20y 0m 0d, _x000D_
.bapt: 1785GE_x000D_
.will: 2004MO_x000D_
.obit: 1890OH_x000D_
.bury: 1850IL _x000D_
.wpbt: 1826PA_x000D_
.anc#: decuple ancestor_x000D_
citiz:foreign_x000D_
#spos:1_x000D_
#srcs:2_x000D_
#comment:1_x000D_
#events:1_x000D_
#kids:1_x000D_
lived:ENLANCSMERTON_x000D_
issue:_x000D_
.recs:Birth,Marriage,Death_x000D_
.imm?:no_x000D_
..Spo:HENRY\WILLIAM\ROBERT BOTELER</t>
        </r>
      </text>
    </comment>
    <comment ref="Z2440" authorId="0" shapeId="0" xr:uid="{707F2A3A-5866-4F9A-A2B3-6378AA549618}">
      <text>
        <r>
          <rPr>
            <sz val="9"/>
            <color indexed="81"/>
            <rFont val="Tahoma"/>
            <family val="2"/>
          </rPr>
          <t>ELIZABETH RADCLIFFE_x000D_
http://yeinfo.com/family/I09066963.html_x000D_
https://www.google.com/search?q=ELIZABETH+RADCLIFFE+1290+1310+INCE_x000D_
.born: 1290    -          Lancashire county England_x000D_
.died: 1310    -1375     ?Lancashire county England, age:20y 0m 0d, _x000D_
.bapt: 1785GE_x000D_
.will: 2004MO_x000D_
.obit: 1890OH_x000D_
.bury: 1850IL _x000D_
.wpbt: 1826PA_x000D_
.anc#:  sextuple ancestor_x000D_
citiz:foreign_x000D_
#spos:1_x000D_
#srcs:6_x000D_
#comment:0_x000D_
#events:1_x000D_
#kids:1_x000D_
lived:ENLANCS_x000D_
issue:Died after Age 100_x000D_
.recs:Birth,Marriage,Death_x000D_
.imm?:no_x000D_
..Spo:RICHARD INCE</t>
        </r>
      </text>
    </comment>
    <comment ref="AB2442" authorId="0" shapeId="0" xr:uid="{4D7EC3BF-5680-4F9B-8801-1218F082005B}">
      <text>
        <r>
          <rPr>
            <sz val="9"/>
            <color indexed="81"/>
            <rFont val="Tahoma"/>
            <family val="2"/>
          </rPr>
          <t>ADAM PEASFURLONG_x000D_
http://yeinfo.com/family/I09066956.html_x000D_
https://www.google.com/search?q=ADAM+PEASFURLONG+1242+1274+ELIZABETH_x000D_
.born:?1242    -          Wigan (Lancashire) England_x000D_
.died: 1274    -1339     ?Lancashire county England, age:32y 0m 0d, _x000D_
.bapt: 1785GE_x000D_
.will: 2004MO_x000D_
.obit: 1890OH_x000D_
.bury: 1850IL _x000D_
.wpbt: 1826PA_x000D_
.anc#:  octuple ancestor_x000D_
citiz:foreign_x000D_
#spos:1_x000D_
#srcs:3_x000D_
#comment:0_x000D_
#events:1_x000D_
#kids:1_x000D_
lived:ENLANCSWIGAN_x000D_
issue:_x000D_
.recs:Birth,Marriage,Death_x000D_
.imm?:no_x000D_
..Spo:ELIZABETH CULCHETH</t>
        </r>
      </text>
    </comment>
    <comment ref="AA2444" authorId="0" shapeId="0" xr:uid="{5603AB9F-012A-4BE7-8D2B-A6087CEF98C9}">
      <text>
        <r>
          <rPr>
            <sz val="9"/>
            <color indexed="81"/>
            <rFont val="Tahoma"/>
            <family val="2"/>
          </rPr>
          <t>MARGARET PEASFURLONG_x000D_
http://yeinfo.com/family/I09066957.html_x000D_
https://www.google.com/search?q=MARGARET+PEASFURLONG+1244+1290+RADCLIFFE_x000D_
.born: 1244    -          Warrington (Lancashire) England_x000D_
.died: 1290    -1355     ?Lancashire county England, age:46y 0m 0d, _x000D_
.bapt: 1785GE_x000D_
.will: 2004MO_x000D_
.obit: 1890OH_x000D_
.bury: 1850IL _x000D_
.wpbt: 1826PA_x000D_
.anc#:  octuple ancestor_x000D_
citiz:foreign_x000D_
#spos:1_x000D_
#srcs:4_x000D_
#comment:0_x000D_
#events:1_x000D_
#kids:2_x000D_
lived:ENLANCSWARRING_x000D_
issue:Born before Parents Married_x000D_
.recs:Birth,Marriage,Death_x000D_
.imm?:no_x000D_
..Spo:WILLIAM RADCLIFFE</t>
        </r>
      </text>
    </comment>
    <comment ref="AC2446" authorId="0" shapeId="0" xr:uid="{4DFBE006-E2FB-4BA0-8E9A-577E7068F3DF}">
      <text>
        <r>
          <rPr>
            <sz val="9"/>
            <color indexed="81"/>
            <rFont val="Tahoma"/>
            <family val="2"/>
          </rPr>
          <t>GILBERT CULCHETH_x000D_
http://yeinfo.com/family/I09066895.html_x000D_
https://www.google.com/search?q=GILBERT+CULCHETH+1205+1246+CECILIA_x000D_
.born:?1205    -          Culcheth (Lancashire) England_x000D_
.died: 1246    -         ?Lancashire county England, age:41y 0m 0d, _x000D_
.bapt: 1785GE_x000D_
.will: 2004MO_x000D_
.obit: 1890OH_x000D_
.bury: 1850IL _x000D_
.wpbt: 1826PA_x000D_
.anc#:  octuple ancestor_x000D_
citiz:foreign_x000D_
#spos:1_x000D_
#srcs:3_x000D_
#comment:1_x000D_
#events:1_x000D_
#kids:1_x000D_
lived:ENLANCSCULCHET_x000D_
issue:Died after Age 100_x000D_
.recs:Birth,Marriage,Death_x000D_
.imm?:no_x000D_
..Spo:CECILIA LATHOM</t>
        </r>
      </text>
    </comment>
    <comment ref="AB2448" authorId="0" shapeId="0" xr:uid="{62BF6D19-6F39-4FDD-A546-4550CB148DE2}">
      <text>
        <r>
          <rPr>
            <sz val="9"/>
            <color indexed="81"/>
            <rFont val="Tahoma"/>
            <family val="2"/>
          </rPr>
          <t>ELIZABETH CULCHETH_x000D_
http://yeinfo.com/family/I09066896.html_x000D_
https://www.google.com/search?q=ELIZABETH+CULCHETH+1215+1274+PEASFURLONG_x000D_
.born: 1215    -          Culcheth (Lancashire) England_x000D_
.died: 1274    -1339     ?Lancashire county England, age:59y 0m 0d, _x000D_
.bapt: 1785GE_x000D_
.will: 2004MO_x000D_
.obit: 1890OH_x000D_
.bury: 1850IL _x000D_
.wpbt: 1826PA_x000D_
.anc#:  octuple ancestor_x000D_
citiz:foreign_x000D_
#spos:1_x000D_
#srcs:3_x000D_
#comment:0_x000D_
#events:1_x000D_
#kids:1_x000D_
lived:ENLANCSCULCHET_x000D_
issue:_x000D_
.recs:Birth,Marriage,Death_x000D_
.imm?:no_x000D_
..Spo:ADAM PEASFURLONG</t>
        </r>
      </text>
    </comment>
    <comment ref="AC2450" authorId="0" shapeId="0" xr:uid="{FF01772C-276C-4889-840E-474E636A108D}">
      <text>
        <r>
          <rPr>
            <sz val="9"/>
            <color indexed="81"/>
            <rFont val="Tahoma"/>
            <family val="2"/>
          </rPr>
          <t>CECILIA LATHOM_x000D_
http://yeinfo.com/family/I09066935.html_x000D_
https://www.google.com/search?q=CECILIA+LATHOM+1222+1245+CULCHETH_x000D_
.born:?1222    -          Latham (Lancashire) England_x000D_
.died: 1245    -1310     ?Lancashire county England, age:23y 0m 0d, _x000D_
.bapt: 1785GE_x000D_
.will: 2004MO_x000D_
.obit: 1890OH_x000D_
.bury: 1850IL _x000D_
.wpbt: 1826PA_x000D_
.anc#:  octuple ancestor_x000D_
citiz:foreign_x000D_
#spos:1_x000D_
#srcs:3_x000D_
#comment:1_x000D_
#events:1_x000D_
#kids:1_x000D_
lived:ENLANCSLATHAM_x000D_
issue:Died after Age 100_x000D_
.recs:Birth,Marriage,Death_x000D_
.imm?:no_x000D_
..Spo:GILBERT CULCHETH</t>
        </r>
      </text>
    </comment>
    <comment ref="X2452" authorId="0" shapeId="0" xr:uid="{D8DA5D6C-49A8-4B65-859F-0A4522A69713}">
      <text>
        <r>
          <rPr>
            <sz val="9"/>
            <color indexed="81"/>
            <rFont val="Tahoma"/>
            <family val="2"/>
          </rPr>
          <t>MARGARET INCE_x000D_
http://yeinfo.com/family/I09066934.html_x000D_
https://www.google.com/search?q=MARGARET+INCE+1330+1417+TRAFFORD_x000D_
.born:?1330    -          Lancashire county England_x000D_
.died:?141701  -         ?Lancashire county England, age:87y 0m 0d, _x000D_
.bapt: 1785GE_x000D_
.will: 2004MO_x000D_
.obit: 1890OH_x000D_
.bury: 1850IL _x000D_
.wpbt: 1826PA_x000D_
.anc#:  sextuple ancestor_x000D_
citiz:foreign_x000D_
#spos:1_x000D_
#srcs:8_x000D_
#comment:0_x000D_
#events:1_x000D_
#kids:3_x000D_
lived:ENCHESH,ENLANCS_x000D_
issue:_x000D_
.recs:Birth,Marriage,Death_x000D_
.imm?:no_x000D_
..Spo:HENRY TRAFFORD</t>
        </r>
      </text>
    </comment>
    <comment ref="Y2454" authorId="0" shapeId="0" xr:uid="{B1676C65-2C48-4457-9007-A1EB16AB2D8D}">
      <text>
        <r>
          <rPr>
            <sz val="9"/>
            <color indexed="81"/>
            <rFont val="Tahoma"/>
            <family val="2"/>
          </rPr>
          <t>Mrs. {_?_} INCE_x000D_
http://yeinfo.com/family/I09066932.html_x000D_
https://www.google.com/search?q={_?_}+INCE+1310+1335+INCE_x000D_
.born:?1310    -         ?_x000D_
.died: 1335    -1390     ?Lancashire county England, age:25y 0m 0d, _x000D_
.bapt: 1785GE_x000D_
.will: 2004MO_x000D_
.obit: 1890OH_x000D_
.bury: 1850IL _x000D_
.wpbt: 1826PA_x000D_
.anc#:  sextuple ancestor_x000D_
citiz:foreign_x000D_
#spos:1_x000D_
#srcs:0_x000D_
#comment:0_x000D_
#events:1_x000D_
#kids:1_x000D_
lived:?ENLANCS_x000D_
issue:_x000D_
.recs:Birth,Marriage,Death_x000D_
.imm?:no_x000D_
..Spo:ROBERT INCE</t>
        </r>
      </text>
    </comment>
    <comment ref="R2456" authorId="0" shapeId="0" xr:uid="{4082CC84-D7E1-41B2-A6C9-5ABA65F58D8B}">
      <text>
        <r>
          <rPr>
            <sz val="9"/>
            <color indexed="81"/>
            <rFont val="Tahoma"/>
            <family val="2"/>
          </rPr>
          <t>EDMUND TRAFFORD_x000D_
http://yeinfo.com/family/I09041430.html_x000D_
https://www.google.com/search?q=EDMUND+TRAFFORD+1453+1533+ELIZABETH_x000D_
.born: 1453    -          Lancashire county England_x000D_
.died: 15330628-          Lancashire county England, age:80y 5m 27d, _x000D_
.bapt: 1785GE_x000D_
.will: 2004MO_x000D_
.obit: 1890OH_x000D_
.bury: 1850IL _x000D_
.wpbt: 1826PA_x000D_
.anc#:double ancestor_x000D_
citiz:foreign_x000D_
#spos:1_x000D_
#srcs:1_x000D_
#comment:1_x000D_
#events:1_x000D_
#kids:1_x000D_
lived:ENLANCS_x000D_
issue:Born before Parents Married,Spouse Age more than 30-Year Difference_x000D_
.recs:Birth,Marriage,Death_x000D_
.imm?:no_x000D_
..Spo:ELIZABETH LONGFORD</t>
        </r>
      </text>
    </comment>
    <comment ref="X2458" authorId="0" shapeId="0" xr:uid="{536D551F-45BB-485A-88E3-076BC0122656}">
      <text>
        <r>
          <rPr>
            <sz val="9"/>
            <color indexed="81"/>
            <rFont val="Tahoma"/>
            <family val="2"/>
          </rPr>
          <t>ROBERT ROGER SAVAGE_x000D_
http://yeinfo.com/family/I09066849.html_x000D_
https://www.google.com/search?q=ROBERT+ROGER+SAVAGE+1305+1335+MARGERY_x000D_
.born:?1305    -         ?Cheshire county England_x000D_
.died:?1335    -1390     ?Cheshire county England, age:30y 0m 0d, _x000D_
.bapt: 1785GE_x000D_
.will: 2004MO_x000D_
.obit: 1890OH_x000D_
.bury: 1850IL _x000D_
.wpbt: 1826PA_x000D_
.anc#:double ancestor_x000D_
citiz:foreign_x000D_
#spos:1_x000D_
#srcs:1_x000D_
#comment:0_x000D_
#events:1_x000D_
#kids:1_x000D_
lived:?ENCHESH_x000D_
issue:Died before Birth_x000D_
.recs:Birth,Marriage,Death_x000D_
.imm?:no_x000D_
..Spo:MARGERY CHEADLE</t>
        </r>
      </text>
    </comment>
    <comment ref="W2460" authorId="0" shapeId="0" xr:uid="{C4868F29-62BA-4C4E-B0A7-A0EA050ED8E3}">
      <text>
        <r>
          <rPr>
            <sz val="9"/>
            <color indexed="81"/>
            <rFont val="Tahoma"/>
            <family val="2"/>
          </rPr>
          <t>JOHN SAVAGE I_x000D_
http://yeinfo.com/family/I09066850.html_x000D_
https://www.google.com/search?q=JOHN+SAVAGE+1343+1386+MARGARET_x000D_
.born: 1343    -          Stockport (Cheshire) England_x000D_
.died: 1386    -          Runcorn (Cheshire) England, age:43y 0m 0d, _x000D_
.bapt: 1785GE_x000D_
.will: 2004MO_x000D_
.obit: 1890OH_x000D_
.bury: 1850IL _x000D_
.wpbt: 1826PA_x000D_
.anc#:double ancestor_x000D_
citiz:foreign_x000D_
#spos:1_x000D_
#srcs:1_x000D_
#comment:0_x000D_
#events:1_x000D_
#kids:1_x000D_
lived:ENCHESHRUNCORN,ENCHESHSTOCKPO_x000D_
issue:Born after Parent Died,Born after Mom Age 50_x000D_
.recs:Birth,Marriage,Death_x000D_
.imm?:no_x000D_
..Spo:MARGARET DANYERS</t>
        </r>
      </text>
    </comment>
    <comment ref="Y2462" authorId="0" shapeId="0" xr:uid="{0D42C428-5091-4EB5-83D7-6C4906C1EEBE}">
      <text>
        <r>
          <rPr>
            <sz val="9"/>
            <color indexed="81"/>
            <rFont val="Tahoma"/>
            <family val="2"/>
          </rPr>
          <t>ROGER CHEADLE_x000D_
http://yeinfo.com/family/I09066845.html_x000D_
https://www.google.com/search?q=ROGER+CHEADLE+1275+1322+MATILDA_x000D_
.born:?1275    -         ?Cheshire county England_x000D_
.died: 1322    -1387     ?Cheshire county England, age:47y 0m 0d, _x000D_
.bapt: 1785GE_x000D_
.will: 2004MO_x000D_
.obit: 1890OH_x000D_
.bury: 1850IL _x000D_
.wpbt: 1826PA_x000D_
.anc#:double ancestor_x000D_
citiz:foreign_x000D_
#spos:1_x000D_
#srcs:1_x000D_
#comment:1_x000D_
#events:1_x000D_
#kids:1_x000D_
lived:?ENCHESH_x000D_
issue:_x000D_
.recs:Birth,Marriage,Death_x000D_
.imm?:no_x000D_
..Spo:MATILDA MASSEY</t>
        </r>
      </text>
    </comment>
    <comment ref="X2464" authorId="0" shapeId="0" xr:uid="{3486E31E-EC66-4F64-A31A-CFB0448D9D78}">
      <text>
        <r>
          <rPr>
            <sz val="9"/>
            <color indexed="81"/>
            <rFont val="Tahoma"/>
            <family val="2"/>
          </rPr>
          <t>MARGERY CHEADLE_x000D_
http://yeinfo.com/family/I09066846.html_x000D_
https://www.google.com/search?q=MARGERY+CHEADLE+1277+1343+SAVAGE_x000D_
.born: 1277    -         ?Cheshire county England_x000D_
.died: 1343    -1408     ?Cheshire county England, age:66y 0m 0d, _x000D_
.bapt: 1785GE_x000D_
.will: 2004MO_x000D_
.obit: 1890OH_x000D_
.bury: 1850IL _x000D_
.wpbt: 1826PA_x000D_
.anc#:double ancestor_x000D_
citiz:foreign_x000D_
#spos:1_x000D_
#srcs:1_x000D_
#comment:0_x000D_
#events:1_x000D_
#kids:1_x000D_
lived:?ENCHESH_x000D_
issue:Born before Parents Married,Married before Age 16_x000D_
.recs:Birth,Marriage,Death_x000D_
.imm?:no_x000D_
..Spo:ROBERT ROGER SAVAGE</t>
        </r>
      </text>
    </comment>
    <comment ref="Y2466" authorId="0" shapeId="0" xr:uid="{049DAC2F-6728-4C7E-A751-C356563AC620}">
      <text>
        <r>
          <rPr>
            <sz val="9"/>
            <color indexed="81"/>
            <rFont val="Tahoma"/>
            <family val="2"/>
          </rPr>
          <t>MATILDA MASSEY_x000D_
http://yeinfo.com/family/I09066848.html_x000D_
https://www.google.com/search?q=MATILDA+MASSEY+1283+1322+CHEADLE_x000D_
.born:?1283    -         ?Cheshire county England_x000D_
.died: 1322    -1387     ?Cheshire county England, age:39y 0m 0d, _x000D_
.bapt: 1785GE_x000D_
.will: 2004MO_x000D_
.obit: 1890OH_x000D_
.bury: 1850IL _x000D_
.wpbt: 1826PA_x000D_
.anc#:double ancestor_x000D_
citiz:foreign_x000D_
#spos:1_x000D_
#srcs:1_x000D_
#comment:1_x000D_
#events:1_x000D_
#kids:1_x000D_
lived:?ENCHESH_x000D_
issue:_x000D_
.recs:Birth,Marriage,Death_x000D_
.imm?:no_x000D_
..Spo:ROGER CHEADLE</t>
        </r>
      </text>
    </comment>
    <comment ref="V2468" authorId="0" shapeId="0" xr:uid="{57A841CD-7CC3-4569-8EBD-CEA71D52399D}">
      <text>
        <r>
          <rPr>
            <sz val="9"/>
            <color indexed="81"/>
            <rFont val="Tahoma"/>
            <family val="2"/>
          </rPr>
          <t>JOHN SAVAGE II_x000D_
http://yeinfo.com/family/I09066851.html_x000D_
https://www.google.com/search?q=JOHN+SAVAGE+1370+1450+MAUD_x000D_
.born: 1370    -          Clifton (Cheshire) England_x000D_
.died: 14500801-          Clifton (Cheshire) England, age:80y 7m 0d, _x000D_
.bapt: 1785GE_x000D_
.will: 2004MO_x000D_
.obit: 1890OH_x000D_
.bury: 1850IL _x000D_
.wpbt: 1826PA_x000D_
.anc#:double ancestor_x000D_
citiz:foreign_x000D_
#spos:1_x000D_
#srcs:1_x000D_
#comment:0_x000D_
#events:1_x000D_
#kids:1_x000D_
lived:ENCHESHCLIFTON_x000D_
issue:_x000D_
.recs:Birth,Marriage,Death_x000D_
.imm?:no_x000D_
..Spo:MAUD SWYNNERTON</t>
        </r>
      </text>
    </comment>
    <comment ref="W2470" authorId="0" shapeId="0" xr:uid="{A6A217B0-0B4E-4D55-939F-7C649FE67E3D}">
      <text>
        <r>
          <rPr>
            <sz val="9"/>
            <color indexed="81"/>
            <rFont val="Tahoma"/>
            <family val="2"/>
          </rPr>
          <t>MARGARET DANYERS_x000D_
http://yeinfo.com/family/I09066847.html_x000D_
https://www.google.com/search?q=MARGARET+DANYERS+1348+1370+SAVAGE_x000D_
.born: 13480502-          Bradley (Cheshire) England_x000D_
.died: 1370    -1435     ?Cheshire county England, age:21y 7m 30d, _x000D_
.bapt: 1785GE_x000D_
.will: 2004MO_x000D_
.obit: 1890OH_x000D_
.bury: 1850IL _x000D_
.wpbt: 1826PA_x000D_
.anc#:double ancestor_x000D_
citiz:foreign_x000D_
#spos:1_x000D_
#srcs:1_x000D_
#comment:0_x000D_
#events:1_x000D_
#kids:1_x000D_
lived:ENCHESHBRADLEY_x000D_
issue:_x000D_
.recs:Birth,Marriage,Death_x000D_
.imm?:no_x000D_
..Spo:JOHN SAVAGE</t>
        </r>
      </text>
    </comment>
    <comment ref="U2472" authorId="0" shapeId="0" xr:uid="{DF47C182-129F-4125-80AF-FD069C5698DC}">
      <text>
        <r>
          <rPr>
            <sz val="9"/>
            <color indexed="81"/>
            <rFont val="Tahoma"/>
            <family val="2"/>
          </rPr>
          <t>JOHN SAVAGE III_x000D_
http://yeinfo.com/family/I09066832.html_x000D_
https://www.google.com/search?q=JOHN+SAVAGE+1393+1463+ELIZABETH\ELEANOR_x000D_
.born: 1393    -          Clifton (Cheshire) England_x000D_
.died: 14630629-          Clifton (Cheshire) England, age:70y 5m 28d, _x000D_
.bapt: 1785GE_x000D_
.will: 2004MO_x000D_
.obit: 1890OH_x000D_
.bury: 1850IL _x000D_
.wpbt: 1826PA_x000D_
.anc#:double ancestor_x000D_
citiz:foreign_x000D_
#spos:1_x000D_
#srcs:1_x000D_
#comment:0_x000D_
#events:1_x000D_
#kids:1_x000D_
lived:ENCHESHCLIFTON_x000D_
issue:_x000D_
.recs:Birth,Marriage,Death_x000D_
.imm?:no_x000D_
..Spo:ELIZABETH\ELEANOR BRERETON</t>
        </r>
      </text>
    </comment>
    <comment ref="W2474" authorId="0" shapeId="0" xr:uid="{36FAC123-E233-4EB8-9542-3F2990148D2A}">
      <text>
        <r>
          <rPr>
            <sz val="9"/>
            <color indexed="81"/>
            <rFont val="Tahoma"/>
            <family val="2"/>
          </rPr>
          <t>ROBERT SWYNNERTON_x000D_
http://yeinfo.com/family/I09066852.html_x000D_
https://www.google.com/search?q=ROBERT+SWYNNERTON+1335+1396+ELIZABETH_x000D_
.born: 1335    -          Staffordshire county England_x000D_
.died:a13961112-          Staffordshire county England, age:61y 10m 11d, _x000D_
.bapt: 1785GE_x000D_
.will: 2004MO_x000D_
.obit: 1890OH_x000D_
.bury: 1850IL _x000D_
.wpbt: 1826PA_x000D_
.anc#:double ancestor_x000D_
citiz:foreign_x000D_
#spos:1_x000D_
#srcs:1_x000D_
#comment:1_x000D_
#events:1_x000D_
#kids:1_x000D_
lived:?ENCHESH,ENSTAFS_x000D_
issue:_x000D_
.recs:Birth,Marriage,Death_x000D_
.imm?:no_x000D_
..Spo:ELIZABETH BEKE</t>
        </r>
      </text>
    </comment>
    <comment ref="V2476" authorId="0" shapeId="0" xr:uid="{38825F4D-BBCD-43C0-9C40-C4D7DE571C20}">
      <text>
        <r>
          <rPr>
            <sz val="9"/>
            <color indexed="81"/>
            <rFont val="Tahoma"/>
            <family val="2"/>
          </rPr>
          <t>MAUD SWYNNERTON_x000D_
http://yeinfo.com/family/I09066844.html_x000D_
https://www.google.com/search?q=MAUD+SWYNNERTON+1371+1415+SAVAGE_x000D_
.born:?1371    -          Barrow (Cheshire) England_x000D_
.died: 1415    -          Barrow (Cheshire) England, age:44y 0m 0d, _x000D_
.bapt: 1785GE_x000D_
.will: 2004MO_x000D_
.obit: 1890OH_x000D_
.bury: 1850IL _x000D_
.wpbt: 1826PA_x000D_
.anc#:double ancestor_x000D_
citiz:foreign_x000D_
#spos:1_x000D_
#srcs:1_x000D_
#comment:0_x000D_
#events:1_x000D_
#kids:1_x000D_
lived:ENCHESHBARROW_x000D_
issue:_x000D_
.recs:Birth,Marriage,Death_x000D_
.imm?:no_x000D_
..Spo:JOHN SAVAGE</t>
        </r>
      </text>
    </comment>
    <comment ref="W2478" authorId="0" shapeId="0" xr:uid="{AAF8655B-F64C-431A-90BB-BC16118A8C1E}">
      <text>
        <r>
          <rPr>
            <sz val="9"/>
            <color indexed="81"/>
            <rFont val="Tahoma"/>
            <family val="2"/>
          </rPr>
          <t>ELIZABETH BEKE_x000D_
http://yeinfo.com/family/I09066843.html_x000D_
https://www.google.com/search?q=ELIZABETH+BEKE+1340+1415+SWYNNERTON_x000D_
.born: 1340    -          Cheshire county England_x000D_
.died: 1415    -         ?Cheshire county England, age:75y 0m 0d, _x000D_
.bapt: 1785GE_x000D_
.will: 2004MO_x000D_
.obit: 1890OH_x000D_
.bury: 1850IL _x000D_
.wpbt: 1826PA_x000D_
.anc#:double ancestor_x000D_
citiz:foreign_x000D_
#spos:1_x000D_
#srcs:1_x000D_
#comment:1_x000D_
#events:1_x000D_
#kids:1_x000D_
lived:ENCHESH_x000D_
issue:_x000D_
.recs:Birth,Marriage,Death_x000D_
.imm?:no_x000D_
..Spo:ROBERT SWYNNERTON</t>
        </r>
      </text>
    </comment>
    <comment ref="T2480" authorId="0" shapeId="0" xr:uid="{3F59E8CA-2596-493E-8470-4D5DADDFDC57}">
      <text>
        <r>
          <rPr>
            <sz val="9"/>
            <color indexed="81"/>
            <rFont val="Tahoma"/>
            <family val="2"/>
          </rPr>
          <t>JOHN SAVAGE IV_x000D_
http://yeinfo.com/family/I09066833.html_x000D_
https://www.google.com/search?q=JOHN+SAVAGE+1422+1495+KATHERINE_x000D_
.born: 14221101-          Clifton (Cheshire) England_x000D_
.died: 14951122-          England, age:73y 0m 21d, _x000D_
.bapt: 1785GE_x000D_
.will: 2004MO_x000D_
.obit: 1890OH_x000D_
.bury: 1850IL _x000D_
.wpbt: 1826PA_x000D_
.anc#:double ancestor_x000D_
citiz:foreign_x000D_
#spos:1_x000D_
#srcs:1_x000D_
#comment:0_x000D_
#events:1_x000D_
#kids:1_x000D_
lived:ENCHESHCLIFTON_x000D_
issue:_x000D_
.recs:Birth,Marriage,Death_x000D_
.imm?:no_x000D_
..Spo:KATHERINE STANLEY</t>
        </r>
      </text>
    </comment>
    <comment ref="W2482" authorId="0" shapeId="0" xr:uid="{A3C0BB59-BCB5-445B-AFA4-B07F1C2C508D}">
      <text>
        <r>
          <rPr>
            <sz val="9"/>
            <color indexed="81"/>
            <rFont val="Tahoma"/>
            <family val="2"/>
          </rPr>
          <t>WILLIAM BRERETON_x000D_
http://yeinfo.com/family/I09066782.html_x000D_
https://www.google.com/search?q=WILLIAM+BRERETON+1347+1398+ELIENA_x000D_
.born: 13470214-          Brereton (Cheshire) England_x000D_
.died: 1398    -         ?England, age:50y 10m 18d, _x000D_
.bapt: 1785GE_x000D_
.will: 2004MO_x000D_
.obit: 1890OH_x000D_
.bury: 1850IL _x000D_
.wpbt: 1826PA_x000D_
.anc#:double ancestor_x000D_
citiz:foreign_x000D_
#spos:1_x000D_
#srcs:1_x000D_
#comment:0_x000D_
#events:1_x000D_
#kids:1_x000D_
lived:ENCHESHBRERETO_x000D_
issue:_x000D_
.recs:Birth,Marriage,Death_x000D_
.imm?:no_x000D_
..Spo:ELIENA EGERTON</t>
        </r>
      </text>
    </comment>
    <comment ref="V2484" authorId="0" shapeId="0" xr:uid="{495CC162-F41A-40B0-B4BD-54F378BDD46E}">
      <text>
        <r>
          <rPr>
            <sz val="9"/>
            <color indexed="81"/>
            <rFont val="Tahoma"/>
            <family val="2"/>
          </rPr>
          <t>WILLIAM BRERETON_x000D_
http://yeinfo.com/family/I09066783.html_x000D_
https://www.google.com/search?q=WILLIAM+BRERETON+1370+1404+ANGELA_x000D_
.born: 1370    -          Congleton (Cheshire) England_x000D_
.died: 1404    -1469      France, age:34y 0m 0d, _x000D_
.bapt: 1785GE_x000D_
.will: 2004MO_x000D_
.obit: 1890OH_x000D_
.bury: 1850IL _x000D_
.wpbt: 1826PA_x000D_
.anc#:double ancestor_x000D_
citiz:foreign_x000D_
#spos:1_x000D_
#srcs:1_x000D_
#comment:0_x000D_
#events:1_x000D_
#kids:1_x000D_
lived:ENCHESHCONGLET,ENSTAFSAUDLEY,FR_x000D_
issue:_x000D_
.recs:Birth,Marriage,Death_x000D_
.imm?:no_x000D_
..Spo:ANGELA VENABLES</t>
        </r>
      </text>
    </comment>
    <comment ref="W2486" authorId="0" shapeId="0" xr:uid="{30B75162-8138-4063-BBBF-DFD65B503E79}">
      <text>
        <r>
          <rPr>
            <sz val="9"/>
            <color indexed="81"/>
            <rFont val="Tahoma"/>
            <family val="2"/>
          </rPr>
          <t>ELIENA EGERTON_x000D_
http://yeinfo.com/family/I09066792.html_x000D_
https://www.google.com/search?q=ELIENA+EGERTON+1350+1370+BRERETON_x000D_
.born:?1350    -          Egerton (Cheshire) England_x000D_
.died: 1370    -1435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lived:ENCHESHEGERTON_x000D_
issue:_x000D_
.recs:Birth,Marriage,Death_x000D_
.imm?:no_x000D_
..Spo:WILLIAM BRERETON</t>
        </r>
      </text>
    </comment>
    <comment ref="U2488" authorId="0" shapeId="0" xr:uid="{1A0F90B3-6D59-4666-9DC8-F9FEDF4DFF9B}">
      <text>
        <r>
          <rPr>
            <sz val="9"/>
            <color indexed="81"/>
            <rFont val="Tahoma"/>
            <family val="2"/>
          </rPr>
          <t>ELIZABETH\ELEANOR BRERETON_x000D_
http://yeinfo.com/family/I09066784.html_x000D_
https://www.google.com/search?q=ELIZABETH\ELEANOR+BRERETON+1404+1422+SAVAGE_x000D_
.born:?1404    -          Brereton (Cheshire) England_x000D_
.died: 1422    -1487     ?England, age:18y 0m 0d, _x000D_
.bapt: 1785GE_x000D_
.will: 2004MO_x000D_
.obit: 1890OH_x000D_
.bury: 1850IL _x000D_
.wpbt: 1826PA_x000D_
.anc#:double ancestor_x000D_
citiz:foreign_x000D_
#spos:1_x000D_
#srcs:1_x000D_
#comment:0_x000D_
#events:1_x000D_
#kids:1_x000D_
lived:ENCHESHBRERETO,ENCHESHCLIFTON_x000D_
issue:_x000D_
.recs:Birth,Marriage,Death_x000D_
.imm?:no_x000D_
..Spo:JOHN SAVAGE</t>
        </r>
      </text>
    </comment>
    <comment ref="V2490" authorId="0" shapeId="0" xr:uid="{C797856C-3380-4ABD-B503-7F2A67E539FE}">
      <text>
        <r>
          <rPr>
            <sz val="9"/>
            <color indexed="81"/>
            <rFont val="Tahoma"/>
            <family val="2"/>
          </rPr>
          <t>ANGELA VENABLES_x000D_
http://yeinfo.com/family/I09066724.html_x000D_
https://www.google.com/search?q=ANGELA+VENABLES+1374+1442+BRERETON_x000D_
.born: 1374    -          Northwich (Cheshire) England_x000D_
.died: 1442    -          Cheshire county England, age:68y 0m 0d, _x000D_
.bapt: 1785GE_x000D_
.will: 2004MO_x000D_
.obit: 1890OH_x000D_
.bury: 1850IL _x000D_
.wpbt: 1826PA_x000D_
.anc#:double ancestor_x000D_
citiz:foreign_x000D_
#spos:1_x000D_
#srcs:1_x000D_
#comment:1_x000D_
#events:1_x000D_
#kids:1_x000D_
lived:ENCHESHNORTWCH,ENSTAFSAUDLEY_x000D_
issue:Died after Age 100_x000D_
.recs:Birth,Marriage,Death_x000D_
.imm?:no_x000D_
..Spo:WILLIAM BRERETON</t>
        </r>
      </text>
    </comment>
    <comment ref="S2492" authorId="0" shapeId="0" xr:uid="{73D12AEC-6417-494D-99E1-BF1BE98054BE}">
      <text>
        <r>
          <rPr>
            <sz val="9"/>
            <color indexed="81"/>
            <rFont val="Tahoma"/>
            <family val="2"/>
          </rPr>
          <t>MARGARET SAVAGE_x000D_
http://yeinfo.com/family/I09066834.html_x000D_
https://www.google.com/search?q=MARGARET+SAVAGE+1436+1525+TRAFFORD_x000D_
.born: 1436    -          Lancashire county England_x000D_
.died: 1525    -          Lancashire county England, age:89y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issue:Born before Parents Married_x000D_
.recs:Birth,Marriage,Death_x000D_
.imm?:no_x000D_
..Spo:EDMUND TRAFFORD</t>
        </r>
      </text>
    </comment>
    <comment ref="V2494" authorId="0" shapeId="0" xr:uid="{29330B22-8422-479A-9CEA-63D64188A96D}">
      <text>
        <r>
          <rPr>
            <sz val="9"/>
            <color indexed="81"/>
            <rFont val="Tahoma"/>
            <family val="2"/>
          </rPr>
          <t>JOHN STANLEY_x000D_
http://yeinfo.com/family/I09066835.html_x000D_
https://www.google.com/search?q=JOHN+STANLEY+1353+1437+MARGARET_x000D_
.born: 1353    -          Staffordshire county England_x000D_
.died: 14371127-          Wales, age:84y 10m 26d, _x000D_
.bapt: 1785GE_x000D_
.will: 2004MO_x000D_
.obit: 1890OH_x000D_
.bury: 1850IL _x000D_
.wpbt: 1826PA_x000D_
.anc#:double ancestor_x000D_
citiz:foreign_x000D_
#spos:1_x000D_
#srcs:1_x000D_
#comment:0_x000D_
#events:1_x000D_
#kids:1_x000D_
lived:ENSTAFS,WL_x000D_
issue:Spouse Age more than 30-Year Difference_x000D_
.recs:Birth,Marriage,Death_x000D_
.imm?:no_x000D_
..Spo:MARGARET HARRINGTON</t>
        </r>
      </text>
    </comment>
    <comment ref="U2496" authorId="0" shapeId="0" xr:uid="{6339AB5E-46B6-4EE9-9284-FB1DBFB2C79A}">
      <text>
        <r>
          <rPr>
            <sz val="9"/>
            <color indexed="81"/>
            <rFont val="Tahoma"/>
            <family val="2"/>
          </rPr>
          <t>THOMAS STANLEY_x000D_
http://yeinfo.com/family/I09066836.html_x000D_
https://www.google.com/search?q=THOMAS+STANLEY+1392+1458+JOAN_x000D_
.born: 1392    -          Ormskirk (Lancashire) England_x000D_
.died: 14580220-          Prescot (Lancashire) England, age:66y 1m 19d, _x000D_
.bapt: 1785GE_x000D_
.will: 2004MO_x000D_
.obit: 1890OH_x000D_
.bury: 1850IL _x000D_
.wpbt: 1826PA_x000D_
.anc#:double ancestor_x000D_
citiz:foreign_x000D_
#spos:1_x000D_
#srcs:1_x000D_
#comment:0_x000D_
#events:1_x000D_
#kids:1_x000D_
lived:ENLANCSORMSKIR,ENLANCSPRESCOT_x000D_
issue:Born before Parents Married_x000D_
.recs:Birth,Marriage,Death_x000D_
.imm?:no_x000D_
..Spo:JOAN GOUSHILL</t>
        </r>
      </text>
    </comment>
    <comment ref="W2498" authorId="0" shapeId="0" xr:uid="{49139EF4-E9CC-46F4-8076-735E9DA12CCB}">
      <text>
        <r>
          <rPr>
            <sz val="9"/>
            <color indexed="81"/>
            <rFont val="Tahoma"/>
            <family val="2"/>
          </rPr>
          <t>NICHOLAS HARRINGTON_x000D_
http://yeinfo.com/family/I09066802.html_x000D_
https://www.google.com/search?q=NICHOLAS+HARRINGTON+1344+1397+ISABEL_x000D_
.born:?1344    -          Lancashire county England_x000D_
.died: 1397    -1449     ?England, age:53y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..Spo:ISABEL ENGLISH</t>
        </r>
      </text>
    </comment>
    <comment ref="V2500" authorId="0" shapeId="0" xr:uid="{A0AE918D-ADF3-4BD2-8743-003AAE4B1949}">
      <text>
        <r>
          <rPr>
            <sz val="9"/>
            <color indexed="81"/>
            <rFont val="Tahoma"/>
            <family val="2"/>
          </rPr>
          <t>MARGARET HARRINGTON_x000D_
http://yeinfo.com/family/I09066803.html_x000D_
https://www.google.com/search?q=MARGARET+HARRINGTON+1384+1407+STANLEY_x000D_
.born:?1384    -          Lancashire county England_x000D_
.died: 1407    -1472     ?, age:23y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issue:Spouse Age more than 30-Year Difference_x000D_
.recs:Birth,Marriage,Death_x000D_
.imm?:no_x000D_
..Spo:JOHN STANLEY</t>
        </r>
      </text>
    </comment>
    <comment ref="W2502" authorId="0" shapeId="0" xr:uid="{44D84313-5CF6-4249-9AB1-45224B48D5ED}">
      <text>
        <r>
          <rPr>
            <sz val="9"/>
            <color indexed="81"/>
            <rFont val="Tahoma"/>
            <family val="2"/>
          </rPr>
          <t>ISABEL ENGLISH_x000D_
http://yeinfo.com/family/I09066793.html_x000D_
https://www.google.com/search?q=ISABEL+ENGLISH+1351+1384+HARRINGTON_x000D_
.born:?1351    -          Lancashire county England_x000D_
.died: 1384    -1397     ?England, age:33y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..Spo:NICHOLAS HARRINGTON</t>
        </r>
      </text>
    </comment>
    <comment ref="T2504" authorId="0" shapeId="0" xr:uid="{1A0F50D4-D31A-41CC-8651-D416A386564F}">
      <text>
        <r>
          <rPr>
            <sz val="9"/>
            <color indexed="81"/>
            <rFont val="Tahoma"/>
            <family val="2"/>
          </rPr>
          <t>KATHERINE STANLEY_x000D_
http://yeinfo.com/family/I09066837.html_x000D_
https://www.google.com/search?q=KATHERINE+STANLEY+1430+1498+SAVAGE_x000D_
.born: 1430    -          Stanley (Derbyshire) England_x000D_
.died: 1498    -          Clifton (Cheshire) England, age:68y 0m 0d, _x000D_
.bapt: 1785GE_x000D_
.will: 2004MO_x000D_
.obit: 1890OH_x000D_
.bury: 1850IL _x000D_
.wpbt: 1826PA_x000D_
.anc#:double ancestor_x000D_
citiz:foreign_x000D_
#spos:1_x000D_
#srcs:1_x000D_
#comment:0_x000D_
#events:1_x000D_
#kids:1_x000D_
lived:ENCHESHCLIFTON,ENDERBSSTANLEY_x000D_
issue:_x000D_
.recs:Birth,Marriage,Death_x000D_
.imm?:no_x000D_
..Spo:JOHN SAVAGE</t>
        </r>
      </text>
    </comment>
    <comment ref="U2506" authorId="0" shapeId="0" xr:uid="{ADD034E3-8A40-4898-94C3-BDA1F2268728}">
      <text>
        <r>
          <rPr>
            <sz val="9"/>
            <color indexed="81"/>
            <rFont val="Tahoma"/>
            <family val="2"/>
          </rPr>
          <t>JOAN GOUSHILL_x000D_
http://yeinfo.com/family/I09066800.html_x000D_
https://www.google.com/search?q=JOAN+GOUSHILL+1401+1459+STANLEY_x000D_
.born: 140102  -          Southwell (Nottinghamshire) England_x000D_
.died: 14590211-          Lancashire county England, age:58y 0m 10d, _x000D_
.bapt: 1785GE_x000D_
.will: 2004MO_x000D_
.obit: 1890OH_x000D_
.bury: 1850IL _x000D_
.wpbt: 1826PA_x000D_
.anc#:double ancestor_x000D_
citiz:foreign_x000D_
#spos:1_x000D_
#srcs:1_x000D_
#comment:1_x000D_
#events:1_x000D_
#kids:1_x000D_
lived:?ENLANCS,ENNOTTISOUTWEL_x000D_
issue:_x000D_
.recs:Birth,Marriage,Death_x000D_
.imm?:no_x000D_
..Spo:THOMAS STANLEY</t>
        </r>
      </text>
    </comment>
    <comment ref="Q2508" authorId="0" shapeId="0" xr:uid="{34FC16B5-A740-47BC-B4D7-1D9861BA8FEA}">
      <text>
        <r>
          <rPr>
            <sz val="9"/>
            <color indexed="81"/>
            <rFont val="Tahoma"/>
            <family val="2"/>
          </rPr>
          <t>ALICE TRAFFORD_x000D_
http://yeinfo.com/family/I09020715.html_x000D_
https://www.google.com/search?q=ALICE+TRAFFORD+1537+1578+BRERETON_x000D_
.born: 1537    -          Lancashire county England_x000D_
.died: 15780616-          Lancashire county England, age:41y 5m 15d, _x000D_
.bapt: 1785GE_x000D_
.will: 2004MO_x000D_
.obit: 1890OH_x000D_
.bury: 1850IL _x000D_
.wpbt: 1826PA_x000D_
.anc#:double ancestor_x000D_
citiz:foreign_x000D_
#spos:1_x000D_
#srcs:1_x000D_
#comment:0_x000D_
#events:1_x000D_
#kids:1_x000D_
lived:ENLANCS_x000D_
issue:Born after Parent Died,Born after Dad Age 60_x000D_
.recs:Birth,Marriage,Death_x000D_
.imm?:no_x000D_
..Spo:URIAN BRERETON</t>
        </r>
      </text>
    </comment>
    <comment ref="V2510" authorId="0" shapeId="0" xr:uid="{4482805E-9AAA-4320-8E84-0BB2E192CEB2}">
      <text>
        <r>
          <rPr>
            <sz val="9"/>
            <color indexed="81"/>
            <rFont val="Tahoma"/>
            <family val="2"/>
          </rPr>
          <t>NICHOLAS LONGFORD_x000D_
http://yeinfo.com/family/I09066813.html_x000D_
https://www.google.com/search?q=NICHOLAS+LONGFORD+1372+1415+JOAN_x000D_
.born:?1372    -          Derbyshire county England_x000D_
.died: 14150917-          Normandy county France, age:43y 8m 16d, _x000D_
.bapt: 1785GE_x000D_
.will: 2004MO_x000D_
.obit: 1890OH_x000D_
.bury: 1850IL _x000D_
.wpbt: 1826PA_x000D_
.anc#:double ancestor_x000D_
citiz:foreign_x000D_
#spos:1_x000D_
#srcs:1_x000D_
#comment:0_x000D_
#events:1_x000D_
#kids:1_x000D_
lived:ENDERBS,FRNORMY_x000D_
issue:_x000D_
.recs:Birth,Marriage,Death_x000D_
.imm?:no_x000D_
..Spo:JOAN WARREN</t>
        </r>
      </text>
    </comment>
    <comment ref="U2512" authorId="0" shapeId="0" xr:uid="{501355E7-B4F9-4D46-B95D-AA2C470BD182}">
      <text>
        <r>
          <rPr>
            <sz val="9"/>
            <color indexed="81"/>
            <rFont val="Tahoma"/>
            <family val="2"/>
          </rPr>
          <t>RALPH NICHOLAS LONGFORD_x000D_
http://yeinfo.com/family/I09066814.html_x000D_
https://www.google.com/search?q=RALPH+NICHOLAS+LONGFORD+1380+1473+MARGARET_x000D_
.born: 1380    -          Derbyshire county England_x000D_
.died: 1473    -          Derbyshire county England, age:93y 0m 0d, _x000D_
.bapt: 1785GE_x000D_
.will: 2004MO_x000D_
.obit: 1890OH_x000D_
.bury: 1850IL _x000D_
.wpbt: 1826PA_x000D_
.anc#:double ancestor_x000D_
citiz:foreign_x000D_
#spos:1_x000D_
#srcs:1_x000D_
#comment:0_x000D_
#events:1_x000D_
#kids:1_x000D_
lived:ENDERBS_x000D_
issue:Born before Parents Married_x000D_
.recs:Birth,Marriage,Death_x000D_
.imm?:no_x000D_
..Spo:MARGARET MELTON</t>
        </r>
      </text>
    </comment>
    <comment ref="V2514" authorId="0" shapeId="0" xr:uid="{005F4D1B-FD1D-4350-B33A-7757DCE66391}">
      <text>
        <r>
          <rPr>
            <sz val="9"/>
            <color indexed="81"/>
            <rFont val="Tahoma"/>
            <family val="2"/>
          </rPr>
          <t>JOAN WARREN_x000D_
http://yeinfo.com/family/I09066842.html_x000D_
https://www.google.com/search?q=JOAN+WARREN+1372+1410+LONGFORD_x000D_
.born:?1372    -          Nottinghamshire county England_x000D_
.died: 1410    -1475     ?, age:38y 0m 0d, _x000D_
.bapt: 1785GE_x000D_
.will: 2004MO_x000D_
.obit: 1890OH_x000D_
.bury: 1850IL _x000D_
.wpbt: 1826PA_x000D_
.anc#:double ancestor_x000D_
citiz:foreign_x000D_
#spos:1_x000D_
#srcs:1_x000D_
#comment:1_x000D_
#events:1_x000D_
#kids:1_x000D_
lived:ENNOTTI_x000D_
issue:_x000D_
.recs:Birth,Marriage,Death_x000D_
.imm?:no_x000D_
..Spo:NICHOLAS LONGFORD</t>
        </r>
      </text>
    </comment>
    <comment ref="T2516" authorId="0" shapeId="0" xr:uid="{33B5D724-DBE4-4421-8ABE-8218373E2F03}">
      <text>
        <r>
          <rPr>
            <sz val="9"/>
            <color indexed="81"/>
            <rFont val="Tahoma"/>
            <family val="2"/>
          </rPr>
          <t>RALPH LONGFORD_x000D_
http://yeinfo.com/family/I09066815.html_x000D_
https://www.google.com/search?q=RALPH+LONGFORD+1440+1513+MABEL_x000D_
.born: 1440    -          Derbyshire county England_x000D_
.died: 1513    -          Derbyshire county England, age:73y 0m 0d, _x000D_
.bapt: 1785GE_x000D_
.will: 2004MO_x000D_
.obit: 1890OH_x000D_
.bury: 1850IL _x000D_
.wpbt: 1826PA_x000D_
.anc#:double ancestor_x000D_
citiz:foreign_x000D_
#spos:1_x000D_
#srcs:1_x000D_
#comment:0_x000D_
#events:1_x000D_
#kids:1_x000D_
lived:ENDERBS_x000D_
issue:_x000D_
.recs:Birth,Marriage,Death_x000D_
.imm?:no_x000D_
..Spo:MABEL FERRERS</t>
        </r>
      </text>
    </comment>
    <comment ref="V2518" authorId="0" shapeId="0" xr:uid="{04E7965B-E3AF-42D1-9C2C-CE4812DB1517}">
      <text>
        <r>
          <rPr>
            <sz val="9"/>
            <color indexed="81"/>
            <rFont val="Tahoma"/>
            <family val="2"/>
          </rPr>
          <t>JOHN MELTON_x000D_
http://yeinfo.com/family/I09066818.html_x000D_
https://www.google.com/search?q=JOHN+MELTON+1363+1455+MARGARET_x000D_
.born: 1363    -          Cheshire county England_x000D_
.died: 14550524-          Yorkshire county England, age:92y 4m 23d, _x000D_
.bapt: 1785GE_x000D_
.will: 2004MO_x000D_
.obit: 1890OH_x000D_
.bury: 1850IL _x000D_
.wpbt: 1826PA_x000D_
.anc#:double ancestor_x000D_
citiz:foreign_x000D_
#spos:1_x000D_
#srcs:1_x000D_
#comment:2_x000D_
#events:1_x000D_
#kids:1_x000D_
lived:ENCHESH,ENOXFOSBROUGHT,ENYORKS_x000D_
issue:_x000D_
.recs:Birth,Marriage,Death_x000D_
.imm?:no_x000D_
..Spo:MARGARET CLIFFORD</t>
        </r>
      </text>
    </comment>
    <comment ref="U2520" authorId="0" shapeId="0" xr:uid="{81534CA0-BDFD-4317-976D-436E8FFE28E0}">
      <text>
        <r>
          <rPr>
            <sz val="9"/>
            <color indexed="81"/>
            <rFont val="Tahoma"/>
            <family val="2"/>
          </rPr>
          <t>MARGARET MELTON_x000D_
http://yeinfo.com/family/I09066819.html_x000D_
https://www.google.com/search?q=MARGARET+MELTON+1400+1440+LONGFORD_x000D_
.born: 1400    -          Derbyshire county England_x000D_
.died: 1440    -1505     ?England, age:40y 0m 0d, _x000D_
.bapt: 1785GE_x000D_
.will: 2004MO_x000D_
.obit: 1890OH_x000D_
.bury: 1850IL _x000D_
.wpbt: 1826PA_x000D_
.anc#:double ancestor_x000D_
citiz:foreign_x000D_
#spos:1_x000D_
#srcs:1_x000D_
#comment:0_x000D_
#events:1_x000D_
#kids:1_x000D_
lived:ENDERBS_x000D_
issue:_x000D_
.recs:Birth,Marriage,Death_x000D_
.imm?:no_x000D_
..Spo:RALPH NICHOLAS LONGFORD</t>
        </r>
      </text>
    </comment>
    <comment ref="W2522" authorId="0" shapeId="0" xr:uid="{AB87AE30-DA41-41CA-9F31-D68FD989851B}">
      <text>
        <r>
          <rPr>
            <sz val="9"/>
            <color indexed="81"/>
            <rFont val="Tahoma"/>
            <family val="2"/>
          </rPr>
          <t>ROGER CLIFFORD_x000D_
http://yeinfo.com/family/I09066786.html_x000D_
https://www.google.com/search?q=ROGER+CLIFFORD+1333+1390+MAUD_x000D_
.born: 13330710-          Herefordshire county England_x000D_
.died: 13900713-          Westmoreland county England, age:57y 0m 3d, _x000D_
.bapt: 1785GE_x000D_
.will: 2004MO_x000D_
.obit: 1890OH_x000D_
.bury: 1850IL _x000D_
.wpbt: 1826PA_x000D_
.anc#:  quadruple ancestor_x000D_
citiz:foreign_x000D_
#spos:1_x000D_
#srcs:1_x000D_
#comment:0_x000D_
#events:1_x000D_
#kids:2_x000D_
lived:ENHEREF,ENWESTE,ENYORKSRAVENSW_x000D_
issue:_x000D_
.recs:Birth,Marriage,Death_x000D_
.imm?:no_x000D_
..Spo:MAUD BEAUCHAMP</t>
        </r>
      </text>
    </comment>
    <comment ref="V2524" authorId="0" shapeId="0" xr:uid="{F72CC21C-8902-4233-B587-14E18CA25656}">
      <text>
        <r>
          <rPr>
            <sz val="9"/>
            <color indexed="81"/>
            <rFont val="Tahoma"/>
            <family val="2"/>
          </rPr>
          <t>MARGARET CLIFFORD_x000D_
http://yeinfo.com/family/I09066787.html_x000D_
https://www.google.com/search?q=MARGARET+CLIFFORD+1367+1455+MELTON_x000D_
.born: 1367    -          Westmoreland county England_x000D_
.died: 1455    -          Cheshire county England, age:88y 0m 0d, _x000D_
.bapt: 1785GE_x000D_
.will: 2004MO_x000D_
.obit: 1890OH_x000D_
.bury: 1850IL _x000D_
.wpbt: 1826PA_x000D_
.anc#:double ancestor_x000D_
citiz:foreign_x000D_
#spos:1_x000D_
#srcs:1_x000D_
#comment:1_x000D_
#events:1_x000D_
#kids:1_x000D_
lived:ENCHESH,ENOXFOSBROUGHT,ENWESTE_x000D_
issue:_x000D_
.recs:Birth,Marriage,Death_x000D_
.imm?:no_x000D_
..Spo:JOHN MELTON</t>
        </r>
      </text>
    </comment>
    <comment ref="AA2526" authorId="0" shapeId="0" xr:uid="{0043B255-FF38-4F9C-84C3-F9E83B2278A8}">
      <text>
        <r>
          <rPr>
            <sz val="9"/>
            <color indexed="81"/>
            <rFont val="Tahoma"/>
            <family val="2"/>
          </rPr>
          <t>WILLIAM BEAUCHAMP_x000D_
http://yeinfo.com/family/I09066667.html_x000D_
https://www.google.com/search?q=WILLIAM+BEAUCHAMP+1215+1268+ISABEL_x000D_
.born:c1215    -          Elmley Castle (Worcestershire) England_x000D_
.died: 12680605-          Elmley Castle (Worcestershire) England, age:53y 5m 4d, _x000D_
.bapt: 1785GE_x000D_
.will: 2004MO_x000D_
.obit: 1890OH_x000D_
.bury: 1850IL _x000D_
.wpbt: 1826PA_x000D_
.anc#: quintuple ancestor_x000D_
citiz:foreign_x000D_
#spos:1_x000D_
#srcs:2_x000D_
#comment:1_x000D_
#events:1_x000D_
#kids:1_x000D_
lived:ENWORCSELMLEY_x000D_
issue:_x000D_
.recs:Birth,Marriage,Death_x000D_
.imm?:no_x000D_
..Spo:ISABEL MAUDUIT</t>
        </r>
      </text>
    </comment>
    <comment ref="Z2528" authorId="0" shapeId="0" xr:uid="{62D48B67-DE83-430A-854F-477A6A8B4678}">
      <text>
        <r>
          <rPr>
            <sz val="9"/>
            <color indexed="81"/>
            <rFont val="Tahoma"/>
            <family val="2"/>
          </rPr>
          <t>WILLIAM BEAUCHAMP_x000D_
http://yeinfo.com/family/I09066645.html_x000D_
https://www.google.com/search?q=WILLIAM+BEAUCHAMP+1237+1262+MAUD_x000D_
.born: 1237    -          Elmley Castle (Worcestershire) England_x000D_
.died: 1262    -1327      , age:25y 0m 0d, _x000D_
.bapt: 1785GE_x000D_
.will: 2004MO_x000D_
.obit: 1890OH_x000D_
.bury: 1850IL _x000D_
.wpbt: 1826PA_x000D_
.anc#: quintuple ancestor_x000D_
citiz:foreign_x000D_
#spos:1_x000D_
#srcs:2_x000D_
#comment:0_x000D_
#events:1_x000D_
#kids:1_x000D_
lived:ENWORCSELMLEY_x000D_
issue:_x000D_
.recs:Birth,Marriage,Death_x000D_
.imm?:no_x000D_
..Spo:MAUD FITZJOHN</t>
        </r>
      </text>
    </comment>
    <comment ref="AA2530" authorId="0" shapeId="0" xr:uid="{2AB9B9D6-6BAF-4BC9-98AF-5061657B9C26}">
      <text>
        <r>
          <rPr>
            <sz val="9"/>
            <color indexed="81"/>
            <rFont val="Tahoma"/>
            <family val="2"/>
          </rPr>
          <t>ISABEL MAUDUIT_x000D_
http://yeinfo.com/family/I09066668.html_x000D_
https://www.google.com/search?q=ISABEL+MAUDUIT+1216+1268+BEAUCHAMP_x000D_
.born: 12161227-          Hanslope (Buckinghamshire) England_x000D_
.died: 12680107-          Cookhill (Worcestershire) England, age:51y 0m 11d, _x000D_
.bapt: 1785GE_x000D_
.will: 2004MO_x000D_
.obit: 1890OH_x000D_
.bury: 1850IL _x000D_
.wpbt: 1826PA_x000D_
.anc#: quintuple ancestor_x000D_
citiz:foreign_x000D_
#spos:1_x000D_
#srcs:1_x000D_
#comment:1_x000D_
#events:1_x000D_
#kids:1_x000D_
lived:ENBUCKEHANSLOP,ENWORCSCOOKHIL_x000D_
issue:_x000D_
.recs:Birth,Marriage,Death_x000D_
.imm?:no_x000D_
..Spo:WILLIAM BEAUCHAMP</t>
        </r>
      </text>
    </comment>
    <comment ref="Y2532" authorId="0" shapeId="0" xr:uid="{05982F3A-D39A-49CB-BF0E-D71E07626B4E}">
      <text>
        <r>
          <rPr>
            <sz val="9"/>
            <color indexed="81"/>
            <rFont val="Tahoma"/>
            <family val="2"/>
          </rPr>
          <t>GUY BEAUCHAMP_x000D_
http://yeinfo.com/family/I09066586.html_x000D_
https://www.google.com/search?q=GUY+BEAUCHAMP+1262+1315+ALICE_x000D_
.born: 1262    -          Elmley Castle (Worcestershire) England_x000D_
.died: 13150810-          Warwick (Warwickshire) England, age:53y 7m 9d, _x000D_
.bapt: 1785GE_x000D_
.will: 2004MO_x000D_
.obit: 1890OH_x000D_
.bury: 1850IL _x000D_
.wpbt: 1826PA_x000D_
.anc#: quintuple ancestor_x000D_
citiz:foreign_x000D_
#spos:1_x000D_
#srcs:2_x000D_
#comment:1_x000D_
#events:1_x000D_
#kids:1_x000D_
lived:ENWARWEWARWICK,ENWORCSELMLEY_x000D_
issue:_x000D_
.recs:Birth,Marriage,Death_x000D_
.imm?:no_x000D_
..Spo:ALICE TOENI</t>
        </r>
      </text>
    </comment>
    <comment ref="Z2534" authorId="0" shapeId="0" xr:uid="{3205FE61-7D89-4E4D-ACB9-1E65D30A38F9}">
      <text>
        <r>
          <rPr>
            <sz val="9"/>
            <color indexed="81"/>
            <rFont val="Tahoma"/>
            <family val="2"/>
          </rPr>
          <t>MAUD FITZJOHN_x000D_
http://yeinfo.com/family/I09066646.html_x000D_
https://www.google.com/search?q=MAUD+FITZJOHN+1237+1301+BEAUCHAMP_x000D_
.born: 1237    -          Shere (Surrey) England_x000D_
.died:?13010416-          Worcester (Worcestershire) England, age:64y 3m 15d, _x000D_
.bapt: 1785GE_x000D_
.will: 2004MO_x000D_
.obit: 1890OH_x000D_
.bury: 1850IL _x000D_
.wpbt: 1826PA_x000D_
.anc#: quintuple ancestor_x000D_
citiz:foreign_x000D_
#spos:1_x000D_
#srcs:1_x000D_
#comment:0_x000D_
#events:1_x000D_
#kids:1_x000D_
lived:ENSURRESHERE,ENWORCSWORCEST_x000D_
issue:_x000D_
.recs:Birth,Marriage,Death_x000D_
.imm?:no_x000D_
..Spo:WILLIAM BEAUCHAMP</t>
        </r>
      </text>
    </comment>
    <comment ref="X2536" authorId="0" shapeId="0" xr:uid="{42F6C4FB-780F-4776-853A-A60581DA5C31}">
      <text>
        <r>
          <rPr>
            <sz val="9"/>
            <color indexed="81"/>
            <rFont val="Tahoma"/>
            <family val="2"/>
          </rPr>
          <t>THOMAS BEAUCHAMP_x000D_
http://yeinfo.com/family/I09066534.html_x000D_
https://www.google.com/search?q=THOMAS+BEAUCHAMP+1313+1369+KATHERINE_x000D_
.born: 13130214-          Warwickshire county England_x000D_
.died: 13691113-          , age:56y 8m 30d, _x000D_
.bapt: 1785GE_x000D_
.will: 2004MO_x000D_
.obit: 1890OH_x000D_
.bury: 1850IL _x000D_
.wpbt: 1826PA_x000D_
.anc#: quintuple ancestor_x000D_
citiz:foreign_x000D_
#spos:1_x000D_
#srcs:2_x000D_
#comment:1_x000D_
#events:1_x000D_
#kids:3_x000D_
lived:ENWARWE_x000D_
issue:_x000D_
.recs:Birth,Marriage,Death_x000D_
.imm?:no_x000D_
..Spo:KATHERINE MORTIMER</t>
        </r>
      </text>
    </comment>
    <comment ref="AA2538" authorId="0" shapeId="0" xr:uid="{605F9959-B0C8-4A0B-9E17-AE222DECB930}">
      <text>
        <r>
          <rPr>
            <sz val="9"/>
            <color indexed="81"/>
            <rFont val="Tahoma"/>
            <family val="2"/>
          </rPr>
          <t>ROGER TOENI_x000D_
http://yeinfo.com/family/I09066669.html_x000D_
https://www.google.com/search?q=ROGER+TOENI+1235+1255+ALICE\CECILIA_x000D_
.born: 12350929-          Flamstead (Hertfordshire) England_x000D_
.died: 1255    -1325      Flamstead (Hertfordshire) England, age:19y 3m 3d, _x000D_
.bapt: 1785GE_x000D_
.will: 2004MO_x000D_
.obit: 1890OH_x000D_
.bury: 1850IL _x000D_
.wpbt: 1826PA_x000D_
.anc#: quintuple ancestor_x000D_
citiz:foreign_x000D_
#spos:1_x000D_
#srcs:1_x000D_
#comment:1_x000D_
#events:1_x000D_
#kids:1_x000D_
lived:ENHERTFFLAMSTE_x000D_
issue:_x000D_
.recs:Birth,Marriage,Death_x000D_
.imm?:no_x000D_
..Spo:ALICE\CECILIA BOHUN</t>
        </r>
      </text>
    </comment>
    <comment ref="Z2540" authorId="0" shapeId="0" xr:uid="{DD0A9E7C-4CF3-4E13-A338-F035350575F9}">
      <text>
        <r>
          <rPr>
            <sz val="9"/>
            <color indexed="81"/>
            <rFont val="Tahoma"/>
            <family val="2"/>
          </rPr>
          <t>RALPH\RAOUI TOENI_x000D_
http://yeinfo.com/family/I09066647.html_x000D_
https://www.google.com/search?q=RALPH\RAOUI+TOENI+1253+1295+MARY+CLARISSA_x000D_
.born: 12531225-          Flamstead (Hertfordshire) England_x000D_
.died: 12950527-          Gascony (Guyenne) France, age:41y 5m 2d, _x000D_
.bapt: 1785GE_x000D_
.will: 2004MO_x000D_
.obit: 1890OH_x000D_
.bury: 1850IL _x000D_
.wpbt: 1826PA_x000D_
.anc#: quintuple ancestor_x000D_
citiz:foreign_x000D_
#spos:1_x000D_
#srcs:1_x000D_
#comment:0_x000D_
#events:1_x000D_
#kids:1_x000D_
lived:ENHERTFFLAMSTE,FRGUYENGASCONY_x000D_
issue:_x000D_
.recs:Birth,Marriage,Death_x000D_
.imm?:no_x000D_
..Spo:MARY CLARISSA BRUCE</t>
        </r>
      </text>
    </comment>
    <comment ref="AD2542" authorId="0" shapeId="0" xr:uid="{5DA67BE3-532F-4632-BBD3-1C12A13AA471}">
      <text>
        <r>
          <rPr>
            <sz val="9"/>
            <color indexed="81"/>
            <rFont val="Tahoma"/>
            <family val="2"/>
          </rPr>
          <t>FRANCIS BOHUN_x000D_
http://yeinfo.com/family/I09066676.html_x000D_
https://www.google.com/search?q=FRANCIS+BOHUN+1165+1185+MARGERY_x000D_
.born:?1165    -         ?England_x000D_
.died: 1185    -1255     ?England, age:20y 0m 0d, _x000D_
.bapt: 1785GE_x000D_
.will: 2004MO_x000D_
.obit: 1890OH_x000D_
.bury: 1850IL _x000D_
.wpbt: 1826PA_x000D_
.anc#: quintuple ancestor_x000D_
citiz:foreign_x000D_
#spos:1_x000D_
#srcs:1_x000D_
#comment:1_x000D_
#events:1_x000D_
#kids:1_x000D_
lived:?EN_x000D_
issue:Married before Age 16,Died before Birth_x000D_
.recs:Birth,Marriage,Death_x000D_
.imm?:no_x000D_
..Spo:MARGERY LACY</t>
        </r>
      </text>
    </comment>
    <comment ref="AC2544" authorId="0" shapeId="0" xr:uid="{D24D5A2C-D20A-4886-844E-B4E3C79E9D11}">
      <text>
        <r>
          <rPr>
            <sz val="9"/>
            <color indexed="81"/>
            <rFont val="Tahoma"/>
            <family val="2"/>
          </rPr>
          <t>JAMES BOHUN_x000D_
http://yeinfo.com/family/I09066674.html_x000D_
https://www.google.com/search?q=JAMES+BOHUN+1185+1208+{_?_}_x000D_
.born:?1185    -         ?England_x000D_
.died: 1208    -1275     ?England, age:23y 0m 0d, _x000D_
.bapt: 1785GE_x000D_
.will: 2004MO_x000D_
.obit: 1890OH_x000D_
.bury: 1850IL _x000D_
.wpbt: 1826PA_x000D_
.anc#: quintuple ancestor_x000D_
citiz:foreign_x000D_
#spos:1_x000D_
#srcs:1_x000D_
#comment:0_x000D_
#events:1_x000D_
#kids:1_x000D_
lived:?EN_x000D_
issue:Born before Parents Married,Married before Age 16,Died before Birth_x000D_
.recs:Birth,Marriage,Death_x000D_
.imm?:no_x000D_
..Spo:{_?_} BOHUN</t>
        </r>
      </text>
    </comment>
    <comment ref="AD2546" authorId="0" shapeId="0" xr:uid="{F26B97E6-7EA2-4A59-BFC2-2735BD42DCCA}">
      <text>
        <r>
          <rPr>
            <sz val="9"/>
            <color indexed="81"/>
            <rFont val="Tahoma"/>
            <family val="2"/>
          </rPr>
          <t>MARGERY LACY_x000D_
http://yeinfo.com/family/I09066677.html_x000D_
https://www.google.com/search?q=MARGERY+LACY+1165+1185+BOHUN_x000D_
.born:?1165    -          _x000D_
.died: 1185    -1255     ?England, age:20y 0m 0d, _x000D_
.bapt: 1785GE_x000D_
.will: 2004MO_x000D_
.obit: 1890OH_x000D_
.bury: 1850IL _x000D_
.wpbt: 1826PA_x000D_
.anc#: quintuple ancestor_x000D_
citiz:foreign_x000D_
#spos:1_x000D_
#srcs:1_x000D_
#comment:0_x000D_
#events:1_x000D_
#kids:1_x000D_
lived:?EN_x000D_
issue:Married before Age 16,Died before Birth_x000D_
.recs:Birth,Marriage,Death_x000D_
.imm?:no_x000D_
..Spo:FRANCIS BOHUN</t>
        </r>
      </text>
    </comment>
    <comment ref="AB2548" authorId="0" shapeId="0" xr:uid="{ABE546AC-0903-4631-AAED-C4F962FCD528}">
      <text>
        <r>
          <rPr>
            <sz val="9"/>
            <color indexed="81"/>
            <rFont val="Tahoma"/>
            <family val="2"/>
          </rPr>
          <t>HUMPHREY BOHUN_x000D_
http://yeinfo.com/family/I09066672.html_x000D_
https://www.google.com/search?q=HUMPHREY+BOHUN+1208+1275+MAUD_x000D_
.born:?12080506-          Essex county England_x000D_
.died: 1275    -         ?England, age:66y 7m 26d, _x000D_
.bapt: 1785GE_x000D_
.will: 2004MO_x000D_
.obit: 1890OH_x000D_
.bury: 1850IL _x000D_
.wpbt: 1826PA_x000D_
.anc#: quintuple ancestor_x000D_
citiz:foreign_x000D_
#spos:1_x000D_
#srcs:1_x000D_
#comment:1_x000D_
#events:2_x000D_
#kids:1_x000D_
lived:ENESSEX_x000D_
issue:Born before Parents Married_x000D_
.recs:Birth,Marriage,Death_x000D_
.imm?:no_x000D_
..Spo:MAUD LUSIGNAN</t>
        </r>
      </text>
    </comment>
    <comment ref="AC2550" authorId="0" shapeId="0" xr:uid="{BA05A32D-9A03-4C2F-A022-0D67331C286F}">
      <text>
        <r>
          <rPr>
            <sz val="9"/>
            <color indexed="81"/>
            <rFont val="Tahoma"/>
            <family val="2"/>
          </rPr>
          <t>Mrs. {_?_} BOHUN_x000D_
http://yeinfo.com/family/I09066675.html_x000D_
https://www.google.com/search?q={_?_}+BOHUN+1185+1208+BOHUN_x000D_
.born:?1185    -          _x000D_
.died: 1208    -1275     ?England, age:23y 0m 0d, _x000D_
.bapt: 1785GE_x000D_
.will: 2004MO_x000D_
.obit: 1890OH_x000D_
.bury: 1850IL _x000D_
.wpbt: 1826PA_x000D_
.anc#: quintuple ancestor_x000D_
citiz:foreign_x000D_
#spos:1_x000D_
#srcs:1_x000D_
#comment:0_x000D_
#events:1_x000D_
#kids:1_x000D_
lived:?EN_x000D_
issue:_x000D_
.recs:Birth,Marriage,Death_x000D_
.imm?:no_x000D_
..Spo:JAMES BOHUN</t>
        </r>
      </text>
    </comment>
    <comment ref="AA2552" authorId="0" shapeId="0" xr:uid="{00E319F4-7665-4A09-8DEE-4E1C1618DE71}">
      <text>
        <r>
          <rPr>
            <sz val="9"/>
            <color indexed="81"/>
            <rFont val="Tahoma"/>
            <family val="2"/>
          </rPr>
          <t>ALICE\CECILIA BOHUN_x000D_
http://yeinfo.com/family/I09066670.html_x000D_
https://www.google.com/search?q=ALICE\CECILIA+BOHUN+1242+1262+TOENI_x000D_
.born: 124209  -          Flamstead (Hertfordshire) England_x000D_
.died: 1262    -1332      , age:19y 4m 0d, _x000D_
.bapt: 1785GE_x000D_
.will: 2004MO_x000D_
.obit: 1890OH_x000D_
.bury: 1850IL _x000D_
.wpbt: 1826PA_x000D_
.anc#: quintuple ancestor_x000D_
citiz:foreign_x000D_
#spos:1_x000D_
#srcs:1_x000D_
#comment:0_x000D_
#events:1_x000D_
#kids:1_x000D_
lived:ENHERTFFLAMSTE_x000D_
issue:Died after Age 100_x000D_
.recs:Birth,Marriage,Death_x000D_
.imm?:no_x000D_
..Spo:ROGER TOENI</t>
        </r>
      </text>
    </comment>
    <comment ref="AB2554" authorId="0" shapeId="0" xr:uid="{DEA81C63-C6E8-4EC0-AC3C-35F3DC3B8DA9}">
      <text>
        <r>
          <rPr>
            <sz val="9"/>
            <color indexed="81"/>
            <rFont val="Tahoma"/>
            <family val="2"/>
          </rPr>
          <t>MAUD LUSIGNAN_x000D_
http://yeinfo.com/family/I09066673.html_x000D_
https://www.google.com/search?q=MAUD+LUSIGNAN+1220+1242+BOHUN_x000D_
.born:?1220    -          _x000D_
.died: 1242    -1310     ?England, age:22y 0m 0d, _x000D_
.bapt: 1785GE_x000D_
.will: 2004MO_x000D_
.obit: 1890OH_x000D_
.bury: 1850IL _x000D_
.wpbt: 1826PA_x000D_
.anc#: quintuple ancestor_x000D_
citiz:foreign_x000D_
#spos:1_x000D_
#srcs:1_x000D_
#comment:0_x000D_
#events:1_x000D_
#kids:1_x000D_
lived:?EN_x000D_
issue:_x000D_
.recs:Birth,Marriage,Death_x000D_
.imm?:no_x000D_
..Spo:HUMPHREY BOHUN</t>
        </r>
      </text>
    </comment>
    <comment ref="Y2556" authorId="0" shapeId="0" xr:uid="{0403C904-793B-4A3D-B7C8-FAB62042D464}">
      <text>
        <r>
          <rPr>
            <sz val="9"/>
            <color indexed="81"/>
            <rFont val="Tahoma"/>
            <family val="2"/>
          </rPr>
          <t>ALICE TOENI_x000D_
http://yeinfo.com/family/I09066587.html_x000D_
https://www.google.com/search?q=ALICE+TOENI+1284+1313+BEAUCHAMP_x000D_
.born: 12840426-          Flamstead (Hertfordshire) England_x000D_
.died: 1313    -1374      Flamstead (Hertfordshire) England, age:28y 8m 6d, _x000D_
.bapt: 1785GE_x000D_
.will: 2004MO_x000D_
.obit: 1890OH_x000D_
.bury: 1850IL _x000D_
.wpbt: 1826PA_x000D_
.anc#: quintuple ancestor_x000D_
citiz:foreign_x000D_
#spos:1_x000D_
#srcs:1_x000D_
#comment:1_x000D_
#events:1_x000D_
#kids:1_x000D_
lived:ENHERTFFLAMSTE_x000D_
issue:_x000D_
.recs:Birth,Marriage,Death_x000D_
.imm?:no_x000D_
..Spo:GUY BEAUCHAMP</t>
        </r>
      </text>
    </comment>
    <comment ref="Z2558" authorId="0" shapeId="0" xr:uid="{E6B40920-859C-4EF8-9BBC-EE1360C4FF19}">
      <text>
        <r>
          <rPr>
            <sz val="9"/>
            <color indexed="81"/>
            <rFont val="Tahoma"/>
            <family val="2"/>
          </rPr>
          <t>MARY CLARISSA BRUCE_x000D_
http://yeinfo.com/family/I09066648.html_x000D_
https://www.google.com/search?q=MARY+CLARISSA+BRUCE+1255+1284+TOENI_x000D_
.born: 1255    -          Flamstead (Hertfordshire) England_x000D_
.died: 1284    -          England, age:29y 0m 0d, _x000D_
.bapt: 1785GE_x000D_
.will: 2004MO_x000D_
.obit: 1890OH_x000D_
.bury: 1850IL _x000D_
.wpbt: 1826PA_x000D_
.anc#: quintuple ancestor_x000D_
citiz:foreign_x000D_
#spos:1_x000D_
#srcs:1_x000D_
#comment:0_x000D_
#events:1_x000D_
#kids:1_x000D_
lived:ENHERTFFLAMSTE_x000D_
issue:_x000D_
.recs:Birth,Marriage,Death_x000D_
.imm?:no_x000D_
..Spo:RALPH\RAOUI TOENI</t>
        </r>
      </text>
    </comment>
    <comment ref="W2560" authorId="0" shapeId="0" xr:uid="{4CB5455E-68F3-4069-A67D-DE4BE8C0D61F}">
      <text>
        <r>
          <rPr>
            <sz val="9"/>
            <color indexed="81"/>
            <rFont val="Tahoma"/>
            <family val="2"/>
          </rPr>
          <t>MAUD BEAUCHAMP_x000D_
http://yeinfo.com/family/I09066780.html_x000D_
https://www.google.com/search?q=MAUD+BEAUCHAMP+1343+1403+CLIFFORD_x000D_
.born:?1343    -          Warwickshire county England_x000D_
.died: 140302  -          England, age:60y 1m 0d, _x000D_
.bapt: 1785GE_x000D_
.will: 2004MO_x000D_
.obit: 1890OH_x000D_
.bury: 1850IL _x000D_
.wpbt: 1826PA_x000D_
.anc#:  quadruple ancestor_x000D_
citiz:foreign_x000D_
#spos:1_x000D_
#srcs:1_x000D_
#comment:0_x000D_
#events:1_x000D_
#kids:2_x000D_
lived:ENWARWE,ENYORKSRAVENSW_x000D_
issue:Died after Age 100_x000D_
.recs:Birth,Marriage,Death_x000D_
.imm?:no_x000D_
..Spo:ROGER CLIFFORD</t>
        </r>
      </text>
    </comment>
    <comment ref="Z2562" authorId="0" shapeId="0" xr:uid="{1EB3EBB9-1323-4D1D-8EA3-377CA971B8B1}">
      <text>
        <r>
          <rPr>
            <sz val="9"/>
            <color indexed="81"/>
            <rFont val="Tahoma"/>
            <family val="2"/>
          </rPr>
          <t>EDMUND MORTIMER_x000D_
http://yeinfo.com/family/I09066649.html_x000D_
https://www.google.com/search?q=EDMUND+MORTIMER+1252+1287+MARGARET_x000D_
.born: 12521027-          Wigmore (Herefordshire) England_x000D_
.died: 1287    -1342      Wigmore (Herefordshire) England, age:34y 2m 5d, _x000D_
.bapt: 1785GE_x000D_
.will: 2004MO_x000D_
.obit: 1890OH_x000D_
.bury: 1850IL _x000D_
.wpbt: 1826PA_x000D_
.anc#: quintuple ancestor_x000D_
citiz:foreign_x000D_
#spos:1_x000D_
#srcs:2_x000D_
#comment:1_x000D_
#events:1_x000D_
#kids:2_x000D_
lived:ENHEREFWIGMORE_x000D_
issue:_x000D_
.recs:Birth,Marriage,Death_x000D_
.imm?:no_x000D_
..Spo:MARGARET FIENNES</t>
        </r>
      </text>
    </comment>
    <comment ref="Y2564" authorId="0" shapeId="0" xr:uid="{78AFC872-C16D-41A4-9A57-B423CA438735}">
      <text>
        <r>
          <rPr>
            <sz val="9"/>
            <color indexed="81"/>
            <rFont val="Tahoma"/>
            <family val="2"/>
          </rPr>
          <t>ROGER MORTIMER_x000D_
http://yeinfo.com/family/I09066588.html_x000D_
https://www.google.com/search?q=ROGER+MORTIMER+1287+1330+JOAN_x000D_
.born: 12870425-          Wigmore (Herefordshire) England_x000D_
.died: 13301129-          Tyburn (Middlesex) England, age:43y 7m 4d, _x000D_
.bapt: 1785GE_x000D_
.will: 2004MO_x000D_
.obit: 1890OH_x000D_
.bury: 1850IL _x000D_
.wpbt: 1826PA_x000D_
.anc#: quintuple ancestor_x000D_
citiz:foreign_x000D_
#spos:1_x000D_
#srcs:3_x000D_
#comment:1_x000D_
#events:1_x000D_
#kids:2_x000D_
lived:ENHEREFWIGMORE,ENMIDDLTYBURN_x000D_
issue:_x000D_
.recs:Birth,Marriage,Death_x000D_
.imm?:no_x000D_
..Spo:JOAN GENEVILLE</t>
        </r>
      </text>
    </comment>
    <comment ref="Z2566" authorId="0" shapeId="0" xr:uid="{05AB880A-DEA4-4F8A-9CBF-9B6A7D3C9BED}">
      <text>
        <r>
          <rPr>
            <sz val="9"/>
            <color indexed="81"/>
            <rFont val="Tahoma"/>
            <family val="2"/>
          </rPr>
          <t>MARGARET FIENNES_x000D_
http://yeinfo.com/family/I09066650.html_x000D_
https://www.google.com/search?q=MARGARET+FIENNES+1262+1334+MORTIMER_x000D_
.born: 1262    -          Wigmore (Herefordshire) England_x000D_
.died: 13340207-          Wigmore (Herefordshire) England, age:72y 1m 6d, _x000D_
.bapt: 1785GE_x000D_
.will: 2004MO_x000D_
.obit: 1890OH_x000D_
.bury: 1850IL _x000D_
.wpbt: 1826PA_x000D_
.anc#: quintuple ancestor_x000D_
citiz:foreign_x000D_
#spos:1_x000D_
#srcs:2_x000D_
#comment:1_x000D_
#events:1_x000D_
#kids:2_x000D_
lived:ENHEREFWIGMORE_x000D_
issue:Died after Age 100_x000D_
.recs:Birth,Marriage,Death_x000D_
.imm?:no_x000D_
..Spo:EDMUND MORTIMER</t>
        </r>
      </text>
    </comment>
    <comment ref="X2568" authorId="0" shapeId="0" xr:uid="{6D8CB001-B35F-473B-AA3E-803641738C52}">
      <text>
        <r>
          <rPr>
            <sz val="9"/>
            <color indexed="81"/>
            <rFont val="Tahoma"/>
            <family val="2"/>
          </rPr>
          <t>KATHERINE MORTIMER_x000D_
http://yeinfo.com/family/I09066535.html_x000D_
https://www.google.com/search?q=KATHERINE+MORTIMER+1314+1369+BEAUCHAMP_x000D_
.born: 1314    -          Wigmore (Herefordshire) England_x000D_
.died: 13690804-          , age:55y 7m 3d, _x000D_
.bapt: 1785GE_x000D_
.will: 2004MO_x000D_
.obit: 1890OH_x000D_
.bury: 1850IL _x000D_
.wpbt: 1826PA_x000D_
.anc#: quintuple ancestor_x000D_
citiz:foreign_x000D_
#spos:1_x000D_
#srcs:2_x000D_
#comment:0_x000D_
#events:1_x000D_
#kids:3_x000D_
lived:ENHEREFWIGMORE_x000D_
issue:_x000D_
.recs:Birth,Marriage,Death_x000D_
.imm?:no_x000D_
..Spo:THOMAS BEAUCHAMP</t>
        </r>
      </text>
    </comment>
    <comment ref="Z2570" authorId="0" shapeId="0" xr:uid="{7DF265F8-3875-4524-B807-79F4B85530ED}">
      <text>
        <r>
          <rPr>
            <sz val="9"/>
            <color indexed="81"/>
            <rFont val="Tahoma"/>
            <family val="2"/>
          </rPr>
          <t>PIERS GENEVILLE_x000D_
http://yeinfo.com/family/I09066651.html_x000D_
https://www.google.com/search?q=PIERS+GENEVILLE+1256+1292+JEANNE\JOAN_x000D_
.born: 1256    -          Dublin (Leinster) Ireland_x000D_
.died: 12920608-          France, age:36y 5m 7d, _x000D_
.bapt: 1785GE_x000D_
.will: 2004MO_x000D_
.obit: 1890OH_x000D_
.bury: 1850IL _x000D_
.wpbt: 1826PA_x000D_
.anc#: quintuple ancestor_x000D_
citiz:foreign_x000D_
#spos:1_x000D_
#srcs:2_x000D_
#comment:1_x000D_
#events:1_x000D_
#kids:1_x000D_
lived:ENSHROPLUDLOW,FR,IRLEINSDUBLIN_x000D_
issue:_x000D_
.recs:Birth,Marriage,Death_x000D_
.imm?:no_x000D_
..Spo:JEANNE\JOAN LUSIGNAN</t>
        </r>
      </text>
    </comment>
    <comment ref="Y2572" authorId="0" shapeId="0" xr:uid="{2DDFA4E5-3FAD-450F-89A8-97842E6036DF}">
      <text>
        <r>
          <rPr>
            <sz val="9"/>
            <color indexed="81"/>
            <rFont val="Tahoma"/>
            <family val="2"/>
          </rPr>
          <t>JOAN GENEVILLE_x000D_
http://yeinfo.com/family/I09066589.html_x000D_
https://www.google.com/search?q=JOAN+GENEVILLE+1286+1325+MORTIMER_x000D_
.born: 12860202-          Ludlow (Shropshire) England_x000D_
.died: 1325    -1376      Gloucestershire county England, age:38y 10m 30d, _x000D_
.bapt: 1785GE_x000D_
.will: 2004MO_x000D_
.obit: 1890OH_x000D_
.bury: 1850IL _x000D_
.wpbt: 1826PA_x000D_
.anc#: quintuple ancestor_x000D_
citiz:foreign_x000D_
#spos:1_x000D_
#srcs:2_x000D_
#comment:0_x000D_
#events:1_x000D_
#kids:2_x000D_
lived:ENGLOUS,ENSHROPLUDLOW_x000D_
issue:_x000D_
.recs:Birth,Marriage,Death_x000D_
.imm?:no_x000D_
..Spo:ROGER MORTIMER</t>
        </r>
      </text>
    </comment>
    <comment ref="Z2574" authorId="0" shapeId="0" xr:uid="{6CD5CEC1-F65A-4FCB-9C82-E8A6CDFB69E1}">
      <text>
        <r>
          <rPr>
            <sz val="9"/>
            <color indexed="81"/>
            <rFont val="Tahoma"/>
            <family val="2"/>
          </rPr>
          <t>JEANNE\JOAN LUSIGNAN_x000D_
http://yeinfo.com/family/I09066652.html_x000D_
https://www.google.com/search?q=JEANNE\JOAN+LUSIGNAN+1260+1286+GENEVILLE_x000D_
.born: 1260    -          France_x000D_
.died: 1286    -1350      , age:26y 0m 0d, _x000D_
.bapt: 1785GE_x000D_
.will: 2004MO_x000D_
.obit: 1890OH_x000D_
.bury: 1850IL _x000D_
.wpbt: 1826PA_x000D_
.anc#: quintuple ancestor_x000D_
citiz:foreign_x000D_
#spos:1_x000D_
#srcs:2_x000D_
#comment:1_x000D_
#events:1_x000D_
#kids:1_x000D_
lived:ENSHROPLUDLOW,FR_x000D_
issue:_x000D_
.recs:Birth,Marriage,Death_x000D_
.imm?:no_x000D_
..Spo:PIERS GENEVILLE</t>
        </r>
      </text>
    </comment>
    <comment ref="S2576" authorId="0" shapeId="0" xr:uid="{DAD8E809-C015-4C20-9749-D55DCF7FD1DE}">
      <text>
        <r>
          <rPr>
            <sz val="9"/>
            <color indexed="81"/>
            <rFont val="Tahoma"/>
            <family val="2"/>
          </rPr>
          <t>NICHOLAS LONGFORD_x000D_
http://yeinfo.com/family/I09066816.html_x000D_
https://www.google.com/search?q=NICHOLAS+LONGFORD+1465+1513+MARGERY_x000D_
.born: 1465    -          Derbyshire county England_x000D_
.died: 1513    -          Derbyshire county England, age:48y 0m 0d, _x000D_
.bapt: 1785GE_x000D_
.will: 2004MO_x000D_
.obit: 1890OH_x000D_
.bury: 1850IL _x000D_
.wpbt: 1826PA_x000D_
.anc#:double ancestor_x000D_
citiz:foreign_x000D_
#spos:1_x000D_
#srcs:1_x000D_
#comment:0_x000D_
#events:1_x000D_
#kids:1_x000D_
lived:?ENLANCS,ENDERBS_x000D_
issue:_x000D_
.recs:Birth,Marriage,Death_x000D_
.imm?:no_x000D_
..Spo:MARGERY TRAFFORD</t>
        </r>
      </text>
    </comment>
    <comment ref="W2578" authorId="0" shapeId="0" xr:uid="{52410628-8984-4AEB-8BD5-2648B5F8E87D}">
      <text>
        <r>
          <rPr>
            <sz val="9"/>
            <color indexed="81"/>
            <rFont val="Tahoma"/>
            <family val="2"/>
          </rPr>
          <t>WILLIAM FERRERS_x000D_
http://yeinfo.com/family/I09066794.html_x000D_
https://www.google.com/search?q=WILLIAM+FERRERS+1372+1445+PHILIPPE_x000D_
.born: 13720425-          Groby (Leicestershire) England_x000D_
.died: 14450518-          Essex county England, age:73y 0m 23d, _x000D_
.bapt: 1785GE_x000D_
.will: 2004MO_x000D_
.obit: 1890OH_x000D_
.bury: 1850IL _x000D_
.wpbt: 1826PA_x000D_
.anc#:double ancestor_x000D_
citiz:foreign_x000D_
#spos:1_x000D_
#srcs:1_x000D_
#comment:1_x000D_
#events:1_x000D_
#kids:1_x000D_
lived:ENESSEX,ENLEICEGROBY_x000D_
issue:_x000D_
.recs:Birth,Marriage,Death_x000D_
.imm?:no_x000D_
..Spo:PHILIPPE CLIFFORD</t>
        </r>
      </text>
    </comment>
    <comment ref="V2580" authorId="0" shapeId="0" xr:uid="{C59112F3-7137-4597-AB74-DE56CE3CCFF6}">
      <text>
        <r>
          <rPr>
            <sz val="9"/>
            <color indexed="81"/>
            <rFont val="Tahoma"/>
            <family val="2"/>
          </rPr>
          <t>THOMAS FERRERS_x000D_
http://yeinfo.com/family/I09066795.html_x000D_
https://www.google.com/search?q=THOMAS+FERRERS+1380+1459+ELIZABETH_x000D_
.born: 1380    -          Groby (Leicestershire) England_x000D_
.died: 14590115-          Market Bosworth (Leicestershire) England, age:79y 0m 14d, _x000D_
.bapt: 1785GE_x000D_
.will: 2004MO_x000D_
.obit: 1890OH_x000D_
.bury: 1850IL _x000D_
.wpbt: 1826PA_x000D_
.anc#:double ancestor_x000D_
citiz:foreign_x000D_
#spos:1_x000D_
#srcs:1_x000D_
#comment:0_x000D_
#events:1_x000D_
#kids:1_x000D_
lived:ENLEICEGROBY,ENLEICEMARKETB_x000D_
issue:Born before Parents Married_x000D_
.recs:Birth,Marriage,Death_x000D_
.imm?:no_x000D_
..Spo:ELIZABETH FREVILLE</t>
        </r>
      </text>
    </comment>
    <comment ref="X2582" authorId="0" shapeId="0" xr:uid="{CF70C6EE-D672-4774-AD05-CA7B159BF113}">
      <text>
        <r>
          <rPr>
            <sz val="9"/>
            <color indexed="81"/>
            <rFont val="Tahoma"/>
            <family val="2"/>
          </rPr>
          <t>ROGER CLIFFORD_x000D_
http://yeinfo.com/family/I09066786.html_x000D_
https://www.google.com/search?q=ROGER+CLIFFORD+1333+1390+MAUD_x000D_
.born: 13330710-          Herefordshire county England_x000D_
.died: 13900713-          Westmoreland county England, age:57y 0m 3d, _x000D_
.bapt: 1785GE_x000D_
.will: 2004MO_x000D_
.obit: 1890OH_x000D_
.bury: 1850IL _x000D_
.wpbt: 1826PA_x000D_
.anc#:  quadruple ancestor_x000D_
citiz:foreign_x000D_
#spos:1_x000D_
#srcs:1_x000D_
#comment:0_x000D_
#events:1_x000D_
#kids:2_x000D_
lived:ENHEREF,ENWESTE,ENYORKSRAVENSW_x000D_
issue:_x000D_
.recs:Birth,Marriage,Death_x000D_
.imm?:no_x000D_
..Spo:MAUD BEAUCHAMP</t>
        </r>
      </text>
    </comment>
    <comment ref="W2584" authorId="0" shapeId="0" xr:uid="{48D18FE8-5274-4B4A-8886-B369A22DCFC4}">
      <text>
        <r>
          <rPr>
            <sz val="9"/>
            <color indexed="81"/>
            <rFont val="Tahoma"/>
            <family val="2"/>
          </rPr>
          <t>PHILIPPE CLIFFORD_x000D_
http://yeinfo.com/family/I09066788.html_x000D_
https://www.google.com/search?q=PHILIPPE+CLIFFORD+1375+1441+FERRERS_x000D_
.born: 1375    -          Westmoreland county England_x000D_
.died: 1441    -          Staffordshire county England, age:66y 0m 0d, _x000D_
.bapt: 1785GE_x000D_
.will: 2004MO_x000D_
.obit: 1890OH_x000D_
.bury: 1850IL _x000D_
.wpbt: 1826PA_x000D_
.anc#:double ancestor_x000D_
citiz:foreign_x000D_
#spos:1_x000D_
#srcs:1_x000D_
#comment:1_x000D_
#events:1_x000D_
#kids:1_x000D_
lived:ENSTAFS,ENWESTE_x000D_
issue:_x000D_
.recs:Birth,Marriage,Death_x000D_
.imm?:no_x000D_
..Spo:WILLIAM FERRERS</t>
        </r>
      </text>
    </comment>
    <comment ref="AB2586" authorId="0" shapeId="0" xr:uid="{9DACB015-D174-418B-AE3C-0ED16ED1709B}">
      <text>
        <r>
          <rPr>
            <sz val="9"/>
            <color indexed="81"/>
            <rFont val="Tahoma"/>
            <family val="2"/>
          </rPr>
          <t>WILLIAM BEAUCHAMP_x000D_
http://yeinfo.com/family/I09066667.html_x000D_
https://www.google.com/search?q=WILLIAM+BEAUCHAMP+1215+1268+ISABEL_x000D_
.born:c1215    -          Elmley Castle (Worcestershire) England_x000D_
.died: 12680605-          Elmley Castle (Worcestershire) England, age:53y 5m 4d, _x000D_
.bapt: 1785GE_x000D_
.will: 2004MO_x000D_
.obit: 1890OH_x000D_
.bury: 1850IL _x000D_
.wpbt: 1826PA_x000D_
.anc#: quintuple ancestor_x000D_
citiz:foreign_x000D_
#spos:1_x000D_
#srcs:2_x000D_
#comment:1_x000D_
#events:1_x000D_
#kids:1_x000D_
lived:ENWORCSELMLEY_x000D_
issue:_x000D_
.recs:Birth,Marriage,Death_x000D_
.imm?:no_x000D_
..Spo:ISABEL MAUDUIT</t>
        </r>
      </text>
    </comment>
    <comment ref="AA2588" authorId="0" shapeId="0" xr:uid="{C36E5109-BED1-4AA7-A459-BD097BF56F80}">
      <text>
        <r>
          <rPr>
            <sz val="9"/>
            <color indexed="81"/>
            <rFont val="Tahoma"/>
            <family val="2"/>
          </rPr>
          <t>WILLIAM BEAUCHAMP_x000D_
http://yeinfo.com/family/I09066645.html_x000D_
https://www.google.com/search?q=WILLIAM+BEAUCHAMP+1237+1262+MAUD_x000D_
.born: 1237    -          Elmley Castle (Worcestershire) England_x000D_
.died: 1262    -1327      , age:25y 0m 0d, _x000D_
.bapt: 1785GE_x000D_
.will: 2004MO_x000D_
.obit: 1890OH_x000D_
.bury: 1850IL _x000D_
.wpbt: 1826PA_x000D_
.anc#: quintuple ancestor_x000D_
citiz:foreign_x000D_
#spos:1_x000D_
#srcs:2_x000D_
#comment:0_x000D_
#events:1_x000D_
#kids:1_x000D_
lived:ENWORCSELMLEY_x000D_
issue:_x000D_
.recs:Birth,Marriage,Death_x000D_
.imm?:no_x000D_
..Spo:MAUD FITZJOHN</t>
        </r>
      </text>
    </comment>
    <comment ref="AB2590" authorId="0" shapeId="0" xr:uid="{9929834F-8EE6-4596-B2D8-26257B240C91}">
      <text>
        <r>
          <rPr>
            <sz val="9"/>
            <color indexed="81"/>
            <rFont val="Tahoma"/>
            <family val="2"/>
          </rPr>
          <t>ISABEL MAUDUIT_x000D_
http://yeinfo.com/family/I09066668.html_x000D_
https://www.google.com/search?q=ISABEL+MAUDUIT+1216+1268+BEAUCHAMP_x000D_
.born: 12161227-          Hanslope (Buckinghamshire) England_x000D_
.died: 12680107-          Cookhill (Worcestershire) England, age:51y 0m 11d, _x000D_
.bapt: 1785GE_x000D_
.will: 2004MO_x000D_
.obit: 1890OH_x000D_
.bury: 1850IL _x000D_
.wpbt: 1826PA_x000D_
.anc#: quintuple ancestor_x000D_
citiz:foreign_x000D_
#spos:1_x000D_
#srcs:1_x000D_
#comment:1_x000D_
#events:1_x000D_
#kids:1_x000D_
lived:ENBUCKEHANSLOP,ENWORCSCOOKHIL_x000D_
issue:_x000D_
.recs:Birth,Marriage,Death_x000D_
.imm?:no_x000D_
..Spo:WILLIAM BEAUCHAMP</t>
        </r>
      </text>
    </comment>
    <comment ref="Z2592" authorId="0" shapeId="0" xr:uid="{01CA91D5-E32E-48DF-925A-7387ED8D57E3}">
      <text>
        <r>
          <rPr>
            <sz val="9"/>
            <color indexed="81"/>
            <rFont val="Tahoma"/>
            <family val="2"/>
          </rPr>
          <t>GUY BEAUCHAMP_x000D_
http://yeinfo.com/family/I09066586.html_x000D_
https://www.google.com/search?q=GUY+BEAUCHAMP+1262+1315+ALICE_x000D_
.born: 1262    -          Elmley Castle (Worcestershire) England_x000D_
.died: 13150810-          Warwick (Warwickshire) England, age:53y 7m 9d, _x000D_
.bapt: 1785GE_x000D_
.will: 2004MO_x000D_
.obit: 1890OH_x000D_
.bury: 1850IL _x000D_
.wpbt: 1826PA_x000D_
.anc#: quintuple ancestor_x000D_
citiz:foreign_x000D_
#spos:1_x000D_
#srcs:2_x000D_
#comment:1_x000D_
#events:1_x000D_
#kids:1_x000D_
lived:ENWARWEWARWICK,ENWORCSELMLEY_x000D_
issue:_x000D_
.recs:Birth,Marriage,Death_x000D_
.imm?:no_x000D_
..Spo:ALICE TOENI</t>
        </r>
      </text>
    </comment>
    <comment ref="AA2594" authorId="0" shapeId="0" xr:uid="{236C8CF8-E7AD-4051-986B-7719B1C0B234}">
      <text>
        <r>
          <rPr>
            <sz val="9"/>
            <color indexed="81"/>
            <rFont val="Tahoma"/>
            <family val="2"/>
          </rPr>
          <t>MAUD FITZJOHN_x000D_
http://yeinfo.com/family/I09066646.html_x000D_
https://www.google.com/search?q=MAUD+FITZJOHN+1237+1301+BEAUCHAMP_x000D_
.born: 1237    -          Shere (Surrey) England_x000D_
.died:?13010416-          Worcester (Worcestershire) England, age:64y 3m 15d, _x000D_
.bapt: 1785GE_x000D_
.will: 2004MO_x000D_
.obit: 1890OH_x000D_
.bury: 1850IL _x000D_
.wpbt: 1826PA_x000D_
.anc#: quintuple ancestor_x000D_
citiz:foreign_x000D_
#spos:1_x000D_
#srcs:1_x000D_
#comment:0_x000D_
#events:1_x000D_
#kids:1_x000D_
lived:ENSURRESHERE,ENWORCSWORCEST_x000D_
issue:_x000D_
.recs:Birth,Marriage,Death_x000D_
.imm?:no_x000D_
..Spo:WILLIAM BEAUCHAMP</t>
        </r>
      </text>
    </comment>
    <comment ref="Y2596" authorId="0" shapeId="0" xr:uid="{305D52E0-9EFF-43BC-949E-C885B518DCD7}">
      <text>
        <r>
          <rPr>
            <sz val="9"/>
            <color indexed="81"/>
            <rFont val="Tahoma"/>
            <family val="2"/>
          </rPr>
          <t>THOMAS BEAUCHAMP_x000D_
http://yeinfo.com/family/I09066534.html_x000D_
https://www.google.com/search?q=THOMAS+BEAUCHAMP+1313+1369+KATHERINE_x000D_
.born: 13130214-          Warwickshire county England_x000D_
.died: 13691113-          , age:56y 8m 30d, _x000D_
.bapt: 1785GE_x000D_
.will: 2004MO_x000D_
.obit: 1890OH_x000D_
.bury: 1850IL _x000D_
.wpbt: 1826PA_x000D_
.anc#: quintuple ancestor_x000D_
citiz:foreign_x000D_
#spos:1_x000D_
#srcs:2_x000D_
#comment:1_x000D_
#events:1_x000D_
#kids:3_x000D_
lived:ENWARWE_x000D_
issue:_x000D_
.recs:Birth,Marriage,Death_x000D_
.imm?:no_x000D_
..Spo:KATHERINE MORTIMER</t>
        </r>
      </text>
    </comment>
    <comment ref="AB2598" authorId="0" shapeId="0" xr:uid="{8B07EEA1-6306-47CF-889A-6B6B12BF7523}">
      <text>
        <r>
          <rPr>
            <sz val="9"/>
            <color indexed="81"/>
            <rFont val="Tahoma"/>
            <family val="2"/>
          </rPr>
          <t>ROGER TOENI_x000D_
http://yeinfo.com/family/I09066669.html_x000D_
https://www.google.com/search?q=ROGER+TOENI+1235+1255+ALICE\CECILIA_x000D_
.born: 12350929-          Flamstead (Hertfordshire) England_x000D_
.died: 1255    -1325      Flamstead (Hertfordshire) England, age:19y 3m 3d, _x000D_
.bapt: 1785GE_x000D_
.will: 2004MO_x000D_
.obit: 1890OH_x000D_
.bury: 1850IL _x000D_
.wpbt: 1826PA_x000D_
.anc#: quintuple ancestor_x000D_
citiz:foreign_x000D_
#spos:1_x000D_
#srcs:1_x000D_
#comment:1_x000D_
#events:1_x000D_
#kids:1_x000D_
lived:ENHERTFFLAMSTE_x000D_
issue:_x000D_
.recs:Birth,Marriage,Death_x000D_
.imm?:no_x000D_
..Spo:ALICE\CECILIA BOHUN</t>
        </r>
      </text>
    </comment>
    <comment ref="AA2600" authorId="0" shapeId="0" xr:uid="{C2832EBB-6E76-4A73-B50B-3B0C10505319}">
      <text>
        <r>
          <rPr>
            <sz val="9"/>
            <color indexed="81"/>
            <rFont val="Tahoma"/>
            <family val="2"/>
          </rPr>
          <t>RALPH\RAOUI TOENI_x000D_
http://yeinfo.com/family/I09066647.html_x000D_
https://www.google.com/search?q=RALPH\RAOUI+TOENI+1253+1295+MARY+CLARISSA_x000D_
.born: 12531225-          Flamstead (Hertfordshire) England_x000D_
.died: 12950527-          Gascony (Guyenne) France, age:41y 5m 2d, _x000D_
.bapt: 1785GE_x000D_
.will: 2004MO_x000D_
.obit: 1890OH_x000D_
.bury: 1850IL _x000D_
.wpbt: 1826PA_x000D_
.anc#: quintuple ancestor_x000D_
citiz:foreign_x000D_
#spos:1_x000D_
#srcs:1_x000D_
#comment:0_x000D_
#events:1_x000D_
#kids:1_x000D_
lived:ENHERTFFLAMSTE,FRGUYENGASCONY_x000D_
issue:_x000D_
.recs:Birth,Marriage,Death_x000D_
.imm?:no_x000D_
..Spo:MARY CLARISSA BRUCE</t>
        </r>
      </text>
    </comment>
    <comment ref="AE2602" authorId="0" shapeId="0" xr:uid="{6F5AD296-54CF-4532-937B-91A77183CD9D}">
      <text>
        <r>
          <rPr>
            <sz val="9"/>
            <color indexed="81"/>
            <rFont val="Tahoma"/>
            <family val="2"/>
          </rPr>
          <t>FRANCIS BOHUN_x000D_
http://yeinfo.com/family/I09066676.html_x000D_
https://www.google.com/search?q=FRANCIS+BOHUN+1165+1185+MARGERY_x000D_
.born:?1165    -         ?England_x000D_
.died: 1185    -1255     ?England, age:20y 0m 0d, _x000D_
.bapt: 1785GE_x000D_
.will: 2004MO_x000D_
.obit: 1890OH_x000D_
.bury: 1850IL _x000D_
.wpbt: 1826PA_x000D_
.anc#: quintuple ancestor_x000D_
citiz:foreign_x000D_
#spos:1_x000D_
#srcs:1_x000D_
#comment:1_x000D_
#events:1_x000D_
#kids:1_x000D_
lived:?EN_x000D_
issue:Married before Age 16,Died before Birth_x000D_
.recs:Birth,Marriage,Death_x000D_
.imm?:no_x000D_
..Spo:MARGERY LACY</t>
        </r>
      </text>
    </comment>
    <comment ref="AD2604" authorId="0" shapeId="0" xr:uid="{5371B232-2EBF-4F2E-B7F9-BC6CF49BF096}">
      <text>
        <r>
          <rPr>
            <sz val="9"/>
            <color indexed="81"/>
            <rFont val="Tahoma"/>
            <family val="2"/>
          </rPr>
          <t>JAMES BOHUN_x000D_
http://yeinfo.com/family/I09066674.html_x000D_
https://www.google.com/search?q=JAMES+BOHUN+1185+1208+{_?_}_x000D_
.born:?1185    -         ?England_x000D_
.died: 1208    -1275     ?England, age:23y 0m 0d, _x000D_
.bapt: 1785GE_x000D_
.will: 2004MO_x000D_
.obit: 1890OH_x000D_
.bury: 1850IL _x000D_
.wpbt: 1826PA_x000D_
.anc#: quintuple ancestor_x000D_
citiz:foreign_x000D_
#spos:1_x000D_
#srcs:1_x000D_
#comment:0_x000D_
#events:1_x000D_
#kids:1_x000D_
lived:?EN_x000D_
issue:Born before Parents Married,Married before Age 16,Died before Birth_x000D_
.recs:Birth,Marriage,Death_x000D_
.imm?:no_x000D_
..Spo:{_?_} BOHUN</t>
        </r>
      </text>
    </comment>
    <comment ref="AE2606" authorId="0" shapeId="0" xr:uid="{C3840410-FB28-4AD4-B9D2-9D3805818C28}">
      <text>
        <r>
          <rPr>
            <sz val="9"/>
            <color indexed="81"/>
            <rFont val="Tahoma"/>
            <family val="2"/>
          </rPr>
          <t>MARGERY LACY_x000D_
http://yeinfo.com/family/I09066677.html_x000D_
https://www.google.com/search?q=MARGERY+LACY+1165+1185+BOHUN_x000D_
.born:?1165    -          _x000D_
.died: 1185    -1255     ?England, age:20y 0m 0d, _x000D_
.bapt: 1785GE_x000D_
.will: 2004MO_x000D_
.obit: 1890OH_x000D_
.bury: 1850IL _x000D_
.wpbt: 1826PA_x000D_
.anc#: quintuple ancestor_x000D_
citiz:foreign_x000D_
#spos:1_x000D_
#srcs:1_x000D_
#comment:0_x000D_
#events:1_x000D_
#kids:1_x000D_
lived:?EN_x000D_
issue:Married before Age 16,Died before Birth_x000D_
.recs:Birth,Marriage,Death_x000D_
.imm?:no_x000D_
..Spo:FRANCIS BOHUN</t>
        </r>
      </text>
    </comment>
    <comment ref="AC2608" authorId="0" shapeId="0" xr:uid="{2697EE16-CFD6-4216-A900-D6353817D375}">
      <text>
        <r>
          <rPr>
            <sz val="9"/>
            <color indexed="81"/>
            <rFont val="Tahoma"/>
            <family val="2"/>
          </rPr>
          <t>HUMPHREY BOHUN_x000D_
http://yeinfo.com/family/I09066672.html_x000D_
https://www.google.com/search?q=HUMPHREY+BOHUN+1208+1275+MAUD_x000D_
.born:?12080506-          Essex county England_x000D_
.died: 1275    -         ?England, age:66y 7m 26d, _x000D_
.bapt: 1785GE_x000D_
.will: 2004MO_x000D_
.obit: 1890OH_x000D_
.bury: 1850IL _x000D_
.wpbt: 1826PA_x000D_
.anc#: quintuple ancestor_x000D_
citiz:foreign_x000D_
#spos:1_x000D_
#srcs:1_x000D_
#comment:1_x000D_
#events:2_x000D_
#kids:1_x000D_
lived:ENESSEX_x000D_
issue:Born before Parents Married_x000D_
.recs:Birth,Marriage,Death_x000D_
.imm?:no_x000D_
..Spo:MAUD LUSIGNAN</t>
        </r>
      </text>
    </comment>
    <comment ref="AD2610" authorId="0" shapeId="0" xr:uid="{62346C74-A895-4D31-9B97-20F3BFAF69AD}">
      <text>
        <r>
          <rPr>
            <sz val="9"/>
            <color indexed="81"/>
            <rFont val="Tahoma"/>
            <family val="2"/>
          </rPr>
          <t>Mrs. {_?_} BOHUN_x000D_
http://yeinfo.com/family/I09066675.html_x000D_
https://www.google.com/search?q={_?_}+BOHUN+1185+1208+BOHUN_x000D_
.born:?1185    -          _x000D_
.died: 1208    -1275     ?England, age:23y 0m 0d, _x000D_
.bapt: 1785GE_x000D_
.will: 2004MO_x000D_
.obit: 1890OH_x000D_
.bury: 1850IL _x000D_
.wpbt: 1826PA_x000D_
.anc#: quintuple ancestor_x000D_
citiz:foreign_x000D_
#spos:1_x000D_
#srcs:1_x000D_
#comment:0_x000D_
#events:1_x000D_
#kids:1_x000D_
lived:?EN_x000D_
issue:_x000D_
.recs:Birth,Marriage,Death_x000D_
.imm?:no_x000D_
..Spo:JAMES BOHUN</t>
        </r>
      </text>
    </comment>
    <comment ref="AB2612" authorId="0" shapeId="0" xr:uid="{211DDD8D-F0A6-4D24-BD5A-31B05D092F5B}">
      <text>
        <r>
          <rPr>
            <sz val="9"/>
            <color indexed="81"/>
            <rFont val="Tahoma"/>
            <family val="2"/>
          </rPr>
          <t>ALICE\CECILIA BOHUN_x000D_
http://yeinfo.com/family/I09066670.html_x000D_
https://www.google.com/search?q=ALICE\CECILIA+BOHUN+1242+1262+TOENI_x000D_
.born: 124209  -          Flamstead (Hertfordshire) England_x000D_
.died: 1262    -1332      , age:19y 4m 0d, _x000D_
.bapt: 1785GE_x000D_
.will: 2004MO_x000D_
.obit: 1890OH_x000D_
.bury: 1850IL _x000D_
.wpbt: 1826PA_x000D_
.anc#: quintuple ancestor_x000D_
citiz:foreign_x000D_
#spos:1_x000D_
#srcs:1_x000D_
#comment:0_x000D_
#events:1_x000D_
#kids:1_x000D_
lived:ENHERTFFLAMSTE_x000D_
issue:Died after Age 100_x000D_
.recs:Birth,Marriage,Death_x000D_
.imm?:no_x000D_
..Spo:ROGER TOENI</t>
        </r>
      </text>
    </comment>
    <comment ref="AC2614" authorId="0" shapeId="0" xr:uid="{308DADB3-898C-4CBA-9B3C-ADAB9D9D5D02}">
      <text>
        <r>
          <rPr>
            <sz val="9"/>
            <color indexed="81"/>
            <rFont val="Tahoma"/>
            <family val="2"/>
          </rPr>
          <t>MAUD LUSIGNAN_x000D_
http://yeinfo.com/family/I09066673.html_x000D_
https://www.google.com/search?q=MAUD+LUSIGNAN+1220+1242+BOHUN_x000D_
.born:?1220    -          _x000D_
.died: 1242    -1310     ?England, age:22y 0m 0d, _x000D_
.bapt: 1785GE_x000D_
.will: 2004MO_x000D_
.obit: 1890OH_x000D_
.bury: 1850IL _x000D_
.wpbt: 1826PA_x000D_
.anc#: quintuple ancestor_x000D_
citiz:foreign_x000D_
#spos:1_x000D_
#srcs:1_x000D_
#comment:0_x000D_
#events:1_x000D_
#kids:1_x000D_
lived:?EN_x000D_
issue:_x000D_
.recs:Birth,Marriage,Death_x000D_
.imm?:no_x000D_
..Spo:HUMPHREY BOHUN</t>
        </r>
      </text>
    </comment>
    <comment ref="Z2616" authorId="0" shapeId="0" xr:uid="{86E3FE89-E1FE-4AF5-8016-E10BFA2DFDB2}">
      <text>
        <r>
          <rPr>
            <sz val="9"/>
            <color indexed="81"/>
            <rFont val="Tahoma"/>
            <family val="2"/>
          </rPr>
          <t>ALICE TOENI_x000D_
http://yeinfo.com/family/I09066587.html_x000D_
https://www.google.com/search?q=ALICE+TOENI+1284+1313+BEAUCHAMP_x000D_
.born: 12840426-          Flamstead (Hertfordshire) England_x000D_
.died: 1313    -1374      Flamstead (Hertfordshire) England, age:28y 8m 6d, _x000D_
.bapt: 1785GE_x000D_
.will: 2004MO_x000D_
.obit: 1890OH_x000D_
.bury: 1850IL _x000D_
.wpbt: 1826PA_x000D_
.anc#: quintuple ancestor_x000D_
citiz:foreign_x000D_
#spos:1_x000D_
#srcs:1_x000D_
#comment:1_x000D_
#events:1_x000D_
#kids:1_x000D_
lived:ENHERTFFLAMSTE_x000D_
issue:_x000D_
.recs:Birth,Marriage,Death_x000D_
.imm?:no_x000D_
..Spo:GUY BEAUCHAMP</t>
        </r>
      </text>
    </comment>
    <comment ref="AA2618" authorId="0" shapeId="0" xr:uid="{C885977B-00BF-401E-BFFC-9B52611638E8}">
      <text>
        <r>
          <rPr>
            <sz val="9"/>
            <color indexed="81"/>
            <rFont val="Tahoma"/>
            <family val="2"/>
          </rPr>
          <t>MARY CLARISSA BRUCE_x000D_
http://yeinfo.com/family/I09066648.html_x000D_
https://www.google.com/search?q=MARY+CLARISSA+BRUCE+1255+1284+TOENI_x000D_
.born: 1255    -          Flamstead (Hertfordshire) England_x000D_
.died: 1284    -          England, age:29y 0m 0d, _x000D_
.bapt: 1785GE_x000D_
.will: 2004MO_x000D_
.obit: 1890OH_x000D_
.bury: 1850IL _x000D_
.wpbt: 1826PA_x000D_
.anc#: quintuple ancestor_x000D_
citiz:foreign_x000D_
#spos:1_x000D_
#srcs:1_x000D_
#comment:0_x000D_
#events:1_x000D_
#kids:1_x000D_
lived:ENHERTFFLAMSTE_x000D_
issue:_x000D_
.recs:Birth,Marriage,Death_x000D_
.imm?:no_x000D_
..Spo:RALPH\RAOUI TOENI</t>
        </r>
      </text>
    </comment>
    <comment ref="X2620" authorId="0" shapeId="0" xr:uid="{561E3E02-C0C6-4C64-BF68-DDE4A2896315}">
      <text>
        <r>
          <rPr>
            <sz val="9"/>
            <color indexed="81"/>
            <rFont val="Tahoma"/>
            <family val="2"/>
          </rPr>
          <t>MAUD BEAUCHAMP_x000D_
http://yeinfo.com/family/I09066780.html_x000D_
https://www.google.com/search?q=MAUD+BEAUCHAMP+1343+1403+CLIFFORD_x000D_
.born:?1343    -          Warwickshire county England_x000D_
.died: 140302  -          England, age:60y 1m 0d, _x000D_
.bapt: 1785GE_x000D_
.will: 2004MO_x000D_
.obit: 1890OH_x000D_
.bury: 1850IL _x000D_
.wpbt: 1826PA_x000D_
.anc#:  quadruple ancestor_x000D_
citiz:foreign_x000D_
#spos:1_x000D_
#srcs:1_x000D_
#comment:0_x000D_
#events:1_x000D_
#kids:2_x000D_
lived:ENWARWE,ENYORKSRAVENSW_x000D_
issue:Died after Age 100_x000D_
.recs:Birth,Marriage,Death_x000D_
.imm?:no_x000D_
..Spo:ROGER CLIFFORD</t>
        </r>
      </text>
    </comment>
    <comment ref="AA2622" authorId="0" shapeId="0" xr:uid="{7C67DFEE-4F34-43AB-9BA2-4E49C2F379A4}">
      <text>
        <r>
          <rPr>
            <sz val="9"/>
            <color indexed="81"/>
            <rFont val="Tahoma"/>
            <family val="2"/>
          </rPr>
          <t>EDMUND MORTIMER_x000D_
http://yeinfo.com/family/I09066649.html_x000D_
https://www.google.com/search?q=EDMUND+MORTIMER+1252+1287+MARGARET_x000D_
.born: 12521027-          Wigmore (Herefordshire) England_x000D_
.died: 1287    -1342      Wigmore (Herefordshire) England, age:34y 2m 5d, _x000D_
.bapt: 1785GE_x000D_
.will: 2004MO_x000D_
.obit: 1890OH_x000D_
.bury: 1850IL _x000D_
.wpbt: 1826PA_x000D_
.anc#: quintuple ancestor_x000D_
citiz:foreign_x000D_
#spos:1_x000D_
#srcs:2_x000D_
#comment:1_x000D_
#events:1_x000D_
#kids:2_x000D_
lived:ENHEREFWIGMORE_x000D_
issue:_x000D_
.recs:Birth,Marriage,Death_x000D_
.imm?:no_x000D_
..Spo:MARGARET FIENNES</t>
        </r>
      </text>
    </comment>
    <comment ref="Z2624" authorId="0" shapeId="0" xr:uid="{86B94410-FBC4-4720-89E3-47A5FAF85B4F}">
      <text>
        <r>
          <rPr>
            <sz val="9"/>
            <color indexed="81"/>
            <rFont val="Tahoma"/>
            <family val="2"/>
          </rPr>
          <t>ROGER MORTIMER_x000D_
http://yeinfo.com/family/I09066588.html_x000D_
https://www.google.com/search?q=ROGER+MORTIMER+1287+1330+JOAN_x000D_
.born: 12870425-          Wigmore (Herefordshire) England_x000D_
.died: 13301129-          Tyburn (Middlesex) England, age:43y 7m 4d, _x000D_
.bapt: 1785GE_x000D_
.will: 2004MO_x000D_
.obit: 1890OH_x000D_
.bury: 1850IL _x000D_
.wpbt: 1826PA_x000D_
.anc#: quintuple ancestor_x000D_
citiz:foreign_x000D_
#spos:1_x000D_
#srcs:3_x000D_
#comment:1_x000D_
#events:1_x000D_
#kids:2_x000D_
lived:ENHEREFWIGMORE,ENMIDDLTYBURN_x000D_
issue:_x000D_
.recs:Birth,Marriage,Death_x000D_
.imm?:no_x000D_
..Spo:JOAN GENEVILLE</t>
        </r>
      </text>
    </comment>
    <comment ref="AA2626" authorId="0" shapeId="0" xr:uid="{A16D53D8-C3BD-4B7C-86E5-6128C81FD925}">
      <text>
        <r>
          <rPr>
            <sz val="9"/>
            <color indexed="81"/>
            <rFont val="Tahoma"/>
            <family val="2"/>
          </rPr>
          <t>MARGARET FIENNES_x000D_
http://yeinfo.com/family/I09066650.html_x000D_
https://www.google.com/search?q=MARGARET+FIENNES+1262+1334+MORTIMER_x000D_
.born: 1262    -          Wigmore (Herefordshire) England_x000D_
.died: 13340207-          Wigmore (Herefordshire) England, age:72y 1m 6d, _x000D_
.bapt: 1785GE_x000D_
.will: 2004MO_x000D_
.obit: 1890OH_x000D_
.bury: 1850IL _x000D_
.wpbt: 1826PA_x000D_
.anc#: quintuple ancestor_x000D_
citiz:foreign_x000D_
#spos:1_x000D_
#srcs:2_x000D_
#comment:1_x000D_
#events:1_x000D_
#kids:2_x000D_
lived:ENHEREFWIGMORE_x000D_
issue:Died after Age 100_x000D_
.recs:Birth,Marriage,Death_x000D_
.imm?:no_x000D_
..Spo:EDMUND MORTIMER</t>
        </r>
      </text>
    </comment>
    <comment ref="Y2628" authorId="0" shapeId="0" xr:uid="{5D6FA09C-E958-4455-9546-4BAB675CA1F0}">
      <text>
        <r>
          <rPr>
            <sz val="9"/>
            <color indexed="81"/>
            <rFont val="Tahoma"/>
            <family val="2"/>
          </rPr>
          <t>KATHERINE MORTIMER_x000D_
http://yeinfo.com/family/I09066535.html_x000D_
https://www.google.com/search?q=KATHERINE+MORTIMER+1314+1369+BEAUCHAMP_x000D_
.born: 1314    -          Wigmore (Herefordshire) England_x000D_
.died: 13690804-          , age:55y 7m 3d, _x000D_
.bapt: 1785GE_x000D_
.will: 2004MO_x000D_
.obit: 1890OH_x000D_
.bury: 1850IL _x000D_
.wpbt: 1826PA_x000D_
.anc#: quintuple ancestor_x000D_
citiz:foreign_x000D_
#spos:1_x000D_
#srcs:2_x000D_
#comment:0_x000D_
#events:1_x000D_
#kids:3_x000D_
lived:ENHEREFWIGMORE_x000D_
issue:_x000D_
.recs:Birth,Marriage,Death_x000D_
.imm?:no_x000D_
..Spo:THOMAS BEAUCHAMP</t>
        </r>
      </text>
    </comment>
    <comment ref="AA2630" authorId="0" shapeId="0" xr:uid="{64A997DD-D741-483D-9E0F-A1E198BD5554}">
      <text>
        <r>
          <rPr>
            <sz val="9"/>
            <color indexed="81"/>
            <rFont val="Tahoma"/>
            <family val="2"/>
          </rPr>
          <t>PIERS GENEVILLE_x000D_
http://yeinfo.com/family/I09066651.html_x000D_
https://www.google.com/search?q=PIERS+GENEVILLE+1256+1292+JEANNE\JOAN_x000D_
.born: 1256    -          Dublin (Leinster) Ireland_x000D_
.died: 12920608-          France, age:36y 5m 7d, _x000D_
.bapt: 1785GE_x000D_
.will: 2004MO_x000D_
.obit: 1890OH_x000D_
.bury: 1850IL _x000D_
.wpbt: 1826PA_x000D_
.anc#: quintuple ancestor_x000D_
citiz:foreign_x000D_
#spos:1_x000D_
#srcs:2_x000D_
#comment:1_x000D_
#events:1_x000D_
#kids:1_x000D_
lived:ENSHROPLUDLOW,FR,IRLEINSDUBLIN_x000D_
issue:_x000D_
.recs:Birth,Marriage,Death_x000D_
.imm?:no_x000D_
..Spo:JEANNE\JOAN LUSIGNAN</t>
        </r>
      </text>
    </comment>
    <comment ref="Z2632" authorId="0" shapeId="0" xr:uid="{78D47D28-B1CA-4DBD-9ED7-D4B1986C90AE}">
      <text>
        <r>
          <rPr>
            <sz val="9"/>
            <color indexed="81"/>
            <rFont val="Tahoma"/>
            <family val="2"/>
          </rPr>
          <t>JOAN GENEVILLE_x000D_
http://yeinfo.com/family/I09066589.html_x000D_
https://www.google.com/search?q=JOAN+GENEVILLE+1286+1325+MORTIMER_x000D_
.born: 12860202-          Ludlow (Shropshire) England_x000D_
.died: 1325    -1376      Gloucestershire county England, age:38y 10m 30d, _x000D_
.bapt: 1785GE_x000D_
.will: 2004MO_x000D_
.obit: 1890OH_x000D_
.bury: 1850IL _x000D_
.wpbt: 1826PA_x000D_
.anc#: quintuple ancestor_x000D_
citiz:foreign_x000D_
#spos:1_x000D_
#srcs:2_x000D_
#comment:0_x000D_
#events:1_x000D_
#kids:2_x000D_
lived:ENGLOUS,ENSHROPLUDLOW_x000D_
issue:_x000D_
.recs:Birth,Marriage,Death_x000D_
.imm?:no_x000D_
..Spo:ROGER MORTIMER</t>
        </r>
      </text>
    </comment>
    <comment ref="AA2634" authorId="0" shapeId="0" xr:uid="{77A4B9F0-CDAE-4A69-B450-0BBBFC8E9B5E}">
      <text>
        <r>
          <rPr>
            <sz val="9"/>
            <color indexed="81"/>
            <rFont val="Tahoma"/>
            <family val="2"/>
          </rPr>
          <t>JEANNE\JOAN LUSIGNAN_x000D_
http://yeinfo.com/family/I09066652.html_x000D_
https://www.google.com/search?q=JEANNE\JOAN+LUSIGNAN+1260+1286+GENEVILLE_x000D_
.born: 1260    -          France_x000D_
.died: 1286    -1350      , age:26y 0m 0d, _x000D_
.bapt: 1785GE_x000D_
.will: 2004MO_x000D_
.obit: 1890OH_x000D_
.bury: 1850IL _x000D_
.wpbt: 1826PA_x000D_
.anc#: quintuple ancestor_x000D_
citiz:foreign_x000D_
#spos:1_x000D_
#srcs:2_x000D_
#comment:1_x000D_
#events:1_x000D_
#kids:1_x000D_
lived:ENSHROPLUDLOW,FR_x000D_
issue:_x000D_
.recs:Birth,Marriage,Death_x000D_
.imm?:no_x000D_
..Spo:PIERS GENEVILLE</t>
        </r>
      </text>
    </comment>
    <comment ref="U2636" authorId="0" shapeId="0" xr:uid="{D526DF30-8BA3-4DE8-A000-2AE96D88998B}">
      <text>
        <r>
          <rPr>
            <sz val="9"/>
            <color indexed="81"/>
            <rFont val="Tahoma"/>
            <family val="2"/>
          </rPr>
          <t>THOMAS FERRERS_x000D_
http://yeinfo.com/family/I09066796.html_x000D_
https://www.google.com/search?q=THOMAS+FERRERS+1438+1499+ANNE_x000D_
.born: 1438    -          Warwickshire county England_x000D_
.died: 14990822-          Tamworth (Staffordshire) England, age:61y 7m 21d, _x000D_
.bapt: 1785GE_x000D_
.will: 2004MO_x000D_
.obit: 1890OH_x000D_
.bury: 1850IL _x000D_
.wpbt: 1826PA_x000D_
.anc#:double ancestor_x000D_
citiz:foreign_x000D_
#spos:1_x000D_
#srcs:1_x000D_
#comment:0_x000D_
#events:1_x000D_
#kids:1_x000D_
lived:ENSTAFSTAMWORT,ENWARWE_x000D_
issue:Born after Mom Age 50,Died after Age 100_x000D_
.recs:Birth,Marriage,Death_x000D_
.imm?:no_x000D_
..Spo:ANNE HASTINGS</t>
        </r>
      </text>
    </comment>
    <comment ref="W2638" authorId="0" shapeId="0" xr:uid="{D4617C6E-E6B3-4F2E-893C-17024C36DFBA}">
      <text>
        <r>
          <rPr>
            <sz val="9"/>
            <color indexed="81"/>
            <rFont val="Tahoma"/>
            <family val="2"/>
          </rPr>
          <t>BALDWIN FREVILLE_x000D_
http://yeinfo.com/family/I09066798.html_x000D_
https://www.google.com/search?q=BALDWIN+FREVILLE+1375+1401+JOAN_x000D_
.born:?1375    -          Ashtead (Surrey) England_x000D_
.died: 1401    -          Tamworth (Staffordshire) England, age:26y 0m 0d, _x000D_
.bapt: 1785GE_x000D_
.will: 2004MO_x000D_
.obit: 1890OH_x000D_
.bury: 1850IL _x000D_
.wpbt: 1826PA_x000D_
.anc#:double ancestor_x000D_
citiz:foreign_x000D_
#spos:1_x000D_
#srcs:1_x000D_
#comment:1_x000D_
#events:1_x000D_
#kids:1_x000D_
lived:ENSTAFSTAMWORT,ENSURREASHTEAD_x000D_
issue:_x000D_
.recs:Birth,Marriage,Death_x000D_
.imm?:no_x000D_
..Spo:JOAN GREENE</t>
        </r>
      </text>
    </comment>
    <comment ref="V2640" authorId="0" shapeId="0" xr:uid="{A6DD51D0-C452-4052-9C34-5A6B30E7B603}">
      <text>
        <r>
          <rPr>
            <sz val="9"/>
            <color indexed="81"/>
            <rFont val="Tahoma"/>
            <family val="2"/>
          </rPr>
          <t>ELIZABETH FREVILLE_x000D_
http://yeinfo.com/family/I09066799.html_x000D_
https://www.google.com/search?q=ELIZABETH+FREVILLE+1383+1468+FERRERS_x000D_
.born: 1383    -          Tamworth (Staffordshire) England_x000D_
.died: 14680822-          Warwickshire county England, age:85y 7m 21d, _x000D_
.bapt: 1785GE_x000D_
.will: 2004MO_x000D_
.obit: 1890OH_x000D_
.bury: 1850IL _x000D_
.wpbt: 1826PA_x000D_
.anc#:double ancestor_x000D_
citiz:foreign_x000D_
#spos:1_x000D_
#srcs:1_x000D_
#comment:0_x000D_
#events:1_x000D_
#kids:1_x000D_
lived:ENLEICEGROBY,ENSTAFSTAMWORT,ENWARWE_x000D_
issue:Born before Parents Married_x000D_
.recs:Birth,Marriage,Death_x000D_
.imm?:no_x000D_
..Spo:THOMAS FERRERS</t>
        </r>
      </text>
    </comment>
    <comment ref="W2642" authorId="0" shapeId="0" xr:uid="{0165AC96-F59B-4EEB-B1E5-7613098E72E5}">
      <text>
        <r>
          <rPr>
            <sz val="9"/>
            <color indexed="81"/>
            <rFont val="Tahoma"/>
            <family val="2"/>
          </rPr>
          <t>JOAN GREENE_x000D_
http://yeinfo.com/family/I09066801.html_x000D_
https://www.google.com/search?q=JOAN+GREENE+1370+1401+FREVILLE_x000D_
.born: 1370    -          Northamptonshire county England_x000D_
.died: 1401    -          Surrey county England, age:31y 0m 0d, _x000D_
.bapt: 1785GE_x000D_
.will: 2004MO_x000D_
.obit: 1890OH_x000D_
.bury: 1850IL _x000D_
.wpbt: 1826PA_x000D_
.anc#:double ancestor_x000D_
citiz:foreign_x000D_
#spos:1_x000D_
#srcs:1_x000D_
#comment:1_x000D_
#events:1_x000D_
#kids:1_x000D_
lived:ENNORTA,ENSURRE_x000D_
issue:_x000D_
.recs:Birth,Marriage,Death_x000D_
.imm?:no_x000D_
..Spo:BALDWIN FREVILLE</t>
        </r>
      </text>
    </comment>
    <comment ref="T2644" authorId="0" shapeId="0" xr:uid="{E6AA67AE-646E-4076-82F9-1A87CDE2B59F}">
      <text>
        <r>
          <rPr>
            <sz val="9"/>
            <color indexed="81"/>
            <rFont val="Tahoma"/>
            <family val="2"/>
          </rPr>
          <t>MABEL FERRERS_x000D_
http://yeinfo.com/family/I09066797.html_x000D_
https://www.google.com/search?q=MABEL+FERRERS+1448+1465+LONGFORD_x000D_
.born:?1448    -          Tamworth (Staffordshire) England_x000D_
.died: 1465    -1530     ?England, age:17y 0m 0d, _x000D_
.bapt: 1785GE_x000D_
.will: 2004MO_x000D_
.obit: 1890OH_x000D_
.bury: 1850IL _x000D_
.wpbt: 1826PA_x000D_
.anc#:double ancestor_x000D_
citiz:foreign_x000D_
#spos:1_x000D_
#srcs:1_x000D_
#comment:0_x000D_
#events:1_x000D_
#kids:1_x000D_
lived:ENSTAFSTAMWORT_x000D_
issue:_x000D_
.recs:Birth,Marriage,Death_x000D_
.imm?:no_x000D_
..Spo:RALPH LONGFORD</t>
        </r>
      </text>
    </comment>
    <comment ref="V2646" authorId="0" shapeId="0" xr:uid="{5F719E10-7254-4963-A9F0-8540BE5AAF81}">
      <text>
        <r>
          <rPr>
            <sz val="9"/>
            <color indexed="81"/>
            <rFont val="Tahoma"/>
            <family val="2"/>
          </rPr>
          <t>LEONARD HASTINGS_x000D_
http://yeinfo.com/family/I09066804.html_x000D_
https://www.google.com/search?q=LEONARD+HASTINGS+1396+1455+ALICE+PHILIPA_x000D_
.born: 1396    -          Cheshire county England_x000D_
.died: 14551020-          Market Bosworth (Leicestershire) England, age:59y 9m 19d, _x000D_
.bapt: 1785GE_x000D_
.will: 2004MO_x000D_
.obit: 1890OH_x000D_
.bury: 1850IL _x000D_
.wpbt: 1826PA_x000D_
.anc#:double ancestor_x000D_
citiz:foreign_x000D_
#spos:1_x000D_
#srcs:1_x000D_
#comment:2_x000D_
#events:1_x000D_
#kids:1_x000D_
lived:ENCHESH,ENLEICEMARKETB_x000D_
issue:_x000D_
.recs:Birth,Marriage,Death_x000D_
.imm?:no_x000D_
..Spo:ALICE PHILIPA CAMOYS</t>
        </r>
      </text>
    </comment>
    <comment ref="U2648" authorId="0" shapeId="0" xr:uid="{916EBC44-BA2A-4472-B4A8-5CBB7F6AB632}">
      <text>
        <r>
          <rPr>
            <sz val="9"/>
            <color indexed="81"/>
            <rFont val="Tahoma"/>
            <family val="2"/>
          </rPr>
          <t>ANNE HASTINGS_x000D_
http://yeinfo.com/family/I09066805.html_x000D_
https://www.google.com/search?q=ANNE+HASTINGS+1427+1448+FERRERS_x000D_
.born: 1427    -          Leicestershire county England_x000D_
.died: 1448    -1513     ?England, age:21y 0m 0d, _x000D_
.bapt: 1785GE_x000D_
.will: 2004MO_x000D_
.obit: 1890OH_x000D_
.bury: 1850IL _x000D_
.wpbt: 1826PA_x000D_
.anc#:double ancestor_x000D_
citiz:foreign_x000D_
#spos:1_x000D_
#srcs:1_x000D_
#comment:0_x000D_
#events:1_x000D_
#kids:1_x000D_
lived:ENLEICE,ENSTAFS_x000D_
issue:_x000D_
.recs:Birth,Marriage,Death_x000D_
.imm?:no_x000D_
..Spo:THOMAS FERRERS</t>
        </r>
      </text>
    </comment>
    <comment ref="V2650" authorId="0" shapeId="0" xr:uid="{C1B9C5D9-BCF0-4261-B6CB-BCDB4CCD51C5}">
      <text>
        <r>
          <rPr>
            <sz val="9"/>
            <color indexed="81"/>
            <rFont val="Tahoma"/>
            <family val="2"/>
          </rPr>
          <t>ALICE PHILIPA CAMOYS_x000D_
http://yeinfo.com/family/I09066785.html_x000D_
https://www.google.com/search?q=ALICE+PHILIPA+CAMOYS+1400+1455+HASTINGS_x000D_
.born:?1400    -          Sussex county England_x000D_
.died: 14551020-          Market Bosworth (Leicestershire) England, age:55y 9m 19d, _x000D_
.bapt: 1785GE_x000D_
.will: 2004MO_x000D_
.obit: 1890OH_x000D_
.bury: 1850IL _x000D_
.wpbt: 1826PA_x000D_
.anc#:double ancestor_x000D_
citiz:foreign_x000D_
#spos:1_x000D_
#srcs:1_x000D_
#comment:2_x000D_
#events:1_x000D_
#kids:1_x000D_
lived:ENLEICEMARKETB,ENSUSSE_x000D_
issue:_x000D_
.recs:Birth,Marriage,Death_x000D_
.imm?:no_x000D_
..Spo:LEONARD HASTINGS</t>
        </r>
      </text>
    </comment>
    <comment ref="R2652" authorId="0" shapeId="0" xr:uid="{351C7E86-A2B1-4299-A797-7EF8600160AE}">
      <text>
        <r>
          <rPr>
            <sz val="9"/>
            <color indexed="81"/>
            <rFont val="Tahoma"/>
            <family val="2"/>
          </rPr>
          <t>ELIZABETH LONGFORD_x000D_
http://yeinfo.com/family/I09041431.html_x000D_
https://www.google.com/search?q=ELIZABETH+LONGFORD+1490+1548+TRAFFORD_x000D_
.born:?1490    -          Derbyshire county England_x000D_
.died: 15480127-          Lancashire county England, age:58y 0m 26d, _x000D_
.bapt: 1785GE_x000D_
.will: 2004MO_x000D_
.obit: 1890OH_x000D_
.bury: 1850IL _x000D_
.wpbt: 1826PA_x000D_
.anc#:double ancestor_x000D_
citiz:foreign_x000D_
#spos:1_x000D_
#srcs:1_x000D_
#comment:1_x000D_
#events:1_x000D_
#kids:1_x000D_
lived:?ENLANCS,ENDERBS_x000D_
issue:Spouse Age more than 30-Year Difference_x000D_
.recs:Birth,Marriage,Death_x000D_
.imm?:no_x000D_
..Spo:EDMUND TRAFFORD</t>
        </r>
      </text>
    </comment>
    <comment ref="W2654" authorId="0" shapeId="0" xr:uid="{288288C7-35EC-4ADA-B359-4E05D3D6C2ED}">
      <text>
        <r>
          <rPr>
            <sz val="9"/>
            <color indexed="81"/>
            <rFont val="Tahoma"/>
            <family val="2"/>
          </rPr>
          <t>HENRY TRAFFORD_x000D_
http://yeinfo.com/family/I09066981.html_x000D_
https://www.google.com/search?q=HENRY+TRAFFORD+1225+1264+MARGARET_x000D_
.born:?1225    -          Lancashire county England_x000D_
.died:?1264    -1310      Lancashire county England, age:39y 0m 0d, _x000D_
.bapt: 1785GE_x000D_
.will: 2004MO_x000D_
.obit: 1890OH_x000D_
.bury: 1850IL _x000D_
.wpbt: 1826PA_x000D_
.anc#:  nontuple ancestor_x000D_
citiz:foreign_x000D_
#spos:1_x000D_
#srcs:1_x000D_
#comment:1_x000D_
#events:1_x000D_
#kids:1_x000D_
lived:ENLANCS_x000D_
issue:_x000D_
.recs:Birth,Marriage,Death_x000D_
.imm?:no_x000D_
..Spo:MARGARET TRAFFORD</t>
        </r>
      </text>
    </comment>
    <comment ref="V2656" authorId="0" shapeId="0" xr:uid="{92EA7927-AFA2-4013-9762-5988F41FC03C}">
      <text>
        <r>
          <rPr>
            <sz val="9"/>
            <color indexed="81"/>
            <rFont val="Tahoma"/>
            <family val="2"/>
          </rPr>
          <t>JOHN TRAFFORD_x000D_
http://yeinfo.com/family/I09066434.html_x000D_
https://www.google.com/search?q=JOHN+TRAFFORD+1264+1340+ELIZABETH_x000D_
.born: 1264    -          Lancashire county England_x000D_
.died: 1340    -1350      Lancashire county England, age:76y 0m 0d, _x000D_
.bapt: 1785GE_x000D_
.will: 2004MO_x000D_
.obit: 1890OH_x000D_
.bury: 1850IL _x000D_
.wpbt: 1826PA_x000D_
.anc#:  nontuple ancestor_x000D_
citiz:foreign_x000D_
#spos:1_x000D_
#srcs:7_x000D_
#comment:1_x000D_
#events:1_x000D_
#kids:2_x000D_
lived:ENLANCS_x000D_
issue:_x000D_
.recs:Birth,Marriage,Death_x000D_
.imm?:no_x000D_
..Spo:ELIZABETH ASHTON</t>
        </r>
      </text>
    </comment>
    <comment ref="W2658" authorId="0" shapeId="0" xr:uid="{54E4A81D-AD4E-4910-8906-51E6C34C3567}">
      <text>
        <r>
          <rPr>
            <sz val="9"/>
            <color indexed="81"/>
            <rFont val="Tahoma"/>
            <family val="2"/>
          </rPr>
          <t>Mrs. MARGARET TRAFFORD_x000D_
http://yeinfo.com/family/I09066980.html_x000D_
https://www.google.com/search?q=MARGARET+TRAFFORD+1236+1334+TRAFFORD_x000D_
.born: 1236    -          Lancashire county England_x000D_
.died: 1334    -          Lancashire county England, age:98y 0m 0d, _x000D_
.bapt: 1785GE_x000D_
.will: 2004MO_x000D_
.obit: 1890OH_x000D_
.bury: 1850IL _x000D_
.wpbt: 1826PA_x000D_
.anc#:  nontuple ancestor_x000D_
citiz:foreign_x000D_
#spos:1_x000D_
#srcs:1_x000D_
#comment:0_x000D_
#events:1_x000D_
#kids:1_x000D_
lived:ENLANCS_x000D_
issue:_x000D_
.recs:Birth,Marriage,Death_x000D_
.imm?:no_x000D_
..Spo:HENRY TRAFFORD</t>
        </r>
      </text>
    </comment>
    <comment ref="U2660" authorId="0" shapeId="0" xr:uid="{7D4C2B0F-A269-4C79-A1D3-4F28A52468EE}">
      <text>
        <r>
          <rPr>
            <sz val="9"/>
            <color indexed="81"/>
            <rFont val="Tahoma"/>
            <family val="2"/>
          </rPr>
          <t>HENRY TRAFFORD_x000D_
http://yeinfo.com/family/I09066317.html_x000D_
https://www.google.com/search?q=HENRY+TRAFFORD+1292+1370+AGNES_x000D_
.born: 1292    -          Lancashire county England_x000D_
.died: 1370    -          Lancashire county England, age:78y 0m 0d, _x000D_
.bapt: 1785GE_x000D_
.will: 2004MO_x000D_
.obit: 1890OH_x000D_
.bury: 1850IL _x000D_
.wpbt: 1826PA_x000D_
.anc#:  nontuple ancestor_x000D_
citiz:foreign_x000D_
#spos:1_x000D_
#srcs:1_x000D_
#comment:0_x000D_
#events:1_x000D_
#kids:3_x000D_
lived:ENLANCS_x000D_
issue:_x000D_
.recs:Birth,Marriage,Death_x000D_
.imm?:no_x000D_
..Spo:AGNES DOTERINDE</t>
        </r>
      </text>
    </comment>
    <comment ref="V2662" authorId="0" shapeId="0" xr:uid="{A2732398-9091-42D6-AB90-FE670B0F0130}">
      <text>
        <r>
          <rPr>
            <sz val="9"/>
            <color indexed="81"/>
            <rFont val="Tahoma"/>
            <family val="2"/>
          </rPr>
          <t>ELIZABETH ASHTON_x000D_
http://yeinfo.com/family/I09066433.html_x000D_
https://www.google.com/search?q=ELIZABETH+ASHTON+1268+1340+TRAFFORD_x000D_
.born: 1268    -          Lancashire county England_x000D_
.died: 1340    -1350      Lancashire county England, age:72y 0m 0d, _x000D_
.bapt: 1785GE_x000D_
.will: 2004MO_x000D_
.obit: 1890OH_x000D_
.bury: 1850IL _x000D_
.wpbt: 1826PA_x000D_
.anc#:  nontuple ancestor_x000D_
citiz:foreign_x000D_
#spos:1_x000D_
#srcs:1_x000D_
#comment:1_x000D_
#events:1_x000D_
#kids:2_x000D_
lived:ENLANCS_x000D_
issue:_x000D_
.recs:Birth,Marriage,Death_x000D_
.imm?:no_x000D_
..Spo:JOHN TRAFFORD</t>
        </r>
      </text>
    </comment>
    <comment ref="T2664" authorId="0" shapeId="0" xr:uid="{FDB2B2F8-488B-403F-A8A7-57B922677FC7}">
      <text>
        <r>
          <rPr>
            <sz val="9"/>
            <color indexed="81"/>
            <rFont val="Tahoma"/>
            <family val="2"/>
          </rPr>
          <t>HENRY TRAFFORD_x000D_
http://yeinfo.com/family/I09066982.html_x000D_
https://www.google.com/search?q=HENRY+TRAFFORD+1335+1386+MARGARET_x000D_
.born:?1335    -         ?Lancashire county England_x000D_
.died: 1386    -          Lancashire county England, age:51y 0m 0d, _x000D_
.bapt: 1785GE_x000D_
.will: 2004MO_x000D_
.obit: 1890OH_x000D_
.bury: 1850IL _x000D_
.wpbt: 1826PA_x000D_
.anc#:  sextuple ancestor_x000D_
citiz:foreign_x000D_
#spos:1_x000D_
#srcs:8_x000D_
#comment:0_x000D_
#events:1_x000D_
#kids:3_x000D_
lived:?ENLANCS,ENCHESH_x000D_
issue:Died after Age 100_x000D_
.recs:Birth,Marriage,Death_x000D_
.imm?:no_x000D_
..Spo:MARGARET INCE</t>
        </r>
      </text>
    </comment>
    <comment ref="V2666" authorId="0" shapeId="0" xr:uid="{DA9A4EC1-11D9-41C2-BFFD-3E3C29C4AC59}">
      <text>
        <r>
          <rPr>
            <sz val="9"/>
            <color indexed="81"/>
            <rFont val="Tahoma"/>
            <family val="2"/>
          </rPr>
          <t>RICHARD DOTERINDE_x000D_
http://yeinfo.com/family/I09066492.html_x000D_
https://www.google.com/search?q=RICHARD+DOTERINDE+1280+1345+{_?_}_x000D_
.born:?1280    -          Norfolk county England_x000D_
.died: 1345    -         ?England, age:65y 0m 0d, _x000D_
.bapt: 1785GE_x000D_
.will: 2004MO_x000D_
.obit: 1890OH_x000D_
.bury: 1850IL _x000D_
.wpbt: 1826PA_x000D_
.anc#:  nontuple ancestor_x000D_
citiz:foreign_x000D_
#spos:1_x000D_
#srcs:1_x000D_
#comment:0_x000D_
#events:1_x000D_
#kids:1_x000D_
lived:ENNORFO_x000D_
issue:_x000D_
.recs:Birth,Marriage,Death_x000D_
.imm?:no_x000D_
..Spo:{_?_} DOTERINDE</t>
        </r>
      </text>
    </comment>
    <comment ref="U2668" authorId="0" shapeId="0" xr:uid="{5E46AFEC-6E23-49AD-940F-FD12D4AA7268}">
      <text>
        <r>
          <rPr>
            <sz val="9"/>
            <color indexed="81"/>
            <rFont val="Tahoma"/>
            <family val="2"/>
          </rPr>
          <t>AGNES DOTERINDE_x000D_
http://yeinfo.com/family/I09066318.html_x000D_
https://www.google.com/search?q=AGNES+DOTERINDE+1302+1360+TRAFFORD_x000D_
.born: 1302    -          Birch (Lancashire) England_x000D_
.died: 1360    -          Lancashire county England, age:58y 0m 0d, _x000D_
.bapt: 1785GE_x000D_
.will: 2004MO_x000D_
.obit: 1890OH_x000D_
.bury: 1850IL _x000D_
.wpbt: 1826PA_x000D_
.anc#:  nontuple ancestor_x000D_
citiz:foreign_x000D_
#spos:1_x000D_
#srcs:1_x000D_
#comment:0_x000D_
#events:1_x000D_
#kids:3_x000D_
lived:ENLANCSBIRCH_x000D_
issue:_x000D_
.recs:Birth,Marriage,Death_x000D_
.imm?:no_x000D_
..Spo:HENRY TRAFFORD</t>
        </r>
      </text>
    </comment>
    <comment ref="V2670" authorId="0" shapeId="0" xr:uid="{9FF441D0-BB57-4F47-ADF0-9A6D58318062}">
      <text>
        <r>
          <rPr>
            <sz val="9"/>
            <color indexed="81"/>
            <rFont val="Tahoma"/>
            <family val="2"/>
          </rPr>
          <t>Mrs. {_?_} DOTERINDE_x000D_
http://yeinfo.com/family/I09066493.html_x000D_
https://www.google.com/search?q={_?_}+DOTERINDE+1280+1302+DOTERINDE_x000D_
.born:?1280    -         ?England_x000D_
.died: 1302    -1370     ?England, age:22y 0m 0d, _x000D_
.bapt: 1785GE_x000D_
.will: 2004MO_x000D_
.obit: 1890OH_x000D_
.bury: 1850IL _x000D_
.wpbt: 1826PA_x000D_
.anc#:  nontuple ancestor_x000D_
citiz:foreign_x000D_
#spos:1_x000D_
#srcs:1_x000D_
#comment:0_x000D_
#events:1_x000D_
#kids:1_x000D_
lived:?EN_x000D_
issue:_x000D_
.recs:Birth,Marriage,Death_x000D_
.imm?:no_x000D_
..Spo:RICHARD DOTERINDE</t>
        </r>
      </text>
    </comment>
    <comment ref="S2672" authorId="0" shapeId="0" xr:uid="{00555D71-B53E-4673-8241-ECD78B606CD3}">
      <text>
        <r>
          <rPr>
            <sz val="9"/>
            <color indexed="81"/>
            <rFont val="Tahoma"/>
            <family val="2"/>
          </rPr>
          <t>MARGERY TRAFFORD_x000D_
http://yeinfo.com/family/I09066838.html_x000D_
https://www.google.com/search?q=MARGERY+TRAFFORD+1462+1549+LONGFORD_x000D_
.born: 1462    -          Lancashire county England_x000D_
.died: 15490310-          Lancashire county England, age:87y 2m 9d, _x000D_
.bapt: 1785GE_x000D_
.will: 2004MO_x000D_
.obit: 1890OH_x000D_
.bury: 1850IL _x000D_
.wpbt: 1826PA_x000D_
.anc#:double ancestor_x000D_
citiz:foreign_x000D_
#spos:1_x000D_
#srcs:1_x000D_
#comment:0_x000D_
#events:1_x000D_
#kids:1_x000D_
lived:ENLANCS_x000D_
issue:Born after Parent Died,Born after Dad Age 60,Born after Mom Age 50_x000D_
.recs:Birth,Marriage,Death_x000D_
.imm?:no_x000D_
..Spo:NICHOLAS LONGFORD</t>
        </r>
      </text>
    </comment>
    <comment ref="W2674" authorId="0" shapeId="0" xr:uid="{AE6560CA-CF5F-4E58-99F5-C96E4DB857A5}">
      <text>
        <r>
          <rPr>
            <sz val="9"/>
            <color indexed="81"/>
            <rFont val="Tahoma"/>
            <family val="2"/>
          </rPr>
          <t>ALFREDUS INCE I_x000D_
http://yeinfo.com/family/I09066930.html_x000D_
https://www.google.com/search?q=ALFREDUS+INCE+1265+1290+ALICE\ALESIA_x000D_
.born:?1265    -          Ince (Lancashire) England_x000D_
.died:?1290    -1350      Wigan (Lancashire) England, age:25y 0m 0d, _x000D_
.bapt: 1785GE_x000D_
.will: 2004MO_x000D_
.obit: 1890OH_x000D_
.bury: 1850IL _x000D_
.wpbt: 1826PA_x000D_
.anc#:  sextuple ancestor_x000D_
citiz:foreign_x000D_
#spos:1_x000D_
#srcs:3_x000D_
#comment:1_x000D_
#events:1_x000D_
#kids:1_x000D_
lived:ENLANCSINCE,ENLANCSWIGAN_x000D_
issue:_x000D_
.recs:Birth,Marriage,Death_x000D_
.imm?:no_x000D_
..Spo:ALICE\ALESIA STANDISH</t>
        </r>
      </text>
    </comment>
    <comment ref="V2676" authorId="0" shapeId="0" xr:uid="{57CADF44-1FBA-463A-A1FF-BD1430ED6C8E}">
      <text>
        <r>
          <rPr>
            <sz val="9"/>
            <color indexed="81"/>
            <rFont val="Tahoma"/>
            <family val="2"/>
          </rPr>
          <t>RICHARD INCE I_x000D_
http://yeinfo.com/family/I09066931.html_x000D_
https://www.google.com/search?q=RICHARD+INCE+1290+1333+ELIZABETH_x000D_
.born:?1290    -          Wigan (Lancashire) England_x000D_
.died: 1333    -1375      Wigan (Lancashire) England, age:43y 0m 0d, _x000D_
.bapt: 1785GE_x000D_
.will: 2004MO_x000D_
.obit: 1890OH_x000D_
.bury: 1850IL _x000D_
.wpbt: 1826PA_x000D_
.anc#:  sextuple ancestor_x000D_
citiz:foreign_x000D_
#spos:1_x000D_
#srcs:6_x000D_
#comment:0_x000D_
#events:1_x000D_
#kids:1_x000D_
lived:ENLANCSWIGAN_x000D_
issue:Died after Age 100_x000D_
.recs:Birth,Marriage,Death_x000D_
.imm?:no_x000D_
..Spo:ELIZABETH RADCLIFFE</t>
        </r>
      </text>
    </comment>
    <comment ref="W2678" authorId="0" shapeId="0" xr:uid="{86EFCCB0-911B-43C9-BD52-AAF471479826}">
      <text>
        <r>
          <rPr>
            <sz val="9"/>
            <color indexed="81"/>
            <rFont val="Tahoma"/>
            <family val="2"/>
          </rPr>
          <t>ALICE\ALESIA STANDISH_x000D_
http://yeinfo.com/family/I09066976.html_x000D_
https://www.google.com/search?q=ALICE\ALESIA+STANDISH+1262+1290+INCE_x000D_
.born:?1262    -          Standish (Lancashire) England_x000D_
.died: 1290    -1350     ?Lancashire county England, age:28y 0m 0d, _x000D_
.bapt: 1785GE_x000D_
.will: 2004MO_x000D_
.obit: 1890OH_x000D_
.bury: 1850IL _x000D_
.wpbt: 1826PA_x000D_
.anc#:  sextuple ancestor_x000D_
citiz:foreign_x000D_
#spos:1_x000D_
#srcs:4_x000D_
#comment:0_x000D_
#events:1_x000D_
#kids:1_x000D_
lived:ENLANCSSTANDIS_x000D_
issue:_x000D_
.recs:Birth,Marriage,Death_x000D_
.imm?:no_x000D_
..Spo:ALFREDUS INCE</t>
        </r>
      </text>
    </comment>
    <comment ref="U2680" authorId="0" shapeId="0" xr:uid="{4729CDD5-AA78-4C1B-8821-F1A8A03ACF88}">
      <text>
        <r>
          <rPr>
            <sz val="9"/>
            <color indexed="81"/>
            <rFont val="Tahoma"/>
            <family val="2"/>
          </rPr>
          <t>ROBERT INCE_x000D_
http://yeinfo.com/family/I09066933.html_x000D_
https://www.google.com/search?q=ROBERT+INCE+1304+1335+{_?_}_x000D_
.born: 1304    -          Lancashire county England_x000D_
.died: 1335    -1390     ?Lancashire county England, age:31y 0m 0d, _x000D_
.bapt: 1785GE_x000D_
.will: 2004MO_x000D_
.obit: 1890OH_x000D_
.bury: 1850IL _x000D_
.wpbt: 1826PA_x000D_
.anc#:  sextuple ancestor_x000D_
citiz:foreign_x000D_
#spos:1_x000D_
#srcs:6_x000D_
#comment:0_x000D_
#events:1_x000D_
#kids:1_x000D_
lived:ENLANCS_x000D_
issue:Born before Parents Married_x000D_
.recs:Birth,Marriage,Death_x000D_
.imm?:no_x000D_
..Spo:{_?_} INCE</t>
        </r>
      </text>
    </comment>
    <comment ref="Y2682" authorId="0" shapeId="0" xr:uid="{2DC01C00-45F2-455D-A038-C36148A3A9DE}">
      <text>
        <r>
          <rPr>
            <sz val="9"/>
            <color indexed="81"/>
            <rFont val="Tahoma"/>
            <family val="2"/>
          </rPr>
          <t>ROBERT RADCLIFFE_x000D_
http://yeinfo.com/family/I09066959.html_x000D_
https://www.google.com/search?q=ROBERT+RADCLIFFE+1208+1239+AMBIL\AMABIL_x000D_
.born:?1208    -          Lancashire county England_x000D_
.died: 1239    -1290     ?Lancashire county England, age:31y 0m 0d, _x000D_
.bapt: 1785GE_x000D_
.will: 2004MO_x000D_
.obit: 1890OH_x000D_
.bury: 1850IL _x000D_
.wpbt: 1826PA_x000D_
.anc#: decuple ancestor_x000D_
citiz:foreign_x000D_
#spos:1_x000D_
#srcs:3_x000D_
#comment:1_x000D_
#events:1_x000D_
#kids:1_x000D_
lived:ENLANCS_x000D_
issue:Died after Age 100_x000D_
.recs:Birth,Marriage,Death_x000D_
.imm?:no_x000D_
..Spo:AMBIL\AMABIL TRAFFORD</t>
        </r>
      </text>
    </comment>
    <comment ref="X2684" authorId="0" shapeId="0" xr:uid="{437BA24E-C247-4D28-ADB7-EE336458D512}">
      <text>
        <r>
          <rPr>
            <sz val="9"/>
            <color indexed="81"/>
            <rFont val="Tahoma"/>
            <family val="2"/>
          </rPr>
          <t>RICHARD RADCLIFFE_x000D_
http://yeinfo.com/family/I09066960.html_x000D_
https://www.google.com/search?q=RICHARD+RADCLIFFE+1224+1326+JOAN\MARGARET_x000D_
.born: 1224    -          Lancashire county England_x000D_
.died: 1326    -          Lancashire county England, age:102y 0m 0d, _x000D_
.bapt: 1785GE_x000D_
.will: 2004MO_x000D_
.obit: 1890OH_x000D_
.bury: 1850IL _x000D_
.wpbt: 1826PA_x000D_
.anc#: decuple ancestor_x000D_
citiz:foreign_x000D_
#spos:1_x000D_
#srcs:3_x000D_
#comment:0_x000D_
#events:1_x000D_
#kids:2_x000D_
lived:ENLANCS_x000D_
issue:Married after Age 60_x000D_
.recs:Birth,Marriage,Death_x000D_
.imm?:no_x000D_
..Spo:JOAN\MARGARET BOTELER</t>
        </r>
      </text>
    </comment>
    <comment ref="Y2686" authorId="0" shapeId="0" xr:uid="{CF3F7737-FB00-4B1C-A3BE-C187B02ED869}">
      <text>
        <r>
          <rPr>
            <sz val="9"/>
            <color indexed="81"/>
            <rFont val="Tahoma"/>
            <family val="2"/>
          </rPr>
          <t>AMBIL\AMABIL TRAFFORD_x000D_
http://yeinfo.com/family/I09066988.html_x000D_
https://www.google.com/search?q=AMBIL\AMABIL+TRAFFORD+1222+1239+RADCLIFFE_x000D_
.born:?1222    -          Lancashire county England_x000D_
.died: 1239    -1304     ?Lancashire county England, age:17y 0m 0d, _x000D_
.bapt: 1785GE_x000D_
.will: 2004MO_x000D_
.obit: 1890OH_x000D_
.bury: 1850IL _x000D_
.wpbt: 1826PA_x000D_
.anc#: decuple ancestor_x000D_
citiz:foreign_x000D_
#spos:1_x000D_
#srcs:3_x000D_
#comment:1_x000D_
#events:1_x000D_
#kids:1_x000D_
lived:ENLANCS_x000D_
issue:Died after Age 100_x000D_
.recs:Birth,Marriage,Death_x000D_
.imm?:no_x000D_
..Spo:ROBERT RADCLIFFE</t>
        </r>
      </text>
    </comment>
    <comment ref="W2688" authorId="0" shapeId="0" xr:uid="{CA32AE8D-0576-4BC2-9113-DC37B7EC0E81}">
      <text>
        <r>
          <rPr>
            <sz val="9"/>
            <color indexed="81"/>
            <rFont val="Tahoma"/>
            <family val="2"/>
          </rPr>
          <t>WILLIAM RADCLIFFE_x000D_
http://yeinfo.com/family/I09066961.html_x000D_
https://www.google.com/search?q=WILLIAM+RADCLIFFE+1267+1333+MARGARET_x000D_
.born: 1267    -          Lancashire county England_x000D_
.died: 1333    -         ?Lancashire county England, age:66y 0m 0d, _x000D_
.bapt: 1785GE_x000D_
.will: 2004MO_x000D_
.obit: 1890OH_x000D_
.bury: 1850IL _x000D_
.wpbt: 1826PA_x000D_
.anc#:  octuple ancestor_x000D_
citiz:foreign_x000D_
#spos:1_x000D_
#srcs:4_x000D_
#comment:0_x000D_
#events:1_x000D_
#kids:2_x000D_
lived:ENLANCS_x000D_
issue:_x000D_
.recs:Birth,Marriage,Death_x000D_
.imm?:no_x000D_
..Spo:MARGARET PEASFURLONG</t>
        </r>
      </text>
    </comment>
    <comment ref="Y2690" authorId="0" shapeId="0" xr:uid="{CB8CB88D-62E2-4A3B-916E-D2B3C995541F}">
      <text>
        <r>
          <rPr>
            <sz val="9"/>
            <color indexed="81"/>
            <rFont val="Tahoma"/>
            <family val="2"/>
          </rPr>
          <t>HENRY\WILLIAM\ROBERT BOTELER_x000D_
http://yeinfo.com/family/I09066877.html_x000D_
https://www.google.com/search?q=HENRY\WILLIAM\ROBERT+BOTELER+1230+1247+ISABELLA_x000D_
.born:?1230    -          Warrington (Lancashire) England_x000D_
.died: 1247    -1280     ?Lancashire county England, age:17y 0m 0d, _x000D_
.bapt: 1785GE_x000D_
.will: 2004MO_x000D_
.obit: 1890OH_x000D_
.bury: 1850IL _x000D_
.wpbt: 1826PA_x000D_
.anc#: decuple ancestor_x000D_
citiz:foreign_x000D_
#spos:1_x000D_
#srcs:1_x000D_
#comment:1_x000D_
#events:2_x000D_
#kids:1_x000D_
lived:ENLANCSWARRING_x000D_
issue:_x000D_
.recs:Birth,Marriage,Death_x000D_
.imm?:no_x000D_
..Spo:ISABELLA BOTELER</t>
        </r>
      </text>
    </comment>
    <comment ref="X2692" authorId="0" shapeId="0" xr:uid="{B7D3BA6A-1CD6-4897-B426-98284451D515}">
      <text>
        <r>
          <rPr>
            <sz val="9"/>
            <color indexed="81"/>
            <rFont val="Tahoma"/>
            <family val="2"/>
          </rPr>
          <t>JOAN\MARGARET BOTELER_x000D_
http://yeinfo.com/family/I09066878.html_x000D_
https://www.google.com/search?q=JOAN\MARGARET+BOTELER+1232+1267+RADCLIFFE_x000D_
.born: 1232    -          Warrington (Lancashire) England_x000D_
.died: 1267    -1332     ?Lancashire county England, age:35y 0m 0d, _x000D_
.bapt: 1785GE_x000D_
.will: 2004MO_x000D_
.obit: 1890OH_x000D_
.bury: 1850IL _x000D_
.wpbt: 1826PA_x000D_
.anc#: decuple ancestor_x000D_
citiz:foreign_x000D_
#spos:1_x000D_
#srcs:3_x000D_
#comment:0_x000D_
#events:1_x000D_
#kids:2_x000D_
lived:ENLANCSWARRING_x000D_
issue:Born before Parents Married_x000D_
.recs:Birth,Marriage,Death_x000D_
.imm?:no_x000D_
..Spo:RICHARD RADCLIFFE</t>
        </r>
      </text>
    </comment>
    <comment ref="Y2694" authorId="0" shapeId="0" xr:uid="{1219C4B5-B495-4731-8A5F-A55AC0CA5632}">
      <text>
        <r>
          <rPr>
            <sz val="9"/>
            <color indexed="81"/>
            <rFont val="Tahoma"/>
            <family val="2"/>
          </rPr>
          <t>Mrs. ISABELLA BOTELER_x000D_
http://yeinfo.com/family/I09066876.html_x000D_
https://www.google.com/search?q=ISABELLA+BOTELER+1227+1247+BOTELER_x000D_
.born:?1227    -          Merton (Lancashire) England_x000D_
.died: 1247    -1312     ?Lancashire county England, age:20y 0m 0d, _x000D_
.bapt: 1785GE_x000D_
.will: 2004MO_x000D_
.obit: 1890OH_x000D_
.bury: 1850IL _x000D_
.wpbt: 1826PA_x000D_
.anc#: decuple ancestor_x000D_
citiz:foreign_x000D_
#spos:1_x000D_
#srcs:2_x000D_
#comment:1_x000D_
#events:1_x000D_
#kids:1_x000D_
lived:ENLANCSMERTON_x000D_
issue:_x000D_
.recs:Birth,Marriage,Death_x000D_
.imm?:no_x000D_
..Spo:HENRY\WILLIAM\ROBERT BOTELER</t>
        </r>
      </text>
    </comment>
    <comment ref="V2696" authorId="0" shapeId="0" xr:uid="{E956632D-2E90-46DC-8953-F6DDA192B19C}">
      <text>
        <r>
          <rPr>
            <sz val="9"/>
            <color indexed="81"/>
            <rFont val="Tahoma"/>
            <family val="2"/>
          </rPr>
          <t>ELIZABETH RADCLIFFE_x000D_
http://yeinfo.com/family/I09066963.html_x000D_
https://www.google.com/search?q=ELIZABETH+RADCLIFFE+1290+1310+INCE_x000D_
.born: 1290    -          Lancashire county England_x000D_
.died: 1310    -1375     ?Lancashire county England, age:20y 0m 0d, _x000D_
.bapt: 1785GE_x000D_
.will: 2004MO_x000D_
.obit: 1890OH_x000D_
.bury: 1850IL _x000D_
.wpbt: 1826PA_x000D_
.anc#:  sextuple ancestor_x000D_
citiz:foreign_x000D_
#spos:1_x000D_
#srcs:6_x000D_
#comment:0_x000D_
#events:1_x000D_
#kids:1_x000D_
lived:ENLANCS_x000D_
issue:Died after Age 100_x000D_
.recs:Birth,Marriage,Death_x000D_
.imm?:no_x000D_
..Spo:RICHARD INCE</t>
        </r>
      </text>
    </comment>
    <comment ref="X2698" authorId="0" shapeId="0" xr:uid="{1F4B4830-646F-40AA-9F65-62BF7433A1CE}">
      <text>
        <r>
          <rPr>
            <sz val="9"/>
            <color indexed="81"/>
            <rFont val="Tahoma"/>
            <family val="2"/>
          </rPr>
          <t>ADAM PEASFURLONG_x000D_
http://yeinfo.com/family/I09066956.html_x000D_
https://www.google.com/search?q=ADAM+PEASFURLONG+1242+1274+ELIZABETH_x000D_
.born:?1242    -          Wigan (Lancashire) England_x000D_
.died: 1274    -1339     ?Lancashire county England, age:32y 0m 0d, _x000D_
.bapt: 1785GE_x000D_
.will: 2004MO_x000D_
.obit: 1890OH_x000D_
.bury: 1850IL _x000D_
.wpbt: 1826PA_x000D_
.anc#:  octuple ancestor_x000D_
citiz:foreign_x000D_
#spos:1_x000D_
#srcs:3_x000D_
#comment:0_x000D_
#events:1_x000D_
#kids:1_x000D_
lived:ENLANCSWIGAN_x000D_
issue:_x000D_
.recs:Birth,Marriage,Death_x000D_
.imm?:no_x000D_
..Spo:ELIZABETH CULCHETH</t>
        </r>
      </text>
    </comment>
    <comment ref="W2700" authorId="0" shapeId="0" xr:uid="{C94893C9-DC47-4109-8C47-646EF92DFCB9}">
      <text>
        <r>
          <rPr>
            <sz val="9"/>
            <color indexed="81"/>
            <rFont val="Tahoma"/>
            <family val="2"/>
          </rPr>
          <t>MARGARET PEASFURLONG_x000D_
http://yeinfo.com/family/I09066957.html_x000D_
https://www.google.com/search?q=MARGARET+PEASFURLONG+1244+1290+RADCLIFFE_x000D_
.born: 1244    -          Warrington (Lancashire) England_x000D_
.died: 1290    -1355     ?Lancashire county England, age:46y 0m 0d, _x000D_
.bapt: 1785GE_x000D_
.will: 2004MO_x000D_
.obit: 1890OH_x000D_
.bury: 1850IL _x000D_
.wpbt: 1826PA_x000D_
.anc#:  octuple ancestor_x000D_
citiz:foreign_x000D_
#spos:1_x000D_
#srcs:4_x000D_
#comment:0_x000D_
#events:1_x000D_
#kids:2_x000D_
lived:ENLANCSWARRING_x000D_
issue:Born before Parents Married_x000D_
.recs:Birth,Marriage,Death_x000D_
.imm?:no_x000D_
..Spo:WILLIAM RADCLIFFE</t>
        </r>
      </text>
    </comment>
    <comment ref="Y2702" authorId="0" shapeId="0" xr:uid="{5C4D6EBC-5BBA-4EF3-800E-2F312DF3A86F}">
      <text>
        <r>
          <rPr>
            <sz val="9"/>
            <color indexed="81"/>
            <rFont val="Tahoma"/>
            <family val="2"/>
          </rPr>
          <t>GILBERT CULCHETH_x000D_
http://yeinfo.com/family/I09066895.html_x000D_
https://www.google.com/search?q=GILBERT+CULCHETH+1205+1246+CECILIA_x000D_
.born:?1205    -          Culcheth (Lancashire) England_x000D_
.died: 1246    -         ?Lancashire county England, age:41y 0m 0d, _x000D_
.bapt: 1785GE_x000D_
.will: 2004MO_x000D_
.obit: 1890OH_x000D_
.bury: 1850IL _x000D_
.wpbt: 1826PA_x000D_
.anc#:  octuple ancestor_x000D_
citiz:foreign_x000D_
#spos:1_x000D_
#srcs:3_x000D_
#comment:1_x000D_
#events:1_x000D_
#kids:1_x000D_
lived:ENLANCSCULCHET_x000D_
issue:Died after Age 100_x000D_
.recs:Birth,Marriage,Death_x000D_
.imm?:no_x000D_
..Spo:CECILIA LATHOM</t>
        </r>
      </text>
    </comment>
    <comment ref="X2704" authorId="0" shapeId="0" xr:uid="{B9EEFB7B-2207-4D25-8E5C-BBCD9B4084F8}">
      <text>
        <r>
          <rPr>
            <sz val="9"/>
            <color indexed="81"/>
            <rFont val="Tahoma"/>
            <family val="2"/>
          </rPr>
          <t>ELIZABETH CULCHETH_x000D_
http://yeinfo.com/family/I09066896.html_x000D_
https://www.google.com/search?q=ELIZABETH+CULCHETH+1215+1274+PEASFURLONG_x000D_
.born: 1215    -          Culcheth (Lancashire) England_x000D_
.died: 1274    -1339     ?Lancashire county England, age:59y 0m 0d, _x000D_
.bapt: 1785GE_x000D_
.will: 2004MO_x000D_
.obit: 1890OH_x000D_
.bury: 1850IL _x000D_
.wpbt: 1826PA_x000D_
.anc#:  octuple ancestor_x000D_
citiz:foreign_x000D_
#spos:1_x000D_
#srcs:3_x000D_
#comment:0_x000D_
#events:1_x000D_
#kids:1_x000D_
lived:ENLANCSCULCHET_x000D_
issue:_x000D_
.recs:Birth,Marriage,Death_x000D_
.imm?:no_x000D_
..Spo:ADAM PEASFURLONG</t>
        </r>
      </text>
    </comment>
    <comment ref="Y2706" authorId="0" shapeId="0" xr:uid="{7F4FD432-DABD-4EE3-8080-CBDEF29061D9}">
      <text>
        <r>
          <rPr>
            <sz val="9"/>
            <color indexed="81"/>
            <rFont val="Tahoma"/>
            <family val="2"/>
          </rPr>
          <t>CECILIA LATHOM_x000D_
http://yeinfo.com/family/I09066935.html_x000D_
https://www.google.com/search?q=CECILIA+LATHOM+1222+1245+CULCHETH_x000D_
.born:?1222    -          Latham (Lancashire) England_x000D_
.died: 1245    -1310     ?Lancashire county England, age:23y 0m 0d, _x000D_
.bapt: 1785GE_x000D_
.will: 2004MO_x000D_
.obit: 1890OH_x000D_
.bury: 1850IL _x000D_
.wpbt: 1826PA_x000D_
.anc#:  octuple ancestor_x000D_
citiz:foreign_x000D_
#spos:1_x000D_
#srcs:3_x000D_
#comment:1_x000D_
#events:1_x000D_
#kids:1_x000D_
lived:ENLANCSLATHAM_x000D_
issue:Died after Age 100_x000D_
.recs:Birth,Marriage,Death_x000D_
.imm?:no_x000D_
..Spo:GILBERT CULCHETH</t>
        </r>
      </text>
    </comment>
    <comment ref="T2708" authorId="0" shapeId="0" xr:uid="{5347DFC1-9834-46D2-9378-19B63C8CF7DC}">
      <text>
        <r>
          <rPr>
            <sz val="9"/>
            <color indexed="81"/>
            <rFont val="Tahoma"/>
            <family val="2"/>
          </rPr>
          <t>MARGARET INCE_x000D_
http://yeinfo.com/family/I09066934.html_x000D_
https://www.google.com/search?q=MARGARET+INCE+1330+1417+TRAFFORD_x000D_
.born:?1330    -          Lancashire county England_x000D_
.died:?141701  -         ?Lancashire county England, age:87y 0m 0d, _x000D_
.bapt: 1785GE_x000D_
.will: 2004MO_x000D_
.obit: 1890OH_x000D_
.bury: 1850IL _x000D_
.wpbt: 1826PA_x000D_
.anc#:  sextuple ancestor_x000D_
citiz:foreign_x000D_
#spos:1_x000D_
#srcs:8_x000D_
#comment:0_x000D_
#events:1_x000D_
#kids:3_x000D_
lived:ENCHESH,ENLANCS_x000D_
issue:_x000D_
.recs:Birth,Marriage,Death_x000D_
.imm?:no_x000D_
..Spo:HENRY TRAFFORD</t>
        </r>
      </text>
    </comment>
    <comment ref="U2710" authorId="0" shapeId="0" xr:uid="{CC3839A6-BBC2-46F7-AAD0-E2FB99773E10}">
      <text>
        <r>
          <rPr>
            <sz val="9"/>
            <color indexed="81"/>
            <rFont val="Tahoma"/>
            <family val="2"/>
          </rPr>
          <t>Mrs. {_?_} INCE_x000D_
http://yeinfo.com/family/I09066932.html_x000D_
https://www.google.com/search?q={_?_}+INCE+1310+1335+INCE_x000D_
.born:?1310    -         ?_x000D_
.died: 1335    -1390     ?Lancashire county England, age:25y 0m 0d, _x000D_
.bapt: 1785GE_x000D_
.will: 2004MO_x000D_
.obit: 1890OH_x000D_
.bury: 1850IL _x000D_
.wpbt: 1826PA_x000D_
.anc#:  sextuple ancestor_x000D_
citiz:foreign_x000D_
#spos:1_x000D_
#srcs:0_x000D_
#comment:0_x000D_
#events:1_x000D_
#kids:1_x000D_
lived:?ENLANCS_x000D_
issue:_x000D_
.recs:Birth,Marriage,Death_x000D_
.imm?:no_x000D_
..Spo:ROBERT INCE</t>
        </r>
      </text>
    </comment>
    <comment ref="N2712" authorId="0" shapeId="0" xr:uid="{861F252F-3138-4E4C-9EE7-256DEE538680}">
      <text>
        <r>
          <rPr>
            <sz val="9"/>
            <color indexed="81"/>
            <rFont val="Tahoma"/>
            <family val="2"/>
          </rPr>
          <t>ANNE BARLOW_x000D_
http://yeinfo.com/family/I09002589.html_x000D_
https://www.google.com/search?q=ANNE+BARLOW+1631+1663+DRAKE_x000D_
.born:c1631    -          England_x000D_
.died: 1663    -1721      Windsor (Hartford) Connecticut, age:32y 0m 0d, _x000D_
.bapt: 1785GE_x000D_
.will: 2004MO_x000D_
.obit: 1890OH_x000D_
.bury: 1850IL _x000D_
.wpbt: 1826PA_x000D_
.anc#:double ancestor_x000D_
citiz:immigrant_x000D_
#spos:1_x000D_
#srcs:1_x000D_
#comment:0_x000D_
#events:1_x000D_
#kids:1_x000D_
lived:CTFAIRD,CTHARTFWINDSOR,EN_x000D_
issue:_x000D_
.recs:Birth,Marriage,Death_x000D_
.imm?:immigrant_x000D_
..Spo:SAMUEL DRAKE</t>
        </r>
      </text>
    </comment>
    <comment ref="O2714" authorId="0" shapeId="0" xr:uid="{1B6C71B8-8F6F-4F89-986D-C1BB8E36AFD2}">
      <text>
        <r>
          <rPr>
            <sz val="9"/>
            <color indexed="81"/>
            <rFont val="Tahoma"/>
            <family val="2"/>
          </rPr>
          <t>ANN WARD_x000D_
http://yeinfo.com/family/I09005179.html_x000D_
https://www.google.com/search?q=ANN+WARD+1604+1685+BARLOW_x000D_
.born:c1604    -          Lancashire county England_x000D_
.died: 16851225-          Fairfield (Fairfield) Connecticut, age:81y 11m 24d, _x000D_
.bapt: 1785GE_x000D_
.will: 2004MO_x000D_
.obit: 1890OH_x000D_
.bury: 1850IL _x000D_
.wpbt: 1826PA_x000D_
.anc#:double ancestor_x000D_
citiz:immigrant_x000D_
#spos:1_x000D_
#srcs:1_x000D_
#comment:0_x000D_
#events:1_x000D_
#kids:1_x000D_
lived:CTFAIRDFAIRFIE,ENLANCS_x000D_
issue:_x000D_
.recs:Birth,Marriage,Death_x000D_
.imm?:immigrant_x000D_
..Spo:JOHN BARLOW</t>
        </r>
      </text>
    </comment>
    <comment ref="L2716" authorId="0" shapeId="0" xr:uid="{FB72481D-2F14-4627-8658-69ADB1CD06E9}">
      <text>
        <r>
          <rPr>
            <sz val="9"/>
            <color indexed="81"/>
            <rFont val="Tahoma"/>
            <family val="2"/>
          </rPr>
          <t>MARY DRAKE_x000D_
http://yeinfo.com/family/I09000647.html_x000D_
https://www.google.com/search?q=MARY+DRAKE+1691+1757+FOWLER_x000D_
.born: 16911111-          Eastchester (Westchester) New York_x000D_
.died: 17570126-          Eastchester (Westchester) New York, age:65y 2m 15d, _x000D_
.bapt: 1785GE_x000D_
.will: 2004MO_x000D_
.obit: 1890OH_x000D_
.bury: 1850IL _x000D_
.wpbt: 1826PA_x000D_
.anc#:double ancestor_x000D_
citiz:US born_x000D_
#spos:1_x000D_
#srcs:1_x000D_
#comment:0_x000D_
#events:1_x000D_
#kids:1_x000D_
lived:NYWESTCEASTCHE_x000D_
issue:_x000D_
.recs:Birth,Marriage,Death_x000D_
.imm?:no_x000D_
..Spo:WILLIAM FOWLER</t>
        </r>
      </text>
    </comment>
    <comment ref="O2718" authorId="0" shapeId="0" xr:uid="{59DB80AB-151B-48D4-AAB6-7E32BC450302}">
      <text>
        <r>
          <rPr>
            <sz val="9"/>
            <color indexed="81"/>
            <rFont val="Tahoma"/>
            <family val="2"/>
          </rPr>
          <t>THOMAS SHUTE_x000D_
http://yeinfo.com/family/I09005180.html_x000D_
https://www.google.com/search?q=THOMAS+SHUTE+1613+1671+SARAH_x000D_
.born:c1613    -          England_x000D_
.died: 16711031-          Eastchester (Westchester) New York, age:58y 9m 30d, _x000D_
.bapt: 1785GE_x000D_
.will: 2004MO_x000D_
.obit: 1890OH_x000D_
.bury: 1850IL _x000D_
.wpbt: 1826PA_x000D_
.anc#:double ancestor_x000D_
citiz:immigrant_x000D_
#spos:1_x000D_
#srcs:1_x000D_
#comment:0_x000D_
#events:1_x000D_
#kids:1_x000D_
lived:EN,NYWESTCEASTCHE_x000D_
issue:_x000D_
.recs:Birth,Marriage,Death_x000D_
.imm?:immigrant_x000D_
..Spo:SARAH MEADOWS</t>
        </r>
      </text>
    </comment>
    <comment ref="N2720" authorId="0" shapeId="0" xr:uid="{DD0B9D3F-451E-4216-AF0D-C349F5B7E96C}">
      <text>
        <r>
          <rPr>
            <sz val="9"/>
            <color indexed="81"/>
            <rFont val="Tahoma"/>
            <family val="2"/>
          </rPr>
          <t>RICHARD SHUTE_x000D_
http://yeinfo.com/family/I09002590.html_x000D_
https://www.google.com/search?q=RICHARD+SHUTE+1635+1675+SARAH_x000D_
.born:c1635    -          Eastchester (Westchester) New York_x000D_
.died:c1675    -          Eastchester (Westchester) New York, age:40y 0m 0d, _x000D_
.bapt: 1785GE_x000D_
.will: 2004MO_x000D_
.obit: 1890OH_x000D_
.bury: 1850IL _x000D_
.wpbt: 1826PA_x000D_
.anc#:double ancestor_x000D_
citiz:US born_x000D_
#spos:1_x000D_
#srcs:1_x000D_
#comment:0_x000D_
#events:1_x000D_
#kids:1_x000D_
lived:CTLITCHNEW MIL,NYWESTCEASTCHE_x000D_
issue:Born before Parents Married_x000D_
.recs:Birth,Marriage,Death_x000D_
.imm?:no_x000D_
..Spo:SARAH SANFORD</t>
        </r>
      </text>
    </comment>
    <comment ref="O2722" authorId="0" shapeId="0" xr:uid="{EBFF154A-FEE9-4EA5-B729-EFAB7CB01B6D}">
      <text>
        <r>
          <rPr>
            <sz val="9"/>
            <color indexed="81"/>
            <rFont val="Tahoma"/>
            <family val="2"/>
          </rPr>
          <t>SARAH MEADOWS_x000D_
http://yeinfo.com/family/I09005181.html_x000D_
https://www.google.com/search?q=SARAH+MEADOWS+1615+1635+SHUTE_x000D_
.born:c1615    -         ?England_x000D_
.died: 1635    -1705     ?Westchester county New York, age:20y 0m 0d, _x000D_
.bapt: 1785GE_x000D_
.will: 2004MO_x000D_
.obit: 1890OH_x000D_
.bury: 1850IL _x000D_
.wpbt: 1826PA_x000D_
.anc#:double ancestor_x000D_
citiz:immigrant_x000D_
#spos:1_x000D_
#srcs:2_x000D_
#comment:0_x000D_
#events:1_x000D_
#kids:1_x000D_
lived:?EN,NYWESTCEASTCHE_x000D_
issue:Died before Birth_x000D_
.recs:Birth,Marriage,Death_x000D_
.imm?:immigrant_x000D_
..Spo:THOMAS SHUTE</t>
        </r>
      </text>
    </comment>
    <comment ref="M2724" authorId="0" shapeId="0" xr:uid="{84D6D864-D705-4EA8-999E-5515C7696DC4}">
      <text>
        <r>
          <rPr>
            <sz val="9"/>
            <color indexed="81"/>
            <rFont val="Tahoma"/>
            <family val="2"/>
          </rPr>
          <t>MARY SARAH SHUTE_x000D_
http://yeinfo.com/family/I09001295.html_x000D_
https://www.google.com/search?q=MARY+SARAH+SHUTE+1667+1731+DRAKE_x000D_
.born: 16670903-          Eastchester (Westchester) New York_x000D_
.died: 17310316-          Eastchester (Westchester) New York, age:63y 6m 13d, _x000D_
.bapt: 1785GE_x000D_
.will: 2004MO_x000D_
.obit: 1890OH_x000D_
.bury: 1850IL _x000D_
.wpbt: 1826PA_x000D_
.anc#:double ancestor_x000D_
citiz:US born_x000D_
#spos:1_x000D_
#srcs:1_x000D_
#comment:0_x000D_
#events:1_x000D_
#kids:1_x000D_
lived:NYWESTCEASTCHE_x000D_
issue:_x000D_
.recs:Birth,Marriage,Death_x000D_
.imm?:no_x000D_
..Spo:JOSEPH DRAKE</t>
        </r>
      </text>
    </comment>
    <comment ref="R2726" authorId="0" shapeId="0" xr:uid="{3746DCB1-D064-4D14-A6FE-CFCD3796AAA2}">
      <text>
        <r>
          <rPr>
            <sz val="9"/>
            <color indexed="81"/>
            <rFont val="Tahoma"/>
            <family val="2"/>
          </rPr>
          <t>RICHARD SANFORD_x000D_
http://yeinfo.com/family/I09041456.html_x000D_
https://www.google.com/search?q=RICHARD+SANFORD+1533+1591+ELIZABETH_x000D_
.born: 1533    -          Stansted Mountfichet (Essex) England_x000D_
.died: 15911115-          Stansted Mountfichet (Essex) England, age:58y 10m 14d, _x000D_
.bapt: 1785GE_x000D_
.will: 2004MO_x000D_
.obit: 1890OH_x000D_
.bury: 1850IL _x000D_
.wpbt: 1826PA_x000D_
.anc#:double ancestor_x000D_
citiz:foreign_x000D_
#spos:1_x000D_
#srcs:1_x000D_
#comment:0_x000D_
#events:1_x000D_
#kids:1_x000D_
lived:ENESSEXSTANMNT,ENHERTFMUCH HA_x000D_
issue:_x000D_
.recs:Birth,Marriage,Death_x000D_
.imm?:no_x000D_
..Spo:ELIZABETH COGGESHALL</t>
        </r>
      </text>
    </comment>
    <comment ref="Q2728" authorId="0" shapeId="0" xr:uid="{70441965-BB6E-43D1-8A8B-209E8490BE05}">
      <text>
        <r>
          <rPr>
            <sz val="9"/>
            <color indexed="81"/>
            <rFont val="Tahoma"/>
            <family val="2"/>
          </rPr>
          <t>THOMAS SANFORD_x000D_
http://yeinfo.com/family/I09020728.html_x000D_
https://www.google.com/search?q=THOMAS+SANFORD+1558+1597+MARY+MELLET_x000D_
.born: 1558    -          Stansted Mountfichet (Essex) England_x000D_
.died: 159704  -          Much Hadham (Hertfordshire) England, age:39y 3m 0d, _x000D_
.bapt: 1785GE_x000D_
.will: 2004MO_x000D_
.obit: 1890OH_x000D_
.bury: 1850IL _x000D_
.wpbt: 1826PA_x000D_
.anc#:double ancestor_x000D_
citiz:foreign_x000D_
#spos:1_x000D_
#srcs:1_x000D_
#comment:0_x000D_
#events:1_x000D_
#kids:1_x000D_
lived:ENESSEXSTANMNT,ENHERTFMUCH HA_x000D_
issue:Born before Parents Married,Died after Age 100_x000D_
.recs:Birth,Marriage,Death_x000D_
.imm?:no_x000D_
..Spo:MARY MELLET LEWES</t>
        </r>
      </text>
    </comment>
    <comment ref="W2730" authorId="0" shapeId="0" xr:uid="{D2F6F37B-DBA3-4245-9275-DF89E29CF8DD}">
      <text>
        <r>
          <rPr>
            <sz val="9"/>
            <color indexed="81"/>
            <rFont val="Tahoma"/>
            <family val="2"/>
          </rPr>
          <t>JOHN COGGESHALL_x000D_
http://yeinfo.com/family/I09066157.html_x000D_
https://www.google.com/search?q=JOHN+COGGESHALL+1380+1400+{_?_}_x000D_
.born:?1380    -         ?England_x000D_
.died: 1400    -1470     ?England, age:20y 0m 0d, _x000D_
.bapt: 1785GE_x000D_
.will: 2004MO_x000D_
.obit: 1890OH_x000D_
.bury: 1850IL _x000D_
.wpbt: 1826PA_x000D_
.anc#:double ancestor_x000D_
citiz:foreign_x000D_
#spos:1_x000D_
#srcs:1_x000D_
#comment:1_x000D_
#events:1_x000D_
#kids:1_x000D_
lived:?EN_x000D_
issue:_x000D_
.recs:Birth,Marriage,Death_x000D_
.imm?:no_x000D_
..Spo:{_?_} COGGESHALL</t>
        </r>
      </text>
    </comment>
    <comment ref="V2732" authorId="0" shapeId="0" xr:uid="{4C37BE1B-4FC8-430F-9365-08C2C910F724}">
      <text>
        <r>
          <rPr>
            <sz val="9"/>
            <color indexed="81"/>
            <rFont val="Tahoma"/>
            <family val="2"/>
          </rPr>
          <t>JOHN COGGESHALL_x000D_
http://yeinfo.com/family/I09065973.html_x000D_
https://www.google.com/search?q=JOHN+COGGESHALL+1400+1430+KATHERINE_x000D_
.born:c1400    -         ?England_x000D_
.died: 1430    -1490     ?England, age:30y 0m 0d, _x000D_
.bapt: 1785GE_x000D_
.will: 2004MO_x000D_
.obit: 1890OH_x000D_
.bury: 1850IL _x000D_
.wpbt: 1826PA_x000D_
.anc#:double ancestor_x000D_
citiz:foreign_x000D_
#spos:1_x000D_
#srcs:1_x000D_
#comment:0_x000D_
#events:1_x000D_
#kids:1_x000D_
lived:?EN_x000D_
issue:Died after Age 100_x000D_
.recs:Birth,Marriage,Death_x000D_
.imm?:no_x000D_
..Spo:KATHERINE COGGESHALL</t>
        </r>
      </text>
    </comment>
    <comment ref="W2734" authorId="0" shapeId="0" xr:uid="{12D162DF-6369-4CFD-827A-AFF39EEFE952}">
      <text>
        <r>
          <rPr>
            <sz val="9"/>
            <color indexed="81"/>
            <rFont val="Tahoma"/>
            <family val="2"/>
          </rPr>
          <t>Mrs. {_?_} COGGESHALL_x000D_
http://yeinfo.com/family/I09066158.html_x000D_
https://www.google.com/search?q={_?_}+COGGESHALL+1380+1400+COGGESHALL_x000D_
.born:?1380    -         ?England_x000D_
.died: 1400    -1470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..Spo:JOHN COGGESHALL</t>
        </r>
      </text>
    </comment>
    <comment ref="U2736" authorId="0" shapeId="0" xr:uid="{A34F28A2-0942-4DBE-A4E8-6B9B1CC044D9}">
      <text>
        <r>
          <rPr>
            <sz val="9"/>
            <color indexed="81"/>
            <rFont val="Tahoma"/>
            <family val="2"/>
          </rPr>
          <t>JOHN COGGESHALL_x000D_
http://yeinfo.com/family/I09065815.html_x000D_
https://www.google.com/search?q=JOHN+COGGESHALL+1430+1488+ALICE_x000D_
.born:c1430    -          England_x000D_
.died: 14880524-          , age:58y 4m 23d,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..Spo:ALICE COGGESHALL</t>
        </r>
      </text>
    </comment>
    <comment ref="V2738" authorId="0" shapeId="0" xr:uid="{400EDA03-7055-4DD1-A78F-DEDDF9E72D0F}">
      <text>
        <r>
          <rPr>
            <sz val="9"/>
            <color indexed="81"/>
            <rFont val="Tahoma"/>
            <family val="2"/>
          </rPr>
          <t>Mrs. KATHERINE COGGESHALL_x000D_
http://yeinfo.com/family/I09065974.html_x000D_
https://www.google.com/search?q=KATHERINE+COGGESHALL+1400+1460+COGGESHALL_x000D_
.born:c1400    -         ?England_x000D_
.died:c1460    -         ?England, age:60y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..Spo:JOHN COGGESHALL</t>
        </r>
      </text>
    </comment>
    <comment ref="T2740" authorId="0" shapeId="0" xr:uid="{E8E709C3-5F80-41B1-AE07-A2EF68F3652A}">
      <text>
        <r>
          <rPr>
            <sz val="9"/>
            <color indexed="81"/>
            <rFont val="Tahoma"/>
            <family val="2"/>
          </rPr>
          <t>JOHN COGGESHALL_x000D_
http://yeinfo.com/family/I09065686.html_x000D_
https://www.google.com/search?q=JOHN+COGGESHALL+1470+1502+ALICE_x000D_
.born: 1470    -          Gosfield (Essex) England_x000D_
.died: 15020131-          Gosfield (Essex) England, age:32y 0m 30d, _x000D_
.bapt: 1785GE_x000D_
.will: 2004MO_x000D_
.obit: 1890OH_x000D_
.bury: 1850IL _x000D_
.wpbt: 1826PA_x000D_
.anc#:double ancestor_x000D_
citiz:foreign_x000D_
#spos:1_x000D_
#srcs:1_x000D_
#comment:0_x000D_
#events:1_x000D_
#kids:1_x000D_
lived:ENESSEXGOSFIEL_x000D_
issue:_x000D_
.recs:Birth,Marriage,Death_x000D_
.imm?:no_x000D_
..Spo:ALICE PARKER</t>
        </r>
      </text>
    </comment>
    <comment ref="U2742" authorId="0" shapeId="0" xr:uid="{4C981D02-2BC4-4188-8096-1E77C51625A5}">
      <text>
        <r>
          <rPr>
            <sz val="9"/>
            <color indexed="81"/>
            <rFont val="Tahoma"/>
            <family val="2"/>
          </rPr>
          <t>Mrs. ALICE COGGESHALL_x000D_
http://yeinfo.com/family/I09065816.html_x000D_
https://www.google.com/search?q=ALICE+COGGESHALL+1435+1487+COGGESHALL_x000D_
.born:c1435    -          Essex county England_x000D_
.died:c1487    -          Essex county England, age:52y 0m 0d, _x000D_
.bapt: 1785GE_x000D_
.will: 2004MO_x000D_
.obit: 1890OH_x000D_
.bury: 1850IL _x000D_
.wpbt: 1826PA_x000D_
.anc#:double ancestor_x000D_
citiz:foreign_x000D_
#spos:1_x000D_
#srcs:1_x000D_
#comment:0_x000D_
#events:1_x000D_
#kids:1_x000D_
lived:ENESSEX_x000D_
issue:_x000D_
.recs:Birth,Marriage,Death_x000D_
.imm?:no_x000D_
..Spo:JOHN COGGESHALL</t>
        </r>
      </text>
    </comment>
    <comment ref="S2744" authorId="0" shapeId="0" xr:uid="{AC6C0893-EC09-4B23-8ED1-764241FF8009}">
      <text>
        <r>
          <rPr>
            <sz val="9"/>
            <color indexed="81"/>
            <rFont val="Tahoma"/>
            <family val="2"/>
          </rPr>
          <t>JOHN COGGESHALL_x000D_
http://yeinfo.com/family/I09065547.html_x000D_
https://www.google.com/search?q=JOHN+COGGESHALL+1501+1541+ELIZABETH_x000D_
.born:c1501    -          Gosfield (Essex) England_x000D_
.died: 1541    -          Middlesex county England, age:40y 0m 0d, _x000D_
.bapt: 1785GE_x000D_
.will: 2004MO_x000D_
.obit: 1890OH_x000D_
.bury: 1850IL _x000D_
.wpbt: 1826PA_x000D_
.anc#:double ancestor_x000D_
citiz:foreign_x000D_
#spos:1_x000D_
#srcs:1_x000D_
#comment:0_x000D_
#events:1_x000D_
#kids:1_x000D_
lived:ENESSEXGOSFIEL,ENMIDDL_x000D_
issue:_x000D_
.recs:Birth,Marriage,Death_x000D_
.imm?:no_x000D_
..Spo:ELIZABETH COGGESHALL</t>
        </r>
      </text>
    </comment>
    <comment ref="T2746" authorId="0" shapeId="0" xr:uid="{ED58ADD1-8C77-4F26-B647-B2D18FF19286}">
      <text>
        <r>
          <rPr>
            <sz val="9"/>
            <color indexed="81"/>
            <rFont val="Tahoma"/>
            <family val="2"/>
          </rPr>
          <t>ALICE PARKER_x000D_
http://yeinfo.com/family/I09065687.html_x000D_
https://www.google.com/search?q=ALICE+PARKER+1478+1501+COGGESHALL_x000D_
.born:?1478    -          England_x000D_
.died: 1501    -1568      England, age:23y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..Spo:JOHN COGGESHALL</t>
        </r>
      </text>
    </comment>
    <comment ref="R2748" authorId="0" shapeId="0" xr:uid="{C197CA5D-4AF7-4D59-9C57-FDC403B0AF58}">
      <text>
        <r>
          <rPr>
            <sz val="9"/>
            <color indexed="81"/>
            <rFont val="Tahoma"/>
            <family val="2"/>
          </rPr>
          <t>ELIZABETH COGGESHALL_x000D_
http://yeinfo.com/family/I09041457.html_x000D_
https://www.google.com/search?q=ELIZABETH+COGGESHALL+1537+1600+SANFORD_x000D_
.born:c1537    -          Stansted Mountfichet (Essex) England_x000D_
.died: 16000915-          Stansted Mountfichet (Essex) England, age:63y 8m 14d, _x000D_
.bapt: 1785GE_x000D_
.will: 2004MO_x000D_
.obit: 1890OH_x000D_
.bury: 1850IL _x000D_
.wpbt: 1826PA_x000D_
.anc#:double ancestor_x000D_
citiz:foreign_x000D_
#spos:1_x000D_
#srcs:1_x000D_
#comment:0_x000D_
#events:1_x000D_
#kids:1_x000D_
lived:ENESSEXSTANMNT,ENHERTFMUCH HA_x000D_
issue:_x000D_
.recs:Birth,Marriage,Death_x000D_
.imm?:no_x000D_
..Spo:RICHARD SANFORD</t>
        </r>
      </text>
    </comment>
    <comment ref="S2750" authorId="0" shapeId="0" xr:uid="{A37C2A82-8444-43EA-9068-55928BECA42F}">
      <text>
        <r>
          <rPr>
            <sz val="9"/>
            <color indexed="81"/>
            <rFont val="Tahoma"/>
            <family val="2"/>
          </rPr>
          <t>Mrs. ELIZABETH COGGESHALL_x000D_
http://yeinfo.com/family/I09065548.html_x000D_
https://www.google.com/search?q=ELIZABETH+COGGESHALL+1512+1537+COGGESHALL_x000D_
.born: 1512    -          Middlesex county England_x000D_
.died: 1537    -          England, age:25y 0m 0d, _x000D_
.bapt: 1785GE_x000D_
.will: 2004MO_x000D_
.obit: 1890OH_x000D_
.bury: 1850IL _x000D_
.wpbt: 1826PA_x000D_
.anc#:double ancestor_x000D_
citiz:foreign_x000D_
#spos:1_x000D_
#srcs:1_x000D_
#comment:2_x000D_
#events:1_x000D_
#kids:1_x000D_
lived:ENMIDDL_x000D_
issue:_x000D_
.recs:Birth,Marriage,Death_x000D_
.imm?:no_x000D_
..Spo:JOHN COGGESHALL</t>
        </r>
      </text>
    </comment>
    <comment ref="P2752" authorId="0" shapeId="0" xr:uid="{003C30BA-3CA0-4DF9-8B07-F80E024050AE}">
      <text>
        <r>
          <rPr>
            <sz val="9"/>
            <color indexed="81"/>
            <rFont val="Tahoma"/>
            <family val="2"/>
          </rPr>
          <t>EZEKIEL SANFORD_x000D_
http://yeinfo.com/family/I09010364.html_x000D_
https://www.google.com/search?q=EZEKIEL+SANFORD+1586+1607+ROSE_x000D_
.born: 15860220-          Much Hadham (Hertfordshire) England_x000D_
.died: 1607    -1676      Margaretting (Essex) England, age:20y 10m 12d, _x000D_
.bapt: 1785GE_x000D_
.will: 2004MO_x000D_
.obit: 1890OH_x000D_
.bury: 1850IL _x000D_
.wpbt: 1826PA_x000D_
.anc#:double ancestor_x000D_
citiz:foreign_x000D_
#spos:1_x000D_
#srcs:1_x000D_
#comment:0_x000D_
#events:1_x000D_
#kids:1_x000D_
lived:ENESSEXMARGARE,ENHERTFHATFIEL,ENHERTFMUCH HA_x000D_
issue:_x000D_
.recs:Birth,Marriage,Death_x000D_
.imm?:no_x000D_
..Spo:ROSE WARNER</t>
        </r>
      </text>
    </comment>
    <comment ref="R2754" authorId="0" shapeId="0" xr:uid="{9F8F7D8F-BE26-4D86-954C-032C487CDD30}">
      <text>
        <r>
          <rPr>
            <sz val="9"/>
            <color indexed="81"/>
            <rFont val="Tahoma"/>
            <family val="2"/>
          </rPr>
          <t>JOHN LEWES_x000D_
http://yeinfo.com/family/I09041458.html_x000D_
https://www.google.com/search?q=JOHN+LEWES+1537+1584+ALICE_x000D_
.born: 1537    -          Much Hadham (Hertfordshire) England_x000D_
.died: 15840704-          Much Hadham (Hertfordshire) England, age:47y 6m 3d, _x000D_
.bapt: 1785GE_x000D_
.will: 2004MO_x000D_
.obit: 1890OH_x000D_
.bury: 1850IL _x000D_
.wpbt: 1826PA_x000D_
.anc#:double ancestor_x000D_
citiz:foreign_x000D_
#spos:1_x000D_
#srcs:1_x000D_
#comment:0_x000D_
#events:1_x000D_
#kids:1_x000D_
lived:ENHERTFMUCH HA_x000D_
issue:_x000D_
.recs:Birth,Marriage,Death_x000D_
.imm?:no_x000D_
..Spo:ALICE CHERVELL</t>
        </r>
      </text>
    </comment>
    <comment ref="Q2756" authorId="0" shapeId="0" xr:uid="{FD7CB771-C23D-46E5-92FA-5153FFB6D11B}">
      <text>
        <r>
          <rPr>
            <sz val="9"/>
            <color indexed="81"/>
            <rFont val="Tahoma"/>
            <family val="2"/>
          </rPr>
          <t>MARY MELLET LEWES_x000D_
http://yeinfo.com/family/I09020729.html_x000D_
https://www.google.com/search?q=MARY+MELLET+LEWES+1563+1620+SANFORD_x000D_
.born: 1563    -          Much Hadham (Hertfordshire) England_x000D_
.died: 16200819-          Much Hadham (Hertfordshire) England, age:57y 7m 18d, _x000D_
.bapt: 1785GE_x000D_
.will: 2004MO_x000D_
.obit: 1890OH_x000D_
.bury: 1850IL _x000D_
.wpbt: 1826PA_x000D_
.anc#:double ancestor_x000D_
citiz:foreign_x000D_
#spos:1_x000D_
#srcs:1_x000D_
#comment:0_x000D_
#events:1_x000D_
#kids:1_x000D_
lived:ENHERTFMUCH HA_x000D_
issue:Born before Parents Married,Died after Age 100_x000D_
.recs:Birth,Marriage,Death_x000D_
.imm?:no_x000D_
..Spo:THOMAS SANFORD</t>
        </r>
      </text>
    </comment>
    <comment ref="R2758" authorId="0" shapeId="0" xr:uid="{5B7EF50A-1521-43D0-9413-A8BC659D2A9C}">
      <text>
        <r>
          <rPr>
            <sz val="9"/>
            <color indexed="81"/>
            <rFont val="Tahoma"/>
            <family val="2"/>
          </rPr>
          <t>ALICE CHERVELL_x000D_
http://yeinfo.com/family/I09041459.html_x000D_
https://www.google.com/search?q=ALICE+CHERVELL+1539+1600+LEWES_x000D_
.born:c1539    -          Huntington Harbour (Cambridgeshire) England_x000D_
.died: 1600    -          England, age:61y 0m 0d, _x000D_
.bapt: 1785GE_x000D_
.will: 2004MO_x000D_
.obit: 1890OH_x000D_
.bury: 1850IL _x000D_
.wpbt: 1826PA_x000D_
.anc#:double ancestor_x000D_
citiz:foreign_x000D_
#spos:1_x000D_
#srcs:1_x000D_
#comment:0_x000D_
#events:1_x000D_
#kids:1_x000D_
lived:ENCAMBSHUNTING,ENHERTFMUCH HA_x000D_
issue:_x000D_
.recs:Birth,Marriage,Death_x000D_
.imm?:no_x000D_
..Spo:JOHN LEWES</t>
        </r>
      </text>
    </comment>
    <comment ref="O2760" authorId="0" shapeId="0" xr:uid="{2F83A5FC-1186-4CDF-AB89-83AFE616EFFE}">
      <text>
        <r>
          <rPr>
            <sz val="9"/>
            <color indexed="81"/>
            <rFont val="Tahoma"/>
            <family val="2"/>
          </rPr>
          <t>THOMAS SANFORD_x000D_
http://yeinfo.com/family/I09005182.html_x000D_
https://www.google.com/search?q=THOMAS+SANFORD+1607+1681+Dorothy\Dorothea+MEADOWS_x000D_
.born: 16071109-          Hatfield Broad Oak (Essex) England_x000D_
.died: 16811018-          New Milford (Litchfield) Connecticut, age:73y 11m 9d, _x000D_
.bapt: 1785GE_x000D_
.will: 2004MO_x000D_
.obit: 1890OH_x000D_
.bury: 1850IL _x000D_
.wpbt: 1826PA_x000D_
.anc#:double ancestor_x000D_
citiz:immigrant_x000D_
#spos:2_x000D_
#srcs:4_x000D_
#comment:0_x000D_
#events:2_x000D_
#kids:8_x000D_
lived:CTLITCHNEW MIL,ENESSEXHATFOAK,MASUFFODORCHES_x000D_
issue:_x000D_
.recs:Birth,Marriage,Death_x000D_
.imm?:immigrant_x000D_
..Spo:Dorothy\Dorothea MEADOWS</t>
        </r>
      </text>
    </comment>
    <comment ref="R2762" authorId="0" shapeId="0" xr:uid="{7CB93949-67B5-4D85-A9C7-0F2912A25BCD}">
      <text>
        <r>
          <rPr>
            <sz val="9"/>
            <color indexed="81"/>
            <rFont val="Tahoma"/>
            <family val="2"/>
          </rPr>
          <t>JOHN WARNER_x000D_
http://yeinfo.com/family/I09041460.html_x000D_
https://www.google.com/search?q=JOHN+WARNER+1545+1584+MARGARET_x000D_
.born:?1545    -          England_x000D_
.died: 1584    -          England, age:39y 0m 0d, _x000D_
.bapt: 1785GE_x000D_
.will: 2004MO_x000D_
.obit: 1890OH_x000D_
.bury: 1850IL _x000D_
.wpbt: 1826PA_x000D_
.anc#:  quadruple ancestor_x000D_
citiz:foreign_x000D_
#spos:1_x000D_
#srcs:1_x000D_
#comment:0_x000D_
#events:5_x000D_
#kids:9_x000D_
lived:ENESSEXGREATWA_x000D_
issue:_x000D_
.recs:Birth,Marriage,Will Written,Death_x000D_
.imm?:no_x000D_
..Spo:MARGARET WARNER</t>
        </r>
      </text>
    </comment>
    <comment ref="Q2764" authorId="0" shapeId="0" xr:uid="{CF0B00F6-6224-429C-B982-ADE673E1D613}">
      <text>
        <r>
          <rPr>
            <sz val="9"/>
            <color indexed="81"/>
            <rFont val="Tahoma"/>
            <family val="2"/>
          </rPr>
          <t>JOHN WARNER_x000D_
http://yeinfo.com/family/I09020730.html_x000D_
https://www.google.com/search?q=JOHN+WARNER+1570+1614+MARY_x000D_
.born:?1570    -          England_x000D_
.died: 1614    -1660     ?Hatfield Broad Oak (Essex) England, age:44y 0m 0d, _x000D_
.bapt: 1785GE_x000D_
.will: 2004MO_x000D_
.obit: 1890OH_x000D_
.bury: 1850IL _x000D_
.wpbt: 1826PA_x000D_
.anc#:  quadruple ancestor_x000D_
citiz:foreign_x000D_
#spos:1_x000D_
#srcs:3_x000D_
#comment:0_x000D_
#events:6_x000D_
#kids:6_x000D_
lived:ENESSEXHATFOAK_x000D_
issue:_x000D_
.recs:Birth,Marriage,Will Written,Death_x000D_
.imm?:no_x000D_
..Spo:MARY PURCHAS</t>
        </r>
      </text>
    </comment>
    <comment ref="R2766" authorId="0" shapeId="0" xr:uid="{FC02FDD1-4DA0-424C-A623-CBE703382FF7}">
      <text>
        <r>
          <rPr>
            <sz val="9"/>
            <color indexed="81"/>
            <rFont val="Tahoma"/>
            <family val="2"/>
          </rPr>
          <t>Mrs. MARGARET WARNER_x000D_
http://yeinfo.com/family/I09041461.html_x000D_
https://www.google.com/search?q=MARGARET+WARNER+1545+1570+WARNER_x000D_
.born:?1545    -          England_x000D_
.died: 1570    -1635      , age:25y 0m 0d, _x000D_
.bapt: 1785GE_x000D_
.will: 2004MO_x000D_
.obit: 1890OH_x000D_
.bury: 1850IL _x000D_
.wpbt: 1826PA_x000D_
.anc#:  quadruple ancestor_x000D_
citiz:foreign_x000D_
#spos:1_x000D_
#srcs:1_x000D_
#comment:0_x000D_
#events:1_x000D_
#kids:9_x000D_
lived:EN_x000D_
issue:_x000D_
.recs:Birth,Marriage,Death_x000D_
.imm?:no_x000D_
..Spo:JOHN WARNER</t>
        </r>
      </text>
    </comment>
    <comment ref="P2768" authorId="0" shapeId="0" xr:uid="{AFF224FD-1B34-477F-AC3F-DDAD4E84290D}">
      <text>
        <r>
          <rPr>
            <sz val="9"/>
            <color indexed="81"/>
            <rFont val="Tahoma"/>
            <family val="2"/>
          </rPr>
          <t>ROSE WARNER_x000D_
http://yeinfo.com/family/I09010365.html_x000D_
https://www.google.com/search?q=ROSE+WARNER+1588+1625+SANFORD_x000D_
.born: 15880716-          Essex county England_x000D_
.died: 16251101-          Essex county England, age:37y 3m 16d, _x000D_
.bapt: 1785GE_x000D_
.will: 2004MO_x000D_
.obit: 1890OH_x000D_
.bury: 1850IL _x000D_
.wpbt: 1826PA_x000D_
.anc#:double ancestor_x000D_
citiz:foreign_x000D_
#spos:1_x000D_
#srcs:3_x000D_
#comment:0_x000D_
#events:1_x000D_
#kids:1_x000D_
lived:ENESSEX,ENHERTFHATFIEL_x000D_
issue:Born before Parents Married_x000D_
.recs:Birth,Marriage,Death_x000D_
.imm?:no_x000D_
..Spo:EZEKIEL SANFORD</t>
        </r>
      </text>
    </comment>
    <comment ref="R2770" authorId="0" shapeId="0" xr:uid="{18CC763F-9097-4B55-845E-C6530728FD84}">
      <text>
        <r>
          <rPr>
            <sz val="9"/>
            <color indexed="81"/>
            <rFont val="Tahoma"/>
            <family val="2"/>
          </rPr>
          <t>JOHN PURCHAS_x000D_
http://yeinfo.com/family/I09041462.html_x000D_
https://www.google.com/search?q=JOHN+PURCHAS+1550+1585+MARGARET_x000D_
.born:?1550    -          England_x000D_
.died: 1585    -          England, age:35y 0m 0d, _x000D_
.bapt: 1785GE_x000D_
.will: 2004MO_x000D_
.obit: 1890OH_x000D_
.bury: 1850IL _x000D_
.wpbt: 1826PA_x000D_
.anc#:  quadruple ancestor_x000D_
citiz:foreign_x000D_
#spos:1_x000D_
#srcs:1_x000D_
#comment:0_x000D_
#events:4_x000D_
#kids:1_x000D_
lived:ENESSEXGREATWA_x000D_
issue:_x000D_
.recs:Birth,Marriage,Job/Occupation,Will Written,Death_x000D_
.imm?:no_x000D_
..Spo:MARGARET KREABLES</t>
        </r>
      </text>
    </comment>
    <comment ref="Q2772" authorId="0" shapeId="0" xr:uid="{5B25B425-9600-4C0A-98C4-5539F3041452}">
      <text>
        <r>
          <rPr>
            <sz val="9"/>
            <color indexed="81"/>
            <rFont val="Tahoma"/>
            <family val="2"/>
          </rPr>
          <t>MARY PURCHAS_x000D_
http://yeinfo.com/family/I09020731.html_x000D_
https://www.google.com/search?q=MARY+PURCHAS+1570+1627+WARNER_x000D_
.born:?1570    -          England_x000D_
.died: 1627    -          England, age:57y 0m 0d, _x000D_
.bapt: 1785GE_x000D_
.will: 2004MO_x000D_
.obit: 1890OH_x000D_
.bury: 1850IL _x000D_
.wpbt: 1826PA_x000D_
.anc#:  quadruple ancestor_x000D_
citiz:foreign_x000D_
#spos:1_x000D_
#srcs:2_x000D_
#comment:1_x000D_
#events:3_x000D_
#kids:6_x000D_
lived:ENHERTFBISHOST_x000D_
issue:_x000D_
.recs:Birth,Marriage,Will Written,Death_x000D_
.imm?:no_x000D_
..Spo:JOHN WARNER</t>
        </r>
      </text>
    </comment>
    <comment ref="R2774" authorId="0" shapeId="0" xr:uid="{95C5895E-49B5-4B38-A6CD-DB3EAD881FD3}">
      <text>
        <r>
          <rPr>
            <sz val="9"/>
            <color indexed="81"/>
            <rFont val="Tahoma"/>
            <family val="2"/>
          </rPr>
          <t>MARGARET KREABLES_x000D_
http://yeinfo.com/family/I09041463.html_x000D_
https://www.google.com/search?q=MARGARET+KREABLES+1550+1570+PURCHAS_x000D_
.born:?1550    -          England_x000D_
.died: 1570    -1640      , age:20y 0m 0d, _x000D_
.bapt: 1785GE_x000D_
.will: 2004MO_x000D_
.obit: 1890OH_x000D_
.bury: 1850IL _x000D_
.wpbt: 1826PA_x000D_
.anc#:  quadruple ancestor_x000D_
citiz:foreign_x000D_
#spos:1_x000D_
#srcs:1_x000D_
#comment:0_x000D_
#events:1_x000D_
#kids:1_x000D_
lived:EN_x000D_
issue:_x000D_
.recs:Birth,Marriage,Death_x000D_
.imm?:no_x000D_
..Spo:JOHN PURCHAS</t>
        </r>
      </text>
    </comment>
    <comment ref="N2776" authorId="0" shapeId="0" xr:uid="{B37EC69D-9346-4B63-9D16-94628506A366}">
      <text>
        <r>
          <rPr>
            <sz val="9"/>
            <color indexed="81"/>
            <rFont val="Tahoma"/>
            <family val="2"/>
          </rPr>
          <t>SARAH SANFORD_x000D_
http://yeinfo.com/family/I09002591.html_x000D_
https://www.google.com/search?q=SARAH+SANFORD+1639+1683+SHUTE_x000D_
.born: 16390116-          Dorchester (Suffolk) Massachusetts_x000D_
.died: 1683    -          Eastchester (Westchester) New York, age:43y 11m 16d, _x000D_
.bapt: 1785GE_x000D_
.will: 2004MO_x000D_
.obit: 1890OH_x000D_
.bury: 1850IL _x000D_
.wpbt: 1826PA_x000D_
.anc#:double ancestor_x000D_
citiz:US born_x000D_
#spos:1_x000D_
#srcs:4_x000D_
#comment:0_x000D_
#events:1_x000D_
#kids:1_x000D_
lived:CTLITCHNEW MIL,MASUFFODORCHES,NYWESTCEASTCHE_x000D_
issue:_x000D_
.recs:Birth,Marriage,Death_x000D_
.imm?:no_x000D_
..Spo:RICHARD SHUTE</t>
        </r>
      </text>
    </comment>
    <comment ref="Q2778" authorId="0" shapeId="0" xr:uid="{043EA1B1-56A6-4503-9513-57A9E0AF63B5}">
      <text>
        <r>
          <rPr>
            <sz val="9"/>
            <color indexed="81"/>
            <rFont val="Tahoma"/>
            <family val="2"/>
          </rPr>
          <t>HENRY MEADOWS_x000D_
http://yeinfo.com/family/I09020732.html_x000D_
https://www.google.com/search?q=HENRY+MEADOWS+1555+1585+ANN_x000D_
.born: 1555    -          _x000D_
.died: 1585    -1645      , age:30y 0m 0d, _x000D_
.bapt: 1785GE_x000D_
.will: 2004MO_x000D_
.obit: 1890OH_x000D_
.bury: 1850IL _x000D_
.wpbt: 1826PA_x000D_
.anc#:double ancestor_x000D_
citiz:foreign_x000D_
#spos:1_x000D_
#srcs:2_x000D_
#comment:0_x000D_
#events:1_x000D_
#kids:1_x000D_
lived:?EN_x000D_
issue:_x000D_
.recs:Birth,Marriage,Death_x000D_
.imm?:no_x000D_
..Spo:ANN HATFIELD</t>
        </r>
      </text>
    </comment>
    <comment ref="P2780" authorId="0" shapeId="0" xr:uid="{E7EAAE30-789B-481C-90F6-9303FC6F1CC6}">
      <text>
        <r>
          <rPr>
            <sz val="9"/>
            <color indexed="81"/>
            <rFont val="Tahoma"/>
            <family val="2"/>
          </rPr>
          <t>HENRY MEADOWS II_x000D_
http://yeinfo.com/family/I09010366.html_x000D_
https://www.google.com/search?q=HENRY+MEADOWS+1585+1615+MARGARET_x000D_
.born:c1585    -          Stow-on-the-Wold (Gloucestershire) England_x000D_
.died: 1615    -         ?England, age:30y 0m 0d, _x000D_
.bapt: 1785GE_x000D_
.will: 2004MO_x000D_
.obit: 1890OH_x000D_
.bury: 1850IL _x000D_
.wpbt: 1826PA_x000D_
.anc#:double ancestor_x000D_
citiz:foreign_x000D_
#spos:1_x000D_
#srcs:3_x000D_
#comment:0_x000D_
#events:1_x000D_
#kids:2_x000D_
lived:ENGLOUSSTOWOTW_x000D_
issue:_x000D_
.recs:Birth,Marriage,Death_x000D_
.imm?:no_x000D_
..Spo:MARGARET PRESTON</t>
        </r>
      </text>
    </comment>
    <comment ref="Q2782" authorId="0" shapeId="0" xr:uid="{06CE696F-3295-4C0F-A72F-8E2C66E2F136}">
      <text>
        <r>
          <rPr>
            <sz val="9"/>
            <color indexed="81"/>
            <rFont val="Tahoma"/>
            <family val="2"/>
          </rPr>
          <t>ANN HATFIELD_x000D_
http://yeinfo.com/family/I09020733.html_x000D_
https://www.google.com/search?q=ANN+HATFIELD+1555+1585+MEADOWS_x000D_
.born:?1555    -         ?England_x000D_
.died: 1585    -1645     ?England, age:30y 0m 0d, _x000D_
.bapt: 1785GE_x000D_
.will: 2004MO_x000D_
.obit: 1890OH_x000D_
.bury: 1850IL _x000D_
.wpbt: 1826PA_x000D_
.anc#:double ancestor_x000D_
citiz:foreign_x000D_
#spos:1_x000D_
#srcs:2_x000D_
#comment:0_x000D_
#events:1_x000D_
#kids:1_x000D_
lived:?EN_x000D_
issue:_x000D_
.recs:Birth,Marriage,Death_x000D_
.imm?:no_x000D_
..Spo:HENRY MEADOWS</t>
        </r>
      </text>
    </comment>
    <comment ref="O2784" authorId="0" shapeId="0" xr:uid="{70ABA3BF-980C-4D3A-AEA1-4479F94DFDD2}">
      <text>
        <r>
          <rPr>
            <sz val="9"/>
            <color indexed="81"/>
            <rFont val="Tahoma"/>
            <family val="2"/>
          </rPr>
          <t>SARAH DOROTHY MEADOWS_x000D_
http://yeinfo.com/family/I09005183.html_x000D_
https://www.google.com/search?q=SARAH+DOROTHY+MEADOWS+1615+1681+SANFORD_x000D_
.born: 1615    -          Essex county England_x000D_
.died: 16810514-          Milford (New Haven) Connecticut, age:66y 4m 13d, _x000D_
.bapt: 1785GE_x000D_
.will: 2004MO_x000D_
.obit: 1890OH_x000D_
.bury: 1850IL _x000D_
.wpbt: 1826PA_x000D_
.anc#:double ancestor_x000D_
citiz:immigrant_x000D_
#spos:1_x000D_
#srcs:6_x000D_
#comment:0_x000D_
#events:1_x000D_
#kids:7_x000D_
lived:CTNEW HMILFORD,ENESSEX,MASUFFODORCHES_x000D_
issue:_x000D_
.recs:Birth,Marriage,Death_x000D_
.imm?:immigrant_x000D_
..Spo:THOMAS SANFORD</t>
        </r>
      </text>
    </comment>
    <comment ref="S2786" authorId="0" shapeId="0" xr:uid="{BB7DAB9A-DE31-43D0-B3E4-3DB2E9446AAD}">
      <text>
        <r>
          <rPr>
            <sz val="9"/>
            <color indexed="81"/>
            <rFont val="Tahoma"/>
            <family val="2"/>
          </rPr>
          <t>GEORGE PRESTON_x000D_
http://yeinfo.com/family/I09065549.html_x000D_
https://www.google.com/search?q=GEORGE+PRESTON+1504+1525+MARION_x000D_
.born:c1504    -         ?England_x000D_
.died: 1525    -1594     ?England, age:21y 0m 0d, _x000D_
.bapt: 1785GE_x000D_
.will: 2004MO_x000D_
.obit: 1890OH_x000D_
.bury: 1850IL _x000D_
.wpbt: 1826PA_x000D_
.anc#:double ancestor_x000D_
citiz:foreign_x000D_
#spos:1_x000D_
#srcs:3_x000D_
#comment:0_x000D_
#events:1_x000D_
#kids:1_x000D_
lived:?EN_x000D_
issue:_x000D_
.recs:Birth,Marriage,Death_x000D_
.imm?:no_x000D_
..Spo:MARION SEMPHILL</t>
        </r>
      </text>
    </comment>
    <comment ref="R2788" authorId="0" shapeId="0" xr:uid="{829675E8-59D5-4F2E-A1BC-FC1FAA89CFBE}">
      <text>
        <r>
          <rPr>
            <sz val="9"/>
            <color indexed="81"/>
            <rFont val="Tahoma"/>
            <family val="2"/>
          </rPr>
          <t>WILLIAM PRESTON Jr._x000D_
http://yeinfo.com/family/I09041468.html_x000D_
https://www.google.com/search?q=WILLIAM+PRESTON+1525+1585+ANNA_x000D_
.born:c1525    -          Giggleswick (Yorkshire) England_x000D_
.died: 15850423-          Yorkshire county England, age:60y 3m 22d, _x000D_
.bapt: 1785GE_x000D_
.will: 2004MO_x000D_
.obit: 1890OH_x000D_
.bury: 1850IL _x000D_
.wpbt: 1826PA_x000D_
.anc#:double ancestor_x000D_
citiz:foreign_x000D_
#spos:1_x000D_
#srcs:3_x000D_
#comment:0_x000D_
#events:1_x000D_
#kids:6_x000D_
lived:ENYORKSGIGGLES_x000D_
issue:_x000D_
.recs:Birth,Marriage,Death_x000D_
.imm?:no_x000D_
..Spo:ANNA SAUNDERS</t>
        </r>
      </text>
    </comment>
    <comment ref="S2790" authorId="0" shapeId="0" xr:uid="{7F4D1585-8BC8-4FA8-A80D-6A380BD017E9}">
      <text>
        <r>
          <rPr>
            <sz val="9"/>
            <color indexed="81"/>
            <rFont val="Tahoma"/>
            <family val="2"/>
          </rPr>
          <t>MARION SEMPHILL_x000D_
http://yeinfo.com/family/I09065550.html_x000D_
https://www.google.com/search?q=MARION+SEMPHILL+1505+1525+PRESTON_x000D_
.born:?1505    -         ?England_x000D_
.died: 1525    -1595     ?England, age:20y 0m 0d, _x000D_
.bapt: 1785GE_x000D_
.will: 2004MO_x000D_
.obit: 1890OH_x000D_
.bury: 1850IL _x000D_
.wpbt: 1826PA_x000D_
.anc#:double ancestor_x000D_
citiz:foreign_x000D_
#spos:1_x000D_
#srcs:3_x000D_
#comment:0_x000D_
#events:1_x000D_
#kids:1_x000D_
lived:?EN_x000D_
issue:_x000D_
.recs:Birth,Marriage,Death_x000D_
.imm?:no_x000D_
..Spo:GEORGE PRESTON</t>
        </r>
      </text>
    </comment>
    <comment ref="Q2792" authorId="0" shapeId="0" xr:uid="{51E8E790-0849-44CB-A1FB-0E2D93C54CCA}">
      <text>
        <r>
          <rPr>
            <sz val="9"/>
            <color indexed="81"/>
            <rFont val="Tahoma"/>
            <family val="2"/>
          </rPr>
          <t>ADAM PRESTON_x000D_
http://yeinfo.com/family/I09020734.html_x000D_
https://www.google.com/search?q=ADAM+PRESTON+1564+1593+ISABEL\ISABELL_x000D_
.born: 1564    -          Giggleswick (Yorkshire) England_x000D_
.died: 15931108-          Giggleswick (Yorkshire) England, age:29y 10m 7d, _x000D_
.bapt: 1785GE_x000D_
.will: 2004MO_x000D_
.obit: 1890OH_x000D_
.bury: 1850IL _x000D_
.wpbt: 1826PA_x000D_
.anc#:double ancestor_x000D_
citiz:foreign_x000D_
#spos:1_x000D_
#srcs:1_x000D_
#comment:0_x000D_
#events:1_x000D_
#kids:9_x000D_
lived:ENYORKSGIGGLES_x000D_
issue:_x000D_
.recs:Birth,Marriage,Death_x000D_
.imm?:no_x000D_
..Spo:ISABEL\ISABELL BRAITHWAITE</t>
        </r>
      </text>
    </comment>
    <comment ref="S2794" authorId="0" shapeId="0" xr:uid="{30F06EC0-8200-456B-AFF2-12F1140AC5CA}">
      <text>
        <r>
          <rPr>
            <sz val="9"/>
            <color indexed="81"/>
            <rFont val="Tahoma"/>
            <family val="2"/>
          </rPr>
          <t>GEORGE SAUNDERS_x000D_
http://yeinfo.com/family/I09065551.html_x000D_
https://www.google.com/search?q=GEORGE+SAUNDERS+1505+1530+HATTIE_x000D_
.born:?1505    -         ?England_x000D_
.died: 1530    -1595     ?England, age:25y 0m 0d, _x000D_
.bapt: 1785GE_x000D_
.will: 2004MO_x000D_
.obit: 1890OH_x000D_
.bury: 1850IL _x000D_
.wpbt: 1826PA_x000D_
.anc#:double ancestor_x000D_
citiz:foreign_x000D_
#spos:1_x000D_
#srcs:3_x000D_
#comment:0_x000D_
#events:1_x000D_
#kids:1_x000D_
lived:?EN_x000D_
issue:_x000D_
.recs:Birth,Marriage,Death_x000D_
.imm?:no_x000D_
..Spo:HATTIE RATLIF</t>
        </r>
      </text>
    </comment>
    <comment ref="R2796" authorId="0" shapeId="0" xr:uid="{DF18C281-3E2D-4D0B-88AB-450941932D39}">
      <text>
        <r>
          <rPr>
            <sz val="9"/>
            <color indexed="81"/>
            <rFont val="Tahoma"/>
            <family val="2"/>
          </rPr>
          <t>ANNA SAUNDERS_x000D_
http://yeinfo.com/family/I09041469.html_x000D_
https://www.google.com/search?q=ANNA+SAUNDERS+1530+1588+PRESTON_x000D_
.born:c1530    -          Giggleswick (Yorkshire) England_x000D_
.died: 15880209-          Giggleswick (Yorkshire) England, age:58y 1m 8d, _x000D_
.bapt: 1785GE_x000D_
.will: 2004MO_x000D_
.obit: 1890OH_x000D_
.bury: 1850IL _x000D_
.wpbt: 1826PA_x000D_
.anc#:double ancestor_x000D_
citiz:foreign_x000D_
#spos:1_x000D_
#srcs:3_x000D_
#comment:0_x000D_
#events:1_x000D_
#kids:6_x000D_
lived:ENYORKSGIGGLES_x000D_
issue:_x000D_
.recs:Birth,Marriage,Death_x000D_
.imm?:no_x000D_
..Spo:WILLIAM PRESTON</t>
        </r>
      </text>
    </comment>
    <comment ref="S2798" authorId="0" shapeId="0" xr:uid="{D16C2B3A-C2EC-4904-A00D-923B97401BAD}">
      <text>
        <r>
          <rPr>
            <sz val="9"/>
            <color indexed="81"/>
            <rFont val="Tahoma"/>
            <family val="2"/>
          </rPr>
          <t>HATTIE RATLIF_x000D_
http://yeinfo.com/family/I09065552.html_x000D_
https://www.google.com/search?q=HATTIE+RATLIF+1505+1530+SAUNDERS_x000D_
.born:?1505    -         ?England_x000D_
.died: 1530    -1595     ?England, age:25y 0m 0d, _x000D_
.bapt: 1785GE_x000D_
.will: 2004MO_x000D_
.obit: 1890OH_x000D_
.bury: 1850IL _x000D_
.wpbt: 1826PA_x000D_
.anc#:double ancestor_x000D_
citiz:foreign_x000D_
#spos:1_x000D_
#srcs:3_x000D_
#comment:0_x000D_
#events:1_x000D_
#kids:1_x000D_
lived:?EN_x000D_
issue:_x000D_
.recs:Birth,Marriage,Death_x000D_
.imm?:no_x000D_
..Spo:GEORGE SAUNDERS</t>
        </r>
      </text>
    </comment>
    <comment ref="P2800" authorId="0" shapeId="0" xr:uid="{4B430B8D-6AC4-48B3-A884-0DA6105FDD27}">
      <text>
        <r>
          <rPr>
            <sz val="9"/>
            <color indexed="81"/>
            <rFont val="Tahoma"/>
            <family val="2"/>
          </rPr>
          <t>MARGARET PRESTON_x000D_
http://yeinfo.com/family/I09010367.html_x000D_
https://www.google.com/search?q=MARGARET+PRESTON+1593+1686+MEADOWS_x000D_
.born:c1593    -          Gloucestershire county England_x000D_
.died: 16860706-          , age:93y 6m 5d, _x000D_
.bapt: 1785GE_x000D_
.will: 2004MO_x000D_
.obit: 1890OH_x000D_
.bury: 1850IL _x000D_
.wpbt: 1826PA_x000D_
.anc#:double ancestor_x000D_
citiz:US born_x000D_
#spos:1_x000D_
#srcs:3_x000D_
#comment:0_x000D_
#events:1_x000D_
#kids:2_x000D_
lived:ENGLOUS_x000D_
issue:Died after Age 100_x000D_
.recs:Birth,Marriage,Death_x000D_
.imm?:no_x000D_
..Spo:HENRY MEADOWS</t>
        </r>
      </text>
    </comment>
    <comment ref="R2802" authorId="0" shapeId="0" xr:uid="{7E70B899-0230-47E2-B522-2047716333C9}">
      <text>
        <r>
          <rPr>
            <sz val="9"/>
            <color indexed="81"/>
            <rFont val="Tahoma"/>
            <family val="2"/>
          </rPr>
          <t>ROBERT BRAITHWAITE_x000D_
http://yeinfo.com/family/I09041470.html_x000D_
https://www.google.com/search?q=ROBERT+BRAITHWAITE+1538+1589+BETTERES_x000D_
.born: 1538    -          Penrith (Cumbria) England_x000D_
.died: 1589    -          , age:51y 0m 0d, _x000D_
.bapt: 1785GE_x000D_
.will: 2004MO_x000D_
.obit: 1890OH_x000D_
.bury: 1850IL _x000D_
.wpbt: 1826PA_x000D_
.anc#:double ancestor_x000D_
citiz:foreign_x000D_
#spos:1_x000D_
#srcs:4_x000D_
#comment:0_x000D_
#events:1_x000D_
#kids:1_x000D_
lived:ENCUMBRPENRITH_x000D_
issue:_x000D_
.recs:Birth,Marriage,Death_x000D_
.imm?:no_x000D_
..Spo:BETTERES VAUX</t>
        </r>
      </text>
    </comment>
    <comment ref="Q2804" authorId="0" shapeId="0" xr:uid="{4A552B2F-404F-4AFF-86A4-803AF3A535D7}">
      <text>
        <r>
          <rPr>
            <sz val="9"/>
            <color indexed="81"/>
            <rFont val="Tahoma"/>
            <family val="2"/>
          </rPr>
          <t>ISABEL\ISABELL BRAITHWAITE_x000D_
http://yeinfo.com/family/I09020735.html_x000D_
https://www.google.com/search?q=ISABEL\ISABELL+BRAITHWAITE+1564+1620+PRESTON_x000D_
.born: 15640520-          Penrith (Cumbria) England_x000D_
.died: 16201213-         ?England, age:56y 6m 23d, _x000D_
.bapt: 1785GE_x000D_
.will: 2004MO_x000D_
.obit: 1890OH_x000D_
.bury: 1850IL _x000D_
.wpbt: 1826PA_x000D_
.anc#:double ancestor_x000D_
citiz:foreign_x000D_
#spos:1_x000D_
#srcs:4_x000D_
#comment:0_x000D_
#events:1_x000D_
#kids:9_x000D_
lived:ENCUMBRPENRITH,ENYORKSGIGGLES_x000D_
issue:_x000D_
.recs:Birth,Marriage,Death_x000D_
.imm?:no_x000D_
..Spo:ADAM PRESTON</t>
        </r>
      </text>
    </comment>
    <comment ref="R2806" authorId="0" shapeId="0" xr:uid="{7519470E-FC9C-4896-BB33-72CEBDA17C6C}">
      <text>
        <r>
          <rPr>
            <sz val="9"/>
            <color indexed="81"/>
            <rFont val="Tahoma"/>
            <family val="2"/>
          </rPr>
          <t>BETTERES VAUX_x000D_
http://yeinfo.com/family/I09041471.html_x000D_
https://www.google.com/search?q=BETTERES+VAUX+1543+1594+BRAITHWAITE_x000D_
.born: 1543    -          Penrith (Cumberland) England_x000D_
.died: 15940410-          Penrith (Cumberland) England, age:51y 3m 9d, _x000D_
.bapt: 1785GE_x000D_
.will: 2004MO_x000D_
.obit: 1890OH_x000D_
.bury: 1850IL _x000D_
.wpbt: 1826PA_x000D_
.anc#:double ancestor_x000D_
citiz:foreign_x000D_
#spos:1_x000D_
#srcs:6_x000D_
#comment:0_x000D_
#events:1_x000D_
#kids:1_x000D_
lived:ENCUMBEPENRITH_x000D_
issue:_x000D_
.recs:Birth,Marriage,Death_x000D_
.imm?:no_x000D_
..Spo:ROBERT BRAITHWAITE</t>
        </r>
      </text>
    </comment>
    <comment ref="F2808" authorId="0" shapeId="0" xr:uid="{98DDA8F9-D766-464E-9A7A-24A330D78C84}">
      <text>
        <r>
          <rPr>
            <sz val="9"/>
            <color indexed="81"/>
            <rFont val="Tahoma"/>
            <family val="2"/>
          </rPr>
          <t>EDWIN JAMES SEARLS_x000D_
http://yeinfo.com/family/I09000020.html_x000D_
https://www.google.com/search?q=EDWIN+JAMES+SEARLS+1850+1917+MARY+LOUISE_x000D_
.born: 18500329-          Hinckley (Medina) Ohio_x000D_
.died: 19170119-          Akron (Plymouth) Iowa, age:66y 9m 21d, degeneration of the heart_x000D_
.bapt: 1785GE_x000D_
.will: 2004MO_x000D_
.obit: 1890OH_x000D_
.bury: 1850IL Riverside Cemetery_x000D_
.wpbt: 1826PA_x000D_
.anc#:ancestor_x000D_
citiz:US born_x000D_
#spos:1_x000D_
#srcs:19_x000D_
#comment:1_x000D_
#events:17_x000D_
#kids:8_x000D_
lived:IAPLYMOAKRON,ILWINNEPECATON,OHMEDINHINCKLY,SDCHARLWHITESW,SDCLAY VERMILL,SDTURNECENTERV_x000D_
issue:_x000D_
.recs:Birth,Marriage,Job/Occupation,Death,Interment/Burial,Obituary,Gov't Court,Image_x000D_
.imm?:no_x000D_
..Spo:MARY LOUISE DOUGLASS</t>
        </r>
      </text>
    </comment>
    <comment ref="H2810" authorId="0" shapeId="0" xr:uid="{699BAAEE-4306-4429-9BF5-A6443EB44F93}">
      <text>
        <r>
          <rPr>
            <sz val="9"/>
            <color indexed="81"/>
            <rFont val="Tahoma"/>
            <family val="2"/>
          </rPr>
          <t>JAMES I. HALSTEAD_x000D_
http://yeinfo.com/family/I09000082.html_x000D_
https://www.google.com/search?q=JAMES+I.+HALSTEAD+1775+1854+Elizabeth+JAMESON_x000D_
.born: 17750322-          New York_x000D_
.died: 18540828-          Hinckley (Medina) Ohio, age:79y 5m 6d, _x000D_
.bapt: 1785GE_x000D_
.will: 2004MO_x000D_
.obit: 1890OH_x000D_
.bury: 1850IL Ridge Cemetery section 6 plot 42 row 9_x000D_
.wpbt: 1826PA_x000D_
.anc#:ancestor_x000D_
citiz:US born_x000D_
#spos:2_x000D_
#srcs:15_x000D_
#comment:2_x000D_
#events:15_x000D_
#kids:12_x000D_
lived:NYERIE BUFFALO,NYGRENECOXSACK,OHMEDINHINCKLY_x000D_
issue:_x000D_
.recs:Birth,Military,Marriage,Taxes,Death,Interment/Burial_x000D_
.imm?:no_x000D_
..Spo:Elizabeth HALSTEAD</t>
        </r>
      </text>
    </comment>
    <comment ref="G2812" authorId="0" shapeId="0" xr:uid="{3B952789-E6E8-486A-99AF-010CFC7AD761}">
      <text>
        <r>
          <rPr>
            <sz val="9"/>
            <color indexed="81"/>
            <rFont val="Tahoma"/>
            <family val="2"/>
          </rPr>
          <t>ELIZABETH HALSTEAD_x000D_
http://yeinfo.com/family/I09000041.html_x000D_
https://www.google.com/search?q=ELIZABETH+HALSTEAD+1811+1907+SEARLS_x000D_
.born: 18110319-          New York_x000D_
.died: 19070526-          Pecatonica (Winnebago) Illinois, age:96y 2m 7d, _x000D_
.bapt: 1785GE_x000D_
.will: 2004MO_x000D_
.obit: 1890OH_x000D_
.bury: 1850IL Winnebago Cemetery_x000D_
.wpbt: 1826PA_x000D_
.anc#:ancestor_x000D_
citiz:US born_x000D_
#spos:1_x000D_
#srcs:6_x000D_
#comment:1_x000D_
#events:9_x000D_
#kids:8_x000D_
lived:ILWINNEPECATON,ILWINNEWINNEBA,NYGRENE,NYSCHOH,OHMEDINHINCKLY_x000D_
issue:_x000D_
.recs:Birth,Marriage,Death,Interment/Burial,Obituary,Image_x000D_
.imm?:no_x000D_
..Spo:GILBERT SEARLS</t>
        </r>
      </text>
    </comment>
    <comment ref="H2814" authorId="0" shapeId="0" xr:uid="{1E51CD7C-3C62-4A6A-8598-919A2724F473}">
      <text>
        <r>
          <rPr>
            <sz val="9"/>
            <color indexed="81"/>
            <rFont val="Tahoma"/>
            <family val="2"/>
          </rPr>
          <t>PHEBE JAMESON_x000D_
http://yeinfo.com/family/I09000083.html_x000D_
https://www.google.com/search?q=PHEBE+JAMESON+1786+1854+HALSTEAD_x000D_
.born: 17861009-          New York_x000D_
.died: 18540311-          Hinckley (Medina) Ohio, age:67y 5m 2d, _x000D_
.bapt: 1785GE_x000D_
.will: 2004MO_x000D_
.obit: 1890OH_x000D_
.bury: 1850IL Ridge Cemetery section 6 plot 42 row 9_x000D_
.wpbt: 1826PA_x000D_
.anc#:ancestor_x000D_
citiz:US born_x000D_
#spos:1_x000D_
#srcs:7_x000D_
#comment:0_x000D_
#events:3_x000D_
#kids:7_x000D_
lived:NY,OHMEDINHINCKLY_x000D_
issue:_x000D_
.recs:Birth,Marriage,Death,Interment/Burial_x000D_
.imm?:no_x000D_
..Spo:JAMES I. HALSTEAD</t>
        </r>
      </text>
    </comment>
    <comment ref="E2816" authorId="0" shapeId="0" xr:uid="{AFB763C4-7C96-456F-B9B5-E652DDC1DC69}">
      <text>
        <r>
          <rPr>
            <sz val="9"/>
            <color indexed="81"/>
            <rFont val="Tahoma"/>
            <family val="2"/>
          </rPr>
          <t>BURTON ORSON SEARLS_x000D_
http://yeinfo.com/family/I09000010.html_x000D_
https://www.google.com/search?q=BURTON+ORSON+SEARLS+1876+1946+MAE+FRANCES_x000D_
.born: 18760915-          White Swan (Charles Mix) South Dakota_x000D_
.died: 19460929-          Yankton (Yankton) South Dakota, age:70y 0m 14d, broncopneumonia &amp; manic-depressive_x000D_
.bapt: 1785GE_x000D_
.will: 2004MO_x000D_
.obit: 1890OH_x000D_
.bury: 1850IL Riverside Cemetery_x000D_
.wpbt: 1826PA_x000D_
.anc#:ancestor_x000D_
citiz:US born_x000D_
#spos:1_x000D_
#srcs:12_x000D_
#comment:2_x000D_
#events:21_x000D_
#kids:3_x000D_
lived:IACERRGCLEAR L,IAPLYMOAKRON,IAWOODBSIOUX C,MOCLAY EXCELSI,OHHAMILCINCINN,ORMULTNGRESHAM,SDCHARLWHITESW,SDDVISNMITCHEL,SDMINNEDELL RA,SDMINNESIOUX F,SDUNION,SDYANKTYANKTON_x000D_
issue:_x000D_
.recs:Birth,Marriage,Job/Occupation,Letter Written,Death,Interment/Burial,Obituary,Image_x000D_
.imm?:no_x000D_
..Spo:MAE FRANCES MOORE</t>
        </r>
      </text>
    </comment>
    <comment ref="J2818" authorId="0" shapeId="0" xr:uid="{3D506FC5-5B88-499B-BAC1-68E450FF744D}">
      <text>
        <r>
          <rPr>
            <sz val="9"/>
            <color indexed="81"/>
            <rFont val="Tahoma"/>
            <family val="2"/>
          </rPr>
          <t>DOMINI DOUGLASS_x000D_
http://yeinfo.com/family/I09000336.html_x000D_
https://www.google.com/search?q=DOMINI+DOUGLASS+1732+1807+MARY_x000D_
.born: 17320502-          Belfast (Antrim) Ireland_x000D_
.died: 18070404-          Shoreham (Addison) Vermont, age:74y 11m 2d, _x000D_
.bapt: 1785GE_x000D_
.will: 2004MO_x000D_
.obit: 1890OH_x000D_
.bury: 1850IL Ames-Wright Cemetery row 5 column 2_x000D_
.wpbt: 1826PA_x000D_
.anc#:ancestor_x000D_
citiz:immigrant_x000D_
#spos:1_x000D_
#srcs:6_x000D_
#comment:1_x000D_
#events:22_x000D_
#kids:11_x000D_
lived:CTLITCHNEW MIL,IRANTRIBELFAST,VTADDSNCORNWAL,VTADDSNSHOREHA,VTORANGCHELSEA,VTRUTLADANBY,VTRUTLAMIDDLTS,VTRUTLAWALLINF_x000D_
issue:_x000D_
.recs:Birth,Marriage,Death,Interment/Burial_x000D_
.imm?:immigrant_x000D_
..Spo:MARY WARNER</t>
        </r>
      </text>
    </comment>
    <comment ref="I2820" authorId="0" shapeId="0" xr:uid="{91550BED-1D42-4D54-843E-D851A9EF0B37}">
      <text>
        <r>
          <rPr>
            <sz val="9"/>
            <color indexed="81"/>
            <rFont val="Tahoma"/>
            <family val="2"/>
          </rPr>
          <t>JOSEPH DOUGLASS_x000D_
http://yeinfo.com/family/I09000168.html_x000D_
https://www.google.com/search?q=JOSEPH+DOUGLASS+1763+1829+Sarah+SCOTT_x000D_
.born: 17631009-          New Milford (Litchfield) Connecticut_x000D_
.died: 1829    -          , age:65y 2m 23d, _x000D_
.bapt: 1785GE_x000D_
.will: 2004MO_x000D_
.obit: 1890OH_x000D_
.bury: 1850IL _x000D_
.wpbt: 1826PA_x000D_
.anc#:ancestor_x000D_
citiz:US born_x000D_
#spos:3_x000D_
#srcs:2_x000D_
#comment:1_x000D_
#events:7_x000D_
#kids:14_x000D_
lived:CTLITCHNEW MIL,VTADDSNSHOREHA,VTRUTLAPAWLET_x000D_
issue:_x000D_
.recs:Birth,Military,Marriage,Death_x000D_
.imm?:no_x000D_
..Spo:Sarah Smith</t>
        </r>
      </text>
    </comment>
    <comment ref="O2822" authorId="0" shapeId="0" xr:uid="{22A83DA6-05B5-452C-8F12-C8A37C0A44C9}">
      <text>
        <r>
          <rPr>
            <sz val="9"/>
            <color indexed="81"/>
            <rFont val="Tahoma"/>
            <family val="2"/>
          </rPr>
          <t>JOHN WARNER_x000D_
http://yeinfo.com/family/I09041460.html_x000D_
https://www.google.com/search?q=JOHN+WARNER+1545+1584+MARGARET_x000D_
.born:?1545    -          England_x000D_
.died: 1584    -          England, age:39y 0m 0d, _x000D_
.bapt: 1785GE_x000D_
.will: 2004MO_x000D_
.obit: 1890OH_x000D_
.bury: 1850IL _x000D_
.wpbt: 1826PA_x000D_
.anc#:  quadruple ancestor_x000D_
citiz:foreign_x000D_
#spos:1_x000D_
#srcs:1_x000D_
#comment:0_x000D_
#events:5_x000D_
#kids:9_x000D_
lived:ENESSEXGREATWA_x000D_
issue:_x000D_
.recs:Birth,Marriage,Will Written,Death_x000D_
.imm?:no_x000D_
..Spo:MARGARET WARNER</t>
        </r>
      </text>
    </comment>
    <comment ref="N2824" authorId="0" shapeId="0" xr:uid="{B3EE15A7-BC4B-4D71-BD55-A411765EDAF2}">
      <text>
        <r>
          <rPr>
            <sz val="9"/>
            <color indexed="81"/>
            <rFont val="Tahoma"/>
            <family val="2"/>
          </rPr>
          <t>JOHN WARNER_x000D_
http://yeinfo.com/family/I09020730.html_x000D_
https://www.google.com/search?q=JOHN+WARNER+1570+1614+MARY_x000D_
.born:?1570    -          England_x000D_
.died: 1614    -1660     ?Hatfield Broad Oak (Essex) England, age:44y 0m 0d, _x000D_
.bapt: 1785GE_x000D_
.will: 2004MO_x000D_
.obit: 1890OH_x000D_
.bury: 1850IL _x000D_
.wpbt: 1826PA_x000D_
.anc#:  quadruple ancestor_x000D_
citiz:foreign_x000D_
#spos:1_x000D_
#srcs:3_x000D_
#comment:0_x000D_
#events:6_x000D_
#kids:6_x000D_
lived:ENESSEXHATFOAK_x000D_
issue:_x000D_
.recs:Birth,Marriage,Will Written,Death_x000D_
.imm?:no_x000D_
..Spo:MARY PURCHAS</t>
        </r>
      </text>
    </comment>
    <comment ref="O2826" authorId="0" shapeId="0" xr:uid="{C9DAD581-9B12-4F1E-AB96-EA5B072EF6D3}">
      <text>
        <r>
          <rPr>
            <sz val="9"/>
            <color indexed="81"/>
            <rFont val="Tahoma"/>
            <family val="2"/>
          </rPr>
          <t>Mrs. MARGARET WARNER_x000D_
http://yeinfo.com/family/I09041461.html_x000D_
https://www.google.com/search?q=MARGARET+WARNER+1545+1570+WARNER_x000D_
.born:?1545    -          England_x000D_
.died: 1570    -1635      , age:25y 0m 0d, _x000D_
.bapt: 1785GE_x000D_
.will: 2004MO_x000D_
.obit: 1890OH_x000D_
.bury: 1850IL _x000D_
.wpbt: 1826PA_x000D_
.anc#:  quadruple ancestor_x000D_
citiz:foreign_x000D_
#spos:1_x000D_
#srcs:1_x000D_
#comment:0_x000D_
#events:1_x000D_
#kids:9_x000D_
lived:EN_x000D_
issue:_x000D_
.recs:Birth,Marriage,Death_x000D_
.imm?:no_x000D_
..Spo:JOHN WARNER</t>
        </r>
      </text>
    </comment>
    <comment ref="M2828" authorId="0" shapeId="0" xr:uid="{0095AAA1-64C7-49BC-9CFB-3AA7BB300E94}">
      <text>
        <r>
          <rPr>
            <sz val="9"/>
            <color indexed="81"/>
            <rFont val="Tahoma"/>
            <family val="2"/>
          </rPr>
          <t>ANDREW WARNER_x000D_
http://yeinfo.com/family/I09002696.html_x000D_
https://www.google.com/search?q=ANDREW+WARNER+1595+1684+MARY+WAKEMAN_x000D_
.born:c1595    -         ?Great Waltham (Essex) England_x000D_
.died: 16841218-          Hadley (Hampshire) Massachusetts, age:89y 11m 17d, _x000D_
.bapt: 1785GE_x000D_
.will: 2004MO_x000D_
.obit: 1890OH_x000D_
.bury: 1850IL _x000D_
.wpbt: 1826PA_x000D_
.anc#:double ancestor_x000D_
citiz:immigrant_x000D_
#spos:2_x000D_
#srcs:12_x000D_
#comment:2_x000D_
#events:20_x000D_
#kids:9_x000D_
lived:?ENESSEXGREATWA,CTHARTFFARMING,CTHARTFHARTFOR,ENESSEXHATFOAK,ENESSEXTHAXTED,MAFRKLNDEERFIE,MAHAMPSHADLEY,MAMIDDLCAMBRID_x000D_
issue:AncFlags between Spouses Mismatched_x000D_
.recs:Birth,Marriage,Job/Occupation,Will Written,Death,Land Transaction,Freeman,Inventory_x000D_
.imm?:immigrant_x000D_
..Spo:MARY HUMPHREY</t>
        </r>
      </text>
    </comment>
    <comment ref="O2830" authorId="0" shapeId="0" xr:uid="{1FCBA114-36DA-445C-B28B-A1694D19B6E2}">
      <text>
        <r>
          <rPr>
            <sz val="9"/>
            <color indexed="81"/>
            <rFont val="Tahoma"/>
            <family val="2"/>
          </rPr>
          <t>JOHN PURCHAS_x000D_
http://yeinfo.com/family/I09041462.html_x000D_
https://www.google.com/search?q=JOHN+PURCHAS+1550+1585+MARGARET_x000D_
.born:?1550    -          England_x000D_
.died: 1585    -          England, age:35y 0m 0d, _x000D_
.bapt: 1785GE_x000D_
.will: 2004MO_x000D_
.obit: 1890OH_x000D_
.bury: 1850IL _x000D_
.wpbt: 1826PA_x000D_
.anc#:  quadruple ancestor_x000D_
citiz:foreign_x000D_
#spos:1_x000D_
#srcs:1_x000D_
#comment:0_x000D_
#events:4_x000D_
#kids:1_x000D_
lived:ENESSEXGREATWA_x000D_
issue:_x000D_
.recs:Birth,Marriage,Job/Occupation,Will Written,Death_x000D_
.imm?:no_x000D_
..Spo:MARGARET KREABLES</t>
        </r>
      </text>
    </comment>
    <comment ref="N2832" authorId="0" shapeId="0" xr:uid="{7F1F4CF2-0DB0-4B64-AC84-902D0B6EE5DD}">
      <text>
        <r>
          <rPr>
            <sz val="9"/>
            <color indexed="81"/>
            <rFont val="Tahoma"/>
            <family val="2"/>
          </rPr>
          <t>MARY PURCHAS_x000D_
http://yeinfo.com/family/I09020731.html_x000D_
https://www.google.com/search?q=MARY+PURCHAS+1570+1627+WARNER_x000D_
.born:?1570    -          England_x000D_
.died: 1627    -          England, age:57y 0m 0d, _x000D_
.bapt: 1785GE_x000D_
.will: 2004MO_x000D_
.obit: 1890OH_x000D_
.bury: 1850IL _x000D_
.wpbt: 1826PA_x000D_
.anc#:  quadruple ancestor_x000D_
citiz:foreign_x000D_
#spos:1_x000D_
#srcs:2_x000D_
#comment:1_x000D_
#events:3_x000D_
#kids:6_x000D_
lived:ENHERTFBISHOST_x000D_
issue:_x000D_
.recs:Birth,Marriage,Will Written,Death_x000D_
.imm?:no_x000D_
..Spo:JOHN WARNER</t>
        </r>
      </text>
    </comment>
    <comment ref="O2834" authorId="0" shapeId="0" xr:uid="{DA2AE615-0AED-4794-A2CF-0949F55683B6}">
      <text>
        <r>
          <rPr>
            <sz val="9"/>
            <color indexed="81"/>
            <rFont val="Tahoma"/>
            <family val="2"/>
          </rPr>
          <t>MARGARET KREABLES_x000D_
http://yeinfo.com/family/I09041463.html_x000D_
https://www.google.com/search?q=MARGARET+KREABLES+1550+1570+PURCHAS_x000D_
.born:?1550    -          England_x000D_
.died: 1570    -1640      , age:20y 0m 0d, _x000D_
.bapt: 1785GE_x000D_
.will: 2004MO_x000D_
.obit: 1890OH_x000D_
.bury: 1850IL _x000D_
.wpbt: 1826PA_x000D_
.anc#:  quadruple ancestor_x000D_
citiz:foreign_x000D_
#spos:1_x000D_
#srcs:1_x000D_
#comment:0_x000D_
#events:1_x000D_
#kids:1_x000D_
lived:EN_x000D_
issue:_x000D_
.recs:Birth,Marriage,Death_x000D_
.imm?:no_x000D_
..Spo:JOHN PURCHAS</t>
        </r>
      </text>
    </comment>
    <comment ref="L2836" authorId="0" shapeId="0" xr:uid="{099A61AF-8F1A-4B88-A816-81901D934167}">
      <text>
        <r>
          <rPr>
            <sz val="9"/>
            <color indexed="81"/>
            <rFont val="Tahoma"/>
            <family val="2"/>
          </rPr>
          <t>JACOB WARNER_x000D_
http://yeinfo.com/family/I09001348.html_x000D_
https://www.google.com/search?q=JACOB+WARNER+1660+1711+Rebecca+GOODMAN_x000D_
.born:?1660    -         ?Hartford (Hartford) Connecticut_x000D_
.died: 17111108-          Hadley (Hampshire) Massachusetts, age:51y 10m 7d, _x000D_
.bapt: 1785GE_x000D_
.will: 2004MO_x000D_
.obit: 1890OH_x000D_
.bury: 1850IL next to Meadow Road_x000D_
.wpbt: 1826PA_x000D_
.anc#:ancestor_x000D_
citiz:US born_x000D_
#spos:2_x000D_
#srcs:6_x000D_
#comment:0_x000D_
#events:4_x000D_
#kids:9_x000D_
lived:?CTHARTFHARTFOR,MAHAMPSHADLEY_x000D_
issue:Born after Dad Age 60_x000D_
.recs:Birth,Marriage,Death,Interment/Burial_x000D_
.imm?:no_x000D_
..Spo:Rebecca WARNER</t>
        </r>
      </text>
    </comment>
    <comment ref="N2838" authorId="0" shapeId="0" xr:uid="{2AFF2C63-2E0C-4CA4-A900-4796D2729FC9}">
      <text>
        <r>
          <rPr>
            <sz val="9"/>
            <color indexed="81"/>
            <rFont val="Tahoma"/>
            <family val="2"/>
          </rPr>
          <t>FRANCIS WAKEMAN_x000D_
http://yeinfo.com/family/I09005394.html_x000D_
https://www.google.com/search?q=FRANCIS+WAKEMAN+1595+1617+ANNE_x000D_
.born:?1595    -         ?England_x000D_
.died: 1617    -1685      , age:22y 0m 0d, _x000D_
.bapt: 1785GE_x000D_
.will: 2004MO_x000D_
.obit: 1890OH_x000D_
.bury: 1850IL _x000D_
.wpbt: 1826PA_x000D_
.anc#:ancestor_x000D_
citiz:US born_x000D_
#spos:1_x000D_
#srcs:4_x000D_
#comment:0_x000D_
#events:2_x000D_
#kids:1_x000D_
lived:?EN,ENWORCSBEWDLEY_x000D_
issue:Died after Age 100_x000D_
.recs:Birth,Marriage,Death_x000D_
.imm?:no_x000D_
..Spo:ANNE GOODE</t>
        </r>
      </text>
    </comment>
    <comment ref="M2840" authorId="0" shapeId="0" xr:uid="{8D9AAFF1-C252-41B7-AF67-106D106B4A93}">
      <text>
        <r>
          <rPr>
            <sz val="9"/>
            <color indexed="81"/>
            <rFont val="Tahoma"/>
            <family val="2"/>
          </rPr>
          <t>ESTHER\HESTER WAKEMAN_x000D_
http://yeinfo.com/family/I09002697.html_x000D_
https://www.google.com/search?q=ESTHER\HESTER+WAKEMAN+1617+1693+Selden+ANDREW_x000D_
.born: 161706  -          Bewdley (Worcestershire) England_x000D_
.died: 169303  -          Hadley (Hampshire) Massachusetts, age:75y 9m 0d, _x000D_
.bapt: 1785GE_x000D_
.will: 2004MO_x000D_
.obit: 1890OH_x000D_
.bury: 1850IL _x000D_
.wpbt: 1826PA_x000D_
.anc#:ancestor_x000D_
citiz:immigrant_x000D_
#spos:2_x000D_
#srcs:8_x000D_
#comment:1_x000D_
#events:5_x000D_
#kids:1_x000D_
lived:CTHARTFHARTFOR,ENWORCSBEWDLEY,MAHAMPSHADLEY,MAMIDDLCAMBRID_x000D_
issue:AncFlags between Spouses Mismatched_x000D_
.recs:Birth,Marriage,Death_x000D_
.imm?:immigrant_x000D_
..Spo:Thomas Selden</t>
        </r>
      </text>
    </comment>
    <comment ref="N2842" authorId="0" shapeId="0" xr:uid="{3BD6CA1B-84EF-4ACB-94E5-686AB5B60CCB}">
      <text>
        <r>
          <rPr>
            <sz val="9"/>
            <color indexed="81"/>
            <rFont val="Tahoma"/>
            <family val="2"/>
          </rPr>
          <t>ANNE GOODE_x000D_
http://yeinfo.com/family/I09005395.html_x000D_
https://www.google.com/search?q=ANNE+GOODE+1600+1620+WAKEMAN_x000D_
.born:?1600    -          Bewdley (Worcestershire) England_x000D_
.died: 1620    -1690      Bewdley (Worcestershire) England, age:20y 0m 0d, _x000D_
.bapt: 1785GE_x000D_
.will: 2004MO_x000D_
.obit: 1890OH_x000D_
.bury: 1850IL _x000D_
.wpbt: 1826PA_x000D_
.anc#:ancestor_x000D_
citiz:foreign_x000D_
#spos:1_x000D_
#srcs:4_x000D_
#comment:0_x000D_
#events:2_x000D_
#kids:1_x000D_
lived:ENWORCSBEWDLEY_x000D_
issue:Died after Age 100_x000D_
.recs:Birth,Marriage,Death_x000D_
.imm?:no_x000D_
..Spo:FRANCIS WAKEMAN</t>
        </r>
      </text>
    </comment>
    <comment ref="K2844" authorId="0" shapeId="0" xr:uid="{73D2F48C-25A6-423B-BF5A-52C3F998CFB3}">
      <text>
        <r>
          <rPr>
            <sz val="9"/>
            <color indexed="81"/>
            <rFont val="Tahoma"/>
            <family val="2"/>
          </rPr>
          <t>JOSEPH WARNER_x000D_
http://yeinfo.com/family/I09000674.html_x000D_
https://www.google.com/search?q=JOSEPH+WARNER+1707+1743+SARAH_x000D_
.born: 17070402-          Hadley (Hampshire) Massachusetts_x000D_
.died: 17431221-          New Milford (Litchfield) Connecticut, age:36y 8m 19d, _x000D_
.bapt: 1785GE_x000D_
.will: 2004MO_x000D_
.obit: 1890OH_x000D_
.bury: 1850IL _x000D_
.wpbt: 1826PA_x000D_
.anc#:ancestor_x000D_
citiz:US born_x000D_
#spos:1_x000D_
#srcs:2_x000D_
#comment:0_x000D_
#events:4_x000D_
#kids:7_x000D_
lived:CTLITCHNEW MIL,MAHAMPSHADLEY,MAWORCEMILFORD_x000D_
issue:_x000D_
.recs:Birth,Marriage,Death_x000D_
.imm?:no_x000D_
..Spo:SARAH BARTLETT</t>
        </r>
      </text>
    </comment>
    <comment ref="M2846" authorId="0" shapeId="0" xr:uid="{8C7B1131-4712-4294-9C6A-626140EBB905}">
      <text>
        <r>
          <rPr>
            <sz val="9"/>
            <color indexed="81"/>
            <rFont val="Tahoma"/>
            <family val="2"/>
          </rPr>
          <t>RICHARD GOODMAN_x000D_
http://yeinfo.com/family/I09002698.html_x000D_
https://www.google.com/search?q=RICHARD+GOODMAN+1609+1676+MARY_x000D_
.born: 1609    -          Leicestershire county England_x000D_
.died: 16760401-          Hadley (Hampshire) Massachusetts, age:67y 3m 0d, _x000D_
.bapt: 1785GE_x000D_
.will: 2004MO_x000D_
.obit: 1890OH_x000D_
.bury: 1850IL _x000D_
.wpbt: 1826PA_x000D_
.anc#:ancestor_x000D_
citiz:immigrant_x000D_
#spos:1_x000D_
#srcs:16_x000D_
#comment:1_x000D_
#events:17_x000D_
#kids:8_x000D_
lived:?CTHARTFHARTFOR,CTHARTFHOCKANU,CTHARTFWINDSOR,ENLEICE,MAHAMPSHADLEY,MAMIDDLCAMBRID,MAPLYMOPLYMOUT_x000D_
issue:_x000D_
.recs:Birth,Military,Marriage,Job/Occupation,Death,Gov't Court,Freeman_x000D_
.imm?:immigrant_x000D_
..Spo:MARY TERRY</t>
        </r>
      </text>
    </comment>
    <comment ref="L2848" authorId="0" shapeId="0" xr:uid="{1518BD15-B867-4BC0-A28A-3C0B03DEAAE3}">
      <text>
        <r>
          <rPr>
            <sz val="9"/>
            <color indexed="81"/>
            <rFont val="Tahoma"/>
            <family val="2"/>
          </rPr>
          <t>ELIZABETH GOODMAN_x000D_
http://yeinfo.com/family/I09001349.html_x000D_
https://www.google.com/search?q=ELIZABETH+GOODMAN+1671+1713+WARNER+?_x000D_
.born: 16710205-         ?Hadley (Hampshire) Massachusetts_x000D_
.died: 1713    -1761     ?Hadley (Hampshire) Massachusetts, age:41y 10m 27d, _x000D_
.bapt: 1785GE_x000D_
.will: 2004MO_x000D_
.obit: 1890OH_x000D_
.bury: 1850IL _x000D_
.wpbt: 1826PA_x000D_
.anc#:ancestor_x000D_
citiz:US born_x000D_
#spos:2_x000D_
#srcs:8_x000D_
#comment:1_x000D_
#events:2_x000D_
#kids:8_x000D_
lived:?MAHAMPSHADLEY_x000D_
issue:Born after Dad Age 60_x000D_
.recs:Birth,Marriage,Death_x000D_
.imm?:no_x000D_
..Spo:JACOB WARNER</t>
        </r>
      </text>
    </comment>
    <comment ref="O2850" authorId="0" shapeId="0" xr:uid="{D785BB51-D1B7-47CB-B998-524500B200EF}">
      <text>
        <r>
          <rPr>
            <sz val="9"/>
            <color indexed="81"/>
            <rFont val="Tahoma"/>
            <family val="2"/>
          </rPr>
          <t>JOHN TERRY_x000D_
http://yeinfo.com/family/I09010796.html_x000D_
https://www.google.com/search?q=JOHN+TERRY+1580+1610+MARY_x000D_
.born:?1580    -          England_x000D_
.died: 1610    -1670      England, age:30y 0m 0d, _x000D_
.bapt: 1785GE_x000D_
.will: 2004MO_x000D_
.obit: 1890OH_x000D_
.bury: 1850IL _x000D_
.wpbt: 1826PA_x000D_
.anc#:ancestor_x000D_
citiz:foreign_x000D_
#spos:1_x000D_
#srcs:1_x000D_
#comment:0_x000D_
#events:2_x000D_
#kids:4_x000D_
lived:ENWILTSSTOCKTO_x000D_
issue:_x000D_
.recs:Birth,Marriage,Death_x000D_
.imm?:no_x000D_
..Spo:MARY WHITE</t>
        </r>
      </text>
    </comment>
    <comment ref="N2852" authorId="0" shapeId="0" xr:uid="{ACC8CF44-4C8C-4EBC-A689-00E34951BD97}">
      <text>
        <r>
          <rPr>
            <sz val="9"/>
            <color indexed="81"/>
            <rFont val="Tahoma"/>
            <family val="2"/>
          </rPr>
          <t>STEPHEN TERRY_x000D_
http://yeinfo.com/family/I09005398.html_x000D_
https://www.google.com/search?q=STEPHEN+TERRY+1608+1668+ELIZABETH+JANE\JOAN+TERRY_x000D_
.born: 1608    -          Stockton (Wiltshire) England_x000D_
.died: 166809  -         ?Hadley (Hampshire) Massachusetts, age:60y 8m 0d, _x000D_
.bapt: 1785GE_x000D_
.will: 2004MO_x000D_
.obit: 1890OH_x000D_
.bury: 1850IL _x000D_
.wpbt: 1826PA_x000D_
.anc#:ancestor_x000D_
citiz:immigrant_x000D_
#spos:2_x000D_
#srcs:15_x000D_
#comment:1_x000D_
#events:12_x000D_
#kids:5_x000D_
lived:CTHARTFHARTFOR,CTHARTFWINDSOR,ENDORSEDORCHES,ENDORSESYMONDB,ENWILTSSTOCKTO,MAHAMPSHADLEY,MASUFFODORCHES_x000D_
issue:_x000D_
.recs:Birth,Marriage,Will Written,Death,Freeman_x000D_
.imm?:immigrant_x000D_
..Spo:ELIZABETH JANE\JOAN HARDEY</t>
        </r>
      </text>
    </comment>
    <comment ref="P2854" authorId="0" shapeId="0" xr:uid="{B02F6C84-34D1-44D4-ABCF-9D35F76DC40C}">
      <text>
        <r>
          <rPr>
            <sz val="9"/>
            <color indexed="81"/>
            <rFont val="Tahoma"/>
            <family val="2"/>
          </rPr>
          <t>JOHN WHITE_x000D_
http://yeinfo.com/family/I09021594.html_x000D_
https://www.google.com/search?q=JOHN+WHITE+1555+1582+ELIZABETH\ISABEL_x000D_
.born:?1555    -          England_x000D_
.died: 1582    -1645      England, age:27y 0m 0d, _x000D_
.bapt: 1785GE_x000D_
.will: 2004MO_x000D_
.obit: 1890OH_x000D_
.bury: 1850IL _x000D_
.wpbt: 1826PA_x000D_
.anc#:ancestor_x000D_
citiz:foreign_x000D_
#spos:1_x000D_
#srcs:1_x000D_
#comment:1_x000D_
#events:2_x000D_
#kids:3_x000D_
lived:ENOXFOSOXFORD_x000D_
issue:_x000D_
.recs:Birth,Marriage,Death_x000D_
.imm?:no_x000D_
..Spo:ELIZABETH\ISABEL BAWLE</t>
        </r>
      </text>
    </comment>
    <comment ref="O2856" authorId="0" shapeId="0" xr:uid="{B324CA28-AB8E-4732-ADA7-79DD0C85D0FF}">
      <text>
        <r>
          <rPr>
            <sz val="9"/>
            <color indexed="81"/>
            <rFont val="Tahoma"/>
            <family val="2"/>
          </rPr>
          <t>MARY WHITE_x000D_
http://yeinfo.com/family/I09010797.html_x000D_
https://www.google.com/search?q=MARY+WHITE+1580+1637+TERRY_x000D_
.born:?1580    -          England_x000D_
.died: 163710  -          England, age:57y 9m 0d, _x000D_
.bapt: 1785GE_x000D_
.will: 2004MO_x000D_
.obit: 1890OH_x000D_
.bury: 1850IL _x000D_
.wpbt: 1826PA_x000D_
.anc#:ancestor_x000D_
citiz:foreign_x000D_
#spos:1_x000D_
#srcs:1_x000D_
#comment:0_x000D_
#events:4_x000D_
#kids:4_x000D_
lived:ENDORSEDORCHES_x000D_
issue:_x000D_
.recs:Birth,Marriage,Will Written,Death_x000D_
.imm?:no_x000D_
..Spo:JOHN TERRY</t>
        </r>
      </text>
    </comment>
    <comment ref="P2858" authorId="0" shapeId="0" xr:uid="{A4322001-04AD-42FD-861A-D9FECB0E89C4}">
      <text>
        <r>
          <rPr>
            <sz val="9"/>
            <color indexed="81"/>
            <rFont val="Tahoma"/>
            <family val="2"/>
          </rPr>
          <t>ELIZABETH\ISABEL BAWLE_x000D_
http://yeinfo.com/family/I09021595.html_x000D_
https://www.google.com/search?q=ELIZABETH\ISABEL+BAWLE+1555+1582+WHITE_x000D_
.born:?1555    -         ?England_x000D_
.died: 1582    -1645      , age:27y 0m 0d, _x000D_
.bapt: 1785GE_x000D_
.will: 2004MO_x000D_
.obit: 1890OH_x000D_
.bury: 1850IL _x000D_
.wpbt: 1826PA_x000D_
.anc#:ancestor_x000D_
citiz:foreign_x000D_
#spos:1_x000D_
#srcs:1_x000D_
#comment:0_x000D_
#events:1_x000D_
#kids:3_x000D_
lived:?EN_x000D_
issue:_x000D_
.recs:Birth,Marriage,Death_x000D_
.imm?:no_x000D_
..Spo:JOHN WHITE</t>
        </r>
      </text>
    </comment>
    <comment ref="M2860" authorId="0" shapeId="0" xr:uid="{945589D6-85FC-45F1-88ED-0B976B40B65E}">
      <text>
        <r>
          <rPr>
            <sz val="9"/>
            <color indexed="81"/>
            <rFont val="Tahoma"/>
            <family val="2"/>
          </rPr>
          <t>MARY TERRY_x000D_
http://yeinfo.com/family/I09002699.html_x000D_
https://www.google.com/search?q=MARY+TERRY+1635+1693+GOODMAN_x000D_
.born: 16351231-         ?Dorchester (Suffolk) Massachusetts_x000D_
.died: 169303  -          Deerfield (Franklin) Massachusetts, age:57y 1m -2d, _x000D_
.bapt: 1785GE_x000D_
.will: 2004MO_x000D_
.obit: 1890OH_x000D_
.bury: 1850IL _x000D_
.wpbt: 1826PA_x000D_
.anc#:ancestor_x000D_
citiz:US born_x000D_
#spos:1_x000D_
#srcs:8_x000D_
#comment:0_x000D_
#events:3_x000D_
#kids:8_x000D_
lived:?MASUFFODORCHES,CTHARTFHARTFOR,MAFRKLNDEERFIE_x000D_
issue:_x000D_
.recs:Birth,Marriage,Will Written,Death_x000D_
.imm?:no_x000D_
..Spo:RICHARD GOODMAN</t>
        </r>
      </text>
    </comment>
    <comment ref="N2862" authorId="0" shapeId="0" xr:uid="{AB264D00-2CC7-47B4-89B7-0E468F62A6FC}">
      <text>
        <r>
          <rPr>
            <sz val="9"/>
            <color indexed="81"/>
            <rFont val="Tahoma"/>
            <family val="2"/>
          </rPr>
          <t>ELIZABETH JANE\JOAN HARDEY_x000D_
http://yeinfo.com/family/I09005399.html_x000D_
https://www.google.com/search?q=ELIZABETH+JANE\JOAN+HARDEY+1604+1647+TERRY_x000D_
.born: 16040713-          Stratton (Dorset) England_x000D_
.died: 16470605-         ?Windsor (Hartford) Connecticut, age:42y 10m 23d, _x000D_
.bapt: 1785GE_x000D_
.will: 2004MO_x000D_
.obit: 1890OH_x000D_
.bury: 1850IL _x000D_
.wpbt: 1826PA_x000D_
.anc#:ancestor_x000D_
citiz:immigrant_x000D_
#spos:1_x000D_
#srcs:4_x000D_
#comment:0_x000D_
#events:2_x000D_
#kids:5_x000D_
lived:?CTHARTFWINDSOR,ENDORSESTRATTO,ENDORSESYMONDB_x000D_
issue:_x000D_
.recs:Birth,Marriage,Death_x000D_
.imm?:immigrant_x000D_
..Spo:STEPHEN TERRY</t>
        </r>
      </text>
    </comment>
    <comment ref="J2864" authorId="0" shapeId="0" xr:uid="{A4C21868-D96E-404E-8847-D5F5E71B04A5}">
      <text>
        <r>
          <rPr>
            <sz val="9"/>
            <color indexed="81"/>
            <rFont val="Tahoma"/>
            <family val="2"/>
          </rPr>
          <t>MARY WARNER_x000D_
http://yeinfo.com/family/I09000337.html_x000D_
https://www.google.com/search?q=MARY+WARNER+1743+1819+DOUGLASS+David_x000D_
.born: 17431210-          New Milford (Litchfield) Connecticut_x000D_
.died: 18190301-          Orwell (Addison) Vermont, age:75y 2m 19d, _x000D_
.bapt: 1785GE_x000D_
.will: 2004MO_x000D_
.obit: 1890OH_x000D_
.bury: 1850IL Ames-Wright Cemetery row 5 column 3_x000D_
.wpbt: 1826PA_x000D_
.anc#:ancestor_x000D_
citiz:US born_x000D_
#spos:2_x000D_
#srcs:6_x000D_
#comment:1_x000D_
#events:4_x000D_
#kids:11_x000D_
lived:?VTADDSNSHOREHA,CTLITCHNEW MIL,VTADDSNORWELL_x000D_
issue:Married before Age 16_x000D_
.recs:Birth,Baptism,Marriage,Death,Interment/Burial_x000D_
.imm?:no_x000D_
..Spo:DOMINI DOUGLASS</t>
        </r>
      </text>
    </comment>
    <comment ref="K2866" authorId="0" shapeId="0" xr:uid="{FF2138EA-93BC-4733-B075-A86622CFE705}">
      <text>
        <r>
          <rPr>
            <sz val="9"/>
            <color indexed="81"/>
            <rFont val="Tahoma"/>
            <family val="2"/>
          </rPr>
          <t>SARAH BARTLETT_x000D_
http://yeinfo.com/family/I09000675.html_x000D_
https://www.google.com/search?q=SARAH+BARTLETT+1709+1757+WARNER_x000D_
.born: 17091225-          Hadley (Hampshire) Massachusetts_x000D_
.died: 1757    -          New Milford (Litchfield) Connecticut, age:47y 0m 7d, _x000D_
.bapt: 1785GE_x000D_
.will: 2004MO_x000D_
.obit: 1890OH_x000D_
.bury: 1850IL _x000D_
.wpbt: 1826PA_x000D_
.anc#:ancestor_x000D_
citiz:US born_x000D_
#spos:1_x000D_
#srcs:10_x000D_
#comment:0_x000D_
#events:1_x000D_
#kids:7_x000D_
lived:CTLITCHNEW MIL,MAHAMPSHADLEY_x000D_
issue:_x000D_
.recs:Birth,Marriage,Death_x000D_
.imm?:no_x000D_
..Spo:JOSEPH WARNER</t>
        </r>
      </text>
    </comment>
    <comment ref="H2868" authorId="0" shapeId="0" xr:uid="{DBE11B88-069D-4FAA-BBFE-824CABECB348}">
      <text>
        <r>
          <rPr>
            <sz val="9"/>
            <color indexed="81"/>
            <rFont val="Tahoma"/>
            <family val="2"/>
          </rPr>
          <t>CYRUS DOUGLASS_x000D_
http://yeinfo.com/family/I09000084.html_x000D_
https://www.google.com/search?q=CYRUS+DOUGLASS+1792+1880+RUBY+RHODA+Butler_x000D_
.born: 17920128-         ?Shoreham (Addison) Vermont_x000D_
.died: 18801220-          Vermilion county Illinois, age:88y 10m 22d, _x000D_
.bapt: 1785GE_x000D_
.will: 2004MO_x000D_
.obit: 1890OH_x000D_
.bury: 1850IL Parish Cemetery_x000D_
.wpbt: 1826PA_x000D_
.anc#:ancestor_x000D_
citiz:US born_x000D_
#spos:2_x000D_
#srcs:7_x000D_
#comment:3_x000D_
#events:23_x000D_
#kids:13_x000D_
lived:?VTADDSNSHOREHA,ILVERMIDANVILL,ILVERMIDENMARK,ILVERMIRIDGEFA,ILVERMIVANCE,INBROWN,MOST.LOST.LOUI_x000D_
issue:Married before Age 16_x000D_
.recs:Birth,Marriage,Job/Occupation,Death,Interment/Burial,Land Transaction,Gov't Court,Church_x000D_
.imm?:no_x000D_
..Spo:RUBY RHODA BLOSS</t>
        </r>
      </text>
    </comment>
    <comment ref="P2870" authorId="0" shapeId="0" xr:uid="{8F6DE23C-54C1-4A4F-9374-F2DA7AACE03F}">
      <text>
        <r>
          <rPr>
            <sz val="9"/>
            <color indexed="81"/>
            <rFont val="Tahoma"/>
            <family val="2"/>
          </rPr>
          <t>JONATHAN SCOTT_x000D_
http://yeinfo.com/family/I09021632.html_x000D_
https://www.google.com/search?q=JONATHAN+SCOTT+1560+1620+ALICE_x000D_
.born:?1560    -          Yorkshire county England_x000D_
.died:c1620    -          England, age:60y 0m 0d, _x000D_
.bapt: 1785GE_x000D_
.will: 2004MO_x000D_
.obit: 1890OH_x000D_
.bury: 1850IL _x000D_
.wpbt: 1826PA_x000D_
.anc#:ancestor_x000D_
citiz:foreign_x000D_
#spos:1_x000D_
#srcs:1_x000D_
#comment:0_x000D_
#events:1_x000D_
#kids:1_x000D_
lived:ENYORKS_x000D_
issue:_x000D_
.recs:Birth,Marriage,Death_x000D_
.imm?:no_x000D_
..Spo:ALICE SCOTT</t>
        </r>
      </text>
    </comment>
    <comment ref="O2872" authorId="0" shapeId="0" xr:uid="{D71F17D5-36EC-4607-90F8-567F5B94E54E}">
      <text>
        <r>
          <rPr>
            <sz val="9"/>
            <color indexed="81"/>
            <rFont val="Tahoma"/>
            <family val="2"/>
          </rPr>
          <t>WILLIAM SCOTT_x000D_
http://yeinfo.com/family/I09010816.html_x000D_
https://www.google.com/search?q=WILLIAM+SCOTT+1582+1680+ALICE\BRIDGET_x000D_
.born: 1582    -          Essex county England_x000D_
.died: 1680    -          London (Middlesex) England, age:98y 0m 0d, _x000D_
.bapt: 1785GE_x000D_
.will: 2004MO_x000D_
.obit: 1890OH_x000D_
.bury: 1850IL _x000D_
.wpbt: 1826PA_x000D_
.anc#:ancestor_x000D_
citiz:foreign_x000D_
#spos:1_x000D_
#srcs:3_x000D_
#comment:0_x000D_
#events:1_x000D_
#kids:1_x000D_
lived:?ENCAMBSBARRING,ENESSEX,ENMIDDLLONDON_x000D_
issue:_x000D_
.recs:Birth,Marriage,Death_x000D_
.imm?:no_x000D_
..Spo:ALICE\BRIDGET GIBSONE</t>
        </r>
      </text>
    </comment>
    <comment ref="P2874" authorId="0" shapeId="0" xr:uid="{8D4456E9-0E3C-45E1-BEBD-A79CCEDB7D03}">
      <text>
        <r>
          <rPr>
            <sz val="9"/>
            <color indexed="81"/>
            <rFont val="Tahoma"/>
            <family val="2"/>
          </rPr>
          <t>Mrs. ALICE SCOTT_x000D_
http://yeinfo.com/family/I09021633.html_x000D_
https://www.google.com/search?q=ALICE+SCOTT+1560+1582+SCOTT_x000D_
.born:?1560    -         ?Yorkshire county England_x000D_
.died: 1582    -1650     ?England, age:22y 0m 0d, _x000D_
.bapt: 1785GE_x000D_
.will: 2004MO_x000D_
.obit: 1890OH_x000D_
.bury: 1850IL _x000D_
.wpbt: 1826PA_x000D_
.anc#:ancestor_x000D_
citiz:foreign_x000D_
#spos:1_x000D_
#srcs:1_x000D_
#comment:1_x000D_
#events:1_x000D_
#kids:1_x000D_
lived:?ENYORKS_x000D_
issue:_x000D_
.recs:Birth,Marriage,Death_x000D_
.imm?:no_x000D_
..Spo:JONATHAN SCOTT</t>
        </r>
      </text>
    </comment>
    <comment ref="N2876" authorId="0" shapeId="0" xr:uid="{7E9BAF5B-4DBD-4376-A788-254120BFC184}">
      <text>
        <r>
          <rPr>
            <sz val="9"/>
            <color indexed="81"/>
            <rFont val="Tahoma"/>
            <family val="2"/>
          </rPr>
          <t>BENJAMIN SCOTT_x000D_
http://yeinfo.com/family/I09005408.html_x000D_
https://www.google.com/search?q=BENJAMIN+SCOTT+1612+1671+MARGARET_x000D_
.born: 16120616-          England_x000D_
.died: 1671    -          Rowley (Essex) Massachusetts, age:58y 6m 16d, _x000D_
.bapt: 1785GE_x000D_
.will: 2004MO_x000D_
.obit: 1890OH_x000D_
.bury: 1850IL _x000D_
.wpbt: 1826PA_x000D_
.anc#:ancestor_x000D_
citiz:immigrant_x000D_
#spos:1_x000D_
#srcs:3_x000D_
#comment:1_x000D_
#events:1_x000D_
#kids:1_x000D_
lived:EN,MAESSEXROWLEY_x000D_
issue:_x000D_
.recs:Birth,Marriage,Death_x000D_
.imm?:immigrant_x000D_
..Spo:MARGARET STEVENSON</t>
        </r>
      </text>
    </comment>
    <comment ref="O2878" authorId="0" shapeId="0" xr:uid="{B2C198BD-EAF5-4760-9F13-5CC84C602861}">
      <text>
        <r>
          <rPr>
            <sz val="9"/>
            <color indexed="81"/>
            <rFont val="Tahoma"/>
            <family val="2"/>
          </rPr>
          <t>ALICE\BRIDGET GIBSONE_x000D_
http://yeinfo.com/family/I09010817.html_x000D_
https://www.google.com/search?q=ALICE\BRIDGET+GIBSONE+1580+1612+SCOTT_x000D_
.born: 1580    -         ?England_x000D_
.died: 1612    -1670     ?England, age:32y 0m 0d, _x000D_
.bapt: 1785GE_x000D_
.will: 2004MO_x000D_
.obit: 1890OH_x000D_
.bury: 1850IL _x000D_
.wpbt: 1826PA_x000D_
.anc#:ancestor_x000D_
citiz:foreign_x000D_
#spos:1_x000D_
#srcs:3_x000D_
#comment:0_x000D_
#events:1_x000D_
#kids:1_x000D_
lived:?ENCAMBSBARRING_x000D_
issue:_x000D_
.recs:Birth,Marriage,Death_x000D_
.imm?:no_x000D_
..Spo:WILLIAM SCOTT</t>
        </r>
      </text>
    </comment>
    <comment ref="M2880" authorId="0" shapeId="0" xr:uid="{C48B0FA8-861C-4436-97A6-6C33F62E3B62}">
      <text>
        <r>
          <rPr>
            <sz val="9"/>
            <color indexed="81"/>
            <rFont val="Tahoma"/>
            <family val="2"/>
          </rPr>
          <t>JOHN SCOTT_x000D_
http://yeinfo.com/family/I09002704.html_x000D_
https://www.google.com/search?q=JOHN+SCOTT+1646+1706+HANNAH_x000D_
.born: 16460702-         ?Cambridge (Middlesex) Massachusetts_x000D_
.died: 1706    -1736      Roxbury (Suffolk) Massachusetts, age:59y 5m 30d, _x000D_
.bapt: 1785GE_x000D_
.will: 2004MO_x000D_
.obit: 1890OH_x000D_
.bury: 1850IL _x000D_
.wpbt: 1826PA_x000D_
.anc#:ancestor_x000D_
citiz:US born_x000D_
#spos:1_x000D_
#srcs:10_x000D_
#comment:0_x000D_
#events:8_x000D_
#kids:10_x000D_
lived:?MAMIDDLCAMBRID,CTWINDHWOODSTO,MASUFFOROXBURY_x000D_
issue:_x000D_
.recs:Birth,Military,Marriage,Death,Land Transaction,Gov't Court,Freeman_x000D_
.imm?:no_x000D_
..Spo:HANNAH DUNCAN</t>
        </r>
      </text>
    </comment>
    <comment ref="O2882" authorId="0" shapeId="0" xr:uid="{E15B5530-33D6-4CDF-AF01-E7EAFF4B78C2}">
      <text>
        <r>
          <rPr>
            <sz val="9"/>
            <color indexed="81"/>
            <rFont val="Tahoma"/>
            <family val="2"/>
          </rPr>
          <t>EDWARD STEVENSON_x000D_
http://yeinfo.com/family/I09010818.html_x000D_
https://www.google.com/search?q=EDWARD+STEVENSON+1592+1614+MARGARETA_x000D_
.born:c1592    -          Sheffield (Yorkshire) England_x000D_
.died: 1614    -1682      , age:22y 0m 0d, _x000D_
.bapt: 1785GE_x000D_
.will: 2004MO_x000D_
.obit: 1890OH_x000D_
.bury: 1850IL _x000D_
.wpbt: 1826PA_x000D_
.anc#:ancestor_x000D_
citiz:US born_x000D_
#spos:1_x000D_
#srcs:1_x000D_
#comment:0_x000D_
#events:1_x000D_
#kids:1_x000D_
lived:ENYORKSSHEFFIE_x000D_
issue:_x000D_
.recs:Birth,Marriage,Death_x000D_
.imm?:no_x000D_
..Spo:MARGARETA DUNN</t>
        </r>
      </text>
    </comment>
    <comment ref="N2884" authorId="0" shapeId="0" xr:uid="{36A84D5F-ADDA-4C90-BD85-470114016EB2}">
      <text>
        <r>
          <rPr>
            <sz val="9"/>
            <color indexed="81"/>
            <rFont val="Tahoma"/>
            <family val="2"/>
          </rPr>
          <t>MARGARET STEVENSON_x000D_
http://yeinfo.com/family/I09005409.html_x000D_
https://www.google.com/search?q=MARGARET+STEVENSON+1614+1692+SCOTT_x000D_
.born: 16140514-          Yorkshire county England_x000D_
.died: 16920922-          Salem (Essex) Massachusetts, age:78y 4m 8d, _x000D_
.bapt: 1785GE_x000D_
.will: 2004MO_x000D_
.obit: 1890OH_x000D_
.bury: 1850IL _x000D_
.wpbt: 1826PA_x000D_
.anc#:ancestor_x000D_
citiz:immigrant_x000D_
#spos:1_x000D_
#srcs:3_x000D_
#comment:0_x000D_
#events:1_x000D_
#kids:1_x000D_
lived:ENYORKS,MAESSEXROWLEY,MAESSEXSALEM_x000D_
issue:_x000D_
.recs:Birth,Marriage,Death_x000D_
.imm?:immigrant_x000D_
..Spo:BENJAMIN SCOTT</t>
        </r>
      </text>
    </comment>
    <comment ref="O2886" authorId="0" shapeId="0" xr:uid="{3D3B8EF7-ECDD-49D3-B902-DAEA789F805E}">
      <text>
        <r>
          <rPr>
            <sz val="9"/>
            <color indexed="81"/>
            <rFont val="Tahoma"/>
            <family val="2"/>
          </rPr>
          <t>MARGARETA DUNN_x000D_
http://yeinfo.com/family/I09010819.html_x000D_
https://www.google.com/search?q=MARGARETA+DUNN+1596+1616+STEVENSON_x000D_
.born:c1596    -          Sheffield (Yorkshire) England_x000D_
.died: 1616    -1686      , age:20y 0m 0d, _x000D_
.bapt: 1785GE_x000D_
.will: 2004MO_x000D_
.obit: 1890OH_x000D_
.bury: 1850IL _x000D_
.wpbt: 1826PA_x000D_
.anc#:ancestor_x000D_
citiz:US born_x000D_
#spos:1_x000D_
#srcs:1_x000D_
#comment:0_x000D_
#events:1_x000D_
#kids:1_x000D_
lived:ENYORKSSHEFFIE_x000D_
issue:Died after Age 100_x000D_
.recs:Birth,Marriage,Death_x000D_
.imm?:no_x000D_
..Spo:EDWARD STEVENSON</t>
        </r>
      </text>
    </comment>
    <comment ref="L2888" authorId="0" shapeId="0" xr:uid="{B8BAD599-E6C6-4287-9A27-EEEE232BD32B}">
      <text>
        <r>
          <rPr>
            <sz val="9"/>
            <color indexed="81"/>
            <rFont val="Tahoma"/>
            <family val="2"/>
          </rPr>
          <t>JOSEPH SCOTT_x000D_
http://yeinfo.com/family/I09001352.html_x000D_
https://www.google.com/search?q=JOSEPH+SCOTT+1682+1724+Sarah+PRIOR_x000D_
.born: 16820327-          Roxbury (Suffolk) Massachusetts_x000D_
.died: 1724    -1772     ?Sturbridge (Worcester) Massachusetts, age:41y 9m 5d, _x000D_
.bapt: 1785GE_x000D_
.will: 2004MO_x000D_
.obit: 1890OH_x000D_
.bury: 1850IL _x000D_
.wpbt: 1826PA_x000D_
.anc#:ancestor_x000D_
citiz:US born_x000D_
#spos:2_x000D_
#srcs:2_x000D_
#comment:1_x000D_
#events:2_x000D_
#kids:7_x000D_
lived:?MAWORCESTURBRI,MASUFFOROXBURY_x000D_
issue:_x000D_
.recs:Birth,Marriage,Death_x000D_
.imm?:no_x000D_
..Spo:Sarah Davis</t>
        </r>
      </text>
    </comment>
    <comment ref="N2890" authorId="0" shapeId="0" xr:uid="{FA4F17CC-788F-48ED-AF66-58795F55F884}">
      <text>
        <r>
          <rPr>
            <sz val="9"/>
            <color indexed="81"/>
            <rFont val="Tahoma"/>
            <family val="2"/>
          </rPr>
          <t>SAMUEL DUNCAN_x000D_
http://yeinfo.com/family/I09005410.html_x000D_
https://www.google.com/search?q=SAMUEL+DUNCAN+1619+1693+MARY_x000D_
.born: 161904  -         ?England_x000D_
.died: 1693    -         ?Massachusetts, age:73y 9m 0d, _x000D_
.bapt: 1785GE_x000D_
.will: 2004MO_x000D_
.obit: 1890OH_x000D_
.bury: 1850IL _x000D_
.wpbt: 1826PA_x000D_
.anc#:ancestor_x000D_
citiz:immigrant_x000D_
#spos:1_x000D_
#srcs:7_x000D_
#comment:0_x000D_
#events:3_x000D_
#kids:1_x000D_
lived:?EN,MAESSEXNEWBURY,MASUFFOBOSTON_x000D_
issue:_x000D_
.recs:Birth,Marriage,Death_x000D_
.imm?:immigrant_x000D_
..Spo:MARY DUNCAN</t>
        </r>
      </text>
    </comment>
    <comment ref="M2892" authorId="0" shapeId="0" xr:uid="{E7CA9995-D6F6-4256-BCD8-0E8A79815462}">
      <text>
        <r>
          <rPr>
            <sz val="9"/>
            <color indexed="81"/>
            <rFont val="Tahoma"/>
            <family val="2"/>
          </rPr>
          <t>HANNAH DUNCAN_x000D_
http://yeinfo.com/family/I09002705.html_x000D_
https://www.google.com/search?q=HANNAH+DUNCAN+1651+1686+SCOTT_x000D_
.born: 16510428-          Boston (Suffolk) Massachusetts_x000D_
.died: 1686    -1741     ?Roxbury (Suffolk) Massachusetts, age:34y 8m 4d, _x000D_
.bapt: 1785GE_x000D_
.will: 2004MO_x000D_
.obit: 1890OH_x000D_
.bury: 1850IL _x000D_
.wpbt: 1826PA_x000D_
.anc#:ancestor_x000D_
citiz:US born_x000D_
#spos:1_x000D_
#srcs:4_x000D_
#comment:1_x000D_
#events:1_x000D_
#kids:10_x000D_
lived:MASUFFOBOSTON,MASUFFOROXBURY_x000D_
issue:_x000D_
.recs:Birth,Marriage,Death_x000D_
.imm?:no_x000D_
..Spo:JOHN SCOTT</t>
        </r>
      </text>
    </comment>
    <comment ref="N2894" authorId="0" shapeId="0" xr:uid="{D3B6F54D-DFFB-44D9-B8C0-CEB181D5ECDD}">
      <text>
        <r>
          <rPr>
            <sz val="9"/>
            <color indexed="81"/>
            <rFont val="Tahoma"/>
            <family val="2"/>
          </rPr>
          <t>Mrs. MARY DUNCAN_x000D_
http://yeinfo.com/family/I09005411.html_x000D_
https://www.google.com/search?q=MARY+DUNCAN+1625+1651+DUNCAN_x000D_
.born:?1625    -         ?England_x000D_
.died: 1651    -1715     ?Massachusetts, age:26y 0m 0d, _x000D_
.bapt: 1785GE_x000D_
.will: 2004MO_x000D_
.obit: 1890OH_x000D_
.bury: 1850IL _x000D_
.wpbt: 1826PA_x000D_
.anc#:ancestor_x000D_
citiz:immigrant_x000D_
#spos:1_x000D_
#srcs:3_x000D_
#comment:0_x000D_
#events:1_x000D_
#kids:1_x000D_
lived:?EN,?MA_x000D_
issue:_x000D_
.recs:Birth,Marriage,Death_x000D_
.imm?:immigrant_x000D_
..Spo:SAMUEL DUNCAN</t>
        </r>
      </text>
    </comment>
    <comment ref="K2896" authorId="0" shapeId="0" xr:uid="{B166C7B0-E01E-4CE7-9707-A9C5379B053A}">
      <text>
        <r>
          <rPr>
            <sz val="9"/>
            <color indexed="81"/>
            <rFont val="Tahoma"/>
            <family val="2"/>
          </rPr>
          <t>SAMUEL SCOTT_x000D_
http://yeinfo.com/family/I09000676.html_x000D_
https://www.google.com/search?q=SAMUEL+SCOTT+1709+1761+SARAH_x000D_
.born: 17090214-          Roxbury (Suffolk) Massachusetts_x000D_
.died: 1761    -         ?Warwick (Franklin) Massachusetts, age:51y 10m 18d, _x000D_
.bapt: 1785GE_x000D_
.will: 2004MO_x000D_
.obit: 1890OH_x000D_
.bury: 1850IL _x000D_
.wpbt: 1826PA_x000D_
.anc#:ancestor_x000D_
citiz:US born_x000D_
#spos:1_x000D_
#srcs:3_x000D_
#comment:1_x000D_
#events:1_x000D_
#kids:10_x000D_
lived:?MAFRKLNWARWICK,MASUFFOROXBURY_x000D_
issue:_x000D_
.recs:Birth,Marriage,Death_x000D_
.imm?:no_x000D_
..Spo:SARAH CHAMBERLAIN</t>
        </r>
      </text>
    </comment>
    <comment ref="M2898" authorId="0" shapeId="0" xr:uid="{2B0C971E-1132-421B-96C6-7989845245F9}">
      <text>
        <r>
          <rPr>
            <sz val="9"/>
            <color indexed="81"/>
            <rFont val="Tahoma"/>
            <family val="2"/>
          </rPr>
          <t>JAMES PRIOR_x000D_
http://yeinfo.com/family/I09002706.html_x000D_
https://www.google.com/search?q=JAMES+PRIOR+1661+1687+SUSANNAH_x000D_
.born:c1661    -         ?England_x000D_
.died: 1687    -1751     ?Massachusetts, age:26y 0m 0d, _x000D_
.bapt: 1785GE_x000D_
.will: 2004MO_x000D_
.obit: 1890OH_x000D_
.bury: 1850IL _x000D_
.wpbt: 1826PA_x000D_
.anc#:ancestor_x000D_
citiz:immigrant_x000D_
#spos:1_x000D_
#srcs:8_x000D_
#comment:0_x000D_
#events:6_x000D_
#kids:3_x000D_
lived:?EN,ENESSEXGREAT D,ENMIDDLLONDON,ENSOMESBRIDGWA,ENWILTSTROWBRI,MASUFFOBOSTON_x000D_
issue:_x000D_
.recs:Birth,Baptism,Marriage,Death_x000D_
.imm?:immigrant_x000D_
..Spo:SUSANNAH GOUGH</t>
        </r>
      </text>
    </comment>
    <comment ref="L2900" authorId="0" shapeId="0" xr:uid="{5268A822-A329-44A7-B6C9-E86BAD908D0B}">
      <text>
        <r>
          <rPr>
            <sz val="9"/>
            <color indexed="81"/>
            <rFont val="Tahoma"/>
            <family val="2"/>
          </rPr>
          <t>HANNAH PRIOR_x000D_
http://yeinfo.com/family/I09001353.html_x000D_
https://www.google.com/search?q=HANNAH+PRIOR+1687+1709+SCOTT_x000D_
.born: 16870901-          Boston (Suffolk) Massachusetts_x000D_
.died: 1709    -1777     ?Massachusetts, age:21y 4m 0d, _x000D_
.bapt: 1785GE_x000D_
.will: 2004MO_x000D_
.obit: 1890OH_x000D_
.bury: 1850IL _x000D_
.wpbt: 1826PA_x000D_
.anc#:ancestor_x000D_
citiz:US born_x000D_
#spos:1_x000D_
#srcs:3_x000D_
#comment:1_x000D_
#events:1_x000D_
#kids:7_x000D_
lived:MASUFFOBOSTON,MASUFFOROXBURY_x000D_
issue:_x000D_
.recs:Birth,Marriage,Death_x000D_
.imm?:no_x000D_
..Spo:JOSEPH SCOTT</t>
        </r>
      </text>
    </comment>
    <comment ref="M2902" authorId="0" shapeId="0" xr:uid="{3D4D210F-DDDC-4253-A006-BE414DC31F73}">
      <text>
        <r>
          <rPr>
            <sz val="9"/>
            <color indexed="81"/>
            <rFont val="Tahoma"/>
            <family val="2"/>
          </rPr>
          <t>SUSANNAH GOUGH_x000D_
http://yeinfo.com/family/I09002707.html_x000D_
https://www.google.com/search?q=SUSANNAH+GOUGH+1663+1687+PRIOR+Robert_x000D_
.born:c1663    -         ?Massachusetts_x000D_
.died: 1687    -1753     ?Massachusetts, age:24y 0m 0d, _x000D_
.bapt: 1785GE_x000D_
.will: 2004MO_x000D_
.obit: 1890OH_x000D_
.bury: 1850IL _x000D_
.wpbt: 1826PA_x000D_
.anc#:ancestor_x000D_
citiz:US born_x000D_
#spos:2_x000D_
#srcs:6_x000D_
#comment:1_x000D_
#events:2_x000D_
#kids:3_x000D_
lived:?MA_x000D_
issue:_x000D_
.recs:Birth,Marriage,Death_x000D_
.imm?:no_x000D_
..Spo:JAMES PRIOR</t>
        </r>
      </text>
    </comment>
    <comment ref="J2904" authorId="0" shapeId="0" xr:uid="{0C235E36-8F2E-4512-9E89-D79259479EB6}">
      <text>
        <r>
          <rPr>
            <sz val="9"/>
            <color indexed="81"/>
            <rFont val="Tahoma"/>
            <family val="2"/>
          </rPr>
          <t>ISAAC SCOTT_x000D_
http://yeinfo.com/family/I09000338.html_x000D_
https://www.google.com/search?q=ISAAC+SCOTT+1744+1818+LYDIA_x000D_
.born: 17441111-          Dudley (Worcester) Massachusetts_x000D_
.died: 18180602-          Scottsville (Monroe) New York, age:73y 6m 22d, _x000D_
.bapt: 1785GE_x000D_
.will: 2004MO_x000D_
.obit: 1890OH_x000D_
.bury: 1850IL Oatka Cemetery_x000D_
.wpbt: 1826PA_x000D_
.anc#:ancestor_x000D_
citiz:US born_x000D_
#spos:1_x000D_
#srcs:4_x000D_
#comment:1_x000D_
#events:7_x000D_
#kids:11_x000D_
lived:MAWORCEDUDLEY,MAWORCEOXFORD,NHCHESHWESTMOE,NYMONROSCOTTSV_x000D_
issue:_x000D_
.recs:Birth,Baptism,Marriage,Job/Occupation,Will Written,Death,Interment/Burial_x000D_
.imm?:no_x000D_
..Spo:LYDIA CHAMBERLAIN</t>
        </r>
      </text>
    </comment>
    <comment ref="N2906" authorId="0" shapeId="0" xr:uid="{5AD99E73-5C3E-4655-8CCA-649466BE6F4A}">
      <text>
        <r>
          <rPr>
            <sz val="9"/>
            <color indexed="81"/>
            <rFont val="Tahoma"/>
            <family val="2"/>
          </rPr>
          <t>EDMUND CHAMBERLAIN_x000D_
http://yeinfo.com/family/I09005416.html_x000D_
https://www.google.com/search?q=EDMUND+CHAMBERLAIN+1616+1696+ELIZABETH\MARY+Witter_x000D_
.born:c1616    -          England_x000D_
.died: 16960508-          Woodstock (Windham) Connecticut, age:80y 4m 7d, _x000D_
.bapt: 1785GE_x000D_
.will: 2004MO_x000D_
.obit: 1890OH_x000D_
.bury: 1850IL _x000D_
.wpbt: 1826PA_x000D_
.anc#:ancestor_x000D_
citiz:immigrant_x000D_
#spos:2_x000D_
#srcs:15_x000D_
#comment:1_x000D_
#events:11_x000D_
#kids:7_x000D_
lived:CTWINDHWOODSTO,EN,MAMIDDLBILLERI,MAMIDDLCHELMSF,MAMIDDLMALDEN,MAMIDDLWOBURN,MASUFFOROXBURY_x000D_
issue:_x000D_
.recs:Birth,Military,Marriage,Death,Land Transaction,Freeman_x000D_
.imm?:immigrant_x000D_
..Spo:ELIZABETH\MARY TURNER</t>
        </r>
      </text>
    </comment>
    <comment ref="M2908" authorId="0" shapeId="0" xr:uid="{A2E0ECAF-B642-4678-8C76-4186CDDE2291}">
      <text>
        <r>
          <rPr>
            <sz val="9"/>
            <color indexed="81"/>
            <rFont val="Tahoma"/>
            <family val="2"/>
          </rPr>
          <t>JACOB CHAMBERLAIN_x000D_
http://yeinfo.com/family/I09002708.html_x000D_
https://www.google.com/search?q=JACOB+CHAMBERLAIN+1658+1718+MARY+Faxon_x000D_
.born: 16581015-          Chelmsford (Middlesex) Massachusetts_x000D_
.died: 17181012-          Roxbury (Suffolk) Massachusetts, age:59y 11m 27d, _x000D_
.bapt: 1785GE_x000D_
.will: 2004MO_x000D_
.obit: 1890OH_x000D_
.bury: 1850IL _x000D_
.wpbt: 1826PA_x000D_
.anc#:ancestor_x000D_
citiz:US born_x000D_
#spos:2_x000D_
#srcs:7_x000D_
#comment:0_x000D_
#events:6_x000D_
#kids:2_x000D_
lived:MAMIDDLCHELMSF,MANORFOBROOKLI,MASUFFOBOSTON,MASUFFOROXBURY_x000D_
issue:Married before Age 16,Died before Birth_x000D_
.recs:Birth,Baptism,Marriage,Death_x000D_
.imm?:no_x000D_
..Spo:MARY CHILD</t>
        </r>
      </text>
    </comment>
    <comment ref="N2910" authorId="0" shapeId="0" xr:uid="{AA05FCE4-2D66-4F92-B427-B8D98EB26B96}">
      <text>
        <r>
          <rPr>
            <sz val="9"/>
            <color indexed="81"/>
            <rFont val="Tahoma"/>
            <family val="2"/>
          </rPr>
          <t>ELIZABETH\MARY TURNER_x000D_
http://yeinfo.com/family/I09005417.html_x000D_
https://www.google.com/search?q=ELIZABETH\MARY+TURNER+1630+1669+CHAMBERLAIN_x000D_
.born:?1630    -         ?England_x000D_
.died: 1669    -          Chelmsford (Middlesex) Massachusetts, age:39y 0m 0d, _x000D_
.bapt: 1785GE_x000D_
.will: 2004MO_x000D_
.obit: 1890OH_x000D_
.bury: 1850IL _x000D_
.wpbt: 1826PA_x000D_
.anc#:ancestor_x000D_
citiz:immigrant_x000D_
#spos:1_x000D_
#srcs:7_x000D_
#comment:0_x000D_
#events:1_x000D_
#kids:7_x000D_
lived:?EN,MAMIDDLCHELMSF,MASUFFOROXBURY_x000D_
issue:_x000D_
.recs:Birth,Marriage,Death_x000D_
.imm?:immigrant_x000D_
..Spo:EDMUND CHAMBERLAIN</t>
        </r>
      </text>
    </comment>
    <comment ref="L2912" authorId="0" shapeId="0" xr:uid="{788E4D66-A255-4FD7-AF18-74774ACEADAE}">
      <text>
        <r>
          <rPr>
            <sz val="9"/>
            <color indexed="81"/>
            <rFont val="Tahoma"/>
            <family val="2"/>
          </rPr>
          <t>JACOB CHAMBERLAIN_x000D_
http://yeinfo.com/family/I09001354.html_x000D_
https://www.google.com/search?q=JACOB+CHAMBERLAIN+1685+1761+SARAH_x000D_
.born:?1685    -         ?Massachusetts_x000D_
.died: 1761    -          Roxbury (Suffolk) Massachusetts, age:76y 0m 0d, _x000D_
.bapt: 1785GE_x000D_
.will: 2004MO_x000D_
.obit: 1890OH_x000D_
.bury: 1850IL _x000D_
.wpbt: 1826PA_x000D_
.anc#:ancestor_x000D_
citiz:US born_x000D_
#spos:1_x000D_
#srcs:2_x000D_
#comment:0_x000D_
#events:1_x000D_
#kids:1_x000D_
lived:?CT,?MA,MASUFFOROXBURY_x000D_
issue:Spouse Age more than 30-Year Difference_x000D_
.recs:Birth,Marriage,Death_x000D_
.imm?:no_x000D_
..Spo:SARAH PAYSON</t>
        </r>
      </text>
    </comment>
    <comment ref="O2914" authorId="0" shapeId="0" xr:uid="{48B8E3D2-1D1D-4695-9B90-5F110F0FAD37}">
      <text>
        <r>
          <rPr>
            <sz val="9"/>
            <color indexed="81"/>
            <rFont val="Tahoma"/>
            <family val="2"/>
          </rPr>
          <t>BENJAMIN CHILD_x000D_
http://yeinfo.com/family/I09010836.html_x000D_
https://www.google.com/search?q=BENJAMIN+CHILD+1600+1620+{_?_}_x000D_
.born:?1600    -          England_x000D_
.died: 1620    -1690     ?Massachusetts, age:20y 0m 0d, _x000D_
.bapt: 1785GE_x000D_
.will: 2004MO_x000D_
.obit: 1890OH_x000D_
.bury: 1850IL _x000D_
.wpbt: 1826PA_x000D_
.anc#:ancestor_x000D_
citiz:immigrant_x000D_
#spos:1_x000D_
#srcs:1_x000D_
#comment:0_x000D_
#events:1_x000D_
#kids:1_x000D_
lived:?MA,EN_x000D_
issue:Died after Age 100_x000D_
.recs:Birth,Marriage,Death_x000D_
.imm?:immigrant_x000D_
..Spo:{_?_} CHILD</t>
        </r>
      </text>
    </comment>
    <comment ref="N2916" authorId="0" shapeId="0" xr:uid="{173535C9-C174-4835-BC4E-357E27E2ACDF}">
      <text>
        <r>
          <rPr>
            <sz val="9"/>
            <color indexed="81"/>
            <rFont val="Tahoma"/>
            <family val="2"/>
          </rPr>
          <t>BENJAMIN CHILD_x000D_
http://yeinfo.com/family/I09005418.html_x000D_
https://www.google.com/search?q=BENJAMIN+CHILD+1620+1678+MARY_x000D_
.born:?1620    -          England_x000D_
.died: 16781014-          Roxbury (Suffolk) Massachusetts, age:58y 9m 13d, _x000D_
.bapt: 1785GE_x000D_
.will: 2004MO_x000D_
.obit: 1890OH_x000D_
.bury: 1850IL _x000D_
.wpbt: 1826PA_x000D_
.anc#:ancestor_x000D_
citiz:immigrant_x000D_
#spos:1_x000D_
#srcs:8_x000D_
#comment:1_x000D_
#events:7_x000D_
#kids:4_x000D_
lived:ENYORKSAUGHTON,MANORFOBROOKLI,MASUFFOBOSTON,MASUFFOROXBURY_x000D_
issue:_x000D_
.recs:Birth,Marriage,Death_x000D_
.imm?:immigrant_x000D_
..Spo:MARY BOWEN</t>
        </r>
      </text>
    </comment>
    <comment ref="O2918" authorId="0" shapeId="0" xr:uid="{2F4F4C2C-B875-4EF3-B2AB-2990A28550B1}">
      <text>
        <r>
          <rPr>
            <sz val="9"/>
            <color indexed="81"/>
            <rFont val="Tahoma"/>
            <family val="2"/>
          </rPr>
          <t>Mrs. {_?_} CHILD_x000D_
http://yeinfo.com/family/I09010837.html_x000D_
https://www.google.com/search?q={_?_}+CHILD+1600+1620+CHILD_x000D_
.born:?1600    -          England_x000D_
.died: 1620    -1690      , age:20y 0m 0d, _x000D_
.bapt: 1785GE_x000D_
.will: 2004MO_x000D_
.obit: 1890OH_x000D_
.bury: 1850IL _x000D_
.wpbt: 1826PA_x000D_
.anc#:ancestor_x000D_
citiz:US born_x000D_
#spos:1_x000D_
#srcs:1_x000D_
#comment:0_x000D_
#events:1_x000D_
#kids:1_x000D_
lived:EN_x000D_
issue:_x000D_
.recs:Birth,Marriage,Death_x000D_
.imm?:no_x000D_
..Spo:BENJAMIN CHILD</t>
        </r>
      </text>
    </comment>
    <comment ref="M2920" authorId="0" shapeId="0" xr:uid="{62AEBE76-06C5-41C4-AC0E-7A01CD1B62F8}">
      <text>
        <r>
          <rPr>
            <sz val="9"/>
            <color indexed="81"/>
            <rFont val="Tahoma"/>
            <family val="2"/>
          </rPr>
          <t>MARY CHILD_x000D_
http://yeinfo.com/family/I09002709.html_x000D_
https://www.google.com/search?q=MARY+CHILD+1660+1687+CHAMBERLAIN_x000D_
.born: 16600808-          Chelmsford (Middlesex) Massachusetts_x000D_
.died: 1687    -1750      Roxbury (Suffolk) Massachusetts, age:26y 4m 24d, _x000D_
.bapt: 1785GE_x000D_
.will: 2004MO_x000D_
.obit: 1890OH_x000D_
.bury: 1850IL _x000D_
.wpbt: 1826PA_x000D_
.anc#:ancestor_x000D_
citiz:US born_x000D_
#spos:1_x000D_
#srcs:7_x000D_
#comment:0_x000D_
#events:1_x000D_
#kids:2_x000D_
lived:MAMIDDLCHELMSF,MASUFFOROXBURY_x000D_
issue:_x000D_
.recs:Birth,Marriage,Death_x000D_
.imm?:no_x000D_
..Spo:JACOB CHAMBERLAIN</t>
        </r>
      </text>
    </comment>
    <comment ref="O2922" authorId="0" shapeId="0" xr:uid="{30634A6E-ADD8-47FE-B4F6-E32770EE4165}">
      <text>
        <r>
          <rPr>
            <sz val="9"/>
            <color indexed="81"/>
            <rFont val="Tahoma"/>
            <family val="2"/>
          </rPr>
          <t>GRIFFITH BOWEN_x000D_
http://yeinfo.com/family/I09010838.html_x000D_
https://www.google.com/search?q=GRIFFITH+BOWEN+1612+1675+Mary+FLEMING_x000D_
.born:?1612    -         ?Wales_x000D_
.died: 1675    -         ?London (Middlesex) England, age:63y 0m 0d, _x000D_
.bapt: 1785GE_x000D_
.will: 2004MO_x000D_
.obit: 1890OH_x000D_
.bury: 1850IL _x000D_
.wpbt: 1826PA_x000D_
.anc#:ancestor_x000D_
citiz:foreign_x000D_
#spos:2_x000D_
#srcs:14_x000D_
#comment:2_x000D_
#events:10_x000D_
#kids:1_x000D_
lived:?WL,ENMIDDLLONDON,MASUFFOBOSTON,MASUFFOROXBURY,WLDENBILLANGOL_x000D_
issue:Died after Age 100_x000D_
.recs:Birth,Marriage,Death,Freeman,Church_x000D_
.imm?:no_x000D_
..Spo:Mary BOWEN</t>
        </r>
      </text>
    </comment>
    <comment ref="N2924" authorId="0" shapeId="0" xr:uid="{AB12E823-4704-4598-B9E3-568B5F5D8D4A}">
      <text>
        <r>
          <rPr>
            <sz val="9"/>
            <color indexed="81"/>
            <rFont val="Tahoma"/>
            <family val="2"/>
          </rPr>
          <t>MARY BOWEN_x000D_
http://yeinfo.com/family/I09005419.html_x000D_
https://www.google.com/search?q=MARY+BOWEN+1635+1707+CHILD_x000D_
.born: 1635    -          England_x000D_
.died: 1707    -          Roxbury (Suffolk) Massachusetts, age:72y 0m 0d, _x000D_
.bapt: 1785GE_x000D_
.will: 2004MO_x000D_
.obit: 1890OH_x000D_
.bury: 1850IL _x000D_
.wpbt: 1826PA_x000D_
.anc#:ancestor_x000D_
citiz:immigrant_x000D_
#spos:1_x000D_
#srcs:8_x000D_
#comment:0_x000D_
#events:1_x000D_
#kids:4_x000D_
lived:EN,MASUFFOROXBURY_x000D_
issue:Died after Age 100_x000D_
.recs:Birth,Marriage,Death_x000D_
.imm?:immigrant_x000D_
..Spo:BENJAMIN CHILD</t>
        </r>
      </text>
    </comment>
    <comment ref="P2926" authorId="0" shapeId="0" xr:uid="{5B850683-FCAC-4E4C-85B6-86C25E610B7C}">
      <text>
        <r>
          <rPr>
            <sz val="9"/>
            <color indexed="81"/>
            <rFont val="Tahoma"/>
            <family val="2"/>
          </rPr>
          <t>HENRY FLEMING_x000D_
http://yeinfo.com/family/I09021678.html_x000D_
https://www.google.com/search?q=HENRY+FLEMING+1575+1605+SARAH_x000D_
.born:?1575    -          Wales_x000D_
.died: 1605    -1665     ?Wales, age:30y 0m 0d, _x000D_
.bapt: 1785GE_x000D_
.will: 2004MO_x000D_
.obit: 1890OH_x000D_
.bury: 1850IL _x000D_
.wpbt: 1826PA_x000D_
.anc#:ancestor_x000D_
citiz:foreign_x000D_
#spos:1_x000D_
#srcs:1_x000D_
#comment:0_x000D_
#events:1_x000D_
#kids:1_x000D_
lived:WL_x000D_
issue:_x000D_
.recs:Birth,Marriage,Death_x000D_
.imm?:no_x000D_
..Spo:SARAH DAWKINS</t>
        </r>
      </text>
    </comment>
    <comment ref="O2928" authorId="0" shapeId="0" xr:uid="{EB1685C6-BEDD-4DBD-87D2-F47FED7AD6A9}">
      <text>
        <r>
          <rPr>
            <sz val="9"/>
            <color indexed="81"/>
            <rFont val="Tahoma"/>
            <family val="2"/>
          </rPr>
          <t>MARGARET FLEMING_x000D_
http://yeinfo.com/family/I09010839.html_x000D_
https://www.google.com/search?q=MARGARET+FLEMING+1605+1707+BOWEN_x000D_
.born:?1605    -          Wales_x000D_
.died: 1707    -         ?Massachusetts, age:102y 0m 0d, _x000D_
.bapt: 1785GE_x000D_
.will: 2004MO_x000D_
.obit: 1890OH_x000D_
.bury: 1850IL _x000D_
.wpbt: 1826PA_x000D_
.anc#:ancestor_x000D_
citiz:immigrant_x000D_
#spos:1_x000D_
#srcs:3_x000D_
#comment:0_x000D_
#events:1_x000D_
#kids:1_x000D_
lived:?MA,WL_x000D_
issue:Married after Age 60_x000D_
.recs:Birth,Marriage,Death_x000D_
.imm?:immigrant_x000D_
..Spo:GRIFFITH BOWEN</t>
        </r>
      </text>
    </comment>
    <comment ref="P2930" authorId="0" shapeId="0" xr:uid="{EFC9A017-3841-4607-8369-F8A5D1027509}">
      <text>
        <r>
          <rPr>
            <sz val="9"/>
            <color indexed="81"/>
            <rFont val="Tahoma"/>
            <family val="2"/>
          </rPr>
          <t>SARAH DAWKINS_x000D_
http://yeinfo.com/family/I09021679.html_x000D_
https://www.google.com/search?q=SARAH+DAWKINS+1580+1605+FLEMING_x000D_
.born:?1580    -          Wales_x000D_
.died: 1605    -1670      , age:25y 0m 0d, _x000D_
.bapt: 1785GE_x000D_
.will: 2004MO_x000D_
.obit: 1890OH_x000D_
.bury: 1850IL _x000D_
.wpbt: 1826PA_x000D_
.anc#:ancestor_x000D_
citiz:US born_x000D_
#spos:1_x000D_
#srcs:2_x000D_
#comment:0_x000D_
#events:1_x000D_
#kids:1_x000D_
lived:WL_x000D_
issue:_x000D_
.recs:Birth,Marriage,Death_x000D_
.imm?:no_x000D_
..Spo:HENRY FLEMING</t>
        </r>
      </text>
    </comment>
    <comment ref="K2932" authorId="0" shapeId="0" xr:uid="{7509183B-4B88-46FC-AD2A-510410770FB6}">
      <text>
        <r>
          <rPr>
            <sz val="9"/>
            <color indexed="81"/>
            <rFont val="Tahoma"/>
            <family val="2"/>
          </rPr>
          <t>SARAH CHAMBERLAIN_x000D_
http://yeinfo.com/family/I09000677.html_x000D_
https://www.google.com/search?q=SARAH+CHAMBERLAIN+1712+1773+SCOTT_x000D_
.born: 17120727-          Roxbury (Suffolk) Massachusetts_x000D_
.died:?17730211-         ?Warwick (Franklin) Massachusetts, age:60y 6m 15d, _x000D_
.bapt: 1785GE_x000D_
.will: 2004MO_x000D_
.obit: 1890OH_x000D_
.bury: 1850IL _x000D_
.wpbt: 1826PA_x000D_
.anc#:ancestor_x000D_
citiz:US born_x000D_
#spos:1_x000D_
#srcs:3_x000D_
#comment:0_x000D_
#events:1_x000D_
#kids:10_x000D_
lived:?MAFRKLNWARWICK,MASUFFOROXBURY_x000D_
issue:Born after Mom Age 50_x000D_
.recs:Birth,Marriage,Death_x000D_
.imm?:no_x000D_
..Spo:SAMUEL SCOTT</t>
        </r>
      </text>
    </comment>
    <comment ref="P2934" authorId="0" shapeId="0" xr:uid="{2C781DB3-7A8E-4356-83E1-EF529B08442F}">
      <text>
        <r>
          <rPr>
            <sz val="9"/>
            <color indexed="81"/>
            <rFont val="Tahoma"/>
            <family val="2"/>
          </rPr>
          <t>ALEXANDER PAYSON_x000D_
http://yeinfo.com/family/I09021680.html_x000D_
https://www.google.com/search?q=ALEXANDER+PAYSON+1535+1618+JOAN_x000D_
.born: 1535    -          England_x000D_
.died: 1618    -1620      England, age:83y 0m 0d, _x000D_
.bapt: 1785GE_x000D_
.will: 2004MO_x000D_
.obit: 1890OH_x000D_
.bury: 1850IL _x000D_
.wpbt: 1826PA_x000D_
.anc#:ancestor_x000D_
citiz:foreign_x000D_
#spos:1_x000D_
#srcs:3_x000D_
#comment:0_x000D_
#events:1_x000D_
#kids:1_x000D_
lived:EN_x000D_
issue:_x000D_
.recs:Birth,Marriage,Death_x000D_
.imm?:no_x000D_
..Spo:JOAN WEBB</t>
        </r>
      </text>
    </comment>
    <comment ref="O2936" authorId="0" shapeId="0" xr:uid="{59E30252-3B5C-4D8A-9B1D-452F8ED4D5AD}">
      <text>
        <r>
          <rPr>
            <sz val="9"/>
            <color indexed="81"/>
            <rFont val="Tahoma"/>
            <family val="2"/>
          </rPr>
          <t>LAWRENCE PAYSON_x000D_
http://yeinfo.com/family/I09010840.html_x000D_
https://www.google.com/search?q=LAWRENCE+PAYSON+1580+1633+JOAN_x000D_
.born: 1580    -          _x000D_
.died: 16330704-          Dorchester (Suffolk) Massachusetts, age:53y 6m 3d, _x000D_
.bapt: 1785GE_x000D_
.will: 2004MO_x000D_
.obit: 1890OH_x000D_
.bury: 1850IL _x000D_
.wpbt: 1826PA_x000D_
.anc#:ancestor_x000D_
citiz:US born_x000D_
#spos:1_x000D_
#srcs:2_x000D_
#comment:0_x000D_
#events:1_x000D_
#kids:1_x000D_
lived:EN,MASUFFODORCHES_x000D_
issue:_x000D_
.recs:Birth,Marriage,Death_x000D_
.imm?:no_x000D_
..Spo:JOAN WEBB</t>
        </r>
      </text>
    </comment>
    <comment ref="P2938" authorId="0" shapeId="0" xr:uid="{988535AF-9A7C-43B3-94E3-E206DFEE4B04}">
      <text>
        <r>
          <rPr>
            <sz val="9"/>
            <color indexed="81"/>
            <rFont val="Tahoma"/>
            <family val="2"/>
          </rPr>
          <t>JOAN WEBB_x000D_
http://yeinfo.com/family/I09021681.html_x000D_
https://www.google.com/search?q=JOAN+WEBB+1545+1585+PAYSON_x000D_
.born:?1545    -          _x000D_
.died: 1585    -1630     ?England, age:40y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..Spo:ALEXANDER PAYSON</t>
        </r>
      </text>
    </comment>
    <comment ref="N2940" authorId="0" shapeId="0" xr:uid="{20D261D3-F500-47D3-9623-AA4D786F5A82}">
      <text>
        <r>
          <rPr>
            <sz val="9"/>
            <color indexed="81"/>
            <rFont val="Tahoma"/>
            <family val="2"/>
          </rPr>
          <t>EDWARD PAYSON_x000D_
http://yeinfo.com/family/I09005420.html_x000D_
https://www.google.com/search?q=EDWARD+PAYSON+1613+1665+MARY_x000D_
.born: 16131013-          England_x000D_
.died: 1665    -1703      Dorchester (Suffolk) Massachusetts, age:51y 2m 19d, _x000D_
.bapt: 1785GE_x000D_
.will: 2004MO_x000D_
.obit: 1890OH_x000D_
.bury: 1850IL _x000D_
.wpbt: 1826PA_x000D_
.anc#:ancestor_x000D_
citiz:immigrant_x000D_
#spos:1_x000D_
#srcs:4_x000D_
#comment:0_x000D_
#events:1_x000D_
#kids:8_x000D_
lived:EN,MASUFFODORCHES_x000D_
issue:_x000D_
.recs:Birth,Marriage,Death_x000D_
.imm?:immigrant_x000D_
..Spo:MARY ELLIOTT</t>
        </r>
      </text>
    </comment>
    <comment ref="O2942" authorId="0" shapeId="0" xr:uid="{5A00D000-8515-40C9-999E-CABC83FAB6F0}">
      <text>
        <r>
          <rPr>
            <sz val="9"/>
            <color indexed="81"/>
            <rFont val="Tahoma"/>
            <family val="2"/>
          </rPr>
          <t>JOAN WEBB_x000D_
http://yeinfo.com/family/I09010841.html_x000D_
https://www.google.com/search?q=JOAN+WEBB+1584+1638+PAYSON_x000D_
.born: 1584    -          Nazeing (Essex) England_x000D_
.died: 16380514-          Nazeing (Essex) England, age:54y 4m 13d, _x000D_
.bapt: 1785GE_x000D_
.will: 2004MO_x000D_
.obit: 1890OH_x000D_
.bury: 1850IL _x000D_
.wpbt: 1826PA_x000D_
.anc#:ancestor_x000D_
citiz:foreign_x000D_
#spos:1_x000D_
#srcs:1_x000D_
#comment:0_x000D_
#events:1_x000D_
#kids:1_x000D_
lived:ENESSEXNAZEING_x000D_
issue:_x000D_
.recs:Birth,Marriage,Death_x000D_
.imm?:no_x000D_
..Spo:LAWRENCE PAYSON</t>
        </r>
      </text>
    </comment>
    <comment ref="M2944" authorId="0" shapeId="0" xr:uid="{1B34873C-30D2-4340-A338-44766083DAD6}">
      <text>
        <r>
          <rPr>
            <sz val="9"/>
            <color indexed="81"/>
            <rFont val="Tahoma"/>
            <family val="2"/>
          </rPr>
          <t>SAMUEL PAYSON_x000D_
http://yeinfo.com/family/I09002710.html_x000D_
https://www.google.com/search?q=SAMUEL+PAYSON+1662+1721+MARY_x000D_
.born: 16620921-          Roxbury (Suffolk) Massachusetts_x000D_
.died: 17211124-          Dorchester (Suffolk) Massachusetts, age:59y 2m 3d, _x000D_
.bapt: 1785GE_x000D_
.will: 2004MO_x000D_
.obit: 1890OH_x000D_
.bury: 1850IL _x000D_
.wpbt: 1826PA_x000D_
.anc#:ancestor_x000D_
citiz:US born_x000D_
#spos:1_x000D_
#srcs:2_x000D_
#comment:0_x000D_
#events:1_x000D_
#kids:2_x000D_
lived:MASUFFODORCHES,MASUFFOROXBURY_x000D_
issue:_x000D_
.recs:Birth,Marriage,Death_x000D_
.imm?:no_x000D_
..Spo:MARY PHILLIPS</t>
        </r>
      </text>
    </comment>
    <comment ref="R2946" authorId="0" shapeId="0" xr:uid="{9673F2DE-02DD-40EB-8AD5-9A7B748B89DB}">
      <text>
        <r>
          <rPr>
            <sz val="9"/>
            <color indexed="81"/>
            <rFont val="Tahoma"/>
            <family val="2"/>
          </rPr>
          <t>WILLIAM ELLIOTT_x000D_
http://yeinfo.com/family/I09065543.html_x000D_
https://www.google.com/search?q=WILLIAM+ELLIOTT+1450+1528+{_?_}_x000D_
.born:c1450    -          Cottered (Hertfordshire) England_x000D_
.died:c1528    -          Cottered (Hertfordshire) England, age:78y 0m 0d, _x000D_
.bapt: 1785GE_x000D_
.will: 2004MO_x000D_
.obit: 1890OH_x000D_
.bury: 1850IL _x000D_
.wpbt: 1826PA_x000D_
.anc#:  quadruple ancestor_x000D_
citiz:foreign_x000D_
#spos:1_x000D_
#srcs:1_x000D_
#comment:0_x000D_
#events:1_x000D_
#kids:1_x000D_
lived:ENHERTFCOTTERE_x000D_
issue:_x000D_
.recs:Birth,Marriage,Death_x000D_
.imm?:no_x000D_
..Spo:{_?_} ELLIOTT</t>
        </r>
      </text>
    </comment>
    <comment ref="Q2948" authorId="0" shapeId="0" xr:uid="{DA7B8167-7E12-46DE-A200-447D678B06DA}">
      <text>
        <r>
          <rPr>
            <sz val="9"/>
            <color indexed="81"/>
            <rFont val="Tahoma"/>
            <family val="2"/>
          </rPr>
          <t>THOMAS ELLIOTT_x000D_
http://yeinfo.com/family/I09043368.html_x000D_
https://www.google.com/search?q=THOMAS+ELLIOTT+1480+1520+MARGARET+ELIZABETH_x000D_
.born:?1480    -          Cottered (Hertfordshire) England_x000D_
.died: 1520    -1570      Bishops Bourne (Kent) England, age:40y 0m 0d, _x000D_
.bapt: 1785GE_x000D_
.will: 2004MO_x000D_
.obit: 1890OH_x000D_
.bury: 1850IL _x000D_
.wpbt: 1826PA_x000D_
.anc#:  quadruple ancestor_x000D_
citiz:foreign_x000D_
#spos:1_x000D_
#srcs:1_x000D_
#comment:0_x000D_
#events:1_x000D_
#kids:1_x000D_
lived:ENHERTFCOTTERE,ENKENT BISHOPB_x000D_
issue:_x000D_
.recs:Birth,Marriage,Death_x000D_
.imm?:no_x000D_
..Spo:MARGARET ELIZABETH WILSON</t>
        </r>
      </text>
    </comment>
    <comment ref="R2950" authorId="0" shapeId="0" xr:uid="{FF4C649B-5E0E-4E27-8FE0-D8087AA3D549}">
      <text>
        <r>
          <rPr>
            <sz val="9"/>
            <color indexed="81"/>
            <rFont val="Tahoma"/>
            <family val="2"/>
          </rPr>
          <t>Mrs. {_?_} ELLIOTT_x000D_
http://yeinfo.com/family/I09065544.html_x000D_
https://www.google.com/search?q={_?_}+ELLIOTT+1450+1480+ELLIOTT_x000D_
.born:?1450    -          _x000D_
.died: 1480    -1540     ?England, age:30y 0m 0d, _x000D_
.bapt: 1785GE_x000D_
.will: 2004MO_x000D_
.obit: 1890OH_x000D_
.bury: 1850IL _x000D_
.wpbt: 1826PA_x000D_
.anc#:  quadruple ancestor_x000D_
citiz:foreign_x000D_
#spos:1_x000D_
#srcs:0_x000D_
#comment:0_x000D_
#events:1_x000D_
#kids:1_x000D_
lived:?EN_x000D_
issue:_x000D_
.recs:Birth,Marriage,Death_x000D_
.imm?:no_x000D_
..Spo:WILLIAM ELLIOTT</t>
        </r>
      </text>
    </comment>
    <comment ref="P2952" authorId="0" shapeId="0" xr:uid="{7291CDA4-E56F-4C32-8E6E-048D93724D2D}">
      <text>
        <r>
          <rPr>
            <sz val="9"/>
            <color indexed="81"/>
            <rFont val="Tahoma"/>
            <family val="2"/>
          </rPr>
          <t>SIMON\EDWARD ELLIOTT_x000D_
http://yeinfo.com/family/I09021684.html_x000D_
https://www.google.com/search?q=SIMON\EDWARD+ELLIOTT+1520+1573+JANE_x000D_
.born:c1520    -          Hertfordshire county England_x000D_
.died: 1573    -1610      Hertfordshire county England, age:53y 0m 0d, _x000D_
.bapt: 1785GE_x000D_
.will: 2004MO_x000D_
.obit: 1890OH_x000D_
.bury: 1850IL _x000D_
.wpbt: 1826PA_x000D_
.anc#:  quadruple ancestor_x000D_
citiz:foreign_x000D_
#spos:1_x000D_
#srcs:1_x000D_
#comment:1_x000D_
#events:1_x000D_
#kids:1_x000D_
lived:ENHERTF_x000D_
issue:_x000D_
.recs:Birth,Marriage,Death_x000D_
.imm?:no_x000D_
..Spo:JANE GEDGE</t>
        </r>
      </text>
    </comment>
    <comment ref="Q2954" authorId="0" shapeId="0" xr:uid="{77668F41-7715-40D8-9223-0F9378BC50CE}">
      <text>
        <r>
          <rPr>
            <sz val="9"/>
            <color indexed="81"/>
            <rFont val="Tahoma"/>
            <family val="2"/>
          </rPr>
          <t>MARGARET ELIZABETH WILSON_x000D_
http://yeinfo.com/family/I09043369.html_x000D_
https://www.google.com/search?q=MARGARET+ELIZABETH+WILSON+1488+1560+ELLIOTT_x000D_
.born:c1488    -          Bishops Bourne (Kent) England_x000D_
.died:c1560    -          Bishops Bourne (Kent) England, age:72y 0m 0d, _x000D_
.bapt: 1785GE_x000D_
.will: 2004MO_x000D_
.obit: 1890OH_x000D_
.bury: 1850IL _x000D_
.wpbt: 1826PA_x000D_
.anc#:  quadruple ancestor_x000D_
citiz:foreign_x000D_
#spos:1_x000D_
#srcs:1_x000D_
#comment:0_x000D_
#events:1_x000D_
#kids:1_x000D_
lived:ENKENT BISHOPB_x000D_
issue:Died after Age 100_x000D_
.recs:Birth,Marriage,Death_x000D_
.imm?:no_x000D_
..Spo:THOMAS ELLIOTT</t>
        </r>
      </text>
    </comment>
    <comment ref="O2956" authorId="0" shapeId="0" xr:uid="{05DC6A8E-C4ED-4E1C-9C21-965E8D7D836C}">
      <text>
        <r>
          <rPr>
            <sz val="9"/>
            <color indexed="81"/>
            <rFont val="Tahoma"/>
            <family val="2"/>
          </rPr>
          <t>BENNETT\PHILIP ELLIOTT_x000D_
http://yeinfo.com/family/I09010842.html_x000D_
https://www.google.com/search?q=BENNETT\PHILIP+ELLIOTT+1573+1621+LETTEYE\LETTICE_x000D_
.born: 15731030-          _x000D_
.died: 16211120-          Nazeing (Essex) England, age:48y 0m 21d, _x000D_
.bapt: 1785GE_x000D_
.will: 2004MO_x000D_
.obit: 1890OH_x000D_
.bury: 1850IL _x000D_
.wpbt: 1826PA_x000D_
.anc#:  quadruple ancestor_x000D_
citiz:US born_x000D_
#spos:1_x000D_
#srcs:3_x000D_
#comment:2_x000D_
#events:1_x000D_
#kids:4_x000D_
lived:ENESSEXNAZEING_x000D_
issue:_x000D_
.recs:Birth,Marriage,Death_x000D_
.imm?:no_x000D_
..Spo:LETTEYE\LETTICE AGGAR</t>
        </r>
      </text>
    </comment>
    <comment ref="P2958" authorId="0" shapeId="0" xr:uid="{E47BCD49-0C8B-41DA-A349-797B1F81A84B}">
      <text>
        <r>
          <rPr>
            <sz val="9"/>
            <color indexed="81"/>
            <rFont val="Tahoma"/>
            <family val="2"/>
          </rPr>
          <t>JANE GEDGE_x000D_
http://yeinfo.com/family/I09021685.html_x000D_
https://www.google.com/search?q=JANE+GEDGE+1535+1573+ELLIOTT_x000D_
.born: 1535    -          Hunsdon (Hertfordshire) England_x000D_
.died: 1573    -1625      Hertfordshire county England, age:38y 0m 0d, _x000D_
.bapt: 1785GE_x000D_
.will: 2004MO_x000D_
.obit: 1890OH_x000D_
.bury: 1850IL _x000D_
.wpbt: 1826PA_x000D_
.anc#:  quadruple ancestor_x000D_
citiz:foreign_x000D_
#spos:1_x000D_
#srcs:1_x000D_
#comment:1_x000D_
#events:1_x000D_
#kids:1_x000D_
lived:ENHERTFHUNSDON_x000D_
issue:_x000D_
.recs:Birth,Marriage,Death_x000D_
.imm?:no_x000D_
..Spo:SIMON\EDWARD ELLIOTT</t>
        </r>
      </text>
    </comment>
    <comment ref="N2960" authorId="0" shapeId="0" xr:uid="{6574177F-81DC-467C-A08B-C74BAB363BC0}">
      <text>
        <r>
          <rPr>
            <sz val="9"/>
            <color indexed="81"/>
            <rFont val="Tahoma"/>
            <family val="2"/>
          </rPr>
          <t>MARY ELLIOTT_x000D_
http://yeinfo.com/family/I09005421.html_x000D_
https://www.google.com/search?q=MARY+ELLIOTT+1621+1697+PAYSON_x000D_
.born: 16210311-          Nazeing (Essex) England_x000D_
.died: 16970324-          Dorchester (Suffolk) Massachusetts, age:76y 0m 13d, _x000D_
.bapt: 1785GE_x000D_
.will: 2004MO_x000D_
.obit: 1890OH_x000D_
.bury: 1850IL _x000D_
.wpbt: 1826PA_x000D_
.anc#:ancestor_x000D_
citiz:immigrant_x000D_
#spos:1_x000D_
#srcs:4_x000D_
#comment:0_x000D_
#events:1_x000D_
#kids:8_x000D_
lived:ENESSEXNAZEING,MASUFFODORCHES_x000D_
issue:Died after Age 100_x000D_
.recs:Birth,Marriage,Death_x000D_
.imm?:immigrant_x000D_
..Spo:EDWARD PAYSON</t>
        </r>
      </text>
    </comment>
    <comment ref="Q2962" authorId="0" shapeId="0" xr:uid="{B8D0D6B8-6305-4BD9-90A9-3E3C1F73612A}">
      <text>
        <r>
          <rPr>
            <sz val="9"/>
            <color indexed="81"/>
            <rFont val="Tahoma"/>
            <family val="2"/>
          </rPr>
          <t>ROBERT AGGAR_x000D_
http://yeinfo.com/family/I09043372.html_x000D_
https://www.google.com/search?q=ROBERT+AGGAR+1525+1557+JOANE_x000D_
.born: 1525    -          Nazeing (Essex) England_x000D_
.died: 1557    -          Nazeing (Essex) England, age:32y 0m 0d, _x000D_
.bapt: 1785GE_x000D_
.will: 2004MO_x000D_
.obit: 1890OH_x000D_
.bury: 1850IL _x000D_
.wpbt: 1826PA_x000D_
.anc#:  quadruple ancestor_x000D_
citiz:foreign_x000D_
#spos:1_x000D_
#srcs:2_x000D_
#comment:0_x000D_
#events:1_x000D_
#kids:1_x000D_
lived:ENESSEXNAZEING_x000D_
issue:_x000D_
.recs:Birth,Marriage,Death_x000D_
.imm?:no_x000D_
..Spo:JOANE FYNCH</t>
        </r>
      </text>
    </comment>
    <comment ref="P2964" authorId="0" shapeId="0" xr:uid="{AE542E70-36DA-4942-9AF0-B2C68A87CB97}">
      <text>
        <r>
          <rPr>
            <sz val="9"/>
            <color indexed="81"/>
            <rFont val="Tahoma"/>
            <family val="2"/>
          </rPr>
          <t>FRANCIS AGGAR_x000D_
http://yeinfo.com/family/I09021686.html_x000D_
https://www.google.com/search?q=FRANCIS+AGGAR+1544+1582+LETTICE\ELNOR+LETTICE_x000D_
.born:c1544    -          England_x000D_
.died: 1582    -          England, age:38y 0m 0d, _x000D_
.bapt: 1785GE_x000D_
.will: 2004MO_x000D_
.obit: 1890OH_x000D_
.bury: 1850IL _x000D_
.wpbt: 1826PA_x000D_
.anc#:  quadruple ancestor_x000D_
citiz:foreign_x000D_
#spos:1_x000D_
#srcs:3_x000D_
#comment:0_x000D_
#events:1_x000D_
#kids:1_x000D_
lived:ENESSEX_x000D_
issue:_x000D_
.recs:Birth,Marriage,Death_x000D_
.imm?:no_x000D_
..Spo:LETTICE\ELNOR LETTICE PEACOCK</t>
        </r>
      </text>
    </comment>
    <comment ref="Q2966" authorId="0" shapeId="0" xr:uid="{288D9318-3558-4ACC-B76B-133E2B0ED39C}">
      <text>
        <r>
          <rPr>
            <sz val="9"/>
            <color indexed="81"/>
            <rFont val="Tahoma"/>
            <family val="2"/>
          </rPr>
          <t>Mrs. JOANE FYNCH_x000D_
http://yeinfo.com/family/I09043373.html_x000D_
https://www.google.com/search?q=JOANE+FYNCH+1525+1560+AGGAR_x000D_
.born: 1525    -          Nazeing (Essex) England_x000D_
.died: 1560    -          Nazeing (Essex) England, age:35y 0m 0d, _x000D_
.bapt: 1785GE_x000D_
.will: 2004MO_x000D_
.obit: 1890OH_x000D_
.bury: 1850IL Stanford Rivers_x000D_
.wpbt: 1826PA_x000D_
.anc#:  quadruple ancestor_x000D_
citiz:foreign_x000D_
#spos:1_x000D_
#srcs:2_x000D_
#comment:0_x000D_
#events:2_x000D_
#kids:1_x000D_
lived:ENESSEXKELVKEL,ENESSEXNAZEING_x000D_
issue:_x000D_
.recs:Birth,Marriage,Death,Interment/Burial_x000D_
.imm?:no_x000D_
..Spo:ROBERT AGGAR</t>
        </r>
      </text>
    </comment>
    <comment ref="O2968" authorId="0" shapeId="0" xr:uid="{3A1CB938-5774-46EF-A4A7-30177A617D8A}">
      <text>
        <r>
          <rPr>
            <sz val="9"/>
            <color indexed="81"/>
            <rFont val="Tahoma"/>
            <family val="2"/>
          </rPr>
          <t>LETTEYE\LETTICE AGGAR_x000D_
http://yeinfo.com/family/I09010843.html_x000D_
https://www.google.com/search?q=LETTEYE\LETTICE+AGGAR+1577+1621+ELLIOTT_x000D_
.born: 1577    -          Nazeing (Essex) England_x000D_
.died: 16210316-          Nazeing (Essex) England, age:44y 2m 15d, _x000D_
.bapt: 1785GE_x000D_
.will: 2004MO_x000D_
.obit: 1890OH_x000D_
.bury: 1850IL _x000D_
.wpbt: 1826PA_x000D_
.anc#:  quadruple ancestor_x000D_
citiz:foreign_x000D_
#spos:1_x000D_
#srcs:6_x000D_
#comment:2_x000D_
#events:1_x000D_
#kids:4_x000D_
lived:ENESSEXNAZEING_x000D_
issue:_x000D_
.recs:Birth,Marriage,Death_x000D_
.imm?:no_x000D_
..Spo:BENNETT\PHILIP ELLIOTT</t>
        </r>
      </text>
    </comment>
    <comment ref="Q2970" authorId="0" shapeId="0" xr:uid="{DB3662C1-B291-49A7-B86F-F833BEFF9075}">
      <text>
        <r>
          <rPr>
            <sz val="9"/>
            <color indexed="81"/>
            <rFont val="Tahoma"/>
            <family val="2"/>
          </rPr>
          <t>THOMAS HENRY PEACOCK_x000D_
http://yeinfo.com/family/I09043374.html_x000D_
https://www.google.com/search?q=THOMAS+HENRY+PEACOCK+1500+1583+ELEANOR_x000D_
.born: 1500    -          Waltham Abbey (Essex) England_x000D_
.died: 1583    -          England, age:83y 0m 0d, _x000D_
.bapt: 1785GE_x000D_
.will: 2004MO_x000D_
.obit: 1890OH_x000D_
.bury: 1850IL _x000D_
.wpbt: 1826PA_x000D_
.anc#:  quadruple ancestor_x000D_
citiz:foreign_x000D_
#spos:1_x000D_
#srcs:2_x000D_
#comment:0_x000D_
#events:1_x000D_
#kids:1_x000D_
lived:ENESSEXWALTHAA_x000D_
issue:_x000D_
.recs:Birth,Marriage,Death_x000D_
.imm?:no_x000D_
..Spo:ELEANOR WRIGHT</t>
        </r>
      </text>
    </comment>
    <comment ref="P2972" authorId="0" shapeId="0" xr:uid="{051BE726-CE3A-45D4-BB4B-9BD288C0CA89}">
      <text>
        <r>
          <rPr>
            <sz val="9"/>
            <color indexed="81"/>
            <rFont val="Tahoma"/>
            <family val="2"/>
          </rPr>
          <t>LETTICE\ELNOR LETTICE PEACOCK_x000D_
http://yeinfo.com/family/I09021687.html_x000D_
https://www.google.com/search?q=LETTICE\ELNOR+LETTICE+PEACOCK+1551+1621+AGGAR_x000D_
.born: 1551    -          Coggeshall (Essex) England_x000D_
.died: 162103  -          London (Middlesex) England, age:70y 2m 0d, _x000D_
.bapt: 1785GE_x000D_
.will: 2004MO_x000D_
.obit: 1890OH_x000D_
.bury: 1850IL _x000D_
.wpbt: 1826PA_x000D_
.anc#:  quadruple ancestor_x000D_
citiz:foreign_x000D_
#spos:1_x000D_
#srcs:2_x000D_
#comment:0_x000D_
#events:1_x000D_
#kids:1_x000D_
lived:ENESSEXCOGGESH,ENMIDDLLONDON_x000D_
issue:_x000D_
.recs:Birth,Marriage,Death_x000D_
.imm?:no_x000D_
..Spo:FRANCIS AGGAR</t>
        </r>
      </text>
    </comment>
    <comment ref="Q2974" authorId="0" shapeId="0" xr:uid="{A6F7E759-2D08-4FE4-896B-219EE2C7ECD7}">
      <text>
        <r>
          <rPr>
            <sz val="9"/>
            <color indexed="81"/>
            <rFont val="Tahoma"/>
            <family val="2"/>
          </rPr>
          <t>ELEANOR WRIGHT_x000D_
http://yeinfo.com/family/I09043375.html_x000D_
https://www.google.com/search?q=ELEANOR+WRIGHT+1530+1551+PEACOCK_x000D_
.born: 1530    -          Waltham Abbey (Essex) England_x000D_
.died: 1551    -1620      Nazeing (Essex) England, age:21y 0m 0d, _x000D_
.bapt: 1785GE_x000D_
.will: 2004MO_x000D_
.obit: 1890OH_x000D_
.bury: 1850IL _x000D_
.wpbt: 1826PA_x000D_
.anc#:  quadruple ancestor_x000D_
citiz:foreign_x000D_
#spos:1_x000D_
#srcs:1_x000D_
#comment:0_x000D_
#events:1_x000D_
#kids:1_x000D_
lived:ENESSEXNAZEING,ENESSEXWALTHAA_x000D_
issue:Died after Age 100_x000D_
.recs:Birth,Marriage,Death_x000D_
.imm?:no_x000D_
..Spo:THOMAS HENRY PEACOCK</t>
        </r>
      </text>
    </comment>
    <comment ref="L2976" authorId="0" shapeId="0" xr:uid="{2B21F787-050A-41CD-AB18-F55CE18FC443}">
      <text>
        <r>
          <rPr>
            <sz val="9"/>
            <color indexed="81"/>
            <rFont val="Tahoma"/>
            <family val="2"/>
          </rPr>
          <t>SARAH PAYSON_x000D_
http://yeinfo.com/family/I09001355.html_x000D_
https://www.google.com/search?q=SARAH+PAYSON+1690+1773+CHAMBERLAIN_x000D_
.born: 16901012-          Dorchester (Suffolk) Massachusetts_x000D_
.died: 17730211-          Roxbury (Suffolk) Massachusetts, age:82y 3m 30d, _x000D_
.bapt: 1785GE_x000D_
.will: 2004MO_x000D_
.obit: 1890OH_x000D_
.bury: 1850IL _x000D_
.wpbt: 1826PA_x000D_
.anc#:ancestor_x000D_
citiz:US born_x000D_
#spos:1_x000D_
#srcs:16_x000D_
#comment:1_x000D_
#events:1_x000D_
#kids:1_x000D_
lived:MASUFFODORCHES,MASUFFOROXBURY_x000D_
issue:Born before Parents Married,Born before Dad Age 16,Born before Mom Age 16,Married before Age 16,Married after Age 60,Spouse Age more than 30-Year Difference_x000D_
.recs:Birth,Marriage,Death_x000D_
.imm?:no_x000D_
..Spo:JACOB CHAMBERLAIN</t>
        </r>
      </text>
    </comment>
    <comment ref="P2978" authorId="0" shapeId="0" xr:uid="{B9384C96-3C8B-4603-B343-F5A40B808CAF}">
      <text>
        <r>
          <rPr>
            <sz val="9"/>
            <color indexed="81"/>
            <rFont val="Tahoma"/>
            <family val="2"/>
          </rPr>
          <t>CHRISTOPHER PHILLIPS_x000D_
http://yeinfo.com/family/I09021688.html_x000D_
https://www.google.com/search?q=CHRISTOPHER+PHILLIPS+1570+1593+AGNES_x000D_
.born:c1570    -          Raynham (Norfolk) England_x000D_
.died: 1593    -1660      Raynham (Norfolk) England, age:23y 0m 0d, _x000D_
.bapt: 1785GE_x000D_
.will: 2004MO_x000D_
.obit: 1890OH_x000D_
.bury: 1850IL _x000D_
.wpbt: 1826PA_x000D_
.anc#:ancestor_x000D_
citiz:foreign_x000D_
#spos:1_x000D_
#srcs:2_x000D_
#comment:1_x000D_
#events:1_x000D_
#kids:1_x000D_
lived:ENNORFORAYNHAM,ENSUSSECHICHES_x000D_
issue:_x000D_
.recs:Birth,Marriage,Death_x000D_
.imm?:no_x000D_
..Spo:AGNES ABRAM</t>
        </r>
      </text>
    </comment>
    <comment ref="O2980" authorId="0" shapeId="0" xr:uid="{BB4C2E45-78FD-411B-ACC7-FA3BAB0F515C}">
      <text>
        <r>
          <rPr>
            <sz val="9"/>
            <color indexed="81"/>
            <rFont val="Tahoma"/>
            <family val="2"/>
          </rPr>
          <t>GEORGE PHILLIPS_x000D_
http://yeinfo.com/family/I09010844.html_x000D_
https://www.google.com/search?q=GEORGE+PHILLIPS+1593+1644+ELIZABETH_x000D_
.born: 15930504-          Raynham (Norfolk) England_x000D_
.died: 16440701-          Waterton (Middlesex) Massachusetts, age:51y 1m 27d, _x000D_
.bapt: 1785GE_x000D_
.will: 2004MO_x000D_
.obit: 1890OH_x000D_
.bury: 1850IL _x000D_
.wpbt: 1826PA_x000D_
.anc#:ancestor_x000D_
citiz:immigrant_x000D_
#spos:2_x000D_
#srcs:2_x000D_
#comment:0_x000D_
#events:5_x000D_
#kids:6_x000D_
lived:ENCAMBSCAMBRID,ENESSEX,ENNORFORAYNHAM,MAMIDDLWATERTO_x000D_
issue:_x000D_
.recs:Birth,Marriage,Ship Passenger List,Death_x000D_
.imm?:immigrant_x000D_
..Spo:ELIZABETH SARGENT</t>
        </r>
      </text>
    </comment>
    <comment ref="U2982" authorId="0" shapeId="0" xr:uid="{5AA434F7-A0D5-42D1-9BB3-ADB9BEA5C488}">
      <text>
        <r>
          <rPr>
            <sz val="9"/>
            <color indexed="81"/>
            <rFont val="Tahoma"/>
            <family val="2"/>
          </rPr>
          <t>THOMAS ABRAM_x000D_
http://yeinfo.com/family/I09066714.html_x000D_
https://www.google.com/search?q=THOMAS+ABRAM+1400+1440+ELLEN_x000D_
.born: 1400    -          Banks (Lancashire) England_x000D_
.died: 1440    -1505     ?Lancashire county England, age:40y 0m 0d, _x000D_
.bapt: 1785GE_x000D_
.will: 2004MO_x000D_
.obit: 1890OH_x000D_
.bury: 1850IL _x000D_
.wpbt: 1826PA_x000D_
.anc#:ancestor_x000D_
citiz:foreign_x000D_
#spos:1_x000D_
#srcs:1_x000D_
#comment:0_x000D_
#events:1_x000D_
#kids:1_x000D_
lived:ENLANCSBANKS_x000D_
issue:_x000D_
.recs:Birth,Marriage,Death_x000D_
.imm?:no_x000D_
..Spo:ELLEN ABRAM</t>
        </r>
      </text>
    </comment>
    <comment ref="T2984" authorId="0" shapeId="0" xr:uid="{4BF54C76-6832-44F6-B212-A00CA750103D}">
      <text>
        <r>
          <rPr>
            <sz val="9"/>
            <color indexed="81"/>
            <rFont val="Tahoma"/>
            <family val="2"/>
          </rPr>
          <t>RICHARDUS ABRAM_x000D_
http://yeinfo.com/family/I09066712.html_x000D_
https://www.google.com/search?q=RICHARDUS+ABRAM+1440+1500+{_?_}_x000D_
.born: 1440    -          Banks (Lancashire) England_x000D_
.died: 1500    -1525     ?Lancashire county England, age:60y 0m 0d, _x000D_
.bapt: 1785GE_x000D_
.will: 2004MO_x000D_
.obit: 1890OH_x000D_
.bury: 1850IL _x000D_
.wpbt: 1826PA_x000D_
.anc#:ancestor_x000D_
citiz:foreign_x000D_
#spos:1_x000D_
#srcs:1_x000D_
#comment:0_x000D_
#events:1_x000D_
#kids:1_x000D_
lived:ENLANCSBANKS_x000D_
issue:_x000D_
.recs:Birth,Marriage,Death_x000D_
.imm?:no_x000D_
..Spo:{_?_} ABRAM</t>
        </r>
      </text>
    </comment>
    <comment ref="U2986" authorId="0" shapeId="0" xr:uid="{C7F633A7-8797-483A-A598-E6E17B768733}">
      <text>
        <r>
          <rPr>
            <sz val="9"/>
            <color indexed="81"/>
            <rFont val="Tahoma"/>
            <family val="2"/>
          </rPr>
          <t>Mrs. ELLEN ABRAM_x000D_
http://yeinfo.com/family/I09066715.html_x000D_
https://www.google.com/search?q=ELLEN+ABRAM+1405+1440+ABRAM_x000D_
.born: 1405    -         ?Lancashire county England_x000D_
.died: 1440    -1505     ?England, age:35y 0m 0d, _x000D_
.bapt: 1785GE_x000D_
.will: 2004MO_x000D_
.obit: 1890OH_x000D_
.bury: 1850IL _x000D_
.wpbt: 1826PA_x000D_
.anc#:ancestor_x000D_
citiz:foreign_x000D_
#spos:1_x000D_
#srcs:1_x000D_
#comment:0_x000D_
#events:1_x000D_
#kids:1_x000D_
lived:?ENLANCS_x000D_
issue:_x000D_
.recs:Birth,Marriage,Death_x000D_
.imm?:no_x000D_
..Spo:THOMAS ABRAM</t>
        </r>
      </text>
    </comment>
    <comment ref="S2988" authorId="0" shapeId="0" xr:uid="{7357BB75-A717-4285-A459-3F8DF8361ADB}">
      <text>
        <r>
          <rPr>
            <sz val="9"/>
            <color indexed="81"/>
            <rFont val="Tahoma"/>
            <family val="2"/>
          </rPr>
          <t>RICHARD EDMUNDI ABRAM_x000D_
http://yeinfo.com/family/I09066710.html_x000D_
https://www.google.com/search?q=RICHARD+EDMUNDI+ABRAM+1500+1582+SARAH_x000D_
.born: 1500    -          Lancashire county England_x000D_
.died: 15821123-          Banks (Lancashire) England, age:82y 10m 22d, _x000D_
.bapt: 1785GE_x000D_
.will: 2004MO_x000D_
.obit: 1890OH_x000D_
.bury: 1850IL _x000D_
.wpbt: 1826PA_x000D_
.anc#:ancestor_x000D_
citiz:foreign_x000D_
#spos:1_x000D_
#srcs:1_x000D_
#comment:0_x000D_
#events:1_x000D_
#kids:2_x000D_
lived:ENLANCSBANKS_x000D_
issue:Died after Age 100_x000D_
.recs:Birth,Marriage,Death_x000D_
.imm?:no_x000D_
..Spo:SARAH ABRAM</t>
        </r>
      </text>
    </comment>
    <comment ref="T2990" authorId="0" shapeId="0" xr:uid="{90EAE99A-1380-4174-8F21-0A8683AFA7E1}">
      <text>
        <r>
          <rPr>
            <sz val="9"/>
            <color indexed="81"/>
            <rFont val="Tahoma"/>
            <family val="2"/>
          </rPr>
          <t>Mrs. {_?_} ABRAM_x000D_
http://yeinfo.com/family/I09066713.html_x000D_
https://www.google.com/search?q={_?_}+ABRAM+1450+1500+ABRAM_x000D_
.born:?1450    -         ?England_x000D_
.died: 1500    -1525     ?Lancashire county England, age:50y 0m 0d, _x000D_
.bapt: 1785GE_x000D_
.will: 2004MO_x000D_
.obit: 1890OH_x000D_
.bury: 1850IL _x000D_
.wpbt: 1826PA_x000D_
.anc#:ancestor_x000D_
citiz:foreign_x000D_
#spos:1_x000D_
#srcs:1_x000D_
#comment:0_x000D_
#events:1_x000D_
#kids:1_x000D_
lived:?ENLANCS_x000D_
issue:_x000D_
.recs:Birth,Marriage,Death_x000D_
.imm?:no_x000D_
..Spo:RICHARDUS ABRAM</t>
        </r>
      </text>
    </comment>
    <comment ref="R2992" authorId="0" shapeId="0" xr:uid="{90BFAF0D-955D-45EA-9EA6-C21307398845}">
      <text>
        <r>
          <rPr>
            <sz val="9"/>
            <color indexed="81"/>
            <rFont val="Tahoma"/>
            <family val="2"/>
          </rPr>
          <t>HENRY ABRAM_x000D_
http://yeinfo.com/family/I09066708.html_x000D_
https://www.google.com/search?q=HENRY+ABRAM+1515+1547+MARGARET_x000D_
.born: 1515    -          Stoke Golding (Buckinghamshire) England_x000D_
.died: 1547    -          Buckinghamshire county England, age:32y 0m 0d, _x000D_
.bapt: 1785GE_x000D_
.will: 2004MO_x000D_
.obit: 1890OH_x000D_
.bury: 1850IL _x000D_
.wpbt: 1826PA_x000D_
.anc#:ancestor_x000D_
citiz:foreign_x000D_
#spos:1_x000D_
#srcs:1_x000D_
#comment:0_x000D_
#events:1_x000D_
#kids:1_x000D_
lived:ENBUCKESTOKGLD_x000D_
issue:_x000D_
.recs:Birth,Marriage,Death_x000D_
.imm?:no_x000D_
..Spo:MARGARET JACKSON</t>
        </r>
      </text>
    </comment>
    <comment ref="S2994" authorId="0" shapeId="0" xr:uid="{DD8191DB-3578-48AA-88E7-E604CCD050AF}">
      <text>
        <r>
          <rPr>
            <sz val="9"/>
            <color indexed="81"/>
            <rFont val="Tahoma"/>
            <family val="2"/>
          </rPr>
          <t>Mrs. SARAH ABRAM_x000D_
http://yeinfo.com/family/I09066711.html_x000D_
https://www.google.com/search?q=SARAH+ABRAM+1492+1515+ABRAM_x000D_
.born: 1492    -          Banks (Lancashire) England_x000D_
.died: 1515    -1580      Lancashire county England, age:23y 0m 0d, _x000D_
.bapt: 1785GE_x000D_
.will: 2004MO_x000D_
.obit: 1890OH_x000D_
.bury: 1850IL _x000D_
.wpbt: 1826PA_x000D_
.anc#:ancestor_x000D_
citiz:foreign_x000D_
#spos:1_x000D_
#srcs:1_x000D_
#comment:0_x000D_
#events:1_x000D_
#kids:2_x000D_
lived:ENLANCSBANKS_x000D_
issue:_x000D_
.recs:Birth,Marriage,Death_x000D_
.imm?:no_x000D_
..Spo:RICHARD EDMUNDI ABRAM</t>
        </r>
      </text>
    </comment>
    <comment ref="Q2996" authorId="0" shapeId="0" xr:uid="{0DC8C097-28DC-4696-8A7E-74602B1F743C}">
      <text>
        <r>
          <rPr>
            <sz val="9"/>
            <color indexed="81"/>
            <rFont val="Tahoma"/>
            <family val="2"/>
          </rPr>
          <t>THOMAS ABRAM_x000D_
http://yeinfo.com/family/I09043378.html_x000D_
https://www.google.com/search?q=THOMAS+ABRAM+1538+1595+RACHAEL_x000D_
.born: 15380214-          Stoke Golding (Buckinghamshire) England_x000D_
.died: 15950523-          London (Middlesex) England, age:57y 3m 9d, _x000D_
.bapt: 1785GE_x000D_
.will: 2004MO_x000D_
.obit: 1890OH_x000D_
.bury: 1850IL All Hallows Lombard Street_x000D_
.wpbt: 1826PA_x000D_
.anc#:ancestor_x000D_
citiz:foreign_x000D_
#spos:1_x000D_
#srcs:1_x000D_
#comment:0_x000D_
#events:2_x000D_
#kids:3_x000D_
lived:ENBUCKESTOKGLD,ENCORNWMORVAL,ENMIDDLLONDON_x000D_
issue:Born before Parents Married_x000D_
.recs:Birth,Marriage,Death,Interment/Burial_x000D_
.imm?:no_x000D_
..Spo:RACHAEL FOOTE</t>
        </r>
      </text>
    </comment>
    <comment ref="S2998" authorId="0" shapeId="0" xr:uid="{A192165D-3DB2-4276-9506-BA80CCD439BB}">
      <text>
        <r>
          <rPr>
            <sz val="9"/>
            <color indexed="81"/>
            <rFont val="Tahoma"/>
            <family val="2"/>
          </rPr>
          <t>WILLIAM JACKSON_x000D_
http://yeinfo.com/family/I09066716.html_x000D_
https://www.google.com/search?q=WILLIAM+JACKSON+1475+1505+{_?_}_x000D_
.born: 1475    -          Snydale (Yorkshire) England_x000D_
.died: 1505    -          Snydale (Yorkshire) England, age:30y 0m 0d, _x000D_
.bapt: 1785GE_x000D_
.will: 2004MO_x000D_
.obit: 1890OH_x000D_
.bury: 1850IL _x000D_
.wpbt: 1826PA_x000D_
.anc#:ancestor_x000D_
citiz:foreign_x000D_
#spos:1_x000D_
#srcs:1_x000D_
#comment:0_x000D_
#events:1_x000D_
#kids:1_x000D_
lived:ENYORKSSNYDALE_x000D_
issue:_x000D_
.recs:Birth,Marriage,Death_x000D_
.imm?:no_x000D_
..Spo:{_?_} JACKSON</t>
        </r>
      </text>
    </comment>
    <comment ref="R3000" authorId="0" shapeId="0" xr:uid="{94D1425A-E22E-41AD-B478-9BEA850048CE}">
      <text>
        <r>
          <rPr>
            <sz val="9"/>
            <color indexed="81"/>
            <rFont val="Tahoma"/>
            <family val="2"/>
          </rPr>
          <t>MARGARET JACKSON_x000D_
http://yeinfo.com/family/I09066709.html_x000D_
https://www.google.com/search?q=MARGARET+JACKSON+1520+1569+ABRAM_x000D_
.born:?1520    -          England_x000D_
.died:c1569    -          England, age:49y 0m 0d, _x000D_
.bapt: 1785GE_x000D_
.will: 2004MO_x000D_
.obit: 1890OH_x000D_
.bury: 1850IL _x000D_
.wpbt: 1826PA_x000D_
.anc#:ancestor_x000D_
citiz:foreign_x000D_
#spos:1_x000D_
#srcs:1_x000D_
#comment:0_x000D_
#events:1_x000D_
#kids:1_x000D_
lived:?ENBUCKE,EN_x000D_
issue:Born after Parent Died_x000D_
.recs:Birth,Marriage,Death_x000D_
.imm?:no_x000D_
..Spo:HENRY ABRAM</t>
        </r>
      </text>
    </comment>
    <comment ref="S3002" authorId="0" shapeId="0" xr:uid="{D1C246EC-F7E5-4577-8B44-339E33EA33D1}">
      <text>
        <r>
          <rPr>
            <sz val="9"/>
            <color indexed="81"/>
            <rFont val="Tahoma"/>
            <family val="2"/>
          </rPr>
          <t>Mrs. {_?_} JACKSON_x000D_
http://yeinfo.com/family/I09066717.html_x000D_
https://www.google.com/search?q={_?_}+JACKSON+1480+1520+JACKSON_x000D_
.born:?1480    -         ?England_x000D_
.died: 1520    -1585     ?, age:40y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..Spo:WILLIAM JACKSON</t>
        </r>
      </text>
    </comment>
    <comment ref="P3004" authorId="0" shapeId="0" xr:uid="{2630F6F1-6C2F-4784-ABC8-5D4C34A4A9DE}">
      <text>
        <r>
          <rPr>
            <sz val="9"/>
            <color indexed="81"/>
            <rFont val="Tahoma"/>
            <family val="2"/>
          </rPr>
          <t>AGNES ABRAM_x000D_
http://yeinfo.com/family/I09021689.html_x000D_
https://www.google.com/search?q=AGNES+ABRAM+1568+1613+PHILLIPS_x000D_
.born: 15680517-          Earls Colne (Essex) England_x000D_
.died: 16130331-          Bardney (Lincolnshire) England, age:44y 10m 14d, _x000D_
.bapt: 1785GE_x000D_
.will: 2004MO_x000D_
.obit: 1890OH_x000D_
.bury: 1850IL _x000D_
.wpbt: 1826PA_x000D_
.anc#:ancestor_x000D_
citiz:foreign_x000D_
#spos:1_x000D_
#srcs:2_x000D_
#comment:0_x000D_
#events:1_x000D_
#kids:1_x000D_
lived:ENESSEXEARLS C,ENLINCSBARDNEY,ENSUSSECHICHES_x000D_
issue:_x000D_
.recs:Birth,Marriage,Death_x000D_
.imm?:no_x000D_
..Spo:CHRISTOPHER PHILLIPS</t>
        </r>
      </text>
    </comment>
    <comment ref="R3006" authorId="0" shapeId="0" xr:uid="{3821C868-3919-4BD8-B907-10D7AE6999FB}">
      <text>
        <r>
          <rPr>
            <sz val="9"/>
            <color indexed="81"/>
            <rFont val="Tahoma"/>
            <family val="2"/>
          </rPr>
          <t>WILLMUS FOOTE_x000D_
http://yeinfo.com/family/I09066718.html_x000D_
https://www.google.com/search?q=WILLMUS+FOOTE+1520+1591+ELIZABETH_x000D_
.born: 1520    -          England_x000D_
.died: 1591    -          England, age:71y 0m 0d, _x000D_
.bapt: 1785GE_x000D_
.will: 2004MO_x000D_
.obit: 1890OH_x000D_
.bury: 1850IL _x000D_
.wpbt: 1826PA_x000D_
.anc#:ancestor_x000D_
citiz:foreign_x000D_
#spos:1_x000D_
#srcs:1_x000D_
#comment:0_x000D_
#events:1_x000D_
#kids:1_x000D_
lived:ENESSEXDUNTON_x000D_
issue:_x000D_
.recs:Birth,Marriage,Death_x000D_
.imm?:no_x000D_
..Spo:ELIZABETH RIDLEY</t>
        </r>
      </text>
    </comment>
    <comment ref="Q3008" authorId="0" shapeId="0" xr:uid="{DDD138FD-F1BD-4818-9D3F-734305E6DB33}">
      <text>
        <r>
          <rPr>
            <sz val="9"/>
            <color indexed="81"/>
            <rFont val="Tahoma"/>
            <family val="2"/>
          </rPr>
          <t>RACHAEL FOOTE_x000D_
http://yeinfo.com/family/I09043379.html_x000D_
https://www.google.com/search?q=RACHAEL+FOOTE+1542+1600+ABRAM_x000D_
.born: 1542    -          Rainham (Kent) England_x000D_
.died: 16000522-          Earls Colne (Essex) England, age:58y 4m 21d, _x000D_
.bapt: 1785GE_x000D_
.will: 2004MO_x000D_
.obit: 1890OH_x000D_
.bury: 1850IL _x000D_
.wpbt: 1826PA_x000D_
.anc#:ancestor_x000D_
citiz:foreign_x000D_
#spos:1_x000D_
#srcs:1_x000D_
#comment:0_x000D_
#events:1_x000D_
#kids:3_x000D_
lived:ENCORNWMORVAL,ENESSEXEARLS C,ENKENT RAINHAM_x000D_
issue:_x000D_
.recs:Birth,Marriage,Death_x000D_
.imm?:no_x000D_
..Spo:THOMAS ABRAM</t>
        </r>
      </text>
    </comment>
    <comment ref="R3010" authorId="0" shapeId="0" xr:uid="{23779C0E-5AFE-4190-A3FB-5C41B060FB6C}">
      <text>
        <r>
          <rPr>
            <sz val="9"/>
            <color indexed="81"/>
            <rFont val="Tahoma"/>
            <family val="2"/>
          </rPr>
          <t>ELIZABETH RIDLEY_x000D_
http://yeinfo.com/family/I09066719.html_x000D_
https://www.google.com/search?q=ELIZABETH+RIDLEY+1520+1542+FOOTE_x000D_
.born:?1520    -          England_x000D_
.died: 1542    -1605     ?England, age:22y 0m 0d, _x000D_
.bapt: 1785GE_x000D_
.will: 2004MO_x000D_
.obit: 1890OH_x000D_
.bury: 1850IL _x000D_
.wpbt: 1826PA_x000D_
.anc#:ancestor_x000D_
citiz:foreign_x000D_
#spos:1_x000D_
#srcs:1_x000D_
#comment:0_x000D_
#events:1_x000D_
#kids:1_x000D_
lived:ENESSEXDUNTON_x000D_
issue:_x000D_
.recs:Birth,Marriage,Death_x000D_
.imm?:no_x000D_
..Spo:WILLMUS FOOTE</t>
        </r>
      </text>
    </comment>
    <comment ref="N3012" authorId="0" shapeId="0" xr:uid="{156A32D3-26A8-4575-A742-26D00B374786}">
      <text>
        <r>
          <rPr>
            <sz val="9"/>
            <color indexed="81"/>
            <rFont val="Tahoma"/>
            <family val="2"/>
          </rPr>
          <t>SAMUEL PHILLIPS_x000D_
http://yeinfo.com/family/I09005422.html_x000D_
https://www.google.com/search?q=SAMUEL+PHILLIPS+1625+1696+SARAH_x000D_
.born:c16251222-          Boxford (Suffolk) England_x000D_
.died: 16960422-          Rowley (Essex) Massachusetts, age:70y 4m 0d, _x000D_
.bapt: 1785GE_x000D_
.will: 2004MO_x000D_
.obit: 1890OH_x000D_
.bury: 1850IL _x000D_
.wpbt: 1826PA_x000D_
.anc#:ancestor_x000D_
citiz:immigrant_x000D_
#spos:1_x000D_
#srcs:2_x000D_
#comment:0_x000D_
#events:1_x000D_
#kids:1_x000D_
lived:ENSUFFOBOXFORD,MAESSEXROWLEY_x000D_
issue:_x000D_
.recs:Birth,Marriage,Death_x000D_
.imm?:immigrant_x000D_
..Spo:SARAH APPLETON</t>
        </r>
      </text>
    </comment>
    <comment ref="X3014" authorId="0" shapeId="0" xr:uid="{061C1DCF-45BD-4D5C-925E-5025BA955A6D}">
      <text>
        <r>
          <rPr>
            <sz val="9"/>
            <color indexed="81"/>
            <rFont val="Tahoma"/>
            <family val="2"/>
          </rPr>
          <t>EDWIN JOHN SARGENT_x000D_
http://yeinfo.com/family/I09066494.html_x000D_
https://www.google.com/search?q=EDWIN+JOHN+SARGENT+1340+1360+ELLEN\ELEANOR_x000D_
.born: 1340    -          Gloucestershire county England_x000D_
.died: 1360    -1430     ?England, age:20y 0m 0d, _x000D_
.bapt: 1785GE_x000D_
.will: 2004MO_x000D_
.obit: 1890OH_x000D_
.bury: 1850IL _x000D_
.wpbt: 1826PA_x000D_
.anc#:ancestor_x000D_
citiz:foreign_x000D_
#spos:1_x000D_
#srcs:1_x000D_
#comment:0_x000D_
#events:1_x000D_
#kids:1_x000D_
lived:ENGLOUS_x000D_
issue:_x000D_
.recs:Birth,Marriage,Death_x000D_
.imm?:no_x000D_
..Spo:ELLEN\ELEANOR SARGENT</t>
        </r>
      </text>
    </comment>
    <comment ref="W3016" authorId="0" shapeId="0" xr:uid="{6136A0EF-B6E1-46B9-B248-38F58331CE0B}">
      <text>
        <r>
          <rPr>
            <sz val="9"/>
            <color indexed="81"/>
            <rFont val="Tahoma"/>
            <family val="2"/>
          </rPr>
          <t>EDWIN JOHN SARGENT II_x000D_
http://yeinfo.com/family/I09066321.html_x000D_
https://www.google.com/search?q=EDWIN+JOHN+SARGENT+1360+1400+ANNIE_x000D_
.born: 1360    -          Horton (Gloucestershire) England_x000D_
.died: 1400    -          Horton (Gloucestershire) England, age:40y 0m 0d, _x000D_
.bapt: 1785GE_x000D_
.will: 2004MO_x000D_
.obit: 1890OH_x000D_
.bury: 1850IL _x000D_
.wpbt: 1826PA_x000D_
.anc#:ancestor_x000D_
citiz:foreign_x000D_
#spos:1_x000D_
#srcs:2_x000D_
#comment:0_x000D_
#events:1_x000D_
#kids:1_x000D_
lived:ENGLOUSHORTON_x000D_
issue:_x000D_
.recs:Birth,Marriage,Death_x000D_
.imm?:no_x000D_
..Spo:ANNIE SARGENT</t>
        </r>
      </text>
    </comment>
    <comment ref="X3018" authorId="0" shapeId="0" xr:uid="{ABDAFC3B-58AA-4650-B1BC-8214871E8111}">
      <text>
        <r>
          <rPr>
            <sz val="9"/>
            <color indexed="81"/>
            <rFont val="Tahoma"/>
            <family val="2"/>
          </rPr>
          <t>Mrs. ELLEN\ELEANOR SARGENT_x000D_
http://yeinfo.com/family/I09066495.html_x000D_
https://www.google.com/search?q=ELLEN\ELEANOR+SARGENT+1340+1360+SARGENT_x000D_
.born:?1340    -          _x000D_
.died: 1360    -1430     ?England, age:20y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..Spo:EDWIN JOHN SARGENT</t>
        </r>
      </text>
    </comment>
    <comment ref="V3020" authorId="0" shapeId="0" xr:uid="{4D65B79D-CA73-4D19-A7F9-22702FAE8EB5}">
      <text>
        <r>
          <rPr>
            <sz val="9"/>
            <color indexed="81"/>
            <rFont val="Tahoma"/>
            <family val="2"/>
          </rPr>
          <t>EDWIN JOHN SARGENT III_x000D_
http://yeinfo.com/family/I09066159.html_x000D_
https://www.google.com/search?q=EDWIN+JOHN+SARGENT+1382+1431+FRANCES_x000D_
.born: 1382    -          Horton (Gloucestershire) England_x000D_
.died: 14311223-          , age:49y 11m 22d, _x000D_
.bapt: 1785GE_x000D_
.will: 2004MO_x000D_
.obit: 1890OH_x000D_
.bury: 1850IL _x000D_
.wpbt: 1826PA_x000D_
.anc#:ancestor_x000D_
citiz:foreign_x000D_
#spos:1_x000D_
#srcs:2_x000D_
#comment:0_x000D_
#events:1_x000D_
#kids:1_x000D_
lived:ENGLOUSHORTON_x000D_
issue:_x000D_
.recs:Birth,Marriage,Death_x000D_
.imm?:no_x000D_
..Spo:FRANCES MORGAN</t>
        </r>
      </text>
    </comment>
    <comment ref="W3022" authorId="0" shapeId="0" xr:uid="{B364BE49-F62D-4BD1-8D16-FB3E67E1D1BF}">
      <text>
        <r>
          <rPr>
            <sz val="9"/>
            <color indexed="81"/>
            <rFont val="Tahoma"/>
            <family val="2"/>
          </rPr>
          <t>Mrs. ANNIE SARGENT_x000D_
http://yeinfo.com/family/I09066322.html_x000D_
https://www.google.com/search?q=ANNIE+SARGENT+1362+1435+SARGENT_x000D_
.born: 1362    -          _x000D_
.died: 1435    -          , age:73y 0m 0d, _x000D_
.bapt: 1785GE_x000D_
.will: 2004MO_x000D_
.obit: 1890OH_x000D_
.bury: 1850IL _x000D_
.wpbt: 1826PA_x000D_
.anc#:ancestor_x000D_
citiz:foreign_x000D_
#spos:1_x000D_
#srcs:2_x000D_
#comment:0_x000D_
#events:1_x000D_
#kids:1_x000D_
lived:_x000D_
issue:_x000D_
.recs:Birth,Marriage,Death_x000D_
.imm?:no_x000D_
..Spo:EDWIN JOHN SARGENT</t>
        </r>
      </text>
    </comment>
    <comment ref="U3024" authorId="0" shapeId="0" xr:uid="{7351DDCD-0531-4D1F-BBEA-4005B964146A}">
      <text>
        <r>
          <rPr>
            <sz val="9"/>
            <color indexed="81"/>
            <rFont val="Tahoma"/>
            <family val="2"/>
          </rPr>
          <t>SIDNEY JAMES SARGENT_x000D_
http://yeinfo.com/family/I09065977.html_x000D_
https://www.google.com/search?q=SIDNEY+JAMES+SARGENT+1408+1509+ELIZA_x000D_
.born: 14081212-          Courteenhall (Northamptonshire) England_x000D_
.died: 15090514-          Courteenhall (Northamptonshire) England, age:100y 5m 2d, _x000D_
.bapt: 1785GE_x000D_
.will: 2004MO_x000D_
.obit: 1890OH_x000D_
.bury: 1850IL _x000D_
.wpbt: 1826PA_x000D_
.anc#:ancestor_x000D_
citiz:foreign_x000D_
#spos:1_x000D_
#srcs:2_x000D_
#comment:0_x000D_
#events:1_x000D_
#kids:1_x000D_
lived:ENNORTACOURTEE_x000D_
issue:Married after Age 60_x000D_
.recs:Birth,Marriage,Death_x000D_
.imm?:no_x000D_
..Spo:ELIZA BRAYBROOK</t>
        </r>
      </text>
    </comment>
    <comment ref="V3026" authorId="0" shapeId="0" xr:uid="{BAF31E7D-3D50-4942-BA6A-373E7020D100}">
      <text>
        <r>
          <rPr>
            <sz val="9"/>
            <color indexed="81"/>
            <rFont val="Tahoma"/>
            <family val="2"/>
          </rPr>
          <t>FRANCES MORGAN_x000D_
http://yeinfo.com/family/I09066160.html_x000D_
https://www.google.com/search?q=FRANCES+MORGAN+1381+1450+SARGENT_x000D_
.born: 1381    -          Chipping Campden (Gloucestershire) England_x000D_
.died: 145006  -          Gloucester (Gloucestershire) England, age:69y 5m 0d, _x000D_
.bapt: 1785GE_x000D_
.will: 2004MO_x000D_
.obit: 1890OH_x000D_
.bury: 1850IL _x000D_
.wpbt: 1826PA_x000D_
.anc#:ancestor_x000D_
citiz:foreign_x000D_
#spos:1_x000D_
#srcs:2_x000D_
#comment:0_x000D_
#events:1_x000D_
#kids:1_x000D_
lived:ENGLOUSCHIPCAM,ENGLOUSGLOUCES_x000D_
issue:_x000D_
.recs:Birth,Marriage,Death_x000D_
.imm?:no_x000D_
..Spo:EDWIN JOHN SARGENT</t>
        </r>
      </text>
    </comment>
    <comment ref="T3028" authorId="0" shapeId="0" xr:uid="{5EE68A65-BE15-4F33-BD65-509573D5D827}">
      <text>
        <r>
          <rPr>
            <sz val="9"/>
            <color indexed="81"/>
            <rFont val="Tahoma"/>
            <family val="2"/>
          </rPr>
          <t>WILLIAM SARGENT_x000D_
http://yeinfo.com/family/I09065819.html_x000D_
https://www.google.com/search?q=WILLIAM+SARGENT+1435+1488+OLIVE+JANE_x000D_
.born: 1435    -          Northam (Devon) England_x000D_
.died: 14880710-          Northam (Devon) England, age:53y 6m 9d, _x000D_
.bapt: 1785GE_x000D_
.will: 2004MO_x000D_
.obit: 1890OH_x000D_
.bury: 1850IL _x000D_
.wpbt: 1826PA_x000D_
.anc#:ancestor_x000D_
citiz:foreign_x000D_
#spos:1_x000D_
#srcs:2_x000D_
#comment:0_x000D_
#events:1_x000D_
#kids:1_x000D_
lived:ENDEVONNORTHAM_x000D_
issue:_x000D_
.recs:Birth,Marriage,Death_x000D_
.imm?:no_x000D_
..Spo:OLIVE JANE MORGAN</t>
        </r>
      </text>
    </comment>
    <comment ref="V3030" authorId="0" shapeId="0" xr:uid="{4DB09E0F-CF3D-43FC-B1C1-B681EC2DF887}">
      <text>
        <r>
          <rPr>
            <sz val="9"/>
            <color indexed="81"/>
            <rFont val="Tahoma"/>
            <family val="2"/>
          </rPr>
          <t>WILLIAM BRAYBROOK_x000D_
http://yeinfo.com/family/I09066161.html_x000D_
https://www.google.com/search?q=WILLIAM+BRAYBROOK+1383+1407+ELIZABETH_x000D_
.born: 1383    -          _x000D_
.died: 1407    -1473     ?England, age:24y 0m 0d, _x000D_
.bapt: 1785GE_x000D_
.will: 2004MO_x000D_
.obit: 1890OH_x000D_
.bury: 1850IL _x000D_
.wpbt: 1826PA_x000D_
.anc#:ancestor_x000D_
citiz:foreign_x000D_
#spos:1_x000D_
#srcs:3_x000D_
#comment:0_x000D_
#events:1_x000D_
#kids:2_x000D_
lived:?EN_x000D_
issue:_x000D_
.recs:Birth,Marriage,Death_x000D_
.imm?:no_x000D_
..Spo:ELIZABETH BOWERMAN</t>
        </r>
      </text>
    </comment>
    <comment ref="U3032" authorId="0" shapeId="0" xr:uid="{63BBA9E3-7361-4B87-B75A-B984A80F1C6C}">
      <text>
        <r>
          <rPr>
            <sz val="9"/>
            <color indexed="81"/>
            <rFont val="Tahoma"/>
            <family val="2"/>
          </rPr>
          <t>ELIZA BRAYBROOK_x000D_
http://yeinfo.com/family/I09065978.html_x000D_
https://www.google.com/search?q=ELIZA+BRAYBROOK+1403+1477+SARGENT_x000D_
.born: 14031018-          Chipping (Lancashire) England_x000D_
.died: 1477    -          Chipping (Lancashire) England, age:73y 2m 14d, _x000D_
.bapt: 1785GE_x000D_
.will: 2004MO_x000D_
.obit: 1890OH_x000D_
.bury: 1850IL _x000D_
.wpbt: 1826PA_x000D_
.anc#:ancestor_x000D_
citiz:foreign_x000D_
#spos:1_x000D_
#srcs:2_x000D_
#comment:0_x000D_
#events:1_x000D_
#kids:1_x000D_
lived:ENLANCSCHIPPIN_x000D_
issue:_x000D_
.recs:Birth,Marriage,Death_x000D_
.imm?:no_x000D_
..Spo:SIDNEY JAMES SARGENT</t>
        </r>
      </text>
    </comment>
    <comment ref="V3034" authorId="0" shapeId="0" xr:uid="{B22BF57E-A6F9-4482-97FA-2E2F99150D7E}">
      <text>
        <r>
          <rPr>
            <sz val="9"/>
            <color indexed="81"/>
            <rFont val="Tahoma"/>
            <family val="2"/>
          </rPr>
          <t>ELIZABETH BOWERMAN_x000D_
http://yeinfo.com/family/I09066162.html_x000D_
https://www.google.com/search?q=ELIZABETH+BOWERMAN+1383+1428+BRAYBROOK_x000D_
.born: 13830323-         ?England_x000D_
.died: 14280525-         ?England, age:45y 2m 2d, _x000D_
.bapt: 1785GE_x000D_
.will: 2004MO_x000D_
.obit: 1890OH_x000D_
.bury: 1850IL _x000D_
.wpbt: 1826PA_x000D_
.anc#:ancestor_x000D_
citiz:foreign_x000D_
#spos:1_x000D_
#srcs:3_x000D_
#comment:0_x000D_
#events:1_x000D_
#kids:2_x000D_
lived:?EN_x000D_
issue:_x000D_
.recs:Birth,Marriage,Death_x000D_
.imm?:no_x000D_
..Spo:WILLIAM BRAYBROOK</t>
        </r>
      </text>
    </comment>
    <comment ref="S3036" authorId="0" shapeId="0" xr:uid="{0574EF46-8968-4EAA-9828-99AFD1B154C2}">
      <text>
        <r>
          <rPr>
            <sz val="9"/>
            <color indexed="81"/>
            <rFont val="Tahoma"/>
            <family val="2"/>
          </rPr>
          <t>MAXWELL SARGENT_x000D_
http://yeinfo.com/family/I09065690.html_x000D_
https://www.google.com/search?q=MAXWELL+SARGENT+1465+1504+PATRICIA+ANNE_x000D_
.born: 1465    -          Courteenhall (Northamptonshire) England_x000D_
.died: 1504    -          Courteenhall (Northamptonshire) England, age:39y 0m 0d, _x000D_
.bapt: 1785GE_x000D_
.will: 2004MO_x000D_
.obit: 1890OH_x000D_
.bury: 1850IL _x000D_
.wpbt: 1826PA_x000D_
.anc#:ancestor_x000D_
citiz:foreign_x000D_
#spos:1_x000D_
#srcs:2_x000D_
#comment:0_x000D_
#events:1_x000D_
#kids:1_x000D_
lived:ENNORTACOURTEE_x000D_
issue:_x000D_
.recs:Birth,Marriage,Death_x000D_
.imm?:no_x000D_
..Spo:PATRICIA ANNE HETHERINGTON</t>
        </r>
      </text>
    </comment>
    <comment ref="U3038" authorId="0" shapeId="0" xr:uid="{094FF2A4-1B84-42FB-B888-84DEE3E8307E}">
      <text>
        <r>
          <rPr>
            <sz val="9"/>
            <color indexed="81"/>
            <rFont val="Tahoma"/>
            <family val="2"/>
          </rPr>
          <t>JOHN MORGAN_x000D_
http://yeinfo.com/family/I09065979.html_x000D_
https://www.google.com/search?q=JOHN+MORGAN+1403+1448+MARGARET_x000D_
.born: 1403    -          England_x000D_
.died: 1448    -          England, age:45y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..Spo:MARGARET DOWLER</t>
        </r>
      </text>
    </comment>
    <comment ref="T3040" authorId="0" shapeId="0" xr:uid="{DD356EFA-1098-4EF4-851B-774F8490EE14}">
      <text>
        <r>
          <rPr>
            <sz val="9"/>
            <color indexed="81"/>
            <rFont val="Tahoma"/>
            <family val="2"/>
          </rPr>
          <t>OLIVE JANE MORGAN_x000D_
http://yeinfo.com/family/I09065820.html_x000D_
https://www.google.com/search?q=OLIVE+JANE+MORGAN+1437+1488+SARGENT_x000D_
.born: 1437    -          Northumberland county England_x000D_
.died: 14881007-          Northam (Devon) England, age:51y 9m 6d, _x000D_
.bapt: 1785GE_x000D_
.will: 2004MO_x000D_
.obit: 1890OH_x000D_
.bury: 1850IL _x000D_
.wpbt: 1826PA_x000D_
.anc#:ancestor_x000D_
citiz:foreign_x000D_
#spos:1_x000D_
#srcs:2_x000D_
#comment:0_x000D_
#events:1_x000D_
#kids:1_x000D_
lived:ENDEVONNORTHAM,ENNORTU_x000D_
issue:_x000D_
.recs:Birth,Marriage,Death_x000D_
.imm?:no_x000D_
..Spo:WILLIAM SARGENT</t>
        </r>
      </text>
    </comment>
    <comment ref="U3042" authorId="0" shapeId="0" xr:uid="{96D6B85B-5886-459D-B073-483B41165C54}">
      <text>
        <r>
          <rPr>
            <sz val="9"/>
            <color indexed="81"/>
            <rFont val="Tahoma"/>
            <family val="2"/>
          </rPr>
          <t>MARGARET DOWLER_x000D_
http://yeinfo.com/family/I09065980.html_x000D_
https://www.google.com/search?q=MARGARET+DOWLER+1408+1449+MORGAN_x000D_
.born: 1408    -         ?England_x000D_
.died: 1449    -         ?England, age:41y 0m 0d, _x000D_
.bapt: 1785GE_x000D_
.will: 2004MO_x000D_
.obit: 1890OH_x000D_
.bury: 1850IL _x000D_
.wpbt: 1826PA_x000D_
.anc#:ancestor_x000D_
citiz:foreign_x000D_
#spos:1_x000D_
#srcs:1_x000D_
#comment:0_x000D_
#events:1_x000D_
#kids:1_x000D_
lived:?EN_x000D_
issue:Died after Age 100_x000D_
.recs:Birth,Marriage,Death_x000D_
.imm?:no_x000D_
..Spo:JOHN MORGAN</t>
        </r>
      </text>
    </comment>
    <comment ref="R3044" authorId="0" shapeId="0" xr:uid="{626A9ED9-B180-4709-9007-3EBE6889EEA1}">
      <text>
        <r>
          <rPr>
            <sz val="9"/>
            <color indexed="81"/>
            <rFont val="Tahoma"/>
            <family val="2"/>
          </rPr>
          <t>ROGER SARGENT_x000D_
http://yeinfo.com/family/I09065557.html_x000D_
https://www.google.com/search?q=ROGER+SARGENT+1504+1536+ELIZABETH_x000D_
.born: 15041217-          Northam (Devon) England_x000D_
.died: 1536    -          Northam (Devon) England, age:31y 0m 15d, _x000D_
.bapt: 1785GE_x000D_
.will: 2004MO_x000D_
.obit: 1890OH_x000D_
.bury: 1850IL _x000D_
.wpbt: 1826PA_x000D_
.anc#:ancestor_x000D_
citiz:foreign_x000D_
#spos:1_x000D_
#srcs:1_x000D_
#comment:0_x000D_
#events:1_x000D_
#kids:1_x000D_
lived:ENDEVONNORTHAM_x000D_
issue:_x000D_
.recs:Birth,Marriage,Death_x000D_
.imm?:no_x000D_
..Spo:ELIZABETH SARGENT</t>
        </r>
      </text>
    </comment>
    <comment ref="V3046" authorId="0" shapeId="0" xr:uid="{5ABBE600-3106-4BBA-8CD7-1DB13288FC40}">
      <text>
        <r>
          <rPr>
            <sz val="9"/>
            <color indexed="81"/>
            <rFont val="Tahoma"/>
            <family val="2"/>
          </rPr>
          <t>CHARLES HETHERINGTON_x000D_
http://yeinfo.com/family/I09066163.html_x000D_
https://www.google.com/search?q=CHARLES+HETHERINGTON+1344+1422+MARY+ANN_x000D_
.born: 13440228-          Cornwall county England_x000D_
.died: 14220506-          Cornwall county England, age:78y 2m 8d, _x000D_
.bapt: 1785GE_x000D_
.will: 2004MO_x000D_
.obit: 1890OH_x000D_
.bury: 1850IL _x000D_
.wpbt: 1826PA_x000D_
.anc#:ancestor_x000D_
citiz:foreign_x000D_
#spos:1_x000D_
#srcs:1_x000D_
#comment:0_x000D_
#events:1_x000D_
#kids:1_x000D_
lived:ENCORNW_x000D_
issue:_x000D_
.recs:Birth,Marriage,Death_x000D_
.imm?:no_x000D_
..Spo:MARY ANN RUDDICK</t>
        </r>
      </text>
    </comment>
    <comment ref="U3048" authorId="0" shapeId="0" xr:uid="{9A756867-7EF8-47B0-B913-82BCC874B704}">
      <text>
        <r>
          <rPr>
            <sz val="9"/>
            <color indexed="81"/>
            <rFont val="Tahoma"/>
            <family val="2"/>
          </rPr>
          <t>ARTHUR CHARLES HETHERINGTON_x000D_
http://yeinfo.com/family/I09065981.html_x000D_
https://www.google.com/search?q=ARTHUR+CHARLES+HETHERINGTON+1386+1461+ELIZA+MAUD_x000D_
.born: 1386    -          Cornwall county England_x000D_
.died: 1461    -          Northamptonshire county England, age:75y 0m 0d, _x000D_
.bapt: 1785GE_x000D_
.will: 2004MO_x000D_
.obit: 1890OH_x000D_
.bury: 1850IL _x000D_
.wpbt: 1826PA_x000D_
.anc#:ancestor_x000D_
citiz:foreign_x000D_
#spos:1_x000D_
#srcs:1_x000D_
#comment:0_x000D_
#events:1_x000D_
#kids:1_x000D_
lived:ENCORNW,ENNORTA_x000D_
issue:_x000D_
.recs:Birth,Marriage,Death_x000D_
.imm?:no_x000D_
..Spo:ELIZA MAUD RICKARD</t>
        </r>
      </text>
    </comment>
    <comment ref="V3050" authorId="0" shapeId="0" xr:uid="{7C30A72C-B72F-446A-AD7B-F4ADBF44565A}">
      <text>
        <r>
          <rPr>
            <sz val="9"/>
            <color indexed="81"/>
            <rFont val="Tahoma"/>
            <family val="2"/>
          </rPr>
          <t>MARY ANN RUDDICK_x000D_
http://yeinfo.com/family/I09066164.html_x000D_
https://www.google.com/search?q=MARY+ANN+RUDDICK+1355+1420+HETHERINGTON_x000D_
.born: 13550508-         ?England_x000D_
.died: 14200919-         ?England, age:65y 4m 11d, _x000D_
.bapt: 1785GE_x000D_
.will: 2004MO_x000D_
.obit: 1890OH_x000D_
.bury: 1850IL _x000D_
.wpbt: 1826PA_x000D_
.anc#:ancestor_x000D_
citiz:foreign_x000D_
#spos:1_x000D_
#srcs:1_x000D_
#comment:0_x000D_
#events:1_x000D_
#kids:1_x000D_
lived:?EN_x000D_
issue:Died after Age 100_x000D_
.recs:Birth,Marriage,Death_x000D_
.imm?:no_x000D_
..Spo:CHARLES HETHERINGTON</t>
        </r>
      </text>
    </comment>
    <comment ref="T3052" authorId="0" shapeId="0" xr:uid="{7CA7A228-156F-4FE2-B5AC-B0D63F671448}">
      <text>
        <r>
          <rPr>
            <sz val="9"/>
            <color indexed="81"/>
            <rFont val="Tahoma"/>
            <family val="2"/>
          </rPr>
          <t>GORDON JAMES HETHERINGTON_x000D_
http://yeinfo.com/family/I09065821.html_x000D_
https://www.google.com/search?q=GORDON+JAMES+HETHERINGTON+1435+1500+ALICE+JEAN_x000D_
.born: 1435    -          Northam (Devon) England_x000D_
.died: 1500    -          Northam (Devon) England, age:65y 0m 0d, _x000D_
.bapt: 1785GE_x000D_
.will: 2004MO_x000D_
.obit: 1890OH_x000D_
.bury: 1850IL _x000D_
.wpbt: 1826PA_x000D_
.anc#:ancestor_x000D_
citiz:foreign_x000D_
#spos:1_x000D_
#srcs:1_x000D_
#comment:0_x000D_
#events:1_x000D_
#kids:1_x000D_
lived:ENDEVONNORTHAM_x000D_
issue:_x000D_
.recs:Birth,Marriage,Death_x000D_
.imm?:no_x000D_
..Spo:ALICE JEAN MCHUTCHINSON</t>
        </r>
      </text>
    </comment>
    <comment ref="V3054" authorId="0" shapeId="0" xr:uid="{D8B37F85-CA86-4C84-A094-F283EC9C1DB2}">
      <text>
        <r>
          <rPr>
            <sz val="9"/>
            <color indexed="81"/>
            <rFont val="Tahoma"/>
            <family val="2"/>
          </rPr>
          <t>JOSEPH RICKARD_x000D_
http://yeinfo.com/family/I09066165.html_x000D_
https://www.google.com/search?q=JOSEPH+RICKARD+1359+1429+EMMA_x000D_
.born: 1359    -         ?England_x000D_
.died: 1429    -         ?England, age:70y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..Spo:EMMA WIFFIN</t>
        </r>
      </text>
    </comment>
    <comment ref="U3056" authorId="0" shapeId="0" xr:uid="{4E83B8C8-B748-438A-B498-1C31BB25D617}">
      <text>
        <r>
          <rPr>
            <sz val="9"/>
            <color indexed="81"/>
            <rFont val="Tahoma"/>
            <family val="2"/>
          </rPr>
          <t>ELIZA MAUD RICKARD_x000D_
http://yeinfo.com/family/I09065982.html_x000D_
https://www.google.com/search?q=ELIZA+MAUD+RICKARD+1407+1460+HETHERINGTON_x000D_
.born: 1407    -          England_x000D_
.died: 1460    -          Northamptonshire county England, age:53y 0m 0d, _x000D_
.bapt: 1785GE_x000D_
.will: 2004MO_x000D_
.obit: 1890OH_x000D_
.bury: 1850IL _x000D_
.wpbt: 1826PA_x000D_
.anc#:ancestor_x000D_
citiz:foreign_x000D_
#spos:1_x000D_
#srcs:1_x000D_
#comment:0_x000D_
#events:1_x000D_
#kids:1_x000D_
lived:ENNORTA_x000D_
issue:Died after Age 100_x000D_
.recs:Birth,Marriage,Death_x000D_
.imm?:no_x000D_
..Spo:ARTHUR CHARLES HETHERINGTON</t>
        </r>
      </text>
    </comment>
    <comment ref="V3058" authorId="0" shapeId="0" xr:uid="{FCA17BE4-B4CE-4145-BB9F-536B678CCF35}">
      <text>
        <r>
          <rPr>
            <sz val="9"/>
            <color indexed="81"/>
            <rFont val="Tahoma"/>
            <family val="2"/>
          </rPr>
          <t>EMMA WIFFIN_x000D_
http://yeinfo.com/family/I09066166.html_x000D_
https://www.google.com/search?q=EMMA+WIFFIN+1359+1407+RICKARD_x000D_
.born: 1359    -         ?England_x000D_
.died: 1407    -1445     ?England, age:48y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..Spo:JOSEPH RICKARD</t>
        </r>
      </text>
    </comment>
    <comment ref="S3060" authorId="0" shapeId="0" xr:uid="{0C55C532-B85A-4462-83D1-A9021246E436}">
      <text>
        <r>
          <rPr>
            <sz val="9"/>
            <color indexed="81"/>
            <rFont val="Tahoma"/>
            <family val="2"/>
          </rPr>
          <t>PATRICIA ANNE HETHERINGTON_x000D_
http://yeinfo.com/family/I09065691.html_x000D_
https://www.google.com/search?q=PATRICIA+ANNE+HETHERINGTON+1470+1504+SARGENT_x000D_
.born: 1470    -          Northam (Devon) England_x000D_
.died: 1504    -          Northam (Devon) England, age:34y 0m 0d, _x000D_
.bapt: 1785GE_x000D_
.will: 2004MO_x000D_
.obit: 1890OH_x000D_
.bury: 1850IL _x000D_
.wpbt: 1826PA_x000D_
.anc#:ancestor_x000D_
citiz:foreign_x000D_
#spos:1_x000D_
#srcs:2_x000D_
#comment:0_x000D_
#events:1_x000D_
#kids:1_x000D_
lived:ENDEVONNORTHAM_x000D_
issue:Died after Age 100_x000D_
.recs:Birth,Marriage,Death_x000D_
.imm?:no_x000D_
..Spo:MAXWELL SARGENT</t>
        </r>
      </text>
    </comment>
    <comment ref="V3062" authorId="0" shapeId="0" xr:uid="{A5B5A699-1109-48A0-A34A-AA48181CCFB9}">
      <text>
        <r>
          <rPr>
            <sz val="9"/>
            <color indexed="81"/>
            <rFont val="Tahoma"/>
            <family val="2"/>
          </rPr>
          <t>DUNCAN MCHUTCHINSON_x000D_
http://yeinfo.com/family/I09066167.html_x000D_
https://www.google.com/search?q=DUNCAN+MCHUTCHINSON+1359+1406+MARGARET_x000D_
.born: 13590506-         ?England_x000D_
.died: 14060630-         ?England, age:47y 1m 24d,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..Spo:MARGARET HEWITSON</t>
        </r>
      </text>
    </comment>
    <comment ref="U3064" authorId="0" shapeId="0" xr:uid="{55D9315B-6A4A-4732-8FE9-A59F3B53A96D}">
      <text>
        <r>
          <rPr>
            <sz val="9"/>
            <color indexed="81"/>
            <rFont val="Tahoma"/>
            <family val="2"/>
          </rPr>
          <t>JOHN EMMERSON MCHUTCHINSON_x000D_
http://yeinfo.com/family/I09065983.html_x000D_
https://www.google.com/search?q=JOHN+EMMERSON+MCHUTCHINSON+1381+1468+HARRIETT_x000D_
.born: 1381    -         ?England_x000D_
.died: 1468    -         ?England, age:87y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..Spo:HARRIETT HUGHES</t>
        </r>
      </text>
    </comment>
    <comment ref="V3066" authorId="0" shapeId="0" xr:uid="{AC275176-4564-43B6-8F35-B99A31B32F35}">
      <text>
        <r>
          <rPr>
            <sz val="9"/>
            <color indexed="81"/>
            <rFont val="Tahoma"/>
            <family val="2"/>
          </rPr>
          <t>MARGARET HEWITSON_x000D_
http://yeinfo.com/family/I09066168.html_x000D_
https://www.google.com/search?q=MARGARET+HEWITSON+1354+1421+MCHUTCHINSON_x000D_
.born: 13540224-          Saint John Weardale (Durham) England_x000D_
.died: 14210218-         ?England, age:66y 11m 25d, _x000D_
.bapt: 1785GE_x000D_
.will: 2004MO_x000D_
.obit: 1890OH_x000D_
.bury: 1850IL _x000D_
.wpbt: 1826PA_x000D_
.anc#:ancestor_x000D_
citiz:foreign_x000D_
#spos:1_x000D_
#srcs:1_x000D_
#comment:0_x000D_
#events:1_x000D_
#kids:1_x000D_
lived:ENDURHASTJOHNW_x000D_
issue:_x000D_
.recs:Birth,Marriage,Death_x000D_
.imm?:no_x000D_
..Spo:DUNCAN MCHUTCHINSON</t>
        </r>
      </text>
    </comment>
    <comment ref="T3068" authorId="0" shapeId="0" xr:uid="{E673B274-C2FC-460D-9909-41880A9910BC}">
      <text>
        <r>
          <rPr>
            <sz val="9"/>
            <color indexed="81"/>
            <rFont val="Tahoma"/>
            <family val="2"/>
          </rPr>
          <t>ALICE JEAN MCHUTCHINSON_x000D_
http://yeinfo.com/family/I09065822.html_x000D_
https://www.google.com/search?q=ALICE+JEAN+MCHUTCHINSON+1435+1470+HETHERINGTON_x000D_
.born: 1435    -          England_x000D_
.died: 1470    -1520      England, age:35y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..Spo:GORDON JAMES HETHERINGTON</t>
        </r>
      </text>
    </comment>
    <comment ref="V3070" authorId="0" shapeId="0" xr:uid="{3A086D77-AA62-4085-AA5B-EB71262E2713}">
      <text>
        <r>
          <rPr>
            <sz val="9"/>
            <color indexed="81"/>
            <rFont val="Tahoma"/>
            <family val="2"/>
          </rPr>
          <t>DAVID HUGHES_x000D_
http://yeinfo.com/family/I09066169.html_x000D_
https://www.google.com/search?q=DAVID+HUGHES+1354+1424+ESTHER_x000D_
.born: 1354    -         ?England_x000D_
.died: 1424    -         ?England, age:70y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..Spo:ESTHER VICKES</t>
        </r>
      </text>
    </comment>
    <comment ref="U3072" authorId="0" shapeId="0" xr:uid="{EE3FBD70-FCF2-452D-9EF2-018A91C3AB50}">
      <text>
        <r>
          <rPr>
            <sz val="9"/>
            <color indexed="81"/>
            <rFont val="Tahoma"/>
            <family val="2"/>
          </rPr>
          <t>HARRIETT HUGHES_x000D_
http://yeinfo.com/family/I09065984.html_x000D_
https://www.google.com/search?q=HARRIETT+HUGHES+1388+1461+MCHUTCHINSON_x000D_
.born: 13880318-          Northam (Devon) England_x000D_
.died: 14610817-          Northam (Devon) England, age:73y 4m 30d, _x000D_
.bapt: 1785GE_x000D_
.will: 2004MO_x000D_
.obit: 1890OH_x000D_
.bury: 1850IL _x000D_
.wpbt: 1826PA_x000D_
.anc#:ancestor_x000D_
citiz:foreign_x000D_
#spos:1_x000D_
#srcs:1_x000D_
#comment:0_x000D_
#events:1_x000D_
#kids:1_x000D_
lived:ENDEVONNORTHAM_x000D_
issue:Died after Age 100_x000D_
.recs:Birth,Marriage,Death_x000D_
.imm?:no_x000D_
..Spo:JOHN EMMERSON MCHUTCHINSON</t>
        </r>
      </text>
    </comment>
    <comment ref="V3074" authorId="0" shapeId="0" xr:uid="{FCCB3A23-3513-42CB-9CF4-0C43D26BC1D0}">
      <text>
        <r>
          <rPr>
            <sz val="9"/>
            <color indexed="81"/>
            <rFont val="Tahoma"/>
            <family val="2"/>
          </rPr>
          <t>ESTHER VICKES_x000D_
http://yeinfo.com/family/I09066170.html_x000D_
https://www.google.com/search?q=ESTHER+VICKES+1355+1388+HUGHES_x000D_
.born:?1355    -         ?England_x000D_
.died: 1388    -1445     ?England, age:33y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..Spo:DAVID HUGHES</t>
        </r>
      </text>
    </comment>
    <comment ref="Q3076" authorId="0" shapeId="0" xr:uid="{4A401A0F-704A-44E0-A1B5-330C3B3C10EF}">
      <text>
        <r>
          <rPr>
            <sz val="9"/>
            <color indexed="81"/>
            <rFont val="Tahoma"/>
            <family val="2"/>
          </rPr>
          <t>HUGH SARGENT_x000D_
http://yeinfo.com/family/I09043380.html_x000D_
https://www.google.com/search?q=HUGH+SARGENT+1528+1595+MARGARET_x000D_
.born: 1528    -          East Haddon (Northamptonshire) England_x000D_
.died: 15950228-          Northam (Devon) England, age:67y 1m 27d, _x000D_
.bapt: 1785GE_x000D_
.will: 2004MO_x000D_
.obit: 1890OH_x000D_
.bury: 1850IL _x000D_
.wpbt: 1826PA_x000D_
.anc#:ancestor_x000D_
citiz:foreign_x000D_
#spos:1_x000D_
#srcs:2_x000D_
#comment:0_x000D_
#events:1_x000D_
#kids:1_x000D_
lived:ENDEVONNORTHAM,ENNORTAEASTHAD_x000D_
issue:_x000D_
.recs:Birth,Marriage,Death_x000D_
.imm?:no_x000D_
..Spo:MARGARET GIFFARD</t>
        </r>
      </text>
    </comment>
    <comment ref="R3078" authorId="0" shapeId="0" xr:uid="{518547FB-9421-4B5F-A300-630D86458A0F}">
      <text>
        <r>
          <rPr>
            <sz val="9"/>
            <color indexed="81"/>
            <rFont val="Tahoma"/>
            <family val="2"/>
          </rPr>
          <t>Mrs. ELIZABETH SARGENT_x000D_
http://yeinfo.com/family/I09065558.html_x000D_
https://www.google.com/search?q=ELIZABETH+SARGENT+1508+1530+SARGENT_x000D_
.born: 1508    -          England_x000D_
.died: 1530    -         ?England, age:22y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..Spo:ROGER SARGENT</t>
        </r>
      </text>
    </comment>
    <comment ref="P3080" authorId="0" shapeId="0" xr:uid="{4AE1C874-D610-426E-90A8-3E61E9E076BB}">
      <text>
        <r>
          <rPr>
            <sz val="9"/>
            <color indexed="81"/>
            <rFont val="Tahoma"/>
            <family val="2"/>
          </rPr>
          <t>RICHARD SARGENT_x000D_
http://yeinfo.com/family/I09021690.html_x000D_
https://www.google.com/search?q=RICHARD+SARGENT+1575+1675+KATHERINE_x000D_
.born: 15751030-          Northam (Devon) England_x000D_
.died: 167503  -          Bath (Somerset) England, age:99y 3m -1d, _x000D_
.bapt: 1785GE_x000D_
.will: 2004MO_x000D_
.obit: 1890OH_x000D_
.bury: 1850IL _x000D_
.wpbt: 1826PA_x000D_
.anc#:ancestor_x000D_
citiz:foreign_x000D_
#spos:1_x000D_
#srcs:1_x000D_
#comment:0_x000D_
#events:1_x000D_
#kids:1_x000D_
lived:ENDEVONNORTHAM,ENSOMESBATH_x000D_
issue:_x000D_
.recs:Birth,Marriage,Death_x000D_
.imm?:no_x000D_
..Spo:KATHERINE STEVENS</t>
        </r>
      </text>
    </comment>
    <comment ref="V3082" authorId="0" shapeId="0" xr:uid="{DBFD2B4B-0ED0-43FF-B62A-D6126D54CEE2}">
      <text>
        <r>
          <rPr>
            <sz val="9"/>
            <color indexed="81"/>
            <rFont val="Tahoma"/>
            <family val="2"/>
          </rPr>
          <t>ROGER GIFFARD_x000D_
http://yeinfo.com/family/I09066171.html_x000D_
https://www.google.com/search?q=ROGER+GIFFARD+1367+1409+ISABEL+ELIZABETH_x000D_
.born: 136704  -          Twyford (Buckinghamshire) England_x000D_
.died: 14090419-          Twyford (Buckinghamshire) England, age:42y 0m 18d, _x000D_
.bapt: 1785GE_x000D_
.will: 2004MO_x000D_
.obit: 1890OH_x000D_
.bury: 1850IL _x000D_
.wpbt: 1826PA_x000D_
.anc#:ancestor_x000D_
citiz:foreign_x000D_
#spos:1_x000D_
#srcs:1_x000D_
#comment:1_x000D_
#events:1_x000D_
#kids:1_x000D_
lived:ENBUCKETWYFORD_x000D_
issue:Died after Age 100_x000D_
.recs:Birth,Marriage,Death_x000D_
.imm?:no_x000D_
..Spo:ISABEL ELIZABETH STRETELE</t>
        </r>
      </text>
    </comment>
    <comment ref="U3084" authorId="0" shapeId="0" xr:uid="{8058314C-386A-4C79-A847-1A43E6CCF599}">
      <text>
        <r>
          <rPr>
            <sz val="9"/>
            <color indexed="81"/>
            <rFont val="Tahoma"/>
            <family val="2"/>
          </rPr>
          <t>THOMAS GIFFARD_x000D_
http://yeinfo.com/family/I09065985.html_x000D_
https://www.google.com/search?q=THOMAS+GIFFARD+1408+1469+ELEANOR_x000D_
.born:a1408    -          Fringford (Oxfordshire) England_x000D_
.died: 14690309-          Twyford (Buckinghamshire) England, age:61y 2m 8d, _x000D_
.bapt: 1785GE_x000D_
.will: 2004MO_x000D_
.obit: 1890OH_x000D_
.bury: 1850IL _x000D_
.wpbt: 1826PA_x000D_
.anc#:ancestor_x000D_
citiz:foreign_x000D_
#spos:1_x000D_
#srcs:1_x000D_
#comment:0_x000D_
#events:1_x000D_
#kids:1_x000D_
lived:ENBUCKETWYFORD,ENOXFOSFRINGFO_x000D_
issue:_x000D_
.recs:Birth,Marriage,Death_x000D_
.imm?:no_x000D_
..Spo:ELEANOR VAUX</t>
        </r>
      </text>
    </comment>
    <comment ref="V3086" authorId="0" shapeId="0" xr:uid="{5CA03DB3-70FA-44A6-97C6-650A8B73902A}">
      <text>
        <r>
          <rPr>
            <sz val="9"/>
            <color indexed="81"/>
            <rFont val="Tahoma"/>
            <family val="2"/>
          </rPr>
          <t>ISABEL ELIZABETH STRETELE_x000D_
http://yeinfo.com/family/I09066172.html_x000D_
https://www.google.com/search?q=ISABEL+ELIZABETH+STRETELE+1375+1408+GIFFARD_x000D_
.born:c1375    -          Kingston (Buckinghamshire) England_x000D_
.died: 1408    -1465      Twyford (Buckinghamshire) England, age:33y 0m 0d, _x000D_
.bapt: 1785GE_x000D_
.will: 2004MO_x000D_
.obit: 1890OH_x000D_
.bury: 1850IL _x000D_
.wpbt: 1826PA_x000D_
.anc#:ancestor_x000D_
citiz:foreign_x000D_
#spos:1_x000D_
#srcs:1_x000D_
#comment:0_x000D_
#events:1_x000D_
#kids:1_x000D_
lived:ENBUCKEKINGSTO,ENBUCKETWYFORD_x000D_
issue:Died after Age 100_x000D_
.recs:Birth,Marriage,Death_x000D_
.imm?:no_x000D_
..Spo:ROGER GIFFARD</t>
        </r>
      </text>
    </comment>
    <comment ref="T3088" authorId="0" shapeId="0" xr:uid="{0D81AD76-9DD4-4436-96CD-A0E7D3F9921E}">
      <text>
        <r>
          <rPr>
            <sz val="9"/>
            <color indexed="81"/>
            <rFont val="Tahoma"/>
            <family val="2"/>
          </rPr>
          <t>JOHN GIFFARD_x000D_
http://yeinfo.com/family/I09065823.html_x000D_
https://www.google.com/search?q=JOHN+GIFFARD+1431+1463+AGNES_x000D_
.born:c1431    -          Twyford (Buckinghamshire) England_x000D_
.died: 1463    -1521      Twyford (Buckinghamshire) England, age:32y 0m 0d, _x000D_
.bapt: 1785GE_x000D_
.will: 2004MO_x000D_
.obit: 1890OH_x000D_
.bury: 1850IL _x000D_
.wpbt: 1826PA_x000D_
.anc#:ancestor_x000D_
citiz:foreign_x000D_
#spos:1_x000D_
#srcs:1_x000D_
#comment:0_x000D_
#events:1_x000D_
#kids:1_x000D_
lived:ENBUCKETWYFORD_x000D_
issue:_x000D_
.recs:Birth,Marriage,Death_x000D_
.imm?:no_x000D_
..Spo:AGNES WINSLOW</t>
        </r>
      </text>
    </comment>
    <comment ref="X3090" authorId="0" shapeId="0" xr:uid="{7D558503-E653-4013-BCC6-BE565DD41BF3}">
      <text>
        <r>
          <rPr>
            <sz val="9"/>
            <color indexed="81"/>
            <rFont val="Tahoma"/>
            <family val="2"/>
          </rPr>
          <t>WILLIAM VAUX_x000D_
http://yeinfo.com/family/I09066496.html_x000D_
https://www.google.com/search?q=WILLIAM+VAUX+1324+1373+JOAN_x000D_
.born:?1324    -          Bottisham (Cambridgeshire) England_x000D_
.died:?1373    -         ?Bottisham (Cambridgeshire) England, age:49y 0m 0d, _x000D_
.bapt: 1785GE_x000D_
.will: 2004MO_x000D_
.obit: 1890OH_x000D_
.bury: 1850IL _x000D_
.wpbt: 1826PA_x000D_
.anc#:ancestor_x000D_
citiz:foreign_x000D_
#spos:1_x000D_
#srcs:2_x000D_
#comment:1_x000D_
#events:1_x000D_
#kids:1_x000D_
lived:ENCAMBSBOTTISH_x000D_
issue:_x000D_
.recs:Birth,Marriage,Death_x000D_
.imm?:no_x000D_
..Spo:JOAN HARROWDEN</t>
        </r>
      </text>
    </comment>
    <comment ref="W3092" authorId="0" shapeId="0" xr:uid="{6691E148-F223-45F0-B17D-894276508377}">
      <text>
        <r>
          <rPr>
            <sz val="9"/>
            <color indexed="81"/>
            <rFont val="Tahoma"/>
            <family val="2"/>
          </rPr>
          <t>WILLIAM VAUX II_x000D_
http://yeinfo.com/family/I09066323.html_x000D_
https://www.google.com/search?q=WILLIAM+VAUX+1345+1401+JOAN_x000D_
.born: 1345    -          Bottisham (Cambridgeshire) England_x000D_
.died: 1401    -          Bottisham (Cambridgeshire) England, age:56y 0m 0d, _x000D_
.bapt: 1785GE_x000D_
.will: 2004MO_x000D_
.obit: 1890OH_x000D_
.bury: 1850IL _x000D_
.wpbt: 1826PA_x000D_
.anc#:ancestor_x000D_
citiz:foreign_x000D_
#spos:1_x000D_
#srcs:2_x000D_
#comment:0_x000D_
#events:1_x000D_
#kids:1_x000D_
lived:ENCAMBSBOTTISH_x000D_
issue:_x000D_
.recs:Birth,Marriage,Death_x000D_
.imm?:no_x000D_
..Spo:JOAN THIRNING</t>
        </r>
      </text>
    </comment>
    <comment ref="X3094" authorId="0" shapeId="0" xr:uid="{4F829602-2618-4F4D-AB68-B4983D6166B9}">
      <text>
        <r>
          <rPr>
            <sz val="9"/>
            <color indexed="81"/>
            <rFont val="Tahoma"/>
            <family val="2"/>
          </rPr>
          <t>JOAN HARROWDEN_x000D_
http://yeinfo.com/family/I09066497.html_x000D_
https://www.google.com/search?q=JOAN+HARROWDEN+1325+1345+VAUX_x000D_
.born:?1325    -          Bottisham (Cambridgeshire) England_x000D_
.died: 1345    -1415     ?England, age:20y 0m 0d, _x000D_
.bapt: 1785GE_x000D_
.will: 2004MO_x000D_
.obit: 1890OH_x000D_
.bury: 1850IL _x000D_
.wpbt: 1826PA_x000D_
.anc#:ancestor_x000D_
citiz:foreign_x000D_
#spos:1_x000D_
#srcs:2_x000D_
#comment:0_x000D_
#events:1_x000D_
#kids:1_x000D_
lived:ENCAMBSBOTTISH_x000D_
issue:Died after Age 100_x000D_
.recs:Birth,Marriage,Death_x000D_
.imm?:no_x000D_
..Spo:WILLIAM VAUX</t>
        </r>
      </text>
    </comment>
    <comment ref="V3096" authorId="0" shapeId="0" xr:uid="{001AEFF4-433C-4EE2-B0D0-DF2E19D5E097}">
      <text>
        <r>
          <rPr>
            <sz val="9"/>
            <color indexed="81"/>
            <rFont val="Tahoma"/>
            <family val="2"/>
          </rPr>
          <t>WILLIAM VAUX III_x000D_
http://yeinfo.com/family/I09066173.html_x000D_
https://www.google.com/search?q=WILLIAM+VAUX+1379+1405+ELEANOR_x000D_
.born:c1379    -          Great Harrowden (Northamptonshire) England_x000D_
.died:c1405    -          Great Harrowden (Northamptonshire) England, age:26y 0m 0d, _x000D_
.bapt: 1785GE_x000D_
.will: 2004MO_x000D_
.obit: 1890OH_x000D_
.bury: 1850IL _x000D_
.wpbt: 1826PA_x000D_
.anc#:ancestor_x000D_
citiz:foreign_x000D_
#spos:1_x000D_
#srcs:2_x000D_
#comment:0_x000D_
#events:1_x000D_
#kids:4_x000D_
lived:ENNORTAGREATHA_x000D_
issue:_x000D_
.recs:Birth,Marriage,Death_x000D_
.imm?:no_x000D_
..Spo:ELEANOR DRAKELOWE</t>
        </r>
      </text>
    </comment>
    <comment ref="X3098" authorId="0" shapeId="0" xr:uid="{76EDBC95-38A8-4527-BFD7-B07452890A24}">
      <text>
        <r>
          <rPr>
            <sz val="9"/>
            <color indexed="81"/>
            <rFont val="Tahoma"/>
            <family val="2"/>
          </rPr>
          <t>JOHN THIRNING_x000D_
http://yeinfo.com/family/I09066498.html_x000D_
https://www.google.com/search?q=JOHN+THIRNING+1318+1353+JOAN_x000D_
.born:c1318    -          Lathbury (Buckinghamshire) England_x000D_
.died: 1353    -1408     ?England, age:35y 0m 0d, _x000D_
.bapt: 1785GE_x000D_
.will: 2004MO_x000D_
.obit: 1890OH_x000D_
.bury: 1850IL _x000D_
.wpbt: 1826PA_x000D_
.anc#:ancestor_x000D_
citiz:foreign_x000D_
#spos:1_x000D_
#srcs:2_x000D_
#comment:0_x000D_
#events:1_x000D_
#kids:2_x000D_
lived:ENBUCKELATHBUR_x000D_
issue:_x000D_
.recs:Birth,Marriage,Death_x000D_
.imm?:no_x000D_
..Spo:JOAN THIRNING</t>
        </r>
      </text>
    </comment>
    <comment ref="W3100" authorId="0" shapeId="0" xr:uid="{B6FAF89E-FD0D-4980-BE92-EEAF6277BA3E}">
      <text>
        <r>
          <rPr>
            <sz val="9"/>
            <color indexed="81"/>
            <rFont val="Tahoma"/>
            <family val="2"/>
          </rPr>
          <t>JOAN THIRNING_x000D_
http://yeinfo.com/family/I09066324.html_x000D_
https://www.google.com/search?q=JOAN+THIRNING+1353+1438+VAUX_x000D_
.born: 1353    -          Huntington Harbour (Cambridgeshire) England_x000D_
.died: 1438    -          England, age:85y 0m 0d, _x000D_
.bapt: 1785GE_x000D_
.will: 2004MO_x000D_
.obit: 1890OH_x000D_
.bury: 1850IL _x000D_
.wpbt: 1826PA_x000D_
.anc#:ancestor_x000D_
citiz:foreign_x000D_
#spos:1_x000D_
#srcs:2_x000D_
#comment:0_x000D_
#events:1_x000D_
#kids:1_x000D_
lived:ENCAMBSHUNTING_x000D_
issue:_x000D_
.recs:Birth,Marriage,Death_x000D_
.imm?:no_x000D_
..Spo:WILLIAM VAUX</t>
        </r>
      </text>
    </comment>
    <comment ref="X3102" authorId="0" shapeId="0" xr:uid="{B40E9FFA-738A-41E3-8AAD-17D6E548A25F}">
      <text>
        <r>
          <rPr>
            <sz val="9"/>
            <color indexed="81"/>
            <rFont val="Tahoma"/>
            <family val="2"/>
          </rPr>
          <t>Mrs. JOAN THIRNING_x000D_
http://yeinfo.com/family/I09066499.html_x000D_
https://www.google.com/search?q=JOAN+THIRNING+1322+1353+THIRNING_x000D_
.born: 1322    -          Lathbury (Buckinghamshire) England_x000D_
.died: 1353    -1412     ?England, age:31y 0m 0d, _x000D_
.bapt: 1785GE_x000D_
.will: 2004MO_x000D_
.obit: 1890OH_x000D_
.bury: 1850IL _x000D_
.wpbt: 1826PA_x000D_
.anc#:ancestor_x000D_
citiz:foreign_x000D_
#spos:1_x000D_
#srcs:2_x000D_
#comment:0_x000D_
#events:1_x000D_
#kids:2_x000D_
lived:ENBUCKELATHBUR_x000D_
issue:_x000D_
.recs:Birth,Marriage,Death_x000D_
.imm?:no_x000D_
..Spo:JOHN THIRNING</t>
        </r>
      </text>
    </comment>
    <comment ref="U3104" authorId="0" shapeId="0" xr:uid="{755EF9CF-D892-49DB-8F04-58FEF901BB21}">
      <text>
        <r>
          <rPr>
            <sz val="9"/>
            <color indexed="81"/>
            <rFont val="Tahoma"/>
            <family val="2"/>
          </rPr>
          <t>ELEANOR VAUX_x000D_
http://yeinfo.com/family/I09065986.html_x000D_
https://www.google.com/search?q=ELEANOR+VAUX+1405+1478+GIFFARD_x000D_
.born: 1405    -          Twyford (Buckinghamshire) England_x000D_
.died: 1478    -          England, age:73y 0m 0d, _x000D_
.bapt: 1785GE_x000D_
.will: 2004MO_x000D_
.obit: 1890OH_x000D_
.bury: 1850IL _x000D_
.wpbt: 1826PA_x000D_
.anc#:ancestor_x000D_
citiz:foreign_x000D_
#spos:1_x000D_
#srcs:2_x000D_
#comment:0_x000D_
#events:1_x000D_
#kids:1_x000D_
lived:ENBUCKETWYFORD_x000D_
issue:_x000D_
.recs:Birth,Marriage,Death_x000D_
.imm?:no_x000D_
..Spo:THOMAS GIFFARD</t>
        </r>
      </text>
    </comment>
    <comment ref="X3106" authorId="0" shapeId="0" xr:uid="{6F60A07D-88EC-4056-8B16-02E53ADEB168}">
      <text>
        <r>
          <rPr>
            <sz val="9"/>
            <color indexed="81"/>
            <rFont val="Tahoma"/>
            <family val="2"/>
          </rPr>
          <t>THOMAS DRAKELOWE_x000D_
http://yeinfo.com/family/I09066500.html_x000D_
https://www.google.com/search?q=THOMAS+DRAKELOWE+1320+1369+ALICE\ALIX_x000D_
.born: 1320    -          Wilby (Northamptonshire) England_x000D_
.died: 1369    -          England, age:49y 0m 0d, _x000D_
.bapt: 1785GE_x000D_
.will: 2004MO_x000D_
.obit: 1890OH_x000D_
.bury: 1850IL _x000D_
.wpbt: 1826PA_x000D_
.anc#:ancestor_x000D_
citiz:foreign_x000D_
#spos:1_x000D_
#srcs:2_x000D_
#comment:1_x000D_
#events:1_x000D_
#kids:1_x000D_
lived:ENNORTAWILBY_x000D_
issue:_x000D_
.recs:Birth,Marriage,Death_x000D_
.imm?:no_x000D_
..Spo:ALICE\ALIX WYLEBY</t>
        </r>
      </text>
    </comment>
    <comment ref="W3108" authorId="0" shapeId="0" xr:uid="{BE772208-0DA0-4278-B887-A8D3ACD828E3}">
      <text>
        <r>
          <rPr>
            <sz val="9"/>
            <color indexed="81"/>
            <rFont val="Tahoma"/>
            <family val="2"/>
          </rPr>
          <t>THOMAS DRAKELOWE_x000D_
http://yeinfo.com/family/I09066325.html_x000D_
https://www.google.com/search?q=THOMAS+DRAKELOWE+1351+1378+ANKARET_x000D_
.born:c1351    -          Welby (Leicestershire) England_x000D_
.died: 13780326-          Ilkeston (Derbyshire) England, age:27y 2m 25d, _x000D_
.bapt: 1785GE_x000D_
.will: 2004MO_x000D_
.obit: 1890OH_x000D_
.bury: 1850IL _x000D_
.wpbt: 1826PA_x000D_
.anc#:ancestor_x000D_
citiz:foreign_x000D_
#spos:1_x000D_
#srcs:2_x000D_
#comment:0_x000D_
#events:1_x000D_
#kids:1_x000D_
lived:ENDERBSILKESTO,ENLEICEWELBY_x000D_
issue:_x000D_
.recs:Birth,Marriage,Death_x000D_
.imm?:no_x000D_
..Spo:ANKARET SALFORD</t>
        </r>
      </text>
    </comment>
    <comment ref="Z3110" authorId="0" shapeId="0" xr:uid="{97D512ED-2D00-47CD-ACDE-FFE8A4F1815A}">
      <text>
        <r>
          <rPr>
            <sz val="9"/>
            <color indexed="81"/>
            <rFont val="Tahoma"/>
            <family val="2"/>
          </rPr>
          <t>JOHN WYLEBY_x000D_
http://yeinfo.com/family/I09066604.html_x000D_
https://www.google.com/search?q=JOHN+WYLEBY+1257+1327+JOAN_x000D_
.born: 1257    -          Northamptonshire county England_x000D_
.died: 1327    -          Northamptonshire county England, age:70y 0m 0d, _x000D_
.bapt: 1785GE_x000D_
.will: 2004MO_x000D_
.obit: 1890OH_x000D_
.bury: 1850IL _x000D_
.wpbt: 1826PA_x000D_
.anc#:ancestor_x000D_
citiz:foreign_x000D_
#spos:1_x000D_
#srcs:2_x000D_
#comment:1_x000D_
#events:1_x000D_
#kids:1_x000D_
lived:ENNORTAWILBY_x000D_
issue:_x000D_
.recs:Birth,Marriage,Death_x000D_
.imm?:no_x000D_
..Spo:JOAN WYLEBY</t>
        </r>
      </text>
    </comment>
    <comment ref="Y3112" authorId="0" shapeId="0" xr:uid="{8FB2B27C-633B-4459-AEAF-9158D7A7B40D}">
      <text>
        <r>
          <rPr>
            <sz val="9"/>
            <color indexed="81"/>
            <rFont val="Tahoma"/>
            <family val="2"/>
          </rPr>
          <t>ROBERT WYLEBY_x000D_
http://yeinfo.com/family/I09066552.html_x000D_
https://www.google.com/search?q=ROBERT+WYLEBY+1295+1323+EMMA_x000D_
.born: 1295    -          Northamptonshire county England_x000D_
.died: 1323    -1385     ?England, age:28y 0m 0d, _x000D_
.bapt: 1785GE_x000D_
.will: 2004MO_x000D_
.obit: 1890OH_x000D_
.bury: 1850IL _x000D_
.wpbt: 1826PA_x000D_
.anc#:ancestor_x000D_
citiz:foreign_x000D_
#spos:1_x000D_
#srcs:2_x000D_
#comment:0_x000D_
#events:1_x000D_
#kids:1_x000D_
lived:ENNORTA_x000D_
issue:Born before Parents Married_x000D_
.recs:Birth,Marriage,Death_x000D_
.imm?:no_x000D_
..Spo:EMMA WYLEBY</t>
        </r>
      </text>
    </comment>
    <comment ref="Z3114" authorId="0" shapeId="0" xr:uid="{D9890B04-ABA4-4309-9D1A-8DA39A64A8F1}">
      <text>
        <r>
          <rPr>
            <sz val="9"/>
            <color indexed="81"/>
            <rFont val="Tahoma"/>
            <family val="2"/>
          </rPr>
          <t>Mrs. JOAN WYLEBY_x000D_
http://yeinfo.com/family/I09066605.html_x000D_
https://www.google.com/search?q=JOAN+WYLEBY+1279+1299+WYLEBY_x000D_
.born:?1279    -         ?Northamptonshire county England_x000D_
.died: 1299    -1369     ?England, age:20y 0m 0d, _x000D_
.bapt: 1785GE_x000D_
.will: 2004MO_x000D_
.obit: 1890OH_x000D_
.bury: 1850IL _x000D_
.wpbt: 1826PA_x000D_
.anc#:ancestor_x000D_
citiz:foreign_x000D_
#spos:1_x000D_
#srcs:2_x000D_
#comment:0_x000D_
#events:1_x000D_
#kids:1_x000D_
lived:ENNORTAWILBY_x000D_
issue:_x000D_
.recs:Birth,Marriage,Death_x000D_
.imm?:no_x000D_
..Spo:JOHN WYLEBY</t>
        </r>
      </text>
    </comment>
    <comment ref="X3116" authorId="0" shapeId="0" xr:uid="{AEF5444E-AF66-4D81-885C-486F0450ECDC}">
      <text>
        <r>
          <rPr>
            <sz val="9"/>
            <color indexed="81"/>
            <rFont val="Tahoma"/>
            <family val="2"/>
          </rPr>
          <t>ALICE\ALIX WYLEBY_x000D_
http://yeinfo.com/family/I09066501.html_x000D_
https://www.google.com/search?q=ALICE\ALIX+WYLEBY+1323+1351+DRAKELOWE_x000D_
.born:?1323    -          Northamptonshire county England_x000D_
.died: 1351    -1413      England, age:28y 0m 0d, _x000D_
.bapt: 1785GE_x000D_
.will: 2004MO_x000D_
.obit: 1890OH_x000D_
.bury: 1850IL _x000D_
.wpbt: 1826PA_x000D_
.anc#:ancestor_x000D_
citiz:foreign_x000D_
#spos:1_x000D_
#srcs:2_x000D_
#comment:0_x000D_
#events:1_x000D_
#kids:1_x000D_
lived:ENNORTA_x000D_
issue:_x000D_
.recs:Birth,Marriage,Death_x000D_
.imm?:no_x000D_
..Spo:THOMAS DRAKELOWE</t>
        </r>
      </text>
    </comment>
    <comment ref="Y3118" authorId="0" shapeId="0" xr:uid="{55CF292B-913B-442B-AEB1-B0BB639319D9}">
      <text>
        <r>
          <rPr>
            <sz val="9"/>
            <color indexed="81"/>
            <rFont val="Tahoma"/>
            <family val="2"/>
          </rPr>
          <t>Mrs. EMMA WYLEBY_x000D_
http://yeinfo.com/family/I09066553.html_x000D_
https://www.google.com/search?q=EMMA+WYLEBY+1298+1388+WYLEBY_x000D_
.born: 1298    -          England_x000D_
.died: 1388    -          England, age:90y 0m 0d, _x000D_
.bapt: 1785GE_x000D_
.will: 2004MO_x000D_
.obit: 1890OH_x000D_
.bury: 1850IL _x000D_
.wpbt: 1826PA_x000D_
.anc#:ancestor_x000D_
citiz:foreign_x000D_
#spos:1_x000D_
#srcs:2_x000D_
#comment:0_x000D_
#events:1_x000D_
#kids:1_x000D_
lived:EN_x000D_
issue:_x000D_
.recs:Birth,Marriage,Death_x000D_
.imm?:no_x000D_
..Spo:ROBERT WYLEBY</t>
        </r>
      </text>
    </comment>
    <comment ref="V3120" authorId="0" shapeId="0" xr:uid="{6413B69B-DAD1-4E08-A45F-425849CF0260}">
      <text>
        <r>
          <rPr>
            <sz val="9"/>
            <color indexed="81"/>
            <rFont val="Tahoma"/>
            <family val="2"/>
          </rPr>
          <t>ELEANOR DRAKELOWE_x000D_
http://yeinfo.com/family/I09066174.html_x000D_
https://www.google.com/search?q=ELEANOR+DRAKELOWE+1374+1454+VAUX+Thomas_x000D_
.born: 1374    -          Wilby (Northamptonshire) England_x000D_
.died: 1454    -          Northamptonshire county England, age:80y 0m 0d, _x000D_
.bapt: 1785GE_x000D_
.will: 2004MO_x000D_
.obit: 1890OH_x000D_
.bury: 1850IL _x000D_
.wpbt: 1826PA_x000D_
.anc#:ancestor_x000D_
citiz:foreign_x000D_
#spos:2_x000D_
#srcs:2_x000D_
#comment:0_x000D_
#events:2_x000D_
#kids:4_x000D_
lived:ENNORTAWILBY_x000D_
issue:_x000D_
.recs:Birth,Marriage,Death_x000D_
.imm?:no_x000D_
..Spo:WILLIAM VAUX</t>
        </r>
      </text>
    </comment>
    <comment ref="X3122" authorId="0" shapeId="0" xr:uid="{9B6D2900-C714-4723-899E-74B86C7E7428}">
      <text>
        <r>
          <rPr>
            <sz val="9"/>
            <color indexed="81"/>
            <rFont val="Tahoma"/>
            <family val="2"/>
          </rPr>
          <t>PETER SALFORD_x000D_
http://yeinfo.com/family/I09066502.html_x000D_
https://www.google.com/search?q=PETER+SALFORD+1313+1375+JOAN_x000D_
.born: 1313    -          Welby (Leicestershire) England_x000D_
.died: 1375    -          England, age:62y 0m 0d, _x000D_
.bapt: 1785GE_x000D_
.will: 2004MO_x000D_
.obit: 1890OH_x000D_
.bury: 1850IL _x000D_
.wpbt: 1826PA_x000D_
.anc#:ancestor_x000D_
citiz:foreign_x000D_
#spos:1_x000D_
#srcs:2_x000D_
#comment:0_x000D_
#events:1_x000D_
#kids:1_x000D_
lived:ENLEICEWELBY_x000D_
issue:_x000D_
.recs:Birth,Marriage,Death_x000D_
.imm?:no_x000D_
..Spo:JOAN SALFORD</t>
        </r>
      </text>
    </comment>
    <comment ref="W3124" authorId="0" shapeId="0" xr:uid="{9B03E6C8-EE60-4DFE-99B3-938ECCFB1576}">
      <text>
        <r>
          <rPr>
            <sz val="9"/>
            <color indexed="81"/>
            <rFont val="Tahoma"/>
            <family val="2"/>
          </rPr>
          <t>ANKARET SALFORD_x000D_
http://yeinfo.com/family/I09066326.html_x000D_
https://www.google.com/search?q=ANKARET+SALFORD+1356+1380+DRAKELOWE_x000D_
.born: 1356    -          Welby (Leicestershire) England_x000D_
.died: 1380    -          England, age:24y 0m 0d, _x000D_
.bapt: 1785GE_x000D_
.will: 2004MO_x000D_
.obit: 1890OH_x000D_
.bury: 1850IL _x000D_
.wpbt: 1826PA_x000D_
.anc#:ancestor_x000D_
citiz:foreign_x000D_
#spos:1_x000D_
#srcs:2_x000D_
#comment:0_x000D_
#events:1_x000D_
#kids:1_x000D_
lived:ENLEICEWELBY_x000D_
issue:_x000D_
.recs:Birth,Marriage,Death_x000D_
.imm?:no_x000D_
..Spo:THOMAS DRAKELOWE</t>
        </r>
      </text>
    </comment>
    <comment ref="X3126" authorId="0" shapeId="0" xr:uid="{BA7AE8F5-9AF8-48AC-9D58-069C7D1879EB}">
      <text>
        <r>
          <rPr>
            <sz val="9"/>
            <color indexed="81"/>
            <rFont val="Tahoma"/>
            <family val="2"/>
          </rPr>
          <t>Mrs. JOAN SALFORD_x000D_
http://yeinfo.com/family/I09066503.html_x000D_
https://www.google.com/search?q=JOAN+SALFORD+1320+1356+SALFORD_x000D_
.born:?1320    -         ?England_x000D_
.died: 1356    -1410     ?England, age:36y 0m 0d, _x000D_
.bapt: 1785GE_x000D_
.will: 2004MO_x000D_
.obit: 1890OH_x000D_
.bury: 1850IL _x000D_
.wpbt: 1826PA_x000D_
.anc#:ancestor_x000D_
citiz:foreign_x000D_
#spos:1_x000D_
#srcs:2_x000D_
#comment:0_x000D_
#events:1_x000D_
#kids:1_x000D_
lived:?EN_x000D_
issue:_x000D_
.recs:Birth,Marriage,Death_x000D_
.imm?:no_x000D_
..Spo:PETER SALFORD</t>
        </r>
      </text>
    </comment>
    <comment ref="S3128" authorId="0" shapeId="0" xr:uid="{C5ED013D-A257-41C8-97C1-5AA2D437CC88}">
      <text>
        <r>
          <rPr>
            <sz val="9"/>
            <color indexed="81"/>
            <rFont val="Tahoma"/>
            <family val="2"/>
          </rPr>
          <t>ROGER GIFFARD_x000D_
http://yeinfo.com/family/I09065692.html_x000D_
https://www.google.com/search?q=ROGER+GIFFARD+1463+1542+MARY+PAYNE_x000D_
.born: 14630123-          Middle Claydon (Buckinghamshire) England_x000D_
.died: 15420123-         ?England, age:79y 0m 0d, _x000D_
.bapt: 1785GE_x000D_
.will: 2004MO_x000D_
.obit: 1890OH_x000D_
.bury: 1850IL _x000D_
.wpbt: 1826PA_x000D_
.anc#:ancestor_x000D_
citiz:foreign_x000D_
#spos:1_x000D_
#srcs:2_x000D_
#comment:1_x000D_
#events:1_x000D_
#kids:1_x000D_
lived:ENBUCKEMIDDLEC_x000D_
issue:_x000D_
.recs:Birth,Marriage,Death_x000D_
.imm?:no_x000D_
..Spo:MARY PAYNE NANSIGLOS</t>
        </r>
      </text>
    </comment>
    <comment ref="W3130" authorId="0" shapeId="0" xr:uid="{7FDFAA3E-421C-490C-9005-9DCEBAB0A9CE}">
      <text>
        <r>
          <rPr>
            <sz val="9"/>
            <color indexed="81"/>
            <rFont val="Tahoma"/>
            <family val="2"/>
          </rPr>
          <t>JOHN WINSLOW_x000D_
http://yeinfo.com/family/I09066327.html_x000D_
https://www.google.com/search?q=JOHN+WINSLOW+1333+1372+MARY\MARIOTA_x000D_
.born: 1333    -          London (Middlesex) England_x000D_
.died: 1372    -1423      Hempstead (Essex) England, age:39y 0m 0d, _x000D_
.bapt: 1785GE_x000D_
.will: 2004MO_x000D_
.obit: 1890OH_x000D_
.bury: 1850IL _x000D_
.wpbt: 1826PA_x000D_
.anc#:ancestor_x000D_
citiz:foreign_x000D_
#spos:1_x000D_
#srcs:2_x000D_
#comment:1_x000D_
#events:1_x000D_
#kids:1_x000D_
lived:ENESSEXHEMPSTE,ENMIDDLLONDON_x000D_
issue:_x000D_
.recs:Birth,Marriage,Death_x000D_
.imm?:no_x000D_
..Spo:MARY\MARIOTA CROUCHMAN</t>
        </r>
      </text>
    </comment>
    <comment ref="V3132" authorId="0" shapeId="0" xr:uid="{99189AE6-2FA2-44E3-ACFB-DC6D006E4C48}">
      <text>
        <r>
          <rPr>
            <sz val="9"/>
            <color indexed="81"/>
            <rFont val="Tahoma"/>
            <family val="2"/>
          </rPr>
          <t>WILLIAM WINSLOW_x000D_
http://yeinfo.com/family/I09066175.html_x000D_
https://www.google.com/search?q=WILLIAM+WINSLOW+1372+1426+AGNES_x000D_
.born:c1372    -          England_x000D_
.died: 1426    -          , age:54y 0m 0d, _x000D_
.bapt: 1785GE_x000D_
.will: 2004MO_x000D_
.obit: 1890OH_x000D_
.bury: 1850IL _x000D_
.wpbt: 1826PA_x000D_
.anc#:ancestor_x000D_
citiz:foreign_x000D_
#spos:1_x000D_
#srcs:2_x000D_
#comment:0_x000D_
#events:1_x000D_
#kids:1_x000D_
lived:?ENOXFOS,ENESSEX_x000D_
issue:_x000D_
.recs:Birth,Marriage,Death_x000D_
.imm?:no_x000D_
..Spo:AGNES POORE</t>
        </r>
      </text>
    </comment>
    <comment ref="W3134" authorId="0" shapeId="0" xr:uid="{A65D7BBD-D7C8-4FC8-A04C-3F1E78E9C920}">
      <text>
        <r>
          <rPr>
            <sz val="9"/>
            <color indexed="81"/>
            <rFont val="Tahoma"/>
            <family val="2"/>
          </rPr>
          <t>MARY\MARIOTA CROUCHMAN_x000D_
http://yeinfo.com/family/I09066328.html_x000D_
https://www.google.com/search?q=MARY\MARIOTA+CROUCHMAN+1357+1404+WINSLOW_x000D_
.born:c1357    -          Hempstead (Essex) England_x000D_
.died: 1404    -          Bourton (Oxfordshire) England, age:47y 0m 0d, _x000D_
.bapt: 1785GE_x000D_
.will: 2004MO_x000D_
.obit: 1890OH_x000D_
.bury: 1850IL _x000D_
.wpbt: 1826PA_x000D_
.anc#:ancestor_x000D_
citiz:foreign_x000D_
#spos:1_x000D_
#srcs:1_x000D_
#comment:0_x000D_
#events:1_x000D_
#kids:1_x000D_
lived:ENESSEXHEMPSTE,ENOXFOSBOURTON_x000D_
issue:Died after Age 100_x000D_
.recs:Birth,Marriage,Death_x000D_
.imm?:no_x000D_
..Spo:JOHN WINSLOW</t>
        </r>
      </text>
    </comment>
    <comment ref="U3136" authorId="0" shapeId="0" xr:uid="{0F8B3E5E-03E9-48C7-9138-1E61C7069994}">
      <text>
        <r>
          <rPr>
            <sz val="9"/>
            <color indexed="81"/>
            <rFont val="Tahoma"/>
            <family val="2"/>
          </rPr>
          <t>THOMAS WILLIAM WINSLOW_x000D_
http://yeinfo.com/family/I09065987.html_x000D_
https://www.google.com/search?q=THOMAS+WILLIAM+WINSLOW+1416+1463+AGNES_x000D_
.born: 1416    -          England_x000D_
.died:c14630331-          , age:47y 2m 30d, _x000D_
.bapt: 1785GE_x000D_
.will: 2004MO_x000D_
.obit: 1890OH_x000D_
.bury: 1850IL _x000D_
.wpbt: 1826PA_x000D_
.anc#:ancestor_x000D_
citiz:foreign_x000D_
#spos:1_x000D_
#srcs:2_x000D_
#comment:0_x000D_
#events:1_x000D_
#kids:1_x000D_
lived:EN_x000D_
issue:_x000D_
.recs:Birth,Marriage,Death_x000D_
.imm?:no_x000D_
..Spo:AGNES THROCKMORTON</t>
        </r>
      </text>
    </comment>
    <comment ref="W3138" authorId="0" shapeId="0" xr:uid="{B1128408-60DF-4452-9D32-81D87007DAAD}">
      <text>
        <r>
          <rPr>
            <sz val="9"/>
            <color indexed="81"/>
            <rFont val="Tahoma"/>
            <family val="2"/>
          </rPr>
          <t>THOMAS POORE_x000D_
http://yeinfo.com/family/I09066329.html_x000D_
https://www.google.com/search?q=THOMAS+POORE+1346+1379+JOAN_x000D_
.born:c1346    -          England_x000D_
.died: 1379    -1436      England, age:33y 0m 0d, _x000D_
.bapt: 1785GE_x000D_
.will: 2004MO_x000D_
.obit: 1890OH_x000D_
.bury: 1850IL _x000D_
.wpbt: 1826PA_x000D_
.anc#:ancestor_x000D_
citiz:foreign_x000D_
#spos:1_x000D_
#srcs:2_x000D_
#comment:1_x000D_
#events:1_x000D_
#kids:1_x000D_
lived:?ENOXFOS,EN_x000D_
issue:_x000D_
.recs:Birth,Marriage,Death_x000D_
.imm?:no_x000D_
..Spo:JOAN BURTON</t>
        </r>
      </text>
    </comment>
    <comment ref="V3140" authorId="0" shapeId="0" xr:uid="{AE1EA2CD-6E7F-4A46-AC27-7A9492EFBB16}">
      <text>
        <r>
          <rPr>
            <sz val="9"/>
            <color indexed="81"/>
            <rFont val="Tahoma"/>
            <family val="2"/>
          </rPr>
          <t>AGNES POORE_x000D_
http://yeinfo.com/family/I09066176.html_x000D_
https://www.google.com/search?q=AGNES+POORE+1379+1448+WINSLOW_x000D_
.born: 1379    -          England_x000D_
.died: 1448    -          , age:69y 0m 0d, _x000D_
.bapt: 1785GE_x000D_
.will: 2004MO_x000D_
.obit: 1890OH_x000D_
.bury: 1850IL _x000D_
.wpbt: 1826PA_x000D_
.anc#:ancestor_x000D_
citiz:foreign_x000D_
#spos:1_x000D_
#srcs:2_x000D_
#comment:0_x000D_
#events:1_x000D_
#kids:1_x000D_
lived:?ENOXFOS,EN_x000D_
issue:_x000D_
.recs:Birth,Marriage,Death_x000D_
.imm?:no_x000D_
..Spo:WILLIAM WINSLOW</t>
        </r>
      </text>
    </comment>
    <comment ref="W3142" authorId="0" shapeId="0" xr:uid="{85A55015-DD1C-4C2E-BD4C-838424A7BC20}">
      <text>
        <r>
          <rPr>
            <sz val="9"/>
            <color indexed="81"/>
            <rFont val="Tahoma"/>
            <family val="2"/>
          </rPr>
          <t>JOAN BURTON_x000D_
http://yeinfo.com/family/I09066330.html_x000D_
https://www.google.com/search?q=JOAN+BURTON+1350+1379+POORE_x000D_
.born:?1350    -         ?England_x000D_
.died: 1379    -1440      England, age:29y 0m 0d, _x000D_
.bapt: 1785GE_x000D_
.will: 2004MO_x000D_
.obit: 1890OH_x000D_
.bury: 1850IL _x000D_
.wpbt: 1826PA_x000D_
.anc#:ancestor_x000D_
citiz:foreign_x000D_
#spos:1_x000D_
#srcs:2_x000D_
#comment:0_x000D_
#events:1_x000D_
#kids:1_x000D_
lived:?ENOXFOS_x000D_
issue:_x000D_
.recs:Birth,Marriage,Death_x000D_
.imm?:no_x000D_
..Spo:THOMAS POORE</t>
        </r>
      </text>
    </comment>
    <comment ref="T3144" authorId="0" shapeId="0" xr:uid="{B99574E4-0D29-423D-A16D-CFF0A5407939}">
      <text>
        <r>
          <rPr>
            <sz val="9"/>
            <color indexed="81"/>
            <rFont val="Tahoma"/>
            <family val="2"/>
          </rPr>
          <t>AGNES WINSLOW_x000D_
http://yeinfo.com/family/I09065824.html_x000D_
https://www.google.com/search?q=AGNES+WINSLOW+1439+1506+GIFFARD_x000D_
.born: 1439    -          Begbrooke (Oxfordshire) England_x000D_
.died: 1506    -          Twyford (Buckinghamshire) England, age:67y 0m 0d, _x000D_
.bapt: 1785GE_x000D_
.will: 2004MO_x000D_
.obit: 1890OH_x000D_
.bury: 1850IL _x000D_
.wpbt: 1826PA_x000D_
.anc#:ancestor_x000D_
citiz:foreign_x000D_
#spos:1_x000D_
#srcs:1_x000D_
#comment:0_x000D_
#events:1_x000D_
#kids:1_x000D_
lived:ENBUCKETWYFORD,ENOXFOSBEGBROO_x000D_
issue:_x000D_
.recs:Birth,Marriage,Death_x000D_
.imm?:no_x000D_
..Spo:JOHN GIFFARD</t>
        </r>
      </text>
    </comment>
    <comment ref="V3146" authorId="0" shapeId="0" xr:uid="{A8A9CEFB-C86A-4FF1-9A10-D899B640DB1F}">
      <text>
        <r>
          <rPr>
            <sz val="9"/>
            <color indexed="81"/>
            <rFont val="Tahoma"/>
            <family val="2"/>
          </rPr>
          <t>JOHN THROCKMORTON_x000D_
http://yeinfo.com/family/I09066177.html_x000D_
https://www.google.com/search?q=JOHN+THROCKMORTON+1382+1420+ELEANOR+BELERS_x000D_
.born:c1382    -          Fladbury (Worcestershire) England_x000D_
.died: 1420    -1472      Coughton (Warwickshire) England, age:38y 0m 0d, _x000D_
.bapt: 1785GE_x000D_
.will: 2004MO_x000D_
.obit: 1890OH_x000D_
.bury: 1850IL _x000D_
.wpbt: 1826PA_x000D_
.anc#:ancestor_x000D_
citiz:foreign_x000D_
#spos:1_x000D_
#srcs:1_x000D_
#comment:1_x000D_
#events:1_x000D_
#kids:2_x000D_
lived:ENWARWECOUGHTO,ENWORCSFLADBUR_x000D_
issue:Died after Age 100_x000D_
.recs:Birth,Marriage,Death_x000D_
.imm?:no_x000D_
..Spo:ELEANOR BELERS SPINE</t>
        </r>
      </text>
    </comment>
    <comment ref="U3148" authorId="0" shapeId="0" xr:uid="{F5A7C207-FF83-4D22-8231-EE1114C4DAF6}">
      <text>
        <r>
          <rPr>
            <sz val="9"/>
            <color indexed="81"/>
            <rFont val="Tahoma"/>
            <family val="2"/>
          </rPr>
          <t>AGNES THROCKMORTON_x000D_
http://yeinfo.com/family/I09065988.html_x000D_
https://www.google.com/search?q=AGNES+THROCKMORTON+1420+1463+WINSLOW_x000D_
.born:c1420    -          Coughton (Warwickshire) England_x000D_
.died: 1463    -          Bourton (Oxfordshire) England, age:43y 0m 0d, _x000D_
.bapt: 1785GE_x000D_
.will: 2004MO_x000D_
.obit: 1890OH_x000D_
.bury: 1850IL _x000D_
.wpbt: 1826PA_x000D_
.anc#:ancestor_x000D_
citiz:foreign_x000D_
#spos:1_x000D_
#srcs:1_x000D_
#comment:0_x000D_
#events:1_x000D_
#kids:1_x000D_
lived:ENOXFOSBOURTON,ENWARWECOUGHTO_x000D_
issue:_x000D_
.recs:Birth,Marriage,Death_x000D_
.imm?:no_x000D_
..Spo:THOMAS WILLIAM WINSLOW</t>
        </r>
      </text>
    </comment>
    <comment ref="V3150" authorId="0" shapeId="0" xr:uid="{110A099D-1B65-435C-9B6D-71CE4929729B}">
      <text>
        <r>
          <rPr>
            <sz val="9"/>
            <color indexed="81"/>
            <rFont val="Tahoma"/>
            <family val="2"/>
          </rPr>
          <t>ELEANOR BELERS SPINE_x000D_
http://yeinfo.com/family/I09066178.html_x000D_
https://www.google.com/search?q=ELEANOR+BELERS+SPINE+1380+1467+THROCKMORTON_x000D_
.born: 1380    -         ?Warwickshire county England_x000D_
.died: 1467    -         ?Warwickshire county England, age:87y 0m 0d, _x000D_
.bapt: 1785GE_x000D_
.will: 2004MO_x000D_
.obit: 1890OH_x000D_
.bury: 1850IL _x000D_
.wpbt: 1826PA_x000D_
.anc#:ancestor_x000D_
citiz:foreign_x000D_
#spos:1_x000D_
#srcs:1_x000D_
#comment:1_x000D_
#events:1_x000D_
#kids:2_x000D_
lived:?ENWARWE_x000D_
issue:Died after Age 100_x000D_
.recs:Birth,Marriage,Death_x000D_
.imm?:no_x000D_
..Spo:JOHN THROCKMORTON</t>
        </r>
      </text>
    </comment>
    <comment ref="R3152" authorId="0" shapeId="0" xr:uid="{57E4A0A3-8871-4284-A542-6F17458814C5}">
      <text>
        <r>
          <rPr>
            <sz val="9"/>
            <color indexed="81"/>
            <rFont val="Tahoma"/>
            <family val="2"/>
          </rPr>
          <t>NICHOLAS GIFFARD_x000D_
http://yeinfo.com/family/I09065559.html_x000D_
https://www.google.com/search?q=NICHOLAS+GIFFARD+1508+1546+AGNES+ANNE_x000D_
.born: 1508    -          Hillesdon (Buckinghamshire) England_x000D_
.died: 15460319-          Duston (Northamptonshire) England, age:38y 2m 18d, _x000D_
.bapt: 1785GE_x000D_
.will: 2004MO_x000D_
.obit: 1890OH_x000D_
.bury: 1850IL _x000D_
.wpbt: 1826PA_x000D_
.anc#:ancestor_x000D_
citiz:foreign_x000D_
#spos:1_x000D_
#srcs:1_x000D_
#comment:0_x000D_
#events:1_x000D_
#kids:1_x000D_
lived:ENBUCKEHILLESD,ENNORTADUSTON_x000D_
issue:_x000D_
.recs:Birth,Marriage,Death_x000D_
.imm?:no_x000D_
..Spo:AGNES ANNE MASTER</t>
        </r>
      </text>
    </comment>
    <comment ref="V3154" authorId="0" shapeId="0" xr:uid="{A96B34F6-8955-4009-95FB-F2353FFAD7E8}">
      <text>
        <r>
          <rPr>
            <sz val="9"/>
            <color indexed="81"/>
            <rFont val="Tahoma"/>
            <family val="2"/>
          </rPr>
          <t>WILLIAM NANSIGLOS_x000D_
http://yeinfo.com/family/I09066179.html_x000D_
https://www.google.com/search?q=WILLIAM+NANSIGLOS+1390+1420+MARY_x000D_
.born: 1390    -          England_x000D_
.died: 1420    -1480     ?England, age:30y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..Spo:MARY NANSIGLOS</t>
        </r>
      </text>
    </comment>
    <comment ref="U3156" authorId="0" shapeId="0" xr:uid="{A2B0ACB8-C8C8-4FDC-8471-614F0619B8BD}">
      <text>
        <r>
          <rPr>
            <sz val="9"/>
            <color indexed="81"/>
            <rFont val="Tahoma"/>
            <family val="2"/>
          </rPr>
          <t>THOMAS NANSIGLOS_x000D_
http://yeinfo.com/family/I09065989.html_x000D_
https://www.google.com/search?q=THOMAS+NANSIGLOS+1420+1443+MARY\MARGARET_x000D_
.born:c1420    -          Cornwall county England_x000D_
.died: 1443    -          England, age:23y 0m 0d, _x000D_
.bapt: 1785GE_x000D_
.will: 2004MO_x000D_
.obit: 1890OH_x000D_
.bury: 1850IL _x000D_
.wpbt: 1826PA_x000D_
.anc#:ancestor_x000D_
citiz:foreign_x000D_
#spos:1_x000D_
#srcs:1_x000D_
#comment:0_x000D_
#events:1_x000D_
#kids:1_x000D_
lived:ENCORNW_x000D_
issue:_x000D_
.recs:Birth,Marriage,Death_x000D_
.imm?:no_x000D_
..Spo:MARY\MARGARET BIRKS</t>
        </r>
      </text>
    </comment>
    <comment ref="V3158" authorId="0" shapeId="0" xr:uid="{082E75A1-EF3A-4922-ABE5-9CD8217E4C9E}">
      <text>
        <r>
          <rPr>
            <sz val="9"/>
            <color indexed="81"/>
            <rFont val="Tahoma"/>
            <family val="2"/>
          </rPr>
          <t>Mrs. MARY NANSIGLOS_x000D_
http://yeinfo.com/family/I09066180.html_x000D_
https://www.google.com/search?q=MARY+NANSIGLOS+1395+1420+NANSIGLOS_x000D_
.born:?1395    -          _x000D_
.died: 1420    -1485     ?England, age:25y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..Spo:WILLIAM NANSIGLOS</t>
        </r>
      </text>
    </comment>
    <comment ref="T3160" authorId="0" shapeId="0" xr:uid="{11080588-D662-4D98-B7B1-347BF1FBF6C9}">
      <text>
        <r>
          <rPr>
            <sz val="9"/>
            <color indexed="81"/>
            <rFont val="Tahoma"/>
            <family val="2"/>
          </rPr>
          <t>WILLIAM NANSIGLOS_x000D_
http://yeinfo.com/family/I09065825.html_x000D_
https://www.google.com/search?q=WILLIAM+NANSIGLOS+1443+1477+LUCY_x000D_
.born:c1443    -          London (Middlesex) England_x000D_
.died: 1477    -          Shalford (Essex) England, age:34y 0m 0d, _x000D_
.bapt: 1785GE_x000D_
.will: 2004MO_x000D_
.obit: 1890OH_x000D_
.bury: 1850IL _x000D_
.wpbt: 1826PA_x000D_
.anc#:ancestor_x000D_
citiz:foreign_x000D_
#spos:1_x000D_
#srcs:1_x000D_
#comment:0_x000D_
#events:1_x000D_
#kids:1_x000D_
lived:ENESSEXSHALFOR,ENMIDDLLONDON_x000D_
issue:_x000D_
.recs:Birth,Marriage,Death_x000D_
.imm?:no_x000D_
..Spo:LUCY BUCKHORN</t>
        </r>
      </text>
    </comment>
    <comment ref="U3162" authorId="0" shapeId="0" xr:uid="{5E79AD42-071E-41ED-A80A-2D89CF461DC8}">
      <text>
        <r>
          <rPr>
            <sz val="9"/>
            <color indexed="81"/>
            <rFont val="Tahoma"/>
            <family val="2"/>
          </rPr>
          <t>MARY\MARGARET BIRKS_x000D_
http://yeinfo.com/family/I09065990.html_x000D_
https://www.google.com/search?q=MARY\MARGARET+BIRKS+1422+1443+NANSIGLOS_x000D_
.born:c1422    -          London (Middlesex) England_x000D_
.died: 1443    -1512     ?England, age:21y 0m 0d, _x000D_
.bapt: 1785GE_x000D_
.will: 2004MO_x000D_
.obit: 1890OH_x000D_
.bury: 1850IL _x000D_
.wpbt: 1826PA_x000D_
.anc#:ancestor_x000D_
citiz:foreign_x000D_
#spos:1_x000D_
#srcs:1_x000D_
#comment:0_x000D_
#events:1_x000D_
#kids:1_x000D_
lived:ENMIDDLLONDON_x000D_
issue:_x000D_
.recs:Birth,Marriage,Death_x000D_
.imm?:no_x000D_
..Spo:THOMAS NANSIGLOS</t>
        </r>
      </text>
    </comment>
    <comment ref="S3164" authorId="0" shapeId="0" xr:uid="{8D301E46-B648-4C1D-A5A9-E53B3CE82469}">
      <text>
        <r>
          <rPr>
            <sz val="9"/>
            <color indexed="81"/>
            <rFont val="Tahoma"/>
            <family val="2"/>
          </rPr>
          <t>MARY PAYNE NANSIGLOS_x000D_
http://yeinfo.com/family/I09065693.html_x000D_
https://www.google.com/search?q=MARY+PAYNE+NANSIGLOS+1466+1542+GIFFARD_x000D_
.born:c1466    -          Middle Claydon (Buckinghamshire) England_x000D_
.died: 1542    -          Middle Claydon (Buckinghamshire) England, age:76y 0m 0d, _x000D_
.bapt: 1785GE_x000D_
.will: 2004MO_x000D_
.obit: 1890OH_x000D_
.bury: 1850IL _x000D_
.wpbt: 1826PA_x000D_
.anc#:ancestor_x000D_
citiz:foreign_x000D_
#spos:1_x000D_
#srcs:2_x000D_
#comment:0_x000D_
#events:1_x000D_
#kids:1_x000D_
lived:ENBUCKEMIDDLEC_x000D_
issue:_x000D_
.recs:Birth,Marriage,Death_x000D_
.imm?:no_x000D_
..Spo:ROGER GIFFARD</t>
        </r>
      </text>
    </comment>
    <comment ref="T3166" authorId="0" shapeId="0" xr:uid="{E60CA730-AD39-454B-B3D5-5009CBDEBDC7}">
      <text>
        <r>
          <rPr>
            <sz val="9"/>
            <color indexed="81"/>
            <rFont val="Tahoma"/>
            <family val="2"/>
          </rPr>
          <t>LUCY BUCKHORN_x000D_
http://yeinfo.com/family/I09065826.html_x000D_
https://www.google.com/search?q=LUCY+BUCKHORN+1446+1466+NANSIGLOS_x000D_
.born:c1446    -          London (Middlesex) England_x000D_
.died: 1466    -1536      England, age:20y 0m 0d, _x000D_
.bapt: 1785GE_x000D_
.will: 2004MO_x000D_
.obit: 1890OH_x000D_
.bury: 1850IL _x000D_
.wpbt: 1826PA_x000D_
.anc#:ancestor_x000D_
citiz:foreign_x000D_
#spos:1_x000D_
#srcs:1_x000D_
#comment:0_x000D_
#events:1_x000D_
#kids:1_x000D_
lived:ENMIDDLLONDON_x000D_
issue:_x000D_
.recs:Birth,Marriage,Death_x000D_
.imm?:no_x000D_
..Spo:WILLIAM NANSIGLOS</t>
        </r>
      </text>
    </comment>
    <comment ref="Q3168" authorId="0" shapeId="0" xr:uid="{4E9E03AA-44CA-4264-A535-38DD2E8FE526}">
      <text>
        <r>
          <rPr>
            <sz val="9"/>
            <color indexed="81"/>
            <rFont val="Tahoma"/>
            <family val="2"/>
          </rPr>
          <t>MARGARET GIFFARD_x000D_
http://yeinfo.com/family/I09043381.html_x000D_
https://www.google.com/search?q=MARGARET+GIFFARD+1532+1575+SARGENT_x000D_
.born:c1532    -          Saint James (Northamptonshire) England_x000D_
.died: 1575    -1622      Finedon (Northamptonshire) England, age:43y 0m 0d, _x000D_
.bapt: 1785GE_x000D_
.will: 2004MO_x000D_
.obit: 1890OH_x000D_
.bury: 1850IL _x000D_
.wpbt: 1826PA_x000D_
.anc#:ancestor_x000D_
citiz:foreign_x000D_
#spos:1_x000D_
#srcs:1_x000D_
#comment:0_x000D_
#events:1_x000D_
#kids:1_x000D_
lived:ENNORTAFINEDON,ENNORTASTJAMES_x000D_
issue:_x000D_
.recs:Birth,Marriage,Death_x000D_
.imm?:no_x000D_
..Spo:HUGH SARGENT</t>
        </r>
      </text>
    </comment>
    <comment ref="U3170" authorId="0" shapeId="0" xr:uid="{EA943E04-956F-440D-8D9F-82C00D06ABCF}">
      <text>
        <r>
          <rPr>
            <sz val="9"/>
            <color indexed="81"/>
            <rFont val="Tahoma"/>
            <family val="2"/>
          </rPr>
          <t>THOMAS MASTER_x000D_
http://yeinfo.com/family/I09065991.html_x000D_
https://www.google.com/search?q=THOMAS+MASTER+1420+1442+DENYSE_x000D_
.born: 1420    -          England_x000D_
.died: 1442    -1510     ?England, age:22y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..Spo:DENYSE MASTER</t>
        </r>
      </text>
    </comment>
    <comment ref="T3172" authorId="0" shapeId="0" xr:uid="{E0E99186-539A-4EBF-9A16-85A5BFC678BB}">
      <text>
        <r>
          <rPr>
            <sz val="9"/>
            <color indexed="81"/>
            <rFont val="Tahoma"/>
            <family val="2"/>
          </rPr>
          <t>THOMAS MASTER_x000D_
http://yeinfo.com/family/I09065827.html_x000D_
https://www.google.com/search?q=THOMAS+MASTER+1442+1509+AGNES_x000D_
.born:c1442    -          Wye (Kent) England_x000D_
.died: 15090421-          Wye (Kent) England, age:67y 3m 20d, _x000D_
.bapt: 1785GE_x000D_
.will: 2004MO_x000D_
.obit: 1890OH_x000D_
.bury: 1850IL _x000D_
.wpbt: 1826PA_x000D_
.anc#:ancestor_x000D_
citiz:foreign_x000D_
#spos:1_x000D_
#srcs:1_x000D_
#comment:0_x000D_
#events:1_x000D_
#kids:1_x000D_
lived:ENKENT WYE_x000D_
issue:_x000D_
.recs:Birth,Marriage,Death_x000D_
.imm?:no_x000D_
..Spo:AGNES MASTER</t>
        </r>
      </text>
    </comment>
    <comment ref="U3174" authorId="0" shapeId="0" xr:uid="{BFA6DC53-7791-43E3-8AFC-B66F36E2E41B}">
      <text>
        <r>
          <rPr>
            <sz val="9"/>
            <color indexed="81"/>
            <rFont val="Tahoma"/>
            <family val="2"/>
          </rPr>
          <t>Mrs. DENYSE MASTER_x000D_
http://yeinfo.com/family/I09065992.html_x000D_
https://www.google.com/search?q=DENYSE+MASTER+1420+1442+MASTER_x000D_
.born: 1420    -          England_x000D_
.died: 1442    -1510     ?England, age:22y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..Spo:THOMAS MASTER</t>
        </r>
      </text>
    </comment>
    <comment ref="S3176" authorId="0" shapeId="0" xr:uid="{6FEB940B-2256-4707-9561-C65D7540F325}">
      <text>
        <r>
          <rPr>
            <sz val="9"/>
            <color indexed="81"/>
            <rFont val="Tahoma"/>
            <family val="2"/>
          </rPr>
          <t>JOHN MASTER_x000D_
http://yeinfo.com/family/I09065694.html_x000D_
https://www.google.com/search?q=JOHN+MASTER+1485+1558+ELIZABETH_x000D_
.born:c1485    -          _x000D_
.died: 15580901-          Sandwich (Kent) England, age:73y 8m 0d, _x000D_
.bapt: 1785GE_x000D_
.will: 2004MO_x000D_
.obit: 1890OH_x000D_
.bury: 1850IL _x000D_
.wpbt: 1826PA_x000D_
.anc#:ancestor_x000D_
citiz:foreign_x000D_
#spos:1_x000D_
#srcs:2_x000D_
#comment:0_x000D_
#events:1_x000D_
#kids:1_x000D_
lived:ENKENT SANDWIC_x000D_
issue:_x000D_
.recs:Birth,Marriage,Death_x000D_
.imm?:no_x000D_
..Spo:ELIZABETH PAYNE</t>
        </r>
      </text>
    </comment>
    <comment ref="T3178" authorId="0" shapeId="0" xr:uid="{95307B80-EBCC-4FBF-927A-A90621DA9A5A}">
      <text>
        <r>
          <rPr>
            <sz val="9"/>
            <color indexed="81"/>
            <rFont val="Tahoma"/>
            <family val="2"/>
          </rPr>
          <t>Mrs. AGNES MASTER_x000D_
http://yeinfo.com/family/I09065828.html_x000D_
https://www.google.com/search?q=AGNES+MASTER+1447+1517+MASTER_x000D_
.born:c1447    -          Wye (Kent) England_x000D_
.died: 1517    -          Wye (Kent) England, age:70y 0m 0d, _x000D_
.bapt: 1785GE_x000D_
.will: 2004MO_x000D_
.obit: 1890OH_x000D_
.bury: 1850IL _x000D_
.wpbt: 1826PA_x000D_
.anc#:ancestor_x000D_
citiz:foreign_x000D_
#spos:1_x000D_
#srcs:1_x000D_
#comment:0_x000D_
#events:1_x000D_
#kids:1_x000D_
lived:ENKENT WYE_x000D_
issue:_x000D_
.recs:Birth,Marriage,Death_x000D_
.imm?:no_x000D_
..Spo:THOMAS MASTER</t>
        </r>
      </text>
    </comment>
    <comment ref="R3180" authorId="0" shapeId="0" xr:uid="{685A94DF-37C9-49F1-834D-8448777AD8E6}">
      <text>
        <r>
          <rPr>
            <sz val="9"/>
            <color indexed="81"/>
            <rFont val="Tahoma"/>
            <family val="2"/>
          </rPr>
          <t>AGNES ANNE MASTER_x000D_
http://yeinfo.com/family/I09065560.html_x000D_
https://www.google.com/search?q=AGNES+ANNE+MASTER+1510+1581+GIFFARD_x000D_
.born: 1510    -          Sandwich (Kent) England_x000D_
.died: 15810818-          Duston (Northamptonshire) England, age:71y 7m 17d, _x000D_
.bapt: 1785GE_x000D_
.will: 2004MO_x000D_
.obit: 1890OH_x000D_
.bury: 1850IL _x000D_
.wpbt: 1826PA_x000D_
.anc#:ancestor_x000D_
citiz:foreign_x000D_
#spos:1_x000D_
#srcs:2_x000D_
#comment:0_x000D_
#events:1_x000D_
#kids:1_x000D_
lived:ENKENT SANDWIC,ENNORTADUSTON_x000D_
issue:_x000D_
.recs:Birth,Marriage,Death_x000D_
.imm?:no_x000D_
..Spo:NICHOLAS GIFFARD</t>
        </r>
      </text>
    </comment>
    <comment ref="Z3182" authorId="0" shapeId="0" xr:uid="{9AA60DA2-CDD9-4A46-B6F3-75F1F06929D4}">
      <text>
        <r>
          <rPr>
            <sz val="9"/>
            <color indexed="81"/>
            <rFont val="Tahoma"/>
            <family val="2"/>
          </rPr>
          <t>THOMAS PAYNE_x000D_
http://yeinfo.com/family/I09066606.html_x000D_
https://www.google.com/search?q=THOMAS+PAYNE+1245+1288+MARY+JANE_x000D_
.born: 1245    -          Market Bosworth (Leicestershire) England_x000D_
.died: 1288    -          Market Bosworth (Leicestershire) England, age:43y 0m 0d, _x000D_
.bapt: 1785GE_x000D_
.will: 2004MO_x000D_
.obit: 1890OH_x000D_
.bury: 1850IL _x000D_
.wpbt: 1826PA_x000D_
.anc#:ancestor_x000D_
citiz:foreign_x000D_
#spos:1_x000D_
#srcs:2_x000D_
#comment:1_x000D_
#events:1_x000D_
#kids:3_x000D_
lived:ENLEICEMARKETB_x000D_
issue:_x000D_
.recs:Birth,Marriage,Death_x000D_
.imm?:no_x000D_
..Spo:MARY JANE AVIS</t>
        </r>
      </text>
    </comment>
    <comment ref="Y3184" authorId="0" shapeId="0" xr:uid="{4E730E49-38BC-41F4-B5B8-7D233D59A480}">
      <text>
        <r>
          <rPr>
            <sz val="9"/>
            <color indexed="81"/>
            <rFont val="Tahoma"/>
            <family val="2"/>
          </rPr>
          <t>THOMAS PAYNE_x000D_
http://yeinfo.com/family/I09066554.html_x000D_
https://www.google.com/search?q=THOMAS+PAYNE+1285+1327+CATHERINE\ELIZABETH_x000D_
.born: 1285    -          Market Bosworth (Leicestershire) England_x000D_
.died: 1327    -1375      Market Bosworth (Leicestershire) England, age:42y 0m 0d, _x000D_
.bapt: 1785GE_x000D_
.will: 2004MO_x000D_
.obit: 1890OH_x000D_
.bury: 1850IL _x000D_
.wpbt: 1826PA_x000D_
.anc#:ancestor_x000D_
citiz:foreign_x000D_
#spos:1_x000D_
#srcs:2_x000D_
#comment:0_x000D_
#events:1_x000D_
#kids:1_x000D_
lived:ENLEICEMARKETB_x000D_
issue:_x000D_
.recs:Birth,Marriage,Death_x000D_
.imm?:no_x000D_
..Spo:CATHERINE\ELIZABETH ST.CLAIRE</t>
        </r>
      </text>
    </comment>
    <comment ref="Z3186" authorId="0" shapeId="0" xr:uid="{82AA0ACD-F41A-411B-B836-4AC02C776CDE}">
      <text>
        <r>
          <rPr>
            <sz val="9"/>
            <color indexed="81"/>
            <rFont val="Tahoma"/>
            <family val="2"/>
          </rPr>
          <t>MARY JANE AVIS_x000D_
http://yeinfo.com/family/I09066607.html_x000D_
https://www.google.com/search?q=MARY+JANE+AVIS+1248+1285+PAYNE_x000D_
.born: 1248    -          Market Bosworth (Leicestershire) England_x000D_
.died: 1285    -1338      Market Bosworth (Leicestershire) England, age:37y 0m 0d, _x000D_
.bapt: 1785GE_x000D_
.will: 2004MO_x000D_
.obit: 1890OH_x000D_
.bury: 1850IL _x000D_
.wpbt: 1826PA_x000D_
.anc#:ancestor_x000D_
citiz:foreign_x000D_
#spos:1_x000D_
#srcs:2_x000D_
#comment:0_x000D_
#events:1_x000D_
#kids:3_x000D_
lived:ENLEICEMARKETB_x000D_
issue:_x000D_
.recs:Birth,Marriage,Death_x000D_
.imm?:no_x000D_
..Spo:THOMAS PAYNE</t>
        </r>
      </text>
    </comment>
    <comment ref="X3188" authorId="0" shapeId="0" xr:uid="{B98206B8-2C37-45D4-BC0D-D4AD876D0F22}">
      <text>
        <r>
          <rPr>
            <sz val="9"/>
            <color indexed="81"/>
            <rFont val="Tahoma"/>
            <family val="2"/>
          </rPr>
          <t>THOMAS WILLIAM PAYNE_x000D_
http://yeinfo.com/family/I09066504.html_x000D_
https://www.google.com/search?q=THOMAS+WILLIAM+PAYNE+1327+1364+MARGARET_x000D_
.born: 1327    -          Market Bosworth (Leicestershire) England_x000D_
.died: 1364    -          Market Bosworth (Leicestershire) England, age:37y 0m 0d, _x000D_
.bapt: 1785GE_x000D_
.will: 2004MO_x000D_
.obit: 1890OH_x000D_
.bury: 1850IL _x000D_
.wpbt: 1826PA_x000D_
.anc#:ancestor_x000D_
citiz:foreign_x000D_
#spos:1_x000D_
#srcs:2_x000D_
#comment:0_x000D_
#events:1_x000D_
#kids:3_x000D_
lived:ENLEICEMARKETB_x000D_
issue:_x000D_
.recs:Birth,Marriage,Death_x000D_
.imm?:no_x000D_
..Spo:MARGARET PAYNE</t>
        </r>
      </text>
    </comment>
    <comment ref="Y3190" authorId="0" shapeId="0" xr:uid="{21D28BF5-EA14-4A54-8138-F1D2AAA1BC91}">
      <text>
        <r>
          <rPr>
            <sz val="9"/>
            <color indexed="81"/>
            <rFont val="Tahoma"/>
            <family val="2"/>
          </rPr>
          <t>CATHERINE\ELIZABETH ST.CLAIRE_x000D_
http://yeinfo.com/family/I09066555.html_x000D_
https://www.google.com/search?q=CATHERINE\ELIZABETH+ST.CLAIRE+1285+1327+PAYNE_x000D_
.born:c1285    -          Market Bosworth (Leicestershire) England_x000D_
.died: 1327    -1375      Market Bosworth (Leicestershire) England, age:42y 0m 0d, _x000D_
.bapt: 1785GE_x000D_
.will: 2004MO_x000D_
.obit: 1890OH_x000D_
.bury: 1850IL _x000D_
.wpbt: 1826PA_x000D_
.anc#:ancestor_x000D_
citiz:foreign_x000D_
#spos:1_x000D_
#srcs:2_x000D_
#comment:0_x000D_
#events:1_x000D_
#kids:1_x000D_
lived:ENLEICEMARKETB_x000D_
issue:_x000D_
.recs:Birth,Marriage,Death_x000D_
.imm?:no_x000D_
..Spo:THOMAS PAYNE</t>
        </r>
      </text>
    </comment>
    <comment ref="W3192" authorId="0" shapeId="0" xr:uid="{7392D150-256D-48BE-A9F9-95C8CD7069E5}">
      <text>
        <r>
          <rPr>
            <sz val="9"/>
            <color indexed="81"/>
            <rFont val="Tahoma"/>
            <family val="2"/>
          </rPr>
          <t>WILLIAM ROBERT PAYNE_x000D_
http://yeinfo.com/family/I09066331.html_x000D_
https://www.google.com/search?q=WILLIAM+ROBERT+PAYNE+1347+1397+JOAN\JANE_x000D_
.born: 1347    -          Yorkshire county England_x000D_
.died: 1397    -1437      Norwich (Norfolk) England, age:50y 0m 0d, _x000D_
.bapt: 1785GE_x000D_
.will: 2004MO_x000D_
.obit: 1890OH_x000D_
.bury: 1850IL _x000D_
.wpbt: 1826PA_x000D_
.anc#:ancestor_x000D_
citiz:foreign_x000D_
#spos:1_x000D_
#srcs:2_x000D_
#comment:0_x000D_
#events:1_x000D_
#kids:5_x000D_
lived:ENNORFONORWICH,ENYORKS_x000D_
issue:_x000D_
.recs:Birth,Marriage,Death_x000D_
.imm?:no_x000D_
..Spo:JOAN\JANE TYAS</t>
        </r>
      </text>
    </comment>
    <comment ref="X3194" authorId="0" shapeId="0" xr:uid="{5DF94C51-3369-4529-B08A-3CF7600C380A}">
      <text>
        <r>
          <rPr>
            <sz val="9"/>
            <color indexed="81"/>
            <rFont val="Tahoma"/>
            <family val="2"/>
          </rPr>
          <t>Mrs. MARGARET PAYNE_x000D_
http://yeinfo.com/family/I09066505.html_x000D_
https://www.google.com/search?q=MARGARET+PAYNE+1335+1355+PAYNE_x000D_
.born: 1335    -          Leicestershire county England_x000D_
.died: 1355    -1425      Market Bosworth (Leicestershire) England, age:20y 0m 0d, _x000D_
.bapt: 1785GE_x000D_
.will: 2004MO_x000D_
.obit: 1890OH_x000D_
.bury: 1850IL _x000D_
.wpbt: 1826PA_x000D_
.anc#:ancestor_x000D_
citiz:foreign_x000D_
#spos:1_x000D_
#srcs:2_x000D_
#comment:0_x000D_
#events:1_x000D_
#kids:3_x000D_
lived:ENLEICEMARKETB_x000D_
issue:_x000D_
.recs:Birth,Marriage,Death_x000D_
.imm?:no_x000D_
..Spo:THOMAS WILLIAM PAYNE</t>
        </r>
      </text>
    </comment>
    <comment ref="V3196" authorId="0" shapeId="0" xr:uid="{AFA33CE6-6DCC-4325-A9C0-69A141B14D90}">
      <text>
        <r>
          <rPr>
            <sz val="9"/>
            <color indexed="81"/>
            <rFont val="Tahoma"/>
            <family val="2"/>
          </rPr>
          <t>JOHN CHARLES PAYNE_x000D_
http://yeinfo.com/family/I09066181.html_x000D_
https://www.google.com/search?q=JOHN+CHARLES+PAYNE+1395+1439+AGNES+KATE_x000D_
.born: 1395    -          Norwich (Norfolk) England_x000D_
.died: 14391123-          Frittenden (Kent) England, age:44y 10m 22d, _x000D_
.bapt: 1785GE_x000D_
.will: 2004MO_x000D_
.obit: 1890OH_x000D_
.bury: 1850IL _x000D_
.wpbt: 1826PA_x000D_
.anc#:ancestor_x000D_
citiz:foreign_x000D_
#spos:1_x000D_
#srcs:2_x000D_
#comment:0_x000D_
#events:1_x000D_
#kids:1_x000D_
lived:ENKENT FRITTEN,ENNORFONORWICH_x000D_
issue:Born after Mom Age 50_x000D_
.recs:Birth,Marriage,Death_x000D_
.imm?:no_x000D_
..Spo:AGNES KATE MIDDLETON</t>
        </r>
      </text>
    </comment>
    <comment ref="Y3198" authorId="0" shapeId="0" xr:uid="{E74AE5CD-F4BC-430F-B5FD-30F4D064681B}">
      <text>
        <r>
          <rPr>
            <sz val="9"/>
            <color indexed="81"/>
            <rFont val="Tahoma"/>
            <family val="2"/>
          </rPr>
          <t>RICHARD TYAS_x000D_
http://yeinfo.com/family/I09066556.html_x000D_
https://www.google.com/search?q=RICHARD+TYAS+1230+1252+ELLEN_x000D_
.born:?1230    -          Yorkshire county England_x000D_
.died: 1252    -1320     ?England, age:22y 0m 0d, _x000D_
.bapt: 1785GE_x000D_
.will: 2004MO_x000D_
.obit: 1890OH_x000D_
.bury: 1850IL _x000D_
.wpbt: 1826PA_x000D_
.anc#:ancestor_x000D_
citiz:foreign_x000D_
#spos:1_x000D_
#srcs:1_x000D_
#comment:0_x000D_
#events:1_x000D_
#kids:1_x000D_
lived:ENYORKS_x000D_
issue:_x000D_
.recs:Birth,Marriage,Death_x000D_
.imm?:no_x000D_
..Spo:ELLEN NEVILLE</t>
        </r>
      </text>
    </comment>
    <comment ref="X3200" authorId="0" shapeId="0" xr:uid="{107568BD-A9BE-419B-AD0B-B4C9CB2D4BBA}">
      <text>
        <r>
          <rPr>
            <sz val="9"/>
            <color indexed="81"/>
            <rFont val="Tahoma"/>
            <family val="2"/>
          </rPr>
          <t>RICHARD TYAS_x000D_
http://yeinfo.com/family/I09066506.html_x000D_
https://www.google.com/search?q=RICHARD+TYAS+1252+1348+ALICE_x000D_
.born: 1252    -          _x000D_
.died:?1348    -          , age:96y 0m 0d, _x000D_
.bapt: 1785GE_x000D_
.will: 2004MO_x000D_
.obit: 1890OH_x000D_
.bury: 1850IL _x000D_
.wpbt: 1826PA_x000D_
.anc#:ancestor_x000D_
citiz:foreign_x000D_
#spos:1_x000D_
#srcs:2_x000D_
#comment:0_x000D_
#events:1_x000D_
#kids:1_x000D_
lived:_x000D_
issue:_x000D_
.recs:Birth,Marriage,Death_x000D_
.imm?:no_x000D_
..Spo:ALICE TANKERSLEY</t>
        </r>
      </text>
    </comment>
    <comment ref="Z3202" authorId="0" shapeId="0" xr:uid="{ED0C6DBA-7036-4810-A41D-5BF35CF48873}">
      <text>
        <r>
          <rPr>
            <sz val="9"/>
            <color indexed="81"/>
            <rFont val="Tahoma"/>
            <family val="2"/>
          </rPr>
          <t>ALEXANDER NEVILLE II_x000D_
http://yeinfo.com/family/I09066608.html_x000D_
https://www.google.com/search?q=ALEXANDER+NEVILLE+1210+1235+JULIANA_x000D_
.born: 1210    -          Staindrop (Durham) England_x000D_
.died: 1235    -1300      Yorkshire county England, age:25y 0m 0d, _x000D_
.bapt: 1785GE_x000D_
.will: 2004MO_x000D_
.obit: 1890OH_x000D_
.bury: 1850IL _x000D_
.wpbt: 1826PA_x000D_
.anc#:ancestor_x000D_
citiz:foreign_x000D_
#spos:1_x000D_
#srcs:1_x000D_
#comment:1_x000D_
#events:1_x000D_
#kids:1_x000D_
lived:ENDURHASTAINDR,ENYORKS_x000D_
issue:_x000D_
.recs:Birth,Marriage,Death_x000D_
.imm?:no_x000D_
..Spo:JULIANA MONMOUTH</t>
        </r>
      </text>
    </comment>
    <comment ref="Y3204" authorId="0" shapeId="0" xr:uid="{94D23955-2D7E-4DB6-8FFC-D073EF51AA59}">
      <text>
        <r>
          <rPr>
            <sz val="9"/>
            <color indexed="81"/>
            <rFont val="Tahoma"/>
            <family val="2"/>
          </rPr>
          <t>ELLEN NEVILLE_x000D_
http://yeinfo.com/family/I09066557.html_x000D_
https://www.google.com/search?q=ELLEN+NEVILLE+1235+1264+TYAS_x000D_
.born:c1235    -          Glandford Brigg (Lincolnshire) England_x000D_
.died: 12641120-         ?England, age:29y 10m 19d, _x000D_
.bapt: 1785GE_x000D_
.will: 2004MO_x000D_
.obit: 1890OH_x000D_
.bury: 1850IL _x000D_
.wpbt: 1826PA_x000D_
.anc#:ancestor_x000D_
citiz:foreign_x000D_
#spos:1_x000D_
#srcs:1_x000D_
#comment:0_x000D_
#events:1_x000D_
#kids:1_x000D_
lived:ENLINCSGLANDFO_x000D_
issue:Died after Age 100_x000D_
.recs:Birth,Marriage,Death_x000D_
.imm?:no_x000D_
..Spo:RICHARD TYAS</t>
        </r>
      </text>
    </comment>
    <comment ref="Z3206" authorId="0" shapeId="0" xr:uid="{698139D5-D379-4217-8006-E986C70590FE}">
      <text>
        <r>
          <rPr>
            <sz val="9"/>
            <color indexed="81"/>
            <rFont val="Tahoma"/>
            <family val="2"/>
          </rPr>
          <t>JULIANA MONMOUTH_x000D_
http://yeinfo.com/family/I09066609.html_x000D_
https://www.google.com/search?q=JULIANA+MONMOUTH+1210+1235+NEVILLE_x000D_
.born:c1210    -          England_x000D_
.died: 1235    -1300     ?England, age:25y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..Spo:ALEXANDER NEVILLE</t>
        </r>
      </text>
    </comment>
    <comment ref="W3208" authorId="0" shapeId="0" xr:uid="{17875F04-26E8-472E-BF15-5AC892FB7B3B}">
      <text>
        <r>
          <rPr>
            <sz val="9"/>
            <color indexed="81"/>
            <rFont val="Tahoma"/>
            <family val="2"/>
          </rPr>
          <t>JOAN\JANE TYAS_x000D_
http://yeinfo.com/family/I09066332.html_x000D_
https://www.google.com/search?q=JOAN\JANE+TYAS+1340+1395+PAYNE_x000D_
.born: 1340    -1370      Yorkshire county England_x000D_
.died: 1395    -1410      , age:55y 0m 0d, _x000D_
.bapt: 1785GE_x000D_
.will: 2004MO_x000D_
.obit: 1890OH_x000D_
.bury: 1850IL _x000D_
.wpbt: 1826PA_x000D_
.anc#:ancestor_x000D_
citiz:foreign_x000D_
#spos:1_x000D_
#srcs:2_x000D_
#comment:0_x000D_
#events:1_x000D_
#kids:5_x000D_
lived:ENYORKS_x000D_
issue:Born after Parent Died,Born after Dad Age 60,Born after Mom Age 50_x000D_
.recs:Birth,Marriage,Death_x000D_
.imm?:no_x000D_
..Spo:WILLIAM ROBERT PAYNE</t>
        </r>
      </text>
    </comment>
    <comment ref="Z3210" authorId="0" shapeId="0" xr:uid="{987356CE-E437-410A-8351-B911C6891383}">
      <text>
        <r>
          <rPr>
            <sz val="9"/>
            <color indexed="81"/>
            <rFont val="Tahoma"/>
            <family val="2"/>
          </rPr>
          <t>HENRY TANKERSLEY II_x000D_
http://yeinfo.com/family/I09066610.html_x000D_
https://www.google.com/search?q=HENRY+TANKERSLEY+1205+1233+AGNES_x000D_
.born:c1205    -          Tankersley (Yorkshire) England_x000D_
.died: 1233    -1295      Yorkshire county England, age:28y 0m 0d, _x000D_
.bapt: 1785GE_x000D_
.will: 2004MO_x000D_
.obit: 1890OH_x000D_
.bury: 1850IL _x000D_
.wpbt: 1826PA_x000D_
.anc#:ancestor_x000D_
citiz:foreign_x000D_
#spos:1_x000D_
#srcs:2_x000D_
#comment:1_x000D_
#events:1_x000D_
#kids:1_x000D_
lived:ENYORKSTANKERS_x000D_
issue:_x000D_
.recs:Birth,Marriage,Death_x000D_
.imm?:no_x000D_
..Spo:AGNES TANKERSLEY</t>
        </r>
      </text>
    </comment>
    <comment ref="Y3212" authorId="0" shapeId="0" xr:uid="{B16BF1C9-DC2E-427B-97AA-2D58CDEA1155}">
      <text>
        <r>
          <rPr>
            <sz val="9"/>
            <color indexed="81"/>
            <rFont val="Tahoma"/>
            <family val="2"/>
          </rPr>
          <t>RICHARD TANKERSLEY_x000D_
http://yeinfo.com/family/I09066558.html_x000D_
https://www.google.com/search?q=RICHARD+TANKERSLEY+1233+1269+SARAH_x000D_
.born:c1233    -          Tankersley (Yorkshire) England_x000D_
.died: 1269    -1323      Thornhill (Yorkshire) England, age:36y 0m 0d, _x000D_
.bapt: 1785GE_x000D_
.will: 2004MO_x000D_
.obit: 1890OH_x000D_
.bury: 1850IL _x000D_
.wpbt: 1826PA_x000D_
.anc#:ancestor_x000D_
citiz:foreign_x000D_
#spos:1_x000D_
#srcs:2_x000D_
#comment:0_x000D_
#events:1_x000D_
#kids:1_x000D_
lived:ENYORKSTANKERS,ENYORKSTHORNHI_x000D_
issue:_x000D_
.recs:Birth,Marriage,Death_x000D_
.imm?:no_x000D_
..Spo:SARAH THORNHILL</t>
        </r>
      </text>
    </comment>
    <comment ref="Z3214" authorId="0" shapeId="0" xr:uid="{F1771DD3-35CE-40EB-B3A7-83688A1AB5AC}">
      <text>
        <r>
          <rPr>
            <sz val="9"/>
            <color indexed="81"/>
            <rFont val="Tahoma"/>
            <family val="2"/>
          </rPr>
          <t>Mrs. AGNES TANKERSLEY_x000D_
http://yeinfo.com/family/I09066611.html_x000D_
https://www.google.com/search?q=AGNES+TANKERSLEY+1210+1233+TANKERSLEY_x000D_
.born:?1210    -          _x000D_
.died: 1233    -1300     ?England, age:23y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..Spo:HENRY TANKERSLEY</t>
        </r>
      </text>
    </comment>
    <comment ref="X3216" authorId="0" shapeId="0" xr:uid="{B04B6B6B-1A91-4459-A7D0-A815E3933297}">
      <text>
        <r>
          <rPr>
            <sz val="9"/>
            <color indexed="81"/>
            <rFont val="Tahoma"/>
            <family val="2"/>
          </rPr>
          <t>ALICE TANKERSLEY_x000D_
http://yeinfo.com/family/I09066507.html_x000D_
https://www.google.com/search?q=ALICE+TANKERSLEY+1269+1312+TYAS_x000D_
.born: 1269    -          _x000D_
.died: 1312    -          Thornhill (Yorkshire) England, age:43y 0m 0d, _x000D_
.bapt: 1785GE_x000D_
.will: 2004MO_x000D_
.obit: 1890OH_x000D_
.bury: 1850IL _x000D_
.wpbt: 1826PA_x000D_
.anc#:ancestor_x000D_
citiz:foreign_x000D_
#spos:1_x000D_
#srcs:2_x000D_
#comment:0_x000D_
#events:1_x000D_
#kids:1_x000D_
lived:ENYORKSTHORNHI_x000D_
issue:Died after Age 100_x000D_
.recs:Birth,Marriage,Death_x000D_
.imm?:no_x000D_
..Spo:RICHARD TYAS</t>
        </r>
      </text>
    </comment>
    <comment ref="Z3218" authorId="0" shapeId="0" xr:uid="{B6D01C73-4025-4855-9802-0362E494C456}">
      <text>
        <r>
          <rPr>
            <sz val="9"/>
            <color indexed="81"/>
            <rFont val="Tahoma"/>
            <family val="2"/>
          </rPr>
          <t>JOHN THORNHILL_x000D_
http://yeinfo.com/family/I09066612.html_x000D_
https://www.google.com/search?q=JOHN+THORNHILL+1180+1249+OLIVE\OLIVIA_x000D_
.born: 1180    -          England_x000D_
.died: 1249    -          Huddersfield (Yorkshire) England, age:69y 0m 0d, _x000D_
.bapt: 1785GE_x000D_
.will: 2004MO_x000D_
.obit: 1890OH_x000D_
.bury: 1850IL _x000D_
.wpbt: 1826PA_x000D_
.anc#:ancestor_x000D_
citiz:foreign_x000D_
#spos:1_x000D_
#srcs:1_x000D_
#comment:1_x000D_
#events:1_x000D_
#kids:1_x000D_
lived:ENYORKSHUDDERS_x000D_
issue:_x000D_
.recs:Birth,Marriage,Death_x000D_
.imm?:no_x000D_
..Spo:OLIVE\OLIVIA MARE</t>
        </r>
      </text>
    </comment>
    <comment ref="Y3220" authorId="0" shapeId="0" xr:uid="{897E5D07-D0E4-4283-A400-008C71D91B0E}">
      <text>
        <r>
          <rPr>
            <sz val="9"/>
            <color indexed="81"/>
            <rFont val="Tahoma"/>
            <family val="2"/>
          </rPr>
          <t>SARAH THORNHILL_x000D_
http://yeinfo.com/family/I09066559.html_x000D_
https://www.google.com/search?q=SARAH+THORNHILL+1233+1269+TANKERSLEY_x000D_
.born:c1233    -          Thornhill (Yorkshire) England_x000D_
.died: 1269    -1320      , age:36y 0m 0d, _x000D_
.bapt: 1785GE_x000D_
.will: 2004MO_x000D_
.obit: 1890OH_x000D_
.bury: 1850IL _x000D_
.wpbt: 1826PA_x000D_
.anc#:ancestor_x000D_
citiz:foreign_x000D_
#spos:1_x000D_
#srcs:2_x000D_
#comment:0_x000D_
#events:1_x000D_
#kids:1_x000D_
lived:ENYORKSTHORNHI_x000D_
issue:_x000D_
.recs:Birth,Marriage,Death_x000D_
.imm?:no_x000D_
..Spo:RICHARD TANKERSLEY</t>
        </r>
      </text>
    </comment>
    <comment ref="Z3222" authorId="0" shapeId="0" xr:uid="{7D295FAB-E2D2-48CF-BEA9-4016498DA630}">
      <text>
        <r>
          <rPr>
            <sz val="9"/>
            <color indexed="81"/>
            <rFont val="Tahoma"/>
            <family val="2"/>
          </rPr>
          <t>OLIVE\OLIVIA MARE_x000D_
http://yeinfo.com/family/I09066613.html_x000D_
https://www.google.com/search?q=OLIVE\OLIVIA+MARE+1200+1254+THORNHILL_x000D_
.born: 1200    -          Yorkshire county England_x000D_
.died: 1254    -          England, age:54y 0m 0d, _x000D_
.bapt: 1785GE_x000D_
.will: 2004MO_x000D_
.obit: 1890OH_x000D_
.bury: 1850IL _x000D_
.wpbt: 1826PA_x000D_
.anc#:ancestor_x000D_
citiz:foreign_x000D_
#spos:1_x000D_
#srcs:1_x000D_
#comment:1_x000D_
#events:1_x000D_
#kids:1_x000D_
lived:ENYORKS_x000D_
issue:Died after Age 100_x000D_
.recs:Birth,Marriage,Death_x000D_
.imm?:no_x000D_
..Spo:JOHN THORNHILL</t>
        </r>
      </text>
    </comment>
    <comment ref="U3224" authorId="0" shapeId="0" xr:uid="{B6E3D98D-8A5A-4EA5-9BB8-589489CAB72B}">
      <text>
        <r>
          <rPr>
            <sz val="9"/>
            <color indexed="81"/>
            <rFont val="Tahoma"/>
            <family val="2"/>
          </rPr>
          <t>JOHN CHARLES PAYNE_x000D_
http://yeinfo.com/family/I09065993.html_x000D_
https://www.google.com/search?q=JOHN+CHARLES+PAYNE+1420+1463+JOANE+MARGERY_x000D_
.born: 1420    -          Frittenden (Kent) England_x000D_
.died: 14630412-          Kent county England, age:43y 3m 11d, _x000D_
.bapt: 1785GE_x000D_
.will: 2004MO_x000D_
.obit: 1890OH_x000D_
.bury: 1850IL _x000D_
.wpbt: 1826PA_x000D_
.anc#:ancestor_x000D_
citiz:foreign_x000D_
#spos:1_x000D_
#srcs:2_x000D_
#comment:0_x000D_
#events:1_x000D_
#kids:6_x000D_
lived:ENKENT FRITTEN_x000D_
issue:_x000D_
.recs:Birth,Marriage,Death_x000D_
.imm?:no_x000D_
..Spo:JOANE MARGERY WEBB</t>
        </r>
      </text>
    </comment>
    <comment ref="W3226" authorId="0" shapeId="0" xr:uid="{01CDB286-82A2-47CE-9375-A165AA678993}">
      <text>
        <r>
          <rPr>
            <sz val="9"/>
            <color indexed="81"/>
            <rFont val="Tahoma"/>
            <family val="2"/>
          </rPr>
          <t>JOHN MIDDLETON_x000D_
http://yeinfo.com/family/I09066430.html_x000D_
https://www.google.com/search?q=JOHN+MIDDLETON+1374+1397+CHRISTIANA_x000D_
.born: 1374    -          Northumberland county England_x000D_
.died: 1397    -1464      , age:23y 0m 0d, _x000D_
.bapt: 1785GE_x000D_
.will: 2004MO_x000D_
.obit: 1890OH_x000D_
.bury: 1850IL _x000D_
.wpbt: 1826PA_x000D_
.anc#:ancestor_x000D_
citiz:foreign_x000D_
#spos:1_x000D_
#srcs:1_x000D_
#comment:0_x000D_
#events:1_x000D_
#kids:1_x000D_
lived:ENNORTU_x000D_
issue:_x000D_
.recs:Birth,Marriage,Death_x000D_
.imm?:no_x000D_
..Spo:CHRISTIANA STRIVELYN</t>
        </r>
      </text>
    </comment>
    <comment ref="V3228" authorId="0" shapeId="0" xr:uid="{8074EEAC-A21E-47FE-B32C-DBDF827A47DD}">
      <text>
        <r>
          <rPr>
            <sz val="9"/>
            <color indexed="81"/>
            <rFont val="Tahoma"/>
            <family val="2"/>
          </rPr>
          <t>AGNES KATE MIDDLETON_x000D_
http://yeinfo.com/family/I09066182.html_x000D_
https://www.google.com/search?q=AGNES+KATE+MIDDLETON+1397+1463+PAYNE_x000D_
.born: 13970109-          Frittenden (Kent) England_x000D_
.died: 1463    -          Staplehurst (Kent) England, age:65y 11m 23d, _x000D_
.bapt: 1785GE_x000D_
.will: 2004MO_x000D_
.obit: 1890OH_x000D_
.bury: 1850IL _x000D_
.wpbt: 1826PA_x000D_
.anc#:ancestor_x000D_
citiz:foreign_x000D_
#spos:1_x000D_
#srcs:2_x000D_
#comment:1_x000D_
#events:1_x000D_
#kids:1_x000D_
lived:ENKENT FRITTEN,ENKENT STAPLEH_x000D_
issue:_x000D_
.recs:Birth,Marriage,Death_x000D_
.imm?:no_x000D_
..Spo:JOHN CHARLES PAYNE</t>
        </r>
      </text>
    </comment>
    <comment ref="W3230" authorId="0" shapeId="0" xr:uid="{163F4AF7-4E71-4ED3-8C2B-A0A4D1B0DFC9}">
      <text>
        <r>
          <rPr>
            <sz val="9"/>
            <color indexed="81"/>
            <rFont val="Tahoma"/>
            <family val="2"/>
          </rPr>
          <t>CHRISTIANA STRIVELYN_x000D_
http://yeinfo.com/family/I09066431.html_x000D_
https://www.google.com/search?q=CHRISTIANA+STRIVELYN+1375+1397+MIDDLETON_x000D_
.born: 1375    -          England_x000D_
.died: 1397    -1465      Northumberland county England, age:22y 0m 0d, _x000D_
.bapt: 1785GE_x000D_
.will: 2004MO_x000D_
.obit: 1890OH_x000D_
.bury: 1850IL _x000D_
.wpbt: 1826PA_x000D_
.anc#:ancestor_x000D_
citiz:foreign_x000D_
#spos:1_x000D_
#srcs:1_x000D_
#comment:0_x000D_
#events:1_x000D_
#kids:1_x000D_
lived:ENNORTU_x000D_
issue:_x000D_
.recs:Birth,Marriage,Death_x000D_
.imm?:no_x000D_
..Spo:JOHN MIDDLETON</t>
        </r>
      </text>
    </comment>
    <comment ref="T3232" authorId="0" shapeId="0" xr:uid="{F6F25361-1AB2-4BCE-8A87-20CF1438401C}">
      <text>
        <r>
          <rPr>
            <sz val="9"/>
            <color indexed="81"/>
            <rFont val="Tahoma"/>
            <family val="2"/>
          </rPr>
          <t>STEPHEN GUILLAME PAYNE_x000D_
http://yeinfo.com/family/I09065829.html_x000D_
https://www.google.com/search?q=STEPHEN+GUILLAME+PAYNE+1450+1505+ALICE\JOHANE+MARGARET_x000D_
.born: 1450    -          Frittenden (Kent) England_x000D_
.died: 15051021-          Frittenden (Kent) England, age:55y 9m 20d, _x000D_
.bapt: 1785GE_x000D_
.will: 2004MO_x000D_
.obit: 1890OH_x000D_
.bury: 1850IL _x000D_
.wpbt: 1826PA_x000D_
.anc#:ancestor_x000D_
citiz:foreign_x000D_
#spos:1_x000D_
#srcs:2_x000D_
#comment:0_x000D_
#events:1_x000D_
#kids:7_x000D_
lived:ENKENT FRITTEN_x000D_
issue:_x000D_
.recs:Birth,Marriage,Death_x000D_
.imm?:no_x000D_
..Spo:ALICE\JOHANE MARGARET WEBB</t>
        </r>
      </text>
    </comment>
    <comment ref="V3234" authorId="0" shapeId="0" xr:uid="{33A21289-9296-4181-9675-EC0B86DABFFB}">
      <text>
        <r>
          <rPr>
            <sz val="9"/>
            <color indexed="81"/>
            <rFont val="Tahoma"/>
            <family val="2"/>
          </rPr>
          <t>JOHN WEBB_x000D_
http://yeinfo.com/family/I09066271.html_x000D_
https://www.google.com/search?q=JOHN+WEBB+1405+1455+JOHANNE_x000D_
.born: 14050316-          Frittenden (Kent) England_x000D_
.died: 14550101-          Stratford upon Avon (Warwickshire) England, age:49y 9m 16d, _x000D_
.bapt: 1785GE_x000D_
.will: 2004MO_x000D_
.obit: 1890OH_x000D_
.bury: 1850IL _x000D_
.wpbt: 1826PA_x000D_
.anc#:ancestor_x000D_
citiz:foreign_x000D_
#spos:1_x000D_
#srcs:1_x000D_
#comment:0_x000D_
#events:2_x000D_
#kids:1_x000D_
lived:ENKENT FRITTEN,ENWARWESTRATUA_x000D_
issue:_x000D_
.recs:Birth,Baptism,Marriage,Death_x000D_
.imm?:no_x000D_
..Spo:JOHANNE HALL</t>
        </r>
      </text>
    </comment>
    <comment ref="U3236" authorId="0" shapeId="0" xr:uid="{78F48C48-7622-4D97-BCCE-F4F711112F50}">
      <text>
        <r>
          <rPr>
            <sz val="9"/>
            <color indexed="81"/>
            <rFont val="Tahoma"/>
            <family val="2"/>
          </rPr>
          <t>JOANE MARGERY WEBB_x000D_
http://yeinfo.com/family/I09065994.html_x000D_
https://www.google.com/search?q=JOANE+MARGERY+WEBB+1423+1463+PAYNE_x000D_
.born: 1423    -          Frittenden (Kent) England_x000D_
.died: 14630412-          Kent county England, age:40y 3m 11d, _x000D_
.bapt: 1785GE_x000D_
.will: 2004MO_x000D_
.obit: 1890OH_x000D_
.bury: 1850IL _x000D_
.wpbt: 1826PA_x000D_
.anc#:ancestor_x000D_
citiz:foreign_x000D_
#spos:1_x000D_
#srcs:2_x000D_
#comment:0_x000D_
#events:1_x000D_
#kids:6_x000D_
lived:ENKENT FRITTEN_x000D_
issue:_x000D_
.recs:Birth,Marriage,Death_x000D_
.imm?:no_x000D_
..Spo:JOHN CHARLES PAYNE</t>
        </r>
      </text>
    </comment>
    <comment ref="V3238" authorId="0" shapeId="0" xr:uid="{27FCA525-2ED6-4B0A-9023-00CF216D5D4E}">
      <text>
        <r>
          <rPr>
            <sz val="9"/>
            <color indexed="81"/>
            <rFont val="Tahoma"/>
            <family val="2"/>
          </rPr>
          <t>JOHANNE HALL_x000D_
http://yeinfo.com/family/I09066272.html_x000D_
https://www.google.com/search?q=JOHANNE+HALL+1405+1425+WEBB_x000D_
.born: 1405    -          Stratford upon Avon (Warwickshire) England_x000D_
.died: 1425    -1495      London (Middlesex) England, age:20y 0m 0d, _x000D_
.bapt: 1785GE_x000D_
.will: 2004MO_x000D_
.obit: 1890OH_x000D_
.bury: 1850IL _x000D_
.wpbt: 1826PA_x000D_
.anc#:ancestor_x000D_
citiz:foreign_x000D_
#spos:1_x000D_
#srcs:1_x000D_
#comment:0_x000D_
#events:1_x000D_
#kids:1_x000D_
lived:ENKENT FRITTEN,ENMIDDLLONDON,ENWARWESTRATUA_x000D_
issue:_x000D_
.recs:Birth,Marriage,Death_x000D_
.imm?:no_x000D_
..Spo:JOHN WEBB</t>
        </r>
      </text>
    </comment>
    <comment ref="S3240" authorId="0" shapeId="0" xr:uid="{F3881B7C-5AF8-41BD-AD01-BBE3F5B2261A}">
      <text>
        <r>
          <rPr>
            <sz val="9"/>
            <color indexed="81"/>
            <rFont val="Tahoma"/>
            <family val="2"/>
          </rPr>
          <t>ELIZABETH PAYNE_x000D_
http://yeinfo.com/family/I09065695.html_x000D_
https://www.google.com/search?q=ELIZABETH+PAYNE+1492+1548+MASTER_x000D_
.born: 1492    -          _x000D_
.died: 15480324-          Sandwich (Kent) England, age:56y 2m 23d, _x000D_
.bapt: 1785GE_x000D_
.will: 2004MO_x000D_
.obit: 1890OH_x000D_
.bury: 1850IL _x000D_
.wpbt: 1826PA_x000D_
.anc#:ancestor_x000D_
citiz:foreign_x000D_
#spos:1_x000D_
#srcs:2_x000D_
#comment:0_x000D_
#events:1_x000D_
#kids:1_x000D_
lived:ENKENT SANDWIC_x000D_
issue:Died after Age 100_x000D_
.recs:Birth,Marriage,Death_x000D_
.imm?:no_x000D_
..Spo:JOHN MASTER</t>
        </r>
      </text>
    </comment>
    <comment ref="U3242" authorId="0" shapeId="0" xr:uid="{225C4351-1E8C-4969-BB83-2EC622ABEB6F}">
      <text>
        <r>
          <rPr>
            <sz val="9"/>
            <color indexed="81"/>
            <rFont val="Tahoma"/>
            <family val="2"/>
          </rPr>
          <t>JOHN GAVIN WEBB_x000D_
http://yeinfo.com/family/I09065995.html_x000D_
https://www.google.com/search?q=JOHN+GAVIN+WEBB+1435+1495+JOHANE\JANE+LEE_x000D_
.born: 1435    -          _x000D_
.died: 1495    -          Frittenden (Kent) England, age:60y 0m 0d, _x000D_
.bapt: 1785GE_x000D_
.will: 2004MO_x000D_
.obit: 1890OH_x000D_
.bury: 1850IL _x000D_
.wpbt: 1826PA_x000D_
.anc#:ancestor_x000D_
citiz:foreign_x000D_
#spos:1_x000D_
#srcs:2_x000D_
#comment:0_x000D_
#events:1_x000D_
#kids:1_x000D_
lived:ENKENT FRITTEN_x000D_
issue:_x000D_
.recs:Birth,Marriage,Death_x000D_
.imm?:no_x000D_
..Spo:JOHANE\JANE LEE WEBB</t>
        </r>
      </text>
    </comment>
    <comment ref="T3244" authorId="0" shapeId="0" xr:uid="{A4C18B84-74ED-40E9-A10A-00427373C7D3}">
      <text>
        <r>
          <rPr>
            <sz val="9"/>
            <color indexed="81"/>
            <rFont val="Tahoma"/>
            <family val="2"/>
          </rPr>
          <t>ALICE\JOHANE MARGARET WEBB_x000D_
http://yeinfo.com/family/I09065830.html_x000D_
https://www.google.com/search?q=ALICE\JOHANE+MARGARET+WEBB+1459+1492+PAYNE_x000D_
.born: 1459    -          Frittenden (Kent) England_x000D_
.died: 1492    -1549      Frittenden (Kent) England, age:33y 0m 0d, _x000D_
.bapt: 1785GE_x000D_
.will: 2004MO_x000D_
.obit: 1890OH_x000D_
.bury: 1850IL _x000D_
.wpbt: 1826PA_x000D_
.anc#:ancestor_x000D_
citiz:foreign_x000D_
#spos:1_x000D_
#srcs:2_x000D_
#comment:0_x000D_
#events:1_x000D_
#kids:7_x000D_
lived:ENKENT FRITTEN_x000D_
issue:_x000D_
.recs:Birth,Marriage,Death_x000D_
.imm?:no_x000D_
..Spo:STEPHEN GUILLAME PAYNE</t>
        </r>
      </text>
    </comment>
    <comment ref="U3246" authorId="0" shapeId="0" xr:uid="{0F943998-64B4-4D52-A3F7-41FC6CCD6AAD}">
      <text>
        <r>
          <rPr>
            <sz val="9"/>
            <color indexed="81"/>
            <rFont val="Tahoma"/>
            <family val="2"/>
          </rPr>
          <t>Mrs. JOHANE\JANE LEE WEBB_x000D_
http://yeinfo.com/family/I09065996.html_x000D_
https://www.google.com/search?q=JOHANE\JANE+LEE+WEBB+1430+1459+WEBB_x000D_
.born: 1430    -          Frittenden (Kent) England_x000D_
.died: 1459    -1520      Frittenden (Kent) England, age:29y 0m 0d, _x000D_
.bapt: 1785GE_x000D_
.will: 2004MO_x000D_
.obit: 1890OH_x000D_
.bury: 1850IL _x000D_
.wpbt: 1826PA_x000D_
.anc#:ancestor_x000D_
citiz:foreign_x000D_
#spos:1_x000D_
#srcs:2_x000D_
#comment:0_x000D_
#events:1_x000D_
#kids:1_x000D_
lived:ENKENT FRITTEN_x000D_
issue:_x000D_
.recs:Birth,Marriage,Death_x000D_
.imm?:no_x000D_
..Spo:JOHN GAVIN WEBB</t>
        </r>
      </text>
    </comment>
    <comment ref="O3248" authorId="0" shapeId="0" xr:uid="{5FC73BC3-3314-4923-9EE9-C0AAE7A8D6B5}">
      <text>
        <r>
          <rPr>
            <sz val="9"/>
            <color indexed="81"/>
            <rFont val="Tahoma"/>
            <family val="2"/>
          </rPr>
          <t>ELIZABETH SARGENT_x000D_
http://yeinfo.com/family/I09010845.html_x000D_
https://www.google.com/search?q=ELIZABETH+SARGENT+1603+1636+PHILLIPS_x000D_
.born:c16031028-          Bath (Somerset) England_x000D_
.died: 16360205-          Haverhill (Essex) Massachusetts, age:32y 3m 8d, _x000D_
.bapt: 1785GE_x000D_
.will: 2004MO_x000D_
.obit: 1890OH_x000D_
.bury: 1850IL _x000D_
.wpbt: 1826PA_x000D_
.anc#:ancestor_x000D_
citiz:immigrant_x000D_
#spos:1_x000D_
#srcs:1_x000D_
#comment:0_x000D_
#events:1_x000D_
#kids:6_x000D_
lived:?ENESSEX,ENSOMESBATH,MAESSEXHAVERHI_x000D_
issue:Died after Age 100_x000D_
.recs:Birth,Marriage,Death_x000D_
.imm?:immigrant_x000D_
..Spo:GEORGE PHILLIPS</t>
        </r>
      </text>
    </comment>
    <comment ref="R3250" authorId="0" shapeId="0" xr:uid="{65C9C1FE-4910-469B-9011-EF98E5A1A7A7}">
      <text>
        <r>
          <rPr>
            <sz val="9"/>
            <color indexed="81"/>
            <rFont val="Tahoma"/>
            <family val="2"/>
          </rPr>
          <t>RICHARD STEVENS_x000D_
http://yeinfo.com/family/I09065561.html_x000D_
https://www.google.com/search?q=RICHARD+STEVENS+1520+1550+SUSANNA\SARAH_x000D_
.born:c1520    -         ?England_x000D_
.died: 1550    -1610     ?England, age:30y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..Spo:SUSANNA\SARAH CLARK</t>
        </r>
      </text>
    </comment>
    <comment ref="Q3252" authorId="0" shapeId="0" xr:uid="{17080BB5-AA20-4920-8D8C-66A1ECFC3415}">
      <text>
        <r>
          <rPr>
            <sz val="9"/>
            <color indexed="81"/>
            <rFont val="Tahoma"/>
            <family val="2"/>
          </rPr>
          <t>GEORGE STEVENS_x000D_
http://yeinfo.com/family/I09043382.html_x000D_
https://www.google.com/search?q=GEORGE+STEVENS+1550+1574+AMY_x000D_
.born: 1550    -          Bath (Somerset) England_x000D_
.died: 15740424-          Bath (Somerset) England, age:24y 3m 23d, _x000D_
.bapt: 1785GE_x000D_
.will: 2004MO_x000D_
.obit: 1890OH_x000D_
.bury: 1850IL _x000D_
.wpbt: 1826PA_x000D_
.anc#:ancestor_x000D_
citiz:foreign_x000D_
#spos:1_x000D_
#srcs:1_x000D_
#comment:0_x000D_
#events:1_x000D_
#kids:1_x000D_
lived:ENSOMESBATH_x000D_
issue:_x000D_
.recs:Birth,Marriage,Death_x000D_
.imm?:no_x000D_
..Spo:AMY CLERKE</t>
        </r>
      </text>
    </comment>
    <comment ref="R3254" authorId="0" shapeId="0" xr:uid="{FB39BD3D-E108-4F19-A199-74FB17F4425E}">
      <text>
        <r>
          <rPr>
            <sz val="9"/>
            <color indexed="81"/>
            <rFont val="Tahoma"/>
            <family val="2"/>
          </rPr>
          <t>SUSANNA\SARAH CLARK_x000D_
http://yeinfo.com/family/I09065562.html_x000D_
https://www.google.com/search?q=SUSANNA\SARAH+CLARK+1520+1550+STEVENS_x000D_
.born:c1520    -         ?England_x000D_
.died: 1550    -1610     ?England, age:30y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..Spo:RICHARD STEVENS</t>
        </r>
      </text>
    </comment>
    <comment ref="P3256" authorId="0" shapeId="0" xr:uid="{47BDACEE-F30A-4CAA-ACF4-93A383E96C7D}">
      <text>
        <r>
          <rPr>
            <sz val="9"/>
            <color indexed="81"/>
            <rFont val="Tahoma"/>
            <family val="2"/>
          </rPr>
          <t>KATHERINE STEVENS_x000D_
http://yeinfo.com/family/I09021691.html_x000D_
https://www.google.com/search?q=KATHERINE+STEVENS+1573+1609+SARGENT_x000D_
.born: 15730917-          Bath (Somerset) England_x000D_
.died: 16090326-          Bath (Somerset) England, age:35y 6m 9d, _x000D_
.bapt: 1785GE_x000D_
.will: 2004MO_x000D_
.obit: 1890OH_x000D_
.bury: 1850IL _x000D_
.wpbt: 1826PA_x000D_
.anc#:ancestor_x000D_
citiz:foreign_x000D_
#spos:1_x000D_
#srcs:1_x000D_
#comment:0_x000D_
#events:1_x000D_
#kids:1_x000D_
lived:ENSOMESBATH_x000D_
issue:_x000D_
.recs:Birth,Marriage,Death_x000D_
.imm?:no_x000D_
..Spo:RICHARD SARGENT</t>
        </r>
      </text>
    </comment>
    <comment ref="Z3258" authorId="0" shapeId="0" xr:uid="{464BE970-2A4C-4CC8-B1B4-BFA4E5AB3C8B}">
      <text>
        <r>
          <rPr>
            <sz val="9"/>
            <color indexed="81"/>
            <rFont val="Tahoma"/>
            <family val="2"/>
          </rPr>
          <t>PETER WOODCHURCH CLERKE_x000D_
http://yeinfo.com/family/I09066614.html_x000D_
https://www.google.com/search?q=PETER+WOODCHURCH+CLERKE+1291+1368+BENNETTA_x000D_
.born: 1291    -          Woodchurch (Kent) England_x000D_
.died: 1368    -          Kent county England, age:77y 0m 0d, _x000D_
.bapt: 1785GE_x000D_
.will: 2004MO_x000D_
.obit: 1890OH_x000D_
.bury: 1850IL _x000D_
.wpbt: 1826PA_x000D_
.anc#:double ancestor_x000D_
citiz:foreign_x000D_
#spos:1_x000D_
#srcs:2_x000D_
#comment:1_x000D_
#events:1_x000D_
#kids:1_x000D_
lived:ENKENT WOODCHU_x000D_
issue:_x000D_
.recs:Birth,Marriage,Death_x000D_
.imm?:no_x000D_
..Spo:BENNETTA CHURCH</t>
        </r>
      </text>
    </comment>
    <comment ref="Y3260" authorId="0" shapeId="0" xr:uid="{637B5C4A-1897-42FA-AD95-901BAEBFDEFF}">
      <text>
        <r>
          <rPr>
            <sz val="9"/>
            <color indexed="81"/>
            <rFont val="Tahoma"/>
            <family val="2"/>
          </rPr>
          <t>THOMAS CLERKE_x000D_
http://yeinfo.com/family/I09066560.html_x000D_
https://www.google.com/search?q=THOMAS+CLERKE+1315+1347+MAUD\MATILDA_x000D_
.born:c1315    -          Birkenhead (Cheshire) England_x000D_
.died: 13470307-          Shinfield (Berkshire) England, age:32y 2m 6d, _x000D_
.bapt: 1785GE_x000D_
.will: 2004MO_x000D_
.obit: 1890OH_x000D_
.bury: 1850IL _x000D_
.wpbt: 1826PA_x000D_
.anc#:double ancestor_x000D_
citiz:foreign_x000D_
#spos:1_x000D_
#srcs:2_x000D_
#comment:1_x000D_
#events:1_x000D_
#kids:1_x000D_
lived:ENBERKISHINFIE,ENCHESHBIRKENH,ENKENT WOODCHU_x000D_
issue:_x000D_
.recs:Birth,Marriage,Death_x000D_
.imm?:no_x000D_
..Spo:MAUD\MATILDA BURGH</t>
        </r>
      </text>
    </comment>
    <comment ref="Z3262" authorId="0" shapeId="0" xr:uid="{BA46D4FA-95BD-4AD3-BC4E-056ABB6542F5}">
      <text>
        <r>
          <rPr>
            <sz val="9"/>
            <color indexed="81"/>
            <rFont val="Tahoma"/>
            <family val="2"/>
          </rPr>
          <t>BENNETTA CHURCH_x000D_
http://yeinfo.com/family/I09066615.html_x000D_
https://www.google.com/search?q=BENNETTA+CHURCH+1298+1325+CLERKE_x000D_
.born: 1298    -          _x000D_
.died: 1325    -          Kent county England, age:27y 0m 0d, _x000D_
.bapt: 1785GE_x000D_
.will: 2004MO_x000D_
.obit: 1890OH_x000D_
.bury: 1850IL _x000D_
.wpbt: 1826PA_x000D_
.anc#:double ancestor_x000D_
citiz:foreign_x000D_
#spos:1_x000D_
#srcs:2_x000D_
#comment:1_x000D_
#events:1_x000D_
#kids:1_x000D_
lived:ENKENT WOODCHU_x000D_
issue:Died after Age 100_x000D_
.recs:Birth,Marriage,Death_x000D_
.imm?:no_x000D_
..Spo:PETER WOODCHURCH CLERKE</t>
        </r>
      </text>
    </comment>
    <comment ref="X3264" authorId="0" shapeId="0" xr:uid="{16EA77DF-57B5-4659-953D-E30F28E6872A}">
      <text>
        <r>
          <rPr>
            <sz val="9"/>
            <color indexed="81"/>
            <rFont val="Tahoma"/>
            <family val="2"/>
          </rPr>
          <t>THOMAS CLERKE II_x000D_
http://yeinfo.com/family/I09066508.html_x000D_
https://www.google.com/search?q=THOMAS+CLERKE+1347+1377+BENNETTA+MYERS_x000D_
.born:a1347    -          Shinfield (Berkshire) England_x000D_
.died: 1377    -          Kent county England, age:30y 0m 0d, _x000D_
.bapt: 1785GE_x000D_
.will: 2004MO_x000D_
.obit: 1890OH_x000D_
.bury: 1850IL _x000D_
.wpbt: 1826PA_x000D_
.anc#:double ancestor_x000D_
citiz:foreign_x000D_
#spos:1_x000D_
#srcs:1_x000D_
#comment:0_x000D_
#events:1_x000D_
#kids:1_x000D_
lived:ENBERKISHINFIE,ENKENT_x000D_
issue:_x000D_
.recs:Birth,Marriage,Death_x000D_
.imm?:no_x000D_
..Spo:BENNETTA MYERS CHURCH</t>
        </r>
      </text>
    </comment>
    <comment ref="Y3266" authorId="0" shapeId="0" xr:uid="{69AB2CC3-4668-4463-8E2C-8BC70757B178}">
      <text>
        <r>
          <rPr>
            <sz val="9"/>
            <color indexed="81"/>
            <rFont val="Tahoma"/>
            <family val="2"/>
          </rPr>
          <t>MAUD\MATILDA BURGH_x000D_
http://yeinfo.com/family/I09066561.html_x000D_
https://www.google.com/search?q=MAUD\MATILDA+BURGH+1320+1375+CLERKE_x000D_
.born:?1320    -          _x000D_
.died: 1375    -          England, age:55y 0m 0d, _x000D_
.bapt: 1785GE_x000D_
.will: 2004MO_x000D_
.obit: 1890OH_x000D_
.bury: 1850IL _x000D_
.wpbt: 1826PA_x000D_
.anc#:double ancestor_x000D_
citiz:foreign_x000D_
#spos:1_x000D_
#srcs:1_x000D_
#comment:1_x000D_
#events:1_x000D_
#kids:1_x000D_
lived:EN_x000D_
issue:Died after Age 100_x000D_
.recs:Birth,Marriage,Death_x000D_
.imm?:no_x000D_
..Spo:THOMAS CLERKE</t>
        </r>
      </text>
    </comment>
    <comment ref="W3268" authorId="0" shapeId="0" xr:uid="{442C6F0A-B447-49AA-97DA-9D63F8E2C1D5}">
      <text>
        <r>
          <rPr>
            <sz val="9"/>
            <color indexed="81"/>
            <rFont val="Tahoma"/>
            <family val="2"/>
          </rPr>
          <t>THOMAS CLERKE III_x000D_
http://yeinfo.com/family/I09066333.html_x000D_
https://www.google.com/search?q=THOMAS+CLERKE+1375+1446+SARAH_x000D_
.born:c1375    -          Wrotham (Kent) England_x000D_
.died: 1446    -          Wrotham (Kent) England, age:71y 0m 0d, _x000D_
.bapt: 1785GE_x000D_
.will: 2004MO_x000D_
.obit: 1890OH_x000D_
.bury: 1850IL _x000D_
.wpbt: 1826PA_x000D_
.anc#:double ancestor_x000D_
citiz:foreign_x000D_
#spos:1_x000D_
#srcs:2_x000D_
#comment:0_x000D_
#events:1_x000D_
#kids:2_x000D_
lived:ENKENT WROTHAM_x000D_
issue:_x000D_
.recs:Birth,Marriage,Death_x000D_
.imm?:no_x000D_
..Spo:SARAH FORDE</t>
        </r>
      </text>
    </comment>
    <comment ref="X3270" authorId="0" shapeId="0" xr:uid="{10C0D6F7-24CF-418F-B798-6454C03045A5}">
      <text>
        <r>
          <rPr>
            <sz val="9"/>
            <color indexed="81"/>
            <rFont val="Tahoma"/>
            <family val="2"/>
          </rPr>
          <t>BENNETTA MYERS CHURCH_x000D_
http://yeinfo.com/family/I09066509.html_x000D_
https://www.google.com/search?q=BENNETTA+MYERS+CHURCH+1355+1375+CLERKE_x000D_
.born:?1355    -          _x000D_
.died: 1375    -1445     ?England, age:20y 0m 0d, _x000D_
.bapt: 1785GE_x000D_
.will: 2004MO_x000D_
.obit: 1890OH_x000D_
.bury: 1850IL _x000D_
.wpbt: 1826PA_x000D_
.anc#:double ancestor_x000D_
citiz:foreign_x000D_
#spos:1_x000D_
#srcs:1_x000D_
#comment:1_x000D_
#events:1_x000D_
#kids:1_x000D_
lived:?EN_x000D_
issue:Died after Age 100_x000D_
.recs:Birth,Marriage,Death_x000D_
.imm?:no_x000D_
..Spo:THOMAS CLERKE</t>
        </r>
      </text>
    </comment>
    <comment ref="V3272" authorId="0" shapeId="0" xr:uid="{2604C631-FBEE-44D5-88DC-FCAC85D60EF5}">
      <text>
        <r>
          <rPr>
            <sz val="9"/>
            <color indexed="81"/>
            <rFont val="Tahoma"/>
            <family val="2"/>
          </rPr>
          <t>JOHN CLERKE_x000D_
http://yeinfo.com/family/I09066183.html_x000D_
https://www.google.com/search?q=JOHN+CLERKE+1394+1482+AGNES+SUSAN_x000D_
.born: 1394    -          Wrotham (Kent) England_x000D_
.died: 14821210-          Wrotham (Kent) England, age:88y 11m 9d, _x000D_
.bapt: 1785GE_x000D_
.will: 2004MO_x000D_
.obit: 1890OH_x000D_
.bury: 1850IL _x000D_
.wpbt: 1826PA_x000D_
.anc#:ancestor_x000D_
citiz:foreign_x000D_
#spos:1_x000D_
#srcs:2_x000D_
#comment:0_x000D_
#events:1_x000D_
#kids:1_x000D_
lived:ENKENT WROTHAM_x000D_
issue:_x000D_
.recs:Birth,Marriage,Death_x000D_
.imm?:no_x000D_
..Spo:AGNES SUSAN FORDE</t>
        </r>
      </text>
    </comment>
    <comment ref="X3274" authorId="0" shapeId="0" xr:uid="{180706DB-DFAD-4081-9089-FF0928C85B65}">
      <text>
        <r>
          <rPr>
            <sz val="9"/>
            <color indexed="81"/>
            <rFont val="Tahoma"/>
            <family val="2"/>
          </rPr>
          <t>HENRY FORDE_x000D_
http://yeinfo.com/family/I09066510.html_x000D_
https://www.google.com/search?q=HENRY+FORDE+1350+1375+MAUD_x000D_
.born: 1350    -          Wrotham (Kent) England_x000D_
.died: 1375    -1440      Wrotham (Kent) England, age:25y 0m 0d, _x000D_
.bapt: 1785GE_x000D_
.will: 2004MO_x000D_
.obit: 1890OH_x000D_
.bury: 1850IL _x000D_
.wpbt: 1826PA_x000D_
.anc#:  triple ancestor_x000D_
citiz:foreign_x000D_
#spos:1_x000D_
#srcs:2_x000D_
#comment:0_x000D_
#events:1_x000D_
#kids:2_x000D_
lived:ENKENT WROTHAM_x000D_
issue:_x000D_
.recs:Birth,Marriage,Death_x000D_
.imm?:no_x000D_
..Spo:MAUD ECHINGHAM</t>
        </r>
      </text>
    </comment>
    <comment ref="W3276" authorId="0" shapeId="0" xr:uid="{ECFC3D50-D160-46F6-9FEC-E6599285B605}">
      <text>
        <r>
          <rPr>
            <sz val="9"/>
            <color indexed="81"/>
            <rFont val="Tahoma"/>
            <family val="2"/>
          </rPr>
          <t>SARAH FORDE_x000D_
http://yeinfo.com/family/I09066334.html_x000D_
https://www.google.com/search?q=SARAH+FORDE+1375+1435+CLERKE_x000D_
.born: 1375    -1378      Wrotham (Kent) England_x000D_
.died: 1435    -1460      Wrotham (Kent) England, age:60y 0m 0d, _x000D_
.bapt: 1785GE_x000D_
.will: 2004MO_x000D_
.obit: 1890OH_x000D_
.bury: 1850IL _x000D_
.wpbt: 1826PA_x000D_
.anc#:double ancestor_x000D_
citiz:foreign_x000D_
#spos:1_x000D_
#srcs:3_x000D_
#comment:0_x000D_
#events:1_x000D_
#kids:2_x000D_
lived:ENKENT WROTHAM_x000D_
issue:_x000D_
.recs:Birth,Marriage,Death_x000D_
.imm?:no_x000D_
..Spo:THOMAS CLERKE</t>
        </r>
      </text>
    </comment>
    <comment ref="X3278" authorId="0" shapeId="0" xr:uid="{3793DC53-30BC-4EC2-9D2A-72A0475C4CFE}">
      <text>
        <r>
          <rPr>
            <sz val="9"/>
            <color indexed="81"/>
            <rFont val="Tahoma"/>
            <family val="2"/>
          </rPr>
          <t>MAUD ECHINGHAM_x000D_
http://yeinfo.com/family/I09066511.html_x000D_
https://www.google.com/search?q=MAUD+ECHINGHAM+1352+1375+FORDE_x000D_
.born: 1352    -          England_x000D_
.died: 1375    -1442      Wrotham (Kent) England, age:23y 0m 0d, _x000D_
.bapt: 1785GE_x000D_
.will: 2004MO_x000D_
.obit: 1890OH_x000D_
.bury: 1850IL _x000D_
.wpbt: 1826PA_x000D_
.anc#:  triple ancestor_x000D_
citiz:foreign_x000D_
#spos:1_x000D_
#srcs:2_x000D_
#comment:0_x000D_
#events:1_x000D_
#kids:2_x000D_
lived:ENKENT WROTHAM_x000D_
issue:_x000D_
.recs:Birth,Marriage,Death_x000D_
.imm?:no_x000D_
..Spo:HENRY FORDE</t>
        </r>
      </text>
    </comment>
    <comment ref="U3280" authorId="0" shapeId="0" xr:uid="{729D9126-BE8A-4A29-AD33-B6676713FA74}">
      <text>
        <r>
          <rPr>
            <sz val="9"/>
            <color indexed="81"/>
            <rFont val="Tahoma"/>
            <family val="2"/>
          </rPr>
          <t>JOHN CLERKE II_x000D_
http://yeinfo.com/family/I09065997.html_x000D_
https://www.google.com/search?q=JOHN+CLERKE+1425+1480+ALICE_x000D_
.born: 1425    -          Wrotham (Kent) England_x000D_
.died: 14801209-          Wrotham (Kent) England, age:55y 11m 8d, _x000D_
.bapt: 1785GE_x000D_
.will: 2004MO_x000D_
.obit: 1890OH_x000D_
.bury: 1850IL _x000D_
.wpbt: 1826PA_x000D_
.anc#:ancestor_x000D_
citiz:foreign_x000D_
#spos:1_x000D_
#srcs:2_x000D_
#comment:0_x000D_
#events:1_x000D_
#kids:1_x000D_
lived:ENKENT WROTHAM_x000D_
issue:_x000D_
.recs:Birth,Marriage,Death_x000D_
.imm?:no_x000D_
..Spo:ALICE TATESHAM</t>
        </r>
      </text>
    </comment>
    <comment ref="X3282" authorId="0" shapeId="0" xr:uid="{1701E559-3B10-44E2-8AC4-F93551DDBDF2}">
      <text>
        <r>
          <rPr>
            <sz val="9"/>
            <color indexed="81"/>
            <rFont val="Tahoma"/>
            <family val="2"/>
          </rPr>
          <t>HENRY FORDE_x000D_
http://yeinfo.com/family/I09066510.html_x000D_
https://www.google.com/search?q=HENRY+FORDE+1350+1375+MAUD_x000D_
.born: 1350    -          Wrotham (Kent) England_x000D_
.died: 1375    -1440      Wrotham (Kent) England, age:25y 0m 0d, _x000D_
.bapt: 1785GE_x000D_
.will: 2004MO_x000D_
.obit: 1890OH_x000D_
.bury: 1850IL _x000D_
.wpbt: 1826PA_x000D_
.anc#:  triple ancestor_x000D_
citiz:foreign_x000D_
#spos:1_x000D_
#srcs:2_x000D_
#comment:0_x000D_
#events:1_x000D_
#kids:2_x000D_
lived:ENKENT WROTHAM_x000D_
issue:_x000D_
.recs:Birth,Marriage,Death_x000D_
.imm?:no_x000D_
..Spo:MAUD ECHINGHAM</t>
        </r>
      </text>
    </comment>
    <comment ref="W3284" authorId="0" shapeId="0" xr:uid="{AC7ACC97-97C5-495E-9B86-EEB0C12CDF0B}">
      <text>
        <r>
          <rPr>
            <sz val="9"/>
            <color indexed="81"/>
            <rFont val="Tahoma"/>
            <family val="2"/>
          </rPr>
          <t>THOMAS FORDE_x000D_
http://yeinfo.com/family/I09066458.html_x000D_
https://www.google.com/search?q=THOMAS+FORDE+1375+1446+SARAH_x000D_
.born: 1375    -          Wrotham (Kent) England_x000D_
.died: 1446    -          Kent county England, age:71y 0m 0d, _x000D_
.bapt: 1785GE_x000D_
.will: 2004MO_x000D_
.obit: 1890OH_x000D_
.bury: 1850IL _x000D_
.wpbt: 1826PA_x000D_
.anc#:ancestor_x000D_
citiz:foreign_x000D_
#spos:1_x000D_
#srcs:1_x000D_
#comment:0_x000D_
#events:1_x000D_
#kids:1_x000D_
lived:ENKENT WROTHAM_x000D_
issue:_x000D_
.recs:Birth,Marriage,Death_x000D_
.imm?:no_x000D_
..Spo:SARAH WARRETT</t>
        </r>
      </text>
    </comment>
    <comment ref="X3286" authorId="0" shapeId="0" xr:uid="{449AC95A-E7BF-4F08-B8B8-535F24A64515}">
      <text>
        <r>
          <rPr>
            <sz val="9"/>
            <color indexed="81"/>
            <rFont val="Tahoma"/>
            <family val="2"/>
          </rPr>
          <t>MAUD ECHINGHAM_x000D_
http://yeinfo.com/family/I09066511.html_x000D_
https://www.google.com/search?q=MAUD+ECHINGHAM+1352+1375+FORDE_x000D_
.born: 1352    -          England_x000D_
.died: 1375    -1442      Wrotham (Kent) England, age:23y 0m 0d, _x000D_
.bapt: 1785GE_x000D_
.will: 2004MO_x000D_
.obit: 1890OH_x000D_
.bury: 1850IL _x000D_
.wpbt: 1826PA_x000D_
.anc#:  triple ancestor_x000D_
citiz:foreign_x000D_
#spos:1_x000D_
#srcs:2_x000D_
#comment:0_x000D_
#events:1_x000D_
#kids:2_x000D_
lived:ENKENT WROTHAM_x000D_
issue:_x000D_
.recs:Birth,Marriage,Death_x000D_
.imm?:no_x000D_
..Spo:HENRY FORDE</t>
        </r>
      </text>
    </comment>
    <comment ref="V3288" authorId="0" shapeId="0" xr:uid="{A3897252-65E4-42CC-84E2-8E62C0A5977C}">
      <text>
        <r>
          <rPr>
            <sz val="9"/>
            <color indexed="81"/>
            <rFont val="Tahoma"/>
            <family val="2"/>
          </rPr>
          <t>AGNES SUSAN FORDE_x000D_
http://yeinfo.com/family/I09066184.html_x000D_
https://www.google.com/search?q=AGNES+SUSAN+FORDE+1399+1482+CLERKE_x000D_
.born: 1399    -          Wrotham (Kent) England_x000D_
.died: 1482    -          Wrotham (Kent) England, age:83y 0m 0d, _x000D_
.bapt: 1785GE_x000D_
.will: 2004MO_x000D_
.obit: 1890OH_x000D_
.bury: 1850IL _x000D_
.wpbt: 1826PA_x000D_
.anc#:ancestor_x000D_
citiz:foreign_x000D_
#spos:1_x000D_
#srcs:3_x000D_
#comment:0_x000D_
#events:1_x000D_
#kids:1_x000D_
lived:ENKENT WROTHAM_x000D_
issue:Died after Age 100_x000D_
.recs:Birth,Marriage,Death_x000D_
.imm?:no_x000D_
..Spo:JOHN CLERKE</t>
        </r>
      </text>
    </comment>
    <comment ref="W3290" authorId="0" shapeId="0" xr:uid="{8732E317-4C20-48FB-8A36-7232BE752445}">
      <text>
        <r>
          <rPr>
            <sz val="9"/>
            <color indexed="81"/>
            <rFont val="Tahoma"/>
            <family val="2"/>
          </rPr>
          <t>SARAH WARRETT_x000D_
http://yeinfo.com/family/I09066485.html_x000D_
https://www.google.com/search?q=SARAH+WARRETT+1378+1418+FORDE_x000D_
.born: 1378    -          Wrotham (Kent) England_x000D_
.died: 1418    -          Kent county England, age:40y 0m 0d, _x000D_
.bapt: 1785GE_x000D_
.will: 2004MO_x000D_
.obit: 1890OH_x000D_
.bury: 1850IL _x000D_
.wpbt: 1826PA_x000D_
.anc#:ancestor_x000D_
citiz:foreign_x000D_
#spos:1_x000D_
#srcs:1_x000D_
#comment:0_x000D_
#events:1_x000D_
#kids:1_x000D_
lived:ENKENT WROTHAM_x000D_
issue:_x000D_
.recs:Birth,Marriage,Death_x000D_
.imm?:no_x000D_
..Spo:THOMAS FORDE</t>
        </r>
      </text>
    </comment>
    <comment ref="T3292" authorId="0" shapeId="0" xr:uid="{BC122975-0993-4A3E-9BB8-98281FB2E1CB}">
      <text>
        <r>
          <rPr>
            <sz val="9"/>
            <color indexed="81"/>
            <rFont val="Tahoma"/>
            <family val="2"/>
          </rPr>
          <t>JOHN CLERKE_x000D_
http://yeinfo.com/family/I09065831.html_x000D_
https://www.google.com/search?q=JOHN+CLERKE+1448+1497+AGNES_x000D_
.born: 1448    -          Wrotham (Kent) England_x000D_
.died: 14970706-          Basildon (Essex) England, age:49y 6m 5d, _x000D_
.bapt: 1785GE_x000D_
.will: 2004MO_x000D_
.obit: 1890OH_x000D_
.bury: 1850IL _x000D_
.wpbt: 1826PA_x000D_
.anc#:ancestor_x000D_
citiz:foreign_x000D_
#spos:1_x000D_
#srcs:1_x000D_
#comment:1_x000D_
#events:1_x000D_
#kids:1_x000D_
lived:ENESSEXBASILDO,ENKENT WROTHAM_x000D_
issue:_x000D_
.recs:Birth,Marriage,Death_x000D_
.imm?:no_x000D_
..Spo:AGNES CLERKE</t>
        </r>
      </text>
    </comment>
    <comment ref="W3294" authorId="0" shapeId="0" xr:uid="{E1DDAEA1-91C7-49A3-B538-1E88DC38974D}">
      <text>
        <r>
          <rPr>
            <sz val="9"/>
            <color indexed="81"/>
            <rFont val="Tahoma"/>
            <family val="2"/>
          </rPr>
          <t>THOMAS TATESHAM_x000D_
http://yeinfo.com/family/I09066335.html_x000D_
https://www.google.com/search?q=THOMAS+TATESHAM+1380+1400+{_?_}_x000D_
.born:c1380    -          Kent county England_x000D_
.died: 1400    -1470     ?England, age:20y 0m 0d, _x000D_
.bapt: 1785GE_x000D_
.will: 2004MO_x000D_
.obit: 1890OH_x000D_
.bury: 1850IL _x000D_
.wpbt: 1826PA_x000D_
.anc#:ancestor_x000D_
citiz:foreign_x000D_
#spos:1_x000D_
#srcs:1_x000D_
#comment:0_x000D_
#events:1_x000D_
#kids:1_x000D_
lived:ENKENT_x000D_
issue:_x000D_
.recs:Birth,Marriage,Death_x000D_
.imm?:no_x000D_
..Spo:{_?_} TATESHAM</t>
        </r>
      </text>
    </comment>
    <comment ref="V3296" authorId="0" shapeId="0" xr:uid="{35BD9864-EAD9-4E6B-A63C-0091F373C057}">
      <text>
        <r>
          <rPr>
            <sz val="9"/>
            <color indexed="81"/>
            <rFont val="Tahoma"/>
            <family val="2"/>
          </rPr>
          <t>TALRAN TATESHAM_x000D_
http://yeinfo.com/family/I09066185.html_x000D_
https://www.google.com/search?q=TALRAN+TATESHAM+1400+1485+ALICE_x000D_
.born:c1400    -          Kent county England_x000D_
.died:c1485    -          England, age:85y 0m 0d, _x000D_
.bapt: 1785GE_x000D_
.will: 2004MO_x000D_
.obit: 1890OH_x000D_
.bury: 1850IL _x000D_
.wpbt: 1826PA_x000D_
.anc#:ancestor_x000D_
citiz:foreign_x000D_
#spos:1_x000D_
#srcs:1_x000D_
#comment:0_x000D_
#events:1_x000D_
#kids:1_x000D_
lived:ENKENT_x000D_
issue:_x000D_
.recs:Birth,Marriage,Death_x000D_
.imm?:no_x000D_
..Spo:ALICE TALRAN</t>
        </r>
      </text>
    </comment>
    <comment ref="W3298" authorId="0" shapeId="0" xr:uid="{1BDC414E-7B95-4406-834B-1F0C3C5A1101}">
      <text>
        <r>
          <rPr>
            <sz val="9"/>
            <color indexed="81"/>
            <rFont val="Tahoma"/>
            <family val="2"/>
          </rPr>
          <t>Mrs. {_?_} TATESHAM_x000D_
http://yeinfo.com/family/I09066336.html_x000D_
https://www.google.com/search?q={_?_}+TATESHAM+1380+1400+TATESHAM_x000D_
.born:?138009  -          _x000D_
.died: 1400    -1470     ?England, age:19y 4m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..Spo:THOMAS TATESHAM</t>
        </r>
      </text>
    </comment>
    <comment ref="U3300" authorId="0" shapeId="0" xr:uid="{0D300B89-682E-4DC1-9BC3-E60D9F067BCA}">
      <text>
        <r>
          <rPr>
            <sz val="9"/>
            <color indexed="81"/>
            <rFont val="Tahoma"/>
            <family val="2"/>
          </rPr>
          <t>ALICE TATESHAM_x000D_
http://yeinfo.com/family/I09065998.html_x000D_
https://www.google.com/search?q=ALICE+TATESHAM+1425+1480+CLERKE_x000D_
.born:c1425    -          Kent county England_x000D_
.died: 1480    -          Wrotham (Kent) England, age:55y 0m 0d, _x000D_
.bapt: 1785GE_x000D_
.will: 2004MO_x000D_
.obit: 1890OH_x000D_
.bury: 1850IL _x000D_
.wpbt: 1826PA_x000D_
.anc#:ancestor_x000D_
citiz:foreign_x000D_
#spos:1_x000D_
#srcs:1_x000D_
#comment:0_x000D_
#events:1_x000D_
#kids:1_x000D_
lived:ENKENT WROTHAM_x000D_
issue:_x000D_
.recs:Birth,Marriage,Death_x000D_
.imm?:no_x000D_
..Spo:JOHN CLERKE</t>
        </r>
      </text>
    </comment>
    <comment ref="V3302" authorId="0" shapeId="0" xr:uid="{7990170C-D5B4-415D-AB67-60659346E6B9}">
      <text>
        <r>
          <rPr>
            <sz val="9"/>
            <color indexed="81"/>
            <rFont val="Tahoma"/>
            <family val="2"/>
          </rPr>
          <t>ALICE TALRAN_x000D_
http://yeinfo.com/family/I09066186.html_x000D_
https://www.google.com/search?q=ALICE+TALRAN+1405+1480+TATESHAM_x000D_
.born:c1405    -          England_x000D_
.died: 1480    -          England, age:75y 0m 0d, _x000D_
.bapt: 1785GE_x000D_
.will: 2004MO_x000D_
.obit: 1890OH_x000D_
.bury: 1850IL _x000D_
.wpbt: 1826PA_x000D_
.anc#:ancestor_x000D_
citiz:foreign_x000D_
#spos:1_x000D_
#srcs:1_x000D_
#comment:1_x000D_
#events:1_x000D_
#kids:1_x000D_
lived:EN_x000D_
issue:Died after Age 100_x000D_
.recs:Birth,Marriage,Death_x000D_
.imm?:no_x000D_
..Spo:TALRAN TATESHAM</t>
        </r>
      </text>
    </comment>
    <comment ref="S3304" authorId="0" shapeId="0" xr:uid="{9065BE25-5AE1-45BC-B055-6933495EBF7D}">
      <text>
        <r>
          <rPr>
            <sz val="9"/>
            <color indexed="81"/>
            <rFont val="Tahoma"/>
            <family val="2"/>
          </rPr>
          <t>ROBERT CLERKE_x000D_
http://yeinfo.com/family/I09065696.html_x000D_
https://www.google.com/search?q=ROBERT+CLERKE+1492+1550+AGNES\ELIZABETH_x000D_
.born: 1492    -         ?England_x000D_
.died: 1550    -         ?England, age:58y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..Spo:AGNES\ELIZABETH WILLOUGHBY</t>
        </r>
      </text>
    </comment>
    <comment ref="T3306" authorId="0" shapeId="0" xr:uid="{FA934265-8FB4-4CA4-9C3B-19DD74D2709D}">
      <text>
        <r>
          <rPr>
            <sz val="9"/>
            <color indexed="81"/>
            <rFont val="Tahoma"/>
            <family val="2"/>
          </rPr>
          <t>Mrs. AGNES CLERKE_x000D_
http://yeinfo.com/family/I09065832.html_x000D_
https://www.google.com/search?q=AGNES+CLERKE+1450+1492+CLERKE_x000D_
.born: 1450    -          England_x000D_
.died: 1492    -1540     ?England, age:42y 0m 0d, _x000D_
.bapt: 1785GE_x000D_
.will: 2004MO_x000D_
.obit: 1890OH_x000D_
.bury: 1850IL _x000D_
.wpbt: 1826PA_x000D_
.anc#:ancestor_x000D_
citiz:foreign_x000D_
#spos:1_x000D_
#srcs:1_x000D_
#comment:1_x000D_
#events:1_x000D_
#kids:1_x000D_
lived:EN_x000D_
issue:_x000D_
.recs:Birth,Marriage,Death_x000D_
.imm?:no_x000D_
..Spo:JOHN CLERKE</t>
        </r>
      </text>
    </comment>
    <comment ref="R3308" authorId="0" shapeId="0" xr:uid="{01099B98-34C8-437D-A0DA-08E08AD86C98}">
      <text>
        <r>
          <rPr>
            <sz val="9"/>
            <color indexed="81"/>
            <rFont val="Tahoma"/>
            <family val="2"/>
          </rPr>
          <t>HENRY CLERKE_x000D_
http://yeinfo.com/family/I09065563.html_x000D_
https://www.google.com/search?q=HENRY+CLERKE+1518+1567+JOANE_x000D_
.born: 1518    -          Willoughby (Warwickshire) England_x000D_
.died: 1567    -          Bruton (Somerset) England, age:49y 0m 0d, _x000D_
.bapt: 1785GE_x000D_
.will: 2004MO_x000D_
.obit: 1890OH_x000D_
.bury: 1850IL _x000D_
.wpbt: 1826PA_x000D_
.anc#:ancestor_x000D_
citiz:foreign_x000D_
#spos:1_x000D_
#srcs:1_x000D_
#comment:0_x000D_
#events:1_x000D_
#kids:1_x000D_
lived:ENSOMESBRUTON,ENWARWEWILLOUG_x000D_
issue:_x000D_
.recs:Birth,Marriage,Death_x000D_
.imm?:no_x000D_
..Spo:JOANE TULLY</t>
        </r>
      </text>
    </comment>
    <comment ref="S3310" authorId="0" shapeId="0" xr:uid="{F719278C-E5F9-4A4D-A2E0-5F6B43EE4F7B}">
      <text>
        <r>
          <rPr>
            <sz val="9"/>
            <color indexed="81"/>
            <rFont val="Tahoma"/>
            <family val="2"/>
          </rPr>
          <t>AGNES\ELIZABETH WILLOUGHBY_x000D_
http://yeinfo.com/family/I09065697.html_x000D_
https://www.google.com/search?q=AGNES\ELIZABETH+WILLOUGHBY+1485+1518+CLERKE_x000D_
.born:?1485    -          _x000D_
.died: 1518    -1575     ?England, age:33y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..Spo:ROBERT CLERKE</t>
        </r>
      </text>
    </comment>
    <comment ref="Q3312" authorId="0" shapeId="0" xr:uid="{D1DCF705-EE61-4927-9AA9-807EAC3222E2}">
      <text>
        <r>
          <rPr>
            <sz val="9"/>
            <color indexed="81"/>
            <rFont val="Tahoma"/>
            <family val="2"/>
          </rPr>
          <t>AMY CLERKE_x000D_
http://yeinfo.com/family/I09043383.html_x000D_
https://www.google.com/search?q=AMY+CLERKE+1555+1573+STEVENS_x000D_
.born: 1555    -          Bath (Somerset) England_x000D_
.died: 1573    -          England, age:18y 0m 0d, _x000D_
.bapt: 1785GE_x000D_
.will: 2004MO_x000D_
.obit: 1890OH_x000D_
.bury: 1850IL _x000D_
.wpbt: 1826PA_x000D_
.anc#:ancestor_x000D_
citiz:foreign_x000D_
#spos:1_x000D_
#srcs:1_x000D_
#comment:0_x000D_
#events:1_x000D_
#kids:1_x000D_
lived:ENSOMESBATH_x000D_
issue:Died after Age 100_x000D_
.recs:Birth,Marriage,Death_x000D_
.imm?:no_x000D_
..Spo:GEORGE STEVENS</t>
        </r>
      </text>
    </comment>
    <comment ref="R3314" authorId="0" shapeId="0" xr:uid="{BB046061-093B-4ABE-BD62-17AF73F3660F}">
      <text>
        <r>
          <rPr>
            <sz val="9"/>
            <color indexed="81"/>
            <rFont val="Tahoma"/>
            <family val="2"/>
          </rPr>
          <t>JOANE TULLY_x000D_
http://yeinfo.com/family/I09065564.html_x000D_
https://www.google.com/search?q=JOANE+TULLY+1524+1563+CLERKE_x000D_
.born: 1524    -          Bath (Somerset) England_x000D_
.died: 1563    -          London (Middlesex) England, age:39y 0m 0d, _x000D_
.bapt: 1785GE_x000D_
.will: 2004MO_x000D_
.obit: 1890OH_x000D_
.bury: 1850IL _x000D_
.wpbt: 1826PA_x000D_
.anc#:ancestor_x000D_
citiz:foreign_x000D_
#spos:1_x000D_
#srcs:1_x000D_
#comment:1_x000D_
#events:1_x000D_
#kids:1_x000D_
lived:ENMIDDLLONDON,ENSOMESBATH_x000D_
issue:Died after Age 100_x000D_
.recs:Birth,Marriage,Death_x000D_
.imm?:no_x000D_
..Spo:HENRY CLERKE</t>
        </r>
      </text>
    </comment>
    <comment ref="M3316" authorId="0" shapeId="0" xr:uid="{AF07AF23-0CC8-4A45-97EB-022DEC8E27A9}">
      <text>
        <r>
          <rPr>
            <sz val="9"/>
            <color indexed="81"/>
            <rFont val="Tahoma"/>
            <family val="2"/>
          </rPr>
          <t>MARY PHILLIPS_x000D_
http://yeinfo.com/family/I09002711.html_x000D_
https://www.google.com/search?q=MARY+PHILLIPS+1668+1727+PAYSON_x000D_
.born: 16680215-          _x000D_
.died: 17270525-          , age:59y 3m 10d, _x000D_
.bapt: 1785GE_x000D_
.will: 2004MO_x000D_
.obit: 1890OH_x000D_
.bury: 1850IL _x000D_
.wpbt: 1826PA_x000D_
.anc#:ancestor_x000D_
citiz:US born_x000D_
#spos:1_x000D_
#srcs:3_x000D_
#comment:0_x000D_
#events:1_x000D_
#kids:2_x000D_
lived:_x000D_
issue:_x000D_
.recs:Birth,Marriage,Death_x000D_
.imm?:no_x000D_
..Spo:SAMUEL PAYSON</t>
        </r>
      </text>
    </comment>
    <comment ref="W3318" authorId="0" shapeId="0" xr:uid="{B556BEB2-C825-4A4E-9027-5886A221A70D}">
      <text>
        <r>
          <rPr>
            <sz val="9"/>
            <color indexed="81"/>
            <rFont val="Tahoma"/>
            <family val="2"/>
          </rPr>
          <t>WILLIAM APPLETON_x000D_
http://yeinfo.com/family/I09066337.html_x000D_
https://www.google.com/search?q=WILLIAM+APPLETON+1323+1355+{_?_}_x000D_
.born:c1323    -         ?England_x000D_
.died: 1355    -1413      Suffolk county England, age:32y 0m 0d, _x000D_
.bapt: 1785GE_x000D_
.will: 2004MO_x000D_
.obit: 1890OH_x000D_
.bury: 1850IL _x000D_
.wpbt: 1826PA_x000D_
.anc#:ancestor_x000D_
citiz:foreign_x000D_
#spos:1_x000D_
#srcs:1_x000D_
#comment:0_x000D_
#events:1_x000D_
#kids:1_x000D_
lived:?EN,ENSUFFO_x000D_
issue:_x000D_
.recs:Birth,Marriage,Death_x000D_
.imm?:no_x000D_
..Spo:{_?_} APPLETON</t>
        </r>
      </text>
    </comment>
    <comment ref="V3320" authorId="0" shapeId="0" xr:uid="{3A77BC22-804E-4F13-BBB9-87F5F78D7F54}">
      <text>
        <r>
          <rPr>
            <sz val="9"/>
            <color indexed="81"/>
            <rFont val="Tahoma"/>
            <family val="2"/>
          </rPr>
          <t>JOHN APPLETON_x000D_
http://yeinfo.com/family/I09066187.html_x000D_
https://www.google.com/search?q=JOHN+APPLETON+1355+1416+{_?_}_x000D_
.born: 1355    -          Little Waldingfield (Suffolk) England_x000D_
.died: 1416    -          Kent county England, age:61y 0m 0d, _x000D_
.bapt: 1785GE_x000D_
.will: 2004MO_x000D_
.obit: 1890OH_x000D_
.bury: 1850IL _x000D_
.wpbt: 1826PA_x000D_
.anc#:ancestor_x000D_
citiz:foreign_x000D_
#spos:1_x000D_
#srcs:1_x000D_
#comment:0_x000D_
#events:1_x000D_
#kids:1_x000D_
lived:ENKENT,ENSUFFOLITTLEW_x000D_
issue:_x000D_
.recs:Birth,Marriage,Death_x000D_
.imm?:no_x000D_
..Spo:{_?_} APPLETON</t>
        </r>
      </text>
    </comment>
    <comment ref="W3322" authorId="0" shapeId="0" xr:uid="{D442C68B-59A2-4253-882E-3A4E01701C19}">
      <text>
        <r>
          <rPr>
            <sz val="9"/>
            <color indexed="81"/>
            <rFont val="Tahoma"/>
            <family val="2"/>
          </rPr>
          <t>Mrs. {_?_} APPLETON_x000D_
http://yeinfo.com/family/I09066338.html_x000D_
https://www.google.com/search?q={_?_}+APPLETON+1325+1355+APPLETON_x000D_
.born:?1325    -          _x000D_
.died: 1355    -1415     ?England, age:30y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..Spo:WILLIAM APPLETON</t>
        </r>
      </text>
    </comment>
    <comment ref="U3324" authorId="0" shapeId="0" xr:uid="{9F7EA9DD-2CF3-456E-8532-03E68013CDE2}">
      <text>
        <r>
          <rPr>
            <sz val="9"/>
            <color indexed="81"/>
            <rFont val="Tahoma"/>
            <family val="2"/>
          </rPr>
          <t>JOHN APPLETON II_x000D_
http://yeinfo.com/family/I09065999.html_x000D_
https://www.google.com/search?q=JOHN+APPLETON+1375+1459+{_?_}_x000D_
.born:?1375    -          Little Waldingfield (Suffolk) England_x000D_
.died: 1459    -          Kent county England, age:84y 0m 0d, _x000D_
.bapt: 1785GE_x000D_
.will: 2004MO_x000D_
.obit: 1890OH_x000D_
.bury: 1850IL _x000D_
.wpbt: 1826PA_x000D_
.anc#:ancestor_x000D_
citiz:foreign_x000D_
#spos:1_x000D_
#srcs:1_x000D_
#comment:0_x000D_
#events:1_x000D_
#kids:1_x000D_
lived:ENKENT,ENSUFFOLITTLEW_x000D_
issue:_x000D_
.recs:Birth,Marriage,Death_x000D_
.imm?:no_x000D_
..Spo:{_?_} APPLETON</t>
        </r>
      </text>
    </comment>
    <comment ref="V3326" authorId="0" shapeId="0" xr:uid="{0572F797-9915-45BE-BBA2-6105A7F80578}">
      <text>
        <r>
          <rPr>
            <sz val="9"/>
            <color indexed="81"/>
            <rFont val="Tahoma"/>
            <family val="2"/>
          </rPr>
          <t>Mrs. {_?_} APPLETON_x000D_
http://yeinfo.com/family/I09066188.html_x000D_
https://www.google.com/search?q={_?_}+APPLETON+1355+1375+APPLETON_x000D_
.born:?1355    -          _x000D_
.died: 1375    -1445     ?England, age:20y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..Spo:JOHN APPLETON</t>
        </r>
      </text>
    </comment>
    <comment ref="T3328" authorId="0" shapeId="0" xr:uid="{D4EFBFDA-0D85-499D-9115-0F9D5DA596AE}">
      <text>
        <r>
          <rPr>
            <sz val="9"/>
            <color indexed="81"/>
            <rFont val="Tahoma"/>
            <family val="2"/>
          </rPr>
          <t>JOHN APPLETON III_x000D_
http://yeinfo.com/family/I09065833.html_x000D_
https://www.google.com/search?q=JOHN+APPLETON+1404+1481+MARGARET_x000D_
.born:c1404    -          Waldringfield (Suffolk) England_x000D_
.died: 14810409-          Little Waldingfield (Suffolk) England, age:77y 3m 8d, _x000D_
.bapt: 1785GE_x000D_
.will: 2004MO_x000D_
.obit: 1890OH_x000D_
.bury: 1850IL _x000D_
.wpbt: 1826PA_x000D_
.anc#:ancestor_x000D_
citiz:foreign_x000D_
#spos:1_x000D_
#srcs:2_x000D_
#comment:1_x000D_
#events:1_x000D_
#kids:1_x000D_
lived:ENSUFFOLITTLEW,ENSUFFOWALDRIN_x000D_
issue:_x000D_
.recs:Birth,Marriage,Death_x000D_
.imm?:no_x000D_
..Spo:MARGARET WELLING</t>
        </r>
      </text>
    </comment>
    <comment ref="U3330" authorId="0" shapeId="0" xr:uid="{BCEF4DC9-DB33-4A56-B997-6E85A0483D99}">
      <text>
        <r>
          <rPr>
            <sz val="9"/>
            <color indexed="81"/>
            <rFont val="Tahoma"/>
            <family val="2"/>
          </rPr>
          <t>Mrs. {_?_} APPLETON_x000D_
http://yeinfo.com/family/I09066000.html_x000D_
https://www.google.com/search?q={_?_}+APPLETON+1375+1404+APPLETON_x000D_
.born:?1375    -          _x000D_
.died: 1404    -1465     ?England, age:29y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..Spo:JOHN APPLETON</t>
        </r>
      </text>
    </comment>
    <comment ref="S3332" authorId="0" shapeId="0" xr:uid="{148A7C1C-6843-4C69-8657-33E0E0C68B45}">
      <text>
        <r>
          <rPr>
            <sz val="9"/>
            <color indexed="81"/>
            <rFont val="Tahoma"/>
            <family val="2"/>
          </rPr>
          <t>THOMAS APPLETON_x000D_
http://yeinfo.com/family/I09065698.html_x000D_
https://www.google.com/search?q=THOMAS+APPLETON+1452+1507+MARGARY_x000D_
.born: 1452    -          Little Waldingfield (Suffolk) England_x000D_
.died: 15071004-          Little Waldingfield (Suffolk) England, age:55y 9m 3d, _x000D_
.bapt: 1785GE_x000D_
.will: 2004MO_x000D_
.obit: 1890OH_x000D_
.bury: 1850IL _x000D_
.wpbt: 1826PA_x000D_
.anc#:ancestor_x000D_
citiz:foreign_x000D_
#spos:1_x000D_
#srcs:2_x000D_
#comment:0_x000D_
#events:1_x000D_
#kids:1_x000D_
lived:ENSUFFOLITTLEW_x000D_
issue:_x000D_
.recs:Birth,Marriage,Death_x000D_
.imm?:no_x000D_
..Spo:MARGARY CRANE</t>
        </r>
      </text>
    </comment>
    <comment ref="V3334" authorId="0" shapeId="0" xr:uid="{45FF9FBC-E906-4354-B42B-8C6AD6BD1B33}">
      <text>
        <r>
          <rPr>
            <sz val="9"/>
            <color indexed="81"/>
            <rFont val="Tahoma"/>
            <family val="2"/>
          </rPr>
          <t>WILLIAM WELLING_x000D_
http://yeinfo.com/family/I09066189.html_x000D_
https://www.google.com/search?q=WILLIAM+WELLING+1360+1387+ELIZABETH_x000D_
.born:?1360    -         ?England_x000D_
.died: 1387    -1450     ?England, age:27y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..Spo:ELIZABETH WELLING</t>
        </r>
      </text>
    </comment>
    <comment ref="U3336" authorId="0" shapeId="0" xr:uid="{105EC273-3A08-422B-A2C5-885818CDAC62}">
      <text>
        <r>
          <rPr>
            <sz val="9"/>
            <color indexed="81"/>
            <rFont val="Tahoma"/>
            <family val="2"/>
          </rPr>
          <t>ROBERT WELLING_x000D_
http://yeinfo.com/family/I09066001.html_x000D_
https://www.google.com/search?q=ROBERT+WELLING+1387+1468+ELIZABETH_x000D_
.born: 1387    -          Little Waldingfield (Suffolk) England_x000D_
.died: 1468    -          Lavenham (Suffolk) England, age:81y 0m 0d, _x000D_
.bapt: 1785GE_x000D_
.will: 2004MO_x000D_
.obit: 1890OH_x000D_
.bury: 1850IL _x000D_
.wpbt: 1826PA_x000D_
.anc#:ancestor_x000D_
citiz:foreign_x000D_
#spos:1_x000D_
#srcs:1_x000D_
#comment:0_x000D_
#events:1_x000D_
#kids:1_x000D_
lived:ENSUFFOLAVENHA,ENSUFFOLITTLEW_x000D_
issue:_x000D_
.recs:Birth,Marriage,Death_x000D_
.imm?:no_x000D_
..Spo:ELIZABETH WELLING</t>
        </r>
      </text>
    </comment>
    <comment ref="V3338" authorId="0" shapeId="0" xr:uid="{13FC15AC-C26B-47D0-8747-BB2F4E1E290C}">
      <text>
        <r>
          <rPr>
            <sz val="9"/>
            <color indexed="81"/>
            <rFont val="Tahoma"/>
            <family val="2"/>
          </rPr>
          <t>Mrs. ELIZABETH WELLING_x000D_
http://yeinfo.com/family/I09066190.html_x000D_
https://www.google.com/search?q=ELIZABETH+WELLING+1360+1387+WELLING_x000D_
.born:?1360    -         ?England_x000D_
.died: 1387    -1450     ?England, age:27y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..Spo:WILLIAM WELLING</t>
        </r>
      </text>
    </comment>
    <comment ref="T3340" authorId="0" shapeId="0" xr:uid="{25D179D3-E69F-473D-8642-FB6B7F013DDF}">
      <text>
        <r>
          <rPr>
            <sz val="9"/>
            <color indexed="81"/>
            <rFont val="Tahoma"/>
            <family val="2"/>
          </rPr>
          <t>MARGARET WELLING_x000D_
http://yeinfo.com/family/I09065834.html_x000D_
https://www.google.com/search?q=MARGARET+WELLING+1413+1468+APPLETON_x000D_
.born:c1413    -          Lavenham (Suffolk) England_x000D_
.died: 146807  -          Little Waldingfield (Suffolk) England, age:55y 6m 0d, _x000D_
.bapt: 1785GE_x000D_
.will: 2004MO_x000D_
.obit: 1890OH_x000D_
.bury: 1850IL _x000D_
.wpbt: 1826PA_x000D_
.anc#:ancestor_x000D_
citiz:foreign_x000D_
#spos:1_x000D_
#srcs:1_x000D_
#comment:0_x000D_
#events:1_x000D_
#kids:1_x000D_
lived:ENSUFFOLAVENHA,ENSUFFOLITTLEW_x000D_
issue:Died after Age 100_x000D_
.recs:Birth,Marriage,Death_x000D_
.imm?:no_x000D_
..Spo:JOHN APPLETON</t>
        </r>
      </text>
    </comment>
    <comment ref="U3342" authorId="0" shapeId="0" xr:uid="{F114AD27-6CF4-4F38-AE40-D44FF7E7950A}">
      <text>
        <r>
          <rPr>
            <sz val="9"/>
            <color indexed="81"/>
            <rFont val="Tahoma"/>
            <family val="2"/>
          </rPr>
          <t>Mrs. ELIZABETH WELLING_x000D_
http://yeinfo.com/family/I09066002.html_x000D_
https://www.google.com/search?q=ELIZABETH+WELLING+1393+1413+WELLING_x000D_
.born: 1393    -          Lavenham (Suffolk) England_x000D_
.died: 1413    -1483      , age:20y 0m 0d, _x000D_
.bapt: 1785GE_x000D_
.will: 2004MO_x000D_
.obit: 1890OH_x000D_
.bury: 1850IL _x000D_
.wpbt: 1826PA_x000D_
.anc#:ancestor_x000D_
citiz:foreign_x000D_
#spos:1_x000D_
#srcs:2_x000D_
#comment:0_x000D_
#events:1_x000D_
#kids:1_x000D_
lived:ENSUFFOLAVENHA_x000D_
issue:_x000D_
.recs:Birth,Marriage,Death_x000D_
.imm?:no_x000D_
..Spo:ROBERT WELLING</t>
        </r>
      </text>
    </comment>
    <comment ref="R3344" authorId="0" shapeId="0" xr:uid="{F819D7B7-66FA-4B46-8E2F-245708E50990}">
      <text>
        <r>
          <rPr>
            <sz val="9"/>
            <color indexed="81"/>
            <rFont val="Tahoma"/>
            <family val="2"/>
          </rPr>
          <t>ROBERT GILES APPLETON_x000D_
http://yeinfo.com/family/I09065565.html_x000D_
https://www.google.com/search?q=ROBERT+GILES+APPLETON+1487+1526+MARY_x000D_
.born: 1487    -          Little Waldingfield (Suffolk) England_x000D_
.died: 15260827-          Little Waldingfield (Suffolk) England, age:39y 7m 26d, _x000D_
.bapt: 1785GE_x000D_
.will: 2004MO_x000D_
.obit: 1890OH_x000D_
.bury: 1850IL _x000D_
.wpbt: 1826PA_x000D_
.anc#:ancestor_x000D_
citiz:foreign_x000D_
#spos:1_x000D_
#srcs:1_x000D_
#comment:0_x000D_
#events:1_x000D_
#kids:1_x000D_
lived:ENSUFFOLITTLEW_x000D_
issue:_x000D_
.recs:Birth,Marriage,Death_x000D_
.imm?:no_x000D_
..Spo:MARY MOUNTNEY</t>
        </r>
      </text>
    </comment>
    <comment ref="Z3346" authorId="0" shapeId="0" xr:uid="{841BDFB4-9EA9-475D-B180-5CC7AA76CAD5}">
      <text>
        <r>
          <rPr>
            <sz val="9"/>
            <color indexed="81"/>
            <rFont val="Tahoma"/>
            <family val="2"/>
          </rPr>
          <t>THOMAS CRANE_x000D_
http://yeinfo.com/family/I09066616.html_x000D_
https://www.google.com/search?q=THOMAS+CRANE+1245+1274+PETRONILLA_x000D_
.born: 1245    -          Henham (Suffolk) England_x000D_
.died: 1274    -1335     ?England, age:29y 0m 0d, _x000D_
.bapt: 1785GE_x000D_
.will: 2004MO_x000D_
.obit: 1890OH_x000D_
.bury: 1850IL _x000D_
.wpbt: 1826PA_x000D_
.anc#:ancestor_x000D_
citiz:foreign_x000D_
#spos:1_x000D_
#srcs:1_x000D_
#comment:1_x000D_
#events:1_x000D_
#kids:1_x000D_
lived:ENSUFFOHENHAM_x000D_
issue:_x000D_
.recs:Birth,Marriage,Death_x000D_
.imm?:no_x000D_
..Spo:PETRONILLA BELLESLEY</t>
        </r>
      </text>
    </comment>
    <comment ref="Y3348" authorId="0" shapeId="0" xr:uid="{9549B29B-0687-4A31-85C0-EB6895A2F3C5}">
      <text>
        <r>
          <rPr>
            <sz val="9"/>
            <color indexed="81"/>
            <rFont val="Tahoma"/>
            <family val="2"/>
          </rPr>
          <t>RICHARD CRANE_x000D_
http://yeinfo.com/family/I09066562.html_x000D_
https://www.google.com/search?q=RICHARD+CRANE+1274+1305+{_?_}_x000D_
.born: 1274    -          England_x000D_
.died: 1305    -1364     ?England, age:31y 0m 0d, _x000D_
.bapt: 1785GE_x000D_
.will: 2004MO_x000D_
.obit: 1890OH_x000D_
.bury: 1850IL _x000D_
.wpbt: 1826PA_x000D_
.anc#:ancestor_x000D_
citiz:foreign_x000D_
#spos:1_x000D_
#srcs:1_x000D_
#comment:1_x000D_
#events:1_x000D_
#kids:1_x000D_
lived:EN_x000D_
issue:_x000D_
.recs:Birth,Marriage,Death_x000D_
.imm?:no_x000D_
..Spo:{_?_} CRANE</t>
        </r>
      </text>
    </comment>
    <comment ref="Z3350" authorId="0" shapeId="0" xr:uid="{F6819B3C-9469-465B-BCD5-066071C66D58}">
      <text>
        <r>
          <rPr>
            <sz val="9"/>
            <color indexed="81"/>
            <rFont val="Tahoma"/>
            <family val="2"/>
          </rPr>
          <t>PETRONILLA BELLESLEY_x000D_
http://yeinfo.com/family/I09066617.html_x000D_
https://www.google.com/search?q=PETRONILLA+BELLESLEY+1248+1274+CRANE_x000D_
.born: 1248    -          Henham (Suffolk) England_x000D_
.died: 1274    -1338     ?England, age:26y 0m 0d, _x000D_
.bapt: 1785GE_x000D_
.will: 2004MO_x000D_
.obit: 1890OH_x000D_
.bury: 1850IL _x000D_
.wpbt: 1826PA_x000D_
.anc#:ancestor_x000D_
citiz:foreign_x000D_
#spos:1_x000D_
#srcs:1_x000D_
#comment:0_x000D_
#events:1_x000D_
#kids:1_x000D_
lived:ENSUFFOHENHAM_x000D_
issue:_x000D_
.recs:Birth,Marriage,Death_x000D_
.imm?:no_x000D_
..Spo:THOMAS CRANE</t>
        </r>
      </text>
    </comment>
    <comment ref="X3352" authorId="0" shapeId="0" xr:uid="{02DC1356-7941-4B63-89CA-36B90F646A73}">
      <text>
        <r>
          <rPr>
            <sz val="9"/>
            <color indexed="81"/>
            <rFont val="Tahoma"/>
            <family val="2"/>
          </rPr>
          <t>JOHN CRANE_x000D_
http://yeinfo.com/family/I09066512.html_x000D_
https://www.google.com/search?q=JOHN+CRANE+1305+1342+ALICE_x000D_
.born: 1305    -          Wood Norton (Norfolk) England_x000D_
.died: 1342    -1395     ?England, age:37y 0m 0d, _x000D_
.bapt: 1785GE_x000D_
.will: 2004MO_x000D_
.obit: 1890OH_x000D_
.bury: 1850IL _x000D_
.wpbt: 1826PA_x000D_
.anc#:ancestor_x000D_
citiz:foreign_x000D_
#spos:1_x000D_
#srcs:1_x000D_
#comment:0_x000D_
#events:1_x000D_
#kids:1_x000D_
lived:ENNORFOWOODNOR_x000D_
issue:_x000D_
.recs:Birth,Marriage,Death_x000D_
.imm?:no_x000D_
..Spo:ALICE BERRY</t>
        </r>
      </text>
    </comment>
    <comment ref="Y3354" authorId="0" shapeId="0" xr:uid="{36163EBE-9766-41A6-B253-FFB37D390670}">
      <text>
        <r>
          <rPr>
            <sz val="9"/>
            <color indexed="81"/>
            <rFont val="Tahoma"/>
            <family val="2"/>
          </rPr>
          <t>Mrs. {_?_} CRANE_x000D_
http://yeinfo.com/family/I09066563.html_x000D_
https://www.google.com/search?q={_?_}+CRANE+1275+1305+CRANE_x000D_
.born:?1275    -         ?England_x000D_
.died: 1305    -1365     ?England, age:30y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..Spo:RICHARD CRANE</t>
        </r>
      </text>
    </comment>
    <comment ref="W3356" authorId="0" shapeId="0" xr:uid="{BE88EA20-C119-4F5F-8B09-BA580AE1E4C7}">
      <text>
        <r>
          <rPr>
            <sz val="9"/>
            <color indexed="81"/>
            <rFont val="Tahoma"/>
            <family val="2"/>
          </rPr>
          <t>SIMON CRANE_x000D_
http://yeinfo.com/family/I09066339.html_x000D_
https://www.google.com/search?q=SIMON+CRANE+1342+1369+MARGERY_x000D_
.born:c1342    -          Chilton (Suffolk) England_x000D_
.died: 1369    -1432     ?England, age:27y 0m 0d, _x000D_
.bapt: 1785GE_x000D_
.will: 2004MO_x000D_
.obit: 1890OH_x000D_
.bury: 1850IL _x000D_
.wpbt: 1826PA_x000D_
.anc#:ancestor_x000D_
citiz:foreign_x000D_
#spos:1_x000D_
#srcs:1_x000D_
#comment:0_x000D_
#events:1_x000D_
#kids:1_x000D_
lived:ENSUFFOCHILTON_x000D_
issue:_x000D_
.recs:Birth,Marriage,Death_x000D_
.imm?:no_x000D_
..Spo:MARGERY SMALLWOOD</t>
        </r>
      </text>
    </comment>
    <comment ref="Z3358" authorId="0" shapeId="0" xr:uid="{21B38616-B95D-42DE-A87F-7C8D2B305DB4}">
      <text>
        <r>
          <rPr>
            <sz val="9"/>
            <color indexed="81"/>
            <rFont val="Tahoma"/>
            <family val="2"/>
          </rPr>
          <t>JOHN BERRY_x000D_
http://yeinfo.com/family/I09066618.html_x000D_
https://www.google.com/search?q=JOHN+BERRY+1259+1279+ELIZABETH_x000D_
.born: 1259    -         ?England_x000D_
.died: 1279    -1349     ?England, age:20y 0m 0d, _x000D_
.bapt: 1785GE_x000D_
.will: 2004MO_x000D_
.obit: 1890OH_x000D_
.bury: 1850IL _x000D_
.wpbt: 1826PA_x000D_
.anc#:ancestor_x000D_
citiz:foreign_x000D_
#spos:1_x000D_
#srcs:1_x000D_
#comment:1_x000D_
#events:1_x000D_
#kids:1_x000D_
lived:?EN_x000D_
issue:_x000D_
.recs:Birth,Marriage,Death_x000D_
.imm?:no_x000D_
..Spo:ELIZABETH WALTHEHAM</t>
        </r>
      </text>
    </comment>
    <comment ref="Y3360" authorId="0" shapeId="0" xr:uid="{051EC3BF-EF74-4CFB-8DE2-1A210675AA52}">
      <text>
        <r>
          <rPr>
            <sz val="9"/>
            <color indexed="81"/>
            <rFont val="Tahoma"/>
            <family val="2"/>
          </rPr>
          <t>EDMUND BERRY_x000D_
http://yeinfo.com/family/I09066564.html_x000D_
https://www.google.com/search?q=EDMUND+BERRY+1276+1309+ALICE_x000D_
.born: 1276    -          Chilton (Suffolk) England_x000D_
.died: 1309    -1366     ?England, age:33y 0m 0d, _x000D_
.bapt: 1785GE_x000D_
.will: 2004MO_x000D_
.obit: 1890OH_x000D_
.bury: 1850IL _x000D_
.wpbt: 1826PA_x000D_
.anc#:ancestor_x000D_
citiz:foreign_x000D_
#spos:1_x000D_
#srcs:1_x000D_
#comment:0_x000D_
#events:1_x000D_
#kids:1_x000D_
lived:ENSUFFOCHILTON_x000D_
issue:_x000D_
.recs:Birth,Marriage,Death_x000D_
.imm?:no_x000D_
..Spo:ALICE GERBRIDGE</t>
        </r>
      </text>
    </comment>
    <comment ref="Z3362" authorId="0" shapeId="0" xr:uid="{9F924609-D07F-457D-9154-5F1BA9780393}">
      <text>
        <r>
          <rPr>
            <sz val="9"/>
            <color indexed="81"/>
            <rFont val="Tahoma"/>
            <family val="2"/>
          </rPr>
          <t>ELIZABETH WALTHEHAM_x000D_
http://yeinfo.com/family/I09066619.html_x000D_
https://www.google.com/search?q=ELIZABETH+WALTHEHAM+1265+1285+BERRY_x000D_
.born: 1265    -         ?England_x000D_
.died: 1285    -1355     ?England, age:20y 0m 0d, _x000D_
.bapt: 1785GE_x000D_
.will: 2004MO_x000D_
.obit: 1890OH_x000D_
.bury: 1850IL _x000D_
.wpbt: 1826PA_x000D_
.anc#:ancestor_x000D_
citiz:foreign_x000D_
#spos:1_x000D_
#srcs:1_x000D_
#comment:1_x000D_
#events:1_x000D_
#kids:1_x000D_
lived:?EN_x000D_
issue:Died after Age 100_x000D_
.recs:Birth,Marriage,Death_x000D_
.imm?:no_x000D_
..Spo:JOHN BERRY</t>
        </r>
      </text>
    </comment>
    <comment ref="X3364" authorId="0" shapeId="0" xr:uid="{CD749C1B-D3C9-492C-805B-159F38254312}">
      <text>
        <r>
          <rPr>
            <sz val="9"/>
            <color indexed="81"/>
            <rFont val="Tahoma"/>
            <family val="2"/>
          </rPr>
          <t>ALICE BERRY_x000D_
http://yeinfo.com/family/I09066513.html_x000D_
https://www.google.com/search?q=ALICE+BERRY+1309+1342+CRANE_x000D_
.born: 1309    -          Chilton (Suffolk) England_x000D_
.died: 1342    -1399     ?England, age:33y 0m 0d, _x000D_
.bapt: 1785GE_x000D_
.will: 2004MO_x000D_
.obit: 1890OH_x000D_
.bury: 1850IL _x000D_
.wpbt: 1826PA_x000D_
.anc#:ancestor_x000D_
citiz:foreign_x000D_
#spos:1_x000D_
#srcs:1_x000D_
#comment:0_x000D_
#events:1_x000D_
#kids:1_x000D_
lived:ENSUFFOCHILTON_x000D_
issue:_x000D_
.recs:Birth,Marriage,Death_x000D_
.imm?:no_x000D_
..Spo:JOHN CRANE</t>
        </r>
      </text>
    </comment>
    <comment ref="Z3366" authorId="0" shapeId="0" xr:uid="{1052E046-8440-4E57-A0BE-7933BFA69670}">
      <text>
        <r>
          <rPr>
            <sz val="9"/>
            <color indexed="81"/>
            <rFont val="Tahoma"/>
            <family val="2"/>
          </rPr>
          <t>THOMAS GERBRIDGE_x000D_
http://yeinfo.com/family/I09066620.html_x000D_
https://www.google.com/search?q=THOMAS+GERBRIDGE+1325+1430+MARY_x000D_
.born:?1325    -          Chilton (Suffolk) England_x000D_
.died: 1430    -          Norwich (Norfolk) England, age:105y 0m 0d, _x000D_
.bapt: 1785GE_x000D_
.will: 2004MO_x000D_
.obit: 1890OH_x000D_
.bury: 1850IL _x000D_
.wpbt: 1826PA_x000D_
.anc#:ancestor_x000D_
citiz:foreign_x000D_
#spos:1_x000D_
#srcs:1_x000D_
#comment:1_x000D_
#events:1_x000D_
#kids:1_x000D_
lived:ENNORFONORWICH,ENSUFFOCHILTON_x000D_
issue:Died after Age 100,Married after Age 60,Spouse Age more than 30-Year Difference_x000D_
.recs:Birth,Marriage,Death_x000D_
.imm?:no_x000D_
..Spo:MARY MAXFIELD</t>
        </r>
      </text>
    </comment>
    <comment ref="Y3368" authorId="0" shapeId="0" xr:uid="{3C7B0248-8B91-4B23-B206-D924B574081B}">
      <text>
        <r>
          <rPr>
            <sz val="9"/>
            <color indexed="81"/>
            <rFont val="Tahoma"/>
            <family val="2"/>
          </rPr>
          <t>ALICE GERBRIDGE_x000D_
http://yeinfo.com/family/I09066565.html_x000D_
https://www.google.com/search?q=ALICE+GERBRIDGE+1276+1309+BERRY_x000D_
.born: 1276    -          Chilton (Suffolk) England_x000D_
.died: 1309    -1366     ?England, age:33y 0m 0d, _x000D_
.bapt: 1785GE_x000D_
.will: 2004MO_x000D_
.obit: 1890OH_x000D_
.bury: 1850IL _x000D_
.wpbt: 1826PA_x000D_
.anc#:ancestor_x000D_
citiz:foreign_x000D_
#spos:1_x000D_
#srcs:1_x000D_
#comment:0_x000D_
#events:1_x000D_
#kids:1_x000D_
lived:ENSUFFOCHILTON_x000D_
issue:Born before Dad Age 16_x000D_
.recs:Birth,Marriage,Death_x000D_
.imm?:no_x000D_
..Spo:EDMUND BERRY</t>
        </r>
      </text>
    </comment>
    <comment ref="Z3370" authorId="0" shapeId="0" xr:uid="{042B95DB-3762-4D61-8663-2A6C054F4A4B}">
      <text>
        <r>
          <rPr>
            <sz val="9"/>
            <color indexed="81"/>
            <rFont val="Tahoma"/>
            <family val="2"/>
          </rPr>
          <t>MARY MAXFIELD_x000D_
http://yeinfo.com/family/I09066621.html_x000D_
https://www.google.com/search?q=MARY+MAXFIELD+1272+1296+GERBRIDGE_x000D_
.born: 1272    -         ?England_x000D_
.died: 1296    -1362     ?England, age:24y 0m 0d, _x000D_
.bapt: 1785GE_x000D_
.will: 2004MO_x000D_
.obit: 1890OH_x000D_
.bury: 1850IL _x000D_
.wpbt: 1826PA_x000D_
.anc#:ancestor_x000D_
citiz:foreign_x000D_
#spos:1_x000D_
#srcs:1_x000D_
#comment:1_x000D_
#events:1_x000D_
#kids:1_x000D_
lived:?EN_x000D_
issue:Died after Age 100,Spouse Age more than 30-Year Difference_x000D_
.recs:Birth,Marriage,Death_x000D_
.imm?:no_x000D_
..Spo:THOMAS GERBRIDGE</t>
        </r>
      </text>
    </comment>
    <comment ref="V3372" authorId="0" shapeId="0" xr:uid="{85C0FB2C-3715-46C7-B621-70B44BC72C66}">
      <text>
        <r>
          <rPr>
            <sz val="9"/>
            <color indexed="81"/>
            <rFont val="Tahoma"/>
            <family val="2"/>
          </rPr>
          <t>WILLIAM CRANE_x000D_
http://yeinfo.com/family/I09066191.html_x000D_
https://www.google.com/search?q=WILLIAM+CRANE+1369+1402+ANNE_x000D_
.born:c1369    -          Stowmarket (Suffolk) England_x000D_
.died: 1402    -1459     ?England, age:33y 0m 0d, _x000D_
.bapt: 1785GE_x000D_
.will: 2004MO_x000D_
.obit: 1890OH_x000D_
.bury: 1850IL _x000D_
.wpbt: 1826PA_x000D_
.anc#:ancestor_x000D_
citiz:foreign_x000D_
#spos:1_x000D_
#srcs:1_x000D_
#comment:0_x000D_
#events:1_x000D_
#kids:1_x000D_
lived:ENSUFFOSTOWMAR_x000D_
issue:_x000D_
.recs:Birth,Marriage,Death_x000D_
.imm?:no_x000D_
..Spo:ANNE FERRERS</t>
        </r>
      </text>
    </comment>
    <comment ref="X3374" authorId="0" shapeId="0" xr:uid="{D812ECAF-904C-45BA-B3D5-6D494A4C4E13}">
      <text>
        <r>
          <rPr>
            <sz val="9"/>
            <color indexed="81"/>
            <rFont val="Tahoma"/>
            <family val="2"/>
          </rPr>
          <t>HENRY SMALLWOOD_x000D_
http://yeinfo.com/family/I09066514.html_x000D_
https://www.google.com/search?q=HENRY+SMALLWOOD+1320+1346+{_?_}_x000D_
.born:c1320    -          England_x000D_
.died: 1346    -1410     ?England, age:26y 0m 0d, _x000D_
.bapt: 1785GE_x000D_
.will: 2004MO_x000D_
.obit: 1890OH_x000D_
.bury: 1850IL _x000D_
.wpbt: 1826PA_x000D_
.anc#:ancestor_x000D_
citiz:foreign_x000D_
#spos:1_x000D_
#srcs:1_x000D_
#comment:1_x000D_
#events:1_x000D_
#kids:1_x000D_
lived:EN_x000D_
issue:_x000D_
.recs:Birth,Marriage,Death_x000D_
.imm?:no_x000D_
..Spo:{_?_} SMALLWOOD</t>
        </r>
      </text>
    </comment>
    <comment ref="W3376" authorId="0" shapeId="0" xr:uid="{2277A3CE-7A61-4442-9C12-69F5514402B4}">
      <text>
        <r>
          <rPr>
            <sz val="9"/>
            <color indexed="81"/>
            <rFont val="Tahoma"/>
            <family val="2"/>
          </rPr>
          <t>MARGERY SMALLWOOD_x000D_
http://yeinfo.com/family/I09066340.html_x000D_
https://www.google.com/search?q=MARGERY+SMALLWOOD+1346+1369+CRANE_x000D_
.born: 1346    -          Wood Norton (Norfolk) England_x000D_
.died: 1369    -1436     ?England, age:23y 0m 0d, _x000D_
.bapt: 1785GE_x000D_
.will: 2004MO_x000D_
.obit: 1890OH_x000D_
.bury: 1850IL _x000D_
.wpbt: 1826PA_x000D_
.anc#:ancestor_x000D_
citiz:foreign_x000D_
#spos:1_x000D_
#srcs:1_x000D_
#comment:0_x000D_
#events:1_x000D_
#kids:1_x000D_
lived:ENNORFOWOODNOR_x000D_
issue:_x000D_
.recs:Birth,Marriage,Death_x000D_
.imm?:no_x000D_
..Spo:SIMON CRANE</t>
        </r>
      </text>
    </comment>
    <comment ref="X3378" authorId="0" shapeId="0" xr:uid="{FBC324A4-DDB0-4550-8952-DDA13DC532ED}">
      <text>
        <r>
          <rPr>
            <sz val="9"/>
            <color indexed="81"/>
            <rFont val="Tahoma"/>
            <family val="2"/>
          </rPr>
          <t>Mrs. {_?_} SMALLWOOD_x000D_
http://yeinfo.com/family/I09066515.html_x000D_
https://www.google.com/search?q={_?_}+SMALLWOOD+1320+1346+SMALLWOOD_x000D_
.born:?1320    -         ?England_x000D_
.died: 1346    -1410     ?England, age:26y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..Spo:HENRY SMALLWOOD</t>
        </r>
      </text>
    </comment>
    <comment ref="U3380" authorId="0" shapeId="0" xr:uid="{24D12E67-3B7A-4092-9BF4-D1ACA49CD083}">
      <text>
        <r>
          <rPr>
            <sz val="9"/>
            <color indexed="81"/>
            <rFont val="Tahoma"/>
            <family val="2"/>
          </rPr>
          <t>ROBERT CRANE Sr._x000D_
http://yeinfo.com/family/I09066003.html_x000D_
https://www.google.com/search?q=ROBERT+CRANE+1402+1500+AGNES_x000D_
.born:c1402    -          Stoneham Aspal (Suffolk) England_x000D_
.died: 15001023-          Suffolk county England, age:98y 9m 22d, _x000D_
.bapt: 1785GE_x000D_
.will: 2004MO_x000D_
.obit: 1890OH_x000D_
.bury: 1850IL _x000D_
.wpbt: 1826PA_x000D_
.anc#:ancestor_x000D_
citiz:foreign_x000D_
#spos:1_x000D_
#srcs:1_x000D_
#comment:0_x000D_
#events:1_x000D_
#kids:1_x000D_
lived:ENSUFFOSTONEHA_x000D_
issue:_x000D_
.recs:Birth,Marriage,Death_x000D_
.imm?:no_x000D_
..Spo:AGNES GREENE</t>
        </r>
      </text>
    </comment>
    <comment ref="Z3382" authorId="0" shapeId="0" xr:uid="{B02DCF01-F85E-4CEA-BD82-741F548C9441}">
      <text>
        <r>
          <rPr>
            <sz val="9"/>
            <color indexed="81"/>
            <rFont val="Tahoma"/>
            <family val="2"/>
          </rPr>
          <t>WILLIAM FERRERS_x000D_
http://yeinfo.com/family/I09066622.html_x000D_
https://www.google.com/search?q=WILLIAM+FERRERS+1268+1287+ANNE_x000D_
.born:?1268    -          Groby (Leicestershire) England_x000D_
.died: 12871220-          Groby (Leicestershire) England, age:19y 11m 19d, _x000D_
.bapt: 1785GE_x000D_
.will: 2004MO_x000D_
.obit: 1890OH_x000D_
.bury: 1850IL _x000D_
.wpbt: 1826PA_x000D_
.anc#:ancestor_x000D_
citiz:foreign_x000D_
#spos:1_x000D_
#srcs:2_x000D_
#comment:1_x000D_
#events:1_x000D_
#kids:1_x000D_
lived:ENLEICEGROBY_x000D_
issue:Died after Age 100_x000D_
.recs:Birth,Marriage,Death_x000D_
.imm?:no_x000D_
..Spo:ANNE DESPENSER</t>
        </r>
      </text>
    </comment>
    <comment ref="Y3384" authorId="0" shapeId="0" xr:uid="{56BFD9A6-94EE-4B47-A6C8-C4026DC84ADE}">
      <text>
        <r>
          <rPr>
            <sz val="9"/>
            <color indexed="81"/>
            <rFont val="Tahoma"/>
            <family val="2"/>
          </rPr>
          <t>WILLIAM FERRERS_x000D_
http://yeinfo.com/family/I09066566.html_x000D_
https://www.google.com/search?q=WILLIAM+FERRERS+1272+1325+MARGARET+ELLEN_x000D_
.born: 12720130-          Yoxhall (Staffordshire) England_x000D_
.died: 13250320-          Groby (Leicestershire) England, age:53y 1m 18d, _x000D_
.bapt: 1785GE_x000D_
.will: 2004MO_x000D_
.obit: 1890OH_x000D_
.bury: 1850IL _x000D_
.wpbt: 1826PA_x000D_
.anc#:ancestor_x000D_
citiz:foreign_x000D_
#spos:1_x000D_
#srcs:1_x000D_
#comment:0_x000D_
#events:1_x000D_
#kids:1_x000D_
lived:ENLEICEGROBY,ENSTAFSYOXHALL_x000D_
issue:_x000D_
.recs:Birth,Marriage,Death_x000D_
.imm?:no_x000D_
..Spo:MARGARET ELLEN SEGRAVE</t>
        </r>
      </text>
    </comment>
    <comment ref="Z3386" authorId="0" shapeId="0" xr:uid="{A0575445-5A35-4745-B11F-6E0BF65D3EDB}">
      <text>
        <r>
          <rPr>
            <sz val="9"/>
            <color indexed="81"/>
            <rFont val="Tahoma"/>
            <family val="2"/>
          </rPr>
          <t>ANNE DESPENSER_x000D_
http://yeinfo.com/family/I09066623.html_x000D_
https://www.google.com/search?q=ANNE+DESPENSER+1248+1334+FERRERS_x000D_
.born:c1248    -          Loughborough (Leicestershire) England_x000D_
.died: 13341204-1330      Sheffield (Nottinghamshire) England, age:86y 11m 3d, _x000D_
.bapt: 1785GE_x000D_
.will: 2004MO_x000D_
.obit: 1890OH_x000D_
.bury: 1850IL _x000D_
.wpbt: 1826PA_x000D_
.anc#:ancestor_x000D_
citiz:foreign_x000D_
#spos:1_x000D_
#srcs:2_x000D_
#comment:0_x000D_
#events:1_x000D_
#kids:1_x000D_
lived:ENLEICELOUGHBO,ENNOTTISHEFFIE_x000D_
issue:Died after Age 100_x000D_
.recs:Birth,Marriage,Death_x000D_
.imm?:no_x000D_
..Spo:WILLIAM FERRERS</t>
        </r>
      </text>
    </comment>
    <comment ref="X3388" authorId="0" shapeId="0" xr:uid="{AFB3CCDB-A546-4676-9AB4-4CD436B4981C}">
      <text>
        <r>
          <rPr>
            <sz val="9"/>
            <color indexed="81"/>
            <rFont val="Tahoma"/>
            <family val="2"/>
          </rPr>
          <t>HENRY FERRERS_x000D_
http://yeinfo.com/family/I09066516.html_x000D_
https://www.google.com/search?q=HENRY+FERRERS+1303+1343+ISABEL_x000D_
.born: 1303    -          Ulverscroft (Leicestershire) England_x000D_
.died: 13430915-          Groby (Leicestershire) England, age:40y 8m 14d, _x000D_
.bapt: 1785GE_x000D_
.will: 2004MO_x000D_
.obit: 1890OH_x000D_
.bury: 1850IL _x000D_
.wpbt: 1826PA_x000D_
.anc#:ancestor_x000D_
citiz:foreign_x000D_
#spos:1_x000D_
#srcs:1_x000D_
#comment:0_x000D_
#events:1_x000D_
#kids:1_x000D_
lived:ENLEICEGROBY,ENLEICEULVERSC_x000D_
issue:_x000D_
.recs:Birth,Marriage,Death_x000D_
.imm?:no_x000D_
..Spo:ISABEL VERDUN</t>
        </r>
      </text>
    </comment>
    <comment ref="Z3390" authorId="0" shapeId="0" xr:uid="{C11D42B3-903B-40F9-B589-6A301C5DD69F}">
      <text>
        <r>
          <rPr>
            <sz val="9"/>
            <color indexed="81"/>
            <rFont val="Tahoma"/>
            <family val="2"/>
          </rPr>
          <t>JOHN SEGRAVE_x000D_
http://yeinfo.com/family/I09066624.html_x000D_
https://www.google.com/search?q=JOHN+SEGRAVE+1256+1325+CHRISTIANE_x000D_
.born:c1256    -          Seagrave (Leicestershire) England_x000D_
.died: 13250901-          Northamptonshire county England, age:69y 8m 0d, _x000D_
.bapt: 1785GE_x000D_
.will: 2004MO_x000D_
.obit: 1890OH_x000D_
.bury: 1850IL _x000D_
.wpbt: 1826PA_x000D_
.anc#:ancestor_x000D_
citiz:foreign_x000D_
#spos:1_x000D_
#srcs:1_x000D_
#comment:1_x000D_
#events:1_x000D_
#kids:1_x000D_
lived:ENLEICESEAGRAV,ENNORTA_x000D_
issue:Died after Age 100_x000D_
.recs:Birth,Marriage,Death_x000D_
.imm?:no_x000D_
..Spo:CHRISTIANE PLESSIS</t>
        </r>
      </text>
    </comment>
    <comment ref="Y3392" authorId="0" shapeId="0" xr:uid="{06AD9F68-F19D-4150-A7FF-B60E39127847}">
      <text>
        <r>
          <rPr>
            <sz val="9"/>
            <color indexed="81"/>
            <rFont val="Tahoma"/>
            <family val="2"/>
          </rPr>
          <t>MARGARET ELLEN SEGRAVE_x000D_
http://yeinfo.com/family/I09066567.html_x000D_
https://www.google.com/search?q=MARGARET+ELLEN+SEGRAVE+1271+1316+FERRERS_x000D_
.born: 12710701-          Chacombe (Northamptonshire) England_x000D_
.died: 13160209-          Groby (Leicestershire) England, age:44y 7m 8d, _x000D_
.bapt: 1785GE_x000D_
.will: 2004MO_x000D_
.obit: 1890OH_x000D_
.bury: 1850IL _x000D_
.wpbt: 1826PA_x000D_
.anc#:ancestor_x000D_
citiz:foreign_x000D_
#spos:1_x000D_
#srcs:1_x000D_
#comment:0_x000D_
#events:1_x000D_
#kids:1_x000D_
lived:ENLEICEGROBY,ENNORTACHACOMB_x000D_
issue:_x000D_
.recs:Birth,Marriage,Death_x000D_
.imm?:no_x000D_
..Spo:WILLIAM FERRERS</t>
        </r>
      </text>
    </comment>
    <comment ref="Z3394" authorId="0" shapeId="0" xr:uid="{878B44C2-8074-411D-B668-313FD31FF24B}">
      <text>
        <r>
          <rPr>
            <sz val="9"/>
            <color indexed="81"/>
            <rFont val="Tahoma"/>
            <family val="2"/>
          </rPr>
          <t>CHRISTIANE PLESSIS_x000D_
http://yeinfo.com/family/I09066625.html_x000D_
https://www.google.com/search?q=CHRISTIANE+PLESSIS+1263+1331+SEGRAVE_x000D_
.born:c1263    -          Stottesden (Shropshire) England_x000D_
.died: 13310508-          Seagrave (Leicestershire) England, age:68y 4m 7d, _x000D_
.bapt: 1785GE_x000D_
.will: 2004MO_x000D_
.obit: 1890OH_x000D_
.bury: 1850IL _x000D_
.wpbt: 1826PA_x000D_
.anc#:ancestor_x000D_
citiz:foreign_x000D_
#spos:1_x000D_
#srcs:1_x000D_
#comment:1_x000D_
#events:1_x000D_
#kids:1_x000D_
lived:ENLEICESEAGRAV,ENSHROPSTOTTES_x000D_
issue:Died after Age 100_x000D_
.recs:Birth,Marriage,Death_x000D_
.imm?:no_x000D_
..Spo:JOHN SEGRAVE</t>
        </r>
      </text>
    </comment>
    <comment ref="W3396" authorId="0" shapeId="0" xr:uid="{6782EF6E-3175-4C57-97CB-BAFE598A945D}">
      <text>
        <r>
          <rPr>
            <sz val="9"/>
            <color indexed="81"/>
            <rFont val="Tahoma"/>
            <family val="2"/>
          </rPr>
          <t>WILLIAM FERRERS_x000D_
http://yeinfo.com/family/I09066341.html_x000D_
https://www.google.com/search?q=WILLIAM+FERRERS+1333+1373+MARGARET\ALICE_x000D_
.born: 13330228-          Leicestershire county England_x000D_
.died: 1373    -1423      Newbold (Leicestershire) England, age:39y 10m 4d, _x000D_
.bapt: 1785GE_x000D_
.will: 2004MO_x000D_
.obit: 1890OH_x000D_
.bury: 1850IL _x000D_
.wpbt: 1826PA_x000D_
.anc#:ancestor_x000D_
citiz:foreign_x000D_
#spos:1_x000D_
#srcs:2_x000D_
#comment:0_x000D_
#events:1_x000D_
#kids:1_x000D_
lived:ENLEICENEWBOLD_x000D_
issue:_x000D_
.recs:Birth,Marriage,Death_x000D_
.imm?:no_x000D_
..Spo:MARGARET\ALICE UFFORD</t>
        </r>
      </text>
    </comment>
    <comment ref="Z3398" authorId="0" shapeId="0" xr:uid="{008C86BD-83A2-465D-8482-39B6DCD9F1D2}">
      <text>
        <r>
          <rPr>
            <sz val="9"/>
            <color indexed="81"/>
            <rFont val="Tahoma"/>
            <family val="2"/>
          </rPr>
          <t>THEOBALD VERDUN_x000D_
http://yeinfo.com/family/I09066626.html_x000D_
https://www.google.com/search?q=THEOBALD+VERDUN+1248+1309+MARGERY_x000D_
.born: 1248    -          Ireland_x000D_
.died: 13090824-          Cheadle (Staffordshire) England, age:61y 7m 23d, _x000D_
.bapt: 1785GE_x000D_
.will: 2004MO_x000D_
.obit: 1890OH_x000D_
.bury: 1850IL _x000D_
.wpbt: 1826PA_x000D_
.anc#:ancestor_x000D_
citiz:foreign_x000D_
#spos:1_x000D_
#srcs:1_x000D_
#comment:1_x000D_
#events:1_x000D_
#kids:1_x000D_
lived:ENSTAFSCHEADLE,IR_x000D_
issue:_x000D_
.recs:Birth,Marriage,Death_x000D_
.imm?:no_x000D_
..Spo:MARGERY BOHUN</t>
        </r>
      </text>
    </comment>
    <comment ref="Y3400" authorId="0" shapeId="0" xr:uid="{D908F66A-85A6-4B84-875E-07DE4A25C073}">
      <text>
        <r>
          <rPr>
            <sz val="9"/>
            <color indexed="81"/>
            <rFont val="Tahoma"/>
            <family val="2"/>
          </rPr>
          <t>THEOBALD VERDUN_x000D_
http://yeinfo.com/family/I09066568.html_x000D_
https://www.google.com/search?q=THEOBALD+VERDUN+1278+1316+ELIZABETH_x000D_
.born: 12780908-          Alton (Staffordshire) England_x000D_
.died: 13160727-          Alton (Staffordshire) England, age:37y 10m 19d, _x000D_
.bapt: 1785GE_x000D_
.will: 2004MO_x000D_
.obit: 1890OH_x000D_
.bury: 1850IL _x000D_
.wpbt: 1826PA_x000D_
.anc#:ancestor_x000D_
citiz:foreign_x000D_
#spos:1_x000D_
#srcs:1_x000D_
#comment:0_x000D_
#events:1_x000D_
#kids:1_x000D_
lived:ENSTAFSALTON_x000D_
issue:_x000D_
.recs:Birth,Marriage,Death_x000D_
.imm?:no_x000D_
..Spo:ELIZABETH CLARE</t>
        </r>
      </text>
    </comment>
    <comment ref="Z3402" authorId="0" shapeId="0" xr:uid="{AB5E0946-D217-4547-9565-33757457B335}">
      <text>
        <r>
          <rPr>
            <sz val="9"/>
            <color indexed="81"/>
            <rFont val="Tahoma"/>
            <family val="2"/>
          </rPr>
          <t>MARGERY BOHUN_x000D_
http://yeinfo.com/family/I09066627.html_x000D_
https://www.google.com/search?q=MARGERY+BOHUN+1252+1309+VERDUN_x000D_
.born: 1252    -          Bisley (Gloucestershire) England_x000D_
.died: 13090824-          Renfrew (Renfrewshire) Scotland, age:57y 7m 23d, _x000D_
.bapt: 1785GE_x000D_
.will: 2004MO_x000D_
.obit: 1890OH_x000D_
.bury: 1850IL _x000D_
.wpbt: 1826PA_x000D_
.anc#:ancestor_x000D_
citiz:foreign_x000D_
#spos:1_x000D_
#srcs:1_x000D_
#comment:1_x000D_
#events:1_x000D_
#kids:1_x000D_
lived:ENGLOUSBISLEY,STRENFRRENFREW_x000D_
issue:_x000D_
.recs:Birth,Marriage,Death_x000D_
.imm?:no_x000D_
..Spo:THEOBALD VERDUN</t>
        </r>
      </text>
    </comment>
    <comment ref="X3404" authorId="0" shapeId="0" xr:uid="{38118837-995D-43F7-9B14-06E65A971AF5}">
      <text>
        <r>
          <rPr>
            <sz val="9"/>
            <color indexed="81"/>
            <rFont val="Tahoma"/>
            <family val="2"/>
          </rPr>
          <t>ISABEL VERDUN_x000D_
http://yeinfo.com/family/I09066517.html_x000D_
https://www.google.com/search?q=ISABEL+VERDUN+1316+1349+FERRERS_x000D_
.born: 13160321-          Amesbury (Wiltshire) England_x000D_
.died: 13490725-          Groby (Leicestershire) England, age:33y 4m 4d, _x000D_
.bapt: 1785GE_x000D_
.will: 2004MO_x000D_
.obit: 1890OH_x000D_
.bury: 1850IL _x000D_
.wpbt: 1826PA_x000D_
.anc#:ancestor_x000D_
citiz:foreign_x000D_
#spos:1_x000D_
#srcs:1_x000D_
#comment:1_x000D_
#events:1_x000D_
#kids:1_x000D_
lived:ENLEICEGROBY,ENWILTSAMESBUR_x000D_
issue:Died after Age 100_x000D_
.recs:Birth,Marriage,Death_x000D_
.imm?:no_x000D_
..Spo:HENRY FERRERS</t>
        </r>
      </text>
    </comment>
    <comment ref="Z3406" authorId="0" shapeId="0" xr:uid="{6C4D0F9F-7F7E-455A-A6A2-042CFD54B77E}">
      <text>
        <r>
          <rPr>
            <sz val="9"/>
            <color indexed="81"/>
            <rFont val="Tahoma"/>
            <family val="2"/>
          </rPr>
          <t>GILBERT CLARE_x000D_
http://yeinfo.com/family/I09066628.html_x000D_
https://www.google.com/search?q=GILBERT+CLARE+1243+1295+JOAN_x000D_
.born: 12430902-          Christchurch (Hampshire) England_x000D_
.died:?12951207-          Monmouth (Monmouth) England, age:52y 3m 5d, _x000D_
.bapt: 1785GE_x000D_
.will: 2004MO_x000D_
.obit: 1890OH_x000D_
.bury: 1850IL _x000D_
.wpbt: 1826PA_x000D_
.anc#:ancestor_x000D_
citiz:foreign_x000D_
#spos:1_x000D_
#srcs:1_x000D_
#comment:2_x000D_
#events:1_x000D_
#kids:1_x000D_
lived:?ENGLOUC,ENHAMPSCHRISTC,ENMONMOMONMOUT_x000D_
issue:_x000D_
.recs:Birth,Marriage,Death_x000D_
.imm?:no_x000D_
..Spo:JOAN PLANTAGENET</t>
        </r>
      </text>
    </comment>
    <comment ref="Y3408" authorId="0" shapeId="0" xr:uid="{ED26A4E7-7CBA-4FDF-A6ED-0D9E667111B5}">
      <text>
        <r>
          <rPr>
            <sz val="9"/>
            <color indexed="81"/>
            <rFont val="Tahoma"/>
            <family val="2"/>
          </rPr>
          <t>ELIZABETH CLARE_x000D_
http://yeinfo.com/family/I09066569.html_x000D_
https://www.google.com/search?q=ELIZABETH+CLARE+1295+1360+VERDUN_x000D_
.born: 12951216-          Tewkesbury (Gloucestershire) England_x000D_
.died: 13601104-          Gloucester (Gloucestershire) England, age:64y 10m 19d, _x000D_
.bapt: 1785GE_x000D_
.will: 2004MO_x000D_
.obit: 1890OH_x000D_
.bury: 1850IL _x000D_
.wpbt: 1826PA_x000D_
.anc#:ancestor_x000D_
citiz:foreign_x000D_
#spos:1_x000D_
#srcs:1_x000D_
#comment:0_x000D_
#events:1_x000D_
#kids:1_x000D_
lived:ENGLOUSGLOUCES,ENGLOUSTEWKESB_x000D_
issue:Died after Age 100_x000D_
.recs:Birth,Marriage,Death_x000D_
.imm?:no_x000D_
..Spo:THEOBALD VERDUN</t>
        </r>
      </text>
    </comment>
    <comment ref="AA3410" authorId="0" shapeId="0" xr:uid="{28AA9F95-CCBD-4BDF-B265-725CCDEA5D85}">
      <text>
        <r>
          <rPr>
            <sz val="9"/>
            <color indexed="81"/>
            <rFont val="Tahoma"/>
            <family val="2"/>
          </rPr>
          <t>EDWARD PLANTAGENET I_x000D_
http://yeinfo.com/family/I09066720.html_x000D_
https://www.google.com/search?q=EDWARD+PLANTAGENET+1239+1307+ELEANOR_x000D_
.born: 12390617-          London (Middlesex) England_x000D_
.died: 13070707-          Carlisle (Cumberland) England, age:68y 0m 20d, _x000D_
.bapt: 1785GE_x000D_
.will: 2004MO_x000D_
.obit: 1890OH_x000D_
.bury: 1850IL Beaulier Abbey_x000D_
.wpbt: 1826PA_x000D_
.anc#:ancestor_x000D_
citiz:foreign_x000D_
#spos:1_x000D_
#srcs:1_x000D_
#comment:0_x000D_
#events:2_x000D_
#kids:4_x000D_
lived:ENCUMBECARLISL,ENHAMPSBEAULIE,ENMIDDLLONDON,SP_x000D_
issue:Died after Age 100_x000D_
.recs:Birth,Marriage,Death,Interment/Burial_x000D_
.imm?:no_x000D_
..Spo:ELEANOR CASTILE</t>
        </r>
      </text>
    </comment>
    <comment ref="Z3412" authorId="0" shapeId="0" xr:uid="{28F2C6A0-95BB-47C3-8771-7792CD459A5C}">
      <text>
        <r>
          <rPr>
            <sz val="9"/>
            <color indexed="81"/>
            <rFont val="Tahoma"/>
            <family val="2"/>
          </rPr>
          <t>JOAN PLANTAGENET_x000D_
http://yeinfo.com/family/I09066629.html_x000D_
https://www.google.com/search?q=JOAN+PLANTAGENET+1272+1307+CLARE_x000D_
.born: 127204  -          Israel_x000D_
.died: 13070423-          Clare (Suffolk) England, age:35y 0m 22d, _x000D_
.bapt: 1785GE_x000D_
.will: 2004MO_x000D_
.obit: 1890OH_x000D_
.bury: 1850IL Augustinian priory_x000D_
.wpbt: 1826PA_x000D_
.anc#:ancestor_x000D_
citiz:foreign_x000D_
#spos:2_x000D_
#srcs:2_x000D_
#comment:1_x000D_
#events:3_x000D_
#kids:1_x000D_
lived:?ENGLOUC,ENSUFFOCLARE,IS_x000D_
issue:_x000D_
.recs:Birth,Marriage,Death,Interment/Burial_x000D_
.imm?:no_x000D_
..Spo:GILBERT CLARE</t>
        </r>
      </text>
    </comment>
    <comment ref="AA3414" authorId="0" shapeId="0" xr:uid="{6D8EE5A5-658A-4810-8823-1FDE5BA48C3D}">
      <text>
        <r>
          <rPr>
            <sz val="9"/>
            <color indexed="81"/>
            <rFont val="Tahoma"/>
            <family val="2"/>
          </rPr>
          <t>ELEANOR CASTILE_x000D_
http://yeinfo.com/family/I09066721.html_x000D_
https://www.google.com/search?q=ELEANOR+CASTILE+1241+1290+PLANTAGENET_x000D_
.born: 1241    -          Spain_x000D_
.died: 12901128-          Harby (Nottinghamshire) England, age:49y 10m 27d, _x000D_
.bapt: 1785GE_x000D_
.will: 2004MO_x000D_
.obit: 1890OH_x000D_
.bury: 1850IL Westminster Abbey, Lincoln Cathedral_x000D_
.wpbt: 1826PA_x000D_
.anc#:ancestor_x000D_
citiz:foreign_x000D_
#spos:1_x000D_
#srcs:1_x000D_
#comment:1_x000D_
#events:2_x000D_
#kids:4_x000D_
lived:ENMIDDLLONDON,ENNOTTIHARBY,SP_x000D_
issue:Died after Age 100_x000D_
.recs:Birth,Marriage,Death,Interment/Burial_x000D_
.imm?:no_x000D_
..Spo:EDWARD PLANTAGENET</t>
        </r>
      </text>
    </comment>
    <comment ref="V3416" authorId="0" shapeId="0" xr:uid="{A187D276-584E-498D-9825-0246EBC68155}">
      <text>
        <r>
          <rPr>
            <sz val="9"/>
            <color indexed="81"/>
            <rFont val="Tahoma"/>
            <family val="2"/>
          </rPr>
          <t>ANNE FERRERS_x000D_
http://yeinfo.com/family/I09066192.html_x000D_
https://www.google.com/search?q=ANNE+FERRERS+1373+1402+CRANE_x000D_
.born:c1373    -          Stowmarket (Suffolk) England_x000D_
.died: 1402    -1463     ?England, age:29y 0m 0d, _x000D_
.bapt: 1785GE_x000D_
.will: 2004MO_x000D_
.obit: 1890OH_x000D_
.bury: 1850IL _x000D_
.wpbt: 1826PA_x000D_
.anc#:ancestor_x000D_
citiz:foreign_x000D_
#spos:1_x000D_
#srcs:1_x000D_
#comment:1_x000D_
#events:1_x000D_
#kids:1_x000D_
lived:ENSUFFOSTOWMAR_x000D_
issue:_x000D_
.recs:Birth,Marriage,Death_x000D_
.imm?:no_x000D_
..Spo:WILLIAM CRANE</t>
        </r>
      </text>
    </comment>
    <comment ref="Z3418" authorId="0" shapeId="0" xr:uid="{85476756-B118-4F39-AA3A-07F48AAC343B}">
      <text>
        <r>
          <rPr>
            <sz val="9"/>
            <color indexed="81"/>
            <rFont val="Tahoma"/>
            <family val="2"/>
          </rPr>
          <t>ROBERT UFFORD_x000D_
http://yeinfo.com/family/I09066630.html_x000D_
https://www.google.com/search?q=ROBERT+UFFORD+1236+1286+Sarah+UFFORD_x000D_
.born:c1236    -          Ramsholt (Suffolk) England_x000D_
.died: 1286    -1326      Ufford (Suffolk) England, age:50y 0m 0d, _x000D_
.bapt: 1785GE_x000D_
.will: 2004MO_x000D_
.obit: 1890OH_x000D_
.bury: 1850IL _x000D_
.wpbt: 1826PA_x000D_
.anc#:double ancestor_x000D_
citiz:foreign_x000D_
#spos:4_x000D_
#srcs:1_x000D_
#comment:0_x000D_
#events:4_x000D_
#kids:2_x000D_
lived:ENSUFFORAMSHOL,ENSUFFOUFFORD_x000D_
issue:AncFlags between Spouses Mismatched_x000D_
.recs:Birth,Marriage,Death_x000D_
.imm?:no_x000D_
..Spo:Sarah Vesey</t>
        </r>
      </text>
    </comment>
    <comment ref="Y3420" authorId="0" shapeId="0" xr:uid="{07447D4F-621C-47F2-B1C3-019EFD81F625}">
      <text>
        <r>
          <rPr>
            <sz val="9"/>
            <color indexed="81"/>
            <rFont val="Tahoma"/>
            <family val="2"/>
          </rPr>
          <t>ROBERT UFFORD_x000D_
http://yeinfo.com/family/I09066570.html_x000D_
https://www.google.com/search?q=ROBERT+UFFORD+1279+1299+CECILY_x000D_
.born: 12790611-          _x000D_
.died: 1299    -1369      , age:19y 6m 21d, _x000D_
.bapt: 1785GE_x000D_
.will: 2004MO_x000D_
.obit: 1890OH_x000D_
.bury: 1850IL _x000D_
.wpbt: 1826PA_x000D_
.anc#:ancestor_x000D_
citiz:foreign_x000D_
#spos:1_x000D_
#srcs:3_x000D_
#comment:1_x000D_
#events:1_x000D_
#kids:1_x000D_
lived:_x000D_
issue:AncFlags between Spouses Mismatched_x000D_
.recs:Birth,Marriage,Death_x000D_
.imm?:no_x000D_
..Spo:CECILY VALOINES</t>
        </r>
      </text>
    </comment>
    <comment ref="Z3422" authorId="0" shapeId="0" xr:uid="{2D640ABD-A773-46C1-9557-847D493B9876}">
      <text>
        <r>
          <rPr>
            <sz val="9"/>
            <color indexed="81"/>
            <rFont val="Tahoma"/>
            <family val="2"/>
          </rPr>
          <t>Mrs. MARY UFFORD_x000D_
http://yeinfo.com/family/I09066631.html_x000D_
https://www.google.com/search?q=MARY+UFFORD+1235+1279+UFFORD_x000D_
.born:c1235    -          Sawbridgeworth (Hertfordshire) England_x000D_
.died: 1279    -1325      West Stow (Suffolk) England, age:44y 0m 0d, _x000D_
.bapt: 1785GE_x000D_
.will: 2004MO_x000D_
.obit: 1890OH_x000D_
.bury: 1850IL _x000D_
.wpbt: 1826PA_x000D_
.anc#:ancestor_x000D_
citiz:foreign_x000D_
#spos:1_x000D_
#srcs:1_x000D_
#comment:1_x000D_
#events:1_x000D_
#kids:1_x000D_
lived:ENHERTFSAWBRID,ENSUFFOWESTSTO_x000D_
issue:_x000D_
.recs:Birth,Marriage,Death_x000D_
.imm?:no_x000D_
..Spo:ROBERT UFFORD</t>
        </r>
      </text>
    </comment>
    <comment ref="X3424" authorId="0" shapeId="0" xr:uid="{EDC2A858-AD64-4951-BB75-00171064E6BE}">
      <text>
        <r>
          <rPr>
            <sz val="9"/>
            <color indexed="81"/>
            <rFont val="Tahoma"/>
            <family val="2"/>
          </rPr>
          <t>ROBERT\WALTER UFFORD_x000D_
http://yeinfo.com/family/I09066518.html_x000D_
https://www.google.com/search?q=ROBERT\WALTER+UFFORD+1298+1369+MARGARET\CATHERINE_x000D_
.born: 12980809-          _x000D_
.died: 13691104-          , age:71y 2m 26d, _x000D_
.bapt: 1785GE_x000D_
.will: 2004MO_x000D_
.obit: 1890OH_x000D_
.bury: 1850IL _x000D_
.wpbt: 1826PA_x000D_
.anc#:ancestor_x000D_
citiz:foreign_x000D_
#spos:1_x000D_
#srcs:2_x000D_
#comment:0_x000D_
#events:1_x000D_
#kids:7_x000D_
lived:ENSUFFOMETTING_x000D_
issue:_x000D_
.recs:Birth,Marriage,Death_x000D_
.imm?:no_x000D_
..Spo:MARGARET\CATHERINE NORWICH</t>
        </r>
      </text>
    </comment>
    <comment ref="Z3426" authorId="0" shapeId="0" xr:uid="{DC1744D1-77DD-47BD-8225-CA3519EEFED7}">
      <text>
        <r>
          <rPr>
            <sz val="9"/>
            <color indexed="81"/>
            <rFont val="Tahoma"/>
            <family val="2"/>
          </rPr>
          <t>ROBERT VALOINES_x000D_
http://yeinfo.com/family/I09066632.html_x000D_
https://www.google.com/search?q=ROBERT+VALOINES+1225+1255+EVE_x000D_
.born: 1225    -          Thurston (Suffolk) England_x000D_
.died: 1255    -1315      Ashfield (Suffolk) England, age:30y 0m 0d, _x000D_
.bapt: 1785GE_x000D_
.will: 2004MO_x000D_
.obit: 1890OH_x000D_
.bury: 1850IL _x000D_
.wpbt: 1826PA_x000D_
.anc#:double ancestor_x000D_
citiz:foreign_x000D_
#spos:1_x000D_
#srcs:2_x000D_
#comment:1_x000D_
#events:1_x000D_
#kids:1_x000D_
lived:ENSUFFOASHFIEL,ENSUFFOTHURSTO_x000D_
issue:Died before Birth_x000D_
.recs:Birth,Marriage,Death_x000D_
.imm?:no_x000D_
..Spo:EVE CRIKETOT</t>
        </r>
      </text>
    </comment>
    <comment ref="Y3428" authorId="0" shapeId="0" xr:uid="{CB574B5E-8877-46C2-A228-6B1A0E75F4FD}">
      <text>
        <r>
          <rPr>
            <sz val="9"/>
            <color indexed="81"/>
            <rFont val="Tahoma"/>
            <family val="2"/>
          </rPr>
          <t>CECILY VALOINES_x000D_
http://yeinfo.com/family/I09066571.html_x000D_
https://www.google.com/search?q=CECILY+VALOINES+1255+1325+NORWICH+ROBERT_x000D_
.born:?1255    -          Walsham le Willows (Suffolk) England_x000D_
.died: 13250716-          Stow (Lincolnshire) England, age:70y 6m 15d, _x000D_
.bapt: 1785GE_x000D_
.will: 2004MO_x000D_
.obit: 1890OH_x000D_
.bury: 1850IL _x000D_
.wpbt: 1826PA_x000D_
.anc#:double ancestor_x000D_
citiz:foreign_x000D_
#spos:2_x000D_
#srcs:3_x000D_
#comment:1_x000D_
#events:2_x000D_
#kids:2_x000D_
lived:ENLINCSSTOW,ENSUFFOWALSHAM_x000D_
issue:Born before Parents Married,Died after Age 100,AncFlags between Spouses Mismatched_x000D_
.recs:Birth,Marriage,Death_x000D_
.imm?:no_x000D_
..Spo:GEOFFREY NORWICH</t>
        </r>
      </text>
    </comment>
    <comment ref="Z3430" authorId="0" shapeId="0" xr:uid="{C36F7C04-4A00-463C-BA0A-63723C2A45D5}">
      <text>
        <r>
          <rPr>
            <sz val="9"/>
            <color indexed="81"/>
            <rFont val="Tahoma"/>
            <family val="2"/>
          </rPr>
          <t>EVE CRIKETOT_x000D_
http://yeinfo.com/family/I09066633.html_x000D_
https://www.google.com/search?q=EVE+CRIKETOT+1255+1316+VALOINES_x000D_
.born:?1255    -          Thurston (Suffolk) England_x000D_
.died: 1316    -          Thurston (Suffolk) England, age:61y 0m 0d, _x000D_
.bapt: 1785GE_x000D_
.will: 2004MO_x000D_
.obit: 1890OH_x000D_
.bury: 1850IL _x000D_
.wpbt: 1826PA_x000D_
.anc#:double ancestor_x000D_
citiz:foreign_x000D_
#spos:1_x000D_
#srcs:2_x000D_
#comment:1_x000D_
#events:1_x000D_
#kids:1_x000D_
lived:ENSUFFOTHURSTO_x000D_
issue:Died after Age 100_x000D_
.recs:Birth,Marriage,Death_x000D_
.imm?:no_x000D_
..Spo:ROBERT VALOINES</t>
        </r>
      </text>
    </comment>
    <comment ref="W3432" authorId="0" shapeId="0" xr:uid="{03CF7208-2C60-4498-8099-965465B5A433}">
      <text>
        <r>
          <rPr>
            <sz val="9"/>
            <color indexed="81"/>
            <rFont val="Tahoma"/>
            <family val="2"/>
          </rPr>
          <t>MARGARET\ALICE UFFORD_x000D_
http://yeinfo.com/family/I09066342.html_x000D_
https://www.google.com/search?q=MARGARET\ALICE+UFFORD+1330+1373+FERRERS_x000D_
.born:?1330    -          Ufford (Suffolk) England_x000D_
.died: 1373    -1420      Groby (Leicestershire) England, age:43y 0m 0d, _x000D_
.bapt: 1785GE_x000D_
.will: 2004MO_x000D_
.obit: 1890OH_x000D_
.bury: 1850IL St.Marys Priory_x000D_
.wpbt: 1826PA_x000D_
.anc#:ancestor_x000D_
citiz:foreign_x000D_
#spos:1_x000D_
#srcs:4_x000D_
#comment:0_x000D_
#events:2_x000D_
#kids:1_x000D_
lived:ENLEICEGROBY,ENLEICEULVERSC,ENSUFFOUFFORD_x000D_
issue:_x000D_
.recs:Birth,Marriage,Death,Interment/Burial_x000D_
.imm?:no_x000D_
..Spo:WILLIAM FERRERS</t>
        </r>
      </text>
    </comment>
    <comment ref="Z3434" authorId="0" shapeId="0" xr:uid="{A640FA68-843F-4871-A190-D497510E395A}">
      <text>
        <r>
          <rPr>
            <sz val="9"/>
            <color indexed="81"/>
            <rFont val="Tahoma"/>
            <family val="2"/>
          </rPr>
          <t>GEOFFREY NORWICH_x000D_
http://yeinfo.com/family/I09066634.html_x000D_
https://www.google.com/search?q=GEOFFREY+NORWICH+1250+1274+CECILY_x000D_
.born:?1250    -         ?Stoke-on-Trent (Staffordshire) England_x000D_
.died: 1274    -1340     ?England, age:24y 0m 0d, _x000D_
.bapt: 1785GE_x000D_
.will: 2004MO_x000D_
.obit: 1890OH_x000D_
.bury: 1850IL _x000D_
.wpbt: 1826PA_x000D_
.anc#:ancestor_x000D_
citiz:foreign_x000D_
#spos:1_x000D_
#srcs:2_x000D_
#comment:1_x000D_
#events:1_x000D_
#kids:1_x000D_
lived:?ENSTAFSSTOKEOT_x000D_
issue:Died after Age 100,AncFlags between Spouses Mismatched_x000D_
.recs:Birth,Marriage,Death_x000D_
.imm?:no_x000D_
..Spo:CECILY VALOINES</t>
        </r>
      </text>
    </comment>
    <comment ref="Y3436" authorId="0" shapeId="0" xr:uid="{D52B232D-7204-43F2-BF28-DCCCCD51C4EC}">
      <text>
        <r>
          <rPr>
            <sz val="9"/>
            <color indexed="81"/>
            <rFont val="Tahoma"/>
            <family val="2"/>
          </rPr>
          <t>WALTER NORWICH_x000D_
http://yeinfo.com/family/I09066572.html_x000D_
https://www.google.com/search?q=WALTER+NORWICH+1274+1329+CATHERINE_x000D_
.born:c1274    -          Mettingham (Suffolk) England_x000D_
.died:c1329    -          Norwich (Norfolk) England, age:55y 0m 0d, _x000D_
.bapt: 1785GE_x000D_
.will: 2004MO_x000D_
.obit: 1890OH_x000D_
.bury: 1850IL _x000D_
.wpbt: 1826PA_x000D_
.anc#:ancestor_x000D_
citiz:foreign_x000D_
#spos:1_x000D_
#srcs:1_x000D_
#comment:0_x000D_
#events:1_x000D_
#kids:1_x000D_
lived:ENNORFONORWICH,ENSUFFOMETTING_x000D_
issue:_x000D_
.recs:Birth,Marriage,Death_x000D_
.imm?:no_x000D_
..Spo:CATHERINE HEDERSETE</t>
        </r>
      </text>
    </comment>
    <comment ref="AA3438" authorId="0" shapeId="0" xr:uid="{E51DA893-EB02-4050-A335-320A69EE6FAF}">
      <text>
        <r>
          <rPr>
            <sz val="9"/>
            <color indexed="81"/>
            <rFont val="Tahoma"/>
            <family val="2"/>
          </rPr>
          <t>ROBERT VALOINES_x000D_
http://yeinfo.com/family/I09066632.html_x000D_
https://www.google.com/search?q=ROBERT+VALOINES+1225+1255+EVE_x000D_
.born: 1225    -          Thurston (Suffolk) England_x000D_
.died: 1255    -1315      Ashfield (Suffolk) England, age:30y 0m 0d, _x000D_
.bapt: 1785GE_x000D_
.will: 2004MO_x000D_
.obit: 1890OH_x000D_
.bury: 1850IL _x000D_
.wpbt: 1826PA_x000D_
.anc#:double ancestor_x000D_
citiz:foreign_x000D_
#spos:1_x000D_
#srcs:2_x000D_
#comment:1_x000D_
#events:1_x000D_
#kids:1_x000D_
lived:ENSUFFOASHFIEL,ENSUFFOTHURSTO_x000D_
issue:Died before Birth_x000D_
.recs:Birth,Marriage,Death_x000D_
.imm?:no_x000D_
..Spo:EVE CRIKETOT</t>
        </r>
      </text>
    </comment>
    <comment ref="Z3440" authorId="0" shapeId="0" xr:uid="{F273B947-789F-4C4C-A7BF-A24394078E93}">
      <text>
        <r>
          <rPr>
            <sz val="9"/>
            <color indexed="81"/>
            <rFont val="Tahoma"/>
            <family val="2"/>
          </rPr>
          <t>CECILY VALOINES_x000D_
http://yeinfo.com/family/I09066571.html_x000D_
https://www.google.com/search?q=CECILY+VALOINES+1255+1325+NORWICH+ROBERT_x000D_
.born:?1255    -          Walsham le Willows (Suffolk) England_x000D_
.died: 13250716-          Stow (Lincolnshire) England, age:70y 6m 15d, _x000D_
.bapt: 1785GE_x000D_
.will: 2004MO_x000D_
.obit: 1890OH_x000D_
.bury: 1850IL _x000D_
.wpbt: 1826PA_x000D_
.anc#:double ancestor_x000D_
citiz:foreign_x000D_
#spos:2_x000D_
#srcs:3_x000D_
#comment:1_x000D_
#events:2_x000D_
#kids:2_x000D_
lived:ENLINCSSTOW,ENSUFFOWALSHAM_x000D_
issue:Born before Parents Married,Died after Age 100,AncFlags between Spouses Mismatched_x000D_
.recs:Birth,Marriage,Death_x000D_
.imm?:no_x000D_
..Spo:GEOFFREY NORWICH</t>
        </r>
      </text>
    </comment>
    <comment ref="AA3442" authorId="0" shapeId="0" xr:uid="{BFFEF691-DE34-481B-BE84-5760085CBDDD}">
      <text>
        <r>
          <rPr>
            <sz val="9"/>
            <color indexed="81"/>
            <rFont val="Tahoma"/>
            <family val="2"/>
          </rPr>
          <t>EVE CRIKETOT_x000D_
http://yeinfo.com/family/I09066633.html_x000D_
https://www.google.com/search?q=EVE+CRIKETOT+1255+1316+VALOINES_x000D_
.born:?1255    -          Thurston (Suffolk) England_x000D_
.died: 1316    -          Thurston (Suffolk) England, age:61y 0m 0d, _x000D_
.bapt: 1785GE_x000D_
.will: 2004MO_x000D_
.obit: 1890OH_x000D_
.bury: 1850IL _x000D_
.wpbt: 1826PA_x000D_
.anc#:double ancestor_x000D_
citiz:foreign_x000D_
#spos:1_x000D_
#srcs:2_x000D_
#comment:1_x000D_
#events:1_x000D_
#kids:1_x000D_
lived:ENSUFFOTHURSTO_x000D_
issue:Died after Age 100_x000D_
.recs:Birth,Marriage,Death_x000D_
.imm?:no_x000D_
..Spo:ROBERT VALOINES</t>
        </r>
      </text>
    </comment>
    <comment ref="X3444" authorId="0" shapeId="0" xr:uid="{D0BE654C-DE26-498D-A455-5648DBE5A95C}">
      <text>
        <r>
          <rPr>
            <sz val="9"/>
            <color indexed="81"/>
            <rFont val="Tahoma"/>
            <family val="2"/>
          </rPr>
          <t>MARGARET\CATHERINE NORWICH_x000D_
http://yeinfo.com/family/I09066519.html_x000D_
https://www.google.com/search?q=MARGARET\CATHERINE+NORWICH+1300+1368+UFFORD_x000D_
.born:?1300    -         ?England_x000D_
.died: 13680402-         ?England, age:68y 3m 1d, _x000D_
.bapt: 1785GE_x000D_
.will: 2004MO_x000D_
.obit: 1890OH_x000D_
.bury: 1850IL _x000D_
.wpbt: 1826PA_x000D_
.anc#:ancestor_x000D_
citiz:foreign_x000D_
#spos:1_x000D_
#srcs:2_x000D_
#comment:0_x000D_
#events:1_x000D_
#kids:7_x000D_
lived:?EN_x000D_
issue:_x000D_
.recs:Birth,Marriage,Death_x000D_
.imm?:no_x000D_
..Spo:ROBERT\WALTER UFFORD</t>
        </r>
      </text>
    </comment>
    <comment ref="Z3446" authorId="0" shapeId="0" xr:uid="{8C681F39-8F71-4EC8-AF02-78246A5269F7}">
      <text>
        <r>
          <rPr>
            <sz val="9"/>
            <color indexed="81"/>
            <rFont val="Tahoma"/>
            <family val="2"/>
          </rPr>
          <t>JOHN HEDERSETE_x000D_
http://yeinfo.com/family/I09066636.html_x000D_
https://www.google.com/search?q=JOHN+HEDERSETE+1252+1300+MARGERY_x000D_
.born:?1252    -         ?England_x000D_
.died:c1300    -         ?England, age:48y 0m 0d, _x000D_
.bapt: 1785GE_x000D_
.will: 2004MO_x000D_
.obit: 1890OH_x000D_
.bury: 1850IL _x000D_
.wpbt: 1826PA_x000D_
.anc#:ancestor_x000D_
citiz:foreign_x000D_
#spos:1_x000D_
#srcs:2_x000D_
#comment:1_x000D_
#events:1_x000D_
#kids:1_x000D_
lived:?EN_x000D_
issue:_x000D_
.recs:Birth,Marriage,Death_x000D_
.imm?:no_x000D_
..Spo:MARGERY HEDERSETE</t>
        </r>
      </text>
    </comment>
    <comment ref="Y3448" authorId="0" shapeId="0" xr:uid="{749647AB-8B8C-4ADB-9132-26EC16019F7F}">
      <text>
        <r>
          <rPr>
            <sz val="9"/>
            <color indexed="81"/>
            <rFont val="Tahoma"/>
            <family val="2"/>
          </rPr>
          <t>CATHERINE HEDERSETE_x000D_
http://yeinfo.com/family/I09066573.html_x000D_
https://www.google.com/search?q=CATHERINE+HEDERSETE+1274+1343+NORWICH_x000D_
.born:c1274    -          Mettingham (Suffolk) England_x000D_
.died: 134310  -          , age:69y 9m 0d, _x000D_
.bapt: 1785GE_x000D_
.will: 2004MO_x000D_
.obit: 1890OH_x000D_
.bury: 1850IL _x000D_
.wpbt: 1826PA_x000D_
.anc#:ancestor_x000D_
citiz:foreign_x000D_
#spos:1_x000D_
#srcs:2_x000D_
#comment:0_x000D_
#events:1_x000D_
#kids:1_x000D_
lived:ENSUFFOMETTING_x000D_
issue:_x000D_
.recs:Birth,Marriage,Death_x000D_
.imm?:no_x000D_
..Spo:WALTER NORWICH</t>
        </r>
      </text>
    </comment>
    <comment ref="Z3450" authorId="0" shapeId="0" xr:uid="{961CE5EB-904D-44C6-A664-E59554AB9062}">
      <text>
        <r>
          <rPr>
            <sz val="9"/>
            <color indexed="81"/>
            <rFont val="Tahoma"/>
            <family val="2"/>
          </rPr>
          <t>Mrs. MARGERY HEDERSETE_x000D_
http://yeinfo.com/family/I09066635.html_x000D_
https://www.google.com/search?q=MARGERY+HEDERSETE+1255+1275+HEDERSETE_x000D_
.born:?1255    -         ?England_x000D_
.died: 1275    -1345     ?England, age:20y 0m 0d, _x000D_
.bapt: 1785GE_x000D_
.will: 2004MO_x000D_
.obit: 1890OH_x000D_
.bury: 1850IL _x000D_
.wpbt: 1826PA_x000D_
.anc#:ancestor_x000D_
citiz:foreign_x000D_
#spos:1_x000D_
#srcs:2_x000D_
#comment:1_x000D_
#events:1_x000D_
#kids:1_x000D_
lived:?EN_x000D_
issue:_x000D_
.recs:Birth,Marriage,Death_x000D_
.imm?:no_x000D_
..Spo:JOHN HEDERSETE</t>
        </r>
      </text>
    </comment>
    <comment ref="T3452" authorId="0" shapeId="0" xr:uid="{A1C94F31-5501-4AA5-A7B6-8DE44F4A70C2}">
      <text>
        <r>
          <rPr>
            <sz val="9"/>
            <color indexed="81"/>
            <rFont val="Tahoma"/>
            <family val="2"/>
          </rPr>
          <t>ROBERT CRANE Jr._x000D_
http://yeinfo.com/family/I09065835.html_x000D_
https://www.google.com/search?q=ROBERT+CRANE+1432+1500+ANNE_x000D_
.born:c1432    -          Suffolk county England_x000D_
.died: 15001023-          Suffolk county England, age:68y 9m 22d, _x000D_
.bapt: 1785GE_x000D_
.will: 2004MO_x000D_
.obit: 1890OH_x000D_
.bury: 1850IL _x000D_
.wpbt: 1826PA_x000D_
.anc#:ancestor_x000D_
citiz:foreign_x000D_
#spos:1_x000D_
#srcs:2_x000D_
#comment:0_x000D_
#events:1_x000D_
#kids:1_x000D_
lived:ENSUFFO_x000D_
issue:_x000D_
.recs:Birth,Marriage,Death_x000D_
.imm?:no_x000D_
..Spo:ANNE AGARD</t>
        </r>
      </text>
    </comment>
    <comment ref="V3454" authorId="0" shapeId="0" xr:uid="{24ADF8EB-328F-4056-982E-D10F078B8E43}">
      <text>
        <r>
          <rPr>
            <sz val="9"/>
            <color indexed="81"/>
            <rFont val="Tahoma"/>
            <family val="2"/>
          </rPr>
          <t>THOMAS GREENE_x000D_
http://yeinfo.com/family/I09066193.html_x000D_
https://www.google.com/search?q=THOMAS+GREENE+1384+1406+SUSANNAH_x000D_
.born: 1384    -          England_x000D_
.died: 1406    -1474     ?England, age:22y 0m 0d, _x000D_
.bapt: 1785GE_x000D_
.will: 2004MO_x000D_
.obit: 1890OH_x000D_
.bury: 1850IL _x000D_
.wpbt: 1826PA_x000D_
.anc#:ancestor_x000D_
citiz:foreign_x000D_
#spos:1_x000D_
#srcs:1_x000D_
#comment:1_x000D_
#events:1_x000D_
#kids:1_x000D_
lived:EN_x000D_
issue:_x000D_
.recs:Birth,Marriage,Death_x000D_
.imm?:no_x000D_
..Spo:SUSANNAH BELL</t>
        </r>
      </text>
    </comment>
    <comment ref="U3456" authorId="0" shapeId="0" xr:uid="{8EE2F081-8E4B-4B70-B0A5-107C670680F5}">
      <text>
        <r>
          <rPr>
            <sz val="9"/>
            <color indexed="81"/>
            <rFont val="Tahoma"/>
            <family val="2"/>
          </rPr>
          <t>AGNES GREENE_x000D_
http://yeinfo.com/family/I09066004.html_x000D_
https://www.google.com/search?q=AGNES+GREENE+1406+1500+CRANE_x000D_
.born:c1406    -          Stoneham Aspal (Suffolk) England_x000D_
.died: 1500    -          Stoneham Aspal (Suffolk) England, age:94y 0m 0d, _x000D_
.bapt: 1785GE_x000D_
.will: 2004MO_x000D_
.obit: 1890OH_x000D_
.bury: 1850IL _x000D_
.wpbt: 1826PA_x000D_
.anc#:ancestor_x000D_
citiz:foreign_x000D_
#spos:1_x000D_
#srcs:1_x000D_
#comment:0_x000D_
#events:1_x000D_
#kids:1_x000D_
lived:ENSUFFOSTONEHA_x000D_
issue:_x000D_
.recs:Birth,Marriage,Death_x000D_
.imm?:no_x000D_
..Spo:ROBERT CRANE</t>
        </r>
      </text>
    </comment>
    <comment ref="V3458" authorId="0" shapeId="0" xr:uid="{48306852-2D6B-40F4-B11F-38845EB2C675}">
      <text>
        <r>
          <rPr>
            <sz val="9"/>
            <color indexed="81"/>
            <rFont val="Tahoma"/>
            <family val="2"/>
          </rPr>
          <t>SUSANNAH BELL_x000D_
http://yeinfo.com/family/I09066194.html_x000D_
https://www.google.com/search?q=SUSANNAH+BELL+1385+1406+GREENE_x000D_
.born:?1385    -         ?England_x000D_
.died: 1406    -1475     ?England, age:21y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..Spo:THOMAS GREENE</t>
        </r>
      </text>
    </comment>
    <comment ref="S3460" authorId="0" shapeId="0" xr:uid="{30480FFA-57C2-45F8-9904-CEB96F86AE6F}">
      <text>
        <r>
          <rPr>
            <sz val="9"/>
            <color indexed="81"/>
            <rFont val="Tahoma"/>
            <family val="2"/>
          </rPr>
          <t>MARGARY CRANE_x000D_
http://yeinfo.com/family/I09065699.html_x000D_
https://www.google.com/search?q=MARGARY+CRANE+1453+1504+APPLETON_x000D_
.born:c1453    -          Chilton (Suffolk) England_x000D_
.died: 15041104-          , age:51y 10m 3d, _x000D_
.bapt: 1785GE_x000D_
.will: 2004MO_x000D_
.obit: 1890OH_x000D_
.bury: 1850IL _x000D_
.wpbt: 1826PA_x000D_
.anc#:ancestor_x000D_
citiz:foreign_x000D_
#spos:1_x000D_
#srcs:2_x000D_
#comment:0_x000D_
#events:1_x000D_
#kids:1_x000D_
lived:ENSUFFOCHILTON_x000D_
issue:_x000D_
.recs:Birth,Marriage,Death_x000D_
.imm?:no_x000D_
..Spo:THOMAS APPLETON</t>
        </r>
      </text>
    </comment>
    <comment ref="V3462" authorId="0" shapeId="0" xr:uid="{FFFC3336-5912-4131-B303-AE8C265EB78E}">
      <text>
        <r>
          <rPr>
            <sz val="9"/>
            <color indexed="81"/>
            <rFont val="Tahoma"/>
            <family val="2"/>
          </rPr>
          <t>PEDER NIELSEN AGARD_x000D_
http://yeinfo.com/family/I09066722.html_x000D_
https://www.google.com/search?q=PEDER+NIELSEN+AGARD+1378+1410+ANNE+JEPSDATTER_x000D_
.born: 1378    -          Denmark_x000D_
.died: 1410    -          Denmark, age:32y 0m 0d, _x000D_
.bapt: 1785GE_x000D_
.will: 2004MO_x000D_
.obit: 1890OH_x000D_
.bury: 1850IL _x000D_
.wpbt: 1826PA_x000D_
.anc#:ancestor_x000D_
citiz:foreign_x000D_
#spos:1_x000D_
#srcs:3_x000D_
#comment:1_x000D_
#events:1_x000D_
#kids:1_x000D_
lived:DN,GE_x000D_
issue:_x000D_
.recs:Birth,Marriage,Death_x000D_
.imm?:no_x000D_
..Spo:ANNE JEPSDATTER LANGE</t>
        </r>
      </text>
    </comment>
    <comment ref="U3464" authorId="0" shapeId="0" xr:uid="{A99BC320-7488-4FED-8809-FA676E87A71A}">
      <text>
        <r>
          <rPr>
            <sz val="9"/>
            <color indexed="81"/>
            <rFont val="Tahoma"/>
            <family val="2"/>
          </rPr>
          <t>ANDREW AGARD_x000D_
http://yeinfo.com/family/I09066005.html_x000D_
https://www.google.com/search?q=ANDREW+AGARD+1409+1454+ALICE_x000D_
.born:c1409    -          Buckinghamshire county England_x000D_
.died: 14541113-          Buckinghamshire county England, age:45y 10m 12d, _x000D_
.bapt: 1785GE_x000D_
.will: 2004MO_x000D_
.obit: 1890OH_x000D_
.bury: 1850IL _x000D_
.wpbt: 1826PA_x000D_
.anc#:ancestor_x000D_
citiz:foreign_x000D_
#spos:1_x000D_
#srcs:6_x000D_
#comment:0_x000D_
#events:1_x000D_
#kids:6_x000D_
lived:DN,ENBUCKE_x000D_
issue:_x000D_
.recs:Birth,Marriage,Death_x000D_
.imm?:no_x000D_
..Spo:ALICE LOVELL</t>
        </r>
      </text>
    </comment>
    <comment ref="V3466" authorId="0" shapeId="0" xr:uid="{1DFD89D2-F9BF-4216-A40E-13F4CA0B4562}">
      <text>
        <r>
          <rPr>
            <sz val="9"/>
            <color indexed="81"/>
            <rFont val="Tahoma"/>
            <family val="2"/>
          </rPr>
          <t>ANNE JEPSDATTER LANGE_x000D_
http://yeinfo.com/family/I09066723.html_x000D_
https://www.google.com/search?q=ANNE+JEPSDATTER+LANGE+1368+1440+AGARD_x000D_
.born: 1368    -          Denmark_x000D_
.died: 1440    -          Germany, age:72y 0m 0d, _x000D_
.bapt: 1785GE_x000D_
.will: 2004MO_x000D_
.obit: 1890OH_x000D_
.bury: 1850IL _x000D_
.wpbt: 1826PA_x000D_
.anc#:ancestor_x000D_
citiz:foreign_x000D_
#spos:1_x000D_
#srcs:2_x000D_
#comment:1_x000D_
#events:1_x000D_
#kids:1_x000D_
lived:DN,GE_x000D_
issue:_x000D_
.recs:Birth,Marriage,Death_x000D_
.imm?:no_x000D_
..Spo:PEDER NIELSEN AGARD</t>
        </r>
      </text>
    </comment>
    <comment ref="T3468" authorId="0" shapeId="0" xr:uid="{453B7DF5-7F36-4F5A-8109-704E8022981A}">
      <text>
        <r>
          <rPr>
            <sz val="9"/>
            <color indexed="81"/>
            <rFont val="Tahoma"/>
            <family val="2"/>
          </rPr>
          <t>ANNE AGARD_x000D_
http://yeinfo.com/family/I09065836.html_x000D_
https://www.google.com/search?q=ANNE+AGARD+1438+1521+CRANE_x000D_
.born:c1438    -          Norfolk county England_x000D_
.died: 1521    -          Chilton (Suffolk) England, age:83y 0m 0d, _x000D_
.bapt: 1785GE_x000D_
.will: 2004MO_x000D_
.obit: 1890OH_x000D_
.bury: 1850IL _x000D_
.wpbt: 1826PA_x000D_
.anc#:ancestor_x000D_
citiz:foreign_x000D_
#spos:1_x000D_
#srcs:2_x000D_
#comment:0_x000D_
#events:1_x000D_
#kids:1_x000D_
lived:ENNORFO,ENSUFFOCHILTON_x000D_
issue:Died after Age 100_x000D_
.recs:Birth,Marriage,Death_x000D_
.imm?:no_x000D_
..Spo:ROBERT CRANE</t>
        </r>
      </text>
    </comment>
    <comment ref="Y3470" authorId="0" shapeId="0" xr:uid="{B5860E02-7237-40AB-AA5B-D4F27AF4DABE}">
      <text>
        <r>
          <rPr>
            <sz val="9"/>
            <color indexed="81"/>
            <rFont val="Tahoma"/>
            <family val="2"/>
          </rPr>
          <t>JOHN LOVELL_x000D_
http://yeinfo.com/family/I09066574.html_x000D_
https://www.google.com/search?q=JOHN+LOVELL+1288+1314+MAUD_x000D_
.born: 1288    -          Northamptonshire county England_x000D_
.died: 13140624-          England, age:26y 5m 23d, _x000D_
.bapt: 1785GE_x000D_
.will: 2004MO_x000D_
.obit: 1890OH_x000D_
.bury: 1850IL _x000D_
.wpbt: 1826PA_x000D_
.anc#:ancestor_x000D_
citiz:foreign_x000D_
#spos:1_x000D_
#srcs:2_x000D_
#comment:1_x000D_
#events:1_x000D_
#kids:1_x000D_
lived:ENNORTA,ENSHROPACTON B_x000D_
issue:_x000D_
.recs:Birth,Marriage,Death_x000D_
.imm?:no_x000D_
..Spo:MAUD BURNELL</t>
        </r>
      </text>
    </comment>
    <comment ref="X3472" authorId="0" shapeId="0" xr:uid="{62860178-5C68-4C56-B5D5-CDAEB5A10147}">
      <text>
        <r>
          <rPr>
            <sz val="9"/>
            <color indexed="81"/>
            <rFont val="Tahoma"/>
            <family val="2"/>
          </rPr>
          <t>JOHN LOVELL_x000D_
http://yeinfo.com/family/I09066520.html_x000D_
https://www.google.com/search?q=JOHN+LOVELL+1310+1347+ISABEL_x000D_
.born:?1310    -         ?England_x000D_
.died: 13471103-         ?England, age:37y 10m 2d, _x000D_
.bapt: 1785GE_x000D_
.will: 2004MO_x000D_
.obit: 1890OH_x000D_
.bury: 1850IL _x000D_
.wpbt: 1826PA_x000D_
.anc#:ancestor_x000D_
citiz:foreign_x000D_
#spos:1_x000D_
#srcs:2_x000D_
#comment:0_x000D_
#events:1_x000D_
#kids:1_x000D_
lived:?EN_x000D_
issue:_x000D_
.recs:Birth,Marriage,Death_x000D_
.imm?:no_x000D_
..Spo:ISABEL ZOUCHE</t>
        </r>
      </text>
    </comment>
    <comment ref="Y3474" authorId="0" shapeId="0" xr:uid="{027A1859-99F6-47AA-A8EE-EEEECA5D5F4B}">
      <text>
        <r>
          <rPr>
            <sz val="9"/>
            <color indexed="81"/>
            <rFont val="Tahoma"/>
            <family val="2"/>
          </rPr>
          <t>MAUD BURNELL_x000D_
http://yeinfo.com/family/I09066575.html_x000D_
https://www.google.com/search?q=MAUD+BURNELL+1290+1341+LOVELL_x000D_
.born:c1290    -          England_x000D_
.died: 13410517-          England, age:51y 4m 16d, _x000D_
.bapt: 1785GE_x000D_
.will: 2004MO_x000D_
.obit: 1890OH_x000D_
.bury: 1850IL _x000D_
.wpbt: 1826PA_x000D_
.anc#:ancestor_x000D_
citiz:foreign_x000D_
#spos:1_x000D_
#srcs:2_x000D_
#comment:1_x000D_
#events:1_x000D_
#kids:1_x000D_
lived:EN_x000D_
issue:_x000D_
.recs:Birth,Marriage,Death_x000D_
.imm?:no_x000D_
..Spo:JOHN LOVELL</t>
        </r>
      </text>
    </comment>
    <comment ref="W3476" authorId="0" shapeId="0" xr:uid="{3B72B899-01E7-4F4E-9A31-DD24AE7B26E9}">
      <text>
        <r>
          <rPr>
            <sz val="9"/>
            <color indexed="81"/>
            <rFont val="Tahoma"/>
            <family val="2"/>
          </rPr>
          <t>JOHN LOVELL_x000D_
http://yeinfo.com/family/I09066343.html_x000D_
https://www.google.com/search?q=JOHN+LOVELL+1340+1408+MAUD_x000D_
.born: 1340    -         ?England_x000D_
.died: 14080910-         ?England, age:68y 8m 9d, _x000D_
.bapt: 1785GE_x000D_
.will: 2004MO_x000D_
.obit: 1890OH_x000D_
.bury: 1850IL _x000D_
.wpbt: 1826PA_x000D_
.anc#:ancestor_x000D_
citiz:foreign_x000D_
#spos:1_x000D_
#srcs:2_x000D_
#comment:0_x000D_
#events:1_x000D_
#kids:1_x000D_
lived:?EN_x000D_
issue:_x000D_
.recs:Birth,Marriage,Death_x000D_
.imm?:no_x000D_
..Spo:MAUD HOLLAND</t>
        </r>
      </text>
    </comment>
    <comment ref="Y3478" authorId="0" shapeId="0" xr:uid="{3531C806-2590-463E-B6FE-32CC1CA446C6}">
      <text>
        <r>
          <rPr>
            <sz val="9"/>
            <color indexed="81"/>
            <rFont val="Tahoma"/>
            <family val="2"/>
          </rPr>
          <t>EUDO ZOUCHE_x000D_
http://yeinfo.com/family/I09066576.html_x000D_
https://www.google.com/search?q=EUDO+ZOUCHE+1297+1326+JOAN_x000D_
.born: 129708  -          Harrington (Northamptonshire) England_x000D_
.died: 13260424-          Paris (Ile-de-France) France, age:28y 8m 23d, _x000D_
.bapt: 1785GE_x000D_
.will: 2004MO_x000D_
.obit: 1890OH_x000D_
.bury: 1850IL _x000D_
.wpbt: 1826PA_x000D_
.anc#:double ancestor_x000D_
citiz:foreign_x000D_
#spos:1_x000D_
#srcs:1_x000D_
#comment:1_x000D_
#events:1_x000D_
#kids:2_x000D_
lived:ENNORTAHARRING,FRILE-DPARIS_x000D_
issue:_x000D_
.recs:Birth,Marriage,Death_x000D_
.imm?:no_x000D_
..Spo:JOAN INGE</t>
        </r>
      </text>
    </comment>
    <comment ref="X3480" authorId="0" shapeId="0" xr:uid="{B77D2E1A-FACB-49F7-8F12-2A52A6B96290}">
      <text>
        <r>
          <rPr>
            <sz val="9"/>
            <color indexed="81"/>
            <rFont val="Tahoma"/>
            <family val="2"/>
          </rPr>
          <t>ISABEL ZOUCHE_x000D_
http://yeinfo.com/family/I09066521.html_x000D_
https://www.google.com/search?q=ISABEL+ZOUCHE+1320+1349+LOVELL_x000D_
.born:c1320    -          Harrington (Northamptonshire) England_x000D_
.died: 13490702-          England, age:29y 6m 1d, _x000D_
.bapt: 1785GE_x000D_
.will: 2004MO_x000D_
.obit: 1890OH_x000D_
.bury: 1850IL _x000D_
.wpbt: 1826PA_x000D_
.anc#:ancestor_x000D_
citiz:foreign_x000D_
#spos:1_x000D_
#srcs:1_x000D_
#comment:1_x000D_
#events:1_x000D_
#kids:1_x000D_
lived:ENNORTAHARRING_x000D_
issue:Died after Age 100_x000D_
.recs:Birth,Marriage,Death_x000D_
.imm?:no_x000D_
..Spo:JOHN LOVELL</t>
        </r>
      </text>
    </comment>
    <comment ref="Y3482" authorId="0" shapeId="0" xr:uid="{22214F85-479D-42B2-AFEF-4E72F7FA875E}">
      <text>
        <r>
          <rPr>
            <sz val="9"/>
            <color indexed="81"/>
            <rFont val="Tahoma"/>
            <family val="2"/>
          </rPr>
          <t>JOAN INGE_x000D_
http://yeinfo.com/family/I09066577.html_x000D_
https://www.google.com/search?q=JOAN+INGE+1290+1359+ZOUCHE_x000D_
.born: 1290    -          Essex county England_x000D_
.died:c1359    -          England, age:69y 0m 0d, _x000D_
.bapt: 1785GE_x000D_
.will: 2004MO_x000D_
.obit: 1890OH_x000D_
.bury: 1850IL _x000D_
.wpbt: 1826PA_x000D_
.anc#:double ancestor_x000D_
citiz:foreign_x000D_
#spos:1_x000D_
#srcs:1_x000D_
#comment:1_x000D_
#events:1_x000D_
#kids:2_x000D_
lived:ENESSEX_x000D_
issue:_x000D_
.recs:Birth,Marriage,Death_x000D_
.imm?:no_x000D_
..Spo:EUDO ZOUCHE</t>
        </r>
      </text>
    </comment>
    <comment ref="V3484" authorId="0" shapeId="0" xr:uid="{FC8D5869-5D31-4482-8726-016848E5D9E0}">
      <text>
        <r>
          <rPr>
            <sz val="9"/>
            <color indexed="81"/>
            <rFont val="Tahoma"/>
            <family val="2"/>
          </rPr>
          <t>JOHN\JONATHAN\GEORGE LOVELL_x000D_
http://yeinfo.com/family/I09066195.html_x000D_
https://www.google.com/search?q=JOHN\JONATHAN\GEORGE+LOVELL+1365+1414+ELEANOR_x000D_
.born:?1365    -         ?England_x000D_
.died: 14141119-         ?England, age:49y 10m 18d, _x000D_
.bapt: 1785GE_x000D_
.will: 2004MO_x000D_
.obit: 1890OH_x000D_
.bury: 1850IL _x000D_
.wpbt: 1826PA_x000D_
.anc#:ancestor_x000D_
citiz:foreign_x000D_
#spos:1_x000D_
#srcs:2_x000D_
#comment:0_x000D_
#events:1_x000D_
#kids:1_x000D_
lived:?EN_x000D_
issue:_x000D_
.recs:Birth,Marriage,Death_x000D_
.imm?:no_x000D_
..Spo:ELEANOR ZOUCHE</t>
        </r>
      </text>
    </comment>
    <comment ref="W3486" authorId="0" shapeId="0" xr:uid="{58E5A140-591A-4167-A2CC-1D135A65180F}">
      <text>
        <r>
          <rPr>
            <sz val="9"/>
            <color indexed="81"/>
            <rFont val="Tahoma"/>
            <family val="2"/>
          </rPr>
          <t>MAUD HOLLAND_x000D_
http://yeinfo.com/family/I09066344.html_x000D_
https://www.google.com/search?q=MAUD+HOLLAND+1356+1376+LOVELL_x000D_
.born: 1356    -          Nether Kellet (Lancashire) England_x000D_
.died: 1376    -1446      , age:20y 0m 0d, _x000D_
.bapt: 1785GE_x000D_
.will: 2004MO_x000D_
.obit: 1890OH_x000D_
.bury: 1850IL _x000D_
.wpbt: 1826PA_x000D_
.anc#:ancestor_x000D_
citiz:foreign_x000D_
#spos:1_x000D_
#srcs:1_x000D_
#comment:1_x000D_
#events:1_x000D_
#kids:1_x000D_
lived:ENLANCSNETHER_x000D_
issue:Died after Age 100_x000D_
.recs:Birth,Marriage,Death_x000D_
.imm?:no_x000D_
..Spo:JOHN LOVELL</t>
        </r>
      </text>
    </comment>
    <comment ref="U3488" authorId="0" shapeId="0" xr:uid="{EF0B6E4A-47AC-46FC-B2FA-62E885145E93}">
      <text>
        <r>
          <rPr>
            <sz val="9"/>
            <color indexed="81"/>
            <rFont val="Tahoma"/>
            <family val="2"/>
          </rPr>
          <t>ALICE LOVELL_x000D_
http://yeinfo.com/family/I09066006.html_x000D_
https://www.google.com/search?q=ALICE+LOVELL+1408+1474+AGARD_x000D_
.born: 1408    -          England_x000D_
.died:c1474    -          England, age:66y 0m 0d, _x000D_
.bapt: 1785GE_x000D_
.will: 2004MO_x000D_
.obit: 1890OH_x000D_
.bury: 1850IL _x000D_
.wpbt: 1826PA_x000D_
.anc#:ancestor_x000D_
citiz:foreign_x000D_
#spos:1_x000D_
#srcs:1_x000D_
#comment:0_x000D_
#events:1_x000D_
#kids:6_x000D_
lived:EN_x000D_
issue:_x000D_
.recs:Birth,Marriage,Death_x000D_
.imm?:no_x000D_
..Spo:ANDREW AGARD</t>
        </r>
      </text>
    </comment>
    <comment ref="Y3490" authorId="0" shapeId="0" xr:uid="{1BE1A1DD-0FCA-480E-AACF-0074648D388A}">
      <text>
        <r>
          <rPr>
            <sz val="9"/>
            <color indexed="81"/>
            <rFont val="Tahoma"/>
            <family val="2"/>
          </rPr>
          <t>EUDO ZOUCHE_x000D_
http://yeinfo.com/family/I09066576.html_x000D_
https://www.google.com/search?q=EUDO+ZOUCHE+1297+1326+JOAN_x000D_
.born: 129708  -          Harrington (Northamptonshire) England_x000D_
.died: 13260424-          Paris (Ile-de-France) France, age:28y 8m 23d, _x000D_
.bapt: 1785GE_x000D_
.will: 2004MO_x000D_
.obit: 1890OH_x000D_
.bury: 1850IL _x000D_
.wpbt: 1826PA_x000D_
.anc#:double ancestor_x000D_
citiz:foreign_x000D_
#spos:1_x000D_
#srcs:1_x000D_
#comment:1_x000D_
#events:1_x000D_
#kids:2_x000D_
lived:ENNORTAHARRING,FRILE-DPARIS_x000D_
issue:_x000D_
.recs:Birth,Marriage,Death_x000D_
.imm?:no_x000D_
..Spo:JOAN INGE</t>
        </r>
      </text>
    </comment>
    <comment ref="X3492" authorId="0" shapeId="0" xr:uid="{6FF22865-0D8F-463D-A8D7-A7BC9BCF4099}">
      <text>
        <r>
          <rPr>
            <sz val="9"/>
            <color indexed="81"/>
            <rFont val="Tahoma"/>
            <family val="2"/>
          </rPr>
          <t>WILLIAM ZOUCHE_x000D_
http://yeinfo.com/family/I09066522.html_x000D_
https://www.google.com/search?q=WILLIAM+ZOUCHE+1321+1382+ELIZABETH_x000D_
.born:c13211225-          Harrington (Northamptonshire) England_x000D_
.died: 13820423-          Harrington (Northamptonshire) England, age:60y 3m 29d, _x000D_
.bapt: 1785GE_x000D_
.will: 2004MO_x000D_
.obit: 1890OH_x000D_
.bury: 1850IL _x000D_
.wpbt: 1826PA_x000D_
.anc#:ancestor_x000D_
citiz:foreign_x000D_
#spos:1_x000D_
#srcs:1_x000D_
#comment:1_x000D_
#events:1_x000D_
#kids:1_x000D_
lived:ENNORTAHARRING_x000D_
issue:_x000D_
.recs:Birth,Marriage,Death_x000D_
.imm?:no_x000D_
..Spo:ELIZABETH ROS</t>
        </r>
      </text>
    </comment>
    <comment ref="Y3494" authorId="0" shapeId="0" xr:uid="{DE295C3D-9005-4B99-8ABA-E8A8718110DC}">
      <text>
        <r>
          <rPr>
            <sz val="9"/>
            <color indexed="81"/>
            <rFont val="Tahoma"/>
            <family val="2"/>
          </rPr>
          <t>JOAN INGE_x000D_
http://yeinfo.com/family/I09066577.html_x000D_
https://www.google.com/search?q=JOAN+INGE+1290+1359+ZOUCHE_x000D_
.born: 1290    -          Essex county England_x000D_
.died:c1359    -          England, age:69y 0m 0d, _x000D_
.bapt: 1785GE_x000D_
.will: 2004MO_x000D_
.obit: 1890OH_x000D_
.bury: 1850IL _x000D_
.wpbt: 1826PA_x000D_
.anc#:double ancestor_x000D_
citiz:foreign_x000D_
#spos:1_x000D_
#srcs:1_x000D_
#comment:1_x000D_
#events:1_x000D_
#kids:2_x000D_
lived:ENESSEX_x000D_
issue:_x000D_
.recs:Birth,Marriage,Death_x000D_
.imm?:no_x000D_
..Spo:EUDO ZOUCHE</t>
        </r>
      </text>
    </comment>
    <comment ref="W3496" authorId="0" shapeId="0" xr:uid="{622D5A1C-E06A-4474-8154-2B887A29BB23}">
      <text>
        <r>
          <rPr>
            <sz val="9"/>
            <color indexed="81"/>
            <rFont val="Tahoma"/>
            <family val="2"/>
          </rPr>
          <t>WILLIAM ZOUCHE_x000D_
http://yeinfo.com/family/I09066345.html_x000D_
https://www.google.com/search?q=WILLIAM+ZOUCHE+1351+1396+AGNES\MARGARET_x000D_
.born: 13511027-          Harrington (Northamptonshire) England_x000D_
.died: 13960513-          Harrington (Northamptonshire) England, age:44y 6m 16d, _x000D_
.bapt: 1785GE_x000D_
.will: 2004MO_x000D_
.obit: 1890OH_x000D_
.bury: 1850IL _x000D_
.wpbt: 1826PA_x000D_
.anc#:ancestor_x000D_
citiz:foreign_x000D_
#spos:1_x000D_
#srcs:1_x000D_
#comment:0_x000D_
#events:1_x000D_
#kids:1_x000D_
lived:ENNORTAHARRING_x000D_
issue:_x000D_
.recs:Birth,Marriage,Death_x000D_
.imm?:no_x000D_
..Spo:AGNES\MARGARET GREEN</t>
        </r>
      </text>
    </comment>
    <comment ref="Z3498" authorId="0" shapeId="0" xr:uid="{83BBD022-3208-4456-A068-AF72E5BC636F}">
      <text>
        <r>
          <rPr>
            <sz val="9"/>
            <color indexed="81"/>
            <rFont val="Tahoma"/>
            <family val="2"/>
          </rPr>
          <t>WILLIAM ROS_x000D_
http://yeinfo.com/family/I09066637.html_x000D_
https://www.google.com/search?q=WILLIAM+ROS+1255+1316+MATILDA\MAUD_x000D_
.born: 12550627-          Helmsley (Yorkshire) England_x000D_
.died: 13160808-          Youlton (Yorkshire) England, age:61y 1m 12d, _x000D_
.bapt: 1785GE_x000D_
.will: 2004MO_x000D_
.obit: 1890OH_x000D_
.bury: 1850IL _x000D_
.wpbt: 1826PA_x000D_
.anc#:ancestor_x000D_
citiz:foreign_x000D_
#spos:1_x000D_
#srcs:1_x000D_
#comment:1_x000D_
#events:1_x000D_
#kids:1_x000D_
lived:ENYORKSHELMSLE,ENYORKSYOULTON_x000D_
issue:_x000D_
.recs:Birth,Marriage,Death_x000D_
.imm?:no_x000D_
..Spo:MATILDA\MAUD VAUX</t>
        </r>
      </text>
    </comment>
    <comment ref="Y3500" authorId="0" shapeId="0" xr:uid="{63A72A04-20E9-4F92-A9D6-E02E4DCAB29E}">
      <text>
        <r>
          <rPr>
            <sz val="9"/>
            <color indexed="81"/>
            <rFont val="Tahoma"/>
            <family val="2"/>
          </rPr>
          <t>WILLIAM ROS_x000D_
http://yeinfo.com/family/I09066578.html_x000D_
https://www.google.com/search?q=WILLIAM+ROS+1290+1343+MARGERY_x000D_
.born:c12900103-          Helmsley (Yorkshire) England_x000D_
.died: 13430203-          Kirkham (Yorkshire) England, age:53y 1m 0d, _x000D_
.bapt: 1785GE_x000D_
.will: 2004MO_x000D_
.obit: 1890OH_x000D_
.bury: 1850IL _x000D_
.wpbt: 1826PA_x000D_
.anc#:ancestor_x000D_
citiz:foreign_x000D_
#spos:1_x000D_
#srcs:1_x000D_
#comment:0_x000D_
#events:1_x000D_
#kids:1_x000D_
lived:ENYORKSHELMSLE,ENYORKSKIRKHAM_x000D_
issue:_x000D_
.recs:Birth,Marriage,Death_x000D_
.imm?:no_x000D_
..Spo:MARGERY BADLESMERE</t>
        </r>
      </text>
    </comment>
    <comment ref="Z3502" authorId="0" shapeId="0" xr:uid="{AD1A357C-2294-4262-A171-F7EBE5786B75}">
      <text>
        <r>
          <rPr>
            <sz val="9"/>
            <color indexed="81"/>
            <rFont val="Tahoma"/>
            <family val="2"/>
          </rPr>
          <t>MATILDA\MAUD VAUX_x000D_
http://yeinfo.com/family/I09066638.html_x000D_
https://www.google.com/search?q=MATILDA\MAUD+VAUX+1257+1316+ROS_x000D_
.born: 1257    -          Catterlen (Cumbria) England_x000D_
.died:c13160816-          Pentney (Norfolk) England, age:59y 7m 15d, _x000D_
.bapt: 1785GE_x000D_
.will: 2004MO_x000D_
.obit: 1890OH_x000D_
.bury: 1850IL _x000D_
.wpbt: 1826PA_x000D_
.anc#:ancestor_x000D_
citiz:foreign_x000D_
#spos:1_x000D_
#srcs:1_x000D_
#comment:1_x000D_
#events:1_x000D_
#kids:1_x000D_
lived:ENCUMBRCATTERL,ENNORFOPENTNEY_x000D_
issue:_x000D_
.recs:Birth,Marriage,Death_x000D_
.imm?:no_x000D_
..Spo:WILLIAM ROS</t>
        </r>
      </text>
    </comment>
    <comment ref="X3504" authorId="0" shapeId="0" xr:uid="{A3C37280-2062-4140-A849-57724EB079CB}">
      <text>
        <r>
          <rPr>
            <sz val="9"/>
            <color indexed="81"/>
            <rFont val="Tahoma"/>
            <family val="2"/>
          </rPr>
          <t>ELIZABETH ROS_x000D_
http://yeinfo.com/family/I09066523.html_x000D_
https://www.google.com/search?q=ELIZABETH+ROS+1325+1380+ZOUCHE_x000D_
.born:c1325    -          Yorkshire county England_x000D_
.died: 13800516-          Harrington (Northamptonshire) England, age:55y 4m 15d, _x000D_
.bapt: 1785GE_x000D_
.will: 2004MO_x000D_
.obit: 1890OH_x000D_
.bury: 1850IL _x000D_
.wpbt: 1826PA_x000D_
.anc#:ancestor_x000D_
citiz:foreign_x000D_
#spos:1_x000D_
#srcs:1_x000D_
#comment:0_x000D_
#events:1_x000D_
#kids:1_x000D_
lived:ENNORTAHARRING,ENYORKS_x000D_
issue:_x000D_
.recs:Birth,Marriage,Death_x000D_
.imm?:no_x000D_
..Spo:WILLIAM ZOUCHE</t>
        </r>
      </text>
    </comment>
    <comment ref="Z3506" authorId="0" shapeId="0" xr:uid="{CA9D7AF4-BCA7-471B-B44D-97C7B595421F}">
      <text>
        <r>
          <rPr>
            <sz val="9"/>
            <color indexed="81"/>
            <rFont val="Tahoma"/>
            <family val="2"/>
          </rPr>
          <t>BARTHOLOMEW BADLESMERE_x000D_
http://yeinfo.com/family/I09066639.html_x000D_
https://www.google.com/search?q=BARTHOLOMEW+BADLESMERE+1275+1322+MARGARET_x000D_
.born: 12750818-          Chilham (Kent) England_x000D_
.died: 13220414-          Canterbury (Kent) England, age:46y 7m 27d, executed_x000D_
.bapt: 1785GE_x000D_
.will: 2004MO_x000D_
.obit: 1890OH_x000D_
.bury: 1850IL White Friars_x000D_
.wpbt: 1826PA_x000D_
.anc#:ancestor_x000D_
citiz:foreign_x000D_
#spos:1_x000D_
#srcs:2_x000D_
#comment:1_x000D_
#events:6_x000D_
#kids:1_x000D_
lived:ENKENT CANTERB,ENKENT CHILHAM_x000D_
issue:_x000D_
.recs:Birth,Marriage,Death,Interment/Burial,Gov't Court_x000D_
.imm?:no_x000D_
..Spo:MARGARET CLARE</t>
        </r>
      </text>
    </comment>
    <comment ref="Y3508" authorId="0" shapeId="0" xr:uid="{84D1FA0F-5C49-45C0-AF0F-78A939AFD5CD}">
      <text>
        <r>
          <rPr>
            <sz val="9"/>
            <color indexed="81"/>
            <rFont val="Tahoma"/>
            <family val="2"/>
          </rPr>
          <t>MARGERY BADLESMERE_x000D_
http://yeinfo.com/family/I09066579.html_x000D_
https://www.google.com/search?q=MARGERY+BADLESMERE+1290+1363+ROS_x000D_
.born:?1290    -          Badlesmere (Kent) England_x000D_
.died: 13631018-          Helmsley (Yorkshire) England, age:73y 9m 17d, _x000D_
.bapt: 1785GE_x000D_
.will: 2004MO_x000D_
.obit: 1890OH_x000D_
.bury: 1850IL _x000D_
.wpbt: 1826PA_x000D_
.anc#:ancestor_x000D_
citiz:foreign_x000D_
#spos:1_x000D_
#srcs:1_x000D_
#comment:0_x000D_
#events:1_x000D_
#kids:1_x000D_
lived:ENKENT BADLESM,ENYORKSHELMSLE_x000D_
issue:Born before Parents Married_x000D_
.recs:Birth,Marriage,Death_x000D_
.imm?:no_x000D_
..Spo:WILLIAM ROS</t>
        </r>
      </text>
    </comment>
    <comment ref="Z3510" authorId="0" shapeId="0" xr:uid="{9FFCCB4C-CABE-446B-A108-B2C48E223EDC}">
      <text>
        <r>
          <rPr>
            <sz val="9"/>
            <color indexed="81"/>
            <rFont val="Tahoma"/>
            <family val="2"/>
          </rPr>
          <t>MARGARET CLARE_x000D_
http://yeinfo.com/family/I09066640.html_x000D_
https://www.google.com/search?q=MARGARET+CLARE+1287+1333+BADLESMERE_x000D_
.born: 12870401-          Connaught (Clare) Ireland_x000D_
.died: 13330103-          London (Middlesex) England, age:45y 9m 2d, _x000D_
.bapt: 1785GE_x000D_
.will: 2004MO_x000D_
.obit: 1890OH_x000D_
.bury: 1850IL _x000D_
.wpbt: 1826PA_x000D_
.anc#:ancestor_x000D_
citiz:foreign_x000D_
#spos:1_x000D_
#srcs:1_x000D_
#comment:1_x000D_
#events:1_x000D_
#kids:1_x000D_
lived:ENMIDDLLONDON,IRCLARECONNAUG_x000D_
issue:_x000D_
.recs:Birth,Marriage,Death_x000D_
.imm?:no_x000D_
..Spo:BARTHOLOMEW BADLESMERE</t>
        </r>
      </text>
    </comment>
    <comment ref="V3512" authorId="0" shapeId="0" xr:uid="{D69F5486-9F60-4F41-8101-6ACE7A2C54D1}">
      <text>
        <r>
          <rPr>
            <sz val="9"/>
            <color indexed="81"/>
            <rFont val="Tahoma"/>
            <family val="2"/>
          </rPr>
          <t>ELEANOR ZOUCHE_x000D_
http://yeinfo.com/family/I09066196.html_x000D_
https://www.google.com/search?q=ELEANOR+ZOUCHE+1368+1429+LOVELL_x000D_
.born:c1368    -          Northamptonshire county England_x000D_
.died: 14290901-          Titchmarsh (Northamptonshire) England, age:61y 8m 0d, _x000D_
.bapt: 1785GE_x000D_
.will: 2004MO_x000D_
.obit: 1890OH_x000D_
.bury: 1850IL _x000D_
.wpbt: 1826PA_x000D_
.anc#:ancestor_x000D_
citiz:foreign_x000D_
#spos:1_x000D_
#srcs:1_x000D_
#comment:0_x000D_
#events:1_x000D_
#kids:1_x000D_
lived:ENNORTATITCHMA_x000D_
issue:_x000D_
.recs:Birth,Marriage,Death_x000D_
.imm?:no_x000D_
..Spo:JOHN\JONATHAN\GEORGE LOVELL</t>
        </r>
      </text>
    </comment>
    <comment ref="W3514" authorId="0" shapeId="0" xr:uid="{EA9EBB2E-35C5-4BFC-A6F8-F994FDD19996}">
      <text>
        <r>
          <rPr>
            <sz val="9"/>
            <color indexed="81"/>
            <rFont val="Tahoma"/>
            <family val="2"/>
          </rPr>
          <t>AGNES\MARGARET GREEN_x000D_
http://yeinfo.com/family/I09066346.html_x000D_
https://www.google.com/search?q=AGNES\MARGARET+GREEN+1341+1391+ZOUCHE_x000D_
.born:c1341    -          Greens Norton (Northamptonshire) England_x000D_
.died: 13911202-          Harrington (Northamptonshire) England, age:50y 11m 1d, _x000D_
.bapt: 1785GE_x000D_
.will: 2004MO_x000D_
.obit: 1890OH_x000D_
.bury: 1850IL _x000D_
.wpbt: 1826PA_x000D_
.anc#:ancestor_x000D_
citiz:foreign_x000D_
#spos:1_x000D_
#srcs:2_x000D_
#comment:2_x000D_
#events:1_x000D_
#kids:1_x000D_
lived:ENNORTAGREENSN,ENNORTAHARRING_x000D_
issue:_x000D_
.recs:Birth,Marriage,Death_x000D_
.imm?:no_x000D_
..Spo:WILLIAM ZOUCHE</t>
        </r>
      </text>
    </comment>
    <comment ref="Q3516" authorId="0" shapeId="0" xr:uid="{F314E97C-4DFC-4EB7-B76F-6DB58D080545}">
      <text>
        <r>
          <rPr>
            <sz val="9"/>
            <color indexed="81"/>
            <rFont val="Tahoma"/>
            <family val="2"/>
          </rPr>
          <t>WILLIAM APPLETON_x000D_
http://yeinfo.com/family/I09043384.html_x000D_
https://www.google.com/search?q=WILLIAM+APPLETON+1506+1536+ROSE_x000D_
.born: 1506    -          Little Waldingfield (Suffolk) England_x000D_
.died:?15360824-          Little Waldingfield (Suffolk) England, age:30y 7m 23d, _x000D_
.bapt: 1785GE_x000D_
.will: 2004MO_x000D_
.obit: 1890OH_x000D_
.bury: 1850IL _x000D_
.wpbt: 1826PA_x000D_
.anc#:ancestor_x000D_
citiz:foreign_x000D_
#spos:1_x000D_
#srcs:1_x000D_
#comment:0_x000D_
#events:1_x000D_
#kids:1_x000D_
lived:ENSUFFOLITTLEW_x000D_
issue:_x000D_
.recs:Birth,Marriage,Death_x000D_
.imm?:no_x000D_
..Spo:ROSE SEXTON</t>
        </r>
      </text>
    </comment>
    <comment ref="S3518" authorId="0" shapeId="0" xr:uid="{F7672678-42BC-4F15-AD83-3D5550B6A073}">
      <text>
        <r>
          <rPr>
            <sz val="9"/>
            <color indexed="81"/>
            <rFont val="Tahoma"/>
            <family val="2"/>
          </rPr>
          <t>THOMAS MOUNTNEY_x000D_
http://yeinfo.com/family/I09065700.html_x000D_
https://www.google.com/search?q=THOMAS+MOUNTNEY+1470+1533+MARY_x000D_
.born: 1470    -          Mountnessing (Essex) England_x000D_
.died: 1533    -          London (Middlesex) England, age:63y 0m 0d, _x000D_
.bapt: 1785GE_x000D_
.will: 2004MO_x000D_
.obit: 1890OH_x000D_
.bury: 1850IL _x000D_
.wpbt: 1826PA_x000D_
.anc#:ancestor_x000D_
citiz:foreign_x000D_
#spos:1_x000D_
#srcs:1_x000D_
#comment:1_x000D_
#events:1_x000D_
#kids:1_x000D_
lived:ENESSEXMOUNTNE,ENMIDDLLONDON_x000D_
issue:_x000D_
.recs:Birth,Marriage,Death_x000D_
.imm?:no_x000D_
..Spo:MARY MOUNTNEY</t>
        </r>
      </text>
    </comment>
    <comment ref="R3520" authorId="0" shapeId="0" xr:uid="{E93C254E-90A1-49A0-A769-37266959A23D}">
      <text>
        <r>
          <rPr>
            <sz val="9"/>
            <color indexed="81"/>
            <rFont val="Tahoma"/>
            <family val="2"/>
          </rPr>
          <t>MARY MOUNTNEY_x000D_
http://yeinfo.com/family/I09065566.html_x000D_
https://www.google.com/search?q=MARY+MOUNTNEY+1491+1526+APPLETON_x000D_
.born: 1491    -          Little Waldingfield (Suffolk) England_x000D_
.died: 1526    -          Melford (Essex) England, age:35y 0m 0d, _x000D_
.bapt: 1785GE_x000D_
.will: 2004MO_x000D_
.obit: 1890OH_x000D_
.bury: 1850IL _x000D_
.wpbt: 1826PA_x000D_
.anc#:ancestor_x000D_
citiz:foreign_x000D_
#spos:1_x000D_
#srcs:1_x000D_
#comment:0_x000D_
#events:1_x000D_
#kids:1_x000D_
lived:ENESSEXMELFORD,ENSUFFOLITTLEW_x000D_
issue:Died after Age 100_x000D_
.recs:Birth,Marriage,Death_x000D_
.imm?:no_x000D_
..Spo:ROBERT GILES APPLETON</t>
        </r>
      </text>
    </comment>
    <comment ref="S3522" authorId="0" shapeId="0" xr:uid="{FE58CE18-95BB-4D6A-ABB0-370CE01F1D1A}">
      <text>
        <r>
          <rPr>
            <sz val="9"/>
            <color indexed="81"/>
            <rFont val="Tahoma"/>
            <family val="2"/>
          </rPr>
          <t>Mrs. MARY MOUNTNEY_x000D_
http://yeinfo.com/family/I09065701.html_x000D_
https://www.google.com/search?q=MARY+MOUNTNEY+1474+1566+MOUNTNEY_x000D_
.born: 1474    -          Mountnessing (Essex) England_x000D_
.died: 1566    -          Essex county England, age:92y 0m 0d, _x000D_
.bapt: 1785GE_x000D_
.will: 2004MO_x000D_
.obit: 1890OH_x000D_
.bury: 1850IL _x000D_
.wpbt: 1826PA_x000D_
.anc#:ancestor_x000D_
citiz:foreign_x000D_
#spos:1_x000D_
#srcs:1_x000D_
#comment:0_x000D_
#events:1_x000D_
#kids:1_x000D_
lived:ENESSEXMOUNTNE_x000D_
issue:_x000D_
.recs:Birth,Marriage,Death_x000D_
.imm?:no_x000D_
..Spo:THOMAS MOUNTNEY</t>
        </r>
      </text>
    </comment>
    <comment ref="P3524" authorId="0" shapeId="0" xr:uid="{F1B15E78-1CCA-4BA9-9BB8-26B634C5F290}">
      <text>
        <r>
          <rPr>
            <sz val="9"/>
            <color indexed="81"/>
            <rFont val="Tahoma"/>
            <family val="2"/>
          </rPr>
          <t>THOMAS APPLETON_x000D_
http://yeinfo.com/family/I09021692.html_x000D_
https://www.google.com/search?q=THOMAS+APPLETON+1536+1603+MARY_x000D_
.born:?1536    -          Suffolk county England_x000D_
.died: 16030516-          London (Middlesex) England, age:67y 4m 15d, _x000D_
.bapt: 1785GE_x000D_
.will: 2004MO_x000D_
.obit: 1890OH_x000D_
.bury: 1850IL _x000D_
.wpbt: 1826PA_x000D_
.anc#:ancestor_x000D_
citiz:foreign_x000D_
#spos:1_x000D_
#srcs:2_x000D_
#comment:0_x000D_
#events:1_x000D_
#kids:1_x000D_
lived:ENMIDDLLONDON,ENSUFFO_x000D_
issue:_x000D_
.recs:Birth,Marriage,Death_x000D_
.imm?:no_x000D_
..Spo:MARY ISAACKE</t>
        </r>
      </text>
    </comment>
    <comment ref="S3526" authorId="0" shapeId="0" xr:uid="{0CAAB17B-EF15-413F-ADC9-E269219C94C8}">
      <text>
        <r>
          <rPr>
            <sz val="9"/>
            <color indexed="81"/>
            <rFont val="Tahoma"/>
            <family val="2"/>
          </rPr>
          <t>ALEYN SEXTON_x000D_
http://yeinfo.com/family/I09065702.html_x000D_
https://www.google.com/search?q=ALEYN+SEXTON+1470+1491+ROSE_x000D_
.born: 1470    -          Lavenham (Suffolk) England_x000D_
.died: 1491    -1550      Lavenham (Suffolk) England, age:21y 0m 0d, _x000D_
.bapt: 1785GE_x000D_
.will: 2004MO_x000D_
.obit: 1890OH_x000D_
.bury: 1850IL _x000D_
.wpbt: 1826PA_x000D_
.anc#:ancestor_x000D_
citiz:foreign_x000D_
#spos:1_x000D_
#srcs:1_x000D_
#comment:0_x000D_
#events:1_x000D_
#kids:1_x000D_
lived:ENSUFFOLAVENHA_x000D_
issue:_x000D_
.recs:Birth,Marriage,Death_x000D_
.imm?:no_x000D_
..Spo:ROSE SEXTON</t>
        </r>
      </text>
    </comment>
    <comment ref="R3528" authorId="0" shapeId="0" xr:uid="{15DC9D84-6336-47FA-9F8A-3CEDAB659EAA}">
      <text>
        <r>
          <rPr>
            <sz val="9"/>
            <color indexed="81"/>
            <rFont val="Tahoma"/>
            <family val="2"/>
          </rPr>
          <t>ROBERT SEXTON_x000D_
http://yeinfo.com/family/I09065567.html_x000D_
https://www.google.com/search?q=ROBERT+SEXTON+1491+1517+AGNES_x000D_
.born: 1491    -          Lavenham (Suffolk) England_x000D_
.died: 15170225-          Lavenham (Suffolk) England, age:26y 1m 24d, _x000D_
.bapt: 1785GE_x000D_
.will: 2004MO_x000D_
.obit: 1890OH_x000D_
.bury: 1850IL _x000D_
.wpbt: 1826PA_x000D_
.anc#:ancestor_x000D_
citiz:foreign_x000D_
#spos:1_x000D_
#srcs:1_x000D_
#comment:0_x000D_
#events:1_x000D_
#kids:1_x000D_
lived:ENSUFFOLAVENHA_x000D_
issue:_x000D_
.recs:Birth,Marriage,Death_x000D_
.imm?:no_x000D_
..Spo:AGNES JERMYN</t>
        </r>
      </text>
    </comment>
    <comment ref="S3530" authorId="0" shapeId="0" xr:uid="{086329D6-DC1C-439B-96BE-7D8A83D52812}">
      <text>
        <r>
          <rPr>
            <sz val="9"/>
            <color indexed="81"/>
            <rFont val="Tahoma"/>
            <family val="2"/>
          </rPr>
          <t>Mrs. ROSE SEXTON_x000D_
http://yeinfo.com/family/I09065703.html_x000D_
https://www.google.com/search?q=ROSE+SEXTON+1474+1516+SEXTON_x000D_
.born: 1474    -          Sudbury (Suffolk) England_x000D_
.died: 15160225-          England, age:42y 1m 24d, _x000D_
.bapt: 1785GE_x000D_
.will: 2004MO_x000D_
.obit: 1890OH_x000D_
.bury: 1850IL _x000D_
.wpbt: 1826PA_x000D_
.anc#:ancestor_x000D_
citiz:foreign_x000D_
#spos:1_x000D_
#srcs:1_x000D_
#comment:0_x000D_
#events:1_x000D_
#kids:1_x000D_
lived:ENSUFFOSUDBURY_x000D_
issue:_x000D_
.recs:Birth,Marriage,Death_x000D_
.imm?:no_x000D_
..Spo:ALEYN SEXTON</t>
        </r>
      </text>
    </comment>
    <comment ref="Q3532" authorId="0" shapeId="0" xr:uid="{8EB163BB-C4A6-4930-9C26-5419481C00B2}">
      <text>
        <r>
          <rPr>
            <sz val="9"/>
            <color indexed="81"/>
            <rFont val="Tahoma"/>
            <family val="2"/>
          </rPr>
          <t>ROSE SEXTON_x000D_
http://yeinfo.com/family/I09043385.html_x000D_
https://www.google.com/search?q=ROSE+SEXTON+1517+1538+APPLETON_x000D_
.born: 1517    -          Lavenham (Suffolk) England_x000D_
.died:p1538    -          Assington (Suffolk) England, age:21y 0m 0d, _x000D_
.bapt: 1785GE_x000D_
.will: 2004MO_x000D_
.obit: 1890OH_x000D_
.bury: 1850IL _x000D_
.wpbt: 1826PA_x000D_
.anc#:ancestor_x000D_
citiz:foreign_x000D_
#spos:1_x000D_
#srcs:1_x000D_
#comment:0_x000D_
#events:1_x000D_
#kids:1_x000D_
lived:ENSUFFOASSINGT,ENSUFFOLAVENHA_x000D_
issue:Died after Age 100_x000D_
.recs:Birth,Marriage,Death_x000D_
.imm?:no_x000D_
..Spo:WILLIAM APPLETON</t>
        </r>
      </text>
    </comment>
    <comment ref="Z3534" authorId="0" shapeId="0" xr:uid="{8304F3FD-DBD6-4D86-9A04-B0D4D6ED04FD}">
      <text>
        <r>
          <rPr>
            <sz val="9"/>
            <color indexed="81"/>
            <rFont val="Tahoma"/>
            <family val="2"/>
          </rPr>
          <t>THOMAS JERMYN_x000D_
http://yeinfo.com/family/I09066641.html_x000D_
https://www.google.com/search?q=THOMAS+JERMYN+1245+1267+AGNES_x000D_
.born:c1245    -         ?England_x000D_
.died: 1267    -1335     ?England, age:22y 0m 0d, _x000D_
.bapt: 1785GE_x000D_
.will: 2004MO_x000D_
.obit: 1890OH_x000D_
.bury: 1850IL _x000D_
.wpbt: 1826PA_x000D_
.anc#:ancestor_x000D_
citiz:foreign_x000D_
#spos:1_x000D_
#srcs:1_x000D_
#comment:1_x000D_
#events:1_x000D_
#kids:1_x000D_
lived:?EN_x000D_
issue:_x000D_
.recs:Birth,Marriage,Death_x000D_
.imm?:no_x000D_
..Spo:AGNES RUSHBROOK</t>
        </r>
      </text>
    </comment>
    <comment ref="Y3536" authorId="0" shapeId="0" xr:uid="{074E5418-A265-45B6-A2E0-AF7131D8E1DA}">
      <text>
        <r>
          <rPr>
            <sz val="9"/>
            <color indexed="81"/>
            <rFont val="Tahoma"/>
            <family val="2"/>
          </rPr>
          <t>JOHN JERMYN_x000D_
http://yeinfo.com/family/I09066580.html_x000D_
https://www.google.com/search?q=JOHN+JERMYN+1267+1287+{_?_}_x000D_
.born:c1267    -         ?England_x000D_
.died: 1287    -1357     ?England, age:20y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..Spo:{_?_} JERMYN</t>
        </r>
      </text>
    </comment>
    <comment ref="Z3538" authorId="0" shapeId="0" xr:uid="{67FF81A9-2C9A-466D-B4B2-5057A60A8DA1}">
      <text>
        <r>
          <rPr>
            <sz val="9"/>
            <color indexed="81"/>
            <rFont val="Tahoma"/>
            <family val="2"/>
          </rPr>
          <t>AGNES RUSHBROOK_x000D_
http://yeinfo.com/family/I09066642.html_x000D_
https://www.google.com/search?q=AGNES+RUSHBROOK+1246+1267+JERMYN_x000D_
.born:c1246    -         ?England_x000D_
.died: 1267    -1336     ?England, age:21y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..Spo:THOMAS JERMYN</t>
        </r>
      </text>
    </comment>
    <comment ref="X3540" authorId="0" shapeId="0" xr:uid="{0A653C3B-2A20-44D0-A123-CFC284474022}">
      <text>
        <r>
          <rPr>
            <sz val="9"/>
            <color indexed="81"/>
            <rFont val="Tahoma"/>
            <family val="2"/>
          </rPr>
          <t>HUGH JERMYN_x000D_
http://yeinfo.com/family/I09066524.html_x000D_
https://www.google.com/search?q=HUGH+JERMYN+1284+1310+MAUD_x000D_
.born:c1284    -         ?England_x000D_
.died: 1310    -1374     ?England, age:26y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..Spo:MAUD JERMYN</t>
        </r>
      </text>
    </comment>
    <comment ref="Y3542" authorId="0" shapeId="0" xr:uid="{F51DBB15-7446-4DEF-94DE-7982DE533A61}">
      <text>
        <r>
          <rPr>
            <sz val="9"/>
            <color indexed="81"/>
            <rFont val="Tahoma"/>
            <family val="2"/>
          </rPr>
          <t>Mrs. {_?_} JERMYN_x000D_
http://yeinfo.com/family/I09066581.html_x000D_
https://www.google.com/search?q={_?_}+JERMYN+1267+1287+JERMYN_x000D_
.born:?1267    -          _x000D_
.died: 1287    -1357     ?England, age:20y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..Spo:JOHN JERMYN</t>
        </r>
      </text>
    </comment>
    <comment ref="W3544" authorId="0" shapeId="0" xr:uid="{72A665C1-B4FE-4FAD-9F8D-A55DB6C03243}">
      <text>
        <r>
          <rPr>
            <sz val="9"/>
            <color indexed="81"/>
            <rFont val="Tahoma"/>
            <family val="2"/>
          </rPr>
          <t>JOHN JERMYN_x000D_
http://yeinfo.com/family/I09066347.html_x000D_
https://www.google.com/search?q=JOHN+JERMYN+1310+1363+JOANNA_x000D_
.born:c1310    -         ?England_x000D_
.died: 1363    -1400     ?England, age:53y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..Spo:JOANNA JERMYN</t>
        </r>
      </text>
    </comment>
    <comment ref="X3546" authorId="0" shapeId="0" xr:uid="{411683B8-1B49-43F7-8AB8-FD5D20F3DE54}">
      <text>
        <r>
          <rPr>
            <sz val="9"/>
            <color indexed="81"/>
            <rFont val="Tahoma"/>
            <family val="2"/>
          </rPr>
          <t>Mrs. MAUD JERMYN_x000D_
http://yeinfo.com/family/I09066525.html_x000D_
https://www.google.com/search?q=MAUD+JERMYN+1286+1310+JERMYN_x000D_
.born: 1286    -         ?England_x000D_
.died: 1310    -1376     ?England, age:24y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..Spo:HUGH JERMYN</t>
        </r>
      </text>
    </comment>
    <comment ref="V3548" authorId="0" shapeId="0" xr:uid="{B22DB4B7-F4F4-4C05-81CC-8ED2F726DE95}">
      <text>
        <r>
          <rPr>
            <sz val="9"/>
            <color indexed="81"/>
            <rFont val="Tahoma"/>
            <family val="2"/>
          </rPr>
          <t>WILLIAM JERMYN_x000D_
http://yeinfo.com/family/I09066197.html_x000D_
https://www.google.com/search?q=WILLIAM+JERMYN+1363+1434+CHRISTIANA_x000D_
.born:c1363    -          Rushbrooke (Suffolk) England_x000D_
.died: 1434    -          Rushbrooke (Suffolk) England, age:71y 0m 0d, _x000D_
.bapt: 1785GE_x000D_
.will: 2004MO_x000D_
.obit: 1890OH_x000D_
.bury: 1850IL _x000D_
.wpbt: 1826PA_x000D_
.anc#:ancestor_x000D_
citiz:foreign_x000D_
#spos:1_x000D_
#srcs:1_x000D_
#comment:0_x000D_
#events:1_x000D_
#kids:1_x000D_
lived:ENSUFFORUSHBRO_x000D_
issue:_x000D_
.recs:Birth,Marriage,Death_x000D_
.imm?:no_x000D_
..Spo:CHRISTIANA JERMYN</t>
        </r>
      </text>
    </comment>
    <comment ref="W3550" authorId="0" shapeId="0" xr:uid="{75DC0C0C-1040-4FC3-9731-A8332AC8A776}">
      <text>
        <r>
          <rPr>
            <sz val="9"/>
            <color indexed="81"/>
            <rFont val="Tahoma"/>
            <family val="2"/>
          </rPr>
          <t>Mrs. JOANNA JERMYN_x000D_
http://yeinfo.com/family/I09066348.html_x000D_
https://www.google.com/search?q=JOANNA+JERMYN+1339+1363+JERMYN_x000D_
.born:c1339    -         ?England_x000D_
.died: 1363    -1429     ?England, age:24y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..Spo:JOHN JERMYN</t>
        </r>
      </text>
    </comment>
    <comment ref="U3552" authorId="0" shapeId="0" xr:uid="{2A32A35C-3EF4-4036-B363-6813EA6E80BD}">
      <text>
        <r>
          <rPr>
            <sz val="9"/>
            <color indexed="81"/>
            <rFont val="Tahoma"/>
            <family val="2"/>
          </rPr>
          <t>JOHN JERMYN_x000D_
http://yeinfo.com/family/I09066007.html_x000D_
https://www.google.com/search?q=JOHN+JERMYN+1396+1441+JOANNA_x000D_
.born:c1396    -          Rushbrooke (Suffolk) England_x000D_
.died: 1441    -          Depden (Suffolk) England, age:45y 0m 0d, _x000D_
.bapt: 1785GE_x000D_
.will: 2004MO_x000D_
.obit: 1890OH_x000D_
.bury: 1850IL _x000D_
.wpbt: 1826PA_x000D_
.anc#:ancestor_x000D_
citiz:foreign_x000D_
#spos:1_x000D_
#srcs:1_x000D_
#comment:0_x000D_
#events:1_x000D_
#kids:1_x000D_
lived:ENSUFFODEPDEN,ENSUFFORUSHBRO_x000D_
issue:_x000D_
.recs:Birth,Marriage,Death_x000D_
.imm?:no_x000D_
..Spo:JOANNA JERMYN</t>
        </r>
      </text>
    </comment>
    <comment ref="V3554" authorId="0" shapeId="0" xr:uid="{0BB0D4A2-34F7-45E8-B8FC-AAD0281BB72B}">
      <text>
        <r>
          <rPr>
            <sz val="9"/>
            <color indexed="81"/>
            <rFont val="Tahoma"/>
            <family val="2"/>
          </rPr>
          <t>Mrs. CHRISTIANA JERMYN_x000D_
http://yeinfo.com/family/I09066198.html_x000D_
https://www.google.com/search?q=CHRISTIANA+JERMYN+1378+1432+JERMYN_x000D_
.born:c1378    -          Rushbrooke (Suffolk) England_x000D_
.died:c1432    -          Rushbrooke (Suffolk) England, age:54y 0m 0d, _x000D_
.bapt: 1785GE_x000D_
.will: 2004MO_x000D_
.obit: 1890OH_x000D_
.bury: 1850IL _x000D_
.wpbt: 1826PA_x000D_
.anc#:ancestor_x000D_
citiz:foreign_x000D_
#spos:1_x000D_
#srcs:1_x000D_
#comment:0_x000D_
#events:1_x000D_
#kids:1_x000D_
lived:ENSUFFORUSHBRO_x000D_
issue:_x000D_
.recs:Birth,Marriage,Death_x000D_
.imm?:no_x000D_
..Spo:WILLIAM JERMYN</t>
        </r>
      </text>
    </comment>
    <comment ref="T3556" authorId="0" shapeId="0" xr:uid="{BA0A7A88-1422-48C4-8E81-0722C5D7D3ED}">
      <text>
        <r>
          <rPr>
            <sz val="9"/>
            <color indexed="81"/>
            <rFont val="Tahoma"/>
            <family val="2"/>
          </rPr>
          <t>THOMAS JERMYN II_x000D_
http://yeinfo.com/family/I09065837.html_x000D_
https://www.google.com/search?q=THOMAS+JERMYN+1424+1495+MARGARET_x000D_
.born: 1424    -          Rushbrooke (Suffolk) England_x000D_
.died: 1495    -1510      Rushbrooke (Suffolk) England, age:71y 0m 0d, _x000D_
.bapt: 1785GE_x000D_
.will: 2004MO_x000D_
.obit: 1890OH_x000D_
.bury: 1850IL _x000D_
.wpbt: 1826PA_x000D_
.anc#:ancestor_x000D_
citiz:foreign_x000D_
#spos:1_x000D_
#srcs:1_x000D_
#comment:0_x000D_
#events:1_x000D_
#kids:1_x000D_
lived:ENSUFFORUSHBRO_x000D_
issue:_x000D_
.recs:Birth,Marriage,Death_x000D_
.imm?:no_x000D_
..Spo:MARGARET LAYMAN</t>
        </r>
      </text>
    </comment>
    <comment ref="U3558" authorId="0" shapeId="0" xr:uid="{3B132624-0B95-4745-9F51-60F9C4BDA67E}">
      <text>
        <r>
          <rPr>
            <sz val="9"/>
            <color indexed="81"/>
            <rFont val="Tahoma"/>
            <family val="2"/>
          </rPr>
          <t>Mrs. JOANNA JERMYN_x000D_
http://yeinfo.com/family/I09066008.html_x000D_
https://www.google.com/search?q=JOANNA+JERMYN+1399+1479+JERMYN_x000D_
.born:c1399    -          Rushbrooke (Suffolk) England_x000D_
.died:c1479    -          England, age:80y 0m 0d, _x000D_
.bapt: 1785GE_x000D_
.will: 2004MO_x000D_
.obit: 1890OH_x000D_
.bury: 1850IL _x000D_
.wpbt: 1826PA_x000D_
.anc#:ancestor_x000D_
citiz:foreign_x000D_
#spos:1_x000D_
#srcs:1_x000D_
#comment:0_x000D_
#events:1_x000D_
#kids:1_x000D_
lived:ENSUFFORUSHBRO_x000D_
issue:_x000D_
.recs:Birth,Marriage,Death_x000D_
.imm?:no_x000D_
..Spo:JOHN JERMYN</t>
        </r>
      </text>
    </comment>
    <comment ref="S3560" authorId="0" shapeId="0" xr:uid="{F7B81291-3D8D-44AA-ACB2-A68909BA56C3}">
      <text>
        <r>
          <rPr>
            <sz val="9"/>
            <color indexed="81"/>
            <rFont val="Tahoma"/>
            <family val="2"/>
          </rPr>
          <t>THOMAS JERMYN III_x000D_
http://yeinfo.com/family/I09065704.html_x000D_
https://www.google.com/search?q=THOMAS+JERMYN+1460+1520+CATHERINE_x000D_
.born:c1460    -          Rushbrooke (Suffolk) England_x000D_
.died: 15200823-          Suffolk county England, age:60y 7m 22d, _x000D_
.bapt: 1785GE_x000D_
.will: 2004MO_x000D_
.obit: 1890OH_x000D_
.bury: 1850IL _x000D_
.wpbt: 1826PA_x000D_
.anc#:ancestor_x000D_
citiz:foreign_x000D_
#spos:1_x000D_
#srcs:1_x000D_
#comment:0_x000D_
#events:1_x000D_
#kids:1_x000D_
lived:ENSUFFORUSHBRO_x000D_
issue:_x000D_
.recs:Birth,Marriage,Death_x000D_
.imm?:no_x000D_
..Spo:CATHERINE BERNARD</t>
        </r>
      </text>
    </comment>
    <comment ref="U3562" authorId="0" shapeId="0" xr:uid="{540B90FE-1FD4-467E-89AD-5490BC7103A3}">
      <text>
        <r>
          <rPr>
            <sz val="9"/>
            <color indexed="81"/>
            <rFont val="Tahoma"/>
            <family val="2"/>
          </rPr>
          <t>WILLIAM LAYMAN_x000D_
http://yeinfo.com/family/I09066009.html_x000D_
https://www.google.com/search?q=WILLIAM+LAYMAN+1405+1458+MARGARET_x000D_
.born: 1405    -          Ickworth (Suffolk) England_x000D_
.died: 1458    -         ?England, age:53y 0m 0d, _x000D_
.bapt: 1785GE_x000D_
.will: 2004MO_x000D_
.obit: 1890OH_x000D_
.bury: 1850IL _x000D_
.wpbt: 1826PA_x000D_
.anc#:ancestor_x000D_
citiz:foreign_x000D_
#spos:1_x000D_
#srcs:1_x000D_
#comment:0_x000D_
#events:1_x000D_
#kids:1_x000D_
lived:ENSUFFOICKWORT_x000D_
issue:_x000D_
.recs:Birth,Marriage,Death_x000D_
.imm?:no_x000D_
..Spo:MARGARET OLNEY</t>
        </r>
      </text>
    </comment>
    <comment ref="T3564" authorId="0" shapeId="0" xr:uid="{EB25F600-AA2C-46DB-9B62-192D1B75620C}">
      <text>
        <r>
          <rPr>
            <sz val="9"/>
            <color indexed="81"/>
            <rFont val="Tahoma"/>
            <family val="2"/>
          </rPr>
          <t>MARGARET LAYMAN_x000D_
http://yeinfo.com/family/I09065838.html_x000D_
https://www.google.com/search?q=MARGARET+LAYMAN+1432+1496+JERMYN_x000D_
.born: 1432    -          Ickworth (Suffolk) England_x000D_
.died: 1496    -          England, age:64y 0m 0d, _x000D_
.bapt: 1785GE_x000D_
.will: 2004MO_x000D_
.obit: 1890OH_x000D_
.bury: 1850IL _x000D_
.wpbt: 1826PA_x000D_
.anc#:ancestor_x000D_
citiz:foreign_x000D_
#spos:1_x000D_
#srcs:1_x000D_
#comment:0_x000D_
#events:1_x000D_
#kids:1_x000D_
lived:ENSUFFOICKWORT_x000D_
issue:Died after Age 100_x000D_
.recs:Birth,Marriage,Death_x000D_
.imm?:no_x000D_
..Spo:THOMAS JERMYN</t>
        </r>
      </text>
    </comment>
    <comment ref="U3566" authorId="0" shapeId="0" xr:uid="{F227C6BA-AE11-48F7-BE96-6DBAE5EC33E8}">
      <text>
        <r>
          <rPr>
            <sz val="9"/>
            <color indexed="81"/>
            <rFont val="Tahoma"/>
            <family val="2"/>
          </rPr>
          <t>MARGARET OLNEY_x000D_
http://yeinfo.com/family/I09066010.html_x000D_
https://www.google.com/search?q=MARGARET+OLNEY+1405+1432+LAYMAN_x000D_
.born:?1405    -          _x000D_
.died: 1432    -1495     ?England, age:27y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..Spo:WILLIAM LAYMAN</t>
        </r>
      </text>
    </comment>
    <comment ref="R3568" authorId="0" shapeId="0" xr:uid="{B2AEFF02-F649-4E31-9FB8-44AC94BF937E}">
      <text>
        <r>
          <rPr>
            <sz val="9"/>
            <color indexed="81"/>
            <rFont val="Tahoma"/>
            <family val="2"/>
          </rPr>
          <t>AGNES JERMYN_x000D_
http://yeinfo.com/family/I09065568.html_x000D_
https://www.google.com/search?q=AGNES+JERMYN+1495+1520+SEXTON_x000D_
.born:c1495    -          Rushbrooke (Suffolk) England_x000D_
.died: 15200823-          Suffolk county England, age:25y 7m 22d, _x000D_
.bapt: 1785GE_x000D_
.will: 2004MO_x000D_
.obit: 1890OH_x000D_
.bury: 1850IL _x000D_
.wpbt: 1826PA_x000D_
.anc#:ancestor_x000D_
citiz:foreign_x000D_
#spos:1_x000D_
#srcs:1_x000D_
#comment:0_x000D_
#events:1_x000D_
#kids:1_x000D_
lived:ENSUFFORUSHBRO_x000D_
issue:_x000D_
.recs:Birth,Marriage,Death_x000D_
.imm?:no_x000D_
..Spo:ROBERT SEXTON</t>
        </r>
      </text>
    </comment>
    <comment ref="U3570" authorId="0" shapeId="0" xr:uid="{33CB1941-305E-4ED4-8056-015DAF0581F3}">
      <text>
        <r>
          <rPr>
            <sz val="9"/>
            <color indexed="81"/>
            <rFont val="Tahoma"/>
            <family val="2"/>
          </rPr>
          <t>JOHN BERNARD_x000D_
http://yeinfo.com/family/I09066011.html_x000D_
https://www.google.com/search?q=JOHN+BERNARD+1400+1426+ELEANOR_x000D_
.born:c1400    -         ?England_x000D_
.died: 1426    -1490     ?England, age:26y 0m 0d, _x000D_
.bapt: 1785GE_x000D_
.will: 2004MO_x000D_
.obit: 1890OH_x000D_
.bury: 1850IL _x000D_
.wpbt: 1826PA_x000D_
.anc#:ancestor_x000D_
citiz:foreign_x000D_
#spos:1_x000D_
#srcs:2_x000D_
#comment:0_x000D_
#events:1_x000D_
#kids:1_x000D_
lived:?EN_x000D_
issue:_x000D_
.recs:Birth,Marriage,Death_x000D_
.imm?:no_x000D_
..Spo:ELEANOR SAKEVYLE</t>
        </r>
      </text>
    </comment>
    <comment ref="T3572" authorId="0" shapeId="0" xr:uid="{BA920794-1A0F-4811-ABCC-BE6DF90171CD}">
      <text>
        <r>
          <rPr>
            <sz val="9"/>
            <color indexed="81"/>
            <rFont val="Tahoma"/>
            <family val="2"/>
          </rPr>
          <t>JOHN BERNARD_x000D_
http://yeinfo.com/family/I09065839.html_x000D_
https://www.google.com/search?q=JOHN+BERNARD+1426+1458+HELENA_x000D_
.born: 1426    -          Abington (Northamptonshire) England_x000D_
.died: 1458    -1510      Isleham (Cambridgeshire) England, age:32y 0m 0d, _x000D_
.bapt: 1785GE_x000D_
.will: 2004MO_x000D_
.obit: 1890OH_x000D_
.bury: 1850IL _x000D_
.wpbt: 1826PA_x000D_
.anc#:ancestor_x000D_
citiz:foreign_x000D_
#spos:1_x000D_
#srcs:1_x000D_
#comment:0_x000D_
#events:1_x000D_
#kids:1_x000D_
lived:ENCAMBSISLEHAM,ENNORTAABINGTO_x000D_
issue:_x000D_
.recs:Birth,Marriage,Death_x000D_
.imm?:no_x000D_
..Spo:HELENA MALLORY</t>
        </r>
      </text>
    </comment>
    <comment ref="U3574" authorId="0" shapeId="0" xr:uid="{B8BC3826-6AED-461E-B062-72E68EF4B0AB}">
      <text>
        <r>
          <rPr>
            <sz val="9"/>
            <color indexed="81"/>
            <rFont val="Tahoma"/>
            <family val="2"/>
          </rPr>
          <t>ELEANOR SAKEVYLE_x000D_
http://yeinfo.com/family/I09066012.html_x000D_
https://www.google.com/search?q=ELEANOR+SAKEVYLE+1405+1426+BERNARD_x000D_
.born:c1405    -         ?England_x000D_
.died: 1426    -1495     ?England, age:21y 0m 0d, _x000D_
.bapt: 1785GE_x000D_
.will: 2004MO_x000D_
.obit: 1890OH_x000D_
.bury: 1850IL _x000D_
.wpbt: 1826PA_x000D_
.anc#:ancestor_x000D_
citiz:foreign_x000D_
#spos:1_x000D_
#srcs:1_x000D_
#comment:0_x000D_
#events:1_x000D_
#kids:1_x000D_
lived:?EN_x000D_
issue:Died after Age 100_x000D_
.recs:Birth,Marriage,Death_x000D_
.imm?:no_x000D_
..Spo:JOHN BERNARD</t>
        </r>
      </text>
    </comment>
    <comment ref="S3576" authorId="0" shapeId="0" xr:uid="{AC43EE83-2E31-41F4-A5C1-B0918A29E7BE}">
      <text>
        <r>
          <rPr>
            <sz val="9"/>
            <color indexed="81"/>
            <rFont val="Tahoma"/>
            <family val="2"/>
          </rPr>
          <t>CATHERINE BERNARD_x000D_
http://yeinfo.com/family/I09065705.html_x000D_
https://www.google.com/search?q=CATHERINE+BERNARD+1458+1519+JERMYN_x000D_
.born:c1458    -          Akenham (Suffolk) England_x000D_
.died: 1519    -          Suffolk county England, age:61y 0m 0d, _x000D_
.bapt: 1785GE_x000D_
.will: 2004MO_x000D_
.obit: 1890OH_x000D_
.bury: 1850IL _x000D_
.wpbt: 1826PA_x000D_
.anc#:ancestor_x000D_
citiz:foreign_x000D_
#spos:1_x000D_
#srcs:1_x000D_
#comment:0_x000D_
#events:1_x000D_
#kids:1_x000D_
lived:ENSUFFOAKENHAM_x000D_
issue:_x000D_
.recs:Birth,Marriage,Death_x000D_
.imm?:no_x000D_
..Spo:THOMAS JERMYN</t>
        </r>
      </text>
    </comment>
    <comment ref="T3578" authorId="0" shapeId="0" xr:uid="{D384B961-C691-4C1E-AF0D-AA8F8D3F7C88}">
      <text>
        <r>
          <rPr>
            <sz val="9"/>
            <color indexed="81"/>
            <rFont val="Tahoma"/>
            <family val="2"/>
          </rPr>
          <t>HELENA MALLORY_x000D_
http://yeinfo.com/family/I09065840.html_x000D_
https://www.google.com/search?q=HELENA+MALLORY+1435+1495+BERNARD_x000D_
.born: 1435    -          Swinnerton (Staffordshire) England_x000D_
.died: 1495    -          England, age:60y 0m 0d, _x000D_
.bapt: 1785GE_x000D_
.will: 2004MO_x000D_
.obit: 1890OH_x000D_
.bury: 1850IL _x000D_
.wpbt: 1826PA_x000D_
.anc#:ancestor_x000D_
citiz:foreign_x000D_
#spos:1_x000D_
#srcs:1_x000D_
#comment:1_x000D_
#events:1_x000D_
#kids:1_x000D_
lived:ENSTAFSSWINNER_x000D_
issue:Died after Age 100_x000D_
.recs:Birth,Marriage,Death_x000D_
.imm?:no_x000D_
..Spo:JOHN BERNARD</t>
        </r>
      </text>
    </comment>
    <comment ref="O3580" authorId="0" shapeId="0" xr:uid="{8C4AE263-3EBD-4A06-A03D-A02A50B83634}">
      <text>
        <r>
          <rPr>
            <sz val="9"/>
            <color indexed="81"/>
            <rFont val="Tahoma"/>
            <family val="2"/>
          </rPr>
          <t>SAMUEL APPLETON_x000D_
http://yeinfo.com/family/I09010846.html_x000D_
https://www.google.com/search?q=SAMUEL+APPLETON+1585+1670+JUDITH_x000D_
.born:?1585    -          Derbyshire county England_x000D_
.died: 16700610-          Rowley (Essex) Massachusetts, age:85y 5m 9d, _x000D_
.bapt: 1785GE_x000D_
.will: 2004MO_x000D_
.obit: 1890OH_x000D_
.bury: 1850IL _x000D_
.wpbt: 1826PA_x000D_
.anc#:ancestor_x000D_
citiz:immigrant_x000D_
#spos:1_x000D_
#srcs:2_x000D_
#comment:1_x000D_
#events:2_x000D_
#kids:1_x000D_
lived:ENDERBS,MAESSEXROWLEY_x000D_
issue:_x000D_
.recs:Birth,Baptism,Marriage,Death_x000D_
.imm?:immigrant_x000D_
..Spo:JUDITH EVERARD</t>
        </r>
      </text>
    </comment>
    <comment ref="V3582" authorId="0" shapeId="0" xr:uid="{A65C3311-435E-4E9A-828A-CD53BDD1F57D}">
      <text>
        <r>
          <rPr>
            <sz val="9"/>
            <color indexed="81"/>
            <rFont val="Tahoma"/>
            <family val="2"/>
          </rPr>
          <t>JOHN ISAACKE Sr._x000D_
http://yeinfo.com/family/I09066199.html_x000D_
https://www.google.com/search?q=JOHN+ISAACKE+1350+1419+AGNES_x000D_
.born:c1350    -          Kent county England_x000D_
.died: 141907  -         ?England, age:69y 6m 0d, _x000D_
.bapt: 1785GE_x000D_
.will: 2004MO_x000D_
.obit: 1890OH_x000D_
.bury: 1850IL _x000D_
.wpbt: 1826PA_x000D_
.anc#:ancestor_x000D_
citiz:foreign_x000D_
#spos:1_x000D_
#srcs:1_x000D_
#comment:0_x000D_
#events:1_x000D_
#kids:1_x000D_
lived:ENKENT_x000D_
issue:_x000D_
.recs:Birth,Marriage,Death_x000D_
.imm?:no_x000D_
..Spo:AGNES GRUBBE</t>
        </r>
      </text>
    </comment>
    <comment ref="U3584" authorId="0" shapeId="0" xr:uid="{0D90CAFE-C63A-4088-A450-3F2FFA3EFDBE}">
      <text>
        <r>
          <rPr>
            <sz val="9"/>
            <color indexed="81"/>
            <rFont val="Tahoma"/>
            <family val="2"/>
          </rPr>
          <t>JOHN ISAACKE Jr._x000D_
http://yeinfo.com/family/I09066013.html_x000D_
https://www.google.com/search?q=JOHN+ISAACKE+1380+1433+CICILLY_x000D_
.born:c1380    -          Bridge (Kent) England_x000D_
.died: 1433    -          Patrixbourne (Kent) England, age:53y 0m 0d, _x000D_
.bapt: 1785GE_x000D_
.will: 2004MO_x000D_
.obit: 1890OH_x000D_
.bury: 1850IL _x000D_
.wpbt: 1826PA_x000D_
.anc#:ancestor_x000D_
citiz:foreign_x000D_
#spos:1_x000D_
#srcs:1_x000D_
#comment:0_x000D_
#events:1_x000D_
#kids:1_x000D_
lived:ENKENT BRIDGE,ENKENT PATRIXB_x000D_
issue:_x000D_
.recs:Birth,Marriage,Death_x000D_
.imm?:no_x000D_
..Spo:CICILLY HERSING</t>
        </r>
      </text>
    </comment>
    <comment ref="X3586" authorId="0" shapeId="0" xr:uid="{7060BEF2-1DB3-4409-AA36-5DCD2FE7263B}">
      <text>
        <r>
          <rPr>
            <sz val="9"/>
            <color indexed="81"/>
            <rFont val="Tahoma"/>
            <family val="2"/>
          </rPr>
          <t>EUSTACE GRUBBE_x000D_
http://yeinfo.com/family/I09066526.html_x000D_
https://www.google.com/search?q=EUSTACE+GRUBBE+1290+1321+LETTICE_x000D_
.born: 1290    -         ?England_x000D_
.died: 1321    -1391     ?England, age:31y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..Spo:LETTICE WARD</t>
        </r>
      </text>
    </comment>
    <comment ref="W3588" authorId="0" shapeId="0" xr:uid="{A56E3233-A547-4342-860E-1E41B3FF79E8}">
      <text>
        <r>
          <rPr>
            <sz val="9"/>
            <color indexed="81"/>
            <rFont val="Tahoma"/>
            <family val="2"/>
          </rPr>
          <t>ROBERT GRUBBE_x000D_
http://yeinfo.com/family/I09066349.html_x000D_
https://www.google.com/search?q=ROBERT+GRUBBE+1315+1377+MARGARET\MARY_x000D_
.born: 1315    -          Elham (Kent) England_x000D_
.died: 1377    -          Kent county England, age:62y 0m 0d, _x000D_
.bapt: 1785GE_x000D_
.will: 2004MO_x000D_
.obit: 1890OH_x000D_
.bury: 1850IL _x000D_
.wpbt: 1826PA_x000D_
.anc#:ancestor_x000D_
citiz:foreign_x000D_
#spos:1_x000D_
#srcs:2_x000D_
#comment:0_x000D_
#events:1_x000D_
#kids:1_x000D_
lived:ENKENT ELHAM_x000D_
issue:_x000D_
.recs:Birth,Marriage,Death_x000D_
.imm?:no_x000D_
..Spo:MARGARET\MARY CONDE</t>
        </r>
      </text>
    </comment>
    <comment ref="X3590" authorId="0" shapeId="0" xr:uid="{0D613FD0-BFB8-415E-BA00-94284F7E4697}">
      <text>
        <r>
          <rPr>
            <sz val="9"/>
            <color indexed="81"/>
            <rFont val="Tahoma"/>
            <family val="2"/>
          </rPr>
          <t>LETTICE WARD_x000D_
http://yeinfo.com/family/I09066527.html_x000D_
https://www.google.com/search?q=LETTICE+WARD+1295+1321+GRUBBE_x000D_
.born: 1295    -         ?England_x000D_
.died: 1321    -1391     ?England, age:26y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..Spo:EUSTACE GRUBBE</t>
        </r>
      </text>
    </comment>
    <comment ref="V3592" authorId="0" shapeId="0" xr:uid="{A5CCBB58-93D6-456B-A567-452FB7163842}">
      <text>
        <r>
          <rPr>
            <sz val="9"/>
            <color indexed="81"/>
            <rFont val="Tahoma"/>
            <family val="2"/>
          </rPr>
          <t>AGNES GRUBBE_x000D_
http://yeinfo.com/family/I09066200.html_x000D_
https://www.google.com/search?q=AGNES+GRUBBE+1355+1426+ISAACKE_x000D_
.born:?1355    -          Sandwich (Kent) England_x000D_
.died: 14260920-          Patrixbourne (Kent) England, age:71y 8m 19d, _x000D_
.bapt: 1785GE_x000D_
.will: 2004MO_x000D_
.obit: 1890OH_x000D_
.bury: 1850IL _x000D_
.wpbt: 1826PA_x000D_
.anc#:ancestor_x000D_
citiz:foreign_x000D_
#spos:1_x000D_
#srcs:3_x000D_
#comment:0_x000D_
#events:1_x000D_
#kids:1_x000D_
lived:ENKENT PATRIXB,ENKENT SANDWIC_x000D_
issue:Died after Age 100_x000D_
.recs:Birth,Marriage,Death_x000D_
.imm?:no_x000D_
..Spo:JOHN ISAACKE</t>
        </r>
      </text>
    </comment>
    <comment ref="X3594" authorId="0" shapeId="0" xr:uid="{7C876552-4D97-4FB5-BEFD-074A8A6B2770}">
      <text>
        <r>
          <rPr>
            <sz val="9"/>
            <color indexed="81"/>
            <rFont val="Tahoma"/>
            <family val="2"/>
          </rPr>
          <t>JOHN CONDE_x000D_
http://yeinfo.com/family/I09066528.html_x000D_
https://www.google.com/search?q=JOHN+CONDE+1300+1345+{_?_}_x000D_
.born: 1300    -          Sandwich (Kent) England_x000D_
.died: 1345    -          Sandwich (Kent) England, age:45y 0m 0d, _x000D_
.bapt: 1785GE_x000D_
.will: 2004MO_x000D_
.obit: 1890OH_x000D_
.bury: 1850IL _x000D_
.wpbt: 1826PA_x000D_
.anc#:ancestor_x000D_
citiz:foreign_x000D_
#spos:1_x000D_
#srcs:1_x000D_
#comment:0_x000D_
#events:1_x000D_
#kids:1_x000D_
lived:ENKENT SANDWIC_x000D_
issue:_x000D_
.recs:Birth,Marriage,Death_x000D_
.imm?:no_x000D_
..Spo:{_?_} CONDE</t>
        </r>
      </text>
    </comment>
    <comment ref="W3596" authorId="0" shapeId="0" xr:uid="{11E45E9C-BBB3-4A23-AFB7-9F533A237B76}">
      <text>
        <r>
          <rPr>
            <sz val="9"/>
            <color indexed="81"/>
            <rFont val="Tahoma"/>
            <family val="2"/>
          </rPr>
          <t>MARGARET\MARY CONDE_x000D_
http://yeinfo.com/family/I09066350.html_x000D_
https://www.google.com/search?q=MARGARET\MARY+CONDE+1345+1372+GRUBBE_x000D_
.born:c1345    -         ?England_x000D_
.died: 13721123-          , age:27y 10m 22d, _x000D_
.bapt: 1785GE_x000D_
.will: 2004MO_x000D_
.obit: 1890OH_x000D_
.bury: 1850IL _x000D_
.wpbt: 1826PA_x000D_
.anc#:ancestor_x000D_
citiz:foreign_x000D_
#spos:1_x000D_
#srcs:2_x000D_
#comment:0_x000D_
#events:1_x000D_
#kids:1_x000D_
lived:?EN_x000D_
issue:Died after Age 100_x000D_
.recs:Birth,Marriage,Death_x000D_
.imm?:no_x000D_
..Spo:ROBERT GRUBBE</t>
        </r>
      </text>
    </comment>
    <comment ref="X3598" authorId="0" shapeId="0" xr:uid="{6FE69818-359E-4797-AEC2-04F203C3009F}">
      <text>
        <r>
          <rPr>
            <sz val="9"/>
            <color indexed="81"/>
            <rFont val="Tahoma"/>
            <family val="2"/>
          </rPr>
          <t>Mrs. {_?_} CONDE_x000D_
http://yeinfo.com/family/I09066529.html_x000D_
https://www.google.com/search?q={_?_}+CONDE+1310+1345+CONDE_x000D_
.born:?1310    -          _x000D_
.died: 1345    -1400     ?England, age:35y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..Spo:JOHN CONDE</t>
        </r>
      </text>
    </comment>
    <comment ref="T3600" authorId="0" shapeId="0" xr:uid="{0CF44D54-2B60-48FD-96C9-A9C992F23AFE}">
      <text>
        <r>
          <rPr>
            <sz val="9"/>
            <color indexed="81"/>
            <rFont val="Tahoma"/>
            <family val="2"/>
          </rPr>
          <t>JOHN\HUGH ISAACKE_x000D_
http://yeinfo.com/family/I09065841.html_x000D_
https://www.google.com/search?q=JOHN\HUGH+ISAACKE+1422+1501+JOAN_x000D_
.born: 1422    -          _x000D_
.died: 15010813-          , age:79y 7m 12d, _x000D_
.bapt: 1785GE_x000D_
.will: 2004MO_x000D_
.obit: 1890OH_x000D_
.bury: 1850IL _x000D_
.wpbt: 1826PA_x000D_
.anc#:ancestor_x000D_
citiz:foreign_x000D_
#spos:1_x000D_
#srcs:2_x000D_
#comment:0_x000D_
#events:1_x000D_
#kids:1_x000D_
lived:_x000D_
issue:_x000D_
.recs:Birth,Marriage,Death_x000D_
.imm?:no_x000D_
..Spo:JOAN TOKE</t>
        </r>
      </text>
    </comment>
    <comment ref="U3602" authorId="0" shapeId="0" xr:uid="{6B2050AB-D19B-4672-A348-7019BA567B36}">
      <text>
        <r>
          <rPr>
            <sz val="9"/>
            <color indexed="81"/>
            <rFont val="Tahoma"/>
            <family val="2"/>
          </rPr>
          <t>CICILLY HERSING_x000D_
http://yeinfo.com/family/I09066014.html_x000D_
https://www.google.com/search?q=CICILLY+HERSING+1385+1449+ISAACKE_x000D_
.born: 1385    -          Canterbury (Kent) England_x000D_
.died: 1449    -          Patrixbourne (Kent) England, age:64y 0m 0d, _x000D_
.bapt: 1785GE_x000D_
.will: 2004MO_x000D_
.obit: 1890OH_x000D_
.bury: 1850IL _x000D_
.wpbt: 1826PA_x000D_
.anc#:ancestor_x000D_
citiz:foreign_x000D_
#spos:1_x000D_
#srcs:3_x000D_
#comment:0_x000D_
#events:1_x000D_
#kids:1_x000D_
lived:ENKENT CANTERB,ENKENT PATRIXB_x000D_
issue:Died after Age 100_x000D_
.recs:Birth,Marriage,Death_x000D_
.imm?:no_x000D_
..Spo:JOHN ISAACKE</t>
        </r>
      </text>
    </comment>
    <comment ref="S3604" authorId="0" shapeId="0" xr:uid="{04E1CF97-AB7E-442E-9B5F-6F7090AE4EA0}">
      <text>
        <r>
          <rPr>
            <sz val="9"/>
            <color indexed="81"/>
            <rFont val="Tahoma"/>
            <family val="2"/>
          </rPr>
          <t>JAMES ISAACKE_x000D_
http://yeinfo.com/family/I09065706.html_x000D_
https://www.google.com/search?q=JAMES+ISAACKE+1461+1501+BENNETT\JANE_x000D_
.born: 1461    -          Patrixbourne (Kent) England_x000D_
.died: 15011003-          Patrixbourne (Kent) England, age:40y 9m 2d, _x000D_
.bapt: 1785GE_x000D_
.will: 2004MO_x000D_
.obit: 1890OH_x000D_
.bury: 1850IL _x000D_
.wpbt: 1826PA_x000D_
.anc#:ancestor_x000D_
citiz:foreign_x000D_
#spos:1_x000D_
#srcs:1_x000D_
#comment:0_x000D_
#events:1_x000D_
#kids:1_x000D_
lived:ENKENT PATRIXB_x000D_
issue:_x000D_
.recs:Birth,Marriage,Death_x000D_
.imm?:no_x000D_
..Spo:BENNETT\JANE GUILDFORD</t>
        </r>
      </text>
    </comment>
    <comment ref="U3606" authorId="0" shapeId="0" xr:uid="{683733EE-F1A9-411E-B9E6-E1A781E498F9}">
      <text>
        <r>
          <rPr>
            <sz val="9"/>
            <color indexed="81"/>
            <rFont val="Tahoma"/>
            <family val="2"/>
          </rPr>
          <t>RALPH TOKE_x000D_
http://yeinfo.com/family/I09066015.html_x000D_
https://www.google.com/search?q=RALPH+TOKE+1400+1422+JANE_x000D_
.born:c1400    -          Saint Margarets at Cliffe (Kent) England_x000D_
.died: 1422    -1490     ?England, age:22y 0m 0d, _x000D_
.bapt: 1785GE_x000D_
.will: 2004MO_x000D_
.obit: 1890OH_x000D_
.bury: 1850IL _x000D_
.wpbt: 1826PA_x000D_
.anc#:ancestor_x000D_
citiz:foreign_x000D_
#spos:1_x000D_
#srcs:1_x000D_
#comment:0_x000D_
#events:1_x000D_
#kids:1_x000D_
lived:ENKENT STMARGC_x000D_
issue:_x000D_
.recs:Birth,Marriage,Death_x000D_
.imm?:no_x000D_
..Spo:JANE HAWTE</t>
        </r>
      </text>
    </comment>
    <comment ref="T3608" authorId="0" shapeId="0" xr:uid="{E0B235E4-9CD4-41B7-A163-F86305351D85}">
      <text>
        <r>
          <rPr>
            <sz val="9"/>
            <color indexed="81"/>
            <rFont val="Tahoma"/>
            <family val="2"/>
          </rPr>
          <t>JOAN TOKE_x000D_
http://yeinfo.com/family/I09065842.html_x000D_
https://www.google.com/search?q=JOAN+TOKE+1422+1501+ISAACKE_x000D_
.born: 1422    -          Somerset county England_x000D_
.died: 1501    -          , age:79y 0m 0d, _x000D_
.bapt: 1785GE_x000D_
.will: 2004MO_x000D_
.obit: 1890OH_x000D_
.bury: 1850IL _x000D_
.wpbt: 1826PA_x000D_
.anc#:ancestor_x000D_
citiz:foreign_x000D_
#spos:1_x000D_
#srcs:2_x000D_
#comment:0_x000D_
#events:1_x000D_
#kids:1_x000D_
lived:ENSOMES_x000D_
issue:_x000D_
.recs:Birth,Marriage,Death_x000D_
.imm?:no_x000D_
..Spo:JOHN\HUGH ISAACKE</t>
        </r>
      </text>
    </comment>
    <comment ref="U3610" authorId="0" shapeId="0" xr:uid="{C1D17861-3CC3-4642-A49F-AEB034537D12}">
      <text>
        <r>
          <rPr>
            <sz val="9"/>
            <color indexed="81"/>
            <rFont val="Tahoma"/>
            <family val="2"/>
          </rPr>
          <t>JANE HAWTE_x000D_
http://yeinfo.com/family/I09066016.html_x000D_
https://www.google.com/search?q=JANE+HAWTE+1400+1422+TOKE_x000D_
.born:?1400    -          _x000D_
.died: 1422    -1490     ?England, age:22y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..Spo:RALPH TOKE</t>
        </r>
      </text>
    </comment>
    <comment ref="R3612" authorId="0" shapeId="0" xr:uid="{476709FC-138F-44C4-B6AE-5D6354216B2C}">
      <text>
        <r>
          <rPr>
            <sz val="9"/>
            <color indexed="81"/>
            <rFont val="Tahoma"/>
            <family val="2"/>
          </rPr>
          <t>WILLIAM ISAACKE_x000D_
http://yeinfo.com/family/I09065569.html_x000D_
https://www.google.com/search?q=WILLIAM+ISAACKE+1483+1510+MARGERY_x000D_
.born: 1483    -          Canterbury (Kent) England_x000D_
.died: 1510    -1573      Kent county England, age:27y 0m 0d, _x000D_
.bapt: 1785GE_x000D_
.will: 2004MO_x000D_
.obit: 1890OH_x000D_
.bury: 1850IL _x000D_
.wpbt: 1826PA_x000D_
.anc#:ancestor_x000D_
citiz:foreign_x000D_
#spos:1_x000D_
#srcs:1_x000D_
#comment:0_x000D_
#events:1_x000D_
#kids:1_x000D_
lived:ENKENT CANTERB_x000D_
issue:_x000D_
.recs:Birth,Marriage,Death_x000D_
.imm?:no_x000D_
..Spo:MARGERY HAUTE</t>
        </r>
      </text>
    </comment>
    <comment ref="W3614" authorId="0" shapeId="0" xr:uid="{8B2535D4-2CF4-49B0-BBC8-AE7E05F013D6}">
      <text>
        <r>
          <rPr>
            <sz val="9"/>
            <color indexed="81"/>
            <rFont val="Tahoma"/>
            <family val="2"/>
          </rPr>
          <t>EDWARD GUILDFORD_x000D_
http://yeinfo.com/family/I09066351.html_x000D_
https://www.google.com/search?q=EDWARD+GUILDFORD+1331+1351+ALICE_x000D_
.born: 1331    -          Hempstead (Kent) England_x000D_
.died: 1351    -1421     ?England, age:20y 0m 0d, _x000D_
.bapt: 1785GE_x000D_
.will: 2004MO_x000D_
.obit: 1890OH_x000D_
.bury: 1850IL _x000D_
.wpbt: 1826PA_x000D_
.anc#:double ancestor_x000D_
citiz:foreign_x000D_
#spos:1_x000D_
#srcs:1_x000D_
#comment:1_x000D_
#events:1_x000D_
#kids:1_x000D_
lived:ENKENT HEMPSTE_x000D_
issue:_x000D_
.recs:Birth,Marriage,Death_x000D_
.imm?:no_x000D_
..Spo:ALICE SAMBOURNE</t>
        </r>
      </text>
    </comment>
    <comment ref="V3616" authorId="0" shapeId="0" xr:uid="{645FCC0D-2382-488B-8E42-A5161B9CE22A}">
      <text>
        <r>
          <rPr>
            <sz val="9"/>
            <color indexed="81"/>
            <rFont val="Tahoma"/>
            <family val="2"/>
          </rPr>
          <t>WILLIAM GUILDFORD_x000D_
http://yeinfo.com/family/I09066201.html_x000D_
https://www.google.com/search?q=WILLIAM+GUILDFORD+1348+1394+JOAN_x000D_
.born: 1348    -          Rolvenden (Kent) England_x000D_
.died: 1394    -          Kent county England, age:46y 0m 0d, _x000D_
.bapt: 1785GE_x000D_
.will: 2004MO_x000D_
.obit: 1890OH_x000D_
.bury: 1850IL _x000D_
.wpbt: 1826PA_x000D_
.anc#:double ancestor_x000D_
citiz:foreign_x000D_
#spos:1_x000D_
#srcs:1_x000D_
#comment:0_x000D_
#events:1_x000D_
#kids:1_x000D_
lived:ENKENT ROLVEND_x000D_
issue:_x000D_
.recs:Birth,Marriage,Death_x000D_
.imm?:no_x000D_
..Spo:JOAN HALDEN</t>
        </r>
      </text>
    </comment>
    <comment ref="W3618" authorId="0" shapeId="0" xr:uid="{E7325663-7FFC-45D0-BC55-FCE9465DE25C}">
      <text>
        <r>
          <rPr>
            <sz val="9"/>
            <color indexed="81"/>
            <rFont val="Tahoma"/>
            <family val="2"/>
          </rPr>
          <t>ALICE SAMBOURNE_x000D_
http://yeinfo.com/family/I09066352.html_x000D_
https://www.google.com/search?q=ALICE+SAMBOURNE+1338+1358+GUILDFORD_x000D_
.born:c1338    -          Rolvenden (Kent) England_x000D_
.died: 1358    -1428     ?England, age:20y 0m 0d, _x000D_
.bapt: 1785GE_x000D_
.will: 2004MO_x000D_
.obit: 1890OH_x000D_
.bury: 1850IL _x000D_
.wpbt: 1826PA_x000D_
.anc#:double ancestor_x000D_
citiz:foreign_x000D_
#spos:1_x000D_
#srcs:1_x000D_
#comment:1_x000D_
#events:1_x000D_
#kids:1_x000D_
lived:ENKENT ROLVEND_x000D_
issue:Died after Age 100_x000D_
.recs:Birth,Marriage,Death_x000D_
.imm?:no_x000D_
..Spo:EDWARD GUILDFORD</t>
        </r>
      </text>
    </comment>
    <comment ref="U3620" authorId="0" shapeId="0" xr:uid="{05248FF7-947A-48DC-B7C0-F299301AA65A}">
      <text>
        <r>
          <rPr>
            <sz val="9"/>
            <color indexed="81"/>
            <rFont val="Tahoma"/>
            <family val="2"/>
          </rPr>
          <t>EDWARD GUILDFORD_x000D_
http://yeinfo.com/family/I09066017.html_x000D_
https://www.google.com/search?q=EDWARD+GUILDFORD+1385+1449+JULIANA_x000D_
.born: 1385    -          Kent county England_x000D_
.died: 14490921-          Rolvenden (Kent) England, age:64y 8m 20d, _x000D_
.bapt: 1785GE_x000D_
.will: 2004MO_x000D_
.obit: 1890OH_x000D_
.bury: 1850IL _x000D_
.wpbt: 1826PA_x000D_
.anc#:double ancestor_x000D_
citiz:foreign_x000D_
#spos:1_x000D_
#srcs:1_x000D_
#comment:1_x000D_
#events:1_x000D_
#kids:2_x000D_
lived:ENKENT ROLVEND_x000D_
issue:_x000D_
.recs:Birth,Marriage,Death_x000D_
.imm?:no_x000D_
..Spo:JULIANA PITTLESDEN</t>
        </r>
      </text>
    </comment>
    <comment ref="W3622" authorId="0" shapeId="0" xr:uid="{B2BF49BD-A5BF-41B0-9A65-15A360FF9436}">
      <text>
        <r>
          <rPr>
            <sz val="9"/>
            <color indexed="81"/>
            <rFont val="Tahoma"/>
            <family val="2"/>
          </rPr>
          <t>JOHN\WILLIAM HALDEN_x000D_
http://yeinfo.com/family/I09066353.html_x000D_
https://www.google.com/search?q=JOHN\WILLIAM+HALDEN+1325+1346+EMMA_x000D_
.born:?1325    -         ?England_x000D_
.died: 1346    -1415     ?England, age:21y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..Spo:EMMA HALDEN</t>
        </r>
      </text>
    </comment>
    <comment ref="V3624" authorId="0" shapeId="0" xr:uid="{B3610706-8AC7-4059-AA21-F14C9231A13B}">
      <text>
        <r>
          <rPr>
            <sz val="9"/>
            <color indexed="81"/>
            <rFont val="Tahoma"/>
            <family val="2"/>
          </rPr>
          <t>JOAN HALDEN_x000D_
http://yeinfo.com/family/I09066202.html_x000D_
https://www.google.com/search?q=JOAN+HALDEN+1346+1411+GUILDFORD_x000D_
.born:c1346    -          Rolvenden (Kent) England_x000D_
.died: 1411    -          England, age:65y 0m 0d, _x000D_
.bapt: 1785GE_x000D_
.will: 2004MO_x000D_
.obit: 1890OH_x000D_
.bury: 1850IL _x000D_
.wpbt: 1826PA_x000D_
.anc#:double ancestor_x000D_
citiz:foreign_x000D_
#spos:1_x000D_
#srcs:1_x000D_
#comment:0_x000D_
#events:1_x000D_
#kids:1_x000D_
lived:ENKENT ROLVEND_x000D_
issue:_x000D_
.recs:Birth,Marriage,Death_x000D_
.imm?:no_x000D_
..Spo:WILLIAM GUILDFORD</t>
        </r>
      </text>
    </comment>
    <comment ref="W3626" authorId="0" shapeId="0" xr:uid="{6E1BC427-4A10-466E-A233-81D2E9B8E0A0}">
      <text>
        <r>
          <rPr>
            <sz val="9"/>
            <color indexed="81"/>
            <rFont val="Tahoma"/>
            <family val="2"/>
          </rPr>
          <t>Mrs. EMMA HALDEN_x000D_
http://yeinfo.com/family/I09066354.html_x000D_
https://www.google.com/search?q=EMMA+HALDEN+1325+1346+HALDEN_x000D_
.born:?1325    -          _x000D_
.died: 1346    -1415     ?England, age:21y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..Spo:JOHN\WILLIAM HALDEN</t>
        </r>
      </text>
    </comment>
    <comment ref="T3628" authorId="0" shapeId="0" xr:uid="{6FBCC8FA-4DC5-4FE5-A03F-8489A4D68581}">
      <text>
        <r>
          <rPr>
            <sz val="9"/>
            <color indexed="81"/>
            <rFont val="Tahoma"/>
            <family val="2"/>
          </rPr>
          <t>JOHN GUILDFORD_x000D_
http://yeinfo.com/family/I09065843.html_x000D_
https://www.google.com/search?q=JOHN+GUILDFORD+1420+1493+ALICE_x000D_
.born: 14200201-          Kent county England_x000D_
.died: 14930714-          Canterbury (Kent) England, age:73y 5m 13d, _x000D_
.bapt: 1785GE_x000D_
.will: 2004MO_x000D_
.obit: 1890OH_x000D_
.bury: 1850IL _x000D_
.wpbt: 1826PA_x000D_
.anc#:ancestor_x000D_
citiz:foreign_x000D_
#spos:1_x000D_
#srcs:1_x000D_
#comment:1_x000D_
#events:1_x000D_
#kids:1_x000D_
lived:ENKENT CANTERB_x000D_
issue:Died after Age 100_x000D_
.recs:Birth,Marriage,Death_x000D_
.imm?:no_x000D_
..Spo:ALICE WALLER</t>
        </r>
      </text>
    </comment>
    <comment ref="U3630" authorId="0" shapeId="0" xr:uid="{089E44EC-50BB-445E-8D70-CCBAB68FACD8}">
      <text>
        <r>
          <rPr>
            <sz val="9"/>
            <color indexed="81"/>
            <rFont val="Tahoma"/>
            <family val="2"/>
          </rPr>
          <t>JULIANA PITTLESDEN_x000D_
http://yeinfo.com/family/I09066018.html_x000D_
https://www.google.com/search?q=JULIANA+PITTLESDEN+1387+1422+GUILDFORD_x000D_
.born:c1387    -          Kent county England_x000D_
.died: 1422    -          Rolvenden (Kent) England, age:35y 0m 0d, _x000D_
.bapt: 1785GE_x000D_
.will: 2004MO_x000D_
.obit: 1890OH_x000D_
.bury: 1850IL _x000D_
.wpbt: 1826PA_x000D_
.anc#:double ancestor_x000D_
citiz:foreign_x000D_
#spos:1_x000D_
#srcs:1_x000D_
#comment:0_x000D_
#events:1_x000D_
#kids:2_x000D_
lived:ENKENT ROLVEND_x000D_
issue:_x000D_
.recs:Birth,Marriage,Death_x000D_
.imm?:no_x000D_
..Spo:EDWARD GUILDFORD</t>
        </r>
      </text>
    </comment>
    <comment ref="S3632" authorId="0" shapeId="0" xr:uid="{3A39D217-C230-439D-8470-710F2D447254}">
      <text>
        <r>
          <rPr>
            <sz val="9"/>
            <color indexed="81"/>
            <rFont val="Tahoma"/>
            <family val="2"/>
          </rPr>
          <t>BENNETT\JANE GUILDFORD_x000D_
http://yeinfo.com/family/I09065707.html_x000D_
https://www.google.com/search?q=BENNETT\JANE+GUILDFORD+1455+1483+ISAACKE_x000D_
.born: 1455    -          Glastonbury (Somerset) England_x000D_
.died: 1483    -1540      Glastonbury (Somerset) England, age:28y 0m 0d, _x000D_
.bapt: 1785GE_x000D_
.will: 2004MO_x000D_
.obit: 1890OH_x000D_
.bury: 1850IL _x000D_
.wpbt: 1826PA_x000D_
.anc#:ancestor_x000D_
citiz:foreign_x000D_
#spos:1_x000D_
#srcs:2_x000D_
#comment:0_x000D_
#events:1_x000D_
#kids:1_x000D_
lived:ENSOMESGLASTBU_x000D_
issue:_x000D_
.recs:Birth,Marriage,Death_x000D_
.imm?:no_x000D_
..Spo:JAMES ISAACKE</t>
        </r>
      </text>
    </comment>
    <comment ref="X3634" authorId="0" shapeId="0" xr:uid="{F8E4A4BB-4A8C-4F7B-A298-39E84602BB8B}">
      <text>
        <r>
          <rPr>
            <sz val="9"/>
            <color indexed="81"/>
            <rFont val="Tahoma"/>
            <family val="2"/>
          </rPr>
          <t>THOMAS\HENRY WALLER_x000D_
http://yeinfo.com/family/I09066530.html_x000D_
https://www.google.com/search?q=THOMAS\HENRY+WALLER+1323+1353+CATHERINE_x000D_
.born:c1323    -          Lamberhurst (Sussex) England_x000D_
.died: 1353    -          Lamberhurst (Sussex) England, age:30y 0m 0d, _x000D_
.bapt: 1785GE_x000D_
.will: 2004MO_x000D_
.obit: 1890OH_x000D_
.bury: 1850IL _x000D_
.wpbt: 1826PA_x000D_
.anc#:ancestor_x000D_
citiz:foreign_x000D_
#spos:1_x000D_
#srcs:1_x000D_
#comment:1_x000D_
#events:1_x000D_
#kids:1_x000D_
lived:ENSUSSELAMBERH_x000D_
issue:_x000D_
.recs:Birth,Marriage,Death_x000D_
.imm?:no_x000D_
..Spo:CATHERINE CLIFFORD</t>
        </r>
      </text>
    </comment>
    <comment ref="W3636" authorId="0" shapeId="0" xr:uid="{19593A9E-AB39-4B3F-BB80-43C49382759E}">
      <text>
        <r>
          <rPr>
            <sz val="9"/>
            <color indexed="81"/>
            <rFont val="Tahoma"/>
            <family val="2"/>
          </rPr>
          <t>THOMAS WALLER III_x000D_
http://yeinfo.com/family/I09066355.html_x000D_
https://www.google.com/search?q=THOMAS+WALLER+1341+1390+CHRISTINA_x000D_
.born:c1341    -          Speldhurst (Kent) England_x000D_
.died: 1390    -          Speldhurst (Kent) England, age:49y 0m 0d, _x000D_
.bapt: 1785GE_x000D_
.will: 2004MO_x000D_
.obit: 1890OH_x000D_
.bury: 1850IL _x000D_
.wpbt: 1826PA_x000D_
.anc#:ancestor_x000D_
citiz:foreign_x000D_
#spos:1_x000D_
#srcs:1_x000D_
#comment:0_x000D_
#events:1_x000D_
#kids:1_x000D_
lived:ENKENT SPELDHU_x000D_
issue:_x000D_
.recs:Birth,Marriage,Death_x000D_
.imm?:no_x000D_
..Spo:CHRISTINA CHALFUNT</t>
        </r>
      </text>
    </comment>
    <comment ref="Z3638" authorId="0" shapeId="0" xr:uid="{26987D1C-2975-4F19-A2C1-974C6645A034}">
      <text>
        <r>
          <rPr>
            <sz val="9"/>
            <color indexed="81"/>
            <rFont val="Tahoma"/>
            <family val="2"/>
          </rPr>
          <t>ROBERT CLIFFORD_x000D_
http://yeinfo.com/family/I09066643.html_x000D_
https://www.google.com/search?q=ROBERT+CLIFFORD+1274+1314+MATILDA_x000D_
.born: 12740401-          Clifford (Herefordshire) England_x000D_
.died: 13140624-          Bannock (Stirlingshire) Scotland, age:40y 2m 23d, _x000D_
.bapt: 1785GE_x000D_
.will: 2004MO_x000D_
.obit: 1890OH_x000D_
.bury: 1850IL _x000D_
.wpbt: 1826PA_x000D_
.anc#:ancestor_x000D_
citiz:foreign_x000D_
#spos:1_x000D_
#srcs:1_x000D_
#comment:1_x000D_
#events:1_x000D_
#kids:1_x000D_
lived:ENHEREFCLIFFOR,STSTIRLBANNOCK_x000D_
issue:Died after Age 100_x000D_
.recs:Birth,Marriage,Death_x000D_
.imm?:no_x000D_
..Spo:MATILDA MAUD</t>
        </r>
      </text>
    </comment>
    <comment ref="Y3640" authorId="0" shapeId="0" xr:uid="{CFD2D8AC-0156-45DF-91AA-867F4957FDC1}">
      <text>
        <r>
          <rPr>
            <sz val="9"/>
            <color indexed="81"/>
            <rFont val="Tahoma"/>
            <family val="2"/>
          </rPr>
          <t>ROGER CLIFFORD_x000D_
http://yeinfo.com/family/I09066582.html_x000D_
https://www.google.com/search?q=ROGER+CLIFFORD+1300+1322+JULIAN_x000D_
.born: 13000121-          Appleby (Westmorland) England_x000D_
.died: 13220323-          York (Yorkshire) England, age:22y 2m 2d, _x000D_
.bapt: 1785GE_x000D_
.will: 2004MO_x000D_
.obit: 1890OH_x000D_
.bury: 1850IL _x000D_
.wpbt: 1826PA_x000D_
.anc#:ancestor_x000D_
citiz:foreign_x000D_
#spos:1_x000D_
#srcs:1_x000D_
#comment:0_x000D_
#events:1_x000D_
#kids:1_x000D_
lived:ENWMOREAPPLEBY,ENYORKSYORK_x000D_
issue:Died after Age 100_x000D_
.recs:Birth,Marriage,Death_x000D_
.imm?:no_x000D_
..Spo:JULIAN BOWER</t>
        </r>
      </text>
    </comment>
    <comment ref="Z3642" authorId="0" shapeId="0" xr:uid="{B340E4F9-4213-4671-AA99-2D3EEFEAC602}">
      <text>
        <r>
          <rPr>
            <sz val="9"/>
            <color indexed="81"/>
            <rFont val="Tahoma"/>
            <family val="2"/>
          </rPr>
          <t>MATILDA MAUD_x000D_
http://yeinfo.com/family/I09066644.html_x000D_
https://www.google.com/search?q=MATILDA+MAUD+1276+1327+CLIFFORD_x000D_
.born:c1276    -          Thomond (Clare) Ireland_x000D_
.died: 13270304-13270524  Clifford (Herefordshire) England, age:51y 2m 3d, _x000D_
.bapt: 1785GE_x000D_
.will: 2004MO_x000D_
.obit: 1890OH_x000D_
.bury: 1850IL _x000D_
.wpbt: 1826PA_x000D_
.anc#:ancestor_x000D_
citiz:foreign_x000D_
#spos:1_x000D_
#srcs:1_x000D_
#comment:1_x000D_
#events:1_x000D_
#kids:1_x000D_
lived:ENHEREFCLIFFOR,IRCLARETHOMOND_x000D_
issue:Died after Age 100_x000D_
.recs:Birth,Marriage,Death_x000D_
.imm?:no_x000D_
..Spo:ROBERT CLIFFORD</t>
        </r>
      </text>
    </comment>
    <comment ref="X3644" authorId="0" shapeId="0" xr:uid="{C363D417-22BD-4525-A808-76675D3BF8AC}">
      <text>
        <r>
          <rPr>
            <sz val="9"/>
            <color indexed="81"/>
            <rFont val="Tahoma"/>
            <family val="2"/>
          </rPr>
          <t>CATHERINE CLIFFORD_x000D_
http://yeinfo.com/family/I09066531.html_x000D_
https://www.google.com/search?q=CATHERINE+CLIFFORD+1322+1342+WALLER_x000D_
.born: 1322    -          Lamberhurst (Sussex) England_x000D_
.died: 1342    -1412     ?Yorkshire county England, age:20y 0m 0d, _x000D_
.bapt: 1785GE_x000D_
.will: 2004MO_x000D_
.obit: 1890OH_x000D_
.bury: 1850IL _x000D_
.wpbt: 1826PA_x000D_
.anc#:ancestor_x000D_
citiz:foreign_x000D_
#spos:1_x000D_
#srcs:2_x000D_
#comment:0_x000D_
#events:1_x000D_
#kids:1_x000D_
lived:?ENYORKS,ENSUSSELAMBERH_x000D_
issue:_x000D_
.recs:Birth,Marriage,Death_x000D_
.imm?:no_x000D_
..Spo:THOMAS\HENRY WALLER</t>
        </r>
      </text>
    </comment>
    <comment ref="Y3646" authorId="0" shapeId="0" xr:uid="{B4DD9D80-115A-4B8F-BA6F-837D11AB2366}">
      <text>
        <r>
          <rPr>
            <sz val="9"/>
            <color indexed="81"/>
            <rFont val="Tahoma"/>
            <family val="2"/>
          </rPr>
          <t>JULIAN BOWER_x000D_
http://yeinfo.com/family/I09066583.html_x000D_
https://www.google.com/search?q=JULIAN+BOWER+1300+1322+CLIFFORD_x000D_
.born:?1300    -         ?England_x000D_
.died: 1322    -1365      Kent county England, age:22y 0m 0d, _x000D_
.bapt: 1785GE_x000D_
.will: 2004MO_x000D_
.obit: 1890OH_x000D_
.bury: 1850IL _x000D_
.wpbt: 1826PA_x000D_
.anc#:ancestor_x000D_
citiz:foreign_x000D_
#spos:1_x000D_
#srcs:2_x000D_
#comment:0_x000D_
#events:1_x000D_
#kids:1_x000D_
lived:?EN,ENKENT_x000D_
issue:Died after Age 100_x000D_
.recs:Birth,Marriage,Death_x000D_
.imm?:no_x000D_
..Spo:ROGER CLIFFORD</t>
        </r>
      </text>
    </comment>
    <comment ref="V3648" authorId="0" shapeId="0" xr:uid="{1D03F0D7-283A-4B9B-8109-9E9D38009D89}">
      <text>
        <r>
          <rPr>
            <sz val="9"/>
            <color indexed="81"/>
            <rFont val="Tahoma"/>
            <family val="2"/>
          </rPr>
          <t>JOHN WALLER_x000D_
http://yeinfo.com/family/I09066203.html_x000D_
https://www.google.com/search?q=JOHN+WALLER+1365+1420+MARGARET_x000D_
.born:c1365    -          Speldhurst (Kent) England_x000D_
.died: 1420    -          Speldhurst (Kent) England, age:55y 0m 0d, _x000D_
.bapt: 1785GE_x000D_
.will: 2004MO_x000D_
.obit: 1890OH_x000D_
.bury: 1850IL _x000D_
.wpbt: 1826PA_x000D_
.anc#:ancestor_x000D_
citiz:foreign_x000D_
#spos:1_x000D_
#srcs:1_x000D_
#comment:0_x000D_
#events:1_x000D_
#kids:1_x000D_
lived:ENKENT SPELDHU_x000D_
issue:_x000D_
.recs:Birth,Marriage,Death_x000D_
.imm?:no_x000D_
..Spo:MARGARET LANSDALL</t>
        </r>
      </text>
    </comment>
    <comment ref="Y3650" authorId="0" shapeId="0" xr:uid="{A1CCF7A5-1868-40FD-A4C0-7C21B5301A4C}">
      <text>
        <r>
          <rPr>
            <sz val="9"/>
            <color indexed="81"/>
            <rFont val="Tahoma"/>
            <family val="2"/>
          </rPr>
          <t>HENRY CHALFUNT_x000D_
http://yeinfo.com/family/I09066584.html_x000D_
https://www.google.com/search?q=HENRY+CHALFUNT+1285+1310+{_?_}_x000D_
.born:?1285    -         ?England_x000D_
.died: 1310    -1375     ?England, age:25y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..Spo:{_?_} CHALFUNT</t>
        </r>
      </text>
    </comment>
    <comment ref="X3652" authorId="0" shapeId="0" xr:uid="{1D378871-F6D1-4700-9538-EDA18693008C}">
      <text>
        <r>
          <rPr>
            <sz val="9"/>
            <color indexed="81"/>
            <rFont val="Tahoma"/>
            <family val="2"/>
          </rPr>
          <t>HENRY CHALFUNT_x000D_
http://yeinfo.com/family/I09066532.html_x000D_
https://www.google.com/search?q=HENRY+CHALFUNT+1310+1365+{_?_}_x000D_
.born:c1310    -          Amersham (Buckinghamshire) England_x000D_
.died: 1365    -          England, age:55y 0m 0d, _x000D_
.bapt: 1785GE_x000D_
.will: 2004MO_x000D_
.obit: 1890OH_x000D_
.bury: 1850IL _x000D_
.wpbt: 1826PA_x000D_
.anc#:ancestor_x000D_
citiz:foreign_x000D_
#spos:1_x000D_
#srcs:1_x000D_
#comment:0_x000D_
#events:1_x000D_
#kids:1_x000D_
lived:ENBUCKEAMERSHA_x000D_
issue:_x000D_
.recs:Birth,Marriage,Death_x000D_
.imm?:no_x000D_
..Spo:{_?_} CHALFUNT</t>
        </r>
      </text>
    </comment>
    <comment ref="Y3654" authorId="0" shapeId="0" xr:uid="{688D9D86-0D0C-407B-870A-AD481473CA09}">
      <text>
        <r>
          <rPr>
            <sz val="9"/>
            <color indexed="81"/>
            <rFont val="Tahoma"/>
            <family val="2"/>
          </rPr>
          <t>Mrs. {_?_} CHALFUNT_x000D_
http://yeinfo.com/family/I09066585.html_x000D_
https://www.google.com/search?q={_?_}+CHALFUNT+1285+1310+CHALFUNT_x000D_
.born:?1285    -         ?England_x000D_
.died: 1310    -1375     ?England, age:25y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..Spo:HENRY CHALFUNT</t>
        </r>
      </text>
    </comment>
    <comment ref="W3656" authorId="0" shapeId="0" xr:uid="{A84EF079-BFCF-4ED7-B686-21B35BAE52DF}">
      <text>
        <r>
          <rPr>
            <sz val="9"/>
            <color indexed="81"/>
            <rFont val="Tahoma"/>
            <family val="2"/>
          </rPr>
          <t>CHRISTINA CHALFUNT_x000D_
http://yeinfo.com/family/I09066356.html_x000D_
https://www.google.com/search?q=CHRISTINA+CHALFUNT+1340+1400+WALLER_x000D_
.born:c1340    -          Amersham (Buckinghamshire) England_x000D_
.died: 1400    -          England, age:60y 0m 0d, _x000D_
.bapt: 1785GE_x000D_
.will: 2004MO_x000D_
.obit: 1890OH_x000D_
.bury: 1850IL _x000D_
.wpbt: 1826PA_x000D_
.anc#:ancestor_x000D_
citiz:foreign_x000D_
#spos:1_x000D_
#srcs:1_x000D_
#comment:0_x000D_
#events:1_x000D_
#kids:1_x000D_
lived:ENBUCKEAMERSHA_x000D_
issue:_x000D_
.recs:Birth,Marriage,Death_x000D_
.imm?:no_x000D_
..Spo:THOMAS WALLER</t>
        </r>
      </text>
    </comment>
    <comment ref="X3658" authorId="0" shapeId="0" xr:uid="{C05D6C85-8345-47CB-A2CC-FA432D832C04}">
      <text>
        <r>
          <rPr>
            <sz val="9"/>
            <color indexed="81"/>
            <rFont val="Tahoma"/>
            <family val="2"/>
          </rPr>
          <t>Mrs. {_?_} CHALFUNT_x000D_
http://yeinfo.com/family/I09066533.html_x000D_
https://www.google.com/search?q={_?_}+CHALFUNT+1310+1340+CHALFUNT_x000D_
.born:?1310    -         ?England_x000D_
.died: 1340    -1400     ?England, age:30y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..Spo:HENRY CHALFUNT</t>
        </r>
      </text>
    </comment>
    <comment ref="U3660" authorId="0" shapeId="0" xr:uid="{F034C61C-F9A5-4F1F-BBEA-FDF5EFC2AEB5}">
      <text>
        <r>
          <rPr>
            <sz val="9"/>
            <color indexed="81"/>
            <rFont val="Tahoma"/>
            <family val="2"/>
          </rPr>
          <t>RICHARD WALLER_x000D_
http://yeinfo.com/family/I09066019.html_x000D_
https://www.google.com/search?q=RICHARD+WALLER+1410+1440+MARGARET\SYLVIA_x000D_
.born:c1410    -          Speldhurst (Kent) England_x000D_
.died:c1440    -          Tonbridge (Kent) England, age:30y 0m 0d, _x000D_
.bapt: 1785GE_x000D_
.will: 2004MO_x000D_
.obit: 1890OH_x000D_
.bury: 1850IL _x000D_
.wpbt: 1826PA_x000D_
.anc#:ancestor_x000D_
citiz:foreign_x000D_
#spos:1_x000D_
#srcs:1_x000D_
#comment:0_x000D_
#events:1_x000D_
#kids:1_x000D_
lived:ENKENT SPELDHU,ENKENT TONBRID_x000D_
issue:Died after Age 100_x000D_
.recs:Birth,Marriage,Death_x000D_
.imm?:no_x000D_
..Spo:MARGARET\SYLVIA GULBY</t>
        </r>
      </text>
    </comment>
    <comment ref="W3662" authorId="0" shapeId="0" xr:uid="{08321B2E-64A3-4F77-B0C7-F59A5EAB88D3}">
      <text>
        <r>
          <rPr>
            <sz val="9"/>
            <color indexed="81"/>
            <rFont val="Tahoma"/>
            <family val="2"/>
          </rPr>
          <t>THOMAS LANSDALL_x000D_
http://yeinfo.com/family/I09066357.html_x000D_
https://www.google.com/search?q=THOMAS+LANSDALL+1334+1386+{_?_}_x000D_
.born: 1334    -          England_x000D_
.died: 1386    -          England, age:52y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..Spo:{_?_} LANSDALL</t>
        </r>
      </text>
    </comment>
    <comment ref="V3664" authorId="0" shapeId="0" xr:uid="{EBA17E2B-B28F-41C2-B482-D4D22DF674C7}">
      <text>
        <r>
          <rPr>
            <sz val="9"/>
            <color indexed="81"/>
            <rFont val="Tahoma"/>
            <family val="2"/>
          </rPr>
          <t>MARGARET LANSDALL_x000D_
http://yeinfo.com/family/I09066204.html_x000D_
https://www.google.com/search?q=MARGARET+LANSDALL+1375+1410+WALLER_x000D_
.born:c1375    -          Sussex county England_x000D_
.died: 1410    -1460      Speldhurst (Kent) England, age:35y 0m 0d, _x000D_
.bapt: 1785GE_x000D_
.will: 2004MO_x000D_
.obit: 1890OH_x000D_
.bury: 1850IL _x000D_
.wpbt: 1826PA_x000D_
.anc#:ancestor_x000D_
citiz:foreign_x000D_
#spos:1_x000D_
#srcs:1_x000D_
#comment:0_x000D_
#events:1_x000D_
#kids:1_x000D_
lived:ENKENT SPELDHU,ENSUSSE_x000D_
issue:Died after Age 100_x000D_
.recs:Birth,Marriage,Death_x000D_
.imm?:no_x000D_
..Spo:JOHN WALLER</t>
        </r>
      </text>
    </comment>
    <comment ref="W3666" authorId="0" shapeId="0" xr:uid="{DCE63B42-5E3C-42D8-929B-928341E70BBB}">
      <text>
        <r>
          <rPr>
            <sz val="9"/>
            <color indexed="81"/>
            <rFont val="Tahoma"/>
            <family val="2"/>
          </rPr>
          <t>Mrs. {_?_} LANSDALL_x000D_
http://yeinfo.com/family/I09066358.html_x000D_
https://www.google.com/search?q={_?_}+LANSDALL+1335+1375+LANSDALL_x000D_
.born:?1335    -         ?England_x000D_
.died: 1375    -1425     ?England, age:40y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..Spo:THOMAS LANSDALL</t>
        </r>
      </text>
    </comment>
    <comment ref="T3668" authorId="0" shapeId="0" xr:uid="{DBDABCBF-CDF0-42C5-95F0-EDDDD16F9896}">
      <text>
        <r>
          <rPr>
            <sz val="9"/>
            <color indexed="81"/>
            <rFont val="Tahoma"/>
            <family val="2"/>
          </rPr>
          <t>ALICE WALLER_x000D_
http://yeinfo.com/family/I09065844.html_x000D_
https://www.google.com/search?q=ALICE+WALLER+1424+1461+GUILDFORD_x000D_
.born:c1424    -          Speldhurst (Kent) England_x000D_
.died: 1461    -          Speldhurst (Kent) England, age:37y 0m 0d, _x000D_
.bapt: 1785GE_x000D_
.will: 2004MO_x000D_
.obit: 1890OH_x000D_
.bury: 1850IL _x000D_
.wpbt: 1826PA_x000D_
.anc#:ancestor_x000D_
citiz:foreign_x000D_
#spos:1_x000D_
#srcs:1_x000D_
#comment:0_x000D_
#events:1_x000D_
#kids:1_x000D_
lived:ENKENT SPELDHU_x000D_
issue:Died after Age 100_x000D_
.recs:Birth,Marriage,Death_x000D_
.imm?:no_x000D_
..Spo:JOHN GUILDFORD</t>
        </r>
      </text>
    </comment>
    <comment ref="V3670" authorId="0" shapeId="0" xr:uid="{225F61A6-41B6-49B6-9434-B2DE681D1CC6}">
      <text>
        <r>
          <rPr>
            <sz val="9"/>
            <color indexed="81"/>
            <rFont val="Tahoma"/>
            <family val="2"/>
          </rPr>
          <t>WILLIAM GULBY_x000D_
http://yeinfo.com/family/I09066205.html_x000D_
https://www.google.com/search?q=WILLIAM+GULBY+1370+1439+MARGARET_x000D_
.born: 1370    -          Kent county England_x000D_
.died: 1439    -          Kent county England, age:69y 0m 0d, _x000D_
.bapt: 1785GE_x000D_
.will: 2004MO_x000D_
.obit: 1890OH_x000D_
.bury: 1850IL _x000D_
.wpbt: 1826PA_x000D_
.anc#:ancestor_x000D_
citiz:foreign_x000D_
#spos:1_x000D_
#srcs:1_x000D_
#comment:0_x000D_
#events:1_x000D_
#kids:1_x000D_
lived:ENKENT_x000D_
issue:_x000D_
.recs:Birth,Marriage,Death_x000D_
.imm?:no_x000D_
..Spo:MARGARET LANDSALL</t>
        </r>
      </text>
    </comment>
    <comment ref="U3672" authorId="0" shapeId="0" xr:uid="{424D3F91-87A4-4F15-AB91-01C1EBC5965A}">
      <text>
        <r>
          <rPr>
            <sz val="9"/>
            <color indexed="81"/>
            <rFont val="Tahoma"/>
            <family val="2"/>
          </rPr>
          <t>MARGARET\SYLVIA GULBY_x000D_
http://yeinfo.com/family/I09066020.html_x000D_
https://www.google.com/search?q=MARGARET\SYLVIA+GULBY+1406+1493+WALLER_x000D_
.born: 1406    -          Tonbridge (Kent) England_x000D_
.died: 1493    -          Tonbridge (Kent) England, age:87y 0m 0d, _x000D_
.bapt: 1785GE_x000D_
.will: 2004MO_x000D_
.obit: 1890OH_x000D_
.bury: 1850IL _x000D_
.wpbt: 1826PA_x000D_
.anc#:ancestor_x000D_
citiz:foreign_x000D_
#spos:1_x000D_
#srcs:1_x000D_
#comment:0_x000D_
#events:1_x000D_
#kids:1_x000D_
lived:ENKENT TONBRID_x000D_
issue:_x000D_
.recs:Birth,Marriage,Death_x000D_
.imm?:no_x000D_
..Spo:RICHARD WALLER</t>
        </r>
      </text>
    </comment>
    <comment ref="V3674" authorId="0" shapeId="0" xr:uid="{0B9C7F2B-1C25-47F3-A2CC-1275EF750F25}">
      <text>
        <r>
          <rPr>
            <sz val="9"/>
            <color indexed="81"/>
            <rFont val="Tahoma"/>
            <family val="2"/>
          </rPr>
          <t>MARGARET LANDSALL_x000D_
http://yeinfo.com/family/I09066206.html_x000D_
https://www.google.com/search?q=MARGARET+LANDSALL+1370+1406+GULBY_x000D_
.born:?1370    -         ?England_x000D_
.died: 1406    -1460     ?England, age:36y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..Spo:WILLIAM GULBY</t>
        </r>
      </text>
    </comment>
    <comment ref="Q3676" authorId="0" shapeId="0" xr:uid="{E365C01B-A41F-46FE-913F-05F41837A4D9}">
      <text>
        <r>
          <rPr>
            <sz val="9"/>
            <color indexed="81"/>
            <rFont val="Tahoma"/>
            <family val="2"/>
          </rPr>
          <t>EDWARD ISAACKE_x000D_
http://yeinfo.com/family/I09043386.html_x000D_
https://www.google.com/search?q=EDWARD+ISAACKE+1510+1573+MARGARET\MARGERY_x000D_
.born:c1510    -          Patrixbourne (Kent) England_x000D_
.died: 15730304-          Patrixbourne (Kent) England, age:63y 2m 3d, _x000D_
.bapt: 1785GE_x000D_
.will: 2004MO_x000D_
.obit: 1890OH_x000D_
.bury: 1850IL _x000D_
.wpbt: 1826PA_x000D_
.anc#:ancestor_x000D_
citiz:foreign_x000D_
#spos:1_x000D_
#srcs:1_x000D_
#comment:0_x000D_
#events:1_x000D_
#kids:1_x000D_
lived:ENKENT PATRIXB_x000D_
issue:_x000D_
.recs:Birth,Marriage,Death_x000D_
.imm?:no_x000D_
..Spo:MARGARET\MARGERY WHETEHILL</t>
        </r>
      </text>
    </comment>
    <comment ref="W3678" authorId="0" shapeId="0" xr:uid="{9E635906-27DD-4D15-8A4B-A046ADF5E95E}">
      <text>
        <r>
          <rPr>
            <sz val="9"/>
            <color indexed="81"/>
            <rFont val="Tahoma"/>
            <family val="2"/>
          </rPr>
          <t>EDMUND\WILLIAM HAUTE_x000D_
http://yeinfo.com/family/I09066359.html_x000D_
https://www.google.com/search?q=EDMUND\WILLIAM+HAUTE+1325+1372+BENEDICTA_x000D_
.born:?1325    -          Waltham (Kent) England_x000D_
.died: 1372    -          Kent county England, age:47y 0m 0d, _x000D_
.bapt: 1785GE_x000D_
.will: 2004MO_x000D_
.obit: 1890OH_x000D_
.bury: 1850IL _x000D_
.wpbt: 1826PA_x000D_
.anc#:ancestor_x000D_
citiz:foreign_x000D_
#spos:1_x000D_
#srcs:2_x000D_
#comment:1_x000D_
#events:1_x000D_
#kids:1_x000D_
lived:ENKENT WALTHAM_x000D_
issue:_x000D_
.recs:Birth,Marriage,Death_x000D_
.imm?:no_x000D_
..Spo:BENEDICTA SHELVING</t>
        </r>
      </text>
    </comment>
    <comment ref="V3680" authorId="0" shapeId="0" xr:uid="{EFDDD591-8E43-400C-8EE8-750DB6BFAC58}">
      <text>
        <r>
          <rPr>
            <sz val="9"/>
            <color indexed="81"/>
            <rFont val="Tahoma"/>
            <family val="2"/>
          </rPr>
          <t>NICHOLAS HAUTE_x000D_
http://yeinfo.com/family/I09066207.html_x000D_
https://www.google.com/search?q=NICHOLAS+HAUTE+1357+1413+ALICE+Flambard_x000D_
.born: 13570920-          Waltham (Kent) England_x000D_
.died: 14130113-          West Horndon (Essex) England, age:55y 3m 24d, _x000D_
.bapt: 1785GE_x000D_
.will: 2004MO_x000D_
.obit: 1890OH_x000D_
.bury: 1850IL _x000D_
.wpbt: 1826PA_x000D_
.anc#:ancestor_x000D_
citiz:foreign_x000D_
#spos:2_x000D_
#srcs:2_x000D_
#comment:0_x000D_
#events:2_x000D_
#kids:1_x000D_
lived:ENESSEXWEST HO,ENKENT WALTHAM_x000D_
issue:Died after Age 100_x000D_
.recs:Birth,Marriage,Death_x000D_
.imm?:no_x000D_
..Spo:ALICE CAWNE</t>
        </r>
      </text>
    </comment>
    <comment ref="W3682" authorId="0" shapeId="0" xr:uid="{5B0C75F3-2F7F-49E4-B196-D2F95275D38B}">
      <text>
        <r>
          <rPr>
            <sz val="9"/>
            <color indexed="81"/>
            <rFont val="Tahoma"/>
            <family val="2"/>
          </rPr>
          <t>BENEDICTA SHELVING_x000D_
http://yeinfo.com/family/I09066360.html_x000D_
https://www.google.com/search?q=BENEDICTA+SHELVING+1326+1391+HAUTE_x000D_
.born:c1326    -          Waltham (Kent) England_x000D_
.died: 139104  -          Canterbury (Kent) England, age:65y 3m 0d, _x000D_
.bapt: 1785GE_x000D_
.will: 2004MO_x000D_
.obit: 1890OH_x000D_
.bury: 1850IL _x000D_
.wpbt: 1826PA_x000D_
.anc#:ancestor_x000D_
citiz:foreign_x000D_
#spos:1_x000D_
#srcs:2_x000D_
#comment:1_x000D_
#events:1_x000D_
#kids:1_x000D_
lived:ENKENT CANTERB,ENKENT WALTHAM_x000D_
issue:_x000D_
.recs:Birth,Marriage,Death_x000D_
.imm?:no_x000D_
..Spo:EDMUND\WILLIAM HAUTE</t>
        </r>
      </text>
    </comment>
    <comment ref="U3684" authorId="0" shapeId="0" xr:uid="{5527D37B-F13C-4132-8D6C-A6E05C6EC145}">
      <text>
        <r>
          <rPr>
            <sz val="9"/>
            <color indexed="81"/>
            <rFont val="Tahoma"/>
            <family val="2"/>
          </rPr>
          <t>WILLIAM HAUTE_x000D_
http://yeinfo.com/family/I09066021.html_x000D_
https://www.google.com/search?q=WILLIAM+HAUTE+1390+1462+Margaret+WYDEVILLE_x000D_
.born: 1390    -          Bishops Bourne (Kent) England_x000D_
.died: 146209  -          London (Middlesex) England, age:72y 8m 0d, _x000D_
.bapt: 1785GE_x000D_
.will: 2004MO_x000D_
.obit: 1890OH_x000D_
.bury: 1850IL _x000D_
.wpbt: 1826PA_x000D_
.anc#:ancestor_x000D_
citiz:foreign_x000D_
#spos:2_x000D_
#srcs:2_x000D_
#comment:0_x000D_
#events:2_x000D_
#kids:9_x000D_
lived:ENKENT BISHOPB,ENMIDDLLONDON_x000D_
issue:_x000D_
.recs:Birth,Marriage,Death_x000D_
.imm?:no_x000D_
..Spo:Margaret Berwyl</t>
        </r>
      </text>
    </comment>
    <comment ref="W3686" authorId="0" shapeId="0" xr:uid="{4F682480-E3AB-4836-87C8-E113954C729D}">
      <text>
        <r>
          <rPr>
            <sz val="9"/>
            <color indexed="81"/>
            <rFont val="Tahoma"/>
            <family val="2"/>
          </rPr>
          <t>THOMAS CAWNE_x000D_
http://yeinfo.com/family/I09066361.html_x000D_
https://www.google.com/search?q=THOMAS+CAWNE+1340+1374+LORA_x000D_
.born: 1340    -          Waltham (Kent) England_x000D_
.died: 1374    -         ?Kent county England, age:34y 0m 0d, _x000D_
.bapt: 1785GE_x000D_
.will: 2004MO_x000D_
.obit: 1890OH_x000D_
.bury: 1850IL _x000D_
.wpbt: 1826PA_x000D_
.anc#:ancestor_x000D_
citiz:foreign_x000D_
#spos:1_x000D_
#srcs:2_x000D_
#comment:0_x000D_
#events:1_x000D_
#kids:1_x000D_
lived:ENKENT WALTHAM_x000D_
issue:_x000D_
.recs:Birth,Marriage,Death_x000D_
.imm?:no_x000D_
..Spo:LORA MORAUNT</t>
        </r>
      </text>
    </comment>
    <comment ref="V3688" authorId="0" shapeId="0" xr:uid="{B02BE204-4023-4331-8599-759A5327292E}">
      <text>
        <r>
          <rPr>
            <sz val="9"/>
            <color indexed="81"/>
            <rFont val="Tahoma"/>
            <family val="2"/>
          </rPr>
          <t>ALICE CAWNE_x000D_
http://yeinfo.com/family/I09066208.html_x000D_
https://www.google.com/search?q=ALICE+CAWNE+1373+1400+HAUTE_x000D_
.born: 1373    -          Waltham (Kent) England_x000D_
.died: 14000311-          England, age:27y 2m 10d, _x000D_
.bapt: 1785GE_x000D_
.will: 2004MO_x000D_
.obit: 1890OH_x000D_
.bury: 1850IL _x000D_
.wpbt: 1826PA_x000D_
.anc#:ancestor_x000D_
citiz:foreign_x000D_
#spos:1_x000D_
#srcs:2_x000D_
#comment:0_x000D_
#events:1_x000D_
#kids:1_x000D_
lived:ENKENT WALTHAM_x000D_
issue:Died after Age 100_x000D_
.recs:Birth,Marriage,Death_x000D_
.imm?:no_x000D_
..Spo:NICHOLAS HAUTE</t>
        </r>
      </text>
    </comment>
    <comment ref="W3690" authorId="0" shapeId="0" xr:uid="{48083BA2-DED8-464A-BB9D-4D7D768BF492}">
      <text>
        <r>
          <rPr>
            <sz val="9"/>
            <color indexed="81"/>
            <rFont val="Tahoma"/>
            <family val="2"/>
          </rPr>
          <t>LORA MORAUNT_x000D_
http://yeinfo.com/family/I09066362.html_x000D_
https://www.google.com/search?q=LORA+MORAUNT+1330+1373+CAWNE_x000D_
.born:c1330    -          England_x000D_
.died: 1373    -1420      England, age:43y 0m 0d, _x000D_
.bapt: 1785GE_x000D_
.will: 2004MO_x000D_
.obit: 1890OH_x000D_
.bury: 1850IL _x000D_
.wpbt: 1826PA_x000D_
.anc#:ancestor_x000D_
citiz:foreign_x000D_
#spos:1_x000D_
#srcs:2_x000D_
#comment:1_x000D_
#events:1_x000D_
#kids:1_x000D_
lived:?ENKENT,EN_x000D_
issue:_x000D_
.recs:Birth,Marriage,Death_x000D_
.imm?:no_x000D_
..Spo:THOMAS CAWNE</t>
        </r>
      </text>
    </comment>
    <comment ref="T3692" authorId="0" shapeId="0" xr:uid="{96C44B0D-CB25-40CE-8032-5EB21CD507DF}">
      <text>
        <r>
          <rPr>
            <sz val="9"/>
            <color indexed="81"/>
            <rFont val="Tahoma"/>
            <family val="2"/>
          </rPr>
          <t>WILLIAM HAUTE_x000D_
http://yeinfo.com/family/I09065845.html_x000D_
https://www.google.com/search?q=WILLIAM+HAUTE+1430+1497+JOANE_x000D_
.born:c1430    -          Waltham (Kent) England_x000D_
.died:?14970702-          Bishops Bourne (Kent) England, age:67y 6m 1d, _x000D_
.bapt: 1785GE_x000D_
.will: 2004MO_x000D_
.obit: 1890OH_x000D_
.bury: 1850IL _x000D_
.wpbt: 1826PA_x000D_
.anc#:ancestor_x000D_
citiz:foreign_x000D_
#spos:1_x000D_
#srcs:2_x000D_
#comment:0_x000D_
#events:2_x000D_
#kids:1_x000D_
lived:ENKENT BISHOPB,ENKENT WALTHAM_x000D_
issue:_x000D_
.recs:Birth,Marriage,Death_x000D_
.imm?:no_x000D_
..Spo:JOANE HORNE</t>
        </r>
      </text>
    </comment>
    <comment ref="W3694" authorId="0" shapeId="0" xr:uid="{DDB1DC91-5662-4A4C-992C-7A9C78809D1F}">
      <text>
        <r>
          <rPr>
            <sz val="9"/>
            <color indexed="81"/>
            <rFont val="Tahoma"/>
            <family val="2"/>
          </rPr>
          <t>JOHN WYDEVILLE_x000D_
http://yeinfo.com/family/I09066363.html_x000D_
https://www.google.com/search?q=JOHN+WYDEVILLE+1341+1401+ISABEL_x000D_
.born: 1341    -          Grafton Regis (Northamptonshire) England_x000D_
.died: 1401    -          Grafton Regis (Northamptonshire) England, age:60y 0m 0d, _x000D_
.bapt: 1785GE_x000D_
.will: 2004MO_x000D_
.obit: 1890OH_x000D_
.bury: 1850IL _x000D_
.wpbt: 1826PA_x000D_
.anc#:ancestor_x000D_
citiz:foreign_x000D_
#spos:1_x000D_
#srcs:6_x000D_
#comment:1_x000D_
#events:2_x000D_
#kids:1_x000D_
lived:ENNORTAGRAFTRE_x000D_
issue:_x000D_
.recs:Birth,Marriage,Death_x000D_
.imm?:no_x000D_
..Spo:ISABEL GODDARD</t>
        </r>
      </text>
    </comment>
    <comment ref="V3696" authorId="0" shapeId="0" xr:uid="{BDC15A9A-6DF9-41FD-AE0E-6958572E0495}">
      <text>
        <r>
          <rPr>
            <sz val="9"/>
            <color indexed="81"/>
            <rFont val="Tahoma"/>
            <family val="2"/>
          </rPr>
          <t>RICHARD WYDEVILLE_x000D_
http://yeinfo.com/family/I09066209.html_x000D_
https://www.google.com/search?q=RICHARD+WYDEVILLE+1380+1441+JOAN_x000D_
.born:c1380    -          Kent county England_x000D_
.died: 14411129-          Kent county England, age:61y 10m 28d, _x000D_
.bapt: 1785GE_x000D_
.will: 2004MO_x000D_
.obit: 1890OH_x000D_
.bury: 1850IL _x000D_
.wpbt: 1826PA_x000D_
.anc#:ancestor_x000D_
citiz:foreign_x000D_
#spos:1_x000D_
#srcs:4_x000D_
#comment:0_x000D_
#events:3_x000D_
#kids:1_x000D_
lived:ENKENT MAIDSTO,ENNORTAGRAFTRE_x000D_
issue:_x000D_
.recs:Birth,Marriage,Death_x000D_
.imm?:no_x000D_
..Spo:JOAN BITTELESGATE</t>
        </r>
      </text>
    </comment>
    <comment ref="W3698" authorId="0" shapeId="0" xr:uid="{CEC35546-F67A-4527-B722-55849A9532E0}">
      <text>
        <r>
          <rPr>
            <sz val="9"/>
            <color indexed="81"/>
            <rFont val="Tahoma"/>
            <family val="2"/>
          </rPr>
          <t>ISABEL GODDARD_x000D_
http://yeinfo.com/family/I09066364.html_x000D_
https://www.google.com/search?q=ISABEL+GODDARD+1361+1381+WYDEVILLE_x000D_
.born:c1361    -          Buckinghamshire county England_x000D_
.died: 1381    -1451     ?England, age:20y 0m 0d, _x000D_
.bapt: 1785GE_x000D_
.will: 2004MO_x000D_
.obit: 1890OH_x000D_
.bury: 1850IL _x000D_
.wpbt: 1826PA_x000D_
.anc#:ancestor_x000D_
citiz:foreign_x000D_
#spos:1_x000D_
#srcs:4_x000D_
#comment:0_x000D_
#events:1_x000D_
#kids:1_x000D_
lived:?ENNORTA,ENBUCKE_x000D_
issue:_x000D_
.recs:Birth,Marriage,Death_x000D_
.imm?:no_x000D_
..Spo:JOHN WYDEVILLE</t>
        </r>
      </text>
    </comment>
    <comment ref="U3700" authorId="0" shapeId="0" xr:uid="{48E40BCC-2F20-43C7-B843-02E8819C8D45}">
      <text>
        <r>
          <rPr>
            <sz val="9"/>
            <color indexed="81"/>
            <rFont val="Tahoma"/>
            <family val="2"/>
          </rPr>
          <t>JOAN WYDEVILLE_x000D_
http://yeinfo.com/family/I09066022.html_x000D_
https://www.google.com/search?q=JOAN+WYDEVILLE+1406+1462+HAUTE_x000D_
.born:c1406    -          Grafton Regis (Northamptonshire) England_x000D_
.died:?14620509-          Canterbury (Kent) England, age:56y 4m 8d, _x000D_
.bapt: 1785GE_x000D_
.will: 2004MO_x000D_
.obit: 1890OH_x000D_
.bury: 1850IL _x000D_
.wpbt: 1826PA_x000D_
.anc#:ancestor_x000D_
citiz:foreign_x000D_
#spos:1_x000D_
#srcs:2_x000D_
#comment:0_x000D_
#events:1_x000D_
#kids:9_x000D_
lived:ENKENT CANTERB,ENNORTAGRAFTRE_x000D_
issue:_x000D_
.recs:Birth,Marriage,Death_x000D_
.imm?:no_x000D_
..Spo:WILLIAM HAUTE</t>
        </r>
      </text>
    </comment>
    <comment ref="W3702" authorId="0" shapeId="0" xr:uid="{8567A9CB-56BA-4FC1-AA1B-C606C14756E9}">
      <text>
        <r>
          <rPr>
            <sz val="9"/>
            <color indexed="81"/>
            <rFont val="Tahoma"/>
            <family val="2"/>
          </rPr>
          <t>THOMAS BITTELESGATE_x000D_
http://yeinfo.com/family/I09066365.html_x000D_
https://www.google.com/search?q=THOMAS+BITTELESGATE+1360+1396+JOAN\MARY+MARY_x000D_
.born:c1360    -          Northamptonshire county England_x000D_
.died: 1396    -          , age:36y 0m 0d, _x000D_
.bapt: 1785GE_x000D_
.will: 2004MO_x000D_
.obit: 1890OH_x000D_
.bury: 1850IL _x000D_
.wpbt: 1826PA_x000D_
.anc#:ancestor_x000D_
citiz:foreign_x000D_
#spos:1_x000D_
#srcs:3_x000D_
#comment:0_x000D_
#events:1_x000D_
#kids:1_x000D_
lived:ENNORTA,ENSOMES_x000D_
issue:_x000D_
.recs:Birth,Marriage,Death_x000D_
.imm?:no_x000D_
..Spo:JOAN\MARY MARY BEAUCHAMP</t>
        </r>
      </text>
    </comment>
    <comment ref="V3704" authorId="0" shapeId="0" xr:uid="{1438422A-A6A3-4D4E-81ED-DAE1B3B53583}">
      <text>
        <r>
          <rPr>
            <sz val="9"/>
            <color indexed="81"/>
            <rFont val="Tahoma"/>
            <family val="2"/>
          </rPr>
          <t>JOAN BITTELESGATE_x000D_
http://yeinfo.com/family/I09066210.html_x000D_
https://www.google.com/search?q=JOAN+BITTELESGATE+1390+1488+WYDEVILLE_x000D_
.born: 1390    -          England_x000D_
.died: 14880717-          Grafton Regis (Northamptonshire) England, age:98y 6m 16d, _x000D_
.bapt: 1785GE_x000D_
.will: 2004MO_x000D_
.obit: 1890OH_x000D_
.bury: 1850IL _x000D_
.wpbt: 1826PA_x000D_
.anc#:ancestor_x000D_
citiz:foreign_x000D_
#spos:1_x000D_
#srcs:2_x000D_
#comment:0_x000D_
#events:2_x000D_
#kids:1_x000D_
lived:ENKENT MAIDSTO,ENNORTAGRAFTRE_x000D_
issue:Died after Age 100_x000D_
.recs:Birth,Marriage,Death_x000D_
.imm?:no_x000D_
..Spo:RICHARD WYDEVILLE</t>
        </r>
      </text>
    </comment>
    <comment ref="W3706" authorId="0" shapeId="0" xr:uid="{7322A0D8-1C81-48C8-9D88-A177ECCCAF26}">
      <text>
        <r>
          <rPr>
            <sz val="9"/>
            <color indexed="81"/>
            <rFont val="Tahoma"/>
            <family val="2"/>
          </rPr>
          <t>JOAN\MARY MARY BEAUCHAMP_x000D_
http://yeinfo.com/family/I09066366.html_x000D_
https://www.google.com/search?q=JOAN\MARY+MARY+BEAUCHAMP+1363+1390+BITTELESGATE_x000D_
.born:c1363    -          Northamptonshire county England_x000D_
.died: 1390    -1453      Grafton Regis (Northamptonshire) England, age:27y 0m 0d, _x000D_
.bapt: 1785GE_x000D_
.will: 2004MO_x000D_
.obit: 1890OH_x000D_
.bury: 1850IL _x000D_
.wpbt: 1826PA_x000D_
.anc#:ancestor_x000D_
citiz:foreign_x000D_
#spos:1_x000D_
#srcs:3_x000D_
#comment:1_x000D_
#events:1_x000D_
#kids:1_x000D_
lived:ENNORTAGRAFTRE,ENSOMES_x000D_
issue:_x000D_
.recs:Birth,Marriage,Death_x000D_
.imm?:no_x000D_
..Spo:THOMAS BITTELESGATE</t>
        </r>
      </text>
    </comment>
    <comment ref="S3708" authorId="0" shapeId="0" xr:uid="{49598D8B-C93B-4530-8FBE-FF1AE71D838A}">
      <text>
        <r>
          <rPr>
            <sz val="9"/>
            <color indexed="81"/>
            <rFont val="Tahoma"/>
            <family val="2"/>
          </rPr>
          <t>THOMAS HAUTE_x000D_
http://yeinfo.com/family/I09065708.html_x000D_
https://www.google.com/search?q=THOMAS+HAUTE+1453+1502+ISABEL_x000D_
.born: 1453    -         ?Bishops Bourne (Kent) England_x000D_
.died: 15021128-          Bishops Bourne (Kent) England, age:49y 10m 27d, _x000D_
.bapt: 1785GE_x000D_
.will: 2004MO_x000D_
.obit: 1890OH_x000D_
.bury: 1850IL _x000D_
.wpbt: 1826PA_x000D_
.anc#:ancestor_x000D_
citiz:foreign_x000D_
#spos:1_x000D_
#srcs:2_x000D_
#comment:0_x000D_
#events:1_x000D_
#kids:1_x000D_
lived:?ENKENT BISHOPB_x000D_
issue:_x000D_
.recs:Birth,Marriage,Death_x000D_
.imm?:no_x000D_
..Spo:ISABEL FROWICKE</t>
        </r>
      </text>
    </comment>
    <comment ref="V3710" authorId="0" shapeId="0" xr:uid="{7CE9A5FF-FD4F-45BF-B5E4-ED0FF5F80809}">
      <text>
        <r>
          <rPr>
            <sz val="9"/>
            <color indexed="81"/>
            <rFont val="Tahoma"/>
            <family val="2"/>
          </rPr>
          <t>HENRY HORNE_x000D_
http://yeinfo.com/family/I09066211.html_x000D_
https://www.google.com/search?q=HENRY+HORNE+1382+1404+ELIZABETH_x000D_
.born:?1382    -         ?England_x000D_
.died: 1404    -1472     ?Ashford (Kent) England, age:22y 0m 0d, _x000D_
.bapt: 1785GE_x000D_
.will: 2004MO_x000D_
.obit: 1890OH_x000D_
.bury: 1850IL _x000D_
.wpbt: 1826PA_x000D_
.anc#:ancestor_x000D_
citiz:foreign_x000D_
#spos:1_x000D_
#srcs:1_x000D_
#comment:0_x000D_
#events:1_x000D_
#kids:1_x000D_
lived:?ENKENT ASHFORD_x000D_
issue:_x000D_
.recs:Birth,Marriage,Death_x000D_
.imm?:no_x000D_
..Spo:ELIZABETH HORNE</t>
        </r>
      </text>
    </comment>
    <comment ref="U3712" authorId="0" shapeId="0" xr:uid="{8550FA15-467B-4DDC-8CBA-654AF4AB0FA9}">
      <text>
        <r>
          <rPr>
            <sz val="9"/>
            <color indexed="81"/>
            <rFont val="Tahoma"/>
            <family val="2"/>
          </rPr>
          <t>HENRY HORNE_x000D_
http://yeinfo.com/family/I09066023.html_x000D_
https://www.google.com/search?q=HENRY+HORNE+1404+1497+ELIZABETH_x000D_
.born:c1404    -          Waltham (Kent) England_x000D_
.died: 14970702-          Kent county England, age:93y 6m 1d, _x000D_
.bapt: 1785GE_x000D_
.will: 2004MO_x000D_
.obit: 1890OH_x000D_
.bury: 1850IL _x000D_
.wpbt: 1826PA_x000D_
.anc#:ancestor_x000D_
citiz:foreign_x000D_
#spos:1_x000D_
#srcs:1_x000D_
#comment:0_x000D_
#events:1_x000D_
#kids:1_x000D_
lived:ENKENT WALTHAM_x000D_
issue:_x000D_
.recs:Birth,Marriage,Death_x000D_
.imm?:no_x000D_
..Spo:ELIZABETH WYDEVILLE</t>
        </r>
      </text>
    </comment>
    <comment ref="V3714" authorId="0" shapeId="0" xr:uid="{A46E8601-AC20-4330-A4DA-541E938CBFFB}">
      <text>
        <r>
          <rPr>
            <sz val="9"/>
            <color indexed="81"/>
            <rFont val="Tahoma"/>
            <family val="2"/>
          </rPr>
          <t>Mrs. ELIZABETH HORNE_x000D_
http://yeinfo.com/family/I09066212.html_x000D_
https://www.google.com/search?q=ELIZABETH+HORNE+1384+1404+HORNE_x000D_
.born:?1384    -         ?England_x000D_
.died: 1404    -1474     ?Ashford (Kent) England, age:20y 0m 0d, _x000D_
.bapt: 1785GE_x000D_
.will: 2004MO_x000D_
.obit: 1890OH_x000D_
.bury: 1850IL _x000D_
.wpbt: 1826PA_x000D_
.anc#:ancestor_x000D_
citiz:foreign_x000D_
#spos:1_x000D_
#srcs:1_x000D_
#comment:0_x000D_
#events:1_x000D_
#kids:1_x000D_
lived:?ENKENT ASHFORD_x000D_
issue:_x000D_
.recs:Birth,Marriage,Death_x000D_
.imm?:no_x000D_
..Spo:HENRY HORNE</t>
        </r>
      </text>
    </comment>
    <comment ref="T3716" authorId="0" shapeId="0" xr:uid="{73FE927A-0D6A-4F6D-85F6-278050E46FA2}">
      <text>
        <r>
          <rPr>
            <sz val="9"/>
            <color indexed="81"/>
            <rFont val="Tahoma"/>
            <family val="2"/>
          </rPr>
          <t>JOANE HORNE_x000D_
http://yeinfo.com/family/I09065846.html_x000D_
https://www.google.com/search?q=JOANE+HORNE+1434+1497+HAUTE_x000D_
.born:c1434    -          Waltham (Kent) England_x000D_
.died: 1497    -          Bishops Bourne (Kent) England, age:63y 0m 0d, _x000D_
.bapt: 1785GE_x000D_
.will: 2004MO_x000D_
.obit: 1890OH_x000D_
.bury: 1850IL _x000D_
.wpbt: 1826PA_x000D_
.anc#:ancestor_x000D_
citiz:foreign_x000D_
#spos:1_x000D_
#srcs:2_x000D_
#comment:0_x000D_
#events:1_x000D_
#kids:1_x000D_
lived:ENKENT BISHOPB,ENKENT WALTHAM_x000D_
issue:_x000D_
.recs:Birth,Marriage,Death_x000D_
.imm?:no_x000D_
..Spo:WILLIAM HAUTE</t>
        </r>
      </text>
    </comment>
    <comment ref="U3718" authorId="0" shapeId="0" xr:uid="{BCB5858A-FCD8-4ED4-AACA-BD290BF415B9}">
      <text>
        <r>
          <rPr>
            <sz val="9"/>
            <color indexed="81"/>
            <rFont val="Tahoma"/>
            <family val="2"/>
          </rPr>
          <t>ELIZABETH WYDEVILLE_x000D_
http://yeinfo.com/family/I09066024.html_x000D_
https://www.google.com/search?q=ELIZABETH+WYDEVILLE+1410+1434+HORNE_x000D_
.born:?1410    -          _x000D_
.died: 1434    -1500     ?England, age:24y 0m 0d, _x000D_
.bapt: 1785GE_x000D_
.will: 2004MO_x000D_
.obit: 1890OH_x000D_
.bury: 1850IL _x000D_
.wpbt: 1826PA_x000D_
.anc#:ancestor_x000D_
citiz:foreign_x000D_
#spos:1_x000D_
#srcs:1_x000D_
#comment:0_x000D_
#events:1_x000D_
#kids:1_x000D_
lived:?EN_x000D_
issue:Died after Age 100_x000D_
.recs:Birth,Marriage,Death_x000D_
.imm?:no_x000D_
..Spo:HENRY HORNE</t>
        </r>
      </text>
    </comment>
    <comment ref="R3720" authorId="0" shapeId="0" xr:uid="{129B1C13-2577-40AB-9624-0D8BDD8E5B74}">
      <text>
        <r>
          <rPr>
            <sz val="9"/>
            <color indexed="81"/>
            <rFont val="Tahoma"/>
            <family val="2"/>
          </rPr>
          <t>MARGERY HAUTE_x000D_
http://yeinfo.com/family/I09065570.html_x000D_
https://www.google.com/search?q=MARGERY+HAUTE+1492+1540+ISAACKE_x000D_
.born:c1492    -          Bishops Bourne (Kent) England_x000D_
.died:c1540    -          Kent county England, age:48y 0m 0d, _x000D_
.bapt: 1785GE_x000D_
.will: 2004MO_x000D_
.obit: 1890OH_x000D_
.bury: 1850IL _x000D_
.wpbt: 1826PA_x000D_
.anc#:ancestor_x000D_
citiz:foreign_x000D_
#spos:1_x000D_
#srcs:1_x000D_
#comment:0_x000D_
#events:1_x000D_
#kids:1_x000D_
lived:ENKENT BISHOPB_x000D_
issue:Died after Age 100_x000D_
.recs:Birth,Marriage,Death_x000D_
.imm?:no_x000D_
..Spo:WILLIAM ISAACKE</t>
        </r>
      </text>
    </comment>
    <comment ref="V3722" authorId="0" shapeId="0" xr:uid="{4E294410-3E3D-4851-8A90-ABFCB4569FAE}">
      <text>
        <r>
          <rPr>
            <sz val="9"/>
            <color indexed="81"/>
            <rFont val="Tahoma"/>
            <family val="2"/>
          </rPr>
          <t>HENRY FROWICKE_x000D_
http://yeinfo.com/family/I09066131.html_x000D_
https://www.google.com/search?q=HENRY+FROWICKE+1345+1386+ALICE_x000D_
.born: 1345    -          Middlesex county England_x000D_
.died: 138606  -          Hertsmere (Hertfordshire) England, age:41y 5m 0d, _x000D_
.bapt: 1785GE_x000D_
.will: 2004MO_x000D_
.obit: 1890OH_x000D_
.bury: 1850IL _x000D_
.wpbt: 1826PA_x000D_
.anc#:double ancestor_x000D_
citiz:foreign_x000D_
#spos:1_x000D_
#srcs:1_x000D_
#comment:1_x000D_
#events:1_x000D_
#kids:1_x000D_
lived:ENHERTFHERTSME,ENMIDDL_x000D_
issue:_x000D_
.recs:Birth,Marriage,Death_x000D_
.imm?:no_x000D_
..Spo:ALICE CORNWALL</t>
        </r>
      </text>
    </comment>
    <comment ref="U3724" authorId="0" shapeId="0" xr:uid="{3458B1F1-005D-43CB-B590-D83781AB6E47}">
      <text>
        <r>
          <rPr>
            <sz val="9"/>
            <color indexed="81"/>
            <rFont val="Tahoma"/>
            <family val="2"/>
          </rPr>
          <t>HENRY FROWICKE_x000D_
http://yeinfo.com/family/I09065957.html_x000D_
https://www.google.com/search?q=HENRY+FROWICKE+1384+1460+ISABEL_x000D_
.born:c1384    -          Middlesex county England_x000D_
.died: 146003  -          Middlesex county England, age:76y 2m 0d, _x000D_
.bapt: 1785GE_x000D_
.will: 2004MO_x000D_
.obit: 1890OH_x000D_
.bury: 1850IL _x000D_
.wpbt: 1826PA_x000D_
.anc#:double ancestor_x000D_
citiz:foreign_x000D_
#spos:1_x000D_
#srcs:1_x000D_
#comment:0_x000D_
#events:1_x000D_
#kids:2_x000D_
lived:ENMIDDL_x000D_
issue:_x000D_
.recs:Birth,Marriage,Death_x000D_
.imm?:no_x000D_
..Spo:ISABEL OTIS</t>
        </r>
      </text>
    </comment>
    <comment ref="V3726" authorId="0" shapeId="0" xr:uid="{20478323-0B55-411C-A1E9-63FC82F753B0}">
      <text>
        <r>
          <rPr>
            <sz val="9"/>
            <color indexed="81"/>
            <rFont val="Tahoma"/>
            <family val="2"/>
          </rPr>
          <t>ALICE CORNWALL_x000D_
http://yeinfo.com/family/I09066132.html_x000D_
https://www.google.com/search?q=ALICE+CORNWALL+1350+1416+FROWICKE_x000D_
.born:?1350    -         ?England_x000D_
.died: 1416    -         ?England, age:66y 0m 0d, _x000D_
.bapt: 1785GE_x000D_
.will: 2004MO_x000D_
.obit: 1890OH_x000D_
.bury: 1850IL _x000D_
.wpbt: 1826PA_x000D_
.anc#:double ancestor_x000D_
citiz:foreign_x000D_
#spos:1_x000D_
#srcs:2_x000D_
#comment:1_x000D_
#events:1_x000D_
#kids:1_x000D_
lived:?EN_x000D_
issue:Died after Age 100_x000D_
.recs:Birth,Marriage,Death_x000D_
.imm?:no_x000D_
..Spo:HENRY FROWICKE</t>
        </r>
      </text>
    </comment>
    <comment ref="T3728" authorId="0" shapeId="0" xr:uid="{02E113ED-E4A0-4CDA-8AE5-D132A55E1F34}">
      <text>
        <r>
          <rPr>
            <sz val="9"/>
            <color indexed="81"/>
            <rFont val="Tahoma"/>
            <family val="2"/>
          </rPr>
          <t>THOMAS FROWICKE_x000D_
http://yeinfo.com/family/I09065847.html_x000D_
https://www.google.com/search?q=THOMAS+FROWICKE+1423+1485+JOAN_x000D_
.born: 1423    -          Bishops Bourne (Kent) England_x000D_
.died: 14850926-          Middlesex county England, age:62y 8m 25d, _x000D_
.bapt: 1785GE_x000D_
.will: 2004MO_x000D_
.obit: 1890OH_x000D_
.bury: 1850IL _x000D_
.wpbt: 1826PA_x000D_
.anc#:ancestor_x000D_
citiz:foreign_x000D_
#spos:1_x000D_
#srcs:1_x000D_
#comment:0_x000D_
#events:1_x000D_
#kids:1_x000D_
lived:ENKENT BISHOPB,ENMIDDL_x000D_
issue:Died after Age 100_x000D_
.recs:Birth,Marriage,Death_x000D_
.imm?:no_x000D_
..Spo:JOAN STOURTON</t>
        </r>
      </text>
    </comment>
    <comment ref="V3730" authorId="0" shapeId="0" xr:uid="{D8FD3954-4C47-4E88-A348-423036F2CA1D}">
      <text>
        <r>
          <rPr>
            <sz val="9"/>
            <color indexed="81"/>
            <rFont val="Tahoma"/>
            <family val="2"/>
          </rPr>
          <t>WILLIAM OTIS_x000D_
http://yeinfo.com/family/I09066133.html_x000D_
https://www.google.com/search?q=WILLIAM+OTIS+1375+1399+{_?_}_x000D_
.born:?1375    -         ?England_x000D_
.died: 1399    -1465     ?England, age:24y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..Spo:{_?_} OTIS</t>
        </r>
      </text>
    </comment>
    <comment ref="U3732" authorId="0" shapeId="0" xr:uid="{B5130C05-668D-4895-B428-BC3F37ADBA79}">
      <text>
        <r>
          <rPr>
            <sz val="9"/>
            <color indexed="81"/>
            <rFont val="Tahoma"/>
            <family val="2"/>
          </rPr>
          <t>ISABEL OTIS_x000D_
http://yeinfo.com/family/I09065958.html_x000D_
https://www.google.com/search?q=ISABEL+OTIS+1399+1465+FROWICKE_x000D_
.born: 1399    -          Middlesex county England_x000D_
.died: 14650805-          London (Middlesex) England, age:66y 7m 4d, _x000D_
.bapt: 1785GE_x000D_
.will: 2004MO_x000D_
.obit: 1890OH_x000D_
.bury: 1850IL _x000D_
.wpbt: 1826PA_x000D_
.anc#:double ancestor_x000D_
citiz:foreign_x000D_
#spos:1_x000D_
#srcs:2_x000D_
#comment:0_x000D_
#events:1_x000D_
#kids:2_x000D_
lived:ENMIDDLLONDON_x000D_
issue:Died after Age 100_x000D_
.recs:Birth,Marriage,Death_x000D_
.imm?:no_x000D_
..Spo:HENRY FROWICKE</t>
        </r>
      </text>
    </comment>
    <comment ref="V3734" authorId="0" shapeId="0" xr:uid="{D78DAB00-E306-4526-A3BC-1770DD6499D3}">
      <text>
        <r>
          <rPr>
            <sz val="9"/>
            <color indexed="81"/>
            <rFont val="Tahoma"/>
            <family val="2"/>
          </rPr>
          <t>Mrs. {_?_} OTIS_x000D_
http://yeinfo.com/family/I09066134.html_x000D_
https://www.google.com/search?q={_?_}+OTIS+1375+1399+OTIS_x000D_
.born:?1375    -         ?England_x000D_
.died: 1399    -1465     ?England, age:24y 0m 0d, _x000D_
.bapt: 1785GE_x000D_
.will: 2004MO_x000D_
.obit: 1890OH_x000D_
.bury: 1850IL _x000D_
.wpbt: 1826PA_x000D_
.anc#:double ancestor_x000D_
citiz:foreign_x000D_
#spos:1_x000D_
#srcs:0_x000D_
#comment:0_x000D_
#events:1_x000D_
#kids:1_x000D_
lived:?EN_x000D_
issue:_x000D_
.recs:Birth,Marriage,Death_x000D_
.imm?:no_x000D_
..Spo:WILLIAM OTIS</t>
        </r>
      </text>
    </comment>
    <comment ref="S3736" authorId="0" shapeId="0" xr:uid="{FD431715-E013-446D-9BC5-7C6A8260A3BE}">
      <text>
        <r>
          <rPr>
            <sz val="9"/>
            <color indexed="81"/>
            <rFont val="Tahoma"/>
            <family val="2"/>
          </rPr>
          <t>ISABEL FROWICKE_x000D_
http://yeinfo.com/family/I09065709.html_x000D_
https://www.google.com/search?q=ISABEL+FROWICKE+1464+1492+HAUTE_x000D_
.born: 1464    -          Bishops Bourne (Kent) England_x000D_
.died: 1492    -1527      Bishops Bourne (Kent) England, age:28y 0m 0d, _x000D_
.bapt: 1785GE_x000D_
.will: 2004MO_x000D_
.obit: 1890OH_x000D_
.bury: 1850IL _x000D_
.wpbt: 1826PA_x000D_
.anc#:ancestor_x000D_
citiz:foreign_x000D_
#spos:1_x000D_
#srcs:1_x000D_
#comment:0_x000D_
#events:1_x000D_
#kids:1_x000D_
lived:ENKENT BISHOPB_x000D_
issue:Died after Age 100_x000D_
.recs:Birth,Marriage,Death_x000D_
.imm?:no_x000D_
..Spo:THOMAS HAUTE</t>
        </r>
      </text>
    </comment>
    <comment ref="V3738" authorId="0" shapeId="0" xr:uid="{8FDC5BFE-DE0D-42AE-A871-91A05F42D41F}">
      <text>
        <r>
          <rPr>
            <sz val="9"/>
            <color indexed="81"/>
            <rFont val="Tahoma"/>
            <family val="2"/>
          </rPr>
          <t>JOHN STOURTON_x000D_
http://yeinfo.com/family/I09066213.html_x000D_
https://www.google.com/search?q=JOHN+STOURTON+1361+1405+JANE_x000D_
.born:p1361    -          Stourton (Wiltshire) England_x000D_
.died: 1405    -          Yeovil (Somerset) England, age:44y 0m 0d, _x000D_
.bapt: 1785GE_x000D_
.will: 2004MO_x000D_
.obit: 1890OH_x000D_
.bury: 1850IL _x000D_
.wpbt: 1826PA_x000D_
.anc#:ancestor_x000D_
citiz:foreign_x000D_
#spos:1_x000D_
#srcs:1_x000D_
#comment:0_x000D_
#events:1_x000D_
#kids:1_x000D_
lived:ENSOMESYEOVIL,ENWILTSSTOURTO_x000D_
issue:Died after Age 100_x000D_
.recs:Birth,Marriage,Death_x000D_
.imm?:no_x000D_
..Spo:JANE BASSET</t>
        </r>
      </text>
    </comment>
    <comment ref="U3740" authorId="0" shapeId="0" xr:uid="{425AB8C5-3140-4DEC-8CD3-48BC877B18D6}">
      <text>
        <r>
          <rPr>
            <sz val="9"/>
            <color indexed="81"/>
            <rFont val="Tahoma"/>
            <family val="2"/>
          </rPr>
          <t>RICHARD STOURTON_x000D_
http://yeinfo.com/family/I09066025.html_x000D_
https://www.google.com/search?q=RICHARD+STOURTON+1390+1457+JOAN_x000D_
.born:c1390    -          Yeovil (Somerset) England_x000D_
.died: 14570601-          London (Middlesex) England, age:67y 5m 0d, _x000D_
.bapt: 1785GE_x000D_
.will: 2004MO_x000D_
.obit: 1890OH_x000D_
.bury: 1850IL _x000D_
.wpbt: 1826PA_x000D_
.anc#:ancestor_x000D_
citiz:foreign_x000D_
#spos:1_x000D_
#srcs:1_x000D_
#comment:0_x000D_
#events:1_x000D_
#kids:1_x000D_
lived:ENMIDDLLONDON,ENSOMESYEOVIL_x000D_
issue:_x000D_
.recs:Birth,Marriage,Death_x000D_
.imm?:no_x000D_
..Spo:JOAN COTTON</t>
        </r>
      </text>
    </comment>
    <comment ref="W3742" authorId="0" shapeId="0" xr:uid="{A75B3971-BA34-4800-A028-CAD974B94524}">
      <text>
        <r>
          <rPr>
            <sz val="9"/>
            <color indexed="81"/>
            <rFont val="Tahoma"/>
            <family val="2"/>
          </rPr>
          <t>RALPH BASSET_x000D_
http://yeinfo.com/family/I09066367.html_x000D_
https://www.google.com/search?q=RALPH+BASSET+1335+1390+JOAN_x000D_
.born:c1335    -          Sapcote (Leicestershire) England_x000D_
.died: 13900510-         ?England, age:55y 4m 9d, _x000D_
.bapt: 1785GE_x000D_
.will: 2004MO_x000D_
.obit: 1890OH_x000D_
.bury: 1850IL _x000D_
.wpbt: 1826PA_x000D_
.anc#:ancestor_x000D_
citiz:foreign_x000D_
#spos:1_x000D_
#srcs:2_x000D_
#comment:1_x000D_
#events:1_x000D_
#kids:1_x000D_
lived:ENLEICESAPCOTE_x000D_
issue:_x000D_
.recs:Birth,Marriage,Death_x000D_
.imm?:no_x000D_
..Spo:JOAN BEAUCHAMP</t>
        </r>
      </text>
    </comment>
    <comment ref="V3744" authorId="0" shapeId="0" xr:uid="{6C8B1074-176F-43A3-A02B-56003F378D5E}">
      <text>
        <r>
          <rPr>
            <sz val="9"/>
            <color indexed="81"/>
            <rFont val="Tahoma"/>
            <family val="2"/>
          </rPr>
          <t>JANE BASSET_x000D_
http://yeinfo.com/family/I09066214.html_x000D_
https://www.google.com/search?q=JANE+BASSET+1368+1394+STOURTON_x000D_
.born:c1368    -          Glastonbury (Somerset) England_x000D_
.died: 1394    -          , age:26y 0m 0d, _x000D_
.bapt: 1785GE_x000D_
.will: 2004MO_x000D_
.obit: 1890OH_x000D_
.bury: 1850IL _x000D_
.wpbt: 1826PA_x000D_
.anc#:ancestor_x000D_
citiz:foreign_x000D_
#spos:1_x000D_
#srcs:2_x000D_
#comment:0_x000D_
#events:1_x000D_
#kids:1_x000D_
lived:ENSOMESGLASTBU_x000D_
issue:Died after Age 100_x000D_
.recs:Birth,Marriage,Death_x000D_
.imm?:no_x000D_
..Spo:JOHN STOURTON</t>
        </r>
      </text>
    </comment>
    <comment ref="AA3746" authorId="0" shapeId="0" xr:uid="{8F73C9C5-F16A-4A7B-8553-07853194040A}">
      <text>
        <r>
          <rPr>
            <sz val="9"/>
            <color indexed="81"/>
            <rFont val="Tahoma"/>
            <family val="2"/>
          </rPr>
          <t>WILLIAM BEAUCHAMP_x000D_
http://yeinfo.com/family/I09066667.html_x000D_
https://www.google.com/search?q=WILLIAM+BEAUCHAMP+1215+1268+ISABEL_x000D_
.born:c1215    -          Elmley Castle (Worcestershire) England_x000D_
.died: 12680605-          Elmley Castle (Worcestershire) England, age:53y 5m 4d, _x000D_
.bapt: 1785GE_x000D_
.will: 2004MO_x000D_
.obit: 1890OH_x000D_
.bury: 1850IL _x000D_
.wpbt: 1826PA_x000D_
.anc#: quintuple ancestor_x000D_
citiz:foreign_x000D_
#spos:1_x000D_
#srcs:2_x000D_
#comment:1_x000D_
#events:1_x000D_
#kids:1_x000D_
lived:ENWORCSELMLEY_x000D_
issue:_x000D_
.recs:Birth,Marriage,Death_x000D_
.imm?:no_x000D_
..Spo:ISABEL MAUDUIT</t>
        </r>
      </text>
    </comment>
    <comment ref="Z3748" authorId="0" shapeId="0" xr:uid="{9A356EAC-F35A-4A91-81B2-6EBFCD9BC90D}">
      <text>
        <r>
          <rPr>
            <sz val="9"/>
            <color indexed="81"/>
            <rFont val="Tahoma"/>
            <family val="2"/>
          </rPr>
          <t>WILLIAM BEAUCHAMP_x000D_
http://yeinfo.com/family/I09066645.html_x000D_
https://www.google.com/search?q=WILLIAM+BEAUCHAMP+1237+1262+MAUD_x000D_
.born: 1237    -          Elmley Castle (Worcestershire) England_x000D_
.died: 1262    -1327      , age:25y 0m 0d, _x000D_
.bapt: 1785GE_x000D_
.will: 2004MO_x000D_
.obit: 1890OH_x000D_
.bury: 1850IL _x000D_
.wpbt: 1826PA_x000D_
.anc#: quintuple ancestor_x000D_
citiz:foreign_x000D_
#spos:1_x000D_
#srcs:2_x000D_
#comment:0_x000D_
#events:1_x000D_
#kids:1_x000D_
lived:ENWORCSELMLEY_x000D_
issue:_x000D_
.recs:Birth,Marriage,Death_x000D_
.imm?:no_x000D_
..Spo:MAUD FITZJOHN</t>
        </r>
      </text>
    </comment>
    <comment ref="AA3750" authorId="0" shapeId="0" xr:uid="{F9C0402F-26DC-4759-A558-C03039219C77}">
      <text>
        <r>
          <rPr>
            <sz val="9"/>
            <color indexed="81"/>
            <rFont val="Tahoma"/>
            <family val="2"/>
          </rPr>
          <t>ISABEL MAUDUIT_x000D_
http://yeinfo.com/family/I09066668.html_x000D_
https://www.google.com/search?q=ISABEL+MAUDUIT+1216+1268+BEAUCHAMP_x000D_
.born: 12161227-          Hanslope (Buckinghamshire) England_x000D_
.died: 12680107-          Cookhill (Worcestershire) England, age:51y 0m 11d, _x000D_
.bapt: 1785GE_x000D_
.will: 2004MO_x000D_
.obit: 1890OH_x000D_
.bury: 1850IL _x000D_
.wpbt: 1826PA_x000D_
.anc#: quintuple ancestor_x000D_
citiz:foreign_x000D_
#spos:1_x000D_
#srcs:1_x000D_
#comment:1_x000D_
#events:1_x000D_
#kids:1_x000D_
lived:ENBUCKEHANSLOP,ENWORCSCOOKHIL_x000D_
issue:_x000D_
.recs:Birth,Marriage,Death_x000D_
.imm?:no_x000D_
..Spo:WILLIAM BEAUCHAMP</t>
        </r>
      </text>
    </comment>
    <comment ref="Y3752" authorId="0" shapeId="0" xr:uid="{BA2FFACE-205E-4832-B8C2-7D9E795C99AB}">
      <text>
        <r>
          <rPr>
            <sz val="9"/>
            <color indexed="81"/>
            <rFont val="Tahoma"/>
            <family val="2"/>
          </rPr>
          <t>GUY BEAUCHAMP_x000D_
http://yeinfo.com/family/I09066586.html_x000D_
https://www.google.com/search?q=GUY+BEAUCHAMP+1262+1315+ALICE_x000D_
.born: 1262    -          Elmley Castle (Worcestershire) England_x000D_
.died: 13150810-          Warwick (Warwickshire) England, age:53y 7m 9d, _x000D_
.bapt: 1785GE_x000D_
.will: 2004MO_x000D_
.obit: 1890OH_x000D_
.bury: 1850IL _x000D_
.wpbt: 1826PA_x000D_
.anc#: quintuple ancestor_x000D_
citiz:foreign_x000D_
#spos:1_x000D_
#srcs:2_x000D_
#comment:1_x000D_
#events:1_x000D_
#kids:1_x000D_
lived:ENWARWEWARWICK,ENWORCSELMLEY_x000D_
issue:_x000D_
.recs:Birth,Marriage,Death_x000D_
.imm?:no_x000D_
..Spo:ALICE TOENI</t>
        </r>
      </text>
    </comment>
    <comment ref="Z3754" authorId="0" shapeId="0" xr:uid="{FFF19C09-4E89-457C-A5A8-18CEFC113C46}">
      <text>
        <r>
          <rPr>
            <sz val="9"/>
            <color indexed="81"/>
            <rFont val="Tahoma"/>
            <family val="2"/>
          </rPr>
          <t>MAUD FITZJOHN_x000D_
http://yeinfo.com/family/I09066646.html_x000D_
https://www.google.com/search?q=MAUD+FITZJOHN+1237+1301+BEAUCHAMP_x000D_
.born: 1237    -          Shere (Surrey) England_x000D_
.died:?13010416-          Worcester (Worcestershire) England, age:64y 3m 15d, _x000D_
.bapt: 1785GE_x000D_
.will: 2004MO_x000D_
.obit: 1890OH_x000D_
.bury: 1850IL _x000D_
.wpbt: 1826PA_x000D_
.anc#: quintuple ancestor_x000D_
citiz:foreign_x000D_
#spos:1_x000D_
#srcs:1_x000D_
#comment:0_x000D_
#events:1_x000D_
#kids:1_x000D_
lived:ENSURRESHERE,ENWORCSWORCEST_x000D_
issue:_x000D_
.recs:Birth,Marriage,Death_x000D_
.imm?:no_x000D_
..Spo:WILLIAM BEAUCHAMP</t>
        </r>
      </text>
    </comment>
    <comment ref="X3756" authorId="0" shapeId="0" xr:uid="{A0366BF0-B4E9-4675-BCCB-FB917771EFD3}">
      <text>
        <r>
          <rPr>
            <sz val="9"/>
            <color indexed="81"/>
            <rFont val="Tahoma"/>
            <family val="2"/>
          </rPr>
          <t>THOMAS BEAUCHAMP_x000D_
http://yeinfo.com/family/I09066534.html_x000D_
https://www.google.com/search?q=THOMAS+BEAUCHAMP+1313+1369+KATHERINE_x000D_
.born: 13130214-          Warwickshire county England_x000D_
.died: 13691113-          , age:56y 8m 30d, _x000D_
.bapt: 1785GE_x000D_
.will: 2004MO_x000D_
.obit: 1890OH_x000D_
.bury: 1850IL _x000D_
.wpbt: 1826PA_x000D_
.anc#: quintuple ancestor_x000D_
citiz:foreign_x000D_
#spos:1_x000D_
#srcs:2_x000D_
#comment:1_x000D_
#events:1_x000D_
#kids:3_x000D_
lived:ENWARWE_x000D_
issue:_x000D_
.recs:Birth,Marriage,Death_x000D_
.imm?:no_x000D_
..Spo:KATHERINE MORTIMER</t>
        </r>
      </text>
    </comment>
    <comment ref="AA3758" authorId="0" shapeId="0" xr:uid="{66CB4CDF-3BCE-497A-98DA-98AE5BC2C530}">
      <text>
        <r>
          <rPr>
            <sz val="9"/>
            <color indexed="81"/>
            <rFont val="Tahoma"/>
            <family val="2"/>
          </rPr>
          <t>ROGER TOENI_x000D_
http://yeinfo.com/family/I09066669.html_x000D_
https://www.google.com/search?q=ROGER+TOENI+1235+1255+ALICE\CECILIA_x000D_
.born: 12350929-          Flamstead (Hertfordshire) England_x000D_
.died: 1255    -1325      Flamstead (Hertfordshire) England, age:19y 3m 3d, _x000D_
.bapt: 1785GE_x000D_
.will: 2004MO_x000D_
.obit: 1890OH_x000D_
.bury: 1850IL _x000D_
.wpbt: 1826PA_x000D_
.anc#: quintuple ancestor_x000D_
citiz:foreign_x000D_
#spos:1_x000D_
#srcs:1_x000D_
#comment:1_x000D_
#events:1_x000D_
#kids:1_x000D_
lived:ENHERTFFLAMSTE_x000D_
issue:_x000D_
.recs:Birth,Marriage,Death_x000D_
.imm?:no_x000D_
..Spo:ALICE\CECILIA BOHUN</t>
        </r>
      </text>
    </comment>
    <comment ref="Z3760" authorId="0" shapeId="0" xr:uid="{CFF83162-5228-4ADD-BB72-E2A2FA69072F}">
      <text>
        <r>
          <rPr>
            <sz val="9"/>
            <color indexed="81"/>
            <rFont val="Tahoma"/>
            <family val="2"/>
          </rPr>
          <t>RALPH\RAOUI TOENI_x000D_
http://yeinfo.com/family/I09066647.html_x000D_
https://www.google.com/search?q=RALPH\RAOUI+TOENI+1253+1295+MARY+CLARISSA_x000D_
.born: 12531225-          Flamstead (Hertfordshire) England_x000D_
.died: 12950527-          Gascony (Guyenne) France, age:41y 5m 2d, _x000D_
.bapt: 1785GE_x000D_
.will: 2004MO_x000D_
.obit: 1890OH_x000D_
.bury: 1850IL _x000D_
.wpbt: 1826PA_x000D_
.anc#: quintuple ancestor_x000D_
citiz:foreign_x000D_
#spos:1_x000D_
#srcs:1_x000D_
#comment:0_x000D_
#events:1_x000D_
#kids:1_x000D_
lived:ENHERTFFLAMSTE,FRGUYENGASCONY_x000D_
issue:_x000D_
.recs:Birth,Marriage,Death_x000D_
.imm?:no_x000D_
..Spo:MARY CLARISSA BRUCE</t>
        </r>
      </text>
    </comment>
    <comment ref="AD3762" authorId="0" shapeId="0" xr:uid="{FFF6BB78-E932-4D43-8953-770B71C2BDC7}">
      <text>
        <r>
          <rPr>
            <sz val="9"/>
            <color indexed="81"/>
            <rFont val="Tahoma"/>
            <family val="2"/>
          </rPr>
          <t>FRANCIS BOHUN_x000D_
http://yeinfo.com/family/I09066676.html_x000D_
https://www.google.com/search?q=FRANCIS+BOHUN+1165+1185+MARGERY_x000D_
.born:?1165    -         ?England_x000D_
.died: 1185    -1255     ?England, age:20y 0m 0d, _x000D_
.bapt: 1785GE_x000D_
.will: 2004MO_x000D_
.obit: 1890OH_x000D_
.bury: 1850IL _x000D_
.wpbt: 1826PA_x000D_
.anc#: quintuple ancestor_x000D_
citiz:foreign_x000D_
#spos:1_x000D_
#srcs:1_x000D_
#comment:1_x000D_
#events:1_x000D_
#kids:1_x000D_
lived:?EN_x000D_
issue:Married before Age 16,Died before Birth_x000D_
.recs:Birth,Marriage,Death_x000D_
.imm?:no_x000D_
..Spo:MARGERY LACY</t>
        </r>
      </text>
    </comment>
    <comment ref="AC3764" authorId="0" shapeId="0" xr:uid="{67B2BA59-EC74-4216-AE29-F6869AA282E8}">
      <text>
        <r>
          <rPr>
            <sz val="9"/>
            <color indexed="81"/>
            <rFont val="Tahoma"/>
            <family val="2"/>
          </rPr>
          <t>JAMES BOHUN_x000D_
http://yeinfo.com/family/I09066674.html_x000D_
https://www.google.com/search?q=JAMES+BOHUN+1185+1208+{_?_}_x000D_
.born:?1185    -         ?England_x000D_
.died: 1208    -1275     ?England, age:23y 0m 0d, _x000D_
.bapt: 1785GE_x000D_
.will: 2004MO_x000D_
.obit: 1890OH_x000D_
.bury: 1850IL _x000D_
.wpbt: 1826PA_x000D_
.anc#: quintuple ancestor_x000D_
citiz:foreign_x000D_
#spos:1_x000D_
#srcs:1_x000D_
#comment:0_x000D_
#events:1_x000D_
#kids:1_x000D_
lived:?EN_x000D_
issue:Born before Parents Married,Married before Age 16,Died before Birth_x000D_
.recs:Birth,Marriage,Death_x000D_
.imm?:no_x000D_
..Spo:{_?_} BOHUN</t>
        </r>
      </text>
    </comment>
    <comment ref="AD3766" authorId="0" shapeId="0" xr:uid="{E2C12745-8A59-4CCA-8E95-AFAA11262D2C}">
      <text>
        <r>
          <rPr>
            <sz val="9"/>
            <color indexed="81"/>
            <rFont val="Tahoma"/>
            <family val="2"/>
          </rPr>
          <t>MARGERY LACY_x000D_
http://yeinfo.com/family/I09066677.html_x000D_
https://www.google.com/search?q=MARGERY+LACY+1165+1185+BOHUN_x000D_
.born:?1165    -          _x000D_
.died: 1185    -1255     ?England, age:20y 0m 0d, _x000D_
.bapt: 1785GE_x000D_
.will: 2004MO_x000D_
.obit: 1890OH_x000D_
.bury: 1850IL _x000D_
.wpbt: 1826PA_x000D_
.anc#: quintuple ancestor_x000D_
citiz:foreign_x000D_
#spos:1_x000D_
#srcs:1_x000D_
#comment:0_x000D_
#events:1_x000D_
#kids:1_x000D_
lived:?EN_x000D_
issue:Married before Age 16,Died before Birth_x000D_
.recs:Birth,Marriage,Death_x000D_
.imm?:no_x000D_
..Spo:FRANCIS BOHUN</t>
        </r>
      </text>
    </comment>
    <comment ref="AB3768" authorId="0" shapeId="0" xr:uid="{2C1E9C04-CABD-42F8-98D5-BFDA3B94BE35}">
      <text>
        <r>
          <rPr>
            <sz val="9"/>
            <color indexed="81"/>
            <rFont val="Tahoma"/>
            <family val="2"/>
          </rPr>
          <t>HUMPHREY BOHUN_x000D_
http://yeinfo.com/family/I09066672.html_x000D_
https://www.google.com/search?q=HUMPHREY+BOHUN+1208+1275+MAUD_x000D_
.born:?12080506-          Essex county England_x000D_
.died: 1275    -         ?England, age:66y 7m 26d, _x000D_
.bapt: 1785GE_x000D_
.will: 2004MO_x000D_
.obit: 1890OH_x000D_
.bury: 1850IL _x000D_
.wpbt: 1826PA_x000D_
.anc#: quintuple ancestor_x000D_
citiz:foreign_x000D_
#spos:1_x000D_
#srcs:1_x000D_
#comment:1_x000D_
#events:2_x000D_
#kids:1_x000D_
lived:ENESSEX_x000D_
issue:Born before Parents Married_x000D_
.recs:Birth,Marriage,Death_x000D_
.imm?:no_x000D_
..Spo:MAUD LUSIGNAN</t>
        </r>
      </text>
    </comment>
    <comment ref="AC3770" authorId="0" shapeId="0" xr:uid="{9D88DCCA-3538-4CCD-B1EA-BC43B8F24DB2}">
      <text>
        <r>
          <rPr>
            <sz val="9"/>
            <color indexed="81"/>
            <rFont val="Tahoma"/>
            <family val="2"/>
          </rPr>
          <t>Mrs. {_?_} BOHUN_x000D_
http://yeinfo.com/family/I09066675.html_x000D_
https://www.google.com/search?q={_?_}+BOHUN+1185+1208+BOHUN_x000D_
.born:?1185    -          _x000D_
.died: 1208    -1275     ?England, age:23y 0m 0d, _x000D_
.bapt: 1785GE_x000D_
.will: 2004MO_x000D_
.obit: 1890OH_x000D_
.bury: 1850IL _x000D_
.wpbt: 1826PA_x000D_
.anc#: quintuple ancestor_x000D_
citiz:foreign_x000D_
#spos:1_x000D_
#srcs:1_x000D_
#comment:0_x000D_
#events:1_x000D_
#kids:1_x000D_
lived:?EN_x000D_
issue:_x000D_
.recs:Birth,Marriage,Death_x000D_
.imm?:no_x000D_
..Spo:JAMES BOHUN</t>
        </r>
      </text>
    </comment>
    <comment ref="AA3772" authorId="0" shapeId="0" xr:uid="{3BBD1285-0FAC-4513-BA9A-1618130C4AE5}">
      <text>
        <r>
          <rPr>
            <sz val="9"/>
            <color indexed="81"/>
            <rFont val="Tahoma"/>
            <family val="2"/>
          </rPr>
          <t>ALICE\CECILIA BOHUN_x000D_
http://yeinfo.com/family/I09066670.html_x000D_
https://www.google.com/search?q=ALICE\CECILIA+BOHUN+1242+1262+TOENI_x000D_
.born: 124209  -          Flamstead (Hertfordshire) England_x000D_
.died: 1262    -1332      , age:19y 4m 0d, _x000D_
.bapt: 1785GE_x000D_
.will: 2004MO_x000D_
.obit: 1890OH_x000D_
.bury: 1850IL _x000D_
.wpbt: 1826PA_x000D_
.anc#: quintuple ancestor_x000D_
citiz:foreign_x000D_
#spos:1_x000D_
#srcs:1_x000D_
#comment:0_x000D_
#events:1_x000D_
#kids:1_x000D_
lived:ENHERTFFLAMSTE_x000D_
issue:Died after Age 100_x000D_
.recs:Birth,Marriage,Death_x000D_
.imm?:no_x000D_
..Spo:ROGER TOENI</t>
        </r>
      </text>
    </comment>
    <comment ref="AB3774" authorId="0" shapeId="0" xr:uid="{A53C1DDB-E07F-4D84-8156-9A331AABE1E9}">
      <text>
        <r>
          <rPr>
            <sz val="9"/>
            <color indexed="81"/>
            <rFont val="Tahoma"/>
            <family val="2"/>
          </rPr>
          <t>MAUD LUSIGNAN_x000D_
http://yeinfo.com/family/I09066673.html_x000D_
https://www.google.com/search?q=MAUD+LUSIGNAN+1220+1242+BOHUN_x000D_
.born:?1220    -          _x000D_
.died: 1242    -1310     ?England, age:22y 0m 0d, _x000D_
.bapt: 1785GE_x000D_
.will: 2004MO_x000D_
.obit: 1890OH_x000D_
.bury: 1850IL _x000D_
.wpbt: 1826PA_x000D_
.anc#: quintuple ancestor_x000D_
citiz:foreign_x000D_
#spos:1_x000D_
#srcs:1_x000D_
#comment:0_x000D_
#events:1_x000D_
#kids:1_x000D_
lived:?EN_x000D_
issue:_x000D_
.recs:Birth,Marriage,Death_x000D_
.imm?:no_x000D_
..Spo:HUMPHREY BOHUN</t>
        </r>
      </text>
    </comment>
    <comment ref="Y3776" authorId="0" shapeId="0" xr:uid="{76AFB94E-A7AC-4135-B6E7-B148A54DD700}">
      <text>
        <r>
          <rPr>
            <sz val="9"/>
            <color indexed="81"/>
            <rFont val="Tahoma"/>
            <family val="2"/>
          </rPr>
          <t>ALICE TOENI_x000D_
http://yeinfo.com/family/I09066587.html_x000D_
https://www.google.com/search?q=ALICE+TOENI+1284+1313+BEAUCHAMP_x000D_
.born: 12840426-          Flamstead (Hertfordshire) England_x000D_
.died: 1313    -1374      Flamstead (Hertfordshire) England, age:28y 8m 6d, _x000D_
.bapt: 1785GE_x000D_
.will: 2004MO_x000D_
.obit: 1890OH_x000D_
.bury: 1850IL _x000D_
.wpbt: 1826PA_x000D_
.anc#: quintuple ancestor_x000D_
citiz:foreign_x000D_
#spos:1_x000D_
#srcs:1_x000D_
#comment:1_x000D_
#events:1_x000D_
#kids:1_x000D_
lived:ENHERTFFLAMSTE_x000D_
issue:_x000D_
.recs:Birth,Marriage,Death_x000D_
.imm?:no_x000D_
..Spo:GUY BEAUCHAMP</t>
        </r>
      </text>
    </comment>
    <comment ref="Z3778" authorId="0" shapeId="0" xr:uid="{35B1B6C2-6A73-485E-B993-19A73B6320B2}">
      <text>
        <r>
          <rPr>
            <sz val="9"/>
            <color indexed="81"/>
            <rFont val="Tahoma"/>
            <family val="2"/>
          </rPr>
          <t>MARY CLARISSA BRUCE_x000D_
http://yeinfo.com/family/I09066648.html_x000D_
https://www.google.com/search?q=MARY+CLARISSA+BRUCE+1255+1284+TOENI_x000D_
.born: 1255    -          Flamstead (Hertfordshire) England_x000D_
.died: 1284    -          England, age:29y 0m 0d, _x000D_
.bapt: 1785GE_x000D_
.will: 2004MO_x000D_
.obit: 1890OH_x000D_
.bury: 1850IL _x000D_
.wpbt: 1826PA_x000D_
.anc#: quintuple ancestor_x000D_
citiz:foreign_x000D_
#spos:1_x000D_
#srcs:1_x000D_
#comment:0_x000D_
#events:1_x000D_
#kids:1_x000D_
lived:ENHERTFFLAMSTE_x000D_
issue:_x000D_
.recs:Birth,Marriage,Death_x000D_
.imm?:no_x000D_
..Spo:RALPH\RAOUI TOENI</t>
        </r>
      </text>
    </comment>
    <comment ref="W3780" authorId="0" shapeId="0" xr:uid="{203FD104-7B26-4097-90F3-17457BF92CEC}">
      <text>
        <r>
          <rPr>
            <sz val="9"/>
            <color indexed="81"/>
            <rFont val="Tahoma"/>
            <family val="2"/>
          </rPr>
          <t>JOAN BEAUCHAMP_x000D_
http://yeinfo.com/family/I09066368.html_x000D_
https://www.google.com/search?q=JOAN+BEAUCHAMP+1338+1392+BASSET_x000D_
.born: 1338    -          Warwick (Warwickshire) England_x000D_
.died: 1392    -          Drayton (Staffordshire) England, age:54y 0m 0d, _x000D_
.bapt: 1785GE_x000D_
.will: 2004MO_x000D_
.obit: 1890OH_x000D_
.bury: 1850IL _x000D_
.wpbt: 1826PA_x000D_
.anc#:ancestor_x000D_
citiz:foreign_x000D_
#spos:1_x000D_
#srcs:1_x000D_
#comment:0_x000D_
#events:1_x000D_
#kids:1_x000D_
lived:ENSTAFSDRAYTON,ENWARWEWARWICK_x000D_
issue:_x000D_
.recs:Birth,Marriage,Death_x000D_
.imm?:no_x000D_
..Spo:RALPH BASSET</t>
        </r>
      </text>
    </comment>
    <comment ref="Z3782" authorId="0" shapeId="0" xr:uid="{41FBF638-57F4-4BCC-AA43-7C0686EE443E}">
      <text>
        <r>
          <rPr>
            <sz val="9"/>
            <color indexed="81"/>
            <rFont val="Tahoma"/>
            <family val="2"/>
          </rPr>
          <t>EDMUND MORTIMER_x000D_
http://yeinfo.com/family/I09066649.html_x000D_
https://www.google.com/search?q=EDMUND+MORTIMER+1252+1287+MARGARET_x000D_
.born: 12521027-          Wigmore (Herefordshire) England_x000D_
.died: 1287    -1342      Wigmore (Herefordshire) England, age:34y 2m 5d, _x000D_
.bapt: 1785GE_x000D_
.will: 2004MO_x000D_
.obit: 1890OH_x000D_
.bury: 1850IL _x000D_
.wpbt: 1826PA_x000D_
.anc#: quintuple ancestor_x000D_
citiz:foreign_x000D_
#spos:1_x000D_
#srcs:2_x000D_
#comment:1_x000D_
#events:1_x000D_
#kids:2_x000D_
lived:ENHEREFWIGMORE_x000D_
issue:_x000D_
.recs:Birth,Marriage,Death_x000D_
.imm?:no_x000D_
..Spo:MARGARET FIENNES</t>
        </r>
      </text>
    </comment>
    <comment ref="Y3784" authorId="0" shapeId="0" xr:uid="{E25D2485-2627-46A4-90D8-CEE86E508DC6}">
      <text>
        <r>
          <rPr>
            <sz val="9"/>
            <color indexed="81"/>
            <rFont val="Tahoma"/>
            <family val="2"/>
          </rPr>
          <t>ROGER MORTIMER_x000D_
http://yeinfo.com/family/I09066588.html_x000D_
https://www.google.com/search?q=ROGER+MORTIMER+1287+1330+JOAN_x000D_
.born: 12870425-          Wigmore (Herefordshire) England_x000D_
.died: 13301129-          Tyburn (Middlesex) England, age:43y 7m 4d, _x000D_
.bapt: 1785GE_x000D_
.will: 2004MO_x000D_
.obit: 1890OH_x000D_
.bury: 1850IL _x000D_
.wpbt: 1826PA_x000D_
.anc#: quintuple ancestor_x000D_
citiz:foreign_x000D_
#spos:1_x000D_
#srcs:3_x000D_
#comment:1_x000D_
#events:1_x000D_
#kids:2_x000D_
lived:ENHEREFWIGMORE,ENMIDDLTYBURN_x000D_
issue:_x000D_
.recs:Birth,Marriage,Death_x000D_
.imm?:no_x000D_
..Spo:JOAN GENEVILLE</t>
        </r>
      </text>
    </comment>
    <comment ref="Z3786" authorId="0" shapeId="0" xr:uid="{D1DB3B08-8F5E-4A8B-AFE9-80D8E465967C}">
      <text>
        <r>
          <rPr>
            <sz val="9"/>
            <color indexed="81"/>
            <rFont val="Tahoma"/>
            <family val="2"/>
          </rPr>
          <t>MARGARET FIENNES_x000D_
http://yeinfo.com/family/I09066650.html_x000D_
https://www.google.com/search?q=MARGARET+FIENNES+1262+1334+MORTIMER_x000D_
.born: 1262    -          Wigmore (Herefordshire) England_x000D_
.died: 13340207-          Wigmore (Herefordshire) England, age:72y 1m 6d, _x000D_
.bapt: 1785GE_x000D_
.will: 2004MO_x000D_
.obit: 1890OH_x000D_
.bury: 1850IL _x000D_
.wpbt: 1826PA_x000D_
.anc#: quintuple ancestor_x000D_
citiz:foreign_x000D_
#spos:1_x000D_
#srcs:2_x000D_
#comment:1_x000D_
#events:1_x000D_
#kids:2_x000D_
lived:ENHEREFWIGMORE_x000D_
issue:Died after Age 100_x000D_
.recs:Birth,Marriage,Death_x000D_
.imm?:no_x000D_
..Spo:EDMUND MORTIMER</t>
        </r>
      </text>
    </comment>
    <comment ref="X3788" authorId="0" shapeId="0" xr:uid="{930EAA92-52E2-46F3-A515-D1F310C2F6A5}">
      <text>
        <r>
          <rPr>
            <sz val="9"/>
            <color indexed="81"/>
            <rFont val="Tahoma"/>
            <family val="2"/>
          </rPr>
          <t>KATHERINE MORTIMER_x000D_
http://yeinfo.com/family/I09066535.html_x000D_
https://www.google.com/search?q=KATHERINE+MORTIMER+1314+1369+BEAUCHAMP_x000D_
.born: 1314    -          Wigmore (Herefordshire) England_x000D_
.died: 13690804-          , age:55y 7m 3d, _x000D_
.bapt: 1785GE_x000D_
.will: 2004MO_x000D_
.obit: 1890OH_x000D_
.bury: 1850IL _x000D_
.wpbt: 1826PA_x000D_
.anc#: quintuple ancestor_x000D_
citiz:foreign_x000D_
#spos:1_x000D_
#srcs:2_x000D_
#comment:0_x000D_
#events:1_x000D_
#kids:3_x000D_
lived:ENHEREFWIGMORE_x000D_
issue:_x000D_
.recs:Birth,Marriage,Death_x000D_
.imm?:no_x000D_
..Spo:THOMAS BEAUCHAMP</t>
        </r>
      </text>
    </comment>
    <comment ref="Z3790" authorId="0" shapeId="0" xr:uid="{A5B5EE5D-48B8-46AC-AD41-EE20F3B62143}">
      <text>
        <r>
          <rPr>
            <sz val="9"/>
            <color indexed="81"/>
            <rFont val="Tahoma"/>
            <family val="2"/>
          </rPr>
          <t>PIERS GENEVILLE_x000D_
http://yeinfo.com/family/I09066651.html_x000D_
https://www.google.com/search?q=PIERS+GENEVILLE+1256+1292+JEANNE\JOAN_x000D_
.born: 1256    -          Dublin (Leinster) Ireland_x000D_
.died: 12920608-          France, age:36y 5m 7d, _x000D_
.bapt: 1785GE_x000D_
.will: 2004MO_x000D_
.obit: 1890OH_x000D_
.bury: 1850IL _x000D_
.wpbt: 1826PA_x000D_
.anc#: quintuple ancestor_x000D_
citiz:foreign_x000D_
#spos:1_x000D_
#srcs:2_x000D_
#comment:1_x000D_
#events:1_x000D_
#kids:1_x000D_
lived:ENSHROPLUDLOW,FR,IRLEINSDUBLIN_x000D_
issue:_x000D_
.recs:Birth,Marriage,Death_x000D_
.imm?:no_x000D_
..Spo:JEANNE\JOAN LUSIGNAN</t>
        </r>
      </text>
    </comment>
    <comment ref="Y3792" authorId="0" shapeId="0" xr:uid="{56C2D546-1660-4D8E-9DCB-89510DAC2702}">
      <text>
        <r>
          <rPr>
            <sz val="9"/>
            <color indexed="81"/>
            <rFont val="Tahoma"/>
            <family val="2"/>
          </rPr>
          <t>JOAN GENEVILLE_x000D_
http://yeinfo.com/family/I09066589.html_x000D_
https://www.google.com/search?q=JOAN+GENEVILLE+1286+1325+MORTIMER_x000D_
.born: 12860202-          Ludlow (Shropshire) England_x000D_
.died: 1325    -1376      Gloucestershire county England, age:38y 10m 30d, _x000D_
.bapt: 1785GE_x000D_
.will: 2004MO_x000D_
.obit: 1890OH_x000D_
.bury: 1850IL _x000D_
.wpbt: 1826PA_x000D_
.anc#: quintuple ancestor_x000D_
citiz:foreign_x000D_
#spos:1_x000D_
#srcs:2_x000D_
#comment:0_x000D_
#events:1_x000D_
#kids:2_x000D_
lived:ENGLOUS,ENSHROPLUDLOW_x000D_
issue:_x000D_
.recs:Birth,Marriage,Death_x000D_
.imm?:no_x000D_
..Spo:ROGER MORTIMER</t>
        </r>
      </text>
    </comment>
    <comment ref="Z3794" authorId="0" shapeId="0" xr:uid="{A2353483-56D0-40CB-A6EE-6386FB88B074}">
      <text>
        <r>
          <rPr>
            <sz val="9"/>
            <color indexed="81"/>
            <rFont val="Tahoma"/>
            <family val="2"/>
          </rPr>
          <t>JEANNE\JOAN LUSIGNAN_x000D_
http://yeinfo.com/family/I09066652.html_x000D_
https://www.google.com/search?q=JEANNE\JOAN+LUSIGNAN+1260+1286+GENEVILLE_x000D_
.born: 1260    -          France_x000D_
.died: 1286    -1350      , age:26y 0m 0d, _x000D_
.bapt: 1785GE_x000D_
.will: 2004MO_x000D_
.obit: 1890OH_x000D_
.bury: 1850IL _x000D_
.wpbt: 1826PA_x000D_
.anc#: quintuple ancestor_x000D_
citiz:foreign_x000D_
#spos:1_x000D_
#srcs:2_x000D_
#comment:1_x000D_
#events:1_x000D_
#kids:1_x000D_
lived:ENSHROPLUDLOW,FR_x000D_
issue:_x000D_
.recs:Birth,Marriage,Death_x000D_
.imm?:no_x000D_
..Spo:PIERS GENEVILLE</t>
        </r>
      </text>
    </comment>
    <comment ref="T3796" authorId="0" shapeId="0" xr:uid="{3F1BA4C4-A9CC-4212-A010-600B28447824}">
      <text>
        <r>
          <rPr>
            <sz val="9"/>
            <color indexed="81"/>
            <rFont val="Tahoma"/>
            <family val="2"/>
          </rPr>
          <t>JOAN STOURTON_x000D_
http://yeinfo.com/family/I09065848.html_x000D_
https://www.google.com/search?q=JOAN+STOURTON+1427+1500+FROWICKE_x000D_
.born: 1427    -          London (Middlesex) England_x000D_
.died: 15000516-          Ealing (Middlesex) England, age:73y 4m 15d, _x000D_
.bapt: 1785GE_x000D_
.will: 2004MO_x000D_
.obit: 1890OH_x000D_
.bury: 1850IL _x000D_
.wpbt: 1826PA_x000D_
.anc#:ancestor_x000D_
citiz:foreign_x000D_
#spos:1_x000D_
#srcs:1_x000D_
#comment:0_x000D_
#events:1_x000D_
#kids:1_x000D_
lived:ENMIDDLEALING,ENMIDDLLONDON_x000D_
issue:Died after Age 100_x000D_
.recs:Birth,Marriage,Death_x000D_
.imm?:no_x000D_
..Spo:THOMAS FROWICKE</t>
        </r>
      </text>
    </comment>
    <comment ref="Z3798" authorId="0" shapeId="0" xr:uid="{F7FA0CAB-1DFB-41E7-8089-80B620434262}">
      <text>
        <r>
          <rPr>
            <sz val="9"/>
            <color indexed="81"/>
            <rFont val="Tahoma"/>
            <family val="2"/>
          </rPr>
          <t>THOMAS COTTON_x000D_
http://yeinfo.com/family/I09066653.html_x000D_
https://www.google.com/search?q=THOMAS+COTTON+1275+1342+MAGALENA_x000D_
.born:c1275    -          Cambridgeshire county England_x000D_
.died: 1342    -          Cambridge (Cambridgeshire) England, age:67y 0m 0d, _x000D_
.bapt: 1785GE_x000D_
.will: 2004MO_x000D_
.obit: 1890OH_x000D_
.bury: 1850IL _x000D_
.wpbt: 1826PA_x000D_
.anc#:ancestor_x000D_
citiz:foreign_x000D_
#spos:1_x000D_
#srcs:1_x000D_
#comment:1_x000D_
#events:1_x000D_
#kids:1_x000D_
lived:ENCAMBSCAMBRID_x000D_
issue:_x000D_
.recs:Birth,Marriage,Death_x000D_
.imm?:no_x000D_
..Spo:MAGALENA FORBE</t>
        </r>
      </text>
    </comment>
    <comment ref="Y3800" authorId="0" shapeId="0" xr:uid="{93882067-0F47-4618-9ABC-B6555C9938EC}">
      <text>
        <r>
          <rPr>
            <sz val="9"/>
            <color indexed="81"/>
            <rFont val="Tahoma"/>
            <family val="2"/>
          </rPr>
          <t>HUMPHREY COTTON_x000D_
http://yeinfo.com/family/I09066590.html_x000D_
https://www.google.com/search?q=HUMPHREY+COTTON+1296+1363+ANN_x000D_
.born: 1296    -          Landwade (Cambridgeshire) England_x000D_
.died: 1363    -          Cambridge (Cambridgeshire) England, age:67y 0m 0d, _x000D_
.bapt: 1785GE_x000D_
.will: 2004MO_x000D_
.obit: 1890OH_x000D_
.bury: 1850IL _x000D_
.wpbt: 1826PA_x000D_
.anc#:ancestor_x000D_
citiz:foreign_x000D_
#spos:1_x000D_
#srcs:1_x000D_
#comment:0_x000D_
#events:1_x000D_
#kids:1_x000D_
lived:ENCAMBSCAMBRID,ENCAMBSLANDWAD_x000D_
issue:_x000D_
.recs:Birth,Marriage,Death_x000D_
.imm?:no_x000D_
..Spo:ANN HOLBROOKE</t>
        </r>
      </text>
    </comment>
    <comment ref="Z3802" authorId="0" shapeId="0" xr:uid="{843330F2-E530-4635-A9D6-9F4AB104252F}">
      <text>
        <r>
          <rPr>
            <sz val="9"/>
            <color indexed="81"/>
            <rFont val="Tahoma"/>
            <family val="2"/>
          </rPr>
          <t>MAGALENA FORBE_x000D_
http://yeinfo.com/family/I09066654.html_x000D_
https://www.google.com/search?q=MAGALENA+FORBE+1275+1296+COTTON_x000D_
.born:c1275    -         ?England_x000D_
.died: 1296    -1365     ?England, age:21y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..Spo:THOMAS COTTON</t>
        </r>
      </text>
    </comment>
    <comment ref="X3804" authorId="0" shapeId="0" xr:uid="{E1725B70-E568-4BE7-B10A-FB9FB0982928}">
      <text>
        <r>
          <rPr>
            <sz val="9"/>
            <color indexed="81"/>
            <rFont val="Tahoma"/>
            <family val="2"/>
          </rPr>
          <t>THOMAS COTTON_x000D_
http://yeinfo.com/family/I09066536.html_x000D_
https://www.google.com/search?q=THOMAS+COTTON+1335+1397+ALICE_x000D_
.born: 1335    -          Coton (Cambridgeshire) England_x000D_
.died: 1397    -          Cambridge (Cambridgeshire) England, age:62y 0m 0d, _x000D_
.bapt: 1785GE_x000D_
.will: 2004MO_x000D_
.obit: 1890OH_x000D_
.bury: 1850IL _x000D_
.wpbt: 1826PA_x000D_
.anc#:ancestor_x000D_
citiz:foreign_x000D_
#spos:1_x000D_
#srcs:1_x000D_
#comment:0_x000D_
#events:1_x000D_
#kids:1_x000D_
lived:ENCAMBSCAMBRID,ENCAMBSCOTON_x000D_
issue:_x000D_
.recs:Birth,Marriage,Death_x000D_
.imm?:no_x000D_
..Spo:ALICE HASTINGS</t>
        </r>
      </text>
    </comment>
    <comment ref="Z3806" authorId="0" shapeId="0" xr:uid="{751D1DA7-2BD2-4976-9CEA-E518A6EBCDAB}">
      <text>
        <r>
          <rPr>
            <sz val="9"/>
            <color indexed="81"/>
            <rFont val="Tahoma"/>
            <family val="2"/>
          </rPr>
          <t>THOMAS HOLBROOKE_x000D_
http://yeinfo.com/family/I09066655.html_x000D_
https://www.google.com/search?q=THOMAS+HOLBROOKE+1275+1342+MARGARET+PETRONILLA_x000D_
.born: 1275    -          England_x000D_
.died: 1342    -         ?England, age:67y 0m 0d, _x000D_
.bapt: 1785GE_x000D_
.will: 2004MO_x000D_
.obit: 1890OH_x000D_
.bury: 1850IL _x000D_
.wpbt: 1826PA_x000D_
.anc#:ancestor_x000D_
citiz:foreign_x000D_
#spos:1_x000D_
#srcs:1_x000D_
#comment:1_x000D_
#events:1_x000D_
#kids:1_x000D_
lived:EN_x000D_
issue:_x000D_
.recs:Birth,Marriage,Death_x000D_
.imm?:no_x000D_
..Spo:MARGARET PETRONILLA MAYNARD</t>
        </r>
      </text>
    </comment>
    <comment ref="Y3808" authorId="0" shapeId="0" xr:uid="{7C894D7A-89A4-4BE1-BE8C-1EFAF5C48DA8}">
      <text>
        <r>
          <rPr>
            <sz val="9"/>
            <color indexed="81"/>
            <rFont val="Tahoma"/>
            <family val="2"/>
          </rPr>
          <t>ANN HOLBROOKE_x000D_
http://yeinfo.com/family/I09066591.html_x000D_
https://www.google.com/search?q=ANN+HOLBROOKE+1305+1365+COTTON_x000D_
.born: 1305    -          Landwade (Cambridgeshire) England_x000D_
.died: 1365    -          England, age:60y 0m 0d, _x000D_
.bapt: 1785GE_x000D_
.will: 2004MO_x000D_
.obit: 1890OH_x000D_
.bury: 1850IL _x000D_
.wpbt: 1826PA_x000D_
.anc#:ancestor_x000D_
citiz:foreign_x000D_
#spos:1_x000D_
#srcs:1_x000D_
#comment:0_x000D_
#events:1_x000D_
#kids:1_x000D_
lived:ENCAMBSLANDWAD_x000D_
issue:Died after Age 100_x000D_
.recs:Birth,Marriage,Death_x000D_
.imm?:no_x000D_
..Spo:HUMPHREY COTTON</t>
        </r>
      </text>
    </comment>
    <comment ref="Z3810" authorId="0" shapeId="0" xr:uid="{F5531D08-D383-47AA-B71A-BB42889BD105}">
      <text>
        <r>
          <rPr>
            <sz val="9"/>
            <color indexed="81"/>
            <rFont val="Tahoma"/>
            <family val="2"/>
          </rPr>
          <t>MARGARET PETRONILLA MAYNARD_x000D_
http://yeinfo.com/family/I09066656.html_x000D_
https://www.google.com/search?q=MARGARET+PETRONILLA+MAYNARD+1275+1305+HOLBROOKE_x000D_
.born: 1275    -         ?England_x000D_
.died: 1305    -1365     ?England, age:30y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..Spo:THOMAS HOLBROOKE</t>
        </r>
      </text>
    </comment>
    <comment ref="W3812" authorId="0" shapeId="0" xr:uid="{FA11935C-E363-4CA7-9600-F0F1B06518E6}">
      <text>
        <r>
          <rPr>
            <sz val="9"/>
            <color indexed="81"/>
            <rFont val="Tahoma"/>
            <family val="2"/>
          </rPr>
          <t>JOHN COTTON_x000D_
http://yeinfo.com/family/I09066369.html_x000D_
https://www.google.com/search?q=JOHN+COTTON+1365+1397+BRIDGET\MARGARE_x000D_
.born:a1365    -          England_x000D_
.died: 1397    -          England, age:32y 0m 0d, _x000D_
.bapt: 1785GE_x000D_
.will: 2004MO_x000D_
.obit: 1890OH_x000D_
.bury: 1850IL _x000D_
.wpbt: 1826PA_x000D_
.anc#:ancestor_x000D_
citiz:foreign_x000D_
#spos:1_x000D_
#srcs:2_x000D_
#comment:0_x000D_
#events:1_x000D_
#kids:1_x000D_
lived:EN_x000D_
issue:Born after Mom Age 50_x000D_
.recs:Birth,Marriage,Death_x000D_
.imm?:no_x000D_
..Spo:BRIDGET\MARGARE GRACE</t>
        </r>
      </text>
    </comment>
    <comment ref="Y3814" authorId="0" shapeId="0" xr:uid="{BA0D4886-FE0D-4E68-B918-5FFD0E8FE8A4}">
      <text>
        <r>
          <rPr>
            <sz val="9"/>
            <color indexed="81"/>
            <rFont val="Tahoma"/>
            <family val="2"/>
          </rPr>
          <t>JOHN HASTINGS_x000D_
http://yeinfo.com/family/I09066592.html_x000D_
https://www.google.com/search?q=JOHN+HASTINGS+1285+1310+JULIANA_x000D_
.born:?1285    -         ?England_x000D_
.died: 1310    -1375     ?England, age:25y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..Spo:JULIANA LEYBURNE</t>
        </r>
      </text>
    </comment>
    <comment ref="X3816" authorId="0" shapeId="0" xr:uid="{357A92BF-293E-4F38-B78E-A488816A6D6A}">
      <text>
        <r>
          <rPr>
            <sz val="9"/>
            <color indexed="81"/>
            <rFont val="Tahoma"/>
            <family val="2"/>
          </rPr>
          <t>ALICE HASTINGS_x000D_
http://yeinfo.com/family/I09066537.html_x000D_
https://www.google.com/search?q=ALICE+HASTINGS+1310+1365+COTTON_x000D_
.born:c1310    -          Suffolk county England_x000D_
.died: 1365    -1400      Suffolk county England, age:55y 0m 0d, _x000D_
.bapt: 1785GE_x000D_
.will: 2004MO_x000D_
.obit: 1890OH_x000D_
.bury: 1850IL _x000D_
.wpbt: 1826PA_x000D_
.anc#:ancestor_x000D_
citiz:foreign_x000D_
#spos:1_x000D_
#srcs:2_x000D_
#comment:0_x000D_
#events:1_x000D_
#kids:1_x000D_
lived:ENSUFFO_x000D_
issue:_x000D_
.recs:Birth,Marriage,Death_x000D_
.imm?:no_x000D_
..Spo:THOMAS COTTON</t>
        </r>
      </text>
    </comment>
    <comment ref="Y3818" authorId="0" shapeId="0" xr:uid="{398CA41A-047E-40F3-82D5-7F4602603329}">
      <text>
        <r>
          <rPr>
            <sz val="9"/>
            <color indexed="81"/>
            <rFont val="Tahoma"/>
            <family val="2"/>
          </rPr>
          <t>JULIANA LEYBURNE_x000D_
http://yeinfo.com/family/I09066593.html_x000D_
https://www.google.com/search?q=JULIANA+LEYBURNE+1285+1310+HASTINGS_x000D_
.born:?1285    -         ?England_x000D_
.died: 1310    -1375     ?England, age:25y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..Spo:JOHN HASTINGS</t>
        </r>
      </text>
    </comment>
    <comment ref="V3820" authorId="0" shapeId="0" xr:uid="{1DF0953A-6707-4007-BA99-1AA3E1C2D6D1}">
      <text>
        <r>
          <rPr>
            <sz val="9"/>
            <color indexed="81"/>
            <rFont val="Tahoma"/>
            <family val="2"/>
          </rPr>
          <t>WALTER COTTON_x000D_
http://yeinfo.com/family/I09066215.html_x000D_
https://www.google.com/search?q=WALTER+COTTON+1389+1445+JOAN_x000D_
.born: 1389    -          Landwade (Cambridgeshire) England_x000D_
.died: 14450514-          , age:56y 4m 13d, _x000D_
.bapt: 1785GE_x000D_
.will: 2004MO_x000D_
.obit: 1890OH_x000D_
.bury: 1850IL _x000D_
.wpbt: 1826PA_x000D_
.anc#:ancestor_x000D_
citiz:foreign_x000D_
#spos:1_x000D_
#srcs:3_x000D_
#comment:0_x000D_
#events:1_x000D_
#kids:1_x000D_
lived:ENCAMBSLANDWAD_x000D_
issue:_x000D_
.recs:Birth,Marriage,Death_x000D_
.imm?:no_x000D_
..Spo:JOAN READE</t>
        </r>
      </text>
    </comment>
    <comment ref="X3822" authorId="0" shapeId="0" xr:uid="{C4318B33-73C7-4903-8B76-8D6D8EB7CCE8}">
      <text>
        <r>
          <rPr>
            <sz val="9"/>
            <color indexed="81"/>
            <rFont val="Tahoma"/>
            <family val="2"/>
          </rPr>
          <t>RICHARD GRACE_x000D_
http://yeinfo.com/family/I09066538.html_x000D_
https://www.google.com/search?q=RICHARD+GRACE+1335+1381+BRIDGETT_x000D_
.born:c1335    -          Norfolk county England_x000D_
.died:c1381    -          Norfolk county England, age:46y 0m 0d, _x000D_
.bapt: 1785GE_x000D_
.will: 2004MO_x000D_
.obit: 1890OH_x000D_
.bury: 1850IL _x000D_
.wpbt: 1826PA_x000D_
.anc#:ancestor_x000D_
citiz:foreign_x000D_
#spos:1_x000D_
#srcs:1_x000D_
#comment:0_x000D_
#events:1_x000D_
#kids:1_x000D_
lived:ENNORFO_x000D_
issue:Died after Age 100_x000D_
.recs:Birth,Marriage,Death_x000D_
.imm?:no_x000D_
..Spo:BRIDGETT GRACE</t>
        </r>
      </text>
    </comment>
    <comment ref="W3824" authorId="0" shapeId="0" xr:uid="{EAB81100-5507-45D4-90AA-1E207CDCE010}">
      <text>
        <r>
          <rPr>
            <sz val="9"/>
            <color indexed="81"/>
            <rFont val="Tahoma"/>
            <family val="2"/>
          </rPr>
          <t>BRIDGET\MARGARE GRACE_x000D_
http://yeinfo.com/family/I09066370.html_x000D_
https://www.google.com/search?q=BRIDGET\MARGARE+GRACE+1356+1389+COTTON_x000D_
.born:c1356    -          Suffolk county England_x000D_
.died: 1389    -1446     ?England, age:33y 0m 0d, _x000D_
.bapt: 1785GE_x000D_
.will: 2004MO_x000D_
.obit: 1890OH_x000D_
.bury: 1850IL _x000D_
.wpbt: 1826PA_x000D_
.anc#:ancestor_x000D_
citiz:foreign_x000D_
#spos:1_x000D_
#srcs:1_x000D_
#comment:0_x000D_
#events:1_x000D_
#kids:1_x000D_
lived:ENSUFFO_x000D_
issue:_x000D_
.recs:Birth,Marriage,Death_x000D_
.imm?:no_x000D_
..Spo:JOHN COTTON</t>
        </r>
      </text>
    </comment>
    <comment ref="X3826" authorId="0" shapeId="0" xr:uid="{8A66EAA8-EF33-42A6-B5C2-6EE0654A121D}">
      <text>
        <r>
          <rPr>
            <sz val="9"/>
            <color indexed="81"/>
            <rFont val="Tahoma"/>
            <family val="2"/>
          </rPr>
          <t>Mrs. BRIDGETT GRACE_x000D_
http://yeinfo.com/family/I09066539.html_x000D_
https://www.google.com/search?q=BRIDGETT+GRACE+1330+1391+GRACE_x000D_
.born:c1330    -          Norfolk county England_x000D_
.died:c1391    -          Coton (Cambridgeshire) England, age:61y 0m 0d, _x000D_
.bapt: 1785GE_x000D_
.will: 2004MO_x000D_
.obit: 1890OH_x000D_
.bury: 1850IL _x000D_
.wpbt: 1826PA_x000D_
.anc#:ancestor_x000D_
citiz:foreign_x000D_
#spos:1_x000D_
#srcs:1_x000D_
#comment:0_x000D_
#events:1_x000D_
#kids:1_x000D_
lived:ENCAMBSCOTON,ENNORFO_x000D_
issue:_x000D_
.recs:Birth,Marriage,Death_x000D_
.imm?:no_x000D_
..Spo:RICHARD GRACE</t>
        </r>
      </text>
    </comment>
    <comment ref="U3828" authorId="0" shapeId="0" xr:uid="{7BF3B57D-A002-4BD9-94E7-7EC6B5EB1A06}">
      <text>
        <r>
          <rPr>
            <sz val="9"/>
            <color indexed="81"/>
            <rFont val="Tahoma"/>
            <family val="2"/>
          </rPr>
          <t>JOAN COTTON_x000D_
http://yeinfo.com/family/I09066026.html_x000D_
https://www.google.com/search?q=JOAN+COTTON+1412+1456+STOURTON_x000D_
.born: 1412    -          Cambridge (Cambridgeshire) England_x000D_
.died: 14560314-          London (Middlesex) England, age:44y 2m 13d, _x000D_
.bapt: 1785GE_x000D_
.will: 2004MO_x000D_
.obit: 1890OH_x000D_
.bury: 1850IL _x000D_
.wpbt: 1826PA_x000D_
.anc#:ancestor_x000D_
citiz:foreign_x000D_
#spos:1_x000D_
#srcs:1_x000D_
#comment:0_x000D_
#events:1_x000D_
#kids:1_x000D_
lived:ENCAMBSCAMBRID,ENMIDDLLONDON_x000D_
issue:Died after Age 100_x000D_
.recs:Birth,Marriage,Death_x000D_
.imm?:no_x000D_
..Spo:RICHARD STOURTON</t>
        </r>
      </text>
    </comment>
    <comment ref="Z3830" authorId="0" shapeId="0" xr:uid="{B73D78C9-5AC5-4C58-A99A-1C59935A3470}">
      <text>
        <r>
          <rPr>
            <sz val="9"/>
            <color indexed="81"/>
            <rFont val="Tahoma"/>
            <family val="2"/>
          </rPr>
          <t>THOMAS READE_x000D_
http://yeinfo.com/family/I09066657.html_x000D_
https://www.google.com/search?q=THOMAS+READE+1261+1283+{_?_}_x000D_
.born:c1261    -         ?Wales_x000D_
.died: 1283    -          , age:22y 0m 0d, _x000D_
.bapt: 1785GE_x000D_
.will: 2004MO_x000D_
.obit: 1890OH_x000D_
.bury: 1850IL _x000D_
.wpbt: 1826PA_x000D_
.anc#:ancestor_x000D_
citiz:foreign_x000D_
#spos:1_x000D_
#srcs:1_x000D_
#comment:1_x000D_
#events:1_x000D_
#kids:1_x000D_
lived:?WL_x000D_
issue:_x000D_
.recs:Birth,Marriage,Death_x000D_
.imm?:no_x000D_
..Spo:{_?_} READE</t>
        </r>
      </text>
    </comment>
    <comment ref="Y3832" authorId="0" shapeId="0" xr:uid="{061788E2-F60F-423C-9BC1-A27F78D89523}">
      <text>
        <r>
          <rPr>
            <sz val="9"/>
            <color indexed="81"/>
            <rFont val="Tahoma"/>
            <family val="2"/>
          </rPr>
          <t>THOMAS READE_x000D_
http://yeinfo.com/family/I09066594.html_x000D_
https://www.google.com/search?q=THOMAS+READE+1278+1340+ALICE\ELIZABETH_x000D_
.born:c1278    -          Carmarthenshire county Wales_x000D_
.died: 1340    -          , age:62y 0m 0d, _x000D_
.bapt: 1785GE_x000D_
.will: 2004MO_x000D_
.obit: 1890OH_x000D_
.bury: 1850IL _x000D_
.wpbt: 1826PA_x000D_
.anc#:ancestor_x000D_
citiz:foreign_x000D_
#spos:1_x000D_
#srcs:1_x000D_
#comment:0_x000D_
#events:1_x000D_
#kids:1_x000D_
lived:WLCARMA_x000D_
issue:_x000D_
.recs:Birth,Marriage,Death_x000D_
.imm?:no_x000D_
..Spo:ALICE\ELIZABETH ROCHE</t>
        </r>
      </text>
    </comment>
    <comment ref="Z3834" authorId="0" shapeId="0" xr:uid="{ADB9290E-8A40-43B9-BCF4-B84600C3CBE3}">
      <text>
        <r>
          <rPr>
            <sz val="9"/>
            <color indexed="81"/>
            <rFont val="Tahoma"/>
            <family val="2"/>
          </rPr>
          <t>Mrs. {_?_} READE_x000D_
http://yeinfo.com/family/I09066658.html_x000D_
https://www.google.com/search?q={_?_}+READE+1261+1281+READE_x000D_
.born:?1261    -         ?Wales_x000D_
.died: 1281    -1351      , age:20y 0m 0d, _x000D_
.bapt: 1785GE_x000D_
.will: 2004MO_x000D_
.obit: 1890OH_x000D_
.bury: 1850IL _x000D_
.wpbt: 1826PA_x000D_
.anc#:ancestor_x000D_
citiz:foreign_x000D_
#spos:1_x000D_
#srcs:1_x000D_
#comment:0_x000D_
#events:1_x000D_
#kids:1_x000D_
lived:?WL_x000D_
issue:_x000D_
.recs:Birth,Marriage,Death_x000D_
.imm?:no_x000D_
..Spo:THOMAS READE</t>
        </r>
      </text>
    </comment>
    <comment ref="X3836" authorId="0" shapeId="0" xr:uid="{0FD4F9E7-7106-4450-8460-961A54EEDBA4}">
      <text>
        <r>
          <rPr>
            <sz val="9"/>
            <color indexed="81"/>
            <rFont val="Tahoma"/>
            <family val="2"/>
          </rPr>
          <t>THOMAS READE_x000D_
http://yeinfo.com/family/I09066540.html_x000D_
https://www.google.com/search?q=THOMAS+READE+1300+1360+MARGERY_x000D_
.born:c1300    -          Oxfordshire county England_x000D_
.died: 1360    -         ?England, age:60y 0m 0d, _x000D_
.bapt: 1785GE_x000D_
.will: 2004MO_x000D_
.obit: 1890OH_x000D_
.bury: 1850IL _x000D_
.wpbt: 1826PA_x000D_
.anc#:ancestor_x000D_
citiz:foreign_x000D_
#spos:1_x000D_
#srcs:1_x000D_
#comment:0_x000D_
#events:1_x000D_
#kids:1_x000D_
lived:ENOXFOS_x000D_
issue:_x000D_
.recs:Birth,Marriage,Death_x000D_
.imm?:no_x000D_
..Spo:MARGERY READE</t>
        </r>
      </text>
    </comment>
    <comment ref="Y3838" authorId="0" shapeId="0" xr:uid="{A8301693-015C-40CC-B6A1-7834D1EB1649}">
      <text>
        <r>
          <rPr>
            <sz val="9"/>
            <color indexed="81"/>
            <rFont val="Tahoma"/>
            <family val="2"/>
          </rPr>
          <t>ALICE\ELIZABETH ROCHE_x000D_
http://yeinfo.com/family/I09066595.html_x000D_
https://www.google.com/search?q=ALICE\ELIZABETH+ROCHE+1287+1360+READE_x000D_
.born: 1287    -          Wales_x000D_
.died: 1360    -          , age:73y 0m 0d, _x000D_
.bapt: 1785GE_x000D_
.will: 2004MO_x000D_
.obit: 1890OH_x000D_
.bury: 1850IL _x000D_
.wpbt: 1826PA_x000D_
.anc#:ancestor_x000D_
citiz:foreign_x000D_
#spos:1_x000D_
#srcs:2_x000D_
#comment:0_x000D_
#events:1_x000D_
#kids:1_x000D_
lived:WL_x000D_
issue:Died after Age 100_x000D_
.recs:Birth,Marriage,Death_x000D_
.imm?:no_x000D_
..Spo:THOMAS READE</t>
        </r>
      </text>
    </comment>
    <comment ref="W3840" authorId="0" shapeId="0" xr:uid="{A909C31A-1684-48FA-A8E8-1C521A2F250C}">
      <text>
        <r>
          <rPr>
            <sz val="9"/>
            <color indexed="81"/>
            <rFont val="Tahoma"/>
            <family val="2"/>
          </rPr>
          <t>JOHN READE_x000D_
http://yeinfo.com/family/I09066371.html_x000D_
https://www.google.com/search?q=JOHN+READE+1336+1404+CECILIA_x000D_
.born:c1336    -          _x000D_
.died: 14040520-          Checkendon (Oxfordshire) England, age:68y 4m 19d, _x000D_
.bapt: 1785GE_x000D_
.will: 2004MO_x000D_
.obit: 1890OH_x000D_
.bury: 1850IL _x000D_
.wpbt: 1826PA_x000D_
.anc#:ancestor_x000D_
citiz:foreign_x000D_
#spos:1_x000D_
#srcs:3_x000D_
#comment:0_x000D_
#events:1_x000D_
#kids:1_x000D_
lived:ENOXFOSCHECKEN_x000D_
issue:_x000D_
.recs:Birth,Marriage,Death_x000D_
.imm?:no_x000D_
..Spo:CECILIA HARLYNGRUGGE</t>
        </r>
      </text>
    </comment>
    <comment ref="X3842" authorId="0" shapeId="0" xr:uid="{D75E5A30-E441-45A5-9A24-E6DB4FA7348B}">
      <text>
        <r>
          <rPr>
            <sz val="9"/>
            <color indexed="81"/>
            <rFont val="Tahoma"/>
            <family val="2"/>
          </rPr>
          <t>Mrs. MARGERY READE_x000D_
http://yeinfo.com/family/I09066541.html_x000D_
https://www.google.com/search?q=MARGERY+READE+1319+1380+READE_x000D_
.born: 1319    -          Oxfordshire county England_x000D_
.died: 1380    -         ?England, age:61y 0m 0d, _x000D_
.bapt: 1785GE_x000D_
.will: 2004MO_x000D_
.obit: 1890OH_x000D_
.bury: 1850IL _x000D_
.wpbt: 1826PA_x000D_
.anc#:ancestor_x000D_
citiz:foreign_x000D_
#spos:1_x000D_
#srcs:1_x000D_
#comment:0_x000D_
#events:1_x000D_
#kids:1_x000D_
lived:ENOXFOS_x000D_
issue:_x000D_
.recs:Birth,Marriage,Death_x000D_
.imm?:no_x000D_
..Spo:THOMAS READE</t>
        </r>
      </text>
    </comment>
    <comment ref="V3844" authorId="0" shapeId="0" xr:uid="{C85CF4BF-1AD4-4862-8219-72FD9B07B130}">
      <text>
        <r>
          <rPr>
            <sz val="9"/>
            <color indexed="81"/>
            <rFont val="Tahoma"/>
            <family val="2"/>
          </rPr>
          <t>JOAN READE_x000D_
http://yeinfo.com/family/I09066216.html_x000D_
https://www.google.com/search?q=JOAN+READE+1378+1412+COTTON_x000D_
.born:c1378    -          Checkendon (Oxfordshire) England_x000D_
.died: 1412    -1468      Landwade (Cambridgeshire) England, age:34y 0m 0d, _x000D_
.bapt: 1785GE_x000D_
.will: 2004MO_x000D_
.obit: 1890OH_x000D_
.bury: 1850IL _x000D_
.wpbt: 1826PA_x000D_
.anc#:ancestor_x000D_
citiz:foreign_x000D_
#spos:1_x000D_
#srcs:3_x000D_
#comment:0_x000D_
#events:1_x000D_
#kids:1_x000D_
lived:ENCAMBSLANDWAD,ENOXFOSCHECKEN_x000D_
issue:_x000D_
.recs:Birth,Marriage,Death_x000D_
.imm?:no_x000D_
..Spo:WALTER COTTON</t>
        </r>
      </text>
    </comment>
    <comment ref="X3846" authorId="0" shapeId="0" xr:uid="{669077A0-7824-4D4E-9949-28E91F4C643C}">
      <text>
        <r>
          <rPr>
            <sz val="9"/>
            <color indexed="81"/>
            <rFont val="Tahoma"/>
            <family val="2"/>
          </rPr>
          <t>WILLIAM HARLYNGRUGGE_x000D_
http://yeinfo.com/family/I09066542.html_x000D_
https://www.google.com/search?q=WILLIAM+HARLYNGRUGGE+1315+1394+ALICE_x000D_
.born:c1315    -          Checkendon (Oxfordshire) England_x000D_
.died: 139403  -          , age:79y 2m 0d, _x000D_
.bapt: 1785GE_x000D_
.will: 2004MO_x000D_
.obit: 1890OH_x000D_
.bury: 1850IL _x000D_
.wpbt: 1826PA_x000D_
.anc#:ancestor_x000D_
citiz:foreign_x000D_
#spos:1_x000D_
#srcs:3_x000D_
#comment:0_x000D_
#events:1_x000D_
#kids:1_x000D_
lived:ENOXFOSCHECKEN_x000D_
issue:_x000D_
.recs:Birth,Marriage,Death_x000D_
.imm?:no_x000D_
..Spo:ALICE MARMION</t>
        </r>
      </text>
    </comment>
    <comment ref="W3848" authorId="0" shapeId="0" xr:uid="{C28112B6-57FE-4788-ADC5-09E9998AC9AB}">
      <text>
        <r>
          <rPr>
            <sz val="9"/>
            <color indexed="81"/>
            <rFont val="Tahoma"/>
            <family val="2"/>
          </rPr>
          <t>CECILIA HARLYNGRUGGE_x000D_
http://yeinfo.com/family/I09066372.html_x000D_
https://www.google.com/search?q=CECILIA+HARLYNGRUGGE+1344+1428+READE_x000D_
.born:c1344    -          Checkendon (Oxfordshire) England_x000D_
.died: 14280520-          Checkendon (Oxfordshire) England, age:84y 4m 19d, _x000D_
.bapt: 1785GE_x000D_
.will: 2004MO_x000D_
.obit: 1890OH_x000D_
.bury: 1850IL _x000D_
.wpbt: 1826PA_x000D_
.anc#:ancestor_x000D_
citiz:foreign_x000D_
#spos:1_x000D_
#srcs:3_x000D_
#comment:0_x000D_
#events:1_x000D_
#kids:1_x000D_
lived:ENOXFOSCHECKEN_x000D_
issue:Died after Age 100_x000D_
.recs:Birth,Marriage,Death_x000D_
.imm?:no_x000D_
..Spo:JOHN READE</t>
        </r>
      </text>
    </comment>
    <comment ref="Z3850" authorId="0" shapeId="0" xr:uid="{2D178DEE-E547-43F1-9D51-120B681E90A2}">
      <text>
        <r>
          <rPr>
            <sz val="9"/>
            <color indexed="81"/>
            <rFont val="Tahoma"/>
            <family val="2"/>
          </rPr>
          <t>JOHN MARMION_x000D_
http://yeinfo.com/family/I09066659.html_x000D_
https://www.google.com/search?q=JOHN+MARMION+1260+1331+MARGERY_x000D_
.born: 1260    -          Checkendon (Oxfordshire) England_x000D_
.died: 1331    -          Checkendon (Oxfordshire) England, age:71y 0m 0d, _x000D_
.bapt: 1785GE_x000D_
.will: 2004MO_x000D_
.obit: 1890OH_x000D_
.bury: 1850IL _x000D_
.wpbt: 1826PA_x000D_
.anc#:ancestor_x000D_
citiz:foreign_x000D_
#spos:1_x000D_
#srcs:1_x000D_
#comment:1_x000D_
#events:1_x000D_
#kids:1_x000D_
lived:ENOXFOSCHECKEN_x000D_
issue:_x000D_
.recs:Birth,Marriage,Death_x000D_
.imm?:no_x000D_
..Spo:MARGERY NOTTINGHAM</t>
        </r>
      </text>
    </comment>
    <comment ref="Y3852" authorId="0" shapeId="0" xr:uid="{00D9B5CC-D840-4B7A-B819-B6F424750AC7}">
      <text>
        <r>
          <rPr>
            <sz val="9"/>
            <color indexed="81"/>
            <rFont val="Tahoma"/>
            <family val="2"/>
          </rPr>
          <t>THOMAS MARMION_x000D_
http://yeinfo.com/family/I09066596.html_x000D_
https://www.google.com/search?q=THOMAS+MARMION+1286+1350+AGNES_x000D_
.born:c1286    -          Checkendon (Oxfordshire) England_x000D_
.died: 1350    -          , age:64y 0m 0d, _x000D_
.bapt: 1785GE_x000D_
.will: 2004MO_x000D_
.obit: 1890OH_x000D_
.bury: 1850IL _x000D_
.wpbt: 1826PA_x000D_
.anc#:ancestor_x000D_
citiz:foreign_x000D_
#spos:1_x000D_
#srcs:2_x000D_
#comment:0_x000D_
#events:1_x000D_
#kids:1_x000D_
lived:ENOXFOSCHECKEN_x000D_
issue:_x000D_
.recs:Birth,Marriage,Death_x000D_
.imm?:no_x000D_
..Spo:AGNES MARMION</t>
        </r>
      </text>
    </comment>
    <comment ref="Z3854" authorId="0" shapeId="0" xr:uid="{94A4BAFF-90DB-4203-813B-9A522331250B}">
      <text>
        <r>
          <rPr>
            <sz val="9"/>
            <color indexed="81"/>
            <rFont val="Tahoma"/>
            <family val="2"/>
          </rPr>
          <t>MARGERY NOTTINGHAM_x000D_
http://yeinfo.com/family/I09066660.html_x000D_
https://www.google.com/search?q=MARGERY+NOTTINGHAM+1263+1300+MARMION_x000D_
.born: 1263    -          Huncote (Leicestershire) England_x000D_
.died: 1300    -          Checkendon (Oxfordshire) England, age:37y 0m 0d, _x000D_
.bapt: 1785GE_x000D_
.will: 2004MO_x000D_
.obit: 1890OH_x000D_
.bury: 1850IL _x000D_
.wpbt: 1826PA_x000D_
.anc#:ancestor_x000D_
citiz:foreign_x000D_
#spos:1_x000D_
#srcs:1_x000D_
#comment:1_x000D_
#events:1_x000D_
#kids:1_x000D_
lived:ENLEICEHUNCOTE,ENOXFOSCHECKEN_x000D_
issue:_x000D_
.recs:Birth,Marriage,Death_x000D_
.imm?:no_x000D_
..Spo:JOHN MARMION</t>
        </r>
      </text>
    </comment>
    <comment ref="X3856" authorId="0" shapeId="0" xr:uid="{3A3176FD-47FD-4CAE-B653-8523A96619BF}">
      <text>
        <r>
          <rPr>
            <sz val="9"/>
            <color indexed="81"/>
            <rFont val="Tahoma"/>
            <family val="2"/>
          </rPr>
          <t>ALICE MARMION_x000D_
http://yeinfo.com/family/I09066543.html_x000D_
https://www.google.com/search?q=ALICE+MARMION+1320+1367+HARLYNGRUGGE_x000D_
.born: 1320    -          Oxfordshire county England_x000D_
.died:c1367    -          , age:47y 0m 0d, _x000D_
.bapt: 1785GE_x000D_
.will: 2004MO_x000D_
.obit: 1890OH_x000D_
.bury: 1850IL _x000D_
.wpbt: 1826PA_x000D_
.anc#:ancestor_x000D_
citiz:foreign_x000D_
#spos:1_x000D_
#srcs:3_x000D_
#comment:0_x000D_
#events:1_x000D_
#kids:1_x000D_
lived:ENOXFOSCHECKEN_x000D_
issue:_x000D_
.recs:Birth,Marriage,Death_x000D_
.imm?:no_x000D_
..Spo:WILLIAM HARLYNGRUGGE</t>
        </r>
      </text>
    </comment>
    <comment ref="Y3858" authorId="0" shapeId="0" xr:uid="{473237A6-EC03-4618-BBF5-A4D1629430B4}">
      <text>
        <r>
          <rPr>
            <sz val="9"/>
            <color indexed="81"/>
            <rFont val="Tahoma"/>
            <family val="2"/>
          </rPr>
          <t>Mrs. AGNES MARMION_x000D_
http://yeinfo.com/family/I09066597.html_x000D_
https://www.google.com/search?q=AGNES+MARMION+1298+1320+MARMION_x000D_
.born: 1298    -          Checkendon (Oxfordshire) England_x000D_
.died:c1320    -          Checkendon (Oxfordshire) England, age:22y 0m 0d, _x000D_
.bapt: 1785GE_x000D_
.will: 2004MO_x000D_
.obit: 1890OH_x000D_
.bury: 1850IL _x000D_
.wpbt: 1826PA_x000D_
.anc#:ancestor_x000D_
citiz:foreign_x000D_
#spos:1_x000D_
#srcs:1_x000D_
#comment:0_x000D_
#events:1_x000D_
#kids:1_x000D_
lived:ENOXFOSCHECKEN_x000D_
issue:_x000D_
.recs:Birth,Marriage,Death_x000D_
.imm?:no_x000D_
..Spo:THOMAS MARMION</t>
        </r>
      </text>
    </comment>
    <comment ref="P3860" authorId="0" shapeId="0" xr:uid="{52AA60DF-D9E9-48F4-8042-EEDB4630BB83}">
      <text>
        <r>
          <rPr>
            <sz val="9"/>
            <color indexed="81"/>
            <rFont val="Tahoma"/>
            <family val="2"/>
          </rPr>
          <t>MARY ISAACKE_x000D_
http://yeinfo.com/family/I09021693.html_x000D_
https://www.google.com/search?q=MARY+ISAACKE+1552+1613+APPLETON_x000D_
.born: 1552    -          Ickham (Kent) England_x000D_
.died: 16130611-          London (Middlesex) England, age:61y 5m 10d, _x000D_
.bapt: 1785GE_x000D_
.will: 2004MO_x000D_
.obit: 1890OH_x000D_
.bury: 1850IL _x000D_
.wpbt: 1826PA_x000D_
.anc#:ancestor_x000D_
citiz:foreign_x000D_
#spos:1_x000D_
#srcs:1_x000D_
#comment:0_x000D_
#events:1_x000D_
#kids:1_x000D_
lived:ENKENT ICKHAM,ENMIDDLLONDON_x000D_
issue:_x000D_
.recs:Birth,Marriage,Death_x000D_
.imm?:no_x000D_
..Spo:THOMAS APPLETON</t>
        </r>
      </text>
    </comment>
    <comment ref="T3862" authorId="0" shapeId="0" xr:uid="{195986E4-5EFD-4C16-8EE3-03543F40FEB0}">
      <text>
        <r>
          <rPr>
            <sz val="9"/>
            <color indexed="81"/>
            <rFont val="Tahoma"/>
            <family val="2"/>
          </rPr>
          <t>RICHARD WHETEHILL_x000D_
http://yeinfo.com/family/I09065849.html_x000D_
https://www.google.com/search?q=RICHARD+WHETEHILL+1410+1485+JOAN_x000D_
.born: 14100101-          Stepney (Middlesex) England_x000D_
.died: 14850304-          Calais (Nord-Pas-de-Calais) France, age:75y 2m 3d, _x000D_
.bapt: 1785GE_x000D_
.will: 2004MO_x000D_
.obit: 1890OH_x000D_
.bury: 1850IL _x000D_
.wpbt: 1826PA_x000D_
.anc#:ancestor_x000D_
citiz:foreign_x000D_
#spos:1_x000D_
#srcs:1_x000D_
#comment:1_x000D_
#events:1_x000D_
#kids:1_x000D_
lived:ENMIDDLSTEPNEY,FRNORDPCALAIS_x000D_
issue:_x000D_
.recs:Birth,Marriage,Death_x000D_
.imm?:no_x000D_
..Spo:JOAN MARROW</t>
        </r>
      </text>
    </comment>
    <comment ref="S3864" authorId="0" shapeId="0" xr:uid="{C63452E9-F2B6-4510-9309-BDB74F56B7CE}">
      <text>
        <r>
          <rPr>
            <sz val="9"/>
            <color indexed="81"/>
            <rFont val="Tahoma"/>
            <family val="2"/>
          </rPr>
          <t>ADRIAN WHETEHILL_x000D_
http://yeinfo.com/family/I09065710.html_x000D_
https://www.google.com/search?q=ADRIAN+WHETEHILL+1435+1503+MARGARET_x000D_
.born:?1435    -          France_x000D_
.died: 1503    -          Braybrook (Northamptonshire) England, age:68y 0m 0d, _x000D_
.bapt: 1785GE_x000D_
.will: 2004MO_x000D_
.obit: 1890OH_x000D_
.bury: 1850IL _x000D_
.wpbt: 1826PA_x000D_
.anc#:ancestor_x000D_
citiz:foreign_x000D_
#spos:1_x000D_
#srcs:2_x000D_
#comment:0_x000D_
#events:1_x000D_
#kids:1_x000D_
lived:ENNORTABRAYBRO,FR_x000D_
issue:_x000D_
.recs:Birth,Marriage,Death_x000D_
.imm?:no_x000D_
..Spo:MARGARET WORSLEY</t>
        </r>
      </text>
    </comment>
    <comment ref="T3866" authorId="0" shapeId="0" xr:uid="{C947E653-CC1A-46D3-B792-961D5789260D}">
      <text>
        <r>
          <rPr>
            <sz val="9"/>
            <color indexed="81"/>
            <rFont val="Tahoma"/>
            <family val="2"/>
          </rPr>
          <t>JOAN MARROW_x000D_
http://yeinfo.com/family/I09065850.html_x000D_
https://www.google.com/search?q=JOAN+MARROW+1410+1448+WHETEHILL_x000D_
.born:?1410    -          Astley (Warwickshire) England_x000D_
.died: 14480903-          Ruthin (Denbighshire) Wales, age:38y 8m 2d, _x000D_
.bapt: 1785GE_x000D_
.will: 2004MO_x000D_
.obit: 1890OH_x000D_
.bury: 1850IL _x000D_
.wpbt: 1826PA_x000D_
.anc#:ancestor_x000D_
citiz:foreign_x000D_
#spos:1_x000D_
#srcs:1_x000D_
#comment:0_x000D_
#events:1_x000D_
#kids:1_x000D_
lived:ENWARWEASTLEY,WLDENBIRUTHIN_x000D_
issue:_x000D_
.recs:Birth,Marriage,Death_x000D_
.imm?:no_x000D_
..Spo:RICHARD WHETEHILL</t>
        </r>
      </text>
    </comment>
    <comment ref="R3868" authorId="0" shapeId="0" xr:uid="{02A1EF3B-2EEC-4575-B0A1-EDED4C74C003}">
      <text>
        <r>
          <rPr>
            <sz val="9"/>
            <color indexed="81"/>
            <rFont val="Tahoma"/>
            <family val="2"/>
          </rPr>
          <t>RICHARD WHETEHILL_x000D_
http://yeinfo.com/family/I09065571.html_x000D_
https://www.google.com/search?q=RICHARD+WHETEHILL+1465+1537+ELIZABETH_x000D_
.born:c1465    -          Calais (Nord-Pas-de-Calais) France_x000D_
.died:c1537    -          Calais (Nord-Pas-de-Calais) France, age:72y 0m 0d, _x000D_
.bapt: 1785GE_x000D_
.will: 2004MO_x000D_
.obit: 1890OH_x000D_
.bury: 1850IL _x000D_
.wpbt: 1826PA_x000D_
.anc#:ancestor_x000D_
citiz:foreign_x000D_
#spos:1_x000D_
#srcs:1_x000D_
#comment:0_x000D_
#events:1_x000D_
#kids:1_x000D_
lived:FRNORDPCALAIS_x000D_
issue:_x000D_
.recs:Birth,Marriage,Death_x000D_
.imm?:no_x000D_
..Spo:ELIZABETH MUSTON</t>
        </r>
      </text>
    </comment>
    <comment ref="V3870" authorId="0" shapeId="0" xr:uid="{A1C6B08D-16B4-41AA-B3ED-0B3EA8679755}">
      <text>
        <r>
          <rPr>
            <sz val="9"/>
            <color indexed="81"/>
            <rFont val="Tahoma"/>
            <family val="2"/>
          </rPr>
          <t>ROBERT WORSLEY_x000D_
http://yeinfo.com/family/I09066217.html_x000D_
https://www.google.com/search?q=ROBERT+WORSLEY+1345+1402+ISABEL_x000D_
.born: 1345    -         ?England_x000D_
.died: 14020328-         ?England, age:57y 2m 27d, _x000D_
.bapt: 1785GE_x000D_
.will: 2004MO_x000D_
.obit: 1890OH_x000D_
.bury: 1850IL _x000D_
.wpbt: 1826PA_x000D_
.anc#:ancestor_x000D_
citiz:foreign_x000D_
#spos:1_x000D_
#srcs:2_x000D_
#comment:1_x000D_
#events:1_x000D_
#kids:1_x000D_
lived:?EN_x000D_
issue:Died after Age 100_x000D_
.recs:Birth,Marriage,Death_x000D_
.imm?:no_x000D_
..Spo:ISABEL TRAFFORD</t>
        </r>
      </text>
    </comment>
    <comment ref="U3872" authorId="0" shapeId="0" xr:uid="{6232A272-EEA9-4689-BAB5-BE96EE80E8B2}">
      <text>
        <r>
          <rPr>
            <sz val="9"/>
            <color indexed="81"/>
            <rFont val="Tahoma"/>
            <family val="2"/>
          </rPr>
          <t>RICHARD WORSLEY_x000D_
http://yeinfo.com/family/I09066027.html_x000D_
https://www.google.com/search?q=RICHARD+WORSLEY+1358+1414+CATHERINE_x000D_
.born: 1358    -          _x000D_
.died: 1414    -          Tamworth (Staffordshire) England, age:56y 0m 0d, _x000D_
.bapt: 1785GE_x000D_
.will: 2004MO_x000D_
.obit: 1890OH_x000D_
.bury: 1850IL _x000D_
.wpbt: 1826PA_x000D_
.anc#:ancestor_x000D_
citiz:foreign_x000D_
#spos:1_x000D_
#srcs:2_x000D_
#comment:0_x000D_
#events:1_x000D_
#kids:1_x000D_
lived:ENSTAFSTAMWORT_x000D_
issue:_x000D_
.recs:Birth,Marriage,Death_x000D_
.imm?:no_x000D_
..Spo:CATHERINE CLARK</t>
        </r>
      </text>
    </comment>
    <comment ref="Y3874" authorId="0" shapeId="0" xr:uid="{77A871C2-2D15-4B08-AA6C-A3CA26E11702}">
      <text>
        <r>
          <rPr>
            <sz val="9"/>
            <color indexed="81"/>
            <rFont val="Tahoma"/>
            <family val="2"/>
          </rPr>
          <t>HENRY TRAFFORD_x000D_
http://yeinfo.com/family/I09066981.html_x000D_
https://www.google.com/search?q=HENRY+TRAFFORD+1225+1264+MARGARET_x000D_
.born:?1225    -          Lancashire county England_x000D_
.died:?1264    -1310      Lancashire county England, age:39y 0m 0d, _x000D_
.bapt: 1785GE_x000D_
.will: 2004MO_x000D_
.obit: 1890OH_x000D_
.bury: 1850IL _x000D_
.wpbt: 1826PA_x000D_
.anc#:  nontuple ancestor_x000D_
citiz:foreign_x000D_
#spos:1_x000D_
#srcs:1_x000D_
#comment:1_x000D_
#events:1_x000D_
#kids:1_x000D_
lived:ENLANCS_x000D_
issue:_x000D_
.recs:Birth,Marriage,Death_x000D_
.imm?:no_x000D_
..Spo:MARGARET TRAFFORD</t>
        </r>
      </text>
    </comment>
    <comment ref="X3876" authorId="0" shapeId="0" xr:uid="{5CA9EB6F-8CAF-4530-B3C8-9F2382561F4F}">
      <text>
        <r>
          <rPr>
            <sz val="9"/>
            <color indexed="81"/>
            <rFont val="Tahoma"/>
            <family val="2"/>
          </rPr>
          <t>JOHN TRAFFORD_x000D_
http://yeinfo.com/family/I09066434.html_x000D_
https://www.google.com/search?q=JOHN+TRAFFORD+1264+1340+ELIZABETH_x000D_
.born: 1264    -          Lancashire county England_x000D_
.died: 1340    -1350      Lancashire county England, age:76y 0m 0d, _x000D_
.bapt: 1785GE_x000D_
.will: 2004MO_x000D_
.obit: 1890OH_x000D_
.bury: 1850IL _x000D_
.wpbt: 1826PA_x000D_
.anc#:  nontuple ancestor_x000D_
citiz:foreign_x000D_
#spos:1_x000D_
#srcs:7_x000D_
#comment:1_x000D_
#events:1_x000D_
#kids:2_x000D_
lived:ENLANCS_x000D_
issue:_x000D_
.recs:Birth,Marriage,Death_x000D_
.imm?:no_x000D_
..Spo:ELIZABETH ASHTON</t>
        </r>
      </text>
    </comment>
    <comment ref="Y3878" authorId="0" shapeId="0" xr:uid="{F730F206-18CE-4208-86BB-07D24CE9B575}">
      <text>
        <r>
          <rPr>
            <sz val="9"/>
            <color indexed="81"/>
            <rFont val="Tahoma"/>
            <family val="2"/>
          </rPr>
          <t>Mrs. MARGARET TRAFFORD_x000D_
http://yeinfo.com/family/I09066980.html_x000D_
https://www.google.com/search?q=MARGARET+TRAFFORD+1236+1334+TRAFFORD_x000D_
.born: 1236    -          Lancashire county England_x000D_
.died: 1334    -          Lancashire county England, age:98y 0m 0d, _x000D_
.bapt: 1785GE_x000D_
.will: 2004MO_x000D_
.obit: 1890OH_x000D_
.bury: 1850IL _x000D_
.wpbt: 1826PA_x000D_
.anc#:  nontuple ancestor_x000D_
citiz:foreign_x000D_
#spos:1_x000D_
#srcs:1_x000D_
#comment:0_x000D_
#events:1_x000D_
#kids:1_x000D_
lived:ENLANCS_x000D_
issue:_x000D_
.recs:Birth,Marriage,Death_x000D_
.imm?:no_x000D_
..Spo:HENRY TRAFFORD</t>
        </r>
      </text>
    </comment>
    <comment ref="W3880" authorId="0" shapeId="0" xr:uid="{0783A1D1-2BF6-4563-AF2B-3855172FAA5F}">
      <text>
        <r>
          <rPr>
            <sz val="9"/>
            <color indexed="81"/>
            <rFont val="Tahoma"/>
            <family val="2"/>
          </rPr>
          <t>HENRY TRAFFORD_x000D_
http://yeinfo.com/family/I09066317.html_x000D_
https://www.google.com/search?q=HENRY+TRAFFORD+1292+1370+AGNES_x000D_
.born: 1292    -          Lancashire county England_x000D_
.died: 1370    -          Lancashire county England, age:78y 0m 0d, _x000D_
.bapt: 1785GE_x000D_
.will: 2004MO_x000D_
.obit: 1890OH_x000D_
.bury: 1850IL _x000D_
.wpbt: 1826PA_x000D_
.anc#:  nontuple ancestor_x000D_
citiz:foreign_x000D_
#spos:1_x000D_
#srcs:1_x000D_
#comment:0_x000D_
#events:1_x000D_
#kids:3_x000D_
lived:ENLANCS_x000D_
issue:_x000D_
.recs:Birth,Marriage,Death_x000D_
.imm?:no_x000D_
..Spo:AGNES DOTERINDE</t>
        </r>
      </text>
    </comment>
    <comment ref="X3882" authorId="0" shapeId="0" xr:uid="{C7E28527-728A-463D-B60A-D0C522B3B152}">
      <text>
        <r>
          <rPr>
            <sz val="9"/>
            <color indexed="81"/>
            <rFont val="Tahoma"/>
            <family val="2"/>
          </rPr>
          <t>ELIZABETH ASHTON_x000D_
http://yeinfo.com/family/I09066433.html_x000D_
https://www.google.com/search?q=ELIZABETH+ASHTON+1268+1340+TRAFFORD_x000D_
.born: 1268    -          Lancashire county England_x000D_
.died: 1340    -1350      Lancashire county England, age:72y 0m 0d, _x000D_
.bapt: 1785GE_x000D_
.will: 2004MO_x000D_
.obit: 1890OH_x000D_
.bury: 1850IL _x000D_
.wpbt: 1826PA_x000D_
.anc#:  nontuple ancestor_x000D_
citiz:foreign_x000D_
#spos:1_x000D_
#srcs:1_x000D_
#comment:1_x000D_
#events:1_x000D_
#kids:2_x000D_
lived:ENLANCS_x000D_
issue:_x000D_
.recs:Birth,Marriage,Death_x000D_
.imm?:no_x000D_
..Spo:JOHN TRAFFORD</t>
        </r>
      </text>
    </comment>
    <comment ref="V3884" authorId="0" shapeId="0" xr:uid="{EBE4197A-6258-4614-8001-1F2B6E56D8D1}">
      <text>
        <r>
          <rPr>
            <sz val="9"/>
            <color indexed="81"/>
            <rFont val="Tahoma"/>
            <family val="2"/>
          </rPr>
          <t>ISABEL TRAFFORD_x000D_
http://yeinfo.com/family/I09066218.html_x000D_
https://www.google.com/search?q=ISABEL+TRAFFORD+1355+1402+WORSLEY_x000D_
.born:?1355    -         ?Lancashire county England_x000D_
.died: 1402    -         ?England, age:47y 0m 0d, _x000D_
.bapt: 1785GE_x000D_
.will: 2004MO_x000D_
.obit: 1890OH_x000D_
.bury: 1850IL _x000D_
.wpbt: 1826PA_x000D_
.anc#:ancestor_x000D_
citiz:foreign_x000D_
#spos:1_x000D_
#srcs:3_x000D_
#comment:1_x000D_
#events:1_x000D_
#kids:1_x000D_
lived:?ENLANCS_x000D_
issue:Born after Dad Age 60,Born after Mom Age 50,Died after Age 100_x000D_
.recs:Birth,Marriage,Death_x000D_
.imm?:no_x000D_
..Spo:ROBERT WORSLEY</t>
        </r>
      </text>
    </comment>
    <comment ref="X3886" authorId="0" shapeId="0" xr:uid="{B5CFD5DA-103F-457E-A439-326886ACC96B}">
      <text>
        <r>
          <rPr>
            <sz val="9"/>
            <color indexed="81"/>
            <rFont val="Tahoma"/>
            <family val="2"/>
          </rPr>
          <t>RICHARD DOTERINDE_x000D_
http://yeinfo.com/family/I09066492.html_x000D_
https://www.google.com/search?q=RICHARD+DOTERINDE+1280+1345+{_?_}_x000D_
.born:?1280    -          Norfolk county England_x000D_
.died: 1345    -         ?England, age:65y 0m 0d, _x000D_
.bapt: 1785GE_x000D_
.will: 2004MO_x000D_
.obit: 1890OH_x000D_
.bury: 1850IL _x000D_
.wpbt: 1826PA_x000D_
.anc#:  nontuple ancestor_x000D_
citiz:foreign_x000D_
#spos:1_x000D_
#srcs:1_x000D_
#comment:0_x000D_
#events:1_x000D_
#kids:1_x000D_
lived:ENNORFO_x000D_
issue:_x000D_
.recs:Birth,Marriage,Death_x000D_
.imm?:no_x000D_
..Spo:{_?_} DOTERINDE</t>
        </r>
      </text>
    </comment>
    <comment ref="W3888" authorId="0" shapeId="0" xr:uid="{5461C9FB-D1E3-425D-AEEC-AC4B6EB072C4}">
      <text>
        <r>
          <rPr>
            <sz val="9"/>
            <color indexed="81"/>
            <rFont val="Tahoma"/>
            <family val="2"/>
          </rPr>
          <t>AGNES DOTERINDE_x000D_
http://yeinfo.com/family/I09066318.html_x000D_
https://www.google.com/search?q=AGNES+DOTERINDE+1302+1360+TRAFFORD_x000D_
.born: 1302    -          Birch (Lancashire) England_x000D_
.died: 1360    -          Lancashire county England, age:58y 0m 0d, _x000D_
.bapt: 1785GE_x000D_
.will: 2004MO_x000D_
.obit: 1890OH_x000D_
.bury: 1850IL _x000D_
.wpbt: 1826PA_x000D_
.anc#:  nontuple ancestor_x000D_
citiz:foreign_x000D_
#spos:1_x000D_
#srcs:1_x000D_
#comment:0_x000D_
#events:1_x000D_
#kids:3_x000D_
lived:ENLANCSBIRCH_x000D_
issue:_x000D_
.recs:Birth,Marriage,Death_x000D_
.imm?:no_x000D_
..Spo:HENRY TRAFFORD</t>
        </r>
      </text>
    </comment>
    <comment ref="X3890" authorId="0" shapeId="0" xr:uid="{D0CE7F5E-4E1A-4CD5-AA9D-C0974386463A}">
      <text>
        <r>
          <rPr>
            <sz val="9"/>
            <color indexed="81"/>
            <rFont val="Tahoma"/>
            <family val="2"/>
          </rPr>
          <t>Mrs. {_?_} DOTERINDE_x000D_
http://yeinfo.com/family/I09066493.html_x000D_
https://www.google.com/search?q={_?_}+DOTERINDE+1280+1302+DOTERINDE_x000D_
.born:?1280    -         ?England_x000D_
.died: 1302    -1370     ?England, age:22y 0m 0d, _x000D_
.bapt: 1785GE_x000D_
.will: 2004MO_x000D_
.obit: 1890OH_x000D_
.bury: 1850IL _x000D_
.wpbt: 1826PA_x000D_
.anc#:  nontuple ancestor_x000D_
citiz:foreign_x000D_
#spos:1_x000D_
#srcs:1_x000D_
#comment:0_x000D_
#events:1_x000D_
#kids:1_x000D_
lived:?EN_x000D_
issue:_x000D_
.recs:Birth,Marriage,Death_x000D_
.imm?:no_x000D_
..Spo:RICHARD DOTERINDE</t>
        </r>
      </text>
    </comment>
    <comment ref="T3892" authorId="0" shapeId="0" xr:uid="{5082724B-0447-4E9C-A279-FC58CFD662E4}">
      <text>
        <r>
          <rPr>
            <sz val="9"/>
            <color indexed="81"/>
            <rFont val="Tahoma"/>
            <family val="2"/>
          </rPr>
          <t>OTEWELL\OTWELL WORSLEY_x000D_
http://yeinfo.com/family/I09065851.html_x000D_
https://www.google.com/search?q=OTEWELL\OTWELL+WORSLEY+1410+1470+ROSE_x000D_
.born:c1410    -          Tamworth (Staffordshire) England_x000D_
.died: 14700324-          Wales, age:60y 2m 23d, _x000D_
.bapt: 1785GE_x000D_
.will: 2004MO_x000D_
.obit: 1890OH_x000D_
.bury: 1850IL _x000D_
.wpbt: 1826PA_x000D_
.anc#:ancestor_x000D_
citiz:foreign_x000D_
#spos:1_x000D_
#srcs:2_x000D_
#comment:0_x000D_
#events:1_x000D_
#kids:1_x000D_
lived:ENSTAFSTAMWORT,WL_x000D_
issue:_x000D_
.recs:Birth,Marriage,Death_x000D_
.imm?:no_x000D_
..Spo:ROSE TREVOR</t>
        </r>
      </text>
    </comment>
    <comment ref="V3894" authorId="0" shapeId="0" xr:uid="{80463BD1-B7FC-4D9F-86A3-A54E9F891B21}">
      <text>
        <r>
          <rPr>
            <sz val="9"/>
            <color indexed="81"/>
            <rFont val="Tahoma"/>
            <family val="2"/>
          </rPr>
          <t>JOHN CLARK_x000D_
http://yeinfo.com/family/I09066219.html_x000D_
https://www.google.com/search?q=JOHN+CLARK+1335+1360+SARAH_x000D_
.born:c1335    -          Rohan (Brittany) France_x000D_
.died: 1360    -1425     ?England, age:25y 0m 0d, _x000D_
.bapt: 1785GE_x000D_
.will: 2004MO_x000D_
.obit: 1890OH_x000D_
.bury: 1850IL _x000D_
.wpbt: 1826PA_x000D_
.anc#:ancestor_x000D_
citiz:foreign_x000D_
#spos:1_x000D_
#srcs:1_x000D_
#comment:0_x000D_
#events:1_x000D_
#kids:1_x000D_
lived:?EN,FRBRITYROHAN_x000D_
issue:_x000D_
.recs:Birth,Marriage,Death_x000D_
.imm?:no_x000D_
..Spo:SARAH STOCKPORT</t>
        </r>
      </text>
    </comment>
    <comment ref="U3896" authorId="0" shapeId="0" xr:uid="{7FAFB5B0-D538-4A12-9840-8AD28624D6BB}">
      <text>
        <r>
          <rPr>
            <sz val="9"/>
            <color indexed="81"/>
            <rFont val="Tahoma"/>
            <family val="2"/>
          </rPr>
          <t>CATHERINE CLARK_x000D_
http://yeinfo.com/family/I09066028.html_x000D_
https://www.google.com/search?q=CATHERINE+CLARK+1360+1424+WORSLEY_x000D_
.born: 1360    -          _x000D_
.died: 1424    -          , age:64y 0m 0d, _x000D_
.bapt: 1785GE_x000D_
.will: 2004MO_x000D_
.obit: 1890OH_x000D_
.bury: 1850IL _x000D_
.wpbt: 1826PA_x000D_
.anc#:ancestor_x000D_
citiz:foreign_x000D_
#spos:1_x000D_
#srcs:2_x000D_
#comment:0_x000D_
#events:1_x000D_
#kids:1_x000D_
lived:_x000D_
issue:_x000D_
.recs:Birth,Marriage,Death_x000D_
.imm?:no_x000D_
..Spo:RICHARD WORSLEY</t>
        </r>
      </text>
    </comment>
    <comment ref="Z3898" authorId="0" shapeId="0" xr:uid="{56450B6C-6FF6-4F65-AAAB-FDADBEBF858E}">
      <text>
        <r>
          <rPr>
            <sz val="9"/>
            <color indexed="81"/>
            <rFont val="Tahoma"/>
            <family val="2"/>
          </rPr>
          <t>ROBERT STOCKPORT III_x000D_
http://yeinfo.com/family/I09066661.html_x000D_
https://www.google.com/search?q=ROBERT+STOCKPORT+1239+1274+ROSE_x000D_
.born:c1239    -          England_x000D_
.died: 1274    -          Cheshire county England, age:35y 0m 0d, _x000D_
.bapt: 1785GE_x000D_
.will: 2004MO_x000D_
.obit: 1890OH_x000D_
.bury: 1850IL _x000D_
.wpbt: 1826PA_x000D_
.anc#:ancestor_x000D_
citiz:foreign_x000D_
#spos:1_x000D_
#srcs:1_x000D_
#comment:1_x000D_
#events:1_x000D_
#kids:1_x000D_
lived:ENCHESH_x000D_
issue:_x000D_
.recs:Birth,Marriage,Death_x000D_
.imm?:no_x000D_
..Spo:ROSE VENABLES</t>
        </r>
      </text>
    </comment>
    <comment ref="Y3900" authorId="0" shapeId="0" xr:uid="{8C624422-B0C1-4078-A711-2E327F515AAC}">
      <text>
        <r>
          <rPr>
            <sz val="9"/>
            <color indexed="81"/>
            <rFont val="Tahoma"/>
            <family val="2"/>
          </rPr>
          <t>ROGER STOCKPORT_x000D_
http://yeinfo.com/family/I09066598.html_x000D_
https://www.google.com/search?q=ROGER+STOCKPORT+1267+1293+LUCY_x000D_
.born:c1267    -          Stockport (Cheshire) England_x000D_
.died: 1293    -         ?England, age:26y 0m 0d, _x000D_
.bapt: 1785GE_x000D_
.will: 2004MO_x000D_
.obit: 1890OH_x000D_
.bury: 1850IL _x000D_
.wpbt: 1826PA_x000D_
.anc#:ancestor_x000D_
citiz:foreign_x000D_
#spos:1_x000D_
#srcs:1_x000D_
#comment:1_x000D_
#events:1_x000D_
#kids:1_x000D_
lived:ENCHESHSTOCKPO_x000D_
issue:_x000D_
.recs:Birth,Marriage,Death_x000D_
.imm?:no_x000D_
..Spo:LUCY STOCKPORT</t>
        </r>
      </text>
    </comment>
    <comment ref="Z3902" authorId="0" shapeId="0" xr:uid="{6EEA34BB-F90E-4D00-A09F-60E1FA5A0D8A}">
      <text>
        <r>
          <rPr>
            <sz val="9"/>
            <color indexed="81"/>
            <rFont val="Tahoma"/>
            <family val="2"/>
          </rPr>
          <t>ROSE VENABLES_x000D_
http://yeinfo.com/family/I09066662.html_x000D_
https://www.google.com/search?q=ROSE+VENABLES+1243+1267+STOCKPORT_x000D_
.born: 1243    -         ?England_x000D_
.died: 1267    -1333     ?England, age:24y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..Spo:ROBERT STOCKPORT</t>
        </r>
      </text>
    </comment>
    <comment ref="X3904" authorId="0" shapeId="0" xr:uid="{369ECBA1-E728-42C8-8DA7-F999548AA3EA}">
      <text>
        <r>
          <rPr>
            <sz val="9"/>
            <color indexed="81"/>
            <rFont val="Tahoma"/>
            <family val="2"/>
          </rPr>
          <t>WILLIAM STOCKPORT_x000D_
http://yeinfo.com/family/I09066544.html_x000D_
https://www.google.com/search?q=WILLIAM+STOCKPORT+1315+1345+{_?_}_x000D_
.born:?1315    -          Stockport (Cheshire) England_x000D_
.died: 1345    -1390     ?England, age:30y 0m 0d, _x000D_
.bapt: 1785GE_x000D_
.will: 2004MO_x000D_
.obit: 1890OH_x000D_
.bury: 1850IL _x000D_
.wpbt: 1826PA_x000D_
.anc#:ancestor_x000D_
citiz:foreign_x000D_
#spos:1_x000D_
#srcs:1_x000D_
#comment:0_x000D_
#events:1_x000D_
#kids:1_x000D_
lived:ENCHESHSTOCKPO_x000D_
issue:Born after Parent Died,Died after Age 100_x000D_
.recs:Birth,Marriage,Death_x000D_
.imm?:no_x000D_
..Spo:{_?_} STOCKPORT</t>
        </r>
      </text>
    </comment>
    <comment ref="Y3906" authorId="0" shapeId="0" xr:uid="{5B02E6B9-9B8A-469A-B0F3-D2AB4423AFEB}">
      <text>
        <r>
          <rPr>
            <sz val="9"/>
            <color indexed="81"/>
            <rFont val="Tahoma"/>
            <family val="2"/>
          </rPr>
          <t>Mrs. LUCY STOCKPORT_x000D_
http://yeinfo.com/family/I09066599.html_x000D_
https://www.google.com/search?q=LUCY+STOCKPORT+1267+1310+STOCKPORT_x000D_
.born:?1267    -         ?England_x000D_
.died: 1310    -1357     ?England, age:43y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..Spo:ROGER STOCKPORT</t>
        </r>
      </text>
    </comment>
    <comment ref="W3908" authorId="0" shapeId="0" xr:uid="{5398E341-3825-4071-AAD9-8F5F4E105B92}">
      <text>
        <r>
          <rPr>
            <sz val="9"/>
            <color indexed="81"/>
            <rFont val="Tahoma"/>
            <family val="2"/>
          </rPr>
          <t>ROGER STOCKPORT_x000D_
http://yeinfo.com/family/I09066373.html_x000D_
https://www.google.com/search?q=ROGER+STOCKPORT+1335+1370+LUCY_x000D_
.born:c1335    -          Woodford (Cheshire) England_x000D_
.died: 1370    -1435     ?England, age:35y 0m 0d, _x000D_
.bapt: 1785GE_x000D_
.will: 2004MO_x000D_
.obit: 1890OH_x000D_
.bury: 1850IL _x000D_
.wpbt: 1826PA_x000D_
.anc#:ancestor_x000D_
citiz:foreign_x000D_
#spos:1_x000D_
#srcs:1_x000D_
#comment:0_x000D_
#events:1_x000D_
#kids:1_x000D_
lived:ENCHESHWOODFOR_x000D_
issue:_x000D_
.recs:Birth,Marriage,Death_x000D_
.imm?:no_x000D_
..Spo:LUCY STOCKPORT</t>
        </r>
      </text>
    </comment>
    <comment ref="X3910" authorId="0" shapeId="0" xr:uid="{CA8FEA28-F52A-47BF-BB28-88D78E27056C}">
      <text>
        <r>
          <rPr>
            <sz val="9"/>
            <color indexed="81"/>
            <rFont val="Tahoma"/>
            <family val="2"/>
          </rPr>
          <t>Mrs. {_?_} STOCKPORT_x000D_
http://yeinfo.com/family/I09066545.html_x000D_
https://www.google.com/search?q={_?_}+STOCKPORT+1315+1345+STOCKPORT_x000D_
.born:?1315    -          _x000D_
.died: 1345    -1390     ?England, age:30y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..Spo:WILLIAM STOCKPORT</t>
        </r>
      </text>
    </comment>
    <comment ref="V3912" authorId="0" shapeId="0" xr:uid="{55E3631C-93AE-4452-93C3-FD02E1272E22}">
      <text>
        <r>
          <rPr>
            <sz val="9"/>
            <color indexed="81"/>
            <rFont val="Tahoma"/>
            <family val="2"/>
          </rPr>
          <t>SARAH STOCKPORT_x000D_
http://yeinfo.com/family/I09066220.html_x000D_
https://www.google.com/search?q=SARAH+STOCKPORT+1355+1390+CLARK_x000D_
.born:c1355    -          Stockport (Cheshire) England_x000D_
.died: 1390    -1460     ?England, age:35y 0m 0d, _x000D_
.bapt: 1785GE_x000D_
.will: 2004MO_x000D_
.obit: 1890OH_x000D_
.bury: 1850IL _x000D_
.wpbt: 1826PA_x000D_
.anc#:ancestor_x000D_
citiz:foreign_x000D_
#spos:1_x000D_
#srcs:1_x000D_
#comment:0_x000D_
#events:1_x000D_
#kids:1_x000D_
lived:ENCHESHSTOCKPO_x000D_
issue:Born before Parents Married,Died after Age 100_x000D_
.recs:Birth,Marriage,Death_x000D_
.imm?:no_x000D_
..Spo:JOHN CLARK</t>
        </r>
      </text>
    </comment>
    <comment ref="W3914" authorId="0" shapeId="0" xr:uid="{F0168854-8601-4E55-8738-7AB993B6E13E}">
      <text>
        <r>
          <rPr>
            <sz val="9"/>
            <color indexed="81"/>
            <rFont val="Tahoma"/>
            <family val="2"/>
          </rPr>
          <t>Mrs. LUCY STOCKPORT_x000D_
http://yeinfo.com/family/I09066374.html_x000D_
https://www.google.com/search?q=LUCY+STOCKPORT+1335+1370+STOCKPORT_x000D_
.born:c1335    -         ?England_x000D_
.died: 1370    -1435     ?England, age:35y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..Spo:ROGER STOCKPORT</t>
        </r>
      </text>
    </comment>
    <comment ref="S3916" authorId="0" shapeId="0" xr:uid="{35D267E8-BA70-48A7-B793-3D4EBEB9F310}">
      <text>
        <r>
          <rPr>
            <sz val="9"/>
            <color indexed="81"/>
            <rFont val="Tahoma"/>
            <family val="2"/>
          </rPr>
          <t>MARGARET WORSLEY_x000D_
http://yeinfo.com/family/I09065711.html_x000D_
https://www.google.com/search?q=MARGARET+WORSLEY+1435+1505+WHETEHILL_x000D_
.born:?1435    -         ?France_x000D_
.died: 1505    -          France, age:70y 0m 0d, _x000D_
.bapt: 1785GE_x000D_
.will: 2004MO_x000D_
.obit: 1890OH_x000D_
.bury: 1850IL _x000D_
.wpbt: 1826PA_x000D_
.anc#:ancestor_x000D_
citiz:foreign_x000D_
#spos:1_x000D_
#srcs:2_x000D_
#comment:0_x000D_
#events:1_x000D_
#kids:1_x000D_
lived:?FR_x000D_
issue:_x000D_
.recs:Birth,Marriage,Death_x000D_
.imm?:no_x000D_
..Spo:ADRIAN WHETEHILL</t>
        </r>
      </text>
    </comment>
    <comment ref="U3918" authorId="0" shapeId="0" xr:uid="{5EAA978B-7FA3-42C4-B0E5-7859A7B06BA4}">
      <text>
        <r>
          <rPr>
            <sz val="9"/>
            <color indexed="81"/>
            <rFont val="Tahoma"/>
            <family val="2"/>
          </rPr>
          <t>EDWARD TREVOR_x000D_
http://yeinfo.com/family/I09066029.html_x000D_
https://www.google.com/search?q=EDWARD+TREVOR+1402+1448+ANGHARAD_x000D_
.born:?1402    -         ?France_x000D_
.died: 1448    -         ?France, age:46y 0m 0d, _x000D_
.bapt: 1785GE_x000D_
.will: 2004MO_x000D_
.obit: 1890OH_x000D_
.bury: 1850IL _x000D_
.wpbt: 1826PA_x000D_
.anc#:ancestor_x000D_
citiz:foreign_x000D_
#spos:1_x000D_
#srcs:2_x000D_
#comment:1_x000D_
#events:1_x000D_
#kids:1_x000D_
lived:?FR_x000D_
issue:Died after Age 100_x000D_
.recs:Birth,Marriage,Death_x000D_
.imm?:no_x000D_
..Spo:ANGHARAD PULESTON</t>
        </r>
      </text>
    </comment>
    <comment ref="T3920" authorId="0" shapeId="0" xr:uid="{71440A6E-5F88-45F4-BD83-3F2F1980DDC9}">
      <text>
        <r>
          <rPr>
            <sz val="9"/>
            <color indexed="81"/>
            <rFont val="Tahoma"/>
            <family val="2"/>
          </rPr>
          <t>ROSE TREVOR_x000D_
http://yeinfo.com/family/I09065852.html_x000D_
https://www.google.com/search?q=ROSE+TREVOR+1426+1446+WORSLEY_x000D_
.born: 1426    -         ?France_x000D_
.died: 1446    -1516     ?France, age:20y 0m 0d, _x000D_
.bapt: 1785GE_x000D_
.will: 2004MO_x000D_
.obit: 1890OH_x000D_
.bury: 1850IL _x000D_
.wpbt: 1826PA_x000D_
.anc#:ancestor_x000D_
citiz:foreign_x000D_
#spos:1_x000D_
#srcs:2_x000D_
#comment:0_x000D_
#events:1_x000D_
#kids:1_x000D_
lived:?FR_x000D_
issue:Died after Age 100_x000D_
.recs:Birth,Marriage,Death_x000D_
.imm?:no_x000D_
..Spo:OTEWELL\OTWELL WORSLEY</t>
        </r>
      </text>
    </comment>
    <comment ref="V3922" authorId="0" shapeId="0" xr:uid="{1AA70D35-10B5-4CC2-AC6C-3D161D92A13D}">
      <text>
        <r>
          <rPr>
            <sz val="9"/>
            <color indexed="81"/>
            <rFont val="Tahoma"/>
            <family val="2"/>
          </rPr>
          <t>ROBERT PULESTON_x000D_
http://yeinfo.com/family/I09066221.html_x000D_
https://www.google.com/search?q=ROBERT+PULESTON+1358+1399+LOWRI+GRUFFUDD_x000D_
.born: 1358    -          Worthen (Flint) Wales_x000D_
.died: 1399    -          Worthen (Flint) Wales, age:41y 0m 0d, _x000D_
.bapt: 1785GE_x000D_
.will: 2004MO_x000D_
.obit: 1890OH_x000D_
.bury: 1850IL _x000D_
.wpbt: 1826PA_x000D_
.anc#:ancestor_x000D_
citiz:foreign_x000D_
#spos:1_x000D_
#srcs:1_x000D_
#comment:1_x000D_
#events:1_x000D_
#kids:1_x000D_
lived:WLFLINTWORTHEN_x000D_
issue:_x000D_
.recs:Birth,Marriage,Death_x000D_
.imm?:no_x000D_
..Spo:LOWRI GRUFFUDD FYCHAN</t>
        </r>
      </text>
    </comment>
    <comment ref="U3924" authorId="0" shapeId="0" xr:uid="{9F337D53-84DE-4DB6-80EF-FD13006D41D5}">
      <text>
        <r>
          <rPr>
            <sz val="9"/>
            <color indexed="81"/>
            <rFont val="Tahoma"/>
            <family val="2"/>
          </rPr>
          <t>ANGHARAD PULESTON_x000D_
http://yeinfo.com/family/I09066030.html_x000D_
https://www.google.com/search?q=ANGHARAD+PULESTON+1380+1448+TREVOR_x000D_
.born:?1380    -         ?Wales_x000D_
.died: 1448    -         ?Wales, age:68y 0m 0d, _x000D_
.bapt: 1785GE_x000D_
.will: 2004MO_x000D_
.obit: 1890OH_x000D_
.bury: 1850IL _x000D_
.wpbt: 1826PA_x000D_
.anc#:ancestor_x000D_
citiz:foreign_x000D_
#spos:1_x000D_
#srcs:2_x000D_
#comment:0_x000D_
#events:1_x000D_
#kids:1_x000D_
lived:?WL_x000D_
issue:_x000D_
.recs:Birth,Marriage,Death_x000D_
.imm?:no_x000D_
..Spo:EDWARD TREVOR</t>
        </r>
      </text>
    </comment>
    <comment ref="V3926" authorId="0" shapeId="0" xr:uid="{DF4F5A03-FFDE-4E24-B896-F9C8162FF8A9}">
      <text>
        <r>
          <rPr>
            <sz val="9"/>
            <color indexed="81"/>
            <rFont val="Tahoma"/>
            <family val="2"/>
          </rPr>
          <t>LOWRI GRUFFUDD FYCHAN_x000D_
http://yeinfo.com/family/I09066222.html_x000D_
https://www.google.com/search?q=LOWRI+GRUFFUDD+FYCHAN+1358+1399+PULESTON_x000D_
.born: 1358    -          Worthen (Flint) Wales_x000D_
.died: 1399    -          Worthen (Flint) Wales, age:41y 0m 0d, _x000D_
.bapt: 1785GE_x000D_
.will: 2004MO_x000D_
.obit: 1890OH_x000D_
.bury: 1850IL _x000D_
.wpbt: 1826PA_x000D_
.anc#:ancestor_x000D_
citiz:foreign_x000D_
#spos:1_x000D_
#srcs:1_x000D_
#comment:1_x000D_
#events:1_x000D_
#kids:1_x000D_
lived:WLFLINTWORTHEN_x000D_
issue:_x000D_
.recs:Birth,Marriage,Death_x000D_
.imm?:no_x000D_
..Spo:ROBERT PULESTON</t>
        </r>
      </text>
    </comment>
    <comment ref="Q3928" authorId="0" shapeId="0" xr:uid="{3069DAA2-CA77-4CDF-99AC-1473B6B5BC57}">
      <text>
        <r>
          <rPr>
            <sz val="9"/>
            <color indexed="81"/>
            <rFont val="Tahoma"/>
            <family val="2"/>
          </rPr>
          <t>MARGARET\MARGERY WHETEHILL_x000D_
http://yeinfo.com/family/I09043387.html_x000D_
https://www.google.com/search?q=MARGARET\MARGERY+WHETEHILL+1520+1552+ISAACKE_x000D_
.born:?1520    -         ?England_x000D_
.died: 1552    -1600      London (Middlesex) England, age:32y 0m 0d, _x000D_
.bapt: 1785GE_x000D_
.will: 2004MO_x000D_
.obit: 1890OH_x000D_
.bury: 1850IL _x000D_
.wpbt: 1826PA_x000D_
.anc#:ancestor_x000D_
citiz:foreign_x000D_
#spos:1_x000D_
#srcs:2_x000D_
#comment:0_x000D_
#events:1_x000D_
#kids:1_x000D_
lived:?EN,ENMIDDLLONDON_x000D_
issue:Born after Mom Age 50,Died after Age 100_x000D_
.recs:Birth,Marriage,Death_x000D_
.imm?:no_x000D_
..Spo:EDWARD ISAACKE</t>
        </r>
      </text>
    </comment>
    <comment ref="T3930" authorId="0" shapeId="0" xr:uid="{C486C4F9-B796-4683-B2C7-2D0E17EFE376}">
      <text>
        <r>
          <rPr>
            <sz val="9"/>
            <color indexed="81"/>
            <rFont val="Tahoma"/>
            <family val="2"/>
          </rPr>
          <t>WILLIAM MUSTON_x000D_
http://yeinfo.com/family/I09065853.html_x000D_
https://www.google.com/search?q=WILLIAM+MUSTON+1420+1445+{_?_}_x000D_
.born:?1420    -         ?England_x000D_
.died: 1445    -1510     ?England, age:25y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..Spo:{_?_} MUSTON</t>
        </r>
      </text>
    </comment>
    <comment ref="S3932" authorId="0" shapeId="0" xr:uid="{E3713930-C573-4BE0-96B1-338BEBAFF73F}">
      <text>
        <r>
          <rPr>
            <sz val="9"/>
            <color indexed="81"/>
            <rFont val="Tahoma"/>
            <family val="2"/>
          </rPr>
          <t>WILLIAM MUSTON_x000D_
http://yeinfo.com/family/I09065712.html_x000D_
https://www.google.com/search?q=WILLIAM+MUSTON+1445+1486+ANNE_x000D_
.born:c1445    -          Calais (Nord-Pas-de-Calais) France_x000D_
.died: 1486    -          Calais (Nord-Pas-de-Calais) France, age:41y 0m 0d, _x000D_
.bapt: 1785GE_x000D_
.will: 2004MO_x000D_
.obit: 1890OH_x000D_
.bury: 1850IL _x000D_
.wpbt: 1826PA_x000D_
.anc#:ancestor_x000D_
citiz:foreign_x000D_
#spos:1_x000D_
#srcs:1_x000D_
#comment:0_x000D_
#events:1_x000D_
#kids:1_x000D_
lived:FRNORDPCALAIS_x000D_
issue:_x000D_
.recs:Birth,Marriage,Death_x000D_
.imm?:no_x000D_
..Spo:ANNE ABBOT</t>
        </r>
      </text>
    </comment>
    <comment ref="T3934" authorId="0" shapeId="0" xr:uid="{E4F2864E-79D9-4798-B137-AE7CA6B60373}">
      <text>
        <r>
          <rPr>
            <sz val="9"/>
            <color indexed="81"/>
            <rFont val="Tahoma"/>
            <family val="2"/>
          </rPr>
          <t>Mrs. {_?_} MUSTON_x000D_
http://yeinfo.com/family/I09065854.html_x000D_
https://www.google.com/search?q={_?_}+MUSTON+1420+1445+MUSTON_x000D_
.born:?1420    -          _x000D_
.died: 1445    -1510     ?England, age:25y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..Spo:WILLIAM MUSTON</t>
        </r>
      </text>
    </comment>
    <comment ref="R3936" authorId="0" shapeId="0" xr:uid="{A25FB8CA-CDF1-42DF-9D56-869BB5DD143B}">
      <text>
        <r>
          <rPr>
            <sz val="9"/>
            <color indexed="81"/>
            <rFont val="Tahoma"/>
            <family val="2"/>
          </rPr>
          <t>ELIZABETH MUSTON_x000D_
http://yeinfo.com/family/I09065572.html_x000D_
https://www.google.com/search?q=ELIZABETH+MUSTON+1465+1543+WHETEHILL_x000D_
.born:c1465    -          Kent county England_x000D_
.died: 1543    -          Calais (Nord-Pas-de-Calais) France, age:78y 0m 0d, _x000D_
.bapt: 1785GE_x000D_
.will: 2004MO_x000D_
.obit: 1890OH_x000D_
.bury: 1850IL _x000D_
.wpbt: 1826PA_x000D_
.anc#:ancestor_x000D_
citiz:foreign_x000D_
#spos:1_x000D_
#srcs:1_x000D_
#comment:0_x000D_
#events:1_x000D_
#kids:1_x000D_
lived:ENKENT,FRNORDPCALAIS_x000D_
issue:_x000D_
.recs:Birth,Marriage,Death_x000D_
.imm?:no_x000D_
..Spo:RICHARD WHETEHILL</t>
        </r>
      </text>
    </comment>
    <comment ref="S3938" authorId="0" shapeId="0" xr:uid="{4FF1C748-3BFB-4F14-AE45-782955C56D97}">
      <text>
        <r>
          <rPr>
            <sz val="9"/>
            <color indexed="81"/>
            <rFont val="Tahoma"/>
            <family val="2"/>
          </rPr>
          <t>ANNE ABBOT_x000D_
http://yeinfo.com/family/I09065713.html_x000D_
https://www.google.com/search?q=ANNE+ABBOT+1450+1497+MUSTON_x000D_
.born:c1450    -          Calais (Nord-Pas-de-Calais) France_x000D_
.died: 14970418-          Calais (Nord-Pas-de-Calais) France, age:47y 3m 17d, _x000D_
.bapt: 1785GE_x000D_
.will: 2004MO_x000D_
.obit: 1890OH_x000D_
.bury: 1850IL Lady Chapel in St. Nicholas_x000D_
.wpbt: 1826PA_x000D_
.anc#:ancestor_x000D_
citiz:foreign_x000D_
#spos:1_x000D_
#srcs:1_x000D_
#comment:1_x000D_
#events:4_x000D_
#kids:1_x000D_
lived:FRNORDPCALAIS_x000D_
issue:Died after Age 100_x000D_
.recs:Birth,Marriage,Will Written,Death,Interment/Burial_x000D_
.imm?:no_x000D_
..Spo:WILLIAM MUSTON</t>
        </r>
      </text>
    </comment>
    <comment ref="N3940" authorId="0" shapeId="0" xr:uid="{3EB7B9B7-AD37-4131-91EE-0FEBA32DB0CA}">
      <text>
        <r>
          <rPr>
            <sz val="9"/>
            <color indexed="81"/>
            <rFont val="Tahoma"/>
            <family val="2"/>
          </rPr>
          <t>SARAH APPLETON_x000D_
http://yeinfo.com/family/I09005423.html_x000D_
https://www.google.com/search?q=SARAH+APPLETON+1625+1714+PHILLIPS_x000D_
.born:?1625    -          Reydon (Suffolk) England_x000D_
.died: 17140715-          Essex county Massachusetts, age:89y 6m 14d, _x000D_
.bapt: 1785GE_x000D_
.will: 2004MO_x000D_
.obit: 1890OH_x000D_
.bury: 1850IL _x000D_
.wpbt: 1826PA_x000D_
.anc#:ancestor_x000D_
citiz:immigrant_x000D_
#spos:1_x000D_
#srcs:1_x000D_
#comment:1_x000D_
#events:1_x000D_
#kids:1_x000D_
lived:ENSUFFOREYDON,MAESSEX_x000D_
issue:_x000D_
.recs:Birth,Marriage,Death_x000D_
.imm?:immigrant_x000D_
..Spo:SAMUEL PHILLIPS</t>
        </r>
      </text>
    </comment>
    <comment ref="X3942" authorId="0" shapeId="0" xr:uid="{C14F8814-B498-449E-A61B-8E70DE6FB51A}">
      <text>
        <r>
          <rPr>
            <sz val="9"/>
            <color indexed="81"/>
            <rFont val="Tahoma"/>
            <family val="2"/>
          </rPr>
          <t>RALPH EVERARD_x000D_
http://yeinfo.com/family/I09066546.html_x000D_
https://www.google.com/search?q=RALPH+EVERARD+1323+1351+{_?_}_x000D_
.born:c1323    -         ?England_x000D_
.died:c1351    -         ?England, age:28y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..Spo:{_?_} EVERARD</t>
        </r>
      </text>
    </comment>
    <comment ref="W3944" authorId="0" shapeId="0" xr:uid="{490647D5-7DC9-48D4-AFAF-9277D287527D}">
      <text>
        <r>
          <rPr>
            <sz val="9"/>
            <color indexed="81"/>
            <rFont val="Tahoma"/>
            <family val="2"/>
          </rPr>
          <t>WALTER EVERARD_x000D_
http://yeinfo.com/family/I09066375.html_x000D_
https://www.google.com/search?q=WALTER+EVERARD+1349+1380+ELIZABETH_x000D_
.born:c1349    -          Chelmsford (Essex) England_x000D_
.died:c1380    -          Chelmsford (Essex) England, age:31y 0m 0d, _x000D_
.bapt: 1785GE_x000D_
.will: 2004MO_x000D_
.obit: 1890OH_x000D_
.bury: 1850IL _x000D_
.wpbt: 1826PA_x000D_
.anc#:double ancestor_x000D_
citiz:foreign_x000D_
#spos:1_x000D_
#srcs:1_x000D_
#comment:0_x000D_
#events:1_x000D_
#kids:1_x000D_
lived:ENESSEXCHELMSF_x000D_
issue:_x000D_
.recs:Birth,Marriage,Death_x000D_
.imm?:no_x000D_
..Spo:ELIZABETH MALLORY</t>
        </r>
      </text>
    </comment>
    <comment ref="X3946" authorId="0" shapeId="0" xr:uid="{83A42497-F9D0-4C66-ACE9-C35EA6E95641}">
      <text>
        <r>
          <rPr>
            <sz val="9"/>
            <color indexed="81"/>
            <rFont val="Tahoma"/>
            <family val="2"/>
          </rPr>
          <t>Mrs. {_?_} EVERARD_x000D_
http://yeinfo.com/family/I09066547.html_x000D_
https://www.google.com/search?q={_?_}+EVERARD+1325+1349+EVERARD_x000D_
.born:?1325    -          _x000D_
.died: 1349    -1415     ?England, age:24y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..Spo:RALPH EVERARD</t>
        </r>
      </text>
    </comment>
    <comment ref="V3948" authorId="0" shapeId="0" xr:uid="{A4E8296C-6D9A-47A0-88C1-CFB6027A707D}">
      <text>
        <r>
          <rPr>
            <sz val="9"/>
            <color indexed="81"/>
            <rFont val="Tahoma"/>
            <family val="2"/>
          </rPr>
          <t>WILLIAM EVERARD Sr._x000D_
http://yeinfo.com/family/I09066223.html_x000D_
https://www.google.com/search?q=WILLIAM+EVERARD+1375+1404+{_?_}_x000D_
.born:c1375    -          Chelmsford (Essex) England_x000D_
.died: 1404    -          Essex county England, age:29y 0m 0d, _x000D_
.bapt: 1785GE_x000D_
.will: 2004MO_x000D_
.obit: 1890OH_x000D_
.bury: 1850IL _x000D_
.wpbt: 1826PA_x000D_
.anc#:double ancestor_x000D_
citiz:foreign_x000D_
#spos:1_x000D_
#srcs:1_x000D_
#comment:0_x000D_
#events:1_x000D_
#kids:1_x000D_
lived:ENESSEXCHELMSF_x000D_
issue:_x000D_
.recs:Birth,Marriage,Death_x000D_
.imm?:no_x000D_
..Spo:{_?_} EVERARD</t>
        </r>
      </text>
    </comment>
    <comment ref="W3950" authorId="0" shapeId="0" xr:uid="{9ABB8060-1CF1-495B-B1F5-DCC7ABB51A45}">
      <text>
        <r>
          <rPr>
            <sz val="9"/>
            <color indexed="81"/>
            <rFont val="Tahoma"/>
            <family val="2"/>
          </rPr>
          <t>ELIZABETH MALLORY_x000D_
http://yeinfo.com/family/I09066376.html_x000D_
https://www.google.com/search?q=ELIZABETH+MALLORY+1350+1375+EVERARD_x000D_
.born:?1350    -          _x000D_
.died: 1375    -1440     ?England, age:25y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..Spo:WALTER EVERARD</t>
        </r>
      </text>
    </comment>
    <comment ref="U3952" authorId="0" shapeId="0" xr:uid="{16C0F2A3-3075-4425-8226-DFF123BC5B05}">
      <text>
        <r>
          <rPr>
            <sz val="9"/>
            <color indexed="81"/>
            <rFont val="Tahoma"/>
            <family val="2"/>
          </rPr>
          <t>WILLIAM EVERARD Jr._x000D_
http://yeinfo.com/family/I09066031.html_x000D_
https://www.google.com/search?q=WILLIAM+EVERARD+1400+1432+ISABEL_x000D_
.born:c1400    -          Essex county England_x000D_
.died:?1432    -          Sandwich (Kent) England, age:32y 0m 0d, _x000D_
.bapt: 1785GE_x000D_
.will: 2004MO_x000D_
.obit: 1890OH_x000D_
.bury: 1850IL _x000D_
.wpbt: 1826PA_x000D_
.anc#:double ancestor_x000D_
citiz:foreign_x000D_
#spos:1_x000D_
#srcs:1_x000D_
#comment:0_x000D_
#events:1_x000D_
#kids:1_x000D_
lived:ENESSEX,ENKENT SANDWIC_x000D_
issue:_x000D_
.recs:Birth,Marriage,Death_x000D_
.imm?:no_x000D_
..Spo:ISABEL BEDALL</t>
        </r>
      </text>
    </comment>
    <comment ref="V3954" authorId="0" shapeId="0" xr:uid="{4C50B418-9857-492C-B682-81F4484355C6}">
      <text>
        <r>
          <rPr>
            <sz val="9"/>
            <color indexed="81"/>
            <rFont val="Tahoma"/>
            <family val="2"/>
          </rPr>
          <t>Mrs. {_?_} EVERARD_x000D_
http://yeinfo.com/family/I09066224.html_x000D_
https://www.google.com/search?q={_?_}+EVERARD+1375+1400+EVERARD_x000D_
.born:?1375    -          _x000D_
.died: 1400    -1465     ?England, age:25y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..Spo:WILLIAM EVERARD</t>
        </r>
      </text>
    </comment>
    <comment ref="T3956" authorId="0" shapeId="0" xr:uid="{035AD4BB-A07F-4894-AAE0-0B3AF26581BE}">
      <text>
        <r>
          <rPr>
            <sz val="9"/>
            <color indexed="81"/>
            <rFont val="Tahoma"/>
            <family val="2"/>
          </rPr>
          <t>JOHN EVERARD_x000D_
http://yeinfo.com/family/I09065855.html_x000D_
https://www.google.com/search?q=JOHN+EVERARD+1432+1463+CATHERINE+Appleyard_x000D_
.born: 1432    -          Chelmsford (Essex) England_x000D_
.died: 1463    -          Sandwich (Kent) England, age:31y 0m 0d, _x000D_
.bapt: 1785GE_x000D_
.will: 2004MO_x000D_
.obit: 1890OH_x000D_
.bury: 1850IL _x000D_
.wpbt: 1826PA_x000D_
.anc#:double ancestor_x000D_
citiz:foreign_x000D_
#spos:2_x000D_
#srcs:1_x000D_
#comment:0_x000D_
#events:2_x000D_
#kids:1_x000D_
lived:ENESSEXCHELMSF,ENKENT SANDWIC_x000D_
issue:_x000D_
.recs:Birth,Marriage,Death_x000D_
.imm?:no_x000D_
..Spo:CATHERINE MARSH</t>
        </r>
      </text>
    </comment>
    <comment ref="U3958" authorId="0" shapeId="0" xr:uid="{5F73631B-6D51-4280-B74F-D091054D3B9C}">
      <text>
        <r>
          <rPr>
            <sz val="9"/>
            <color indexed="81"/>
            <rFont val="Tahoma"/>
            <family val="2"/>
          </rPr>
          <t>ISABEL BEDALL_x000D_
http://yeinfo.com/family/I09066032.html_x000D_
https://www.google.com/search?q=ISABEL+BEDALL+1410+1509+EVERARD_x000D_
.born: 1410    -          Chelmsford (Essex) England_x000D_
.died:c1509    -          Sandwich (Kent) England, age:99y 0m 0d, _x000D_
.bapt: 1785GE_x000D_
.will: 2004MO_x000D_
.obit: 1890OH_x000D_
.bury: 1850IL _x000D_
.wpbt: 1826PA_x000D_
.anc#:double ancestor_x000D_
citiz:foreign_x000D_
#spos:1_x000D_
#srcs:1_x000D_
#comment:0_x000D_
#events:1_x000D_
#kids:1_x000D_
lived:ENESSEXCHELMSF,ENKENT SANDWIC_x000D_
issue:_x000D_
.recs:Birth,Marriage,Death_x000D_
.imm?:no_x000D_
..Spo:WILLIAM EVERARD</t>
        </r>
      </text>
    </comment>
    <comment ref="S3960" authorId="0" shapeId="0" xr:uid="{66C1911C-B703-45C7-AB71-C7E4420B43A3}">
      <text>
        <r>
          <rPr>
            <sz val="9"/>
            <color indexed="81"/>
            <rFont val="Tahoma"/>
            <family val="2"/>
          </rPr>
          <t>THOMAS EVERARD_x000D_
http://yeinfo.com/family/I09065714.html_x000D_
https://www.google.com/search?q=THOMAS+EVERARD+1455+1529+MARY+JOAN_x000D_
.born:c1455    -          Chelmsford (Essex) England_x000D_
.died: 1529    -          Great Waltham (Essex) England, age:74y 0m 0d, _x000D_
.bapt: 1785GE_x000D_
.will: 2004MO_x000D_
.obit: 1890OH_x000D_
.bury: 1850IL _x000D_
.wpbt: 1826PA_x000D_
.anc#:double ancestor_x000D_
citiz:foreign_x000D_
#spos:1_x000D_
#srcs:1_x000D_
#comment:0_x000D_
#events:1_x000D_
#kids:2_x000D_
lived:ENESSEXCHELMSF,ENESSEXGREATWA_x000D_
issue:_x000D_
.recs:Birth,Marriage,Death_x000D_
.imm?:no_x000D_
..Spo:MARY JOAN CORNISH</t>
        </r>
      </text>
    </comment>
    <comment ref="T3962" authorId="0" shapeId="0" xr:uid="{507BEF58-78EC-4CC8-8EBF-CE93EA2CEA16}">
      <text>
        <r>
          <rPr>
            <sz val="9"/>
            <color indexed="81"/>
            <rFont val="Tahoma"/>
            <family val="2"/>
          </rPr>
          <t>CATHERINE MARSH_x000D_
http://yeinfo.com/family/I09065856.html_x000D_
https://www.google.com/search?q=CATHERINE+MARSH+1434+1463+EVERARD_x000D_
.born:c1434    -          Chelmsford (Essex) England_x000D_
.died:c1463    -          England, age:29y 0m 0d, _x000D_
.bapt: 1785GE_x000D_
.will: 2004MO_x000D_
.obit: 1890OH_x000D_
.bury: 1850IL _x000D_
.wpbt: 1826PA_x000D_
.anc#:double ancestor_x000D_
citiz:foreign_x000D_
#spos:1_x000D_
#srcs:1_x000D_
#comment:0_x000D_
#events:1_x000D_
#kids:1_x000D_
lived:ENESSEXCHELMSF_x000D_
issue:_x000D_
.recs:Birth,Marriage,Death_x000D_
.imm?:no_x000D_
..Spo:JOHN EVERARD</t>
        </r>
      </text>
    </comment>
    <comment ref="R3964" authorId="0" shapeId="0" xr:uid="{C4B7F9E2-6DF5-4F27-B20E-11A08C7174CF}">
      <text>
        <r>
          <rPr>
            <sz val="9"/>
            <color indexed="81"/>
            <rFont val="Tahoma"/>
            <family val="2"/>
          </rPr>
          <t>HENRY EVERARD_x000D_
http://yeinfo.com/family/I09065573.html_x000D_
https://www.google.com/search?q=HENRY+EVERARD+1495+1551+{_?_}_x000D_
.born:c1495    -          Great Waltham (Essex) England_x000D_
.died:c1551    -          Sandwich (Kent) England, age:56y 0m 0d, _x000D_
.bapt: 1785GE_x000D_
.will: 2004MO_x000D_
.obit: 1890OH_x000D_
.bury: 1850IL _x000D_
.wpbt: 1826PA_x000D_
.anc#:ancestor_x000D_
citiz:foreign_x000D_
#spos:1_x000D_
#srcs:1_x000D_
#comment:0_x000D_
#events:1_x000D_
#kids:1_x000D_
lived:ENESSEXGREATWA,ENKENT SANDWIC_x000D_
issue:_x000D_
.recs:Birth,Marriage,Death_x000D_
.imm?:no_x000D_
..Spo:{_?_} EVERARD</t>
        </r>
      </text>
    </comment>
    <comment ref="U3966" authorId="0" shapeId="0" xr:uid="{AEF1EE65-61F0-4209-81AB-4A20F99F1753}">
      <text>
        <r>
          <rPr>
            <sz val="9"/>
            <color indexed="81"/>
            <rFont val="Tahoma"/>
            <family val="2"/>
          </rPr>
          <t>JOHN CORNISH_x000D_
http://yeinfo.com/family/I09066128.html_x000D_
https://www.google.com/search?q=JOHN+CORNISH+1390+1424+AGNES_x000D_
.born: 1390    -          Waltham Abbey (Essex) England_x000D_
.died: 1424    -1480     ?Essex county England, age:34y 0m 0d, _x000D_
.bapt: 1785GE_x000D_
.will: 2004MO_x000D_
.obit: 1890OH_x000D_
.bury: 1850IL _x000D_
.wpbt: 1826PA_x000D_
.anc#:double ancestor_x000D_
citiz:foreign_x000D_
#spos:1_x000D_
#srcs:2_x000D_
#comment:0_x000D_
#events:1_x000D_
#kids:1_x000D_
lived:ENESSEXWALTHAA_x000D_
issue:_x000D_
.recs:Birth,Marriage,Death_x000D_
.imm?:no_x000D_
..Spo:AGNES WALTHAM</t>
        </r>
      </text>
    </comment>
    <comment ref="T3968" authorId="0" shapeId="0" xr:uid="{54162D96-F61A-4324-AF26-126AF902CEF5}">
      <text>
        <r>
          <rPr>
            <sz val="9"/>
            <color indexed="81"/>
            <rFont val="Tahoma"/>
            <family val="2"/>
          </rPr>
          <t>JOHN CORNISH II_x000D_
http://yeinfo.com/family/I09065955.html_x000D_
https://www.google.com/search?q=JOHN+CORNISH+1424+1514+AGNES_x000D_
.born: 1424    -          Chelmsford (Essex) England_x000D_
.died: 15140107-          Essex county England, age:90y 0m 6d, _x000D_
.bapt: 1785GE_x000D_
.will: 2004MO_x000D_
.obit: 1890OH_x000D_
.bury: 1850IL _x000D_
.wpbt: 1826PA_x000D_
.anc#:double ancestor_x000D_
citiz:foreign_x000D_
#spos:1_x000D_
#srcs:4_x000D_
#comment:0_x000D_
#events:1_x000D_
#kids:1_x000D_
lived:ENESSEXCHELMSF,ENESSEXGREATWA_x000D_
issue:_x000D_
.recs:Birth,Marriage,Death_x000D_
.imm?:no_x000D_
..Spo:AGNES WALDEN</t>
        </r>
      </text>
    </comment>
    <comment ref="U3970" authorId="0" shapeId="0" xr:uid="{EA362B61-1BB2-4B5E-B61F-0D57DEBE9DD5}">
      <text>
        <r>
          <rPr>
            <sz val="9"/>
            <color indexed="81"/>
            <rFont val="Tahoma"/>
            <family val="2"/>
          </rPr>
          <t>AGNES WALTHAM_x000D_
http://yeinfo.com/family/I09066129.html_x000D_
https://www.google.com/search?q=AGNES+WALTHAM+1404+1424+CORNISH_x000D_
.born:?1404    -          Great Waltham (Essex) England_x000D_
.died: 1424    -1494      Mells (Somerset) England, age:20y 0m 0d, _x000D_
.bapt: 1785GE_x000D_
.will: 2004MO_x000D_
.obit: 1890OH_x000D_
.bury: 1850IL _x000D_
.wpbt: 1826PA_x000D_
.anc#:double ancestor_x000D_
citiz:foreign_x000D_
#spos:1_x000D_
#srcs:4_x000D_
#comment:0_x000D_
#events:1_x000D_
#kids:1_x000D_
lived:ENESSEXGREATWA,ENSOMESMELLS_x000D_
issue:_x000D_
.recs:Birth,Marriage,Death_x000D_
.imm?:no_x000D_
..Spo:JOHN CORNISH</t>
        </r>
      </text>
    </comment>
    <comment ref="S3972" authorId="0" shapeId="0" xr:uid="{64C52E38-8E09-45E6-B4D8-2DDAD6643A99}">
      <text>
        <r>
          <rPr>
            <sz val="9"/>
            <color indexed="81"/>
            <rFont val="Tahoma"/>
            <family val="2"/>
          </rPr>
          <t>MARY JOAN CORNISH_x000D_
http://yeinfo.com/family/I09065715.html_x000D_
https://www.google.com/search?q=MARY+JOAN+CORNISH+1462+1498+EVERARD_x000D_
.born:c1462    -          Chelmsford (Essex) England_x000D_
.died: 1498    -          Sandwich (Kent) England, age:36y 0m 0d, _x000D_
.bapt: 1785GE_x000D_
.will: 2004MO_x000D_
.obit: 1890OH_x000D_
.bury: 1850IL _x000D_
.wpbt: 1826PA_x000D_
.anc#:double ancestor_x000D_
citiz:foreign_x000D_
#spos:1_x000D_
#srcs:1_x000D_
#comment:0_x000D_
#events:1_x000D_
#kids:2_x000D_
lived:ENESSEXCHELMSF,ENKENT SANDWIC_x000D_
issue:Born before Parents Married,Died after Age 100_x000D_
.recs:Birth,Marriage,Death_x000D_
.imm?:no_x000D_
..Spo:THOMAS EVERARD</t>
        </r>
      </text>
    </comment>
    <comment ref="T3974" authorId="0" shapeId="0" xr:uid="{D4793EBA-11B1-4BCC-8E56-8EC0BC92A494}">
      <text>
        <r>
          <rPr>
            <sz val="9"/>
            <color indexed="81"/>
            <rFont val="Tahoma"/>
            <family val="2"/>
          </rPr>
          <t>AGNES WALDEN_x000D_
http://yeinfo.com/family/I09065956.html_x000D_
https://www.google.com/search?q=AGNES+WALDEN+1430+1490+CORNISH_x000D_
.born: 1430    -          Great Waltham (Essex) England_x000D_
.died: 14900107-          Great Waltham (Essex) England, age:60y 0m 6d, _x000D_
.bapt: 1785GE_x000D_
.will: 2004MO_x000D_
.obit: 1890OH_x000D_
.bury: 1850IL _x000D_
.wpbt: 1826PA_x000D_
.anc#:double ancestor_x000D_
citiz:foreign_x000D_
#spos:1_x000D_
#srcs:4_x000D_
#comment:1_x000D_
#events:1_x000D_
#kids:1_x000D_
lived:ENESSEXGREATWA,ENKENT CANTERB_x000D_
issue:_x000D_
.recs:Birth,Marriage,Death_x000D_
.imm?:no_x000D_
..Spo:JOHN CORNISH</t>
        </r>
      </text>
    </comment>
    <comment ref="Q3976" authorId="0" shapeId="0" xr:uid="{8B3C0940-6DAB-43E3-81F7-B5092C74E476}">
      <text>
        <r>
          <rPr>
            <sz val="9"/>
            <color indexed="81"/>
            <rFont val="Tahoma"/>
            <family val="2"/>
          </rPr>
          <t>THOMAS EVERARD_x000D_
http://yeinfo.com/family/I09043388.html_x000D_
https://www.google.com/search?q=THOMAS+EVERARD+1521+1551+MARGARET_x000D_
.born:c1521    -          Chelmsford (Essex) England_x000D_
.died: 15510710-          London (Middlesex) England, age:30y 6m 9d, _x000D_
.bapt: 1785GE_x000D_
.will: 2004MO_x000D_
.obit: 1890OH_x000D_
.bury: 1850IL _x000D_
.wpbt: 1826PA_x000D_
.anc#:ancestor_x000D_
citiz:foreign_x000D_
#spos:1_x000D_
#srcs:1_x000D_
#comment:0_x000D_
#events:1_x000D_
#kids:1_x000D_
lived:ENESSEXCHELMSF,ENMIDDLLONDON_x000D_
issue:_x000D_
.recs:Birth,Marriage,Death_x000D_
.imm?:no_x000D_
..Spo:MARGARET WISEMAN</t>
        </r>
      </text>
    </comment>
    <comment ref="R3978" authorId="0" shapeId="0" xr:uid="{1F87D2FC-C08F-45F1-B4FC-41DF9FAFEB02}">
      <text>
        <r>
          <rPr>
            <sz val="9"/>
            <color indexed="81"/>
            <rFont val="Tahoma"/>
            <family val="2"/>
          </rPr>
          <t>Mrs. {_?_} EVERARD_x000D_
http://yeinfo.com/family/I09065574.html_x000D_
https://www.google.com/search?q={_?_}+EVERARD+1500+1521+EVERARD_x000D_
.born:?1500    -          _x000D_
.died: 1521    -1590     ?England, age:21y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..Spo:HENRY EVERARD</t>
        </r>
      </text>
    </comment>
    <comment ref="P3980" authorId="0" shapeId="0" xr:uid="{CF1A86C9-80B3-4E80-95B1-4B32BA910A9E}">
      <text>
        <r>
          <rPr>
            <sz val="9"/>
            <color indexed="81"/>
            <rFont val="Tahoma"/>
            <family val="2"/>
          </rPr>
          <t>JOHN EVERARD_x000D_
http://yeinfo.com/family/I09021694.html_x000D_
https://www.google.com/search?q=JOHN+EVERARD+1545+1598+JUDITH_x000D_
.born:c1545    -          Chelmsford (Essex) England_x000D_
.died: 15980517-          London (Middlesex) England, age:53y 4m 16d, _x000D_
.bapt: 1785GE_x000D_
.will: 2004MO_x000D_
.obit: 1890OH_x000D_
.bury: 1850IL _x000D_
.wpbt: 1826PA_x000D_
.anc#:ancestor_x000D_
citiz:foreign_x000D_
#spos:1_x000D_
#srcs:1_x000D_
#comment:0_x000D_
#events:1_x000D_
#kids:1_x000D_
lived:ENESSEXCHELMSF,ENMIDDLLONDON_x000D_
issue:_x000D_
.recs:Birth,Marriage,Death_x000D_
.imm?:no_x000D_
..Spo:JUDITH BOURNE</t>
        </r>
      </text>
    </comment>
    <comment ref="Z3982" authorId="0" shapeId="0" xr:uid="{AD3A9341-5A52-4175-BB3C-C23386860DD4}">
      <text>
        <r>
          <rPr>
            <sz val="9"/>
            <color indexed="81"/>
            <rFont val="Tahoma"/>
            <family val="2"/>
          </rPr>
          <t>ALEXANDER WISEMAN_x000D_
http://yeinfo.com/family/I09066663.html_x000D_
https://www.google.com/search?q=ALEXANDER+WISEMAN+1320+1340+{_?_}_x000D_
.born:?1320    -          England_x000D_
.died: 1340    -1410     ?England, age:20y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..Spo:{_?_} WISEMAN</t>
        </r>
      </text>
    </comment>
    <comment ref="Y3984" authorId="0" shapeId="0" xr:uid="{B460B438-81D7-4236-8681-569AA6364D67}">
      <text>
        <r>
          <rPr>
            <sz val="9"/>
            <color indexed="81"/>
            <rFont val="Tahoma"/>
            <family val="2"/>
          </rPr>
          <t>SIMON WISEMAN_x000D_
http://yeinfo.com/family/I09066600.html_x000D_
https://www.google.com/search?q=SIMON+WISEMAN+1340+1360+{_?_}_x000D_
.born:?1340    -          England_x000D_
.died: 1360    -1430     ?England, age:20y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..Spo:{_?_} WISEMAN</t>
        </r>
      </text>
    </comment>
    <comment ref="Z3986" authorId="0" shapeId="0" xr:uid="{C2697115-658C-4081-B6BA-F280E2FB479F}">
      <text>
        <r>
          <rPr>
            <sz val="9"/>
            <color indexed="81"/>
            <rFont val="Tahoma"/>
            <family val="2"/>
          </rPr>
          <t>Mrs. {_?_} WISEMAN_x000D_
http://yeinfo.com/family/I09066664.html_x000D_
https://www.google.com/search?q={_?_}+WISEMAN+1320+1340+WISEMAN_x000D_
.born:?1320    -          _x000D_
.died: 1340    -1410     ?England, age:20y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..Spo:ALEXANDER WISEMAN</t>
        </r>
      </text>
    </comment>
    <comment ref="X3988" authorId="0" shapeId="0" xr:uid="{5E9ACDC9-9F20-43E4-BF41-3C883DC5A7C8}">
      <text>
        <r>
          <rPr>
            <sz val="9"/>
            <color indexed="81"/>
            <rFont val="Tahoma"/>
            <family val="2"/>
          </rPr>
          <t>JOHN WISEMAN_x000D_
http://yeinfo.com/family/I09066548.html_x000D_
https://www.google.com/search?q=JOHN+WISEMAN+1360+1380+MAWDLYN_x000D_
.born:?1360    -          England_x000D_
.died: 1380    -1450     ?England, age:20y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..Spo:MAWDLYN ROCKWELL</t>
        </r>
      </text>
    </comment>
    <comment ref="Y3990" authorId="0" shapeId="0" xr:uid="{C1BB2CC0-BBB1-43C0-B147-F73091579007}">
      <text>
        <r>
          <rPr>
            <sz val="9"/>
            <color indexed="81"/>
            <rFont val="Tahoma"/>
            <family val="2"/>
          </rPr>
          <t>Mrs. {_?_} WISEMAN_x000D_
http://yeinfo.com/family/I09066601.html_x000D_
https://www.google.com/search?q={_?_}+WISEMAN+1340+1360+WISEMAN_x000D_
.born:?1340    -          _x000D_
.died: 1360    -1430     ?England, age:20y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..Spo:SIMON WISEMAN</t>
        </r>
      </text>
    </comment>
    <comment ref="W3992" authorId="0" shapeId="0" xr:uid="{214D5702-B98C-4431-966D-B77357D3E97A}">
      <text>
        <r>
          <rPr>
            <sz val="9"/>
            <color indexed="81"/>
            <rFont val="Tahoma"/>
            <family val="2"/>
          </rPr>
          <t>ROBERT WISEMAN_x000D_
http://yeinfo.com/family/I09066377.html_x000D_
https://www.google.com/search?q=ROBERT+WISEMAN+1380+1400+MARY\MARTHA_x000D_
.born:?1380    -          England_x000D_
.died: 1400    -1470     ?England, age:20y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..Spo:MARY\MARTHA HUBERT</t>
        </r>
      </text>
    </comment>
    <comment ref="X3994" authorId="0" shapeId="0" xr:uid="{3F6D89FD-6FB7-480B-894E-3C3B62086079}">
      <text>
        <r>
          <rPr>
            <sz val="9"/>
            <color indexed="81"/>
            <rFont val="Tahoma"/>
            <family val="2"/>
          </rPr>
          <t>MAWDLYN ROCKWELL_x000D_
http://yeinfo.com/family/I09066549.html_x000D_
https://www.google.com/search?q=MAWDLYN+ROCKWELL+1360+1380+WISEMAN_x000D_
.born:?1360    -          England_x000D_
.died: 1380    -1450     ?England, age:20y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..Spo:JOHN WISEMAN</t>
        </r>
      </text>
    </comment>
    <comment ref="V3996" authorId="0" shapeId="0" xr:uid="{E2EA14F8-1C55-43B4-A588-3B34BDDDA995}">
      <text>
        <r>
          <rPr>
            <sz val="9"/>
            <color indexed="81"/>
            <rFont val="Tahoma"/>
            <family val="2"/>
          </rPr>
          <t>GEORGE WISEMAN_x000D_
http://yeinfo.com/family/I09066225.html_x000D_
https://www.google.com/search?q=GEORGE+WISEMAN+1400+1420+MARGARET_x000D_
.born:?1400    -          England_x000D_
.died: 1420    -1490     ?England, age:20y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..Spo:MARGARET GARNISHE</t>
        </r>
      </text>
    </comment>
    <comment ref="W3998" authorId="0" shapeId="0" xr:uid="{D47C6E16-CAC0-4D8A-AFFC-3AFB271018FF}">
      <text>
        <r>
          <rPr>
            <sz val="9"/>
            <color indexed="81"/>
            <rFont val="Tahoma"/>
            <family val="2"/>
          </rPr>
          <t>MARY\MARTHA HUBERT_x000D_
http://yeinfo.com/family/I09066378.html_x000D_
https://www.google.com/search?q=MARY\MARTHA+HUBERT+1380+1400+WISEMAN_x000D_
.born:?1380    -          England_x000D_
.died: 1400    -1470     ?England, age:20y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..Spo:ROBERT WISEMAN</t>
        </r>
      </text>
    </comment>
    <comment ref="U4000" authorId="0" shapeId="0" xr:uid="{AF69BEB4-6951-4500-BE08-673D7479707E}">
      <text>
        <r>
          <rPr>
            <sz val="9"/>
            <color indexed="81"/>
            <rFont val="Tahoma"/>
            <family val="2"/>
          </rPr>
          <t>JOHN WISEMAN_x000D_
http://yeinfo.com/family/I09066033.html_x000D_
https://www.google.com/search?q=JOHN+WISEMAN+1420+1440+ANNE_x000D_
.born:?1420    -          North End (Essex) England_x000D_
.died: 1440    -1510     ?England, age:20y 0m 0d, _x000D_
.bapt: 1785GE_x000D_
.will: 2004MO_x000D_
.obit: 1890OH_x000D_
.bury: 1850IL _x000D_
.wpbt: 1826PA_x000D_
.anc#:ancestor_x000D_
citiz:foreign_x000D_
#spos:1_x000D_
#srcs:1_x000D_
#comment:0_x000D_
#events:1_x000D_
#kids:1_x000D_
lived:ENESSEXNORTHEN_x000D_
issue:_x000D_
.recs:Birth,Marriage,Death_x000D_
.imm?:no_x000D_
..Spo:ANNE WYNDHAM</t>
        </r>
      </text>
    </comment>
    <comment ref="V4002" authorId="0" shapeId="0" xr:uid="{7003E085-0C6D-48F0-B896-239C74015991}">
      <text>
        <r>
          <rPr>
            <sz val="9"/>
            <color indexed="81"/>
            <rFont val="Tahoma"/>
            <family val="2"/>
          </rPr>
          <t>MARGARET GARNISHE_x000D_
http://yeinfo.com/family/I09066226.html_x000D_
https://www.google.com/search?q=MARGARET+GARNISHE+1400+1420+WISEMAN_x000D_
.born:?1400    -          England_x000D_
.died: 1420    -1490     ?England, age:20y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..Spo:GEORGE WISEMAN</t>
        </r>
      </text>
    </comment>
    <comment ref="T4004" authorId="0" shapeId="0" xr:uid="{3D5BCA04-41A1-4D64-A47C-C359D59A8082}">
      <text>
        <r>
          <rPr>
            <sz val="9"/>
            <color indexed="81"/>
            <rFont val="Tahoma"/>
            <family val="2"/>
          </rPr>
          <t>SIMON\WILLIAM WISEMAN_x000D_
http://yeinfo.com/family/I09065857.html_x000D_
https://www.google.com/search?q=SIMON\WILLIAM+WISEMAN+1440+1483+MARGARET_x000D_
.born:c1440    -          Rivenhall (Essex) England_x000D_
.died: 1483    -          Buckenham (Norfolk) England, age:43y 0m 0d, _x000D_
.bapt: 1785GE_x000D_
.will: 2004MO_x000D_
.obit: 1890OH_x000D_
.bury: 1850IL _x000D_
.wpbt: 1826PA_x000D_
.anc#:ancestor_x000D_
citiz:foreign_x000D_
#spos:1_x000D_
#srcs:1_x000D_
#comment:0_x000D_
#events:1_x000D_
#kids:1_x000D_
lived:ENESSEXRIVENHA,ENNORFOBUCKENH_x000D_
issue:_x000D_
.recs:Birth,Marriage,Death_x000D_
.imm?:no_x000D_
..Spo:MARGARET BOKINGHAM</t>
        </r>
      </text>
    </comment>
    <comment ref="U4006" authorId="0" shapeId="0" xr:uid="{D71A8DC0-483C-4E76-902E-495ACC76462B}">
      <text>
        <r>
          <rPr>
            <sz val="9"/>
            <color indexed="81"/>
            <rFont val="Tahoma"/>
            <family val="2"/>
          </rPr>
          <t>ANNE WYNDHAM_x000D_
http://yeinfo.com/family/I09066034.html_x000D_
https://www.google.com/search?q=ANNE+WYNDHAM+1420+1440+WISEMAN_x000D_
.born:?1420    -          Norfolk county England_x000D_
.died: 1440    -1510     ?England, age:20y 0m 0d, _x000D_
.bapt: 1785GE_x000D_
.will: 2004MO_x000D_
.obit: 1890OH_x000D_
.bury: 1850IL _x000D_
.wpbt: 1826PA_x000D_
.anc#:ancestor_x000D_
citiz:foreign_x000D_
#spos:1_x000D_
#srcs:1_x000D_
#comment:0_x000D_
#events:1_x000D_
#kids:1_x000D_
lived:ENNORFO_x000D_
issue:_x000D_
.recs:Birth,Marriage,Death_x000D_
.imm?:no_x000D_
..Spo:JOHN WISEMAN</t>
        </r>
      </text>
    </comment>
    <comment ref="S4008" authorId="0" shapeId="0" xr:uid="{88953A77-0481-47DF-B880-63EB09CF9CC0}">
      <text>
        <r>
          <rPr>
            <sz val="9"/>
            <color indexed="81"/>
            <rFont val="Tahoma"/>
            <family val="2"/>
          </rPr>
          <t>WILLIAM WISEMAN_x000D_
http://yeinfo.com/family/I09065716.html_x000D_
https://www.google.com/search?q=WILLIAM+WISEMAN+1463+1495+MARY_x000D_
.born: 1463    -          Essex county England_x000D_
.died: 14950817-          Suffolk county England, age:32y 7m 16d, _x000D_
.bapt: 1785GE_x000D_
.will: 2004MO_x000D_
.obit: 1890OH_x000D_
.bury: 1850IL _x000D_
.wpbt: 1826PA_x000D_
.anc#:ancestor_x000D_
citiz:foreign_x000D_
#spos:1_x000D_
#srcs:1_x000D_
#comment:0_x000D_
#events:1_x000D_
#kids:1_x000D_
lived:ENESSEX,ENSUFFO_x000D_
issue:_x000D_
.recs:Birth,Marriage,Death_x000D_
.imm?:no_x000D_
..Spo:MARY GLASCOCK</t>
        </r>
      </text>
    </comment>
    <comment ref="T4010" authorId="0" shapeId="0" xr:uid="{551E6DBD-1EEC-4060-827E-47969B6CC388}">
      <text>
        <r>
          <rPr>
            <sz val="9"/>
            <color indexed="81"/>
            <rFont val="Tahoma"/>
            <family val="2"/>
          </rPr>
          <t>MARGARET BOKINGHAM_x000D_
http://yeinfo.com/family/I09065858.html_x000D_
https://www.google.com/search?q=MARGARET+BOKINGHAM+1440+1529+WISEMAN_x000D_
.born: 1440    -          England_x000D_
.died:c1529    -          England, age:89y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..Spo:SIMON\WILLIAM WISEMAN</t>
        </r>
      </text>
    </comment>
    <comment ref="R4012" authorId="0" shapeId="0" xr:uid="{29278855-B56B-428A-B525-F447FC3EF505}">
      <text>
        <r>
          <rPr>
            <sz val="9"/>
            <color indexed="81"/>
            <rFont val="Tahoma"/>
            <family val="2"/>
          </rPr>
          <t>JOHN WISEMAN_x000D_
http://yeinfo.com/family/I09065575.html_x000D_
https://www.google.com/search?q=JOHN+WISEMAN+1495+1558+AGNES_x000D_
.born:c1495    -          Great Canfield (Essex) England_x000D_
.died: 15580817-          Great Canfield (Essex) England, age:63y 7m 16d, _x000D_
.bapt: 1785GE_x000D_
.will: 2004MO_x000D_
.obit: 1890OH_x000D_
.bury: 1850IL _x000D_
.wpbt: 1826PA_x000D_
.anc#:ancestor_x000D_
citiz:foreign_x000D_
#spos:1_x000D_
#srcs:1_x000D_
#comment:0_x000D_
#events:1_x000D_
#kids:1_x000D_
lived:ENESSEXGREAT C_x000D_
issue:_x000D_
.recs:Birth,Marriage,Death_x000D_
.imm?:no_x000D_
..Spo:AGNES JOSSLYN</t>
        </r>
      </text>
    </comment>
    <comment ref="U4014" authorId="0" shapeId="0" xr:uid="{1B440766-DED1-43F1-89B0-3774778EDF7F}">
      <text>
        <r>
          <rPr>
            <sz val="9"/>
            <color indexed="81"/>
            <rFont val="Tahoma"/>
            <family val="2"/>
          </rPr>
          <t>HENRY GLASCOCK_x000D_
http://yeinfo.com/family/I09066035.html_x000D_
https://www.google.com/search?q=HENRY+GLASCOCK+1419+1445+GRACE_x000D_
.born:c1419    -          England_x000D_
.died: 1445    -1509     ?England, age:26y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..Spo:GRACE EUMINO</t>
        </r>
      </text>
    </comment>
    <comment ref="T4016" authorId="0" shapeId="0" xr:uid="{85966C51-0E42-41DE-9730-F639C4651F2D}">
      <text>
        <r>
          <rPr>
            <sz val="9"/>
            <color indexed="81"/>
            <rFont val="Tahoma"/>
            <family val="2"/>
          </rPr>
          <t>HENRY GLASCOCK_x000D_
http://yeinfo.com/family/I09065859.html_x000D_
https://www.google.com/search?q=HENRY+GLASCOCK+1445+1473+MARGERY_x000D_
.born: 1445    -          Essex county England_x000D_
.died: 1473    -1535     ?England, age:28y 0m 0d, _x000D_
.bapt: 1785GE_x000D_
.will: 2004MO_x000D_
.obit: 1890OH_x000D_
.bury: 1850IL _x000D_
.wpbt: 1826PA_x000D_
.anc#:ancestor_x000D_
citiz:foreign_x000D_
#spos:1_x000D_
#srcs:1_x000D_
#comment:0_x000D_
#events:1_x000D_
#kids:1_x000D_
lived:ENESSEX_x000D_
issue:_x000D_
.recs:Birth,Marriage,Death_x000D_
.imm?:no_x000D_
..Spo:MARGERY FITCH</t>
        </r>
      </text>
    </comment>
    <comment ref="U4018" authorId="0" shapeId="0" xr:uid="{1B43F12A-EAD2-4656-BB40-8B91EBCD2A29}">
      <text>
        <r>
          <rPr>
            <sz val="9"/>
            <color indexed="81"/>
            <rFont val="Tahoma"/>
            <family val="2"/>
          </rPr>
          <t>GRACE EUMINO_x000D_
http://yeinfo.com/family/I09066036.html_x000D_
https://www.google.com/search?q=GRACE+EUMINO+1423+1445+GLASCOCK_x000D_
.born:c1423    -         ?England_x000D_
.died: 1445    -1513     ?England, age:22y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..Spo:HENRY GLASCOCK</t>
        </r>
      </text>
    </comment>
    <comment ref="S4020" authorId="0" shapeId="0" xr:uid="{CAEF12BD-43C7-43F9-8900-FDF18EEDF227}">
      <text>
        <r>
          <rPr>
            <sz val="9"/>
            <color indexed="81"/>
            <rFont val="Tahoma"/>
            <family val="2"/>
          </rPr>
          <t>MARY GLASCOCK_x000D_
http://yeinfo.com/family/I09065717.html_x000D_
https://www.google.com/search?q=MARY+GLASCOCK+1473+1558+WISEMAN_x000D_
.born: 1473    -          Essex county England_x000D_
.died: 15580817-          England, age:85y 7m 16d, _x000D_
.bapt: 1785GE_x000D_
.will: 2004MO_x000D_
.obit: 1890OH_x000D_
.bury: 1850IL _x000D_
.wpbt: 1826PA_x000D_
.anc#:ancestor_x000D_
citiz:foreign_x000D_
#spos:1_x000D_
#srcs:1_x000D_
#comment:0_x000D_
#events:1_x000D_
#kids:1_x000D_
lived:ENESSEX_x000D_
issue:Died after Age 100_x000D_
.recs:Birth,Marriage,Death_x000D_
.imm?:no_x000D_
..Spo:WILLIAM WISEMAN</t>
        </r>
      </text>
    </comment>
    <comment ref="T4022" authorId="0" shapeId="0" xr:uid="{0309A884-97BA-48DB-92A1-E8523F4272CB}">
      <text>
        <r>
          <rPr>
            <sz val="9"/>
            <color indexed="81"/>
            <rFont val="Tahoma"/>
            <family val="2"/>
          </rPr>
          <t>MARGERY FITCH_x000D_
http://yeinfo.com/family/I09065860.html_x000D_
https://www.google.com/search?q=MARGERY+FITCH+1449+1473+GLASCOCK_x000D_
.born: 1449    -          Kent county England_x000D_
.died: 1473    -1539      Great Canfield (Essex) England, age:24y 0m 0d, _x000D_
.bapt: 1785GE_x000D_
.will: 2004MO_x000D_
.obit: 1890OH_x000D_
.bury: 1850IL _x000D_
.wpbt: 1826PA_x000D_
.anc#:ancestor_x000D_
citiz:foreign_x000D_
#spos:1_x000D_
#srcs:1_x000D_
#comment:0_x000D_
#events:1_x000D_
#kids:1_x000D_
lived:ENESSEXGREAT C,ENKENT_x000D_
issue:_x000D_
.recs:Birth,Marriage,Death_x000D_
.imm?:no_x000D_
..Spo:HENRY GLASCOCK</t>
        </r>
      </text>
    </comment>
    <comment ref="Q4024" authorId="0" shapeId="0" xr:uid="{8CB5C491-4AA9-4832-8A72-08BC119E80C5}">
      <text>
        <r>
          <rPr>
            <sz val="9"/>
            <color indexed="81"/>
            <rFont val="Tahoma"/>
            <family val="2"/>
          </rPr>
          <t>MARGARET WISEMAN_x000D_
http://yeinfo.com/family/I09043389.html_x000D_
https://www.google.com/search?q=MARGARET+WISEMAN+1525+1585+EVERARD_x000D_
.born:c1525    -          Great Canfield (Essex) England_x000D_
.died: 15850716-          Runwell (Essex) England, age:60y 6m 15d, _x000D_
.bapt: 1785GE_x000D_
.will: 2004MO_x000D_
.obit: 1890OH_x000D_
.bury: 1850IL _x000D_
.wpbt: 1826PA_x000D_
.anc#:ancestor_x000D_
citiz:foreign_x000D_
#spos:1_x000D_
#srcs:1_x000D_
#comment:1_x000D_
#events:1_x000D_
#kids:1_x000D_
lived:ENESSEXGREAT C,ENESSEXRUNWELL_x000D_
issue:_x000D_
.recs:Birth,Marriage,Death_x000D_
.imm?:no_x000D_
..Spo:THOMAS EVERARD</t>
        </r>
      </text>
    </comment>
    <comment ref="V4026" authorId="0" shapeId="0" xr:uid="{7DE6CB2F-B147-4917-B9A9-1ECB4C151885}">
      <text>
        <r>
          <rPr>
            <sz val="9"/>
            <color indexed="81"/>
            <rFont val="Tahoma"/>
            <family val="2"/>
          </rPr>
          <t>GEOFFREY JOSSLYN Sr._x000D_
http://yeinfo.com/family/I09066227.html_x000D_
https://www.google.com/search?q=GEOFFREY+JOSSLYN+1374+1425+JOAN_x000D_
.born:c1374    -          Sawbridgeworth (Hertfordshire) England_x000D_
.died:c1425    -          Sawbridgeworth (Hertfordshire) England, age:51y 0m 0d, _x000D_
.bapt: 1785GE_x000D_
.will: 2004MO_x000D_
.obit: 1890OH_x000D_
.bury: 1850IL _x000D_
.wpbt: 1826PA_x000D_
.anc#:ancestor_x000D_
citiz:foreign_x000D_
#spos:1_x000D_
#srcs:1_x000D_
#comment:0_x000D_
#events:1_x000D_
#kids:1_x000D_
lived:ENHERTFSAWBRID_x000D_
issue:_x000D_
.recs:Birth,Marriage,Death_x000D_
.imm?:no_x000D_
..Spo:JOAN BERRIE</t>
        </r>
      </text>
    </comment>
    <comment ref="U4028" authorId="0" shapeId="0" xr:uid="{833D2DAC-D98B-4803-99E2-8BDC4BFA5BAF}">
      <text>
        <r>
          <rPr>
            <sz val="9"/>
            <color indexed="81"/>
            <rFont val="Tahoma"/>
            <family val="2"/>
          </rPr>
          <t>GEOFFREY\JEFFREY JOSSLYN Jr._x000D_
http://yeinfo.com/family/I09066037.html_x000D_
https://www.google.com/search?q=GEOFFREY\JEFFREY+JOSSLYN+1423+1471+CATHERINE\KATHERINE_x000D_
.born: 1423    -          Sheering (Essex) England_x000D_
.died: 14710102-          , age:48y 0m 1d, _x000D_
.bapt: 1785GE_x000D_
.will: 2004MO_x000D_
.obit: 1890OH_x000D_
.bury: 1850IL _x000D_
.wpbt: 1826PA_x000D_
.anc#:ancestor_x000D_
citiz:foreign_x000D_
#spos:1_x000D_
#srcs:2_x000D_
#comment:0_x000D_
#events:1_x000D_
#kids:1_x000D_
lived:ENESSEXSHEERNG_x000D_
issue:Died after Age 100_x000D_
.recs:Birth,Marriage,Death_x000D_
.imm?:no_x000D_
..Spo:CATHERINE\KATHERINE BRAYE</t>
        </r>
      </text>
    </comment>
    <comment ref="W4030" authorId="0" shapeId="0" xr:uid="{4F2644B2-D009-4085-8B04-A151ED3DACD9}">
      <text>
        <r>
          <rPr>
            <sz val="9"/>
            <color indexed="81"/>
            <rFont val="Tahoma"/>
            <family val="2"/>
          </rPr>
          <t>THOMAS BERRIE_x000D_
http://yeinfo.com/family/I09066379.html_x000D_
https://www.google.com/search?q=THOMAS+BERRIE+1350+1381+{_?_}_x000D_
.born:c1350    -          Sawbridgeworth (Hertfordshire) England_x000D_
.died: 1381    -          Hertfordshire county England, age:31y 0m 0d, _x000D_
.bapt: 1785GE_x000D_
.will: 2004MO_x000D_
.obit: 1890OH_x000D_
.bury: 1850IL _x000D_
.wpbt: 1826PA_x000D_
.anc#:ancestor_x000D_
citiz:foreign_x000D_
#spos:1_x000D_
#srcs:1_x000D_
#comment:0_x000D_
#events:1_x000D_
#kids:1_x000D_
lived:ENHERTFSAWBRID_x000D_
issue:_x000D_
.recs:Birth,Marriage,Death_x000D_
.imm?:no_x000D_
..Spo:{_?_} BERRIE</t>
        </r>
      </text>
    </comment>
    <comment ref="V4032" authorId="0" shapeId="0" xr:uid="{096C75BD-173A-48D8-9A28-D0FA062A8C81}">
      <text>
        <r>
          <rPr>
            <sz val="9"/>
            <color indexed="81"/>
            <rFont val="Tahoma"/>
            <family val="2"/>
          </rPr>
          <t>JOAN BERRIE_x000D_
http://yeinfo.com/family/I09066228.html_x000D_
https://www.google.com/search?q=JOAN+BERRIE+1378+1425+JOSSLYN_x000D_
.born:c1378    -          Sawbridgeworth (Hertfordshire) England_x000D_
.died:c1425    -          England, age:47y 0m 0d, _x000D_
.bapt: 1785GE_x000D_
.will: 2004MO_x000D_
.obit: 1890OH_x000D_
.bury: 1850IL _x000D_
.wpbt: 1826PA_x000D_
.anc#:ancestor_x000D_
citiz:foreign_x000D_
#spos:1_x000D_
#srcs:1_x000D_
#comment:0_x000D_
#events:1_x000D_
#kids:1_x000D_
lived:ENHERTFSAWBRID_x000D_
issue:_x000D_
.recs:Birth,Marriage,Death_x000D_
.imm?:no_x000D_
..Spo:GEOFFREY JOSSLYN</t>
        </r>
      </text>
    </comment>
    <comment ref="W4034" authorId="0" shapeId="0" xr:uid="{C4ACA30B-4AE2-4AEA-899D-519F46CDF638}">
      <text>
        <r>
          <rPr>
            <sz val="9"/>
            <color indexed="81"/>
            <rFont val="Tahoma"/>
            <family val="2"/>
          </rPr>
          <t>Mrs. {_?_} BERRIE_x000D_
http://yeinfo.com/family/I09066380.html_x000D_
https://www.google.com/search?q={_?_}+BERRIE+1355+1378+BERRIE_x000D_
.born:?1355    -          _x000D_
.died: 1378    -1445     ?England, age:23y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..Spo:THOMAS BERRIE</t>
        </r>
      </text>
    </comment>
    <comment ref="T4036" authorId="0" shapeId="0" xr:uid="{DCD8E74E-616F-4196-B8CD-8CEC37DD6E5D}">
      <text>
        <r>
          <rPr>
            <sz val="9"/>
            <color indexed="81"/>
            <rFont val="Tahoma"/>
            <family val="2"/>
          </rPr>
          <t>JOHN JOSSLYN_x000D_
http://yeinfo.com/family/I09065861.html_x000D_
https://www.google.com/search?q=JOHN+JOSSLYN+1449+1524+ANNE\JEANNE_x000D_
.born: 1449    -          Sheering (Essex) England_x000D_
.died: 152408  -          Sheering (Essex) England, age:75y 7m 0d, _x000D_
.bapt: 1785GE_x000D_
.will: 2004MO_x000D_
.obit: 1890OH_x000D_
.bury: 1850IL _x000D_
.wpbt: 1826PA_x000D_
.anc#:ancestor_x000D_
citiz:foreign_x000D_
#spos:1_x000D_
#srcs:2_x000D_
#comment:0_x000D_
#events:1_x000D_
#kids:2_x000D_
lived:ENESSEXSHEERNG_x000D_
issue:_x000D_
.recs:Birth,Marriage,Death_x000D_
.imm?:no_x000D_
..Spo:ANNE\JEANNE LAVENHAM</t>
        </r>
      </text>
    </comment>
    <comment ref="W4038" authorId="0" shapeId="0" xr:uid="{A4FCEC83-77E3-4D8D-8B56-48DF83431B41}">
      <text>
        <r>
          <rPr>
            <sz val="9"/>
            <color indexed="81"/>
            <rFont val="Tahoma"/>
            <family val="2"/>
          </rPr>
          <t>WILLIAM BRAYE_x000D_
http://yeinfo.com/family/I09066381.html_x000D_
https://www.google.com/search?q=WILLIAM+BRAYE+1328+1357+{_?_}_x000D_
.born:c1328    -          Leighton Buzzard (Bedfordshire) England_x000D_
.died: 1357    -1418      Bedfordshire county England, age:29y 0m 0d, _x000D_
.bapt: 1785GE_x000D_
.will: 2004MO_x000D_
.obit: 1890OH_x000D_
.bury: 1850IL _x000D_
.wpbt: 1826PA_x000D_
.anc#:ancestor_x000D_
citiz:foreign_x000D_
#spos:1_x000D_
#srcs:2_x000D_
#comment:1_x000D_
#events:1_x000D_
#kids:1_x000D_
lived:ENBEDFOLEIGHTB_x000D_
issue:_x000D_
.recs:Birth,Marriage,Death_x000D_
.imm?:no_x000D_
..Spo:{_?_} BRAYE</t>
        </r>
      </text>
    </comment>
    <comment ref="V4040" authorId="0" shapeId="0" xr:uid="{3B625FE7-F4BC-4558-9228-1C39080B92D9}">
      <text>
        <r>
          <rPr>
            <sz val="9"/>
            <color indexed="81"/>
            <rFont val="Tahoma"/>
            <family val="2"/>
          </rPr>
          <t>THOMAS BRAYE_x000D_
http://yeinfo.com/family/I09066229.html_x000D_
https://www.google.com/search?q=THOMAS+BRAYE+1357+1427+ALICE\SARAH+E_x000D_
.born:c1357    -          Leighton Buzzard (Bedfordshire) England_x000D_
.died: 1427    -1440     ?England, age:70y 0m 0d, _x000D_
.bapt: 1785GE_x000D_
.will: 2004MO_x000D_
.obit: 1890OH_x000D_
.bury: 1850IL _x000D_
.wpbt: 1826PA_x000D_
.anc#:ancestor_x000D_
citiz:foreign_x000D_
#spos:1_x000D_
#srcs:2_x000D_
#comment:0_x000D_
#events:1_x000D_
#kids:1_x000D_
lived:ENBEDFOLEIGHTB_x000D_
issue:_x000D_
.recs:Birth,Marriage,Death_x000D_
.imm?:no_x000D_
..Spo:ALICE\SARAH E BRAXBY</t>
        </r>
      </text>
    </comment>
    <comment ref="W4042" authorId="0" shapeId="0" xr:uid="{2B744B3E-F398-400A-9CA2-1F7704155653}">
      <text>
        <r>
          <rPr>
            <sz val="9"/>
            <color indexed="81"/>
            <rFont val="Tahoma"/>
            <family val="2"/>
          </rPr>
          <t>Mrs. {_?_} BRAYE_x000D_
http://yeinfo.com/family/I09066382.html_x000D_
https://www.google.com/search?q={_?_}+BRAYE+1335+1357+BRAYE_x000D_
.born:?1335    -          _x000D_
.died: 1357    -1425     ?England, age:22y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..Spo:WILLIAM BRAYE</t>
        </r>
      </text>
    </comment>
    <comment ref="U4044" authorId="0" shapeId="0" xr:uid="{8184456A-8719-451F-BD01-091006CC4EE5}">
      <text>
        <r>
          <rPr>
            <sz val="9"/>
            <color indexed="81"/>
            <rFont val="Tahoma"/>
            <family val="2"/>
          </rPr>
          <t>CATHERINE\KATHERINE BRAYE_x000D_
http://yeinfo.com/family/I09066038.html_x000D_
https://www.google.com/search?q=CATHERINE\KATHERINE+BRAYE+1427+1449+JOSSLYN_x000D_
.born: 1427    -          Sheering (Essex) England_x000D_
.died: 1449    -1517      Herefordshire county England, age:22y 0m 0d, _x000D_
.bapt: 1785GE_x000D_
.will: 2004MO_x000D_
.obit: 1890OH_x000D_
.bury: 1850IL _x000D_
.wpbt: 1826PA_x000D_
.anc#:ancestor_x000D_
citiz:foreign_x000D_
#spos:1_x000D_
#srcs:2_x000D_
#comment:0_x000D_
#events:1_x000D_
#kids:1_x000D_
lived:ENESSEXSHEERNG,ENHEREF_x000D_
issue:Born after Dad Age 60,Born after Mom Age 50,Died after Age 100_x000D_
.recs:Birth,Marriage,Death_x000D_
.imm?:no_x000D_
..Spo:GEOFFREY\JEFFREY JOSSLYN</t>
        </r>
      </text>
    </comment>
    <comment ref="V4046" authorId="0" shapeId="0" xr:uid="{234D43E9-1BBA-43DA-B3D2-5F732D13ABF4}">
      <text>
        <r>
          <rPr>
            <sz val="9"/>
            <color indexed="81"/>
            <rFont val="Tahoma"/>
            <family val="2"/>
          </rPr>
          <t>ALICE\SARAH E BRAXBY_x000D_
http://yeinfo.com/family/I09066230.html_x000D_
https://www.google.com/search?q=ALICE\SARAH+E+BRAXBY+1357+1427+BRAYE_x000D_
.born: 1357    -          Sawbridgeworth (Hertfordshire) England_x000D_
.died: 1427    -1447      Eaton Bray (Bedfordshire) England, age:70y 0m 0d, _x000D_
.bapt: 1785GE_x000D_
.will: 2004MO_x000D_
.obit: 1890OH_x000D_
.bury: 1850IL _x000D_
.wpbt: 1826PA_x000D_
.anc#:ancestor_x000D_
citiz:foreign_x000D_
#spos:1_x000D_
#srcs:2_x000D_
#comment:0_x000D_
#events:1_x000D_
#kids:1_x000D_
lived:ENBEDFOEATON B,ENHERTFSAWBRID_x000D_
issue:_x000D_
.recs:Birth,Marriage,Death_x000D_
.imm?:no_x000D_
..Spo:THOMAS BRAYE</t>
        </r>
      </text>
    </comment>
    <comment ref="S4048" authorId="0" shapeId="0" xr:uid="{14A77771-0E6E-4D34-B110-4CA3640621C4}">
      <text>
        <r>
          <rPr>
            <sz val="9"/>
            <color indexed="81"/>
            <rFont val="Tahoma"/>
            <family val="2"/>
          </rPr>
          <t>RALPH JOSSLYN_x000D_
http://yeinfo.com/family/I09065718.html_x000D_
https://www.google.com/search?q=RALPH+JOSSLYN+1475+1525+ELIZABETH_x000D_
.born: 1475    -          Great Canfield (Essex) England_x000D_
.died: 15250530-          , age:50y 4m 29d, _x000D_
.bapt: 1785GE_x000D_
.will: 2004MO_x000D_
.obit: 1890OH_x000D_
.bury: 1850IL _x000D_
.wpbt: 1826PA_x000D_
.anc#:ancestor_x000D_
citiz:foreign_x000D_
#spos:1_x000D_
#srcs:2_x000D_
#comment:0_x000D_
#events:1_x000D_
#kids:1_x000D_
lived:ENESSEXGREAT C_x000D_
issue:_x000D_
.recs:Birth,Marriage,Death_x000D_
.imm?:no_x000D_
..Spo:ELIZABETH CORNISH</t>
        </r>
      </text>
    </comment>
    <comment ref="U4050" authorId="0" shapeId="0" xr:uid="{43A9E3A7-8D38-495F-B9F4-674B40E0BE48}">
      <text>
        <r>
          <rPr>
            <sz val="9"/>
            <color indexed="81"/>
            <rFont val="Tahoma"/>
            <family val="2"/>
          </rPr>
          <t>JOHN LAVENHAM_x000D_
http://yeinfo.com/family/I09066039.html_x000D_
https://www.google.com/search?q=JOHN+LAVENHAM+1425+1487+MARY_x000D_
.born: 1425    -          Sheering (Essex) England_x000D_
.died: 1487    -          Sheering (Essex) England, age:62y 0m 0d, _x000D_
.bapt: 1785GE_x000D_
.will: 2004MO_x000D_
.obit: 1890OH_x000D_
.bury: 1850IL _x000D_
.wpbt: 1826PA_x000D_
.anc#:ancestor_x000D_
citiz:foreign_x000D_
#spos:1_x000D_
#srcs:1_x000D_
#comment:0_x000D_
#events:1_x000D_
#kids:1_x000D_
lived:ENESSEXSHEERNG_x000D_
issue:_x000D_
.recs:Birth,Marriage,Death_x000D_
.imm?:no_x000D_
..Spo:MARY GATESBURY</t>
        </r>
      </text>
    </comment>
    <comment ref="T4052" authorId="0" shapeId="0" xr:uid="{3C9E8DFB-2BC6-4A22-939E-4C147679CD47}">
      <text>
        <r>
          <rPr>
            <sz val="9"/>
            <color indexed="81"/>
            <rFont val="Tahoma"/>
            <family val="2"/>
          </rPr>
          <t>ANNE\JEANNE LAVENHAM_x000D_
http://yeinfo.com/family/I09065862.html_x000D_
https://www.google.com/search?q=ANNE\JEANNE+LAVENHAM+1450+1512+JOSSLYN_x000D_
.born:c1450    -          Sheering (Essex) England_x000D_
.died: 1512    -          Sheering (Essex) England, age:62y 0m 0d, _x000D_
.bapt: 1785GE_x000D_
.will: 2004MO_x000D_
.obit: 1890OH_x000D_
.bury: 1850IL _x000D_
.wpbt: 1826PA_x000D_
.anc#:ancestor_x000D_
citiz:foreign_x000D_
#spos:1_x000D_
#srcs:2_x000D_
#comment:0_x000D_
#events:1_x000D_
#kids:2_x000D_
lived:ENESSEXSHEERNG_x000D_
issue:_x000D_
.recs:Birth,Marriage,Death_x000D_
.imm?:no_x000D_
..Spo:JOHN JOSSLYN</t>
        </r>
      </text>
    </comment>
    <comment ref="V4054" authorId="0" shapeId="0" xr:uid="{CDD37E97-AE74-4D43-B9B1-11D89CE63BE3}">
      <text>
        <r>
          <rPr>
            <sz val="9"/>
            <color indexed="81"/>
            <rFont val="Tahoma"/>
            <family val="2"/>
          </rPr>
          <t>JOHN GATESBURY_x000D_
http://yeinfo.com/family/I09066231.html_x000D_
https://www.google.com/search?q=JOHN+GATESBURY+1405+1430+ELIZABETH_x000D_
.born:?1405    -         ?England_x000D_
.died: 1430    -         ?England, age:25y 0m 0d, _x000D_
.bapt: 1785GE_x000D_
.will: 2004MO_x000D_
.obit: 1890OH_x000D_
.bury: 1850IL _x000D_
.wpbt: 1826PA_x000D_
.anc#:ancestor_x000D_
citiz:foreign_x000D_
#spos:1_x000D_
#srcs:2_x000D_
#comment:0_x000D_
#events:1_x000D_
#kids:1_x000D_
lived:?EN_x000D_
issue:Died after Age 100_x000D_
.recs:Birth,Marriage,Death_x000D_
.imm?:no_x000D_
..Spo:ELIZABETH BOWETT</t>
        </r>
      </text>
    </comment>
    <comment ref="U4056" authorId="0" shapeId="0" xr:uid="{4DBA6510-5626-428C-90C2-38A76C8332F2}">
      <text>
        <r>
          <rPr>
            <sz val="9"/>
            <color indexed="81"/>
            <rFont val="Tahoma"/>
            <family val="2"/>
          </rPr>
          <t>MARY GATESBURY_x000D_
http://yeinfo.com/family/I09066040.html_x000D_
https://www.google.com/search?q=MARY+GATESBURY+1430+1490+LAVENHAM_x000D_
.born:c1430    -          Sheering (Essex) England_x000D_
.died: 1490    -          Sheering (Essex) England, age:60y 0m 0d, _x000D_
.bapt: 1785GE_x000D_
.will: 2004MO_x000D_
.obit: 1890OH_x000D_
.bury: 1850IL _x000D_
.wpbt: 1826PA_x000D_
.anc#:ancestor_x000D_
citiz:foreign_x000D_
#spos:1_x000D_
#srcs:2_x000D_
#comment:0_x000D_
#events:1_x000D_
#kids:1_x000D_
lived:ENESSEXSHEERNG_x000D_
issue:Died after Age 100_x000D_
.recs:Birth,Marriage,Death_x000D_
.imm?:no_x000D_
..Spo:JOHN LAVENHAM</t>
        </r>
      </text>
    </comment>
    <comment ref="W4058" authorId="0" shapeId="0" xr:uid="{88093576-59A7-4B5E-AC42-59424AD3B3C0}">
      <text>
        <r>
          <rPr>
            <sz val="9"/>
            <color indexed="81"/>
            <rFont val="Tahoma"/>
            <family val="2"/>
          </rPr>
          <t>WILLIAM BOWETT_x000D_
http://yeinfo.com/family/I09066383.html_x000D_
https://www.google.com/search?q=WILLIAM+BOWETT+1373+1421+JOAN_x000D_
.born: 1373    -          Horsford (Norfolk) England_x000D_
.died: 14210322-          Langley (Norfolk) England, age:48y 2m 21d, _x000D_
.bapt: 1785GE_x000D_
.will: 2004MO_x000D_
.obit: 1890OH_x000D_
.bury: 1850IL _x000D_
.wpbt: 1826PA_x000D_
.anc#:ancestor_x000D_
citiz:foreign_x000D_
#spos:1_x000D_
#srcs:1_x000D_
#comment:1_x000D_
#events:1_x000D_
#kids:1_x000D_
lived:ENNORFOHORSFOR,ENNORFOLANGLEY_x000D_
issue:_x000D_
.recs:Birth,Marriage,Death_x000D_
.imm?:no_x000D_
..Spo:JOAN UFFORD</t>
        </r>
      </text>
    </comment>
    <comment ref="V4060" authorId="0" shapeId="0" xr:uid="{63056059-119E-4D21-8A2C-CF757484B836}">
      <text>
        <r>
          <rPr>
            <sz val="9"/>
            <color indexed="81"/>
            <rFont val="Tahoma"/>
            <family val="2"/>
          </rPr>
          <t>ELIZABETH BOWETT_x000D_
http://yeinfo.com/family/I09066232.html_x000D_
https://www.google.com/search?q=ELIZABETH+BOWETT+1405+1434+GATESBURY_x000D_
.born: 1405    -          Horsford (Norfolk) England_x000D_
.died: 1434    -          England, age:29y 0m 0d, _x000D_
.bapt: 1785GE_x000D_
.will: 2004MO_x000D_
.obit: 1890OH_x000D_
.bury: 1850IL _x000D_
.wpbt: 1826PA_x000D_
.anc#:ancestor_x000D_
citiz:foreign_x000D_
#spos:1_x000D_
#srcs:2_x000D_
#comment:0_x000D_
#events:1_x000D_
#kids:1_x000D_
lived:ENNORFOHORSFOR_x000D_
issue:Died after Age 100_x000D_
.recs:Birth,Marriage,Death_x000D_
.imm?:no_x000D_
..Spo:JOHN GATESBURY</t>
        </r>
      </text>
    </comment>
    <comment ref="AA4062" authorId="0" shapeId="0" xr:uid="{1EE9DBCB-20CB-4B54-9568-F9B422B48790}">
      <text>
        <r>
          <rPr>
            <sz val="9"/>
            <color indexed="81"/>
            <rFont val="Tahoma"/>
            <family val="2"/>
          </rPr>
          <t>ROBERT UFFORD_x000D_
http://yeinfo.com/family/I09066630.html_x000D_
https://www.google.com/search?q=ROBERT+UFFORD+1236+1286+Sarah+UFFORD_x000D_
.born:c1236    -          Ramsholt (Suffolk) England_x000D_
.died: 1286    -1326      Ufford (Suffolk) England, age:50y 0m 0d, _x000D_
.bapt: 1785GE_x000D_
.will: 2004MO_x000D_
.obit: 1890OH_x000D_
.bury: 1850IL _x000D_
.wpbt: 1826PA_x000D_
.anc#:double ancestor_x000D_
citiz:foreign_x000D_
#spos:4_x000D_
#srcs:1_x000D_
#comment:0_x000D_
#events:4_x000D_
#kids:2_x000D_
lived:ENSUFFORAMSHOL,ENSUFFOUFFORD_x000D_
issue:AncFlags between Spouses Mismatched_x000D_
.recs:Birth,Marriage,Death_x000D_
.imm?:no_x000D_
..Spo:Sarah Vesey</t>
        </r>
      </text>
    </comment>
    <comment ref="Z4064" authorId="0" shapeId="0" xr:uid="{3318FC54-2D6B-491C-8733-945C9DCA9872}">
      <text>
        <r>
          <rPr>
            <sz val="9"/>
            <color indexed="81"/>
            <rFont val="Tahoma"/>
            <family val="2"/>
          </rPr>
          <t>THOMAS UFFORD_x000D_
http://yeinfo.com/family/I09066665.html_x000D_
https://www.google.com/search?q=THOMAS+UFFORD+1286+1314+EVA_x000D_
.born: 1286    -          West Stow (Suffolk) England_x000D_
.died: 13140624-          Stirlingshire county Scotland, age:28y 5m 23d, _x000D_
.bapt: 1785GE_x000D_
.will: 2004MO_x000D_
.obit: 1890OH_x000D_
.bury: 1850IL _x000D_
.wpbt: 1826PA_x000D_
.anc#:ancestor_x000D_
citiz:foreign_x000D_
#spos:1_x000D_
#srcs:1_x000D_
#comment:1_x000D_
#events:1_x000D_
#kids:1_x000D_
lived:ENSUFFOWESTSTO,STSTIRL_x000D_
issue:_x000D_
.recs:Birth,Marriage,Death_x000D_
.imm?:no_x000D_
..Spo:EVA CLAVERING</t>
        </r>
      </text>
    </comment>
    <comment ref="AA4066" authorId="0" shapeId="0" xr:uid="{D3CFBA9D-5B00-4558-ADA3-15BA7F86F73F}">
      <text>
        <r>
          <rPr>
            <sz val="9"/>
            <color indexed="81"/>
            <rFont val="Tahoma"/>
            <family val="2"/>
          </rPr>
          <t>Mrs. JOAN UFFORD_x000D_
http://yeinfo.com/family/I09066671.html_x000D_
https://www.google.com/search?q=JOAN+UFFORD+1250+1307+UFFORD_x000D_
.born:c1250    -          Sawbridgeworth (Hertfordshire) England_x000D_
.died: 13071118-          West Stow (Suffolk) England, age:57y 10m 17d, _x000D_
.bapt: 1785GE_x000D_
.will: 2004MO_x000D_
.obit: 1890OH_x000D_
.bury: 1850IL _x000D_
.wpbt: 1826PA_x000D_
.anc#:ancestor_x000D_
citiz:foreign_x000D_
#spos:1_x000D_
#srcs:1_x000D_
#comment:0_x000D_
#events:1_x000D_
#kids:1_x000D_
lived:ENHERTFSAWBRID,ENSUFFOWESTSTO_x000D_
issue:_x000D_
.recs:Birth,Marriage,Death_x000D_
.imm?:no_x000D_
..Spo:ROBERT UFFORD</t>
        </r>
      </text>
    </comment>
    <comment ref="Y4068" authorId="0" shapeId="0" xr:uid="{92C53A33-DC22-4C81-BD4B-C6E31A7F731A}">
      <text>
        <r>
          <rPr>
            <sz val="9"/>
            <color indexed="81"/>
            <rFont val="Tahoma"/>
            <family val="2"/>
          </rPr>
          <t>EDMUND UFFORD_x000D_
http://yeinfo.com/family/I09066602.html_x000D_
https://www.google.com/search?q=EDMUND+UFFORD+1312+1374+SYBIL\SIBYL_x000D_
.born:c1312    -          Thurston (Suffolk) England_x000D_
.died: 13741003-          Clavering (Essex) England, age:62y 9m 2d, _x000D_
.bapt: 1785GE_x000D_
.will: 2004MO_x000D_
.obit: 1890OH_x000D_
.bury: 1850IL _x000D_
.wpbt: 1826PA_x000D_
.anc#:ancestor_x000D_
citiz:foreign_x000D_
#spos:1_x000D_
#srcs:1_x000D_
#comment:0_x000D_
#events:1_x000D_
#kids:1_x000D_
lived:ENESSEXCLAVERI,ENSUFFOTHURSTO_x000D_
issue:_x000D_
.recs:Birth,Marriage,Death_x000D_
.imm?:no_x000D_
..Spo:SYBIL\SIBYL PIERREPONT</t>
        </r>
      </text>
    </comment>
    <comment ref="Z4070" authorId="0" shapeId="0" xr:uid="{7A66FAE7-E820-4C8C-B26C-68CEF15039B2}">
      <text>
        <r>
          <rPr>
            <sz val="9"/>
            <color indexed="81"/>
            <rFont val="Tahoma"/>
            <family val="2"/>
          </rPr>
          <t>EVA CLAVERING_x000D_
http://yeinfo.com/family/I09066666.html_x000D_
https://www.google.com/search?q=EVA+CLAVERING+1290+1369+UFFORD_x000D_
.born:c1290    -          Thurston (Suffolk) England_x000D_
.died: 13690920-          Langley (Norfolk) England, age:79y 8m 19d, _x000D_
.bapt: 1785GE_x000D_
.will: 2004MO_x000D_
.obit: 1890OH_x000D_
.bury: 1850IL _x000D_
.wpbt: 1826PA_x000D_
.anc#:ancestor_x000D_
citiz:foreign_x000D_
#spos:1_x000D_
#srcs:1_x000D_
#comment:1_x000D_
#events:1_x000D_
#kids:1_x000D_
lived:ENNORFOLANGLEY,ENSUFFOTHURSTO_x000D_
issue:_x000D_
.recs:Birth,Marriage,Death_x000D_
.imm?:no_x000D_
..Spo:THOMAS UFFORD</t>
        </r>
      </text>
    </comment>
    <comment ref="X4072" authorId="0" shapeId="0" xr:uid="{071894B9-B3F8-4BEA-853A-52396EC89444}">
      <text>
        <r>
          <rPr>
            <sz val="9"/>
            <color indexed="81"/>
            <rFont val="Tahoma"/>
            <family val="2"/>
          </rPr>
          <t>ROBERT UFFORD_x000D_
http://yeinfo.com/family/I09066550.html_x000D_
https://www.google.com/search?q=ROBERT+UFFORD+1350+1384+ELEANOR_x000D_
.born:c1350    -         ?Great Harrowden (Northamptonshire) England_x000D_
.died: 1384    -         ?Great Harrowden (Northamptonshire) England, age:34y 0m 0d, _x000D_
.bapt: 1785GE_x000D_
.will: 2004MO_x000D_
.obit: 1890OH_x000D_
.bury: 1850IL _x000D_
.wpbt: 1826PA_x000D_
.anc#:ancestor_x000D_
citiz:foreign_x000D_
#spos:1_x000D_
#srcs:1_x000D_
#comment:0_x000D_
#events:1_x000D_
#kids:1_x000D_
lived:?ENNORTAGREATHA_x000D_
issue:_x000D_
.recs:Birth,Marriage,Death_x000D_
.imm?:no_x000D_
..Spo:ELEANOR FELTON</t>
        </r>
      </text>
    </comment>
    <comment ref="Y4074" authorId="0" shapeId="0" xr:uid="{F5C1F429-C8A2-4472-8931-1F503D63A6F3}">
      <text>
        <r>
          <rPr>
            <sz val="9"/>
            <color indexed="81"/>
            <rFont val="Tahoma"/>
            <family val="2"/>
          </rPr>
          <t>SYBIL\SIBYL PIERREPONT_x000D_
http://yeinfo.com/family/I09066603.html_x000D_
https://www.google.com/search?q=SYBIL\SIBYL+PIERREPONT+1325+1351+UFFORD_x000D_
.born:c1325    -          Holme Pierrepont (Nottinghamshire) England_x000D_
.died: 1351    -          , age:26y 0m 0d, _x000D_
.bapt: 1785GE_x000D_
.will: 2004MO_x000D_
.obit: 1890OH_x000D_
.bury: 1850IL _x000D_
.wpbt: 1826PA_x000D_
.anc#:ancestor_x000D_
citiz:foreign_x000D_
#spos:1_x000D_
#srcs:1_x000D_
#comment:1_x000D_
#events:1_x000D_
#kids:1_x000D_
lived:ENNOTTIHOLME P_x000D_
issue:_x000D_
.recs:Birth,Marriage,Death_x000D_
.imm?:no_x000D_
..Spo:EDMUND UFFORD</t>
        </r>
      </text>
    </comment>
    <comment ref="W4076" authorId="0" shapeId="0" xr:uid="{E78800FA-455D-4B39-8462-54EE5AC61B00}">
      <text>
        <r>
          <rPr>
            <sz val="9"/>
            <color indexed="81"/>
            <rFont val="Tahoma"/>
            <family val="2"/>
          </rPr>
          <t>JOAN UFFORD_x000D_
http://yeinfo.com/family/I09066384.html_x000D_
https://www.google.com/search?q=JOAN+UFFORD+1377+1440+BOWETT_x000D_
.born:c1377    -          Wrentham (Suffolk) England_x000D_
.died:?1440    -          Langley (Norfolk) England, age:63y 0m 0d, _x000D_
.bapt: 1785GE_x000D_
.will: 2004MO_x000D_
.obit: 1890OH_x000D_
.bury: 1850IL _x000D_
.wpbt: 1826PA_x000D_
.anc#:ancestor_x000D_
citiz:foreign_x000D_
#spos:1_x000D_
#srcs:1_x000D_
#comment:1_x000D_
#events:1_x000D_
#kids:1_x000D_
lived:ENNORFOLANGLEY,ENSUFFOWRENTHA_x000D_
issue:_x000D_
.recs:Birth,Marriage,Death_x000D_
.imm?:no_x000D_
..Spo:WILLIAM BOWETT</t>
        </r>
      </text>
    </comment>
    <comment ref="X4078" authorId="0" shapeId="0" xr:uid="{838B796F-111C-43CA-B927-5D0A91E4CF72}">
      <text>
        <r>
          <rPr>
            <sz val="9"/>
            <color indexed="81"/>
            <rFont val="Tahoma"/>
            <family val="2"/>
          </rPr>
          <t>ELEANOR FELTON_x000D_
http://yeinfo.com/family/I09066551.html_x000D_
https://www.google.com/search?q=ELEANOR+FELTON+1350+1377+UFFORD_x000D_
.born:?1350    -         ?England_x000D_
.died: 1377    -1440     ?England, age:27y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..Spo:ROBERT UFFORD</t>
        </r>
      </text>
    </comment>
    <comment ref="R4080" authorId="0" shapeId="0" xr:uid="{CD976C0F-B848-47D8-84DD-F1D82F53E110}">
      <text>
        <r>
          <rPr>
            <sz val="9"/>
            <color indexed="81"/>
            <rFont val="Tahoma"/>
            <family val="2"/>
          </rPr>
          <t>AGNES JOSSLYN_x000D_
http://yeinfo.com/family/I09065576.html_x000D_
https://www.google.com/search?q=AGNES+JOSSLYN+1499+1525+WISEMAN_x000D_
.born: 1499    -          Great Canfield (Essex) England_x000D_
.died: 1525    -1589      Great Canfield (Essex) England, age:26y 0m 0d, _x000D_
.bapt: 1785GE_x000D_
.will: 2004MO_x000D_
.obit: 1890OH_x000D_
.bury: 1850IL _x000D_
.wpbt: 1826PA_x000D_
.anc#:ancestor_x000D_
citiz:foreign_x000D_
#spos:1_x000D_
#srcs:2_x000D_
#comment:0_x000D_
#events:1_x000D_
#kids:1_x000D_
lived:ENESSEXGREAT C_x000D_
issue:_x000D_
.recs:Birth,Marriage,Death_x000D_
.imm?:no_x000D_
..Spo:JOHN WISEMAN</t>
        </r>
      </text>
    </comment>
    <comment ref="V4082" authorId="0" shapeId="0" xr:uid="{59D9F6F1-A453-4C2B-BFF4-7FBDEEFBD43A}">
      <text>
        <r>
          <rPr>
            <sz val="9"/>
            <color indexed="81"/>
            <rFont val="Tahoma"/>
            <family val="2"/>
          </rPr>
          <t>THOMAS CORNISH_x000D_
http://yeinfo.com/family/I09066233.html_x000D_
https://www.google.com/search?q=THOMAS+CORNISH+1365+1450+JOANNE_x000D_
.born: 1365    -          Essex county England_x000D_
.died: 1450    -          Essex county England, age:85y 0m 0d, _x000D_
.bapt: 1785GE_x000D_
.will: 2004MO_x000D_
.obit: 1890OH_x000D_
.bury: 1850IL _x000D_
.wpbt: 1826PA_x000D_
.anc#:ancestor_x000D_
citiz:foreign_x000D_
#spos:1_x000D_
#srcs:1_x000D_
#comment:0_x000D_
#events:1_x000D_
#kids:1_x000D_
lived:ENESSEX_x000D_
issue:Married before Age 16_x000D_
.recs:Birth,Marriage,Death_x000D_
.imm?:no_x000D_
..Spo:JOANNE DUNGAY</t>
        </r>
      </text>
    </comment>
    <comment ref="U4084" authorId="0" shapeId="0" xr:uid="{E7C704EB-8D03-4754-891C-A41A20620A8E}">
      <text>
        <r>
          <rPr>
            <sz val="9"/>
            <color indexed="81"/>
            <rFont val="Tahoma"/>
            <family val="2"/>
          </rPr>
          <t>THOMAS CORNISH_x000D_
http://yeinfo.com/family/I09066041.html_x000D_
https://www.google.com/search?q=THOMAS+CORNISH+1443+1463+IODENA\EDEN_x000D_
.born:c1443    -          Great Waltham (Essex) England_x000D_
.died: 1463    -1533      Great Waltham (Essex) England, age:20y 0m 0d, _x000D_
.bapt: 1785GE_x000D_
.will: 2004MO_x000D_
.obit: 1890OH_x000D_
.bury: 1850IL _x000D_
.wpbt: 1826PA_x000D_
.anc#:ancestor_x000D_
citiz:foreign_x000D_
#spos:1_x000D_
#srcs:1_x000D_
#comment:0_x000D_
#events:1_x000D_
#kids:1_x000D_
lived:ENESSEXGREATWA_x000D_
issue:Born after Dad Age 60,Born after Mom Age 50,Died after Age 100_x000D_
.recs:Birth,Marriage,Death_x000D_
.imm?:no_x000D_
..Spo:IODENA\EDEN HUNT</t>
        </r>
      </text>
    </comment>
    <comment ref="V4086" authorId="0" shapeId="0" xr:uid="{CFF651F7-E1CB-405D-BB9D-9D77982FF406}">
      <text>
        <r>
          <rPr>
            <sz val="9"/>
            <color indexed="81"/>
            <rFont val="Tahoma"/>
            <family val="2"/>
          </rPr>
          <t>JOANNE DUNGAY_x000D_
http://yeinfo.com/family/I09066234.html_x000D_
https://www.google.com/search?q=JOANNE+DUNGAY+1365+1443+CORNISH_x000D_
.born: 1365    -          Great Waltham (Essex) England_x000D_
.died:p1443    -          Essex county England, age:78y 0m 0d, _x000D_
.bapt: 1785GE_x000D_
.will: 2004MO_x000D_
.obit: 1890OH_x000D_
.bury: 1850IL _x000D_
.wpbt: 1826PA_x000D_
.anc#:ancestor_x000D_
citiz:foreign_x000D_
#spos:1_x000D_
#srcs:1_x000D_
#comment:0_x000D_
#events:1_x000D_
#kids:1_x000D_
lived:ENESSEXGREATWA_x000D_
issue:Married before Age 16_x000D_
.recs:Birth,Marriage,Death_x000D_
.imm?:no_x000D_
..Spo:THOMAS CORNISH</t>
        </r>
      </text>
    </comment>
    <comment ref="T4088" authorId="0" shapeId="0" xr:uid="{7B1C899C-C724-4C4A-AC02-585A5B930219}">
      <text>
        <r>
          <rPr>
            <sz val="9"/>
            <color indexed="81"/>
            <rFont val="Tahoma"/>
            <family val="2"/>
          </rPr>
          <t>WILLIAM CORNISH_x000D_
http://yeinfo.com/family/I09065863.html_x000D_
https://www.google.com/search?q=WILLIAM+CORNISH+1460+1523+JANE_x000D_
.born:c1460    -          Great Canfield (Essex) England_x000D_
.died: 1523    -          Essex county England, age:63y 0m 0d, _x000D_
.bapt: 1785GE_x000D_
.will: 2004MO_x000D_
.obit: 1890OH_x000D_
.bury: 1850IL _x000D_
.wpbt: 1826PA_x000D_
.anc#:ancestor_x000D_
citiz:foreign_x000D_
#spos:1_x000D_
#srcs:1_x000D_
#comment:0_x000D_
#events:1_x000D_
#kids:1_x000D_
lived:ENESSEXGREAT C_x000D_
issue:Died after Age 100_x000D_
.recs:Birth,Marriage,Death_x000D_
.imm?:no_x000D_
..Spo:JANE CORNISH</t>
        </r>
      </text>
    </comment>
    <comment ref="W4090" authorId="0" shapeId="0" xr:uid="{950719A6-5721-4AA8-8907-D1C5A1E396D5}">
      <text>
        <r>
          <rPr>
            <sz val="9"/>
            <color indexed="81"/>
            <rFont val="Tahoma"/>
            <family val="2"/>
          </rPr>
          <t>WILLIAM HUNT_x000D_
http://yeinfo.com/family/I09066385.html_x000D_
https://www.google.com/search?q=WILLIAM+HUNT+1395+1420+{_?_}_x000D_
.born: 1395    -          Suffolk county England_x000D_
.died: 1420    -1485      Suffolk county England, age:25y 0m 0d, _x000D_
.bapt: 1785GE_x000D_
.will: 2004MO_x000D_
.obit: 1890OH_x000D_
.bury: 1850IL _x000D_
.wpbt: 1826PA_x000D_
.anc#:ancestor_x000D_
citiz:foreign_x000D_
#spos:1_x000D_
#srcs:1_x000D_
#comment:0_x000D_
#events:1_x000D_
#kids:1_x000D_
lived:ENSUFFO_x000D_
issue:_x000D_
.recs:Birth,Marriage,Death_x000D_
.imm?:no_x000D_
..Spo:{_?_} HUNT</t>
        </r>
      </text>
    </comment>
    <comment ref="V4092" authorId="0" shapeId="0" xr:uid="{C05A7313-228B-47E4-A35F-330F49A26E87}">
      <text>
        <r>
          <rPr>
            <sz val="9"/>
            <color indexed="81"/>
            <rFont val="Tahoma"/>
            <family val="2"/>
          </rPr>
          <t>JOHN HUNT_x000D_
http://yeinfo.com/family/I09066235.html_x000D_
https://www.google.com/search?q=JOHN+HUNT+1420+1450+MARGARET_x000D_
.born: 1420    -          Suffolk county England_x000D_
.died: 1450    -          , age:30y 0m 0d, _x000D_
.bapt: 1785GE_x000D_
.will: 2004MO_x000D_
.obit: 1890OH_x000D_
.bury: 1850IL _x000D_
.wpbt: 1826PA_x000D_
.anc#:ancestor_x000D_
citiz:foreign_x000D_
#spos:1_x000D_
#srcs:2_x000D_
#comment:0_x000D_
#events:1_x000D_
#kids:1_x000D_
lived:?ENESSEX,ENSUFFO_x000D_
issue:_x000D_
.recs:Birth,Marriage,Death_x000D_
.imm?:no_x000D_
..Spo:MARGARET PECHEY</t>
        </r>
      </text>
    </comment>
    <comment ref="W4094" authorId="0" shapeId="0" xr:uid="{5D8526C0-C101-483D-A291-009CADC84550}">
      <text>
        <r>
          <rPr>
            <sz val="9"/>
            <color indexed="81"/>
            <rFont val="Tahoma"/>
            <family val="2"/>
          </rPr>
          <t>Mrs. {_?_} HUNT_x000D_
http://yeinfo.com/family/I09066386.html_x000D_
https://www.google.com/search?q={_?_}+HUNT+1400+1420+HUNT_x000D_
.born:?1400    -         ?Suffolk county England_x000D_
.died: 1420    -1490     ?Suffolk county England, age:20y 0m 0d, _x000D_
.bapt: 1785GE_x000D_
.will: 2004MO_x000D_
.obit: 1890OH_x000D_
.bury: 1850IL _x000D_
.wpbt: 1826PA_x000D_
.anc#:ancestor_x000D_
citiz:foreign_x000D_
#spos:1_x000D_
#srcs:1_x000D_
#comment:0_x000D_
#events:1_x000D_
#kids:1_x000D_
lived:?ENSUFFO_x000D_
issue:_x000D_
.recs:Birth,Marriage,Death_x000D_
.imm?:no_x000D_
..Spo:WILLIAM HUNT</t>
        </r>
      </text>
    </comment>
    <comment ref="U4096" authorId="0" shapeId="0" xr:uid="{DB7F2525-40B5-483E-9D74-635F232688D0}">
      <text>
        <r>
          <rPr>
            <sz val="9"/>
            <color indexed="81"/>
            <rFont val="Tahoma"/>
            <family val="2"/>
          </rPr>
          <t>IODENA\EDEN HUNT_x000D_
http://yeinfo.com/family/I09066042.html_x000D_
https://www.google.com/search?q=IODENA\EDEN+HUNT+1447+1467+CORNISH_x000D_
.born:c1447    -          Great Waltham (Essex) England_x000D_
.died: 1467    -1537      Great Waltham (Essex) England, age:20y 0m 0d, _x000D_
.bapt: 1785GE_x000D_
.will: 2004MO_x000D_
.obit: 1890OH_x000D_
.bury: 1850IL _x000D_
.wpbt: 1826PA_x000D_
.anc#:ancestor_x000D_
citiz:foreign_x000D_
#spos:1_x000D_
#srcs:2_x000D_
#comment:0_x000D_
#events:1_x000D_
#kids:1_x000D_
lived:ENESSEXGREATWA_x000D_
issue:Died after Age 100_x000D_
.recs:Birth,Marriage,Death_x000D_
.imm?:no_x000D_
..Spo:THOMAS CORNISH</t>
        </r>
      </text>
    </comment>
    <comment ref="W4098" authorId="0" shapeId="0" xr:uid="{9602364F-5E63-4900-94BE-1C35AB80FD67}">
      <text>
        <r>
          <rPr>
            <sz val="9"/>
            <color indexed="81"/>
            <rFont val="Tahoma"/>
            <family val="2"/>
          </rPr>
          <t>SIMON PECHEY_x000D_
http://yeinfo.com/family/I09066387.html_x000D_
https://www.google.com/search?q=SIMON+PECHEY+1400+1450+AGNES_x000D_
.born:?1400    -          Great Thurlow (Suffolk) England_x000D_
.died:?1450    -          Suffolk county England, age:50y 0m 0d, _x000D_
.bapt: 1785GE_x000D_
.will: 2004MO_x000D_
.obit: 1890OH_x000D_
.bury: 1850IL _x000D_
.wpbt: 1826PA_x000D_
.anc#:ancestor_x000D_
citiz:foreign_x000D_
#spos:1_x000D_
#srcs:1_x000D_
#comment:0_x000D_
#events:1_x000D_
#kids:1_x000D_
lived:ENSUFFOGREAT T_x000D_
issue:_x000D_
.recs:Birth,Marriage,Death_x000D_
.imm?:no_x000D_
..Spo:AGNES HOLME</t>
        </r>
      </text>
    </comment>
    <comment ref="V4100" authorId="0" shapeId="0" xr:uid="{0670EF09-F014-4A0A-ACB2-3E3866672C51}">
      <text>
        <r>
          <rPr>
            <sz val="9"/>
            <color indexed="81"/>
            <rFont val="Tahoma"/>
            <family val="2"/>
          </rPr>
          <t>MARGARET PECHEY_x000D_
http://yeinfo.com/family/I09066236.html_x000D_
https://www.google.com/search?q=MARGARET+PECHEY+1424+1447+HUNT_x000D_
.born: 1424    -          Suffolk county England_x000D_
.died: 1447    -1514      , age:23y 0m 0d, _x000D_
.bapt: 1785GE_x000D_
.will: 2004MO_x000D_
.obit: 1890OH_x000D_
.bury: 1850IL _x000D_
.wpbt: 1826PA_x000D_
.anc#:ancestor_x000D_
citiz:foreign_x000D_
#spos:1_x000D_
#srcs:2_x000D_
#comment:0_x000D_
#events:1_x000D_
#kids:1_x000D_
lived:?ENESSEX,ENSUFFO_x000D_
issue:_x000D_
.recs:Birth,Marriage,Death_x000D_
.imm?:no_x000D_
..Spo:JOHN HUNT</t>
        </r>
      </text>
    </comment>
    <comment ref="W4102" authorId="0" shapeId="0" xr:uid="{3AF27A18-0A63-43C3-A9C8-F41A08597872}">
      <text>
        <r>
          <rPr>
            <sz val="9"/>
            <color indexed="81"/>
            <rFont val="Tahoma"/>
            <family val="2"/>
          </rPr>
          <t>AGNES HOLME_x000D_
http://yeinfo.com/family/I09066388.html_x000D_
https://www.google.com/search?q=AGNES+HOLME+1405+1425+PECHEY_x000D_
.born:?1405    -          Suffolk county England_x000D_
.died: 1425    -1495      Suffolk county England, age:20y 0m 0d, _x000D_
.bapt: 1785GE_x000D_
.will: 2004MO_x000D_
.obit: 1890OH_x000D_
.bury: 1850IL _x000D_
.wpbt: 1826PA_x000D_
.anc#:ancestor_x000D_
citiz:foreign_x000D_
#spos:1_x000D_
#srcs:1_x000D_
#comment:0_x000D_
#events:1_x000D_
#kids:1_x000D_
lived:ENSUFFO_x000D_
issue:_x000D_
.recs:Birth,Marriage,Death_x000D_
.imm?:no_x000D_
..Spo:SIMON PECHEY</t>
        </r>
      </text>
    </comment>
    <comment ref="S4104" authorId="0" shapeId="0" xr:uid="{B5F7835B-BBE7-4F4E-B882-BB4259AE3635}">
      <text>
        <r>
          <rPr>
            <sz val="9"/>
            <color indexed="81"/>
            <rFont val="Tahoma"/>
            <family val="2"/>
          </rPr>
          <t>ELIZABETH CORNISH_x000D_
http://yeinfo.com/family/I09065719.html_x000D_
https://www.google.com/search?q=ELIZABETH+CORNISH+1479+1546+JOSSLYN_x000D_
.born: 1479    -          Great Canfield (Essex) England_x000D_
.died: 1546    -          Great Canfield (Essex) England, age:67y 0m 0d, _x000D_
.bapt: 1785GE_x000D_
.will: 2004MO_x000D_
.obit: 1890OH_x000D_
.bury: 1850IL _x000D_
.wpbt: 1826PA_x000D_
.anc#:ancestor_x000D_
citiz:foreign_x000D_
#spos:1_x000D_
#srcs:2_x000D_
#comment:0_x000D_
#events:1_x000D_
#kids:1_x000D_
lived:ENESSEXGREAT C_x000D_
issue:_x000D_
.recs:Birth,Marriage,Death_x000D_
.imm?:no_x000D_
..Spo:RALPH JOSSLYN</t>
        </r>
      </text>
    </comment>
    <comment ref="T4106" authorId="0" shapeId="0" xr:uid="{19138BB4-7419-4F23-BF0A-52FE63A1ED47}">
      <text>
        <r>
          <rPr>
            <sz val="9"/>
            <color indexed="81"/>
            <rFont val="Tahoma"/>
            <family val="2"/>
          </rPr>
          <t>Mrs. JANE CORNISH_x000D_
http://yeinfo.com/family/I09065864.html_x000D_
https://www.google.com/search?q=JANE+CORNISH+1460+1480+CORNISH_x000D_
.born: 1460    -          Great Canfield (Essex) England_x000D_
.died: 1480    -1550      England, age:20y 0m 0d, _x000D_
.bapt: 1785GE_x000D_
.will: 2004MO_x000D_
.obit: 1890OH_x000D_
.bury: 1850IL _x000D_
.wpbt: 1826PA_x000D_
.anc#:ancestor_x000D_
citiz:foreign_x000D_
#spos:1_x000D_
#srcs:1_x000D_
#comment:0_x000D_
#events:1_x000D_
#kids:1_x000D_
lived:ENESSEXGREAT C_x000D_
issue:_x000D_
.recs:Birth,Marriage,Death_x000D_
.imm?:no_x000D_
..Spo:WILLIAM CORNISH</t>
        </r>
      </text>
    </comment>
    <comment ref="O4108" authorId="0" shapeId="0" xr:uid="{5612B37B-9174-4580-9F73-D5DB4D4DC99D}">
      <text>
        <r>
          <rPr>
            <sz val="9"/>
            <color indexed="81"/>
            <rFont val="Tahoma"/>
            <family val="2"/>
          </rPr>
          <t>JUDITH EVERARD_x000D_
http://yeinfo.com/family/I09010847.html_x000D_
https://www.google.com/search?q=JUDITH+EVERARD+1587+1625+APPLETON_x000D_
.born: 1587    -          England_x000D_
.died: 1625    -1677      London (Middlesex) England, age:38y 0m 0d, _x000D_
.bapt: 1785GE_x000D_
.will: 2004MO_x000D_
.obit: 1890OH_x000D_
.bury: 1850IL _x000D_
.wpbt: 1826PA_x000D_
.anc#:ancestor_x000D_
citiz:foreign_x000D_
#spos:1_x000D_
#srcs:2_x000D_
#comment:1_x000D_
#events:1_x000D_
#kids:1_x000D_
lived:ENMIDDLLONDON_x000D_
issue:_x000D_
.recs:Birth,Marriage,Death_x000D_
.imm?:no_x000D_
..Spo:SAMUEL APPLETON</t>
        </r>
      </text>
    </comment>
    <comment ref="T4110" authorId="0" shapeId="0" xr:uid="{7EB4938F-B3AE-42BC-93C7-F45313E3F8E1}">
      <text>
        <r>
          <rPr>
            <sz val="9"/>
            <color indexed="81"/>
            <rFont val="Tahoma"/>
            <family val="2"/>
          </rPr>
          <t>BARTHOLOMEW BOURNE_x000D_
http://yeinfo.com/family/I09065865.html_x000D_
https://www.google.com/search?q=BARTHOLOMEW+BOURNE+1446+1472+{_?_}_x000D_
.born: 1446    -          Essex county England_x000D_
.died: 1472    -1536     ?England, age:26y 0m 0d, _x000D_
.bapt: 1785GE_x000D_
.will: 2004MO_x000D_
.obit: 1890OH_x000D_
.bury: 1850IL _x000D_
.wpbt: 1826PA_x000D_
.anc#:ancestor_x000D_
citiz:foreign_x000D_
#spos:1_x000D_
#srcs:1_x000D_
#comment:0_x000D_
#events:1_x000D_
#kids:1_x000D_
lived:ENESSEX_x000D_
issue:_x000D_
.recs:Birth,Marriage,Death_x000D_
.imm?:no_x000D_
..Spo:{_?_} BOURNE</t>
        </r>
      </text>
    </comment>
    <comment ref="S4112" authorId="0" shapeId="0" xr:uid="{DFC313E5-F73E-4257-BF8F-987DF44B503A}">
      <text>
        <r>
          <rPr>
            <sz val="9"/>
            <color indexed="81"/>
            <rFont val="Tahoma"/>
            <family val="2"/>
          </rPr>
          <t>ROBERT HENRY BOURNE_x000D_
http://yeinfo.com/family/I09065720.html_x000D_
https://www.google.com/search?q=ROBERT+HENRY+BOURNE+1472+1544+ELIZABETH_x000D_
.born: 1472    -          Tendring (Essex) England_x000D_
.died: 1544    -          England, age:72y 0m 0d, _x000D_
.bapt: 1785GE_x000D_
.will: 2004MO_x000D_
.obit: 1890OH_x000D_
.bury: 1850IL _x000D_
.wpbt: 1826PA_x000D_
.anc#:ancestor_x000D_
citiz:foreign_x000D_
#spos:1_x000D_
#srcs:1_x000D_
#comment:0_x000D_
#events:1_x000D_
#kids:1_x000D_
lived:ENESSEXTENDRIN_x000D_
issue:_x000D_
.recs:Birth,Marriage,Death_x000D_
.imm?:no_x000D_
..Spo:ELIZABETH DERING</t>
        </r>
      </text>
    </comment>
    <comment ref="T4114" authorId="0" shapeId="0" xr:uid="{F3F06F09-2962-4373-BF21-957CA0319641}">
      <text>
        <r>
          <rPr>
            <sz val="9"/>
            <color indexed="81"/>
            <rFont val="Tahoma"/>
            <family val="2"/>
          </rPr>
          <t>Mrs. {_?_} BOURNE_x000D_
http://yeinfo.com/family/I09065866.html_x000D_
https://www.google.com/search?q={_?_}+BOURNE+1450+1472+BOURNE_x000D_
.born:?1450    -          _x000D_
.died: 1472    -1540     ?England, age:22y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..Spo:BARTHOLOMEW BOURNE</t>
        </r>
      </text>
    </comment>
    <comment ref="R4116" authorId="0" shapeId="0" xr:uid="{71D50166-BB52-4D27-95E5-6D4DA5DB6EF8}">
      <text>
        <r>
          <rPr>
            <sz val="9"/>
            <color indexed="81"/>
            <rFont val="Tahoma"/>
            <family val="2"/>
          </rPr>
          <t>FRANCIS BOURNE_x000D_
http://yeinfo.com/family/I09065577.html_x000D_
https://www.google.com/search?q=FRANCIS+BOURNE+1500+1560+ELIZABETH\BENNETTA_x000D_
.born:c1500    -          London (Middlesex) England_x000D_
.died: 1560    -          London (Middlesex) England, age:60y 0m 0d, _x000D_
.bapt: 1785GE_x000D_
.will: 2004MO_x000D_
.obit: 1890OH_x000D_
.bury: 1850IL _x000D_
.wpbt: 1826PA_x000D_
.anc#:ancestor_x000D_
citiz:foreign_x000D_
#spos:1_x000D_
#srcs:1_x000D_
#comment:0_x000D_
#events:1_x000D_
#kids:1_x000D_
lived:ENMIDDLLONDON_x000D_
issue:_x000D_
.recs:Birth,Marriage,Death_x000D_
.imm?:no_x000D_
..Spo:ELIZABETH\BENNETTA DERING</t>
        </r>
      </text>
    </comment>
    <comment ref="S4118" authorId="0" shapeId="0" xr:uid="{9C39EDDE-7E75-4C67-B98B-0D3F04517FB7}">
      <text>
        <r>
          <rPr>
            <sz val="9"/>
            <color indexed="81"/>
            <rFont val="Tahoma"/>
            <family val="2"/>
          </rPr>
          <t>ELIZABETH DERING_x000D_
http://yeinfo.com/family/I09065721.html_x000D_
https://www.google.com/search?q=ELIZABETH+DERING+1480+1544+BOURNE_x000D_
.born: 1480    -          Kent county England_x000D_
.died: 1544    -         ?England, age:64y 0m 0d, _x000D_
.bapt: 1785GE_x000D_
.will: 2004MO_x000D_
.obit: 1890OH_x000D_
.bury: 1850IL _x000D_
.wpbt: 1826PA_x000D_
.anc#:ancestor_x000D_
citiz:foreign_x000D_
#spos:1_x000D_
#srcs:1_x000D_
#comment:1_x000D_
#events:1_x000D_
#kids:1_x000D_
lived:ENKENT_x000D_
issue:Died after Age 100_x000D_
.recs:Birth,Marriage,Death_x000D_
.imm?:no_x000D_
..Spo:ROBERT HENRY BOURNE</t>
        </r>
      </text>
    </comment>
    <comment ref="Q4120" authorId="0" shapeId="0" xr:uid="{0F4DB154-3B9C-4B33-9485-AD085E32A113}">
      <text>
        <r>
          <rPr>
            <sz val="9"/>
            <color indexed="81"/>
            <rFont val="Tahoma"/>
            <family val="2"/>
          </rPr>
          <t>JOHN BOURNE_x000D_
http://yeinfo.com/family/I09043390.html_x000D_
https://www.google.com/search?q=JOHN+BOURNE+1527+1610+MAUDLIN_x000D_
.born: 1527    -          Tenterden (Kent) England_x000D_
.died: 16100626-          London (Middlesex) England, age:83y 5m 25d, _x000D_
.bapt: 1785GE_x000D_
.will: 2004MO_x000D_
.obit: 1890OH_x000D_
.bury: 1850IL _x000D_
.wpbt: 1826PA_x000D_
.anc#:ancestor_x000D_
citiz:foreign_x000D_
#spos:1_x000D_
#srcs:1_x000D_
#comment:0_x000D_
#events:1_x000D_
#kids:1_x000D_
lived:ENKENT TENTERD,ENMIDDLLONDON_x000D_
issue:_x000D_
.recs:Birth,Marriage,Death_x000D_
.imm?:no_x000D_
..Spo:MAUDLIN ILES</t>
        </r>
      </text>
    </comment>
    <comment ref="T4122" authorId="0" shapeId="0" xr:uid="{25CEB653-CA9A-46D1-A94F-E02E97EA3881}">
      <text>
        <r>
          <rPr>
            <sz val="9"/>
            <color indexed="81"/>
            <rFont val="Tahoma"/>
            <family val="2"/>
          </rPr>
          <t>RICHARD DERING_x000D_
http://yeinfo.com/family/I09065867.html_x000D_
https://www.google.com/search?q=RICHARD+DERING+1415+1481+AGNES_x000D_
.born: 1415    -          Pluckley (Kent) England_x000D_
.died: 1481    -          Pluckley (Kent) England, age:66y 0m 0d, _x000D_
.bapt: 1785GE_x000D_
.will: 2004MO_x000D_
.obit: 1890OH_x000D_
.bury: 1850IL _x000D_
.wpbt: 1826PA_x000D_
.anc#:ancestor_x000D_
citiz:foreign_x000D_
#spos:1_x000D_
#srcs:1_x000D_
#comment:0_x000D_
#events:1_x000D_
#kids:1_x000D_
lived:ENKENT PLUCKLE_x000D_
issue:_x000D_
.recs:Birth,Marriage,Death_x000D_
.imm?:no_x000D_
..Spo:AGNES EYTON</t>
        </r>
      </text>
    </comment>
    <comment ref="S4124" authorId="0" shapeId="0" xr:uid="{A09C268B-61BF-4D54-85B3-62FBD29E443B}">
      <text>
        <r>
          <rPr>
            <sz val="9"/>
            <color indexed="81"/>
            <rFont val="Tahoma"/>
            <family val="2"/>
          </rPr>
          <t>JOHN DERING_x000D_
http://yeinfo.com/family/I09065722.html_x000D_
https://www.google.com/search?q=JOHN+DERING+1435+1517+JULIAN_x000D_
.born: 1435    -          Little Chart (Kent) England_x000D_
.died: 1517    -          Pluckley (Kent) England, age:82y 0m 0d, _x000D_
.bapt: 1785GE_x000D_
.will: 2004MO_x000D_
.obit: 1890OH_x000D_
.bury: 1850IL _x000D_
.wpbt: 1826PA_x000D_
.anc#:ancestor_x000D_
citiz:foreign_x000D_
#spos:1_x000D_
#srcs:1_x000D_
#comment:0_x000D_
#events:1_x000D_
#kids:1_x000D_
lived:ENKENT LITTLEC,ENKENT PLUCKLE_x000D_
issue:_x000D_
.recs:Birth,Marriage,Death_x000D_
.imm?:no_x000D_
..Spo:JULIAN DARRELL</t>
        </r>
      </text>
    </comment>
    <comment ref="T4126" authorId="0" shapeId="0" xr:uid="{314C1550-8B10-4976-9148-1F3E6EF693AB}">
      <text>
        <r>
          <rPr>
            <sz val="9"/>
            <color indexed="81"/>
            <rFont val="Tahoma"/>
            <family val="2"/>
          </rPr>
          <t>AGNES EYTON_x000D_
http://yeinfo.com/family/I09065868.html_x000D_
https://www.google.com/search?q=AGNES+EYTON+1415+1435+DERING_x000D_
.born:?1415    -         ?England_x000D_
.died: 1435    -1505      England, age:20y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..Spo:RICHARD DERING</t>
        </r>
      </text>
    </comment>
    <comment ref="R4128" authorId="0" shapeId="0" xr:uid="{68CD29BA-EB8C-4D9B-AE2E-E7F18D4758DF}">
      <text>
        <r>
          <rPr>
            <sz val="9"/>
            <color indexed="81"/>
            <rFont val="Tahoma"/>
            <family val="2"/>
          </rPr>
          <t>ELIZABETH\BENNETTA DERING_x000D_
http://yeinfo.com/family/I09065578.html_x000D_
https://www.google.com/search?q=ELIZABETH\BENNETTA+DERING+1502+1544+BOURNE_x000D_
.born:c1502    -          Sittingbourne (Kent) England_x000D_
.died: 1544    -          Tenterden (Kent) England, age:42y 0m 0d, _x000D_
.bapt: 1785GE_x000D_
.will: 2004MO_x000D_
.obit: 1890OH_x000D_
.bury: 1850IL _x000D_
.wpbt: 1826PA_x000D_
.anc#:ancestor_x000D_
citiz:foreign_x000D_
#spos:1_x000D_
#srcs:1_x000D_
#comment:1_x000D_
#events:1_x000D_
#kids:1_x000D_
lived:ENKENT SITTING,ENKENT TENTERD_x000D_
issue:Born after Dad Age 60,Born after Mom Age 50_x000D_
.recs:Birth,Marriage,Death_x000D_
.imm?:no_x000D_
..Spo:FRANCIS BOURNE</t>
        </r>
      </text>
    </comment>
    <comment ref="V4130" authorId="0" shapeId="0" xr:uid="{84603C8C-2329-4AB3-91B0-155A84C05B0A}">
      <text>
        <r>
          <rPr>
            <sz val="9"/>
            <color indexed="81"/>
            <rFont val="Tahoma"/>
            <family val="2"/>
          </rPr>
          <t>WILLIAM DARRELL_x000D_
http://yeinfo.com/family/I09066237.html_x000D_
https://www.google.com/search?q=WILLIAM+DARRELL+1359+1388+EMMA_x000D_
.born:c1359    -          Sessay (Yorkshire) England_x000D_
.died:c1388    -          England, age:29y 0m 0d, _x000D_
.bapt: 1785GE_x000D_
.will: 2004MO_x000D_
.obit: 1890OH_x000D_
.bury: 1850IL _x000D_
.wpbt: 1826PA_x000D_
.anc#:ancestor_x000D_
citiz:foreign_x000D_
#spos:1_x000D_
#srcs:1_x000D_
#comment:1_x000D_
#events:1_x000D_
#kids:1_x000D_
lived:ENYORKSSESSAY_x000D_
issue:_x000D_
.recs:Birth,Marriage,Death_x000D_
.imm?:no_x000D_
..Spo:EMMA DARRELL</t>
        </r>
      </text>
    </comment>
    <comment ref="U4132" authorId="0" shapeId="0" xr:uid="{F26D0D4A-9581-48E0-8F13-7C21EC890A7A}">
      <text>
        <r>
          <rPr>
            <sz val="9"/>
            <color indexed="81"/>
            <rFont val="Tahoma"/>
            <family val="2"/>
          </rPr>
          <t>WILLIAM JOHN DARRELL_x000D_
http://yeinfo.com/family/I09066043.html_x000D_
https://www.google.com/search?q=WILLIAM+JOHN+DARRELL+1386+1438+JANE+THOMASINE_x000D_
.born: 1386    -          Sessay (Yorkshire) England_x000D_
.died: 14381024-          Little Chart (Kent) England, age:52y 9m 23d, _x000D_
.bapt: 1785GE_x000D_
.will: 2004MO_x000D_
.obit: 1890OH_x000D_
.bury: 1850IL _x000D_
.wpbt: 1826PA_x000D_
.anc#:ancestor_x000D_
citiz:foreign_x000D_
#spos:1_x000D_
#srcs:1_x000D_
#comment:0_x000D_
#events:1_x000D_
#kids:1_x000D_
lived:ENKENT LITTLEC,ENYORKSSESSAY_x000D_
issue:_x000D_
.recs:Birth,Marriage,Death_x000D_
.imm?:no_x000D_
..Spo:JANE THOMASINE BARRETT</t>
        </r>
      </text>
    </comment>
    <comment ref="V4134" authorId="0" shapeId="0" xr:uid="{C32AE83E-8C01-4FDB-A2CF-7D52162D440A}">
      <text>
        <r>
          <rPr>
            <sz val="9"/>
            <color indexed="81"/>
            <rFont val="Tahoma"/>
            <family val="2"/>
          </rPr>
          <t>Mrs. EMMA DARRELL_x000D_
http://yeinfo.com/family/I09066238.html_x000D_
https://www.google.com/search?q=EMMA+DARRELL+1363+1387+DARRELL_x000D_
.born: 1363    -          Sessay (Yorkshire) England_x000D_
.died: 1387    -          Sessay (Yorkshire) England, age:24y 0m 0d, _x000D_
.bapt: 1785GE_x000D_
.will: 2004MO_x000D_
.obit: 1890OH_x000D_
.bury: 1850IL _x000D_
.wpbt: 1826PA_x000D_
.anc#:ancestor_x000D_
citiz:foreign_x000D_
#spos:1_x000D_
#srcs:1_x000D_
#comment:0_x000D_
#events:1_x000D_
#kids:1_x000D_
lived:ENYORKSSESSAY_x000D_
issue:_x000D_
.recs:Birth,Marriage,Death_x000D_
.imm?:no_x000D_
..Spo:WILLIAM DARRELL</t>
        </r>
      </text>
    </comment>
    <comment ref="T4136" authorId="0" shapeId="0" xr:uid="{0368BFFE-A65E-4A61-A710-965DBFB20778}">
      <text>
        <r>
          <rPr>
            <sz val="9"/>
            <color indexed="81"/>
            <rFont val="Tahoma"/>
            <family val="2"/>
          </rPr>
          <t>WILLIAM DARRELL_x000D_
http://yeinfo.com/family/I09065869.html_x000D_
https://www.google.com/search?q=WILLIAM+DARRELL+1407+1471+ANNE_x000D_
.born:c1407    -          Little Chart (Kent) England_x000D_
.died: 14710403-          Little Chart (Kent) England, age:64y 3m 2d, _x000D_
.bapt: 1785GE_x000D_
.will: 2004MO_x000D_
.obit: 1890OH_x000D_
.bury: 1850IL _x000D_
.wpbt: 1826PA_x000D_
.anc#:ancestor_x000D_
citiz:foreign_x000D_
#spos:1_x000D_
#srcs:1_x000D_
#comment:0_x000D_
#events:1_x000D_
#kids:1_x000D_
lived:ENKENT LITTLEC_x000D_
issue:_x000D_
.recs:Birth,Marriage,Death_x000D_
.imm?:no_x000D_
..Spo:ANNE GUILDFORD</t>
        </r>
      </text>
    </comment>
    <comment ref="W4138" authorId="0" shapeId="0" xr:uid="{C1B3BF9F-58B9-4721-91AC-4FE8733AF8DC}">
      <text>
        <r>
          <rPr>
            <sz val="9"/>
            <color indexed="81"/>
            <rFont val="Tahoma"/>
            <family val="2"/>
          </rPr>
          <t>ROBERT BARRETT_x000D_
http://yeinfo.com/family/I09066389.html_x000D_
https://www.google.com/search?q=ROBERT+BARRETT+1337+1357+JANE\ANN\MARIA+AUGUSTA_x000D_
.born:?1337    -         ?Kent county England_x000D_
.died: 1357    -1427     ?England, age:20y 0m 0d, _x000D_
.bapt: 1785GE_x000D_
.will: 2004MO_x000D_
.obit: 1890OH_x000D_
.bury: 1850IL _x000D_
.wpbt: 1826PA_x000D_
.anc#:ancestor_x000D_
citiz:foreign_x000D_
#spos:1_x000D_
#srcs:1_x000D_
#comment:0_x000D_
#events:1_x000D_
#kids:1_x000D_
lived:?ENKENT_x000D_
issue:_x000D_
.recs:Birth,Marriage,Death_x000D_
.imm?:no_x000D_
..Spo:JANE\ANN\MARIA AUGUSTA EMPSON</t>
        </r>
      </text>
    </comment>
    <comment ref="V4140" authorId="0" shapeId="0" xr:uid="{403AFAA5-B0E8-44F0-8D6B-CC0E398B4A97}">
      <text>
        <r>
          <rPr>
            <sz val="9"/>
            <color indexed="81"/>
            <rFont val="Tahoma"/>
            <family val="2"/>
          </rPr>
          <t>VALENTINE BARRETT_x000D_
http://yeinfo.com/family/I09066239.html_x000D_
https://www.google.com/search?q=VALENTINE+BARRETT+1357+1440+CECILIA+ATTE_x000D_
.born: 1357    -          Preston-next-Faversham (Kent) England_x000D_
.died: 14401120-          Kent county England, age:83y 10m 19d, _x000D_
.bapt: 1785GE_x000D_
.will: 2004MO_x000D_
.obit: 1890OH_x000D_
.bury: 1850IL _x000D_
.wpbt: 1826PA_x000D_
.anc#:ancestor_x000D_
citiz:foreign_x000D_
#spos:1_x000D_
#srcs:1_x000D_
#comment:0_x000D_
#events:1_x000D_
#kids:1_x000D_
lived:ENKENT PRESTNF_x000D_
issue:_x000D_
.recs:Birth,Marriage,Death_x000D_
.imm?:no_x000D_
..Spo:CECILIA ATTE LEEZ</t>
        </r>
      </text>
    </comment>
    <comment ref="W4142" authorId="0" shapeId="0" xr:uid="{CCF665F7-D3A5-4246-B50B-BADEA9F58F43}">
      <text>
        <r>
          <rPr>
            <sz val="9"/>
            <color indexed="81"/>
            <rFont val="Tahoma"/>
            <family val="2"/>
          </rPr>
          <t>JANE\ANN\MARIA AUGUSTA EMPSON_x000D_
http://yeinfo.com/family/I09066390.html_x000D_
https://www.google.com/search?q=JANE\ANN\MARIA+AUGUSTA+EMPSON+1328+1367+BARRETT_x000D_
.born:c1328    -          Virgin Islands; United States_x000D_
.died: 13671110-          Virgin Islands; United States, age:39y 10m 9d, _x000D_
.bapt: 1785GE_x000D_
.will: 2004MO_x000D_
.obit: 1890OH_x000D_
.bury: 1850IL _x000D_
.wpbt: 1826PA_x000D_
.anc#:ancestor_x000D_
citiz:foreign_x000D_
#spos:1_x000D_
#srcs:2_x000D_
#comment:0_x000D_
#events:1_x000D_
#kids:1_x000D_
lived:VU_x000D_
issue:_x000D_
.recs:Birth,Marriage,Death_x000D_
.imm?:no_x000D_
..Spo:ROBERT BARRETT</t>
        </r>
      </text>
    </comment>
    <comment ref="U4144" authorId="0" shapeId="0" xr:uid="{B0104F9B-BA62-4FC3-BE04-E0BBDFB96C5B}">
      <text>
        <r>
          <rPr>
            <sz val="9"/>
            <color indexed="81"/>
            <rFont val="Tahoma"/>
            <family val="2"/>
          </rPr>
          <t>JANE THOMASINE BARRETT_x000D_
http://yeinfo.com/family/I09066044.html_x000D_
https://www.google.com/search?q=JANE+THOMASINE+BARRETT+1388+1418+DARRELL_x000D_
.born: 1388    -          Preston-next-Faversham (Kent) England_x000D_
.died: 1418    -          Kent county England, age:30y 0m 0d, _x000D_
.bapt: 1785GE_x000D_
.will: 2004MO_x000D_
.obit: 1890OH_x000D_
.bury: 1850IL _x000D_
.wpbt: 1826PA_x000D_
.anc#:ancestor_x000D_
citiz:foreign_x000D_
#spos:1_x000D_
#srcs:1_x000D_
#comment:0_x000D_
#events:1_x000D_
#kids:1_x000D_
lived:ENKENT PRESTNF_x000D_
issue:_x000D_
.recs:Birth,Marriage,Death_x000D_
.imm?:no_x000D_
..Spo:WILLIAM JOHN DARRELL</t>
        </r>
      </text>
    </comment>
    <comment ref="V4146" authorId="0" shapeId="0" xr:uid="{2C7B36B8-6C56-4DD3-9978-4FBD365D7686}">
      <text>
        <r>
          <rPr>
            <sz val="9"/>
            <color indexed="81"/>
            <rFont val="Tahoma"/>
            <family val="2"/>
          </rPr>
          <t>CECILIA ATTE LEEZ_x000D_
http://yeinfo.com/family/I09066240.html_x000D_
https://www.google.com/search?q=CECILIA+ATTE+LEEZ+1360+1388+BARRETT_x000D_
.born: 1360    -          Sevenoaks (Kent) England_x000D_
.died: 1388    -1450     ?England, age:28y 0m 0d, _x000D_
.bapt: 1785GE_x000D_
.will: 2004MO_x000D_
.obit: 1890OH_x000D_
.bury: 1850IL _x000D_
.wpbt: 1826PA_x000D_
.anc#:ancestor_x000D_
citiz:foreign_x000D_
#spos:1_x000D_
#srcs:1_x000D_
#comment:0_x000D_
#events:1_x000D_
#kids:1_x000D_
lived:ENKENT SEVENOA_x000D_
issue:_x000D_
.recs:Birth,Marriage,Death_x000D_
.imm?:no_x000D_
..Spo:VALENTINE BARRETT</t>
        </r>
      </text>
    </comment>
    <comment ref="S4148" authorId="0" shapeId="0" xr:uid="{CB4AF113-F46A-4AB5-A98A-39A699BD393B}">
      <text>
        <r>
          <rPr>
            <sz val="9"/>
            <color indexed="81"/>
            <rFont val="Tahoma"/>
            <family val="2"/>
          </rPr>
          <t>JULIAN DARRELL_x000D_
http://yeinfo.com/family/I09065723.html_x000D_
https://www.google.com/search?q=JULIAN+DARRELL+1439+1526+DERING_x000D_
.born: 1439    -          Little Chart (Kent) England_x000D_
.died: 15260204-          Pluckley (Kent) England, age:87y 1m 3d, _x000D_
.bapt: 1785GE_x000D_
.will: 2004MO_x000D_
.obit: 1890OH_x000D_
.bury: 1850IL _x000D_
.wpbt: 1826PA_x000D_
.anc#:ancestor_x000D_
citiz:foreign_x000D_
#spos:1_x000D_
#srcs:1_x000D_
#comment:0_x000D_
#events:1_x000D_
#kids:1_x000D_
lived:ENKENT LITTLEC,ENKENT PLUCKLE_x000D_
issue:_x000D_
.recs:Birth,Marriage,Death_x000D_
.imm?:no_x000D_
..Spo:JOHN DERING</t>
        </r>
      </text>
    </comment>
    <comment ref="W4150" authorId="0" shapeId="0" xr:uid="{E918CCB6-198D-40E2-A3E9-92136759032B}">
      <text>
        <r>
          <rPr>
            <sz val="9"/>
            <color indexed="81"/>
            <rFont val="Tahoma"/>
            <family val="2"/>
          </rPr>
          <t>EDWARD GUILDFORD_x000D_
http://yeinfo.com/family/I09066351.html_x000D_
https://www.google.com/search?q=EDWARD+GUILDFORD+1331+1351+ALICE_x000D_
.born: 1331    -          Hempstead (Kent) England_x000D_
.died: 1351    -1421     ?England, age:20y 0m 0d, _x000D_
.bapt: 1785GE_x000D_
.will: 2004MO_x000D_
.obit: 1890OH_x000D_
.bury: 1850IL _x000D_
.wpbt: 1826PA_x000D_
.anc#:double ancestor_x000D_
citiz:foreign_x000D_
#spos:1_x000D_
#srcs:1_x000D_
#comment:1_x000D_
#events:1_x000D_
#kids:1_x000D_
lived:ENKENT HEMPSTE_x000D_
issue:_x000D_
.recs:Birth,Marriage,Death_x000D_
.imm?:no_x000D_
..Spo:ALICE SAMBOURNE</t>
        </r>
      </text>
    </comment>
    <comment ref="V4152" authorId="0" shapeId="0" xr:uid="{8BB591C6-6895-4015-B4A0-D9998B7895F6}">
      <text>
        <r>
          <rPr>
            <sz val="9"/>
            <color indexed="81"/>
            <rFont val="Tahoma"/>
            <family val="2"/>
          </rPr>
          <t>WILLIAM GUILDFORD_x000D_
http://yeinfo.com/family/I09066201.html_x000D_
https://www.google.com/search?q=WILLIAM+GUILDFORD+1348+1394+JOAN_x000D_
.born: 1348    -          Rolvenden (Kent) England_x000D_
.died: 1394    -          Kent county England, age:46y 0m 0d, _x000D_
.bapt: 1785GE_x000D_
.will: 2004MO_x000D_
.obit: 1890OH_x000D_
.bury: 1850IL _x000D_
.wpbt: 1826PA_x000D_
.anc#:double ancestor_x000D_
citiz:foreign_x000D_
#spos:1_x000D_
#srcs:1_x000D_
#comment:0_x000D_
#events:1_x000D_
#kids:1_x000D_
lived:ENKENT ROLVEND_x000D_
issue:_x000D_
.recs:Birth,Marriage,Death_x000D_
.imm?:no_x000D_
..Spo:JOAN HALDEN</t>
        </r>
      </text>
    </comment>
    <comment ref="W4154" authorId="0" shapeId="0" xr:uid="{82F62B19-93EE-4331-AE2A-0EA02C78447E}">
      <text>
        <r>
          <rPr>
            <sz val="9"/>
            <color indexed="81"/>
            <rFont val="Tahoma"/>
            <family val="2"/>
          </rPr>
          <t>ALICE SAMBOURNE_x000D_
http://yeinfo.com/family/I09066352.html_x000D_
https://www.google.com/search?q=ALICE+SAMBOURNE+1338+1358+GUILDFORD_x000D_
.born:c1338    -          Rolvenden (Kent) England_x000D_
.died: 1358    -1428     ?England, age:20y 0m 0d, _x000D_
.bapt: 1785GE_x000D_
.will: 2004MO_x000D_
.obit: 1890OH_x000D_
.bury: 1850IL _x000D_
.wpbt: 1826PA_x000D_
.anc#:double ancestor_x000D_
citiz:foreign_x000D_
#spos:1_x000D_
#srcs:1_x000D_
#comment:1_x000D_
#events:1_x000D_
#kids:1_x000D_
lived:ENKENT ROLVEND_x000D_
issue:Died after Age 100_x000D_
.recs:Birth,Marriage,Death_x000D_
.imm?:no_x000D_
..Spo:EDWARD GUILDFORD</t>
        </r>
      </text>
    </comment>
    <comment ref="U4156" authorId="0" shapeId="0" xr:uid="{A4CC778F-CDFC-4AEF-AA29-FCDDDD56D8BF}">
      <text>
        <r>
          <rPr>
            <sz val="9"/>
            <color indexed="81"/>
            <rFont val="Tahoma"/>
            <family val="2"/>
          </rPr>
          <t>EDWARD GUILDFORD_x000D_
http://yeinfo.com/family/I09066017.html_x000D_
https://www.google.com/search?q=EDWARD+GUILDFORD+1385+1449+JULIANA_x000D_
.born: 1385    -          Kent county England_x000D_
.died: 14490921-          Rolvenden (Kent) England, age:64y 8m 20d, _x000D_
.bapt: 1785GE_x000D_
.will: 2004MO_x000D_
.obit: 1890OH_x000D_
.bury: 1850IL _x000D_
.wpbt: 1826PA_x000D_
.anc#:double ancestor_x000D_
citiz:foreign_x000D_
#spos:1_x000D_
#srcs:1_x000D_
#comment:1_x000D_
#events:1_x000D_
#kids:2_x000D_
lived:ENKENT ROLVEND_x000D_
issue:_x000D_
.recs:Birth,Marriage,Death_x000D_
.imm?:no_x000D_
..Spo:JULIANA PITTLESDEN</t>
        </r>
      </text>
    </comment>
    <comment ref="W4158" authorId="0" shapeId="0" xr:uid="{E14CC3A0-10C8-4590-BA23-9B787342F40F}">
      <text>
        <r>
          <rPr>
            <sz val="9"/>
            <color indexed="81"/>
            <rFont val="Tahoma"/>
            <family val="2"/>
          </rPr>
          <t>JOHN\WILLIAM HALDEN_x000D_
http://yeinfo.com/family/I09066353.html_x000D_
https://www.google.com/search?q=JOHN\WILLIAM+HALDEN+1325+1346+EMMA_x000D_
.born:?1325    -         ?England_x000D_
.died: 1346    -1415     ?England, age:21y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..Spo:EMMA HALDEN</t>
        </r>
      </text>
    </comment>
    <comment ref="V4160" authorId="0" shapeId="0" xr:uid="{08C408B1-0621-465C-B7F9-A712FC213E6A}">
      <text>
        <r>
          <rPr>
            <sz val="9"/>
            <color indexed="81"/>
            <rFont val="Tahoma"/>
            <family val="2"/>
          </rPr>
          <t>JOAN HALDEN_x000D_
http://yeinfo.com/family/I09066202.html_x000D_
https://www.google.com/search?q=JOAN+HALDEN+1346+1411+GUILDFORD_x000D_
.born:c1346    -          Rolvenden (Kent) England_x000D_
.died: 1411    -          England, age:65y 0m 0d, _x000D_
.bapt: 1785GE_x000D_
.will: 2004MO_x000D_
.obit: 1890OH_x000D_
.bury: 1850IL _x000D_
.wpbt: 1826PA_x000D_
.anc#:double ancestor_x000D_
citiz:foreign_x000D_
#spos:1_x000D_
#srcs:1_x000D_
#comment:0_x000D_
#events:1_x000D_
#kids:1_x000D_
lived:ENKENT ROLVEND_x000D_
issue:_x000D_
.recs:Birth,Marriage,Death_x000D_
.imm?:no_x000D_
..Spo:WILLIAM GUILDFORD</t>
        </r>
      </text>
    </comment>
    <comment ref="W4162" authorId="0" shapeId="0" xr:uid="{B77EAF8A-271E-43EF-8930-1A88B2CCF855}">
      <text>
        <r>
          <rPr>
            <sz val="9"/>
            <color indexed="81"/>
            <rFont val="Tahoma"/>
            <family val="2"/>
          </rPr>
          <t>Mrs. EMMA HALDEN_x000D_
http://yeinfo.com/family/I09066354.html_x000D_
https://www.google.com/search?q=EMMA+HALDEN+1325+1346+HALDEN_x000D_
.born:?1325    -          _x000D_
.died: 1346    -1415     ?England, age:21y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..Spo:JOHN\WILLIAM HALDEN</t>
        </r>
      </text>
    </comment>
    <comment ref="T4164" authorId="0" shapeId="0" xr:uid="{20CC7207-C66C-4E92-AB97-160DEEC9B1BF}">
      <text>
        <r>
          <rPr>
            <sz val="9"/>
            <color indexed="81"/>
            <rFont val="Tahoma"/>
            <family val="2"/>
          </rPr>
          <t>ANNE GUILDFORD_x000D_
http://yeinfo.com/family/I09065870.html_x000D_
https://www.google.com/search?q=ANNE+GUILDFORD+1411+1485+DARRELL_x000D_
.born:c1411    -          Kent county England_x000D_
.died: 14850105-          Kent county England, age:74y 0m 4d, _x000D_
.bapt: 1785GE_x000D_
.will: 2004MO_x000D_
.obit: 1890OH_x000D_
.bury: 1850IL _x000D_
.wpbt: 1826PA_x000D_
.anc#:ancestor_x000D_
citiz:foreign_x000D_
#spos:1_x000D_
#srcs:1_x000D_
#comment:0_x000D_
#events:1_x000D_
#kids:1_x000D_
lived:ENKENT_x000D_
issue:_x000D_
.recs:Birth,Marriage,Death_x000D_
.imm?:no_x000D_
..Spo:WILLIAM DARRELL</t>
        </r>
      </text>
    </comment>
    <comment ref="U4166" authorId="0" shapeId="0" xr:uid="{4A47C95B-F53B-4F37-ABA7-465D6E662928}">
      <text>
        <r>
          <rPr>
            <sz val="9"/>
            <color indexed="81"/>
            <rFont val="Tahoma"/>
            <family val="2"/>
          </rPr>
          <t>JULIANA PITTLESDEN_x000D_
http://yeinfo.com/family/I09066018.html_x000D_
https://www.google.com/search?q=JULIANA+PITTLESDEN+1387+1422+GUILDFORD_x000D_
.born:c1387    -          Kent county England_x000D_
.died: 1422    -          Rolvenden (Kent) England, age:35y 0m 0d, _x000D_
.bapt: 1785GE_x000D_
.will: 2004MO_x000D_
.obit: 1890OH_x000D_
.bury: 1850IL _x000D_
.wpbt: 1826PA_x000D_
.anc#:double ancestor_x000D_
citiz:foreign_x000D_
#spos:1_x000D_
#srcs:1_x000D_
#comment:0_x000D_
#events:1_x000D_
#kids:2_x000D_
lived:ENKENT ROLVEND_x000D_
issue:_x000D_
.recs:Birth,Marriage,Death_x000D_
.imm?:no_x000D_
..Spo:EDWARD GUILDFORD</t>
        </r>
      </text>
    </comment>
    <comment ref="P4168" authorId="0" shapeId="0" xr:uid="{FFD18F86-2DA2-4446-A5DB-54B7082E3CFC}">
      <text>
        <r>
          <rPr>
            <sz val="9"/>
            <color indexed="81"/>
            <rFont val="Tahoma"/>
            <family val="2"/>
          </rPr>
          <t>JUDITH BOURNE_x000D_
http://yeinfo.com/family/I09021695.html_x000D_
https://www.google.com/search?q=JUDITH+BOURNE+1557+1610+EVERARD_x000D_
.born: 15570819-          _x000D_
.died: 16100520-          London (Middlesex) England, age:52y 9m 1d, _x000D_
.bapt: 1785GE_x000D_
.will: 2004MO_x000D_
.obit: 1890OH_x000D_
.bury: 1850IL _x000D_
.wpbt: 1826PA_x000D_
.anc#:ancestor_x000D_
citiz:US born_x000D_
#spos:1_x000D_
#srcs:2_x000D_
#comment:1_x000D_
#events:1_x000D_
#kids:1_x000D_
lived:ENESSEXBOBBINW,ENMIDDLLONDON_x000D_
issue:Died after Age 100_x000D_
.recs:Birth,Marriage,Death_x000D_
.imm?:no_x000D_
..Spo:JOHN EVERARD</t>
        </r>
      </text>
    </comment>
    <comment ref="Q4170" authorId="0" shapeId="0" xr:uid="{91E78517-ABDE-4746-ACED-3FB0ED5490DD}">
      <text>
        <r>
          <rPr>
            <sz val="9"/>
            <color indexed="81"/>
            <rFont val="Tahoma"/>
            <family val="2"/>
          </rPr>
          <t>MAUDLIN ILES_x000D_
http://yeinfo.com/family/I09043391.html_x000D_
https://www.google.com/search?q=MAUDLIN+ILES+1533+1624+BOURNE_x000D_
.born: 1533    -          London (Middlesex) England_x000D_
.died: 1624    -          London (Middlesex) England, age:91y 0m 0d, _x000D_
.bapt: 1785GE_x000D_
.will: 2004MO_x000D_
.obit: 1890OH_x000D_
.bury: 1850IL _x000D_
.wpbt: 1826PA_x000D_
.anc#:ancestor_x000D_
citiz:foreign_x000D_
#spos:1_x000D_
#srcs:1_x000D_
#comment:1_x000D_
#events:1_x000D_
#kids:1_x000D_
lived:ENMIDDLLONDON_x000D_
issue:Died after Age 100_x000D_
.recs:Birth,Marriage,Death_x000D_
.imm?:no_x000D_
..Spo:JOHN BOURNE</t>
        </r>
      </text>
    </comment>
    <comment ref="I4172" authorId="0" shapeId="0" xr:uid="{2A187BB8-D728-4DE0-B64A-BD247A2643CC}">
      <text>
        <r>
          <rPr>
            <sz val="9"/>
            <color indexed="81"/>
            <rFont val="Tahoma"/>
            <family val="2"/>
          </rPr>
          <t>ABIGAIL SCOTT_x000D_
http://yeinfo.com/family/I09000169.html_x000D_
https://www.google.com/search?q=ABIGAIL+SCOTT+1773+1793+DOUGLASS_x000D_
.born: 1773    -          Winchester (Cheshire) New Hampshire_x000D_
.died: 17930430-          , age:20y 3m 29d, _x000D_
.bapt: 1785GE_x000D_
.will: 2004MO_x000D_
.obit: 1890OH_x000D_
.bury: 1850IL _x000D_
.wpbt: 1826PA_x000D_
.anc#:ancestor_x000D_
citiz:US born_x000D_
#spos:1_x000D_
#srcs:2_x000D_
#comment:0_x000D_
#events:2_x000D_
#kids:2_x000D_
lived:NHCHESHWINCHES_x000D_
issue:_x000D_
.recs:Birth,Baptism,Marriage,Death_x000D_
.imm?:no_x000D_
..Spo:JOSEPH DOUGLASS</t>
        </r>
      </text>
    </comment>
    <comment ref="O4174" authorId="0" shapeId="0" xr:uid="{4F93FD28-8F9D-419A-AE68-E2C9CC540791}">
      <text>
        <r>
          <rPr>
            <sz val="9"/>
            <color indexed="81"/>
            <rFont val="Tahoma"/>
            <family val="2"/>
          </rPr>
          <t>HENRY CHAMBERLAIN_x000D_
http://yeinfo.com/family/I09010848.html_x000D_
https://www.google.com/search?q=HENRY+CHAMBERLAIN+1595+1674+JANE\JOAN_x000D_
.born: 1595    -          England_x000D_
.died: 16740715-          Hull (Plymouth) Massachusetts, age:79y 6m 14d, _x000D_
.bapt: 1785GE_x000D_
.will: 2004MO_x000D_
.obit: 1890OH_x000D_
.bury: 1850IL _x000D_
.wpbt: 1826PA_x000D_
.anc#:ancestor_x000D_
citiz:immigrant_x000D_
#spos:1_x000D_
#srcs:14_x000D_
#comment:0_x000D_
#events:10_x000D_
#kids:6_x000D_
lived:?ENNORFOHINGHAM,EN,MAPLYMOHINGHAM,MAPLYMOHULL_x000D_
issue:_x000D_
.recs:Birth,Marriage,Ship Passenger List,Will Written,Death,Land Transaction,Freeman_x000D_
.imm?:immigrant_x000D_
..Spo:JANE\JOAN FREEMAN</t>
        </r>
      </text>
    </comment>
    <comment ref="N4176" authorId="0" shapeId="0" xr:uid="{FFCE1A5E-C018-4FB1-9DD9-23404C4FCD4D}">
      <text>
        <r>
          <rPr>
            <sz val="9"/>
            <color indexed="81"/>
            <rFont val="Tahoma"/>
            <family val="2"/>
          </rPr>
          <t>HENRY CHAMBERLAIN_x000D_
http://yeinfo.com/family/I09005424.html_x000D_
https://www.google.com/search?q=HENRY+CHAMBERLAIN+1619+1678+SARAH\SUSANNA_x000D_
.born:?1619    -         ?Hingham (Norfolk) England_x000D_
.died: 16781203-          Hull (Plymouth) Massachusetts, age:59y 11m 2d, _x000D_
.bapt: 1785GE_x000D_
.will: 2004MO_x000D_
.obit: 1890OH_x000D_
.bury: 1850IL _x000D_
.wpbt: 1826PA_x000D_
.anc#:ancestor_x000D_
citiz:immigrant_x000D_
#spos:1_x000D_
#srcs:8_x000D_
#comment:0_x000D_
#events:6_x000D_
#kids:2_x000D_
lived:?ENNORFOHINGHAM,MAPLYMOHINGHAM,MAPLYMOHULL_x000D_
issue:_x000D_
.recs:Birth,Marriage,Death,Freeman_x000D_
.imm?:immigrant_x000D_
..Spo:SARAH\SUSANNA JONES</t>
        </r>
      </text>
    </comment>
    <comment ref="O4178" authorId="0" shapeId="0" xr:uid="{7229B008-CE76-4AFA-8F16-5BFE4325EFA9}">
      <text>
        <r>
          <rPr>
            <sz val="9"/>
            <color indexed="81"/>
            <rFont val="Tahoma"/>
            <family val="2"/>
          </rPr>
          <t>JANE\JOAN FREEMAN_x000D_
http://yeinfo.com/family/I09010849.html_x000D_
https://www.google.com/search?q=JANE\JOAN+FREEMAN+1595+1634+CHAMBERLAIN_x000D_
.born:?1595    -         ?England_x000D_
.died: 1634    -1685      Hull (Plymouth) Massachusetts, age:39y 0m 0d, _x000D_
.bapt: 1785GE_x000D_
.will: 2004MO_x000D_
.obit: 1890OH_x000D_
.bury: 1850IL _x000D_
.wpbt: 1826PA_x000D_
.anc#:ancestor_x000D_
citiz:immigrant_x000D_
#spos:1_x000D_
#srcs:7_x000D_
#comment:0_x000D_
#events:1_x000D_
#kids:6_x000D_
lived:?EN,MAPLYMOHULL_x000D_
issue:_x000D_
.recs:Birth,Marriage,Death_x000D_
.imm?:immigrant_x000D_
..Spo:HENRY CHAMBERLAIN</t>
        </r>
      </text>
    </comment>
    <comment ref="M4180" authorId="0" shapeId="0" xr:uid="{BBC75CCE-0281-499D-984E-4C3A17F39389}">
      <text>
        <r>
          <rPr>
            <sz val="9"/>
            <color indexed="81"/>
            <rFont val="Tahoma"/>
            <family val="2"/>
          </rPr>
          <t>HENRY CHAMBERLAIN_x000D_
http://yeinfo.com/family/I09002712.html_x000D_
https://www.google.com/search?q=HENRY+CHAMBERLAIN+1655+1699+JANE\JOAN\MARY_x000D_
.born:?1655    -         ?_x000D_
.died: 1699    -1745     ?Hull (Plymouth) Massachusetts, age:44y 0m 0d, _x000D_
.bapt: 1785GE_x000D_
.will: 2004MO_x000D_
.obit: 1890OH_x000D_
.bury: 1850IL _x000D_
.wpbt: 1826PA_x000D_
.anc#:ancestor_x000D_
citiz:US born_x000D_
#spos:1_x000D_
#srcs:4_x000D_
#comment:0_x000D_
#events:2_x000D_
#kids:7_x000D_
lived:MAPLYMOHULL_x000D_
issue:_x000D_
.recs:Birth,Marriage,Death,Freeman_x000D_
.imm?:no_x000D_
..Spo:JANE\JOAN\MARY CHAMBERLAIN</t>
        </r>
      </text>
    </comment>
    <comment ref="O4182" authorId="0" shapeId="0" xr:uid="{7246993F-E71D-4713-9C8F-8805A786C741}">
      <text>
        <r>
          <rPr>
            <sz val="9"/>
            <color indexed="81"/>
            <rFont val="Tahoma"/>
            <family val="2"/>
          </rPr>
          <t>ABRAHAM THOMAS JONES_x000D_
http://yeinfo.com/family/I09010850.html_x000D_
https://www.google.com/search?q=ABRAHAM+THOMAS+JONES+1602+1681+ANN_x000D_
.born: 1602    -         ?England_x000D_
.died: 1681    -          Massachusetts, age:79y 0m 0d, _x000D_
.bapt: 1785GE_x000D_
.will: 2004MO_x000D_
.obit: 1890OH_x000D_
.bury: 1850IL _x000D_
.wpbt: 1826PA_x000D_
.anc#:ancestor_x000D_
citiz:immigrant_x000D_
#spos:1_x000D_
#srcs:4_x000D_
#comment:0_x000D_
#events:7_x000D_
#kids:1_x000D_
lived:?EN,ENOXFOSCAVERSH,MAPLYMOHINGHAM,MAPLYMOHULL,MAPLYMOSCITUAT_x000D_
issue:_x000D_
.recs:Birth,Marriage,Job/Occupation,Death_x000D_
.imm?:immigrant_x000D_
..Spo:ANN JONES</t>
        </r>
      </text>
    </comment>
    <comment ref="N4184" authorId="0" shapeId="0" xr:uid="{7E28EEC7-263D-496D-8F30-A18A37EAB764}">
      <text>
        <r>
          <rPr>
            <sz val="9"/>
            <color indexed="81"/>
            <rFont val="Tahoma"/>
            <family val="2"/>
          </rPr>
          <t>SARAH\SUSANNA JONES_x000D_
http://yeinfo.com/family/I09005425.html_x000D_
https://www.google.com/search?q=SARAH\SUSANNA+JONES+1635+1710+CHAMBERLAIN_x000D_
.born: 1635    -          Hingham (Norfolk) England_x000D_
.died: 17101216-          , age:75y 11m 15d, _x000D_
.bapt: 1785GE_x000D_
.will: 2004MO_x000D_
.obit: 1890OH_x000D_
.bury: 1850IL _x000D_
.wpbt: 1826PA_x000D_
.anc#:ancestor_x000D_
citiz:US born_x000D_
#spos:1_x000D_
#srcs:4_x000D_
#comment:0_x000D_
#events:1_x000D_
#kids:2_x000D_
lived:?MA,ENNORFOHINGHAM_x000D_
issue:_x000D_
.recs:Birth,Marriage,Death_x000D_
.imm?:no_x000D_
..Spo:HENRY CHAMBERLAIN</t>
        </r>
      </text>
    </comment>
    <comment ref="O4186" authorId="0" shapeId="0" xr:uid="{EA5A2CE2-63B1-4CB5-A329-1EF0231E319D}">
      <text>
        <r>
          <rPr>
            <sz val="9"/>
            <color indexed="81"/>
            <rFont val="Tahoma"/>
            <family val="2"/>
          </rPr>
          <t>Mrs. ANN JONES_x000D_
http://yeinfo.com/family/I09010851.html_x000D_
https://www.google.com/search?q=ANN+JONES+1602+1635+JONES_x000D_
.born:?1602    -         ?England_x000D_
.died: 1635    -1692     ?Massachusetts, age:33y 0m 0d, _x000D_
.bapt: 1785GE_x000D_
.will: 2004MO_x000D_
.obit: 1890OH_x000D_
.bury: 1850IL _x000D_
.wpbt: 1826PA_x000D_
.anc#:ancestor_x000D_
citiz:immigrant_x000D_
#spos:1_x000D_
#srcs:2_x000D_
#comment:0_x000D_
#events:1_x000D_
#kids:1_x000D_
lived:?EN,?MA_x000D_
issue:_x000D_
.recs:Birth,Marriage,Death_x000D_
.imm?:immigrant_x000D_
..Spo:ABRAHAM THOMAS JONES</t>
        </r>
      </text>
    </comment>
    <comment ref="L4188" authorId="0" shapeId="0" xr:uid="{50C26FC7-6F54-488C-93EB-ECCA0B9E5AF7}">
      <text>
        <r>
          <rPr>
            <sz val="9"/>
            <color indexed="81"/>
            <rFont val="Tahoma"/>
            <family val="2"/>
          </rPr>
          <t>HENRY CHAMBERLAIN_x000D_
http://yeinfo.com/family/I09001356.html_x000D_
https://www.google.com/search?q=HENRY+CHAMBERLAIN+1686+1715+LYDIA_x000D_
.born: 16860311-          Hull (Plymouth) Massachusetts_x000D_
.died: 1715    -1776      , age:28y 9m 21d, _x000D_
.bapt: 1785GE_x000D_
.will: 2004MO_x000D_
.obit: 1890OH_x000D_
.bury: 1850IL _x000D_
.wpbt: 1826PA_x000D_
.anc#:ancestor_x000D_
citiz:US born_x000D_
#spos:1_x000D_
#srcs:2_x000D_
#comment:0_x000D_
#events:2_x000D_
#kids:1_x000D_
lived:MAPLYMOHULL_x000D_
issue:_x000D_
.recs:Birth,Marriage Intention/Bonds,Death_x000D_
.imm?:no_x000D_
..Spo:LYDIA VINTON</t>
        </r>
      </text>
    </comment>
    <comment ref="M4190" authorId="0" shapeId="0" xr:uid="{26A95B14-19AA-4206-901C-825C05B3B47C}">
      <text>
        <r>
          <rPr>
            <sz val="9"/>
            <color indexed="81"/>
            <rFont val="Tahoma"/>
            <family val="2"/>
          </rPr>
          <t>Mrs. JANE\JOAN\MARY CHAMBERLAIN_x000D_
http://yeinfo.com/family/I09002713.html_x000D_
https://www.google.com/search?q=JANE\JOAN\MARY+CHAMBERLAIN+1662+1699+CHAMBERLAIN_x000D_
.born:?1662    -         ?_x000D_
.died: 1699    -1752      Chelmsford (Middlesex) Massachusetts, age:37y 0m 0d, _x000D_
.bapt: 1785GE_x000D_
.will: 2004MO_x000D_
.obit: 1890OH_x000D_
.bury: 1850IL _x000D_
.wpbt: 1826PA_x000D_
.anc#:ancestor_x000D_
citiz:US born_x000D_
#spos:1_x000D_
#srcs:2_x000D_
#comment:0_x000D_
#events:1_x000D_
#kids:7_x000D_
lived:?MA,MAMIDDLCHELMSF_x000D_
issue:_x000D_
.recs:Birth,Marriage,Death_x000D_
.imm?:no_x000D_
..Spo:HENRY CHAMBERLAIN</t>
        </r>
      </text>
    </comment>
    <comment ref="K4192" authorId="0" shapeId="0" xr:uid="{0B9A4CC9-F6FE-4187-83D0-BCC6530F376C}">
      <text>
        <r>
          <rPr>
            <sz val="9"/>
            <color indexed="81"/>
            <rFont val="Tahoma"/>
            <family val="2"/>
          </rPr>
          <t>HENRY CHAMBERLAIN_x000D_
http://yeinfo.com/family/I09000678.html_x000D_
https://www.google.com/search?q=HENRY+CHAMBERLAIN+1717+1787+SUSANNAH_x000D_
.born:c1717    -         ?Bridgewater (Plymouth) Massachusetts_x000D_
.died: 1787    -          Leicester (Addison) Vermont, age:70y 0m 0d, _x000D_
.bapt: 1785GE_x000D_
.will: 2004MO_x000D_
.obit: 1890OH_x000D_
.bury: 1850IL Edson Cemetery_x000D_
.wpbt: 1826PA_x000D_
.anc#:ancestor_x000D_
citiz:US born_x000D_
#spos:1_x000D_
#srcs:2_x000D_
#comment:1_x000D_
#events:3_x000D_
#kids:11_x000D_
lived:?MAPLYMOBRIDGEW,NHCHESHWESTMOR,VTADDSNLEICEST_x000D_
issue:_x000D_
.recs:Birth,Marriage,Death,Interment/Burial_x000D_
.imm?:no_x000D_
..Spo:SUSANNAH HINDS</t>
        </r>
      </text>
    </comment>
    <comment ref="Q4194" authorId="0" shapeId="0" xr:uid="{BE427033-EDB7-4E80-A3B0-92A18FB30A91}">
      <text>
        <r>
          <rPr>
            <sz val="9"/>
            <color indexed="81"/>
            <rFont val="Tahoma"/>
            <family val="2"/>
          </rPr>
          <t>THOMAS VINTON_x000D_
http://yeinfo.com/family/I09043424.html_x000D_
https://www.google.com/search?q=THOMAS+VINTON+1530+1561+MARY_x000D_
.born: 1530    -          Essex county England_x000D_
.died: 1561    -1620     ?England, age:31y 0m 0d, _x000D_
.bapt: 1785GE_x000D_
.will: 2004MO_x000D_
.obit: 1890OH_x000D_
.bury: 1850IL _x000D_
.wpbt: 1826PA_x000D_
.anc#:ancestor_x000D_
citiz:foreign_x000D_
#spos:1_x000D_
#srcs:1_x000D_
#comment:0_x000D_
#events:1_x000D_
#kids:1_x000D_
lived:ENESSEX_x000D_
issue:_x000D_
.recs:Birth,Marriage,Death_x000D_
.imm?:no_x000D_
..Spo:MARY BELSTEAD</t>
        </r>
      </text>
    </comment>
    <comment ref="P4196" authorId="0" shapeId="0" xr:uid="{47307F45-70BA-4176-91DE-43D21954043A}">
      <text>
        <r>
          <rPr>
            <sz val="9"/>
            <color indexed="81"/>
            <rFont val="Tahoma"/>
            <family val="2"/>
          </rPr>
          <t>THOMAS VINTON_x000D_
http://yeinfo.com/family/I09021712.html_x000D_
https://www.google.com/search?q=THOMAS+VINTON+1561+1606+JOAN_x000D_
.born: 1561    -          Farnham (Suffolk) England_x000D_
.died: 1606    -1651      , age:45y 0m 0d, _x000D_
.bapt: 1785GE_x000D_
.will: 2004MO_x000D_
.obit: 1890OH_x000D_
.bury: 1850IL _x000D_
.wpbt: 1826PA_x000D_
.anc#:ancestor_x000D_
citiz:US born_x000D_
#spos:1_x000D_
#srcs:1_x000D_
#comment:0_x000D_
#events:1_x000D_
#kids:6_x000D_
lived:ENSUFFOFARNHAM_x000D_
issue:_x000D_
.recs:Birth,Marriage,Death_x000D_
.imm?:no_x000D_
..Spo:JOAN SHARPE</t>
        </r>
      </text>
    </comment>
    <comment ref="Q4198" authorId="0" shapeId="0" xr:uid="{9149EEC2-A4DB-4023-BFC6-23712A4609D8}">
      <text>
        <r>
          <rPr>
            <sz val="9"/>
            <color indexed="81"/>
            <rFont val="Tahoma"/>
            <family val="2"/>
          </rPr>
          <t>MARY BELSTEAD_x000D_
http://yeinfo.com/family/I09043425.html_x000D_
https://www.google.com/search?q=MARY+BELSTEAD+1530+1561+VINTON_x000D_
.born:?1530    -         ?Essex county England_x000D_
.died: 1561    -1620     ?England, age:31y 0m 0d, _x000D_
.bapt: 1785GE_x000D_
.will: 2004MO_x000D_
.obit: 1890OH_x000D_
.bury: 1850IL _x000D_
.wpbt: 1826PA_x000D_
.anc#:ancestor_x000D_
citiz:foreign_x000D_
#spos:1_x000D_
#srcs:1_x000D_
#comment:0_x000D_
#events:1_x000D_
#kids:1_x000D_
lived:?ENESSEX_x000D_
issue:_x000D_
.recs:Birth,Marriage,Death_x000D_
.imm?:no_x000D_
..Spo:THOMAS VINTON</t>
        </r>
      </text>
    </comment>
    <comment ref="O4200" authorId="0" shapeId="0" xr:uid="{9B59E93E-5BF1-4F67-9333-36E16857BD72}">
      <text>
        <r>
          <rPr>
            <sz val="9"/>
            <color indexed="81"/>
            <rFont val="Tahoma"/>
            <family val="2"/>
          </rPr>
          <t>ROBERT VINTON_x000D_
http://yeinfo.com/family/I09010856.html_x000D_
https://www.google.com/search?q=ROBERT+VINTON+1600+1620+JANE_x000D_
.born: 16001019-          Alderley (Cheshire) England_x000D_
.died: 1620    -1690      , age:19y 2m 13d, _x000D_
.bapt: 1785GE_x000D_
.will: 2004MO_x000D_
.obit: 1890OH_x000D_
.bury: 1850IL _x000D_
.wpbt: 1826PA_x000D_
.anc#:ancestor_x000D_
citiz:US born_x000D_
#spos:1_x000D_
#srcs:1_x000D_
#comment:0_x000D_
#events:1_x000D_
#kids:1_x000D_
lived:ENCHESHALDERLE_x000D_
issue:_x000D_
.recs:Birth,Marriage,Death_x000D_
.imm?:no_x000D_
..Spo:JANE STONE</t>
        </r>
      </text>
    </comment>
    <comment ref="P4202" authorId="0" shapeId="0" xr:uid="{0217C494-9AD9-481F-983D-2267A7AD800E}">
      <text>
        <r>
          <rPr>
            <sz val="9"/>
            <color indexed="81"/>
            <rFont val="Tahoma"/>
            <family val="2"/>
          </rPr>
          <t>JOAN SHARPE_x000D_
http://yeinfo.com/family/I09021713.html_x000D_
https://www.google.com/search?q=JOAN+SHARPE+1565+1600+VINTON_x000D_
.born: 1565    -          Essex county England_x000D_
.died: 1600    -1655      , age:35y 0m 0d, _x000D_
.bapt: 1785GE_x000D_
.will: 2004MO_x000D_
.obit: 1890OH_x000D_
.bury: 1850IL _x000D_
.wpbt: 1826PA_x000D_
.anc#:ancestor_x000D_
citiz:US born_x000D_
#spos:1_x000D_
#srcs:1_x000D_
#comment:0_x000D_
#events:1_x000D_
#kids:6_x000D_
lived:ENESSEX_x000D_
issue:_x000D_
.recs:Birth,Marriage,Death_x000D_
.imm?:no_x000D_
..Spo:THOMAS VINTON</t>
        </r>
      </text>
    </comment>
    <comment ref="N4204" authorId="0" shapeId="0" xr:uid="{B75F8444-9958-4FB0-9456-99A0B6F700F4}">
      <text>
        <r>
          <rPr>
            <sz val="9"/>
            <color indexed="81"/>
            <rFont val="Tahoma"/>
            <family val="2"/>
          </rPr>
          <t>JOHN VINTON_x000D_
http://yeinfo.com/family/I09005428.html_x000D_
https://www.google.com/search?q=JOHN+VINTON+1620+1664+ANNA\ELEANOR_x000D_
.born: 1620    -          Bishops Stortford (Hertfordshire) England_x000D_
.died: 1664    -          Massachusetts, age:44y 0m 0d, _x000D_
.bapt: 1785GE_x000D_
.will: 2004MO_x000D_
.obit: 1890OH_x000D_
.bury: 1850IL _x000D_
.wpbt: 1826PA_x000D_
.anc#:ancestor_x000D_
citiz:immigrant_x000D_
#spos:1_x000D_
#srcs:7_x000D_
#comment:0_x000D_
#events:3_x000D_
#kids:7_x000D_
lived:CTNEW HNEW HAV,ENHERTFBISHOST,MAESSEXLYNN_x000D_
issue:_x000D_
.recs:Birth,Marriage,Death_x000D_
.imm?:immigrant_x000D_
..Spo:ANNA\ELEANOR MOORE</t>
        </r>
      </text>
    </comment>
    <comment ref="O4206" authorId="0" shapeId="0" xr:uid="{D0A113E0-DE31-42F9-BFC2-93581D9F4E15}">
      <text>
        <r>
          <rPr>
            <sz val="9"/>
            <color indexed="81"/>
            <rFont val="Tahoma"/>
            <family val="2"/>
          </rPr>
          <t>JANE STONE_x000D_
http://yeinfo.com/family/I09010857.html_x000D_
https://www.google.com/search?q=JANE+STONE+1600+1620+VINTON_x000D_
.born: 1600    -          Alderley (Cheshire) England_x000D_
.died: 1620    -1690      , age:20y 0m 0d, _x000D_
.bapt: 1785GE_x000D_
.will: 2004MO_x000D_
.obit: 1890OH_x000D_
.bury: 1850IL _x000D_
.wpbt: 1826PA_x000D_
.anc#:ancestor_x000D_
citiz:US born_x000D_
#spos:1_x000D_
#srcs:1_x000D_
#comment:0_x000D_
#events:1_x000D_
#kids:1_x000D_
lived:ENCHESHALDERLE_x000D_
issue:_x000D_
.recs:Birth,Marriage,Death_x000D_
.imm?:no_x000D_
..Spo:ROBERT VINTON</t>
        </r>
      </text>
    </comment>
    <comment ref="M4208" authorId="0" shapeId="0" xr:uid="{D26D85DA-89BA-4578-A3FA-DBAC8F602CE4}">
      <text>
        <r>
          <rPr>
            <sz val="9"/>
            <color indexed="81"/>
            <rFont val="Tahoma"/>
            <family val="2"/>
          </rPr>
          <t>BLAISE\BLAZE VINTON_x000D_
http://yeinfo.com/family/I09002714.html_x000D_
https://www.google.com/search?q=BLAISE\BLAZE+VINTON+1654+1716+LYDIA_x000D_
.born: 16540422-         ?Salem (Essex) Massachusetts_x000D_
.died: 17160926-         ?Massachusetts, age:62y 5m 4d, _x000D_
.bapt: 1785GE_x000D_
.will: 2004MO_x000D_
.obit: 1890OH_x000D_
.bury: 1850IL _x000D_
.wpbt: 1826PA_x000D_
.anc#:ancestor_x000D_
citiz:US born_x000D_
#spos:1_x000D_
#srcs:6_x000D_
#comment:0_x000D_
#events:3_x000D_
#kids:1_x000D_
lived:?MAESSEXSALEM,MAPLYMOHINGHAM_x000D_
issue:_x000D_
.recs:Birth,Marriage,Death_x000D_
.imm?:no_x000D_
..Spo:LYDIA HAYDEN</t>
        </r>
      </text>
    </comment>
    <comment ref="N4210" authorId="0" shapeId="0" xr:uid="{E624180B-594A-4316-9893-58B1ED7C0483}">
      <text>
        <r>
          <rPr>
            <sz val="9"/>
            <color indexed="81"/>
            <rFont val="Tahoma"/>
            <family val="2"/>
          </rPr>
          <t>ANNA\ELEANOR MOORE_x000D_
http://yeinfo.com/family/I09005429.html_x000D_
https://www.google.com/search?q=ANNA\ELEANOR+MOORE+1619+1664+VINTON_x000D_
.born: 16191008-          Canterbury (Kent) England_x000D_
.died: 16640803-          New Haven (New Haven) Connecticut, age:44y 9m 26d, _x000D_
.bapt: 1785GE_x000D_
.will: 2004MO_x000D_
.obit: 1890OH_x000D_
.bury: 1850IL _x000D_
.wpbt: 1826PA_x000D_
.anc#:ancestor_x000D_
citiz:immigrant_x000D_
#spos:1_x000D_
#srcs:4_x000D_
#comment:1_x000D_
#events:1_x000D_
#kids:7_x000D_
lived:?MA,CTNEW HNEW HAV,ENKENT CANTERB_x000D_
issue:_x000D_
.recs:Birth,Marriage,Death_x000D_
.imm?:immigrant_x000D_
..Spo:JOHN VINTON</t>
        </r>
      </text>
    </comment>
    <comment ref="L4212" authorId="0" shapeId="0" xr:uid="{4C2E0107-60D9-4848-8154-CAADE01AC45E}">
      <text>
        <r>
          <rPr>
            <sz val="9"/>
            <color indexed="81"/>
            <rFont val="Tahoma"/>
            <family val="2"/>
          </rPr>
          <t>LYDIA VINTON_x000D_
http://yeinfo.com/family/I09001357.html_x000D_
https://www.google.com/search?q=LYDIA+VINTON+1675+1715+CHAMBERLAIN_x000D_
.born:?1675    -         ?Massachusetts_x000D_
.died: 1715    -1765     ?Massachusetts, age:40y 0m 0d, _x000D_
.bapt: 1785GE_x000D_
.will: 2004MO_x000D_
.obit: 1890OH_x000D_
.bury: 1850IL _x000D_
.wpbt: 1826PA_x000D_
.anc#:ancestor_x000D_
citiz:US born_x000D_
#spos:1_x000D_
#srcs:3_x000D_
#comment:0_x000D_
#events:2_x000D_
#kids:1_x000D_
lived:?MA_x000D_
issue:Born before Parents Married_x000D_
.recs:Birth,Marriage Intention/Bonds,Death_x000D_
.imm?:no_x000D_
..Spo:HENRY CHAMBERLAIN</t>
        </r>
      </text>
    </comment>
    <comment ref="Q4214" authorId="0" shapeId="0" xr:uid="{FDACDBC4-8F5F-48EA-87DD-33B175C264F0}">
      <text>
        <r>
          <rPr>
            <sz val="9"/>
            <color indexed="81"/>
            <rFont val="Tahoma"/>
            <family val="2"/>
          </rPr>
          <t>ROBERT HAYDEN_x000D_
http://yeinfo.com/family/I09043440.html_x000D_
https://www.google.com/search?q=ROBERT+HAYDEN+1560+1626+JOAN_x000D_
.born: 1560    -          Devon county England_x000D_
.died: 16261210-          Woodbury (Devon) England, age:66y 11m 9d, _x000D_
.bapt: 1785GE_x000D_
.will: 2004MO_x000D_
.obit: 1890OH_x000D_
.bury: 1850IL _x000D_
.wpbt: 1826PA_x000D_
.anc#:ancestor_x000D_
citiz:foreign_x000D_
#spos:1_x000D_
#srcs:1_x000D_
#comment:0_x000D_
#events:2_x000D_
#kids:1_x000D_
lived:ENDEVONWOODBUR,ENNORTA_x000D_
issue:_x000D_
.recs:Birth,Marriage,Death_x000D_
.imm?:no_x000D_
..Spo:JOAN PAULET</t>
        </r>
      </text>
    </comment>
    <comment ref="P4216" authorId="0" shapeId="0" xr:uid="{3DC2166D-085F-4A3B-9B6B-A71F88441F3C}">
      <text>
        <r>
          <rPr>
            <sz val="9"/>
            <color indexed="81"/>
            <rFont val="Tahoma"/>
            <family val="2"/>
          </rPr>
          <t>GIDEON HAYDEN_x000D_
http://yeinfo.com/family/I09021720.html_x000D_
https://www.google.com/search?q=GIDEON+HAYDEN+1586+1606+MARGARET_x000D_
.born: 1586    -          Devon county England_x000D_
.died: 1606    -1676      Devon county England, age:20y 0m 0d, _x000D_
.bapt: 1785GE_x000D_
.will: 2004MO_x000D_
.obit: 1890OH_x000D_
.bury: 1850IL _x000D_
.wpbt: 1826PA_x000D_
.anc#:ancestor_x000D_
citiz:foreign_x000D_
#spos:1_x000D_
#srcs:2_x000D_
#comment:1_x000D_
#events:1_x000D_
#kids:1_x000D_
lived:ENDEVON_x000D_
issue:_x000D_
.recs:Birth,Marriage,Death_x000D_
.imm?:no_x000D_
..Spo:MARGARET DAVY</t>
        </r>
      </text>
    </comment>
    <comment ref="Q4218" authorId="0" shapeId="0" xr:uid="{0CBB59D7-B450-419B-A6B6-BF93D838D8A6}">
      <text>
        <r>
          <rPr>
            <sz val="9"/>
            <color indexed="81"/>
            <rFont val="Tahoma"/>
            <family val="2"/>
          </rPr>
          <t>JOAN PAULET_x000D_
http://yeinfo.com/family/I09043441.html_x000D_
https://www.google.com/search?q=JOAN+PAULET+1554+1630+HAYDEN_x000D_
.born:c1554    -          Somerset county England_x000D_
.died:c1630    -          England, age:76y 0m 0d, _x000D_
.bapt: 1785GE_x000D_
.will: 2004MO_x000D_
.obit: 1890OH_x000D_
.bury: 1850IL _x000D_
.wpbt: 1826PA_x000D_
.anc#:ancestor_x000D_
citiz:foreign_x000D_
#spos:1_x000D_
#srcs:1_x000D_
#comment:0_x000D_
#events:1_x000D_
#kids:1_x000D_
lived:ENNORTA,ENSOMES_x000D_
issue:_x000D_
.recs:Birth,Marriage,Death_x000D_
.imm?:no_x000D_
..Spo:ROBERT HAYDEN</t>
        </r>
      </text>
    </comment>
    <comment ref="O4220" authorId="0" shapeId="0" xr:uid="{24AFAC8E-9CFA-4288-AF7F-A688DEFE3633}">
      <text>
        <r>
          <rPr>
            <sz val="9"/>
            <color indexed="81"/>
            <rFont val="Tahoma"/>
            <family val="2"/>
          </rPr>
          <t>JOHN HAYDEN_x000D_
http://yeinfo.com/family/I09010860.html_x000D_
https://www.google.com/search?q=JOHN+HAYDEN+1606+1682+SUSANNA_x000D_
.born: 16061102-          _x000D_
.died: 1682    -          Braintree (Norfolk) Massachusetts, age:75y 1m 30d, _x000D_
.bapt: 1785GE_x000D_
.will: 2004MO_x000D_
.obit: 1890OH_x000D_
.bury: 1850IL _x000D_
.wpbt: 1826PA_x000D_
.anc#:ancestor_x000D_
citiz:US born_x000D_
#spos:1_x000D_
#srcs:12_x000D_
#comment:1_x000D_
#events:9_x000D_
#kids:7_x000D_
lived:EN,MANORFOBRAINTR,MASUFFODORCHES_x000D_
issue:_x000D_
.recs:Birth,Marriage,Will Written,Death,Freeman,Church_x000D_
.imm?:no_x000D_
..Spo:SUSANNA PULLEN</t>
        </r>
      </text>
    </comment>
    <comment ref="P4222" authorId="0" shapeId="0" xr:uid="{D5F837C6-5732-418F-81CE-6EBB021E27BB}">
      <text>
        <r>
          <rPr>
            <sz val="9"/>
            <color indexed="81"/>
            <rFont val="Tahoma"/>
            <family val="2"/>
          </rPr>
          <t>MARGARET DAVY_x000D_
http://yeinfo.com/family/I09021721.html_x000D_
https://www.google.com/search?q=MARGARET+DAVY+1583+1606+HAYDEN_x000D_
.born: 1583    -          Devon county England_x000D_
.died: 1606    -1673     ?, age:23y 0m 0d, _x000D_
.bapt: 1785GE_x000D_
.will: 2004MO_x000D_
.obit: 1890OH_x000D_
.bury: 1850IL _x000D_
.wpbt: 1826PA_x000D_
.anc#:ancestor_x000D_
citiz:US born_x000D_
#spos:1_x000D_
#srcs:2_x000D_
#comment:0_x000D_
#events:1_x000D_
#kids:1_x000D_
lived:ENDEVON_x000D_
issue:_x000D_
.recs:Birth,Marriage,Death_x000D_
.imm?:no_x000D_
..Spo:GIDEON HAYDEN</t>
        </r>
      </text>
    </comment>
    <comment ref="N4224" authorId="0" shapeId="0" xr:uid="{13840E67-5BEF-4689-9AC9-7F3B1A009ECB}">
      <text>
        <r>
          <rPr>
            <sz val="9"/>
            <color indexed="81"/>
            <rFont val="Tahoma"/>
            <family val="2"/>
          </rPr>
          <t>JOHN\JOSEPH HAYDEN_x000D_
http://yeinfo.com/family/I09005430.html_x000D_
https://www.google.com/search?q=JOHN\JOSEPH+HAYDEN+1635+1718+HANNAH_x000D_
.born: 16350512-          Braintree (Norfolk) Massachusetts_x000D_
.died: 1718    -          , age:82y 7m 20d, _x000D_
.bapt: 1785GE_x000D_
.will: 2004MO_x000D_
.obit: 1890OH_x000D_
.bury: 1850IL _x000D_
.wpbt: 1826PA_x000D_
.anc#:ancestor_x000D_
citiz:US born_x000D_
#spos:1_x000D_
#srcs:4_x000D_
#comment:0_x000D_
#events:2_x000D_
#kids:6_x000D_
lived:MANORFOBRAINTR_x000D_
issue:_x000D_
.recs:Birth,Marriage,Death_x000D_
.imm?:no_x000D_
..Spo:HANNAH AMES</t>
        </r>
      </text>
    </comment>
    <comment ref="O4226" authorId="0" shapeId="0" xr:uid="{37671594-A65B-45CF-BCCE-5A0352A895F3}">
      <text>
        <r>
          <rPr>
            <sz val="9"/>
            <color indexed="81"/>
            <rFont val="Tahoma"/>
            <family val="2"/>
          </rPr>
          <t>SUSANNA PULLEN_x000D_
http://yeinfo.com/family/I09010861.html_x000D_
https://www.google.com/search?q=SUSANNA+PULLEN+1614+1635+HAYDEN_x000D_
.born:?1614    -         ?England_x000D_
.died: 1635    -1704      Braintree (Norfolk) Massachusetts, age:21y 0m 0d, _x000D_
.bapt: 1785GE_x000D_
.will: 2004MO_x000D_
.obit: 1890OH_x000D_
.bury: 1850IL _x000D_
.wpbt: 1826PA_x000D_
.anc#:ancestor_x000D_
citiz:immigrant_x000D_
#spos:1_x000D_
#srcs:6_x000D_
#comment:0_x000D_
#events:1_x000D_
#kids:7_x000D_
lived:?EN,?MASUFFODORCHES,MANORFOBRAINTR_x000D_
issue:_x000D_
.recs:Birth,Marriage,Death_x000D_
.imm?:immigrant_x000D_
..Spo:JOHN HAYDEN</t>
        </r>
      </text>
    </comment>
    <comment ref="M4228" authorId="0" shapeId="0" xr:uid="{EDAF7A9E-ECC9-4FE0-9D35-4202DF836B4A}">
      <text>
        <r>
          <rPr>
            <sz val="9"/>
            <color indexed="81"/>
            <rFont val="Tahoma"/>
            <family val="2"/>
          </rPr>
          <t>LYDIA HAYDEN_x000D_
http://yeinfo.com/family/I09002715.html_x000D_
https://www.google.com/search?q=LYDIA+HAYDEN+1668+1756+VINTON+Jonathan_x000D_
.born:?1668    -         ?Braintree (Norfolk) Massachusetts_x000D_
.died: 17560117-          Hingham (Plymouth) Massachusetts, age:88y 0m 16d, _x000D_
.bapt: 1785GE_x000D_
.will: 2004MO_x000D_
.obit: 1890OH_x000D_
.bury: 1850IL _x000D_
.wpbt: 1826PA_x000D_
.anc#:ancestor_x000D_
citiz:US born_x000D_
#spos:3_x000D_
#srcs:3_x000D_
#comment:0_x000D_
#events:3_x000D_
#kids:1_x000D_
lived:?MANORFOBRAINTR,MAPLYMOHINGHAM_x000D_
issue:Married before Age 16_x000D_
.recs:Birth,Marriage,Death_x000D_
.imm?:no_x000D_
..Spo:BLAISE\BLAZE VINTON</t>
        </r>
      </text>
    </comment>
    <comment ref="Q4230" authorId="0" shapeId="0" xr:uid="{788EA627-5FBC-4C2C-8C57-0C66CA48C85B}">
      <text>
        <r>
          <rPr>
            <sz val="9"/>
            <color indexed="81"/>
            <rFont val="Tahoma"/>
            <family val="2"/>
          </rPr>
          <t>WILLIAM AMES Sr._x000D_
http://yeinfo.com/family/I09043448.html_x000D_
https://www.google.com/search?q=WILLIAM+AMES+1540+1560+JOANE_x000D_
.born:?1540    -         ?Suffolk county England_x000D_
.died: 1560    -1570     ?Suffolk county England, age:20y 0m 0d, _x000D_
.bapt: 1785GE_x000D_
.will: 2004MO_x000D_
.obit: 1890OH_x000D_
.bury: 1850IL _x000D_
.wpbt: 1826PA_x000D_
.anc#:ancestor_x000D_
citiz:foreign_x000D_
#spos:1_x000D_
#srcs:10_x000D_
#comment:1_x000D_
#events:1_x000D_
#kids:1_x000D_
lived:?ENSUFFO_x000D_
issue:_x000D_
.recs:Birth,Marriage,Death_x000D_
.imm?:no_x000D_
..Spo:JOANE SNELLING</t>
        </r>
      </text>
    </comment>
    <comment ref="P4232" authorId="0" shapeId="0" xr:uid="{BC0EE64C-DB18-44CD-8CB3-54BEB2F2185B}">
      <text>
        <r>
          <rPr>
            <sz val="9"/>
            <color indexed="81"/>
            <rFont val="Tahoma"/>
            <family val="2"/>
          </rPr>
          <t>WILLIAM AMES Jr._x000D_
http://yeinfo.com/family/I09021724.html_x000D_
https://www.google.com/search?q=WILLIAM+AMES+1576+1633+JOANE_x000D_
.born: 1576    -          Ipswich (Suffolk) England_x000D_
.died: 16331114-          Bruton (Somerset) England, age:57y 10m 13d, exposure after his home flooded_x000D_
.bapt: 1785GE_x000D_
.will: 2004MO_x000D_
.obit: 1890OH_x000D_
.bury: 1850IL _x000D_
.wpbt: 1826PA_x000D_
.anc#:ancestor_x000D_
citiz:foreign_x000D_
#spos:1_x000D_
#srcs:10_x000D_
#comment:1_x000D_
#events:3_x000D_
#kids:1_x000D_
lived:ENCAMBSCAMBRID,ENSOMESBRUTON,ENSUFFOIPSWICH,NTFRILNFRANEKE_x000D_
issue:Born after Parent Died_x000D_
.recs:Birth,College,Marriage,Job/Occupation,Death,Image_x000D_
.imm?:no_x000D_
..Spo:JOANE FLETCHER</t>
        </r>
      </text>
    </comment>
    <comment ref="Q4234" authorId="0" shapeId="0" xr:uid="{A385D2F1-3EA6-4ECE-9FE1-34EA29138365}">
      <text>
        <r>
          <rPr>
            <sz val="9"/>
            <color indexed="81"/>
            <rFont val="Tahoma"/>
            <family val="2"/>
          </rPr>
          <t>JOANE SNELLING_x000D_
http://yeinfo.com/family/I09043449.html_x000D_
https://www.google.com/search?q=JOANE+SNELLING+1540+1560+AMES_x000D_
.born:?1540    -         ?Suffolk county England_x000D_
.died: 1560    -1570     ?Suffolk county England, age:20y 0m 0d, _x000D_
.bapt: 1785GE_x000D_
.will: 2004MO_x000D_
.obit: 1890OH_x000D_
.bury: 1850IL _x000D_
.wpbt: 1826PA_x000D_
.anc#:ancestor_x000D_
citiz:foreign_x000D_
#spos:1_x000D_
#srcs:10_x000D_
#comment:1_x000D_
#events:1_x000D_
#kids:1_x000D_
lived:?ENSUFFO_x000D_
issue:_x000D_
.recs:Birth,Marriage,Death_x000D_
.imm?:no_x000D_
..Spo:WILLIAM AMES</t>
        </r>
      </text>
    </comment>
    <comment ref="O4236" authorId="0" shapeId="0" xr:uid="{4EDEF4BA-0EDE-44C5-991B-F37D730B4819}">
      <text>
        <r>
          <rPr>
            <sz val="9"/>
            <color indexed="81"/>
            <rFont val="Tahoma"/>
            <family val="2"/>
          </rPr>
          <t>WILLIAM AMES III_x000D_
http://yeinfo.com/family/I09010862.html_x000D_
https://www.google.com/search?q=WILLIAM+AMES+1605+1654+HANNAH_x000D_
.born: 16051006-          Bruton (Somerset) England_x000D_
.died: 16540101-          Braintree (Norfolk) Massachusetts, age:48y 2m 26d, _x000D_
.bapt: 1785GE_x000D_
.will: 2004MO_x000D_
.obit: 1890OH_x000D_
.bury: 1850IL _x000D_
.wpbt: 1826PA_x000D_
.anc#:ancestor_x000D_
citiz:immigrant_x000D_
#spos:1_x000D_
#srcs:14_x000D_
#comment:0_x000D_
#events:13_x000D_
#kids:5_x000D_
lived:?MANORFOWRENTHA,?MAPLYMODUXBURY,ENSOMESBRUTON,MAMIDDLCAMBRID,MANORFOBRAINTR_x000D_
issue:_x000D_
.recs:Birth,Baptism,College,Marriage,Ship Passenger List,Death,Freeman,Estate_x000D_
.imm?:immigrant_x000D_
..Spo:HANNAH ADAMS</t>
        </r>
      </text>
    </comment>
    <comment ref="P4238" authorId="0" shapeId="0" xr:uid="{4111AA37-B1F8-4B80-926F-64A14DFCFE7A}">
      <text>
        <r>
          <rPr>
            <sz val="9"/>
            <color indexed="81"/>
            <rFont val="Tahoma"/>
            <family val="2"/>
          </rPr>
          <t>JOANE FLETCHER_x000D_
http://yeinfo.com/family/I09021725.html_x000D_
https://www.google.com/search?q=JOANE+FLETCHER+1585+1644+AMES_x000D_
.born:?1585    -         ?England_x000D_
.died: 16441223-          Cambridge (Middlesex) Massachusetts, age:59y 11m 22d, _x000D_
.bapt: 1785GE_x000D_
.will: 2004MO_x000D_
.obit: 1890OH_x000D_
.bury: 1850IL _x000D_
.wpbt: 1826PA_x000D_
.anc#:ancestor_x000D_
citiz:immigrant_x000D_
#spos:1_x000D_
#srcs:7_x000D_
#comment:0_x000D_
#events:3_x000D_
#kids:1_x000D_
lived:?EN,MAESSEXSALEM,MAMIDDLCAMBRID,MAMIDDLWATERTO_x000D_
issue:_x000D_
.recs:Birth,Marriage,Ship Passenger List,Death_x000D_
.imm?:immigrant_x000D_
..Spo:WILLIAM AMES</t>
        </r>
      </text>
    </comment>
    <comment ref="N4240" authorId="0" shapeId="0" xr:uid="{A89393DE-0001-4572-8B6C-BC25A5EE397E}">
      <text>
        <r>
          <rPr>
            <sz val="9"/>
            <color indexed="81"/>
            <rFont val="Tahoma"/>
            <family val="2"/>
          </rPr>
          <t>HANNAH AMES_x000D_
http://yeinfo.com/family/I09005431.html_x000D_
https://www.google.com/search?q=HANNAH+AMES+1641+1689+HAYDEN_x000D_
.born:p16410311-          Braintree (Norfolk) Massachusetts_x000D_
.died: 1689    -          Milton (Norfolk) Massachusetts, age:47y 9m 21d, _x000D_
.bapt: 1785GE_x000D_
.will: 2004MO_x000D_
.obit: 1890OH_x000D_
.bury: 1850IL _x000D_
.wpbt: 1826PA_x000D_
.anc#:ancestor_x000D_
citiz:US born_x000D_
#spos:1_x000D_
#srcs:10_x000D_
#comment:0_x000D_
#events:1_x000D_
#kids:6_x000D_
lived:MANORFOBRAINTR,MANORFOMILTON_x000D_
issue:_x000D_
.recs:Birth,Marriage,Death_x000D_
.imm?:no_x000D_
..Spo:JOHN\JOSEPH HAYDEN</t>
        </r>
      </text>
    </comment>
    <comment ref="O4242" authorId="0" shapeId="0" xr:uid="{D12D65FA-E508-45E0-8DC6-86D8E9ED5E19}">
      <text>
        <r>
          <rPr>
            <sz val="9"/>
            <color indexed="81"/>
            <rFont val="Tahoma"/>
            <family val="2"/>
          </rPr>
          <t>HANNAH ADAMS_x000D_
http://yeinfo.com/family/I09010863.html_x000D_
https://www.google.com/search?q=HANNAH+ADAMS+1609+1702+AMES+John_x000D_
.born: 1609    -          Somerset county England_x000D_
.died: 17020131-          Braintree (Norfolk) Massachusetts, age:93y 0m 30d, _x000D_
.bapt: 1785GE_x000D_
.will: 2004MO_x000D_
.obit: 1890OH_x000D_
.bury: 1850IL Hancock Cemetery_x000D_
.wpbt: 1826PA_x000D_
.anc#:ancestor_x000D_
citiz:immigrant_x000D_
#spos:2_x000D_
#srcs:7_x000D_
#comment:0_x000D_
#events:3_x000D_
#kids:5_x000D_
lived:ENSOMES,MANORFOBRAINTR,MANORFOQUINCY_x000D_
issue:_x000D_
.recs:Birth,Marriage,Death,Interment/Burial_x000D_
.imm?:immigrant_x000D_
..Spo:WILLIAM AMES</t>
        </r>
      </text>
    </comment>
    <comment ref="J4244" authorId="0" shapeId="0" xr:uid="{E32C0B5C-6083-4C63-AD08-4B69BBC12314}">
      <text>
        <r>
          <rPr>
            <sz val="9"/>
            <color indexed="81"/>
            <rFont val="Tahoma"/>
            <family val="2"/>
          </rPr>
          <t>LYDIA CHAMBERLAIN_x000D_
http://yeinfo.com/family/I09000339.html_x000D_
https://www.google.com/search?q=LYDIA+CHAMBERLAIN+1750+1832+SCOTT_x000D_
.born: 1750    -         ?Westmoreland (Cheshire) New Hampshire_x000D_
.died: 18320827-          Scottsville (Monroe) New York, age:82y 7m 26d, _x000D_
.bapt: 1785GE_x000D_
.will: 2004MO_x000D_
.obit: 1890OH_x000D_
.bury: 1850IL Oatka Cemetery_x000D_
.wpbt: 1826PA_x000D_
.anc#:ancestor_x000D_
citiz:US born_x000D_
#spos:1_x000D_
#srcs:1_x000D_
#comment:0_x000D_
#events:3_x000D_
#kids:11_x000D_
lived:?MAPLYMOBRIDGEW,?NHCHESHWESTMOE,NYMONROSCOTTSV_x000D_
issue:_x000D_
.recs:Birth,Marriage,Death,Interment/Burial_x000D_
.imm?:no_x000D_
..Spo:ISAAC SCOTT</t>
        </r>
      </text>
    </comment>
    <comment ref="N4246" authorId="0" shapeId="0" xr:uid="{0E685401-D505-4257-9506-6484AA6A9C30}">
      <text>
        <r>
          <rPr>
            <sz val="9"/>
            <color indexed="81"/>
            <rFont val="Tahoma"/>
            <family val="2"/>
          </rPr>
          <t>WILLIAM HINDS_x000D_
http://yeinfo.com/family/I09005432.html_x000D_
https://www.google.com/search?q=WILLIAM+HINDS+1600+1658+SARAH_x000D_
.born:?1600    -          England_x000D_
.died: 1658    -1690     ?Essex county Massachusetts, age:58y 0m 0d, _x000D_
.bapt: 1785GE_x000D_
.will: 2004MO_x000D_
.obit: 1890OH_x000D_
.bury: 1850IL _x000D_
.wpbt: 1826PA_x000D_
.anc#:ancestor_x000D_
citiz:immigrant_x000D_
#spos:1_x000D_
#srcs:8_x000D_
#comment:1_x000D_
#events:8_x000D_
#kids:1_x000D_
lived:ENMIDDLLONDON,MAESSEXMARBLEH,MAESSEXSALEM_x000D_
issue:_x000D_
.recs:Birth,Marriage,Ship Passenger List,Death,Land Transaction,Freeman,Church_x000D_
.imm?:immigrant_x000D_
..Spo:SARAH INGERSOLL</t>
        </r>
      </text>
    </comment>
    <comment ref="M4248" authorId="0" shapeId="0" xr:uid="{63FAA561-89AD-4A89-9EDA-D6655F80CDA8}">
      <text>
        <r>
          <rPr>
            <sz val="9"/>
            <color indexed="81"/>
            <rFont val="Tahoma"/>
            <family val="2"/>
          </rPr>
          <t>WILLIAM HINDS_x000D_
http://yeinfo.com/family/I09002716.html_x000D_
https://www.google.com/search?q=WILLIAM+HINDS+1658+1736+ABIGAIL+Norman_x000D_
.born:?1658    -         ?Salem (Essex) Massachusetts_x000D_
.died:?1736    -          Marblehill (Essex) Massachusetts, age:78y 0m 0d, _x000D_
.bapt: 1785GE_x000D_
.will: 2004MO_x000D_
.obit: 1890OH_x000D_
.bury: 1850IL _x000D_
.wpbt: 1826PA_x000D_
.anc#:ancestor_x000D_
citiz:US born_x000D_
#spos:3_x000D_
#srcs:3_x000D_
#comment:1_x000D_
#events:7_x000D_
#kids:10_x000D_
lived:?MAESSEXSALEM,MAESSEXMARBLEH,NHHILLBAMHERST_x000D_
issue:Married before Age 16_x000D_
.recs:Birth,Marriage,Death,Land Transaction_x000D_
.imm?:no_x000D_
..Spo:ABIGAIL WARD</t>
        </r>
      </text>
    </comment>
    <comment ref="O4250" authorId="0" shapeId="0" xr:uid="{88E29F3F-5017-4CB4-ABF0-63AF73B61BC6}">
      <text>
        <r>
          <rPr>
            <sz val="9"/>
            <color indexed="81"/>
            <rFont val="Tahoma"/>
            <family val="2"/>
          </rPr>
          <t>RICHARD INGERSOLL_x000D_
http://yeinfo.com/family/I09010866.html_x000D_
https://www.google.com/search?q=RICHARD+INGERSOLL+1585+1644+AGNES\ANN_x000D_
.born:?1585    -          England_x000D_
.died: 16441004-          Salem (Essex) Massachusetts, age:59y 9m 3d, _x000D_
.bapt: 1785GE_x000D_
.will: 2004MO_x000D_
.obit: 1890OH_x000D_
.bury: 1850IL _x000D_
.wpbt: 1826PA_x000D_
.anc#:ancestor_x000D_
citiz:immigrant_x000D_
#spos:1_x000D_
#srcs:16_x000D_
#comment:0_x000D_
#events:8_x000D_
#kids:7_x000D_
lived:ENBEDFOSANDY,MAESSEXSALEM_x000D_
issue:_x000D_
.recs:Birth,Death,Land Transaction,Immigrate_x000D_
.imm?:immigrant_x000D_
..Spo:AGNES\ANN LANGLEY</t>
        </r>
      </text>
    </comment>
    <comment ref="N4252" authorId="0" shapeId="0" xr:uid="{64151C1E-DA37-4390-A8E6-6A0086C025EF}">
      <text>
        <r>
          <rPr>
            <sz val="9"/>
            <color indexed="81"/>
            <rFont val="Tahoma"/>
            <family val="2"/>
          </rPr>
          <t>SARAH INGERSOLL_x000D_
http://yeinfo.com/family/I09005433.html_x000D_
https://www.google.com/search?q=SARAH+INGERSOLL+1619+1719+HINDS+Joseph_x000D_
.born:?1619    -          Sandy (Bedfordshire) England_x000D_
.died: 1719    -         ?Essex county Massachusetts, age:100y 0m 0d, _x000D_
.bapt: 1785GE_x000D_
.will: 2004MO_x000D_
.obit: 1890OH_x000D_
.bury: 1850IL _x000D_
.wpbt: 1826PA_x000D_
.anc#:ancestor_x000D_
citiz:immigrant_x000D_
#spos:2_x000D_
#srcs:7_x000D_
#comment:0_x000D_
#events:3_x000D_
#kids:1_x000D_
lived:ENBEDFOSANDY,MAESSEXMARBLEH,MAESSEXSALEM_x000D_
issue:_x000D_
.recs:Birth,Marriage,Death_x000D_
.imm?:immigrant_x000D_
..Spo:WILLIAM HINDS</t>
        </r>
      </text>
    </comment>
    <comment ref="O4254" authorId="0" shapeId="0" xr:uid="{01D5AF1B-68D7-4A75-AD0A-470683FD4019}">
      <text>
        <r>
          <rPr>
            <sz val="9"/>
            <color indexed="81"/>
            <rFont val="Tahoma"/>
            <family val="2"/>
          </rPr>
          <t>AGNES\ANN LANGLEY_x000D_
http://yeinfo.com/family/I09010867.html_x000D_
https://www.google.com/search?q=AGNES\ANN+LANGLEY+1585+1677+INGERSOLL+John_x000D_
.born:?1585    -          England_x000D_
.died: 1677    -         ?Salem (Essex) Massachusetts, age:92y 0m 0d, _x000D_
.bapt: 1785GE_x000D_
.will: 2004MO_x000D_
.obit: 1890OH_x000D_
.bury: 1850IL _x000D_
.wpbt: 1826PA_x000D_
.anc#:ancestor_x000D_
citiz:immigrant_x000D_
#spos:2_x000D_
#srcs:7_x000D_
#comment:0_x000D_
#events:3_x000D_
#kids:7_x000D_
lived:?MAESSEXSALEM,ENBEDFOSANDY_x000D_
issue:Married before Age 16_x000D_
.recs:Birth,Marriage,Death_x000D_
.imm?:immigrant_x000D_
..Spo:RICHARD INGERSOLL</t>
        </r>
      </text>
    </comment>
    <comment ref="L4256" authorId="0" shapeId="0" xr:uid="{4600D85B-BD4D-490C-AAC8-2312564CCE90}">
      <text>
        <r>
          <rPr>
            <sz val="9"/>
            <color indexed="81"/>
            <rFont val="Tahoma"/>
            <family val="2"/>
          </rPr>
          <t>JOHN HINDS_x000D_
http://yeinfo.com/family/I09001358.html_x000D_
https://www.google.com/search?q=JOHN+HINDS+1682+1722+HANNAH\MARY_x000D_
.born: 16820214-          Marblehill (Essex) Massachusetts_x000D_
.died: 1722    -1772      , age:39y 10m 18d, _x000D_
.bapt: 1785GE_x000D_
.will: 2004MO_x000D_
.obit: 1890OH_x000D_
.bury: 1850IL _x000D_
.wpbt: 1826PA_x000D_
.anc#:ancestor_x000D_
citiz:US born_x000D_
#spos:1_x000D_
#srcs:1_x000D_
#comment:0_x000D_
#events:2_x000D_
#kids:6_x000D_
lived:MAESSEXMARBLEH,MAPLYMOBRIDGEW_x000D_
issue:_x000D_
.recs:Birth,Marriage,Death_x000D_
.imm?:no_x000D_
..Spo:HANNAH\MARY SHAW</t>
        </r>
      </text>
    </comment>
    <comment ref="O4258" authorId="0" shapeId="0" xr:uid="{3A4A7B08-0E5E-4A4D-BACB-0A5011904A76}">
      <text>
        <r>
          <rPr>
            <sz val="9"/>
            <color indexed="81"/>
            <rFont val="Tahoma"/>
            <family val="2"/>
          </rPr>
          <t>SAMUEL WARD_x000D_
http://yeinfo.com/family/I09010868.html_x000D_
https://www.google.com/search?q=SAMUEL+WARD+1593+1682+MARY+Pitcher_x000D_
.born: 1593    -         ?England_x000D_
.died: 16820830-          Charlestown (Suffolk) Massachusetts, age:89y 7m 29d, _x000D_
.bapt: 1785GE_x000D_
.will: 2004MO_x000D_
.obit: 1890OH_x000D_
.bury: 1850IL _x000D_
.wpbt: 1826PA_x000D_
.anc#:ancestor_x000D_
citiz:immigrant_x000D_
#spos:2_x000D_
#srcs:12_x000D_
#comment:0_x000D_
#events:5_x000D_
#kids:4_x000D_
lived:?EN,MAPLYMOHINGHAM,MASUFFOCHAZTWN_x000D_
issue:_x000D_
.recs:Birth,Marriage,Will Written,Death_x000D_
.imm?:immigrant_x000D_
..Spo:MARY HILLARD</t>
        </r>
      </text>
    </comment>
    <comment ref="N4260" authorId="0" shapeId="0" xr:uid="{ACA92917-8719-4B5F-A7D3-CBCA9762A459}">
      <text>
        <r>
          <rPr>
            <sz val="9"/>
            <color indexed="81"/>
            <rFont val="Tahoma"/>
            <family val="2"/>
          </rPr>
          <t>SAMUEL WARD_x000D_
http://yeinfo.com/family/I09005434.html_x000D_
https://www.google.com/search?q=SAMUEL+WARD+1638+1690+ABIGAIL+Bradstreet_x000D_
.born: 1638    -         ?Hingham (Plymouth) Massachusetts_x000D_
.died: 1690    -         ?Canada, age:52y 0m 0d, _x000D_
.bapt: 1785GE_x000D_
.will: 2004MO_x000D_
.obit: 1890OH_x000D_
.bury: 1850IL _x000D_
.wpbt: 1826PA_x000D_
.anc#:ancestor_x000D_
citiz:US born_x000D_
#spos:2_x000D_
#srcs:6_x000D_
#comment:0_x000D_
#events:8_x000D_
#kids:1_x000D_
lived:?CN,?MAPLYMOHINGHAM,MAESSEXMARBLEH,MASUFFOCHAZTWN_x000D_
issue:_x000D_
.recs:Birth,Baptism,Military,Marriage,Death,Freeman_x000D_
.imm?:no_x000D_
..Spo:ABIGAIL MAVERICK</t>
        </r>
      </text>
    </comment>
    <comment ref="O4262" authorId="0" shapeId="0" xr:uid="{FB829069-D764-4C5D-904B-F0C78F916996}">
      <text>
        <r>
          <rPr>
            <sz val="9"/>
            <color indexed="81"/>
            <rFont val="Tahoma"/>
            <family val="2"/>
          </rPr>
          <t>MARY HILLARD_x000D_
http://yeinfo.com/family/I09010869.html_x000D_
https://www.google.com/search?q=MARY+HILLARD+1600+1638+WARD_x000D_
.born:?1600    -         ?England_x000D_
.died:?1638    -          Charlestown (Suffolk) Massachusetts, age:38y 0m 0d, _x000D_
.bapt: 1785GE_x000D_
.will: 2004MO_x000D_
.obit: 1890OH_x000D_
.bury: 1850IL _x000D_
.wpbt: 1826PA_x000D_
.anc#:ancestor_x000D_
citiz:immigrant_x000D_
#spos:1_x000D_
#srcs:6_x000D_
#comment:0_x000D_
#events:1_x000D_
#kids:1_x000D_
lived:?EN,MASUFFOCHAZTWN_x000D_
issue:_x000D_
.recs:Birth,Marriage,Death_x000D_
.imm?:immigrant_x000D_
..Spo:SAMUEL WARD</t>
        </r>
      </text>
    </comment>
    <comment ref="M4264" authorId="0" shapeId="0" xr:uid="{C74A705E-93E6-431D-9066-E27A4AFBED3B}">
      <text>
        <r>
          <rPr>
            <sz val="9"/>
            <color indexed="81"/>
            <rFont val="Tahoma"/>
            <family val="2"/>
          </rPr>
          <t>ABIGAIL WARD_x000D_
http://yeinfo.com/family/I09002717.html_x000D_
https://www.google.com/search?q=ABIGAIL+WARD+1660+1688+HINDS_x000D_
.born: 1660    -         ?Hingham (Plymouth) Massachusetts_x000D_
.died: 1688    -          Marblehill (Essex) Massachusetts, age:28y 0m 0d, _x000D_
.bapt: 1785GE_x000D_
.will: 2004MO_x000D_
.obit: 1890OH_x000D_
.bury: 1850IL _x000D_
.wpbt: 1826PA_x000D_
.anc#:ancestor_x000D_
citiz:US born_x000D_
#spos:1_x000D_
#srcs:4_x000D_
#comment:0_x000D_
#events:4_x000D_
#kids:4_x000D_
lived:?MAPLYMOHINGHAM,MAESSEXMARBLEH_x000D_
issue:_x000D_
.recs:Birth,Baptism,Marriage,Death_x000D_
.imm?:no_x000D_
..Spo:WILLIAM HINDS</t>
        </r>
      </text>
    </comment>
    <comment ref="R4266" authorId="0" shapeId="0" xr:uid="{0A8C72DD-0058-4B8A-BD8F-15C3B5999EA4}">
      <text>
        <r>
          <rPr>
            <sz val="9"/>
            <color indexed="81"/>
            <rFont val="Tahoma"/>
            <family val="2"/>
          </rPr>
          <t>ROBERT MAVERICK_x000D_
http://yeinfo.com/family/I09065579.html_x000D_
https://www.google.com/search?q=ROBERT+MAVERICK+1525+1573+ALICE_x000D_
.born:?1525    -         ?Awliscombe (Devon) England_x000D_
.died: 157311  -          Awliscombe (Devon) England, age:48y 10m 0d, _x000D_
.bapt: 1785GE_x000D_
.will: 2004MO_x000D_
.obit: 1890OH_x000D_
.bury: 1850IL _x000D_
.wpbt: 1826PA_x000D_
.anc#:ancestor_x000D_
citiz:foreign_x000D_
#spos:1_x000D_
#srcs:2_x000D_
#comment:1_x000D_
#events:3_x000D_
#kids:1_x000D_
lived:?ENDEVONAWLISCO,?ENDEVONILSINGT_x000D_
issue:_x000D_
.recs:Birth,Marriage,Job/Occupation,Death_x000D_
.imm?:no_x000D_
..Spo:ALICE BULL</t>
        </r>
      </text>
    </comment>
    <comment ref="Q4268" authorId="0" shapeId="0" xr:uid="{3024D787-CE27-4A4E-B6C0-FDA2FAD698A1}">
      <text>
        <r>
          <rPr>
            <sz val="9"/>
            <color indexed="81"/>
            <rFont val="Tahoma"/>
            <family val="2"/>
          </rPr>
          <t>PETER MAVERICK_x000D_
http://yeinfo.com/family/I09043480.html_x000D_
https://www.google.com/search?q=PETER+MAVERICK+1550+1612+DOROTHY_x000D_
.born:?1550    -         ?Awliscombe (Devon) England_x000D_
.died: 1612    -1640      Awliscombe (Devon) England, age:62y 0m 0d, _x000D_
.bapt: 1785GE_x000D_
.will: 2004MO_x000D_
.obit: 1890OH_x000D_
.bury: 1850IL _x000D_
.wpbt: 1826PA_x000D_
.anc#:ancestor_x000D_
citiz:foreign_x000D_
#spos:1_x000D_
#srcs:6_x000D_
#comment:1_x000D_
#events:6_x000D_
#kids:1_x000D_
lived:?ENDEVONAWLISCO,ENDEVONILSINGT_x000D_
issue:_x000D_
.recs:Birth,Marriage,Death,Gov't Court_x000D_
.imm?:no_x000D_
..Spo:DOROTHY TUCKE</t>
        </r>
      </text>
    </comment>
    <comment ref="R4270" authorId="0" shapeId="0" xr:uid="{AB181989-22F1-4320-A357-894D6B388B3F}">
      <text>
        <r>
          <rPr>
            <sz val="9"/>
            <color indexed="81"/>
            <rFont val="Tahoma"/>
            <family val="2"/>
          </rPr>
          <t>ALICE BULL_x000D_
http://yeinfo.com/family/I09065580.html_x000D_
https://www.google.com/search?q=ALICE+BULL+1525+1550+MAVERICK_x000D_
.born:?1525    -         ?Awliscombe (Devon) England_x000D_
.died: 1550    -1615     ?Awliscombe (Devon) England, age:25y 0m 0d, _x000D_
.bapt: 1785GE_x000D_
.will: 2004MO_x000D_
.obit: 1890OH_x000D_
.bury: 1850IL _x000D_
.wpbt: 1826PA_x000D_
.anc#:ancestor_x000D_
citiz:foreign_x000D_
#spos:1_x000D_
#srcs:2_x000D_
#comment:0_x000D_
#events:1_x000D_
#kids:1_x000D_
lived:?ENDEVONAWLISCO,?ENDEVONILSINGT_x000D_
issue:_x000D_
.recs:Birth,Marriage,Death_x000D_
.imm?:no_x000D_
..Spo:ROBERT MAVERICK</t>
        </r>
      </text>
    </comment>
    <comment ref="P4272" authorId="0" shapeId="0" xr:uid="{FD052335-B74D-47A3-83EC-656CCE54396A}">
      <text>
        <r>
          <rPr>
            <sz val="9"/>
            <color indexed="81"/>
            <rFont val="Tahoma"/>
            <family val="2"/>
          </rPr>
          <t>JOHN MAVERICK_x000D_
http://yeinfo.com/family/I09021740.html_x000D_
https://www.google.com/search?q=JOHN+MAVERICK+1578+1636+MARY_x000D_
.born: 1578    -          Awliscombe (Devon) England_x000D_
.died: 16360203-          Dorchester (Suffolk) Massachusetts, age:58y 1m 2d, _x000D_
.bapt: 1785GE_x000D_
.will: 2004MO_x000D_
.obit: 1890OH_x000D_
.bury: 1850IL _x000D_
.wpbt: 1826PA_x000D_
.anc#:ancestor_x000D_
citiz:immigrant_x000D_
#spos:1_x000D_
#srcs:15_x000D_
#comment:1_x000D_
#events:12_x000D_
#kids:1_x000D_
lived:ENDEVONAWLISCO,ENDEVONBEAWTHY,ENDEVONEXETER,ENDEVONILSINGT,ENDEVONPLYMOUT,ENOXFOSOXFORD,MASUFFODORCHES_x000D_
issue:_x000D_
.recs:Birth,Baptism,College,Marriage,Ship Passenger List,Job/Occupation,Death,Church_x000D_
.imm?:immigrant_x000D_
..Spo:MARY GYE</t>
        </r>
      </text>
    </comment>
    <comment ref="Q4274" authorId="0" shapeId="0" xr:uid="{8A781FDD-09B5-45D0-9D14-96C063CD8F77}">
      <text>
        <r>
          <rPr>
            <sz val="9"/>
            <color indexed="81"/>
            <rFont val="Tahoma"/>
            <family val="2"/>
          </rPr>
          <t>DOROTHY TUCKE_x000D_
http://yeinfo.com/family/I09043481.html_x000D_
https://www.google.com/search?q=DOROTHY+TUCKE+1555+1578+MAVERICK_x000D_
.born:?1555    -         ?Devon county England_x000D_
.died: 1578    -1645     ?England, age:23y 0m 0d, _x000D_
.bapt: 1785GE_x000D_
.will: 2004MO_x000D_
.obit: 1890OH_x000D_
.bury: 1850IL _x000D_
.wpbt: 1826PA_x000D_
.anc#:ancestor_x000D_
citiz:foreign_x000D_
#spos:1_x000D_
#srcs:6_x000D_
#comment:0_x000D_
#events:1_x000D_
#kids:1_x000D_
lived:ENDEVONILSINGT_x000D_
issue:_x000D_
.recs:Birth,Marriage,Death_x000D_
.imm?:no_x000D_
..Spo:PETER MAVERICK</t>
        </r>
      </text>
    </comment>
    <comment ref="O4276" authorId="0" shapeId="0" xr:uid="{9D249029-0C02-48BD-B6DD-015BDD56C1E9}">
      <text>
        <r>
          <rPr>
            <sz val="9"/>
            <color indexed="81"/>
            <rFont val="Tahoma"/>
            <family val="2"/>
          </rPr>
          <t>MOSES MAVERICK_x000D_
http://yeinfo.com/family/I09010870.html_x000D_
https://www.google.com/search?q=MOSES+MAVERICK+1611+1686+REMEMBER+MAVERICK_x000D_
.born:?1611    -         ?England_x000D_
.died: 16860628-         ?Massachusetts, age:75y 5m 27d, _x000D_
.bapt: 1785GE_x000D_
.will: 2004MO_x000D_
.obit: 1890OH_x000D_
.bury: 1850IL _x000D_
.wpbt: 1826PA_x000D_
.anc#:ancestor_x000D_
citiz:immigrant_x000D_
#spos:2_x000D_
#srcs:10_x000D_
#comment:1_x000D_
#events:11_x000D_
#kids:1_x000D_
lived:?EN,MAESSEXMARBLEH,MAESSEXSALEM,MAPLYMOPLYMOUT,MASUFFODORCHES_x000D_
issue:_x000D_
.recs:Birth,Marriage,Job/Occupation,Will Written,Death,Freeman_x000D_
.imm?:immigrant_x000D_
..Spo:REMEMBER ALLERTON</t>
        </r>
      </text>
    </comment>
    <comment ref="R4278" authorId="0" shapeId="0" xr:uid="{343E78AA-56C1-4792-94DA-13CC7613832B}">
      <text>
        <r>
          <rPr>
            <sz val="9"/>
            <color indexed="81"/>
            <rFont val="Tahoma"/>
            <family val="2"/>
          </rPr>
          <t>ROBERT\JOHN GYE_x000D_
http://yeinfo.com/family/I09065581.html_x000D_
https://www.google.com/search?q=ROBERT\JOHN+GYE+1530+1555+MARY_x000D_
.born:?1530    -         ?England_x000D_
.died: 1555    -1620     ?England, age:25y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..Spo:MARY PROWSE</t>
        </r>
      </text>
    </comment>
    <comment ref="Q4280" authorId="0" shapeId="0" xr:uid="{32C4CE21-5CF0-4952-9B1D-2565648CA204}">
      <text>
        <r>
          <rPr>
            <sz val="9"/>
            <color indexed="81"/>
            <rFont val="Tahoma"/>
            <family val="2"/>
          </rPr>
          <t>ROBERT GYE_x000D_
http://yeinfo.com/family/I09043482.html_x000D_
https://www.google.com/search?q=ROBERT+GYE+1555+1580+GRACE_x000D_
.born:?1555    -         ?England_x000D_
.died: 1580    -1645     ?England, age:25y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..Spo:GRACE DOWRISH</t>
        </r>
      </text>
    </comment>
    <comment ref="R4282" authorId="0" shapeId="0" xr:uid="{6DD591E4-F92F-4453-8687-AF555FBCCFE6}">
      <text>
        <r>
          <rPr>
            <sz val="9"/>
            <color indexed="81"/>
            <rFont val="Tahoma"/>
            <family val="2"/>
          </rPr>
          <t>MARY PROWSE_x000D_
http://yeinfo.com/family/I09065582.html_x000D_
https://www.google.com/search?q=MARY+PROWSE+1530+1555+GYE_x000D_
.born:?1530    -         ?England_x000D_
.died: 1555    -1620     ?England, age:25y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..Spo:ROBERT\JOHN GYE</t>
        </r>
      </text>
    </comment>
    <comment ref="P4284" authorId="0" shapeId="0" xr:uid="{628D0C14-1F4D-4FBA-99E2-4DBDEA1AD426}">
      <text>
        <r>
          <rPr>
            <sz val="9"/>
            <color indexed="81"/>
            <rFont val="Tahoma"/>
            <family val="2"/>
          </rPr>
          <t>MARY GYE_x000D_
http://yeinfo.com/family/I09021741.html_x000D_
https://www.google.com/search?q=MARY+GYE+1580+1631+MAVERICK_x000D_
.born:?1580    -         ?Devon county England_x000D_
.died: 1631    -1670     ?Dorchester (Suffolk) Massachusetts, age:51y 0m 0d, _x000D_
.bapt: 1785GE_x000D_
.will: 2004MO_x000D_
.obit: 1890OH_x000D_
.bury: 1850IL _x000D_
.wpbt: 1826PA_x000D_
.anc#:ancestor_x000D_
citiz:immigrant_x000D_
#spos:1_x000D_
#srcs:7_x000D_
#comment:1_x000D_
#events:4_x000D_
#kids:1_x000D_
lived:?EN,ENDEVONILSINGT,MASUFFODORCHES_x000D_
issue:_x000D_
.recs:Birth,Marriage,Ship Passenger List,Death_x000D_
.imm?:immigrant_x000D_
..Spo:JOHN MAVERICK</t>
        </r>
      </text>
    </comment>
    <comment ref="W4286" authorId="0" shapeId="0" xr:uid="{33A56DC4-79B8-4ED7-BDB7-00D28E52D256}">
      <text>
        <r>
          <rPr>
            <sz val="9"/>
            <color indexed="81"/>
            <rFont val="Tahoma"/>
            <family val="2"/>
          </rPr>
          <t>RICHARD DOWRISH_x000D_
http://yeinfo.com/family/I09066490.html_x000D_
https://www.google.com/search?q=RICHARD+DOWRISH+1352+1413+{_?_}_x000D_
.born:c1352    -          Exeter (Devon) England_x000D_
.died: 1413    -         ?England, age:61y 0m 0d, _x000D_
.bapt: 1785GE_x000D_
.will: 2004MO_x000D_
.obit: 1890OH_x000D_
.bury: 1850IL _x000D_
.wpbt: 1826PA_x000D_
.anc#:ancestor_x000D_
citiz:foreign_x000D_
#spos:1_x000D_
#srcs:1_x000D_
#comment:0_x000D_
#events:1_x000D_
#kids:1_x000D_
lived:ENDEVONEXETER_x000D_
issue:_x000D_
.recs:Birth,Marriage,Death_x000D_
.imm?:no_x000D_
..Spo:{_?_} DOWRISH</t>
        </r>
      </text>
    </comment>
    <comment ref="V4288" authorId="0" shapeId="0" xr:uid="{61430148-B975-4AA6-83CD-3F448111EB7E}">
      <text>
        <r>
          <rPr>
            <sz val="9"/>
            <color indexed="81"/>
            <rFont val="Tahoma"/>
            <family val="2"/>
          </rPr>
          <t>THOMAS DOWRISH_x000D_
http://yeinfo.com/family/I09066284.html_x000D_
https://www.google.com/search?q=THOMAS+DOWRISH+1383+1440+{_?_}_x000D_
.born:c1383    -          Exeter (Devon) England_x000D_
.died: 1440    -         ?England, age:57y 0m 0d, _x000D_
.bapt: 1785GE_x000D_
.will: 2004MO_x000D_
.obit: 1890OH_x000D_
.bury: 1850IL _x000D_
.wpbt: 1826PA_x000D_
.anc#:ancestor_x000D_
citiz:foreign_x000D_
#spos:1_x000D_
#srcs:1_x000D_
#comment:0_x000D_
#events:1_x000D_
#kids:1_x000D_
lived:ENDEVONEXETER_x000D_
issue:_x000D_
.recs:Birth,Marriage,Death_x000D_
.imm?:no_x000D_
..Spo:{_?_} DOWRISH</t>
        </r>
      </text>
    </comment>
    <comment ref="W4290" authorId="0" shapeId="0" xr:uid="{40B148D5-74E1-46C4-9A89-D7A6ECB89547}">
      <text>
        <r>
          <rPr>
            <sz val="9"/>
            <color indexed="81"/>
            <rFont val="Tahoma"/>
            <family val="2"/>
          </rPr>
          <t>Mrs. {_?_} DOWRISH_x000D_
http://yeinfo.com/family/I09066491.html_x000D_
https://www.google.com/search?q={_?_}+DOWRISH+1352+1383+DOWRISH_x000D_
.born:?1352    -         ?England_x000D_
.died: 1383    -1442     ?England, age:31y 0m 0d, _x000D_
.bapt: 1785GE_x000D_
.will: 2004MO_x000D_
.obit: 1890OH_x000D_
.bury: 1850IL _x000D_
.wpbt: 1826PA_x000D_
.anc#:ancestor_x000D_
citiz:foreign_x000D_
#spos:1_x000D_
#srcs:1_x000D_
#comment:0_x000D_
#events:1_x000D_
#kids:1_x000D_
lived:?ENDEVON_x000D_
issue:_x000D_
.recs:Birth,Marriage,Death_x000D_
.imm?:no_x000D_
..Spo:RICHARD DOWRISH</t>
        </r>
      </text>
    </comment>
    <comment ref="U4292" authorId="0" shapeId="0" xr:uid="{314C308F-5193-4DB8-9844-7CC8742C75C9}">
      <text>
        <r>
          <rPr>
            <sz val="9"/>
            <color indexed="81"/>
            <rFont val="Tahoma"/>
            <family val="2"/>
          </rPr>
          <t>THOMAS DOWRISH_x000D_
http://yeinfo.com/family/I09066087.html_x000D_
https://www.google.com/search?q=THOMAS+DOWRISH+1414+1464+ALICE_x000D_
.born: 14140112-          Exeter (Devon) England_x000D_
.died: 1464    -          Devonport (Devon) England, age:49y 11m 20d, _x000D_
.bapt: 1785GE_x000D_
.will: 2004MO_x000D_
.obit: 1890OH_x000D_
.bury: 1850IL _x000D_
.wpbt: 1826PA_x000D_
.anc#:ancestor_x000D_
citiz:foreign_x000D_
#spos:1_x000D_
#srcs:1_x000D_
#comment:0_x000D_
#events:1_x000D_
#kids:1_x000D_
lived:ENDEVONDEVONPO,ENDEVONEXETER_x000D_
issue:_x000D_
.recs:Birth,Marriage,Death_x000D_
.imm?:no_x000D_
..Spo:ALICE FULFORD</t>
        </r>
      </text>
    </comment>
    <comment ref="V4294" authorId="0" shapeId="0" xr:uid="{1697439C-4638-4B4B-B3E6-BECCBF749300}">
      <text>
        <r>
          <rPr>
            <sz val="9"/>
            <color indexed="81"/>
            <rFont val="Tahoma"/>
            <family val="2"/>
          </rPr>
          <t>Mrs. {_?_} DOWRISH_x000D_
http://yeinfo.com/family/I09066283.html_x000D_
https://www.google.com/search?q={_?_}+DOWRISH+1390+1414+DOWRISH_x000D_
.born:?1390    -         ?England_x000D_
.died: 1414    -1480     ?England, age:24y 0m 0d, _x000D_
.bapt: 1785GE_x000D_
.will: 2004MO_x000D_
.obit: 1890OH_x000D_
.bury: 1850IL _x000D_
.wpbt: 1826PA_x000D_
.anc#:ancestor_x000D_
citiz:foreign_x000D_
#spos:1_x000D_
#srcs:1_x000D_
#comment:0_x000D_
#events:1_x000D_
#kids:1_x000D_
lived:?ENDEVON_x000D_
issue:_x000D_
.recs:Birth,Marriage,Death_x000D_
.imm?:no_x000D_
..Spo:THOMAS DOWRISH</t>
        </r>
      </text>
    </comment>
    <comment ref="T4296" authorId="0" shapeId="0" xr:uid="{BFCA5A89-A715-42F0-BE81-EB056212CBE6}">
      <text>
        <r>
          <rPr>
            <sz val="9"/>
            <color indexed="81"/>
            <rFont val="Tahoma"/>
            <family val="2"/>
          </rPr>
          <t>RICHARD DOWRISH_x000D_
http://yeinfo.com/family/I09065923.html_x000D_
https://www.google.com/search?q=RICHARD+DOWRISH+1445+1472+MARGARET+Pointington_x000D_
.born: 14450606-          Devon county England_x000D_
.died: 1472    -1535     ?England, age:26y 6m 26d, _x000D_
.bapt: 1785GE_x000D_
.will: 2004MO_x000D_
.obit: 1890OH_x000D_
.bury: 1850IL _x000D_
.wpbt: 1826PA_x000D_
.anc#:ancestor_x000D_
citiz:foreign_x000D_
#spos:2_x000D_
#srcs:1_x000D_
#comment:0_x000D_
#events:2_x000D_
#kids:1_x000D_
lived:ENDEVON_x000D_
issue:_x000D_
.recs:Birth,Marriage,Death_x000D_
.imm?:no_x000D_
..Spo:MARGARET CATSBY</t>
        </r>
      </text>
    </comment>
    <comment ref="W4298" authorId="0" shapeId="0" xr:uid="{3070DB14-E6FB-4145-8A49-AC3A570E611C}">
      <text>
        <r>
          <rPr>
            <sz val="9"/>
            <color indexed="81"/>
            <rFont val="Tahoma"/>
            <family val="2"/>
          </rPr>
          <t>HENRY FULFORD_x000D_
http://yeinfo.com/family/I09066461.html_x000D_
https://www.google.com/search?q=HENRY+FULFORD+1340+1394+CATHERINE_x000D_
.born:c1340    -          Fulford (Devon) England_x000D_
.died: 1394    -          Fulford (Devon) England, age:54y 0m 0d, _x000D_
.bapt: 1785GE_x000D_
.will: 2004MO_x000D_
.obit: 1890OH_x000D_
.bury: 1850IL _x000D_
.wpbt: 1826PA_x000D_
.anc#:ancestor_x000D_
citiz:foreign_x000D_
#spos:1_x000D_
#srcs:1_x000D_
#comment:0_x000D_
#events:1_x000D_
#kids:1_x000D_
lived:ENDEVONFULFORD_x000D_
issue:_x000D_
.recs:Birth,Marriage,Death_x000D_
.imm?:no_x000D_
..Spo:CATHERINE FULFORD</t>
        </r>
      </text>
    </comment>
    <comment ref="V4300" authorId="0" shapeId="0" xr:uid="{2E8A0A85-B4DC-49DB-9646-4C633BAC9CF7}">
      <text>
        <r>
          <rPr>
            <sz val="9"/>
            <color indexed="81"/>
            <rFont val="Tahoma"/>
            <family val="2"/>
          </rPr>
          <t>HENRY FULFORD II_x000D_
http://yeinfo.com/family/I09066290.html_x000D_
https://www.google.com/search?q=HENRY+FULFORD+1390+1420+WILHELMA_x000D_
.born: 1390    -          Fulford (Devon) England_x000D_
.died: 142004  -          Fulford (Devon) England, age:30y 3m 0d, _x000D_
.bapt: 1785GE_x000D_
.will: 2004MO_x000D_
.obit: 1890OH_x000D_
.bury: 1850IL _x000D_
.wpbt: 1826PA_x000D_
.anc#:ancestor_x000D_
citiz:foreign_x000D_
#spos:1_x000D_
#srcs:1_x000D_
#comment:0_x000D_
#events:1_x000D_
#kids:1_x000D_
lived:ENDEVONFULFORD_x000D_
issue:_x000D_
.recs:Birth,Marriage,Death_x000D_
.imm?:no_x000D_
..Spo:WILHELMA LANGDON</t>
        </r>
      </text>
    </comment>
    <comment ref="W4302" authorId="0" shapeId="0" xr:uid="{6C7159E7-C622-402B-BD69-64D1BB130B13}">
      <text>
        <r>
          <rPr>
            <sz val="9"/>
            <color indexed="81"/>
            <rFont val="Tahoma"/>
            <family val="2"/>
          </rPr>
          <t>Mrs. CATHERINE FULFORD_x000D_
http://yeinfo.com/family/I09066460.html_x000D_
https://www.google.com/search?q=CATHERINE+FULFORD+1342+1390+FULFORD_x000D_
.born:c1342    -          Fulford (Devon) England_x000D_
.died: 1390    -1432      Fulford (Devon) England, age:48y 0m 0d, _x000D_
.bapt: 1785GE_x000D_
.will: 2004MO_x000D_
.obit: 1890OH_x000D_
.bury: 1850IL _x000D_
.wpbt: 1826PA_x000D_
.anc#:ancestor_x000D_
citiz:foreign_x000D_
#spos:1_x000D_
#srcs:1_x000D_
#comment:0_x000D_
#events:1_x000D_
#kids:1_x000D_
lived:ENDEVONFULFORD_x000D_
issue:_x000D_
.recs:Birth,Marriage,Death_x000D_
.imm?:no_x000D_
..Spo:HENRY FULFORD</t>
        </r>
      </text>
    </comment>
    <comment ref="U4304" authorId="0" shapeId="0" xr:uid="{D77D8580-3C50-4238-AED1-D1E66A1F606F}">
      <text>
        <r>
          <rPr>
            <sz val="9"/>
            <color indexed="81"/>
            <rFont val="Tahoma"/>
            <family val="2"/>
          </rPr>
          <t>ALICE FULFORD_x000D_
http://yeinfo.com/family/I09066089.html_x000D_
https://www.google.com/search?q=ALICE+FULFORD+1417+1489+DOWRISH_x000D_
.born: 14170714-          Exeter (Devon) England_x000D_
.died: 14890220-          Exeter (Devon) England, age:71y 7m 6d, _x000D_
.bapt: 1785GE_x000D_
.will: 2004MO_x000D_
.obit: 1890OH_x000D_
.bury: 1850IL _x000D_
.wpbt: 1826PA_x000D_
.anc#:ancestor_x000D_
citiz:foreign_x000D_
#spos:1_x000D_
#srcs:1_x000D_
#comment:0_x000D_
#events:1_x000D_
#kids:1_x000D_
lived:ENDEVONEXETER_x000D_
issue:_x000D_
.recs:Birth,Marriage,Death_x000D_
.imm?:no_x000D_
..Spo:THOMAS DOWRISH</t>
        </r>
      </text>
    </comment>
    <comment ref="W4306" authorId="0" shapeId="0" xr:uid="{152B3CAA-1580-49DF-BB2D-FD8D42F304C5}">
      <text>
        <r>
          <rPr>
            <sz val="9"/>
            <color indexed="81"/>
            <rFont val="Tahoma"/>
            <family val="2"/>
          </rPr>
          <t>JOHN LANGDON Jr._x000D_
http://yeinfo.com/family/I09066469.html_x000D_
https://www.google.com/search?q=JOHN+LANGDON+1350+1375+JOANNA_x000D_
.born: 1350    -          Williton (Somerset) England_x000D_
.died: 1375    -          Fulford (Devon) England, age:25y 0m 0d, _x000D_
.bapt: 1785GE_x000D_
.will: 2004MO_x000D_
.obit: 1890OH_x000D_
.bury: 1850IL _x000D_
.wpbt: 1826PA_x000D_
.anc#:ancestor_x000D_
citiz:foreign_x000D_
#spos:1_x000D_
#srcs:1_x000D_
#comment:0_x000D_
#events:1_x000D_
#kids:1_x000D_
lived:ENDEVONFULFORD,ENSOMESWILLITO_x000D_
issue:_x000D_
.recs:Birth,Marriage,Death_x000D_
.imm?:no_x000D_
..Spo:JOANNA FITZURSE</t>
        </r>
      </text>
    </comment>
    <comment ref="V4308" authorId="0" shapeId="0" xr:uid="{048CC948-562D-420E-B119-16CE5627EC88}">
      <text>
        <r>
          <rPr>
            <sz val="9"/>
            <color indexed="81"/>
            <rFont val="Tahoma"/>
            <family val="2"/>
          </rPr>
          <t>WILHELMA LANGDON_x000D_
http://yeinfo.com/family/I09066296.html_x000D_
https://www.google.com/search?q=WILHELMA+LANGDON+1375+1417+FULFORD_x000D_
.born:c1375    -          Williton (Somerset) England_x000D_
.died: 1417    -          Fulford (Devon) England, age:42y 0m 0d, _x000D_
.bapt: 1785GE_x000D_
.will: 2004MO_x000D_
.obit: 1890OH_x000D_
.bury: 1850IL _x000D_
.wpbt: 1826PA_x000D_
.anc#:ancestor_x000D_
citiz:foreign_x000D_
#spos:1_x000D_
#srcs:1_x000D_
#comment:0_x000D_
#events:1_x000D_
#kids:1_x000D_
lived:ENDEVONFULFORD,ENSOMESWILLITO_x000D_
issue:_x000D_
.recs:Birth,Marriage,Death_x000D_
.imm?:no_x000D_
..Spo:HENRY FULFORD</t>
        </r>
      </text>
    </comment>
    <comment ref="W4310" authorId="0" shapeId="0" xr:uid="{5F43623B-1288-477B-B7D3-B7F499A95F59}">
      <text>
        <r>
          <rPr>
            <sz val="9"/>
            <color indexed="81"/>
            <rFont val="Tahoma"/>
            <family val="2"/>
          </rPr>
          <t>JOANNA FITZURSE_x000D_
http://yeinfo.com/family/I09066455.html_x000D_
https://www.google.com/search?q=JOANNA+FITZURSE+1355+1375+LANGDON_x000D_
.born: 1355    -          Williton (Somerset) England_x000D_
.died: 1375    -          Somerset county England, age:20y 0m 0d, _x000D_
.bapt: 1785GE_x000D_
.will: 2004MO_x000D_
.obit: 1890OH_x000D_
.bury: 1850IL _x000D_
.wpbt: 1826PA_x000D_
.anc#:ancestor_x000D_
citiz:foreign_x000D_
#spos:1_x000D_
#srcs:1_x000D_
#comment:0_x000D_
#events:1_x000D_
#kids:1_x000D_
lived:?ENDEVON,ENSOMESWILLITO_x000D_
issue:_x000D_
.recs:Birth,Marriage,Death_x000D_
.imm?:no_x000D_
..Spo:JOHN LANGDON</t>
        </r>
      </text>
    </comment>
    <comment ref="S4312" authorId="0" shapeId="0" xr:uid="{EFE9BA82-F29B-4CAC-9254-DB8F07A0DB79}">
      <text>
        <r>
          <rPr>
            <sz val="9"/>
            <color indexed="81"/>
            <rFont val="Tahoma"/>
            <family val="2"/>
          </rPr>
          <t>THOMAS DOWRISH Sr._x000D_
http://yeinfo.com/family/I09065776.html_x000D_
https://www.google.com/search?q=THOMAS+DOWRISH+1472+1552+ELIZABETH_x000D_
.born:c1472    -          Exeter (Devon) England_x000D_
.died: 15521206-          Sandford (Devon) England, age:80y 11m 5d, _x000D_
.bapt: 1785GE_x000D_
.will: 2004MO_x000D_
.obit: 1890OH_x000D_
.bury: 1850IL _x000D_
.wpbt: 1826PA_x000D_
.anc#:ancestor_x000D_
citiz:foreign_x000D_
#spos:1_x000D_
#srcs:1_x000D_
#comment:0_x000D_
#events:1_x000D_
#kids:1_x000D_
lived:ENDEVONEXETER,ENDEVONSANDFOR_x000D_
issue:_x000D_
.recs:Birth,Marriage,Death_x000D_
.imm?:no_x000D_
..Spo:ELIZABETH TAVERNER</t>
        </r>
      </text>
    </comment>
    <comment ref="U4314" authorId="0" shapeId="0" xr:uid="{6193D9F4-9A45-4F61-ABB3-EF3FE885481F}">
      <text>
        <r>
          <rPr>
            <sz val="9"/>
            <color indexed="81"/>
            <rFont val="Tahoma"/>
            <family val="2"/>
          </rPr>
          <t>JOHN CATSBY_x000D_
http://yeinfo.com/family/I09066082.html_x000D_
https://www.google.com/search?q=JOHN+CATSBY+1423+1447+{_?_}_x000D_
.born: 1423    -          Exeter (Devon) England_x000D_
.died: 1447    -1513     ?Devon county England, age:24y 0m 0d, _x000D_
.bapt: 1785GE_x000D_
.will: 2004MO_x000D_
.obit: 1890OH_x000D_
.bury: 1850IL _x000D_
.wpbt: 1826PA_x000D_
.anc#:ancestor_x000D_
citiz:foreign_x000D_
#spos:1_x000D_
#srcs:1_x000D_
#comment:0_x000D_
#events:1_x000D_
#kids:1_x000D_
lived:ENDEVONEXETER_x000D_
issue:_x000D_
.recs:Birth,Marriage,Death_x000D_
.imm?:no_x000D_
..Spo:{_?_} CATSBY</t>
        </r>
      </text>
    </comment>
    <comment ref="T4316" authorId="0" shapeId="0" xr:uid="{2F389F55-FF6F-4E2B-9C84-224B38968C8C}">
      <text>
        <r>
          <rPr>
            <sz val="9"/>
            <color indexed="81"/>
            <rFont val="Tahoma"/>
            <family val="2"/>
          </rPr>
          <t>MARGARET CATSBY_x000D_
http://yeinfo.com/family/I09065919.html_x000D_
https://www.google.com/search?q=MARGARET+CATSBY+1447+1478+DOWRISH_x000D_
.born:c1447    -          Devon county England_x000D_
.died:c1478    -          Exeter (Devon) England, age:31y 0m 0d, _x000D_
.bapt: 1785GE_x000D_
.will: 2004MO_x000D_
.obit: 1890OH_x000D_
.bury: 1850IL _x000D_
.wpbt: 1826PA_x000D_
.anc#:ancestor_x000D_
citiz:foreign_x000D_
#spos:1_x000D_
#srcs:1_x000D_
#comment:0_x000D_
#events:1_x000D_
#kids:1_x000D_
lived:ENDEVONEXETER_x000D_
issue:_x000D_
.recs:Birth,Marriage,Death_x000D_
.imm?:no_x000D_
..Spo:RICHARD DOWRISH</t>
        </r>
      </text>
    </comment>
    <comment ref="U4318" authorId="0" shapeId="0" xr:uid="{91A69AD0-4009-4192-BDD7-95FF4231A6E4}">
      <text>
        <r>
          <rPr>
            <sz val="9"/>
            <color indexed="81"/>
            <rFont val="Tahoma"/>
            <family val="2"/>
          </rPr>
          <t>Mrs. {_?_} CATSBY_x000D_
http://yeinfo.com/family/I09066081.html_x000D_
https://www.google.com/search?q={_?_}+CATSBY+1425+1447+CATSBY_x000D_
.born:?1425    -         ?England_x000D_
.died: 1447    -1515     ?England, age:22y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..Spo:JOHN CATSBY</t>
        </r>
      </text>
    </comment>
    <comment ref="R4320" authorId="0" shapeId="0" xr:uid="{BBDA65C6-852C-45FA-B569-6AAF51C9C224}">
      <text>
        <r>
          <rPr>
            <sz val="9"/>
            <color indexed="81"/>
            <rFont val="Tahoma"/>
            <family val="2"/>
          </rPr>
          <t>THOMAS DOWRISH II_x000D_
http://yeinfo.com/family/I09065583.html_x000D_
https://www.google.com/search?q=THOMAS+DOWRISH+1522+1590+ANN_x000D_
.born: 1522    -          Sanford (Devon) England_x000D_
.died: 1590    -          Sanford (Devon) England, age:68y 0m 0d, _x000D_
.bapt: 1785GE_x000D_
.will: 2004MO_x000D_
.obit: 1890OH_x000D_
.bury: 1850IL _x000D_
.wpbt: 1826PA_x000D_
.anc#:ancestor_x000D_
citiz:foreign_x000D_
#spos:1_x000D_
#srcs:1_x000D_
#comment:0_x000D_
#events:2_x000D_
#kids:1_x000D_
lived:ENDEVONSANFORD_x000D_
issue:_x000D_
.recs:Birth,Marriage,Death_x000D_
.imm?:no_x000D_
..Spo:ANN FARRINGDON</t>
        </r>
      </text>
    </comment>
    <comment ref="T4322" authorId="0" shapeId="0" xr:uid="{6066D5FB-E10D-4CEB-B4B1-503452883BEF}">
      <text>
        <r>
          <rPr>
            <sz val="9"/>
            <color indexed="81"/>
            <rFont val="Tahoma"/>
            <family val="2"/>
          </rPr>
          <t>JOHN TAVERNER_x000D_
http://yeinfo.com/family/I09065947.html_x000D_
https://www.google.com/search?q=JOHN+TAVERNER+1454+1475+{_?_}_x000D_
.born:c1454    -          Gloucestershire county England_x000D_
.died: 1475    -1544     ?England, age:21y 0m 0d, _x000D_
.bapt: 1785GE_x000D_
.will: 2004MO_x000D_
.obit: 1890OH_x000D_
.bury: 1850IL _x000D_
.wpbt: 1826PA_x000D_
.anc#:ancestor_x000D_
citiz:foreign_x000D_
#spos:1_x000D_
#srcs:1_x000D_
#comment:0_x000D_
#events:1_x000D_
#kids:1_x000D_
lived:ENGLOUS_x000D_
issue:_x000D_
.recs:Birth,Marriage,Death_x000D_
.imm?:no_x000D_
..Spo:{_?_} TAVERNER</t>
        </r>
      </text>
    </comment>
    <comment ref="S4324" authorId="0" shapeId="0" xr:uid="{910AF8EB-CC4B-4D20-8BEE-379AFD14F4A6}">
      <text>
        <r>
          <rPr>
            <sz val="9"/>
            <color indexed="81"/>
            <rFont val="Tahoma"/>
            <family val="2"/>
          </rPr>
          <t>ELIZABETH TAVERNER_x000D_
http://yeinfo.com/family/I09065801.html_x000D_
https://www.google.com/search?q=ELIZABETH+TAVERNER+1475+1581+DOWRISH_x000D_
.born:c1475    -          Gloucestershire county England_x000D_
.died: 1581    -          Sandford (Devon) England, age:106y 0m 0d, _x000D_
.bapt: 1785GE_x000D_
.will: 2004MO_x000D_
.obit: 1890OH_x000D_
.bury: 1850IL _x000D_
.wpbt: 1826PA_x000D_
.anc#:ancestor_x000D_
citiz:foreign_x000D_
#spos:1_x000D_
#srcs:1_x000D_
#comment:0_x000D_
#events:1_x000D_
#kids:1_x000D_
lived:ENDEVONSANDFOR,ENGLOUS_x000D_
issue:Married after Age 60_x000D_
.recs:Birth,Marriage,Death_x000D_
.imm?:no_x000D_
..Spo:THOMAS DOWRISH</t>
        </r>
      </text>
    </comment>
    <comment ref="T4326" authorId="0" shapeId="0" xr:uid="{FAD83BED-02DC-4BE4-B6C2-9EE81841C605}">
      <text>
        <r>
          <rPr>
            <sz val="9"/>
            <color indexed="81"/>
            <rFont val="Tahoma"/>
            <family val="2"/>
          </rPr>
          <t>Mrs. {_?_} TAVERNER_x000D_
http://yeinfo.com/family/I09065946.html_x000D_
https://www.google.com/search?q={_?_}+TAVERNER+1450+1475+TAVERNER_x000D_
.born:c1450    -          Gloucestershire county England_x000D_
.died: 1475    -1540     ?England, age:25y 0m 0d, _x000D_
.bapt: 1785GE_x000D_
.will: 2004MO_x000D_
.obit: 1890OH_x000D_
.bury: 1850IL _x000D_
.wpbt: 1826PA_x000D_
.anc#:ancestor_x000D_
citiz:foreign_x000D_
#spos:1_x000D_
#srcs:1_x000D_
#comment:0_x000D_
#events:1_x000D_
#kids:1_x000D_
lived:ENGLOUS_x000D_
issue:_x000D_
.recs:Birth,Marriage,Death_x000D_
.imm?:no_x000D_
..Spo:JOHN TAVERNER</t>
        </r>
      </text>
    </comment>
    <comment ref="Q4328" authorId="0" shapeId="0" xr:uid="{FD0525C5-F456-4BF3-BBF8-95079ACDFAFB}">
      <text>
        <r>
          <rPr>
            <sz val="9"/>
            <color indexed="81"/>
            <rFont val="Tahoma"/>
            <family val="2"/>
          </rPr>
          <t>GRACE DOWRISH_x000D_
http://yeinfo.com/family/I09043483.html_x000D_
https://www.google.com/search?q=GRACE+DOWRISH+1555+1580+GYE_x000D_
.born:?1555    -         ?England_x000D_
.died: 1580    -1645     ?England, age:25y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..Spo:ROBERT GYE</t>
        </r>
      </text>
    </comment>
    <comment ref="R4330" authorId="0" shapeId="0" xr:uid="{9154D9B4-E1DE-4BFC-8883-DDBB981C4430}">
      <text>
        <r>
          <rPr>
            <sz val="9"/>
            <color indexed="81"/>
            <rFont val="Tahoma"/>
            <family val="2"/>
          </rPr>
          <t>ANN FARRINGDON_x000D_
http://yeinfo.com/family/I09065584.html_x000D_
https://www.google.com/search?q=ANN+FARRINGDON+1532+1590+DOWRISH_x000D_
.born:?1532    -         ?England_x000D_
.died:?1590    -         ?England, age:58y 0m 0d, _x000D_
.bapt: 1785GE_x000D_
.will: 2004MO_x000D_
.obit: 1890OH_x000D_
.bury: 1850IL _x000D_
.wpbt: 1826PA_x000D_
.anc#:ancestor_x000D_
citiz:foreign_x000D_
#spos:1_x000D_
#srcs:1_x000D_
#comment:1_x000D_
#events:1_x000D_
#kids:1_x000D_
lived:?EN_x000D_
issue:_x000D_
.recs:Birth,Marriage,Death_x000D_
.imm?:no_x000D_
..Spo:THOMAS DOWRISH</t>
        </r>
      </text>
    </comment>
    <comment ref="N4332" authorId="0" shapeId="0" xr:uid="{27B37350-4400-469A-B7C1-68D3BCA24306}">
      <text>
        <r>
          <rPr>
            <sz val="9"/>
            <color indexed="81"/>
            <rFont val="Tahoma"/>
            <family val="2"/>
          </rPr>
          <t>ABIGAIL MAVERICK_x000D_
http://yeinfo.com/family/I09005435.html_x000D_
https://www.google.com/search?q=ABIGAIL+MAVERICK+1644+1674+WARD_x000D_
.born: 1644    -         ?Salem (Essex) Massachusetts_x000D_
.died:?1674    -         ?Massachusetts, age:30y 0m 0d, _x000D_
.bapt: 1785GE_x000D_
.will: 2004MO_x000D_
.obit: 1890OH_x000D_
.bury: 1850IL _x000D_
.wpbt: 1826PA_x000D_
.anc#:ancestor_x000D_
citiz:US born_x000D_
#spos:1_x000D_
#srcs:4_x000D_
#comment:0_x000D_
#events:4_x000D_
#kids:1_x000D_
lived:?MAESSEXSALEM,MASUFFOCHAZTWN_x000D_
issue:_x000D_
.recs:Birth,Baptism,Marriage,Death_x000D_
.imm?:no_x000D_
..Spo:SAMUEL WARD</t>
        </r>
      </text>
    </comment>
    <comment ref="Q4334" authorId="0" shapeId="0" xr:uid="{1463FB99-F889-48E4-9DBF-2DA9261B0EB9}">
      <text>
        <r>
          <rPr>
            <sz val="9"/>
            <color indexed="81"/>
            <rFont val="Tahoma"/>
            <family val="2"/>
          </rPr>
          <t>EDWARD ALLERTON_x000D_
http://yeinfo.com/family/I09043484.html_x000D_
https://www.google.com/search?q=EDWARD+ALLERTON+1555+1590+ROSE_x000D_
.born: 1555    -          London (Middlesex) England_x000D_
.died: 1590    -          London (Middlesex) England, age:35y 0m 0d, _x000D_
.bapt: 1785GE_x000D_
.will: 2004MO_x000D_
.obit: 1890OH_x000D_
.bury: 1850IL St.Dionis Backchurch_x000D_
.wpbt: 1826PA_x000D_
.anc#:ancestor_x000D_
citiz:foreign_x000D_
#spos:1_x000D_
#srcs:4_x000D_
#comment:1_x000D_
#events:2_x000D_
#kids:1_x000D_
lived:ENMIDDLLONDON_x000D_
issue:_x000D_
.recs:Birth,Marriage,Death,Interment/Burial_x000D_
.imm?:no_x000D_
..Spo:ROSE DAVIS</t>
        </r>
      </text>
    </comment>
    <comment ref="P4336" authorId="0" shapeId="0" xr:uid="{5F3889E0-2439-4438-8FF1-7814E8CBAA5A}">
      <text>
        <r>
          <rPr>
            <sz val="9"/>
            <color indexed="81"/>
            <rFont val="Tahoma"/>
            <family val="2"/>
          </rPr>
          <t>ISAAC ALLERTON_x000D_
http://yeinfo.com/family/I09021742.html_x000D_
https://www.google.com/search?q=ISAAC+ALLERTON+1586+1659+MARY+Brewster_x000D_
.born:c1586    -          Suffolk county England_x000D_
.died: 16590212-          New Haven (New Haven) Connecticut, age:73y 1m 11d, _x000D_
.bapt: 1785GE_x000D_
.will: 2004MO_x000D_
.obit: 1890OH_x000D_
.bury: 1850IL Center Church on the Green Churchyard_x000D_
.wpbt: 1826PA_x000D_
.anc#:ancestor_x000D_
citiz:immigrant_x000D_
#spos:3_x000D_
#srcs:20_x000D_
#comment:2_x000D_
#events:25_x000D_
#kids:1_x000D_
lived:CTNEW HNEW HAV,ENDEVONPLYMOUT,ENMIDDLLONDON,ENSUFFO,MAESSEXMARBLEH,MAESSEXSALEM,MAPLYMOPLYMOUT,NTSHOLLLEIDEN,NY     NEW YOR_x000D_
issue:_x000D_
.recs:Birth,Marriage,Ship Passenger List,Will Written,Death,Interment/Burial,Land Transaction,Freeman,Inventory_x000D_
.imm?:immigrant_x000D_
..Spo:MARY NORRIS</t>
        </r>
      </text>
    </comment>
    <comment ref="Q4338" authorId="0" shapeId="0" xr:uid="{EEEC9345-889F-43AF-B13C-2FCC86A2586E}">
      <text>
        <r>
          <rPr>
            <sz val="9"/>
            <color indexed="81"/>
            <rFont val="Tahoma"/>
            <family val="2"/>
          </rPr>
          <t>ROSE DAVIS_x000D_
http://yeinfo.com/family/I09043485.html_x000D_
https://www.google.com/search?q=ROSE+DAVIS+1559+1596+ALLERTON_x000D_
.born: 1559    -          London (Middlesex) England_x000D_
.died: 159606  -          London (Middlesex) England, age:37y 5m 0d, _x000D_
.bapt: 1785GE_x000D_
.will: 2004MO_x000D_
.obit: 1890OH_x000D_
.bury: 1850IL _x000D_
.wpbt: 1826PA_x000D_
.anc#:ancestor_x000D_
citiz:foreign_x000D_
#spos:1_x000D_
#srcs:4_x000D_
#comment:0_x000D_
#events:1_x000D_
#kids:1_x000D_
lived:ENMIDDLLONDON_x000D_
issue:_x000D_
.recs:Birth,Marriage,Death_x000D_
.imm?:no_x000D_
..Spo:EDWARD ALLERTON</t>
        </r>
      </text>
    </comment>
    <comment ref="O4340" authorId="0" shapeId="0" xr:uid="{8E75C7F3-CCF1-48F7-B75C-A398C8CEB9BB}">
      <text>
        <r>
          <rPr>
            <sz val="9"/>
            <color indexed="81"/>
            <rFont val="Tahoma"/>
            <family val="2"/>
          </rPr>
          <t>REMEMBER ALLERTON_x000D_
http://yeinfo.com/family/I09010871.html_x000D_
https://www.google.com/search?q=REMEMBER+ALLERTON+1614+1655+MAVERICK_x000D_
.born: 1614    -          Leiden (South Holland) Netherlands_x000D_
.died: 16550912-         ?Salem (Essex) Massachusetts, age:41y 8m 11d, _x000D_
.bapt: 1785GE_x000D_
.will: 2004MO_x000D_
.obit: 1890OH_x000D_
.bury: 1850IL _x000D_
.wpbt: 1826PA_x000D_
.anc#:ancestor_x000D_
citiz:immigrant_x000D_
#spos:1_x000D_
#srcs:12_x000D_
#comment:0_x000D_
#events:5_x000D_
#kids:1_x000D_
lived:ENDEVONPLYMOUT,MAESSEXMARBLEH,MAESSEXSALEM,NTSHOLLLEIDEN_x000D_
issue:_x000D_
.recs:Birth,Marriage,Ship Passenger List,Death_x000D_
.imm?:immigrant_x000D_
..Spo:MOSES MAVERICK</t>
        </r>
      </text>
    </comment>
    <comment ref="P4342" authorId="0" shapeId="0" xr:uid="{A8B78244-35BD-46F2-A573-FB1038B7214F}">
      <text>
        <r>
          <rPr>
            <sz val="9"/>
            <color indexed="81"/>
            <rFont val="Tahoma"/>
            <family val="2"/>
          </rPr>
          <t>MARY NORRIS_x000D_
http://yeinfo.com/family/I09021743.html_x000D_
https://www.google.com/search?q=MARY+NORRIS+1586+1621+ALLERTON_x000D_
.born:?1586    -         ?England_x000D_
.died: 1621    -          Plymouth (Plymouth) Massachusetts, age:35y 0m 0d, _x000D_
.bapt: 1785GE_x000D_
.will: 2004MO_x000D_
.obit: 1890OH_x000D_
.bury: 1850IL _x000D_
.wpbt: 1826PA_x000D_
.anc#:ancestor_x000D_
citiz:immigrant_x000D_
#spos:1_x000D_
#srcs:12_x000D_
#comment:0_x000D_
#events:4_x000D_
#kids:1_x000D_
lived:?EN,ENBERKINEWBURY,ENDEVONPLYMOUT,NTSHOLLLEIDEN_x000D_
issue:_x000D_
.recs:Birth,Ship Passenger List,Death,Immigrate_x000D_
.imm?:immigrant_x000D_
..Spo:ISAAC ALLERTON</t>
        </r>
      </text>
    </comment>
    <comment ref="K4344" authorId="0" shapeId="0" xr:uid="{A57075F7-84E3-494B-B84D-0FA4A4982107}">
      <text>
        <r>
          <rPr>
            <sz val="9"/>
            <color indexed="81"/>
            <rFont val="Tahoma"/>
            <family val="2"/>
          </rPr>
          <t>SUSANNAH HINDS_x000D_
http://yeinfo.com/family/I09000679.html_x000D_
https://www.google.com/search?q=SUSANNAH+HINDS+1722+1811+CHAMBERLAIN_x000D_
.born: 17220316-          Bridgewater (Plymouth) Massachusetts_x000D_
.died: 18110211-          Westmoreland (Cheshire) New Hampshire, age:88y 10m 26d, _x000D_
.bapt: 1785GE_x000D_
.will: 2004MO_x000D_
.obit: 1890OH_x000D_
.bury: 1850IL Edson Cemetery_x000D_
.wpbt: 1826PA_x000D_
.anc#:ancestor_x000D_
citiz:US born_x000D_
#spos:1_x000D_
#srcs:4_x000D_
#comment:1_x000D_
#events:3_x000D_
#kids:11_x000D_
lived:MAPLYMOBRIDGEW,NHCHESHWESTMOE,NHCHESHWESTMOR_x000D_
issue:_x000D_
.recs:Birth,Marriage,Death,Interment/Burial_x000D_
.imm?:no_x000D_
..Spo:HENRY CHAMBERLAIN</t>
        </r>
      </text>
    </comment>
    <comment ref="T4346" authorId="0" shapeId="0" xr:uid="{FB3EBEFD-5E6F-4A19-8220-E3CE6A22582B}">
      <text>
        <r>
          <rPr>
            <sz val="9"/>
            <color indexed="81"/>
            <rFont val="Tahoma"/>
            <family val="2"/>
          </rPr>
          <t>JAMES SHAW_x000D_
http://yeinfo.com/family/I09065943.html_x000D_
https://www.google.com/search?q=JAMES+SHAW+1460+1528+{_?_}_x000D_
.born:c1460    -          Halifax (Yorkshire) England_x000D_
.died: 15280119-          Yorkshire county England, age:68y 0m 18d, _x000D_
.bapt: 1785GE_x000D_
.will: 2004MO_x000D_
.obit: 1890OH_x000D_
.bury: 1850IL _x000D_
.wpbt: 1826PA_x000D_
.anc#:ancestor_x000D_
citiz:foreign_x000D_
#spos:1_x000D_
#srcs:1_x000D_
#comment:0_x000D_
#events:1_x000D_
#kids:1_x000D_
lived:ENYORKSHALIFAX_x000D_
issue:_x000D_
.recs:Birth,Marriage,Death_x000D_
.imm?:no_x000D_
..Spo:{_?_} SHAW</t>
        </r>
      </text>
    </comment>
    <comment ref="S4348" authorId="0" shapeId="0" xr:uid="{624EB0FC-C892-4A8B-B8DA-9DA3AF9CFBDC}">
      <text>
        <r>
          <rPr>
            <sz val="9"/>
            <color indexed="81"/>
            <rFont val="Tahoma"/>
            <family val="2"/>
          </rPr>
          <t>JAMES SHAW_x000D_
http://yeinfo.com/family/I09065795.html_x000D_
https://www.google.com/search?q=JAMES+SHAW+1480+1528+MARGARET_x000D_
.born: 1480    -          Halifax (Yorkshire) England_x000D_
.died: 15281119-          Yorkshire county England, age:48y 10m 18d, _x000D_
.bapt: 1785GE_x000D_
.will: 2004MO_x000D_
.obit: 1890OH_x000D_
.bury: 1850IL _x000D_
.wpbt: 1826PA_x000D_
.anc#:ancestor_x000D_
citiz:foreign_x000D_
#spos:1_x000D_
#srcs:1_x000D_
#comment:0_x000D_
#events:1_x000D_
#kids:1_x000D_
lived:ENYORKSHALIFAX_x000D_
issue:_x000D_
.recs:Birth,Marriage,Death_x000D_
.imm?:no_x000D_
..Spo:MARGARET ROBINSON</t>
        </r>
      </text>
    </comment>
    <comment ref="T4350" authorId="0" shapeId="0" xr:uid="{674A7E96-DF44-44E2-BF42-F8170E74CC5F}">
      <text>
        <r>
          <rPr>
            <sz val="9"/>
            <color indexed="81"/>
            <rFont val="Tahoma"/>
            <family val="2"/>
          </rPr>
          <t>Mrs. {_?_} SHAW_x000D_
http://yeinfo.com/family/I09065942.html_x000D_
https://www.google.com/search?q={_?_}+SHAW+1460+1480+SHAW_x000D_
.born:?1460    -         ?England_x000D_
.died: 1480    -1550     ?England, age:20y 0m 0d, _x000D_
.bapt: 1785GE_x000D_
.will: 2004MO_x000D_
.obit: 1890OH_x000D_
.bury: 1850IL _x000D_
.wpbt: 1826PA_x000D_
.anc#:ancestor_x000D_
citiz:foreign_x000D_
#spos:1_x000D_
#srcs:1_x000D_
#comment:0_x000D_
#events:1_x000D_
#kids:1_x000D_
lived:?ENYORKS_x000D_
issue:_x000D_
.recs:Birth,Marriage,Death_x000D_
.imm?:no_x000D_
..Spo:JAMES SHAW</t>
        </r>
      </text>
    </comment>
    <comment ref="R4352" authorId="0" shapeId="0" xr:uid="{E8C795E4-C2EA-436E-AABD-FB5ACE9F5662}">
      <text>
        <r>
          <rPr>
            <sz val="9"/>
            <color indexed="81"/>
            <rFont val="Tahoma"/>
            <family val="2"/>
          </rPr>
          <t>CHRISTOPHER SHAW_x000D_
http://yeinfo.com/family/I09065667.html_x000D_
https://www.google.com/search?q=CHRISTOPHER+SHAW+1518+1583+ELIZABETH_x000D_
.born:c15180701-          Halifax (Yorkshire) England_x000D_
.died: 15830701-          Halifax (Yorkshire) England, age:65y 0m 0d, _x000D_
.bapt: 1785GE_x000D_
.will: 2004MO_x000D_
.obit: 1890OH_x000D_
.bury: 1850IL _x000D_
.wpbt: 1826PA_x000D_
.anc#:ancestor_x000D_
citiz:foreign_x000D_
#spos:1_x000D_
#srcs:1_x000D_
#comment:1_x000D_
#events:1_x000D_
#kids:1_x000D_
lived:?ENYORKSNORTHOW,ENYORKSHALIFAX_x000D_
issue:_x000D_
.recs:Birth,Marriage,Death_x000D_
.imm?:no_x000D_
..Spo:ELIZABETH CUTLOVE</t>
        </r>
      </text>
    </comment>
    <comment ref="S4354" authorId="0" shapeId="0" xr:uid="{9AB89066-3457-4FA6-8AF3-1D26A8A8EF2A}">
      <text>
        <r>
          <rPr>
            <sz val="9"/>
            <color indexed="81"/>
            <rFont val="Tahoma"/>
            <family val="2"/>
          </rPr>
          <t>MARGARET ROBINSON_x000D_
http://yeinfo.com/family/I09065790.html_x000D_
https://www.google.com/search?q=MARGARET+ROBINSON+1491+1518+SHAW_x000D_
.born: 1491    -          Halifax (Yorkshire) England_x000D_
.died: 1518    -          Halifax (Yorkshire) England, age:27y 0m 0d, _x000D_
.bapt: 1785GE_x000D_
.will: 2004MO_x000D_
.obit: 1890OH_x000D_
.bury: 1850IL _x000D_
.wpbt: 1826PA_x000D_
.anc#:ancestor_x000D_
citiz:foreign_x000D_
#spos:1_x000D_
#srcs:1_x000D_
#comment:0_x000D_
#events:1_x000D_
#kids:1_x000D_
lived:ENYORKSHALIFAX_x000D_
issue:_x000D_
.recs:Birth,Marriage,Death_x000D_
.imm?:no_x000D_
..Spo:JAMES SHAW</t>
        </r>
      </text>
    </comment>
    <comment ref="Q4356" authorId="0" shapeId="0" xr:uid="{20978387-BC6D-455C-9B92-A80185F504F1}">
      <text>
        <r>
          <rPr>
            <sz val="9"/>
            <color indexed="81"/>
            <rFont val="Tahoma"/>
            <family val="2"/>
          </rPr>
          <t>THOMAS SHAW_x000D_
http://yeinfo.com/family/I09043488.html_x000D_
https://www.google.com/search?q=THOMAS+SHAW+1537+1575+SYBIL_x000D_
.born:?1537    -         ?Halifax (Yorkshire) England_x000D_
.died: 157503  -          Halifax (Yorkshire) England, age:38y 2m 0d, _x000D_
.bapt: 1785GE_x000D_
.will: 2004MO_x000D_
.obit: 1890OH_x000D_
.bury: 1850IL _x000D_
.wpbt: 1826PA_x000D_
.anc#:ancestor_x000D_
citiz:foreign_x000D_
#spos:1_x000D_
#srcs:1_x000D_
#comment:0_x000D_
#events:4_x000D_
#kids:5_x000D_
lived:?ENYORKSHALIFAX_x000D_
issue:_x000D_
.recs:Birth,Marriage,Death,Estate_x000D_
.imm?:no_x000D_
..Spo:SYBIL MASON</t>
        </r>
      </text>
    </comment>
    <comment ref="R4358" authorId="0" shapeId="0" xr:uid="{F391CAC5-7A47-41D6-95B4-8414F875840F}">
      <text>
        <r>
          <rPr>
            <sz val="9"/>
            <color indexed="81"/>
            <rFont val="Tahoma"/>
            <family val="2"/>
          </rPr>
          <t>ELIZABETH CUTLOVE_x000D_
http://yeinfo.com/family/I09065643.html_x000D_
https://www.google.com/search?q=ELIZABETH+CUTLOVE+1518+1583+SHAW_x000D_
.born: 1518    -          Halifax (Yorkshire) England_x000D_
.died: 15830219-          Halifax (Yorkshire) England, age:65y 1m 18d, _x000D_
.bapt: 1785GE_x000D_
.will: 2004MO_x000D_
.obit: 1890OH_x000D_
.bury: 1850IL _x000D_
.wpbt: 1826PA_x000D_
.anc#:ancestor_x000D_
citiz:foreign_x000D_
#spos:1_x000D_
#srcs:1_x000D_
#comment:0_x000D_
#events:1_x000D_
#kids:1_x000D_
lived:?ENYORKSNORTHOW,ENYORKSHALIFAX_x000D_
issue:_x000D_
.recs:Birth,Marriage,Death_x000D_
.imm?:no_x000D_
..Spo:CHRISTOPHER SHAW</t>
        </r>
      </text>
    </comment>
    <comment ref="P4360" authorId="0" shapeId="0" xr:uid="{EE25DCC7-3834-477A-B001-2CA27B4E1FB1}">
      <text>
        <r>
          <rPr>
            <sz val="9"/>
            <color indexed="81"/>
            <rFont val="Tahoma"/>
            <family val="2"/>
          </rPr>
          <t>THOMAS SHAW_x000D_
http://yeinfo.com/family/I09021744.html_x000D_
https://www.google.com/search?q=THOMAS+SHAW+1563+1600+Agnes+LONGBOTHAM_x000D_
.born: 1563    -          Halifax (Yorkshire) England_x000D_
.died: 160001  -          , age:37y 0m 0d, _x000D_
.bapt: 1785GE_x000D_
.will: 2004MO_x000D_
.obit: 1890OH_x000D_
.bury: 1850IL _x000D_
.wpbt: 1826PA_x000D_
.anc#:ancestor_x000D_
citiz:US born_x000D_
#spos:2_x000D_
#srcs:3_x000D_
#comment:1_x000D_
#events:6_x000D_
#kids:7_x000D_
lived:ENYORKSHALIFAX_x000D_
issue:_x000D_
.recs:Birth,Baptism,Marriage,Will Written,Death_x000D_
.imm?:no_x000D_
..Spo:Agnes Smith</t>
        </r>
      </text>
    </comment>
    <comment ref="R4362" authorId="0" shapeId="0" xr:uid="{AA2709E8-6E80-49F7-B490-D2E2594A56D6}">
      <text>
        <r>
          <rPr>
            <sz val="9"/>
            <color indexed="81"/>
            <rFont val="Tahoma"/>
            <family val="2"/>
          </rPr>
          <t>THOMAS MASON_x000D_
http://yeinfo.com/family/I09065585.html_x000D_
https://www.google.com/search?q=THOMAS+MASON+1500+1551+JENET_x000D_
.born:?1500    -         ?Halifax (Yorkshire) England_x000D_
.died: 155108  -         ?Halifax (Yorkshire) England, age:51y 7m 0d, _x000D_
.bapt: 1785GE_x000D_
.will: 2004MO_x000D_
.obit: 1890OH_x000D_
.bury: 1850IL _x000D_
.wpbt: 1826PA_x000D_
.anc#:ancestor_x000D_
citiz:foreign_x000D_
#spos:1_x000D_
#srcs:1_x000D_
#comment:0_x000D_
#events:5_x000D_
#kids:11_x000D_
lived:?ENYORKSHALIFAX_x000D_
issue:_x000D_
.recs:Birth,Marriage,Will Written,Death_x000D_
.imm?:no_x000D_
..Spo:JENET MASON</t>
        </r>
      </text>
    </comment>
    <comment ref="Q4364" authorId="0" shapeId="0" xr:uid="{03754590-3B25-49F4-969C-278E80F8B162}">
      <text>
        <r>
          <rPr>
            <sz val="9"/>
            <color indexed="81"/>
            <rFont val="Tahoma"/>
            <family val="2"/>
          </rPr>
          <t>SYBIL MASON_x000D_
http://yeinfo.com/family/I09043489.html_x000D_
https://www.google.com/search?q=SYBIL+MASON+1540+1580+SHAW+John_x000D_
.born:?1540    -         ?Halifax (Yorkshire) England_x000D_
.died: 1580    -1630     ?Halifax (Yorkshire) England, age:40y 0m 0d, _x000D_
.bapt: 1785GE_x000D_
.will: 2004MO_x000D_
.obit: 1890OH_x000D_
.bury: 1850IL _x000D_
.wpbt: 1826PA_x000D_
.anc#:ancestor_x000D_
citiz:foreign_x000D_
#spos:3_x000D_
#srcs:1_x000D_
#comment:0_x000D_
#events:4_x000D_
#kids:6_x000D_
lived:?ENYORKSHALIFAX_x000D_
issue:Died before Birth_x000D_
.recs:Birth,Baptism,Marriage,Death_x000D_
.imm?:no_x000D_
..Spo:THOMAS SHAW</t>
        </r>
      </text>
    </comment>
    <comment ref="R4366" authorId="0" shapeId="0" xr:uid="{126BC3A8-90CA-4520-88A5-24C238EB4390}">
      <text>
        <r>
          <rPr>
            <sz val="9"/>
            <color indexed="81"/>
            <rFont val="Tahoma"/>
            <family val="2"/>
          </rPr>
          <t>Mrs. JENET MASON_x000D_
http://yeinfo.com/family/I09065586.html_x000D_
https://www.google.com/search?q=JENET+MASON+1500+1574+MASON+Nicholas_x000D_
.born:?1500    -         ?Halifax (Yorkshire) England_x000D_
.died: 157403  -         ?Halifax (Yorkshire) England, age:74y 2m 0d, _x000D_
.bapt: 1785GE_x000D_
.will: 2004MO_x000D_
.obit: 1890OH_x000D_
.bury: 1850IL _x000D_
.wpbt: 1826PA_x000D_
.anc#:ancestor_x000D_
citiz:foreign_x000D_
#spos:2_x000D_
#srcs:1_x000D_
#comment:0_x000D_
#events:2_x000D_
#kids:11_x000D_
lived:?ENYORKSHALIFAX_x000D_
issue:_x000D_
.recs:Birth,Marriage,Death_x000D_
.imm?:no_x000D_
..Spo:THOMAS MASON</t>
        </r>
      </text>
    </comment>
    <comment ref="O4368" authorId="0" shapeId="0" xr:uid="{E43143D8-756E-4B8E-99CD-F35B8DE4A5BF}">
      <text>
        <r>
          <rPr>
            <sz val="9"/>
            <color indexed="81"/>
            <rFont val="Tahoma"/>
            <family val="2"/>
          </rPr>
          <t>ABRAHAM SHAW_x000D_
http://yeinfo.com/family/I09010872.html_x000D_
https://www.google.com/search?q=ABRAHAM+SHAW+1590+1638+ELIZABETH\BRIDGET_x000D_
.born: 15900102-          Halifax (Yorkshire) England_x000D_
.died: 163811  -          , age:48y 9m 30d, _x000D_
.bapt: 1785GE_x000D_
.will: 2004MO_x000D_
.obit: 1890OH_x000D_
.bury: 1850IL _x000D_
.wpbt: 1826PA_x000D_
.anc#:ancestor_x000D_
citiz:US born_x000D_
#spos:1_x000D_
#srcs:15_x000D_
#comment:1_x000D_
#events:16_x000D_
#kids:8_x000D_
lived:ENYORKSHALIFAX,MAMIDDLCAMBRID,MAMIDDLWATERTO,MANORFODEDHAM_x000D_
issue:_x000D_
.recs:Birth,Will Written,Death,Land Transaction,Gov't Court,Freeman,Immigrate,Estate_x000D_
.imm?:no_x000D_
..Spo:ELIZABETH\BRIDGET BEST</t>
        </r>
      </text>
    </comment>
    <comment ref="Q4370" authorId="0" shapeId="0" xr:uid="{53D11972-A803-48A3-9649-474B2B4E9214}">
      <text>
        <r>
          <rPr>
            <sz val="9"/>
            <color indexed="81"/>
            <rFont val="Tahoma"/>
            <family val="2"/>
          </rPr>
          <t>BRIAN LONGBOTHAM_x000D_
http://yeinfo.com/family/I09043490.html_x000D_
https://www.google.com/search?q=BRIAN+LONGBOTHAM+1520+1571+Agnes+Speght_x000D_
.born: 1520    -          Halifax (Yorkshire) England_x000D_
.died: 1571    -1610     ?Halifax (Yorkshire) England, age:51y 0m 0d, _x000D_
.bapt: 1785GE_x000D_
.will: 2004MO_x000D_
.obit: 1890OH_x000D_
.bury: 1850IL _x000D_
.wpbt: 1826PA_x000D_
.anc#:ancestor_x000D_
citiz:foreign_x000D_
#spos:3_x000D_
#srcs:2_x000D_
#comment:0_x000D_
#events:3_x000D_
#kids:7_x000D_
lived:ENYORKSHALIFAX_x000D_
issue:_x000D_
.recs:Birth,Marriage,Death_x000D_
.imm?:no_x000D_
..Spo:Agnes Crowther</t>
        </r>
      </text>
    </comment>
    <comment ref="P4372" authorId="0" shapeId="0" xr:uid="{5C94B00F-9F6D-4EA4-99FF-087E0EFD518F}">
      <text>
        <r>
          <rPr>
            <sz val="9"/>
            <color indexed="81"/>
            <rFont val="Tahoma"/>
            <family val="2"/>
          </rPr>
          <t>ELIZABETH LONGBOTHAM_x000D_
http://yeinfo.com/family/I09021745.html_x000D_
https://www.google.com/search?q=ELIZABETH+LONGBOTHAM+1566+1607+SHAW+Richard_x000D_
.born: 1566    -          Yorkshire county England_x000D_
.died: 1607    -1656      Halifax (Yorkshire) England, age:41y 0m 0d, _x000D_
.bapt: 1785GE_x000D_
.will: 2004MO_x000D_
.obit: 1890OH_x000D_
.bury: 1850IL _x000D_
.wpbt: 1826PA_x000D_
.anc#:ancestor_x000D_
citiz:foreign_x000D_
#spos:2_x000D_
#srcs:2_x000D_
#comment:0_x000D_
#events:3_x000D_
#kids:8_x000D_
lived:?ENYORKSHALIFAX_x000D_
issue:_x000D_
.recs:Birth,Baptism,Marriage,Death_x000D_
.imm?:no_x000D_
..Spo:THOMAS SHAW</t>
        </r>
      </text>
    </comment>
    <comment ref="Q4374" authorId="0" shapeId="0" xr:uid="{1C836FF9-1AE7-469D-9759-A1EA262D6967}">
      <text>
        <r>
          <rPr>
            <sz val="9"/>
            <color indexed="81"/>
            <rFont val="Tahoma"/>
            <family val="2"/>
          </rPr>
          <t>ALICE MAWD_x000D_
http://yeinfo.com/family/I09043491.html_x000D_
https://www.google.com/search?q=ALICE+MAWD+1539+1572+LONGBOTHAM_x000D_
.born: 1539    -          Halifax (Yorkshire) England_x000D_
.died: 157201  -          , age:33y 0m 0d, _x000D_
.bapt: 1785GE_x000D_
.will: 2004MO_x000D_
.obit: 1890OH_x000D_
.bury: 1850IL _x000D_
.wpbt: 1826PA_x000D_
.anc#:ancestor_x000D_
citiz:foreign_x000D_
#spos:1_x000D_
#srcs:2_x000D_
#comment:0_x000D_
#events:2_x000D_
#kids:6_x000D_
lived:ENYORKSHALIFAX_x000D_
issue:_x000D_
.recs:Birth,Marriage,Death_x000D_
.imm?:no_x000D_
..Spo:BRIAN LONGBOTHAM</t>
        </r>
      </text>
    </comment>
    <comment ref="N4376" authorId="0" shapeId="0" xr:uid="{40EA24B6-749C-49D2-836A-7FA7D2F006C4}">
      <text>
        <r>
          <rPr>
            <sz val="9"/>
            <color indexed="81"/>
            <rFont val="Tahoma"/>
            <family val="2"/>
          </rPr>
          <t>JOHN SHAW_x000D_
http://yeinfo.com/family/I09005436.html_x000D_
https://www.google.com/search?q=JOHN+SHAW+1630+1704+ALICE_x000D_
.born: 16300523-          Halifax (Yorkshire) England_x000D_
.died: 17040916-          Weymouth (Norfolk) Massachusetts, age:74y 3m 24d, _x000D_
.bapt: 1785GE_x000D_
.will: 2004MO_x000D_
.obit: 1890OH_x000D_
.bury: 1850IL _x000D_
.wpbt: 1826PA_x000D_
.anc#:ancestor_x000D_
citiz:immigrant_x000D_
#spos:1_x000D_
#srcs:4_x000D_
#comment:0_x000D_
#events:3_x000D_
#kids:11_x000D_
lived:ENYORKSHALIFAX,MANORFOWEYMOUT_x000D_
issue:_x000D_
.recs:Birth,Baptism,Marriage,Death_x000D_
.imm?:immigrant_x000D_
..Spo:ALICE PHILIP</t>
        </r>
      </text>
    </comment>
    <comment ref="R4378" authorId="0" shapeId="0" xr:uid="{8416E67B-D28A-4A03-8196-AE45632C4C4C}">
      <text>
        <r>
          <rPr>
            <sz val="9"/>
            <color indexed="81"/>
            <rFont val="Tahoma"/>
            <family val="2"/>
          </rPr>
          <t>RICHARD BEST_x000D_
http://yeinfo.com/family/I09065587.html_x000D_
https://www.google.com/search?q=RICHARD+BEST+1505+1544+JOHANNA_x000D_
.born:?1505    -          England_x000D_
.died: 154406  -          England, age:39y 5m 0d, _x000D_
.bapt: 1785GE_x000D_
.will: 2004MO_x000D_
.obit: 1890OH_x000D_
.bury: 1850IL _x000D_
.wpbt: 1826PA_x000D_
.anc#:ancestor_x000D_
citiz:foreign_x000D_
#spos:1_x000D_
#srcs:1_x000D_
#comment:0_x000D_
#events:2_x000D_
#kids:1_x000D_
lived:ENYORKSHALIFAX_x000D_
issue:_x000D_
.recs:Birth,Marriage,Death_x000D_
.imm?:no_x000D_
..Spo:JOHANNA HAIGH</t>
        </r>
      </text>
    </comment>
    <comment ref="Q4380" authorId="0" shapeId="0" xr:uid="{874975CD-8830-4FEC-8556-E27C87A7FDA5}">
      <text>
        <r>
          <rPr>
            <sz val="9"/>
            <color indexed="81"/>
            <rFont val="Tahoma"/>
            <family val="2"/>
          </rPr>
          <t>RICHARD\HENRY BEST_x000D_
http://yeinfo.com/family/I09043492.html_x000D_
https://www.google.com/search?q=RICHARD\HENRY+BEST+1530+1551+MARGARETHA_x000D_
.born:?1530    -         ?England_x000D_
.died: 155104  -         ?England, age:21y 3m 0d, _x000D_
.bapt: 1785GE_x000D_
.will: 2004MO_x000D_
.obit: 1890OH_x000D_
.bury: 1850IL _x000D_
.wpbt: 1826PA_x000D_
.anc#:ancestor_x000D_
citiz:foreign_x000D_
#spos:1_x000D_
#srcs:2_x000D_
#comment:0_x000D_
#events:3_x000D_
#kids:1_x000D_
lived:?EN,ENYORKSOVENTON_x000D_
issue:_x000D_
.recs:Birth,Marriage,Death_x000D_
.imm?:no_x000D_
..Spo:MARGARETHA BEST</t>
        </r>
      </text>
    </comment>
    <comment ref="R4382" authorId="0" shapeId="0" xr:uid="{5C972920-73EE-4E39-89D5-DDD5636E1297}">
      <text>
        <r>
          <rPr>
            <sz val="9"/>
            <color indexed="81"/>
            <rFont val="Tahoma"/>
            <family val="2"/>
          </rPr>
          <t>JOHANNA HAIGH_x000D_
http://yeinfo.com/family/I09065588.html_x000D_
https://www.google.com/search?q=JOHANNA+HAIGH+1505+1530+BEST_x000D_
.born:?1505    -          England_x000D_
.died: 1530    -1595     ?Halifax (Yorkshire) England, age:25y 0m 0d, _x000D_
.bapt: 1785GE_x000D_
.will: 2004MO_x000D_
.obit: 1890OH_x000D_
.bury: 1850IL _x000D_
.wpbt: 1826PA_x000D_
.anc#:ancestor_x000D_
citiz:foreign_x000D_
#spos:1_x000D_
#srcs:1_x000D_
#comment:0_x000D_
#events:1_x000D_
#kids:1_x000D_
lived:?ENYORKSHALIFAX,EN_x000D_
issue:_x000D_
.recs:Birth,Marriage,Death_x000D_
.imm?:no_x000D_
..Spo:RICHARD BEST</t>
        </r>
      </text>
    </comment>
    <comment ref="P4384" authorId="0" shapeId="0" xr:uid="{E4308B83-3522-4F37-B12D-5D4A004B7A34}">
      <text>
        <r>
          <rPr>
            <sz val="9"/>
            <color indexed="81"/>
            <rFont val="Tahoma"/>
            <family val="2"/>
          </rPr>
          <t>HENRY BEST_x000D_
http://yeinfo.com/family/I09021746.html_x000D_
https://www.google.com/search?q=HENRY+BEST+1550+1628+GRACE_x000D_
.born:?1550    -         ?England_x000D_
.died: 1628    -         ?, age:78y 0m 0d, _x000D_
.bapt: 1785GE_x000D_
.will: 2004MO_x000D_
.obit: 1890OH_x000D_
.bury: 1850IL _x000D_
.wpbt: 1826PA_x000D_
.anc#:ancestor_x000D_
citiz:US born_x000D_
#spos:1_x000D_
#srcs:3_x000D_
#comment:0_x000D_
#events:2_x000D_
#kids:6_x000D_
lived:?EN,ENYORKSHALIFAX_x000D_
issue:_x000D_
.recs:Birth,Marriage,Will Written,Death_x000D_
.imm?:no_x000D_
..Spo:GRACE BOITHES</t>
        </r>
      </text>
    </comment>
    <comment ref="Q4386" authorId="0" shapeId="0" xr:uid="{6AE29D9C-8344-461C-87D2-D337F852FD62}">
      <text>
        <r>
          <rPr>
            <sz val="9"/>
            <color indexed="81"/>
            <rFont val="Tahoma"/>
            <family val="2"/>
          </rPr>
          <t>Mrs. MARGARETHA BEST_x000D_
http://yeinfo.com/family/I09043493.html_x000D_
https://www.google.com/search?q=MARGARETHA+BEST+1530+1550+BEST_x000D_
.born:?1530    -         ?England_x000D_
.died: 1550    -1620      , age:20y 0m 0d, _x000D_
.bapt: 1785GE_x000D_
.will: 2004MO_x000D_
.obit: 1890OH_x000D_
.bury: 1850IL _x000D_
.wpbt: 1826PA_x000D_
.anc#:ancestor_x000D_
citiz:foreign_x000D_
#spos:1_x000D_
#srcs:2_x000D_
#comment:0_x000D_
#events:1_x000D_
#kids:1_x000D_
lived:?EN_x000D_
issue:_x000D_
.recs:Birth,Marriage,Death_x000D_
.imm?:no_x000D_
..Spo:RICHARD\HENRY BEST</t>
        </r>
      </text>
    </comment>
    <comment ref="O4388" authorId="0" shapeId="0" xr:uid="{F0BEECB8-9AD9-4EB0-B6BE-BAAA9165F492}">
      <text>
        <r>
          <rPr>
            <sz val="9"/>
            <color indexed="81"/>
            <rFont val="Tahoma"/>
            <family val="2"/>
          </rPr>
          <t>ELIZABETH\BRIDGET BEST_x000D_
http://yeinfo.com/family/I09010873.html_x000D_
https://www.google.com/search?q=ELIZABETH\BRIDGET+BEST+1592+1638+SHAW_x000D_
.born:?1592    -         ?Halifax (Yorkshire) England_x000D_
.died: 16380409-          Wessagusset (Norfolk) Massachusetts, age:46y 3m 8d, _x000D_
.bapt: 1785GE_x000D_
.will: 2004MO_x000D_
.obit: 1890OH_x000D_
.bury: 1850IL _x000D_
.wpbt: 1826PA_x000D_
.anc#:ancestor_x000D_
citiz:immigrant_x000D_
#spos:1_x000D_
#srcs:4_x000D_
#comment:0_x000D_
#events:2_x000D_
#kids:8_x000D_
lived:?ENYORKSHALIFAX,ENYORKSOVENTON,MANORFOWESSAGU_x000D_
issue:_x000D_
.recs:Birth,Baptism,Marriage,Death_x000D_
.imm?:immigrant_x000D_
..Spo:ABRAHAM SHAW</t>
        </r>
      </text>
    </comment>
    <comment ref="Q4390" authorId="0" shapeId="0" xr:uid="{0F00CE06-77C6-4D6D-8C89-FE05A4B8AC55}">
      <text>
        <r>
          <rPr>
            <sz val="9"/>
            <color indexed="81"/>
            <rFont val="Tahoma"/>
            <family val="2"/>
          </rPr>
          <t>JONIS\JOHN BOITHES_x000D_
http://yeinfo.com/family/I09043494.html_x000D_
https://www.google.com/search?q=JONIS\JOHN+BOITHES+1525+1569+ISABELLA_x000D_
.born:?1525    -         ?England_x000D_
.died: 1569    -1615     ?England, age:44y 0m 0d, _x000D_
.bapt: 1785GE_x000D_
.will: 2004MO_x000D_
.obit: 1890OH_x000D_
.bury: 1850IL _x000D_
.wpbt: 1826PA_x000D_
.anc#:ancestor_x000D_
citiz:foreign_x000D_
#spos:1_x000D_
#srcs:3_x000D_
#comment:0_x000D_
#events:1_x000D_
#kids:1_x000D_
lived:?EN,ENYORKSHALIFAX_x000D_
issue:_x000D_
.recs:Birth,Marriage,Death_x000D_
.imm?:no_x000D_
..Spo:ISABELLA SWIFT</t>
        </r>
      </text>
    </comment>
    <comment ref="P4392" authorId="0" shapeId="0" xr:uid="{165FC13A-1EF6-41E6-AC0D-F231697D62F4}">
      <text>
        <r>
          <rPr>
            <sz val="9"/>
            <color indexed="81"/>
            <rFont val="Tahoma"/>
            <family val="2"/>
          </rPr>
          <t>GRACE BOITHES_x000D_
http://yeinfo.com/family/I09021747.html_x000D_
https://www.google.com/search?q=GRACE+BOITHES+1550+1598+BEST_x000D_
.born:?1550    -         ?England_x000D_
.died: 1598    -1640     ?, age:48y 0m 0d, _x000D_
.bapt: 1785GE_x000D_
.will: 2004MO_x000D_
.obit: 1890OH_x000D_
.bury: 1850IL _x000D_
.wpbt: 1826PA_x000D_
.anc#:ancestor_x000D_
citiz:foreign_x000D_
#spos:1_x000D_
#srcs:2_x000D_
#comment:0_x000D_
#events:1_x000D_
#kids:6_x000D_
lived:?EN,ENYORKSHALIFAX_x000D_
issue:_x000D_
.recs:Birth,Marriage,Death_x000D_
.imm?:no_x000D_
..Spo:HENRY BEST</t>
        </r>
      </text>
    </comment>
    <comment ref="Q4394" authorId="0" shapeId="0" xr:uid="{040C8F69-FB36-42A0-BE14-394C0B315EE2}">
      <text>
        <r>
          <rPr>
            <sz val="9"/>
            <color indexed="81"/>
            <rFont val="Tahoma"/>
            <family val="2"/>
          </rPr>
          <t>ISABELLA SWIFT_x000D_
http://yeinfo.com/family/I09043495.html_x000D_
https://www.google.com/search?q=ISABELLA+SWIFT+1530+1550+BOITHES_x000D_
.born:?1530    -         ?England_x000D_
.died: 1550    -1620      , age:20y 0m 0d, _x000D_
.bapt: 1785GE_x000D_
.will: 2004MO_x000D_
.obit: 1890OH_x000D_
.bury: 1850IL _x000D_
.wpbt: 1826PA_x000D_
.anc#:ancestor_x000D_
citiz:foreign_x000D_
#spos:1_x000D_
#srcs:3_x000D_
#comment:0_x000D_
#events:1_x000D_
#kids:1_x000D_
lived:?EN,ENYORKSHALIFAX_x000D_
issue:_x000D_
.recs:Birth,Marriage,Death_x000D_
.imm?:no_x000D_
..Spo:JONIS\JOHN BOITHES</t>
        </r>
      </text>
    </comment>
    <comment ref="M4396" authorId="0" shapeId="0" xr:uid="{961135B5-AF6E-4354-AE29-64F31320AB56}">
      <text>
        <r>
          <rPr>
            <sz val="9"/>
            <color indexed="81"/>
            <rFont val="Tahoma"/>
            <family val="2"/>
          </rPr>
          <t>JOHN SHAW_x000D_
http://yeinfo.com/family/I09002718.html_x000D_
https://www.google.com/search?q=JOHN+SHAW+1654+1693+HANNAH\JANE_x000D_
.born: 1654    -          Weymouth (Norfolk) Massachusetts_x000D_
.died: 1693    -1744      Weymouth (Norfolk) Massachusetts, age:39y 0m 0d, _x000D_
.bapt: 1785GE_x000D_
.will: 2004MO_x000D_
.obit: 1890OH_x000D_
.bury: 1850IL _x000D_
.wpbt: 1826PA_x000D_
.anc#:ancestor_x000D_
citiz:US born_x000D_
#spos:1_x000D_
#srcs:11_x000D_
#comment:0_x000D_
#events:3_x000D_
#kids:7_x000D_
lived:MANORFOWEYMOUT,MAPLYMOBRIDGEW,MAPLYMOHINGHAM_x000D_
issue:_x000D_
.recs:Birth,Marriage,Death_x000D_
.imm?:no_x000D_
..Spo:HANNAH\JANE WHITMARSH</t>
        </r>
      </text>
    </comment>
    <comment ref="O4398" authorId="0" shapeId="0" xr:uid="{FA208C04-DB5B-4A1E-A6FC-5A2ED81129D7}">
      <text>
        <r>
          <rPr>
            <sz val="9"/>
            <color indexed="81"/>
            <rFont val="Tahoma"/>
            <family val="2"/>
          </rPr>
          <t>NICHOLAS PHILIP_x000D_
http://yeinfo.com/family/I09010874.html_x000D_
https://www.google.com/search?q=NICHOLAS+PHILIP+1600+1629+ELIZABETH_x000D_
.born:?1600    -         ?England_x000D_
.died: 1629    -1690     ?Norfolk county Massachusetts, age:29y 0m 0d, _x000D_
.bapt: 1785GE_x000D_
.will: 2004MO_x000D_
.obit: 1890OH_x000D_
.bury: 1850IL _x000D_
.wpbt: 1826PA_x000D_
.anc#:ancestor_x000D_
citiz:immigrant_x000D_
#spos:1_x000D_
#srcs:2_x000D_
#comment:0_x000D_
#events:1_x000D_
#kids:1_x000D_
lived:?EN,?MANORFO_x000D_
issue:_x000D_
.recs:Birth,Marriage,Death_x000D_
.imm?:immigrant_x000D_
..Spo:ELIZABETH JEPSON</t>
        </r>
      </text>
    </comment>
    <comment ref="N4400" authorId="0" shapeId="0" xr:uid="{66EF281E-FDA7-4D5D-9E63-4F7059D43D20}">
      <text>
        <r>
          <rPr>
            <sz val="9"/>
            <color indexed="81"/>
            <rFont val="Tahoma"/>
            <family val="2"/>
          </rPr>
          <t>ALICE PHILIP_x000D_
http://yeinfo.com/family/I09005437.html_x000D_
https://www.google.com/search?q=ALICE+PHILIP+1629+1672+SHAW_x000D_
.born: 16290224-          Wendover (Buckinghamshire) England_x000D_
.died: 1672    -1719      Weymouth (Norfolk) Massachusetts, age:42y 10m 8d, _x000D_
.bapt: 1785GE_x000D_
.will: 2004MO_x000D_
.obit: 1890OH_x000D_
.bury: 1850IL _x000D_
.wpbt: 1826PA_x000D_
.anc#:ancestor_x000D_
citiz:immigrant_x000D_
#spos:1_x000D_
#srcs:2_x000D_
#comment:0_x000D_
#events:1_x000D_
#kids:11_x000D_
lived:ENBUCKEWENDOVE,MANORFOWEYMOUT_x000D_
issue:_x000D_
.recs:Birth,Marriage,Death_x000D_
.imm?:immigrant_x000D_
..Spo:JOHN SHAW</t>
        </r>
      </text>
    </comment>
    <comment ref="O4402" authorId="0" shapeId="0" xr:uid="{0104FA8C-21AB-44FC-A2AE-EC4D532A0313}">
      <text>
        <r>
          <rPr>
            <sz val="9"/>
            <color indexed="81"/>
            <rFont val="Tahoma"/>
            <family val="2"/>
          </rPr>
          <t>ELIZABETH JEPSON_x000D_
http://yeinfo.com/family/I09010875.html_x000D_
https://www.google.com/search?q=ELIZABETH+JEPSON+1605+1629+PHILIP_x000D_
.born:?1605    -         ?England_x000D_
.died: 1629    -1695     ?England, age:24y 0m 0d, _x000D_
.bapt: 1785GE_x000D_
.will: 2004MO_x000D_
.obit: 1890OH_x000D_
.bury: 1850IL _x000D_
.wpbt: 1826PA_x000D_
.anc#:ancestor_x000D_
citiz:foreign_x000D_
#spos:1_x000D_
#srcs:1_x000D_
#comment:0_x000D_
#events:2_x000D_
#kids:1_x000D_
lived:?ENNORFO_x000D_
issue:_x000D_
.recs:Birth,Marriage,Death_x000D_
.imm?:no_x000D_
..Spo:NICHOLAS PHILIP</t>
        </r>
      </text>
    </comment>
    <comment ref="L4404" authorId="0" shapeId="0" xr:uid="{D48BA2B8-8061-484E-A6B7-3658137EB4A5}">
      <text>
        <r>
          <rPr>
            <sz val="9"/>
            <color indexed="81"/>
            <rFont val="Tahoma"/>
            <family val="2"/>
          </rPr>
          <t>HANNAH\MARY SHAW_x000D_
http://yeinfo.com/family/I09001359.html_x000D_
https://www.google.com/search?q=HANNAH\MARY+SHAW+1687+1722+Bate+JOHN_x000D_
.born: 16870426-          _x000D_
.died: 1722    -1777      , age:34y 8m 6d, _x000D_
.bapt: 1785GE_x000D_
.will: 2004MO_x000D_
.obit: 1890OH_x000D_
.bury: 1850IL _x000D_
.wpbt: 1826PA_x000D_
.anc#:ancestor_x000D_
citiz:US born_x000D_
#spos:2_x000D_
#srcs:6_x000D_
#comment:0_x000D_
#events:2_x000D_
#kids:6_x000D_
lived:?MANORFOWEYMOUT,MA_x000D_
issue:_x000D_
.recs:Birth,Marriage,Death_x000D_
.imm?:no_x000D_
..Spo:Samuel Bate</t>
        </r>
      </text>
    </comment>
    <comment ref="O4406" authorId="0" shapeId="0" xr:uid="{375C0280-2224-46BD-978B-D58E0A77F5FC}">
      <text>
        <r>
          <rPr>
            <sz val="9"/>
            <color indexed="81"/>
            <rFont val="Tahoma"/>
            <family val="2"/>
          </rPr>
          <t>JOHN WHITMARSH_x000D_
http://yeinfo.com/family/I09010876.html_x000D_
https://www.google.com/search?q=JOHN+WHITMARSH+1596+1644+ALICE_x000D_
.born: 1596    -         ?Weymouth (Dorset) England_x000D_
.died: 1644    -1686      Weymouth (Norfolk) Massachusetts, age:48y 0m 0d, _x000D_
.bapt: 1785GE_x000D_
.will: 2004MO_x000D_
.obit: 1890OH_x000D_
.bury: 1850IL _x000D_
.wpbt: 1826PA_x000D_
.anc#:ancestor_x000D_
citiz:immigrant_x000D_
#spos:1_x000D_
#srcs:4_x000D_
#comment:0_x000D_
#events:5_x000D_
#kids:7_x000D_
lived:?ENDORSEWEYMOUT,EN,MANORFOWEYMOUT_x000D_
issue:_x000D_
.recs:Birth,Marriage,Ship Passenger List,Death_x000D_
.imm?:immigrant_x000D_
..Spo:ALICE GARMENT</t>
        </r>
      </text>
    </comment>
    <comment ref="N4408" authorId="0" shapeId="0" xr:uid="{4AFF0499-D608-42E2-97B7-DB7F71E284D0}">
      <text>
        <r>
          <rPr>
            <sz val="9"/>
            <color indexed="81"/>
            <rFont val="Tahoma"/>
            <family val="2"/>
          </rPr>
          <t>NICHOLAS WHITMARSH_x000D_
http://yeinfo.com/family/I09005438.html_x000D_
https://www.google.com/search?q=NICHOLAS+WHITMARSH+1635+1678+HANNAH_x000D_
.born:?1635    -          Weymouth (Norfolk) Massachusetts_x000D_
.died: 1678    -1725      , age:43y 0m 0d, _x000D_
.bapt: 1785GE_x000D_
.will: 2004MO_x000D_
.obit: 1890OH_x000D_
.bury: 1850IL _x000D_
.wpbt: 1826PA_x000D_
.anc#:ancestor_x000D_
citiz:US born_x000D_
#spos:1_x000D_
#srcs:6_x000D_
#comment:0_x000D_
#events:2_x000D_
#kids:8_x000D_
lived:ENDORSEWEYMOUT,MANORFOWEYMOUT_x000D_
issue:_x000D_
.recs:Birth,Marriage,Death_x000D_
.imm?:no_x000D_
..Spo:HANNAH REED</t>
        </r>
      </text>
    </comment>
    <comment ref="R4410" authorId="0" shapeId="0" xr:uid="{C85C8FD6-8FCF-40F6-961A-F47093669CA0}">
      <text>
        <r>
          <rPr>
            <sz val="9"/>
            <color indexed="81"/>
            <rFont val="Tahoma"/>
            <family val="2"/>
          </rPr>
          <t>HENRY GARMENT_x000D_
http://yeinfo.com/family/I09065676.html_x000D_
https://www.google.com/search?q=HENRY+GARMENT+1529+1600+LYDIA_x000D_
.born: 1529    -          Somerset county England_x000D_
.died: 1600    -1619     ?England, age:71y 0m 0d, _x000D_
.bapt: 1785GE_x000D_
.will: 2004MO_x000D_
.obit: 1890OH_x000D_
.bury: 1850IL _x000D_
.wpbt: 1826PA_x000D_
.anc#:ancestor_x000D_
citiz:foreign_x000D_
#spos:1_x000D_
#srcs:1_x000D_
#comment:0_x000D_
#events:1_x000D_
#kids:1_x000D_
lived:ENSOMES_x000D_
issue:_x000D_
.recs:Birth,Marriage,Death_x000D_
.imm?:no_x000D_
..Spo:LYDIA GARMENT</t>
        </r>
      </text>
    </comment>
    <comment ref="Q4412" authorId="0" shapeId="0" xr:uid="{6E97A1BD-11E5-4325-A730-84E40F638486}">
      <text>
        <r>
          <rPr>
            <sz val="9"/>
            <color indexed="81"/>
            <rFont val="Tahoma"/>
            <family val="2"/>
          </rPr>
          <t>CHARLES\JOHN GARMENT_x000D_
http://yeinfo.com/family/I09043508.html_x000D_
https://www.google.com/search?q=CHARLES\JOHN+GARMENT+1552+1609+SARAH_x000D_
.born:?1552    -          England_x000D_
.died: 1609    -          England, age:57y 0m 0d, _x000D_
.bapt: 1785GE_x000D_
.will: 2004MO_x000D_
.obit: 1890OH_x000D_
.bury: 1850IL _x000D_
.wpbt: 1826PA_x000D_
.anc#:ancestor_x000D_
citiz:foreign_x000D_
#spos:1_x000D_
#srcs:2_x000D_
#comment:0_x000D_
#events:1_x000D_
#kids:1_x000D_
lived:EN_x000D_
issue:_x000D_
.recs:Birth,Marriage,Death_x000D_
.imm?:no_x000D_
..Spo:SARAH HYGGINS</t>
        </r>
      </text>
    </comment>
    <comment ref="R4414" authorId="0" shapeId="0" xr:uid="{125D4F63-45F8-4E1A-9CE6-60EE8B5ADE6A}">
      <text>
        <r>
          <rPr>
            <sz val="9"/>
            <color indexed="81"/>
            <rFont val="Tahoma"/>
            <family val="2"/>
          </rPr>
          <t>Mrs. LYDIA GARMENT_x000D_
http://yeinfo.com/family/I09065675.html_x000D_
https://www.google.com/search?q=LYDIA+GARMENT+1529+1552+GARMENT_x000D_
.born:?1529    -         ?England_x000D_
.died: 1552    -1619     ?England, age:23y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..Spo:HENRY GARMENT</t>
        </r>
      </text>
    </comment>
    <comment ref="P4416" authorId="0" shapeId="0" xr:uid="{E439432C-733C-4500-B60D-A6DB04696979}">
      <text>
        <r>
          <rPr>
            <sz val="9"/>
            <color indexed="81"/>
            <rFont val="Tahoma"/>
            <family val="2"/>
          </rPr>
          <t>RICHARD GARMENT_x000D_
http://yeinfo.com/family/I09021754.html_x000D_
https://www.google.com/search?q=RICHARD+GARMENT+1581+1670+ALICE\ALICIA_x000D_
.born: 15810111-          Batcombe (Somerset) England_x000D_
.died: 1670    -          Batcombe (Somerset) England, age:88y 11m 21d, _x000D_
.bapt: 1785GE_x000D_
.will: 2004MO_x000D_
.obit: 1890OH_x000D_
.bury: 1850IL somewhere at sea_x000D_
.wpbt: 1826PA_x000D_
.anc#:ancestor_x000D_
citiz:foreign_x000D_
#spos:1_x000D_
#srcs:4_x000D_
#comment:0_x000D_
#events:2_x000D_
#kids:1_x000D_
lived:AS,ENSOMESBATCOMB_x000D_
issue:_x000D_
.recs:Birth,Marriage,Death,Interment/Burial_x000D_
.imm?:no_x000D_
..Spo:ALICE\ALICIA RICHARDS</t>
        </r>
      </text>
    </comment>
    <comment ref="R4418" authorId="0" shapeId="0" xr:uid="{EFF93FDF-6C9F-4C04-8423-A4661F933D09}">
      <text>
        <r>
          <rPr>
            <sz val="9"/>
            <color indexed="81"/>
            <rFont val="Tahoma"/>
            <family val="2"/>
          </rPr>
          <t>REGINALD HYGGINS_x000D_
http://yeinfo.com/family/I09065678.html_x000D_
https://www.google.com/search?q=REGINALD+HYGGINS+1539+1559+{_?_}_x000D_
.born:?1539    -         ?_x000D_
.died: 1559    -1629     ?, age:20y 0m 0d, _x000D_
.bapt: 1785GE_x000D_
.will: 2004MO_x000D_
.obit: 1890OH_x000D_
.bury: 1850IL _x000D_
.wpbt: 1826PA_x000D_
.anc#:ancestor_x000D_
citiz:foreign_x000D_
#spos:1_x000D_
#srcs:1_x000D_
#comment:0_x000D_
#events:1_x000D_
#kids:1_x000D_
lived:_x000D_
issue:_x000D_
.recs:Birth,Marriage,Death_x000D_
.imm?:no_x000D_
..Spo:{_?_} HYGGINS</t>
        </r>
      </text>
    </comment>
    <comment ref="Q4420" authorId="0" shapeId="0" xr:uid="{301B9680-FF84-45D5-BD42-5C580ABBDB1C}">
      <text>
        <r>
          <rPr>
            <sz val="9"/>
            <color indexed="81"/>
            <rFont val="Tahoma"/>
            <family val="2"/>
          </rPr>
          <t>SARAH HYGGINS_x000D_
http://yeinfo.com/family/I09043509.html_x000D_
https://www.google.com/search?q=SARAH+HYGGINS+1559+1581+GARMENT_x000D_
.born: 15590510-          Ansford (Somerset) England_x000D_
.died: 1581    -1651     ?England, age:21y 7m 22d, _x000D_
.bapt: 1785GE_x000D_
.will: 2004MO_x000D_
.obit: 1890OH_x000D_
.bury: 1850IL _x000D_
.wpbt: 1826PA_x000D_
.anc#:ancestor_x000D_
citiz:foreign_x000D_
#spos:1_x000D_
#srcs:2_x000D_
#comment:0_x000D_
#events:2_x000D_
#kids:1_x000D_
lived:ENSOMESANSFORD_x000D_
issue:_x000D_
.recs:Birth,Baptism,Marriage,Death_x000D_
.imm?:no_x000D_
..Spo:CHARLES\JOHN GARMENT</t>
        </r>
      </text>
    </comment>
    <comment ref="R4422" authorId="0" shapeId="0" xr:uid="{C72137C8-0801-4C0E-9357-68C9514D8EB6}">
      <text>
        <r>
          <rPr>
            <sz val="9"/>
            <color indexed="81"/>
            <rFont val="Tahoma"/>
            <family val="2"/>
          </rPr>
          <t>Mrs. {_?_} HYGGINS_x000D_
http://yeinfo.com/family/I09065677.html_x000D_
https://www.google.com/search?q={_?_}+HYGGINS+1539+1559+HYGGINS_x000D_
.born:?1539    -         ?_x000D_
.died: 1559    -1629     ?, age:20y 0m 0d, _x000D_
.bapt: 1785GE_x000D_
.will: 2004MO_x000D_
.obit: 1890OH_x000D_
.bury: 1850IL _x000D_
.wpbt: 1826PA_x000D_
.anc#:ancestor_x000D_
citiz:foreign_x000D_
#spos:1_x000D_
#srcs:1_x000D_
#comment:0_x000D_
#events:1_x000D_
#kids:1_x000D_
lived:_x000D_
issue:_x000D_
.recs:Birth,Marriage,Death_x000D_
.imm?:no_x000D_
..Spo:REGINALD HYGGINS</t>
        </r>
      </text>
    </comment>
    <comment ref="O4424" authorId="0" shapeId="0" xr:uid="{E69096D3-01AA-4F3B-B613-FBADA5582709}">
      <text>
        <r>
          <rPr>
            <sz val="9"/>
            <color indexed="81"/>
            <rFont val="Tahoma"/>
            <family val="2"/>
          </rPr>
          <t>ALICE GARMENT_x000D_
http://yeinfo.com/family/I09010877.html_x000D_
https://www.google.com/search?q=ALICE+GARMENT+1607+1644+WHITMARSH_x000D_
.born: 160704  -         ?Batcombe (Somerset) England_x000D_
.died: 1644    -1655      Weymouth (Norfolk) Massachusetts, age:36y 9m 0d, _x000D_
.bapt: 1785GE_x000D_
.will: 2004MO_x000D_
.obit: 1890OH_x000D_
.bury: 1850IL _x000D_
.wpbt: 1826PA_x000D_
.anc#:ancestor_x000D_
citiz:immigrant_x000D_
#spos:1_x000D_
#srcs:4_x000D_
#comment:0_x000D_
#events:2_x000D_
#kids:7_x000D_
lived:?ENSOMESBATCOMB,EN,MANORFOWEYMOUT_x000D_
issue:Died after Age 100_x000D_
.recs:Birth,Baptism,Marriage,Death_x000D_
.imm?:immigrant_x000D_
..Spo:JOHN WHITMARSH</t>
        </r>
      </text>
    </comment>
    <comment ref="P4426" authorId="0" shapeId="0" xr:uid="{4D00E8ED-5DB2-46CD-91C1-89804A08F1AA}">
      <text>
        <r>
          <rPr>
            <sz val="9"/>
            <color indexed="81"/>
            <rFont val="Tahoma"/>
            <family val="2"/>
          </rPr>
          <t>ALICE\ALICIA RICHARDS_x000D_
http://yeinfo.com/family/I09021755.html_x000D_
https://www.google.com/search?q=ALICE\ALICIA+RICHARDS+1580+1678+GARMENT_x000D_
.born: 1580    -         ?England_x000D_
.died: 1678    -         ?England, age:98y 0m 0d, _x000D_
.bapt: 1785GE_x000D_
.will: 2004MO_x000D_
.obit: 1890OH_x000D_
.bury: 1850IL _x000D_
.wpbt: 1826PA_x000D_
.anc#:ancestor_x000D_
citiz:foreign_x000D_
#spos:1_x000D_
#srcs:4_x000D_
#comment:0_x000D_
#events:1_x000D_
#kids:1_x000D_
lived:?ENSOMES_x000D_
issue:_x000D_
.recs:Birth,Marriage,Death_x000D_
.imm?:no_x000D_
..Spo:RICHARD GARMENT</t>
        </r>
      </text>
    </comment>
    <comment ref="M4428" authorId="0" shapeId="0" xr:uid="{A3CF6C5D-EDFA-4160-ACD2-194AA7C6565B}">
      <text>
        <r>
          <rPr>
            <sz val="9"/>
            <color indexed="81"/>
            <rFont val="Tahoma"/>
            <family val="2"/>
          </rPr>
          <t>HANNAH\JANE WHITMARSH_x000D_
http://yeinfo.com/family/I09002719.html_x000D_
https://www.google.com/search?q=HANNAH\JANE+WHITMARSH+1661+1687+SHAW_x000D_
.born: 16610325-          Weymouth (Norfolk) Massachusetts_x000D_
.died: 1687    -1751      , age:25y 9m 7d, _x000D_
.bapt: 1785GE_x000D_
.will: 2004MO_x000D_
.obit: 1890OH_x000D_
.bury: 1850IL _x000D_
.wpbt: 1826PA_x000D_
.anc#:ancestor_x000D_
citiz:US born_x000D_
#spos:1_x000D_
#srcs:3_x000D_
#comment:0_x000D_
#events:1_x000D_
#kids:7_x000D_
lived:MANORFOWEYMOUT_x000D_
issue:_x000D_
.recs:Birth,Marriage,Death_x000D_
.imm?:no_x000D_
..Spo:JOHN SHAW</t>
        </r>
      </text>
    </comment>
    <comment ref="P4430" authorId="0" shapeId="0" xr:uid="{D850813B-69DD-476F-9C23-F0D01D489FE6}">
      <text>
        <r>
          <rPr>
            <sz val="9"/>
            <color indexed="81"/>
            <rFont val="Tahoma"/>
            <family val="2"/>
          </rPr>
          <t>WILLIAM READ_x000D_
http://yeinfo.com/family/I09021756.html_x000D_
https://www.google.com/search?q=WILLIAM+READ+1565+1605+LUCY_x000D_
.born: 1565    -          Folkestone (Kent) England_x000D_
.died: 1605    -1655      Canterbury (Kent) England, age:40y 0m 0d, _x000D_
.bapt: 1785GE_x000D_
.will: 2004MO_x000D_
.obit: 1890OH_x000D_
.bury: 1850IL _x000D_
.wpbt: 1826PA_x000D_
.anc#:ancestor_x000D_
citiz:foreign_x000D_
#spos:1_x000D_
#srcs:1_x000D_
#comment:0_x000D_
#events:1_x000D_
#kids:1_x000D_
lived:ENKENT CANTERB,ENKENT FOLKEST,ENMIDDLLONDON_x000D_
issue:Died before Birth_x000D_
.recs:Birth,Marriage,Death_x000D_
.imm?:no_x000D_
..Spo:LUCY HENEAGE</t>
        </r>
      </text>
    </comment>
    <comment ref="O4432" authorId="0" shapeId="0" xr:uid="{C44C70C0-A300-4ED4-9DDF-582620B04EF2}">
      <text>
        <r>
          <rPr>
            <sz val="9"/>
            <color indexed="81"/>
            <rFont val="Tahoma"/>
            <family val="2"/>
          </rPr>
          <t>WILLIAM REED_x000D_
http://yeinfo.com/family/I09010878.html_x000D_
https://www.google.com/search?q=WILLIAM+REED+1605+1653+AVIS_x000D_
.born: 1605    -          Canterbury (Kent) England_x000D_
.died: 1653    -1695      Weymouth (Norfolk) Massachusetts, age:48y 0m 0d, _x000D_
.bapt: 1785GE_x000D_
.will: 2004MO_x000D_
.obit: 1890OH_x000D_
.bury: 1850IL _x000D_
.wpbt: 1826PA_x000D_
.anc#:ancestor_x000D_
citiz:immigrant_x000D_
#spos:1_x000D_
#srcs:6_x000D_
#comment:1_x000D_
#events:3_x000D_
#kids:1_x000D_
lived:?ENSOMESBATCOMB,ENKENT CANTERB,MANORFOWEYMOUT_x000D_
issue:Born before Parents Married_x000D_
.recs:Birth,Marriage,Death_x000D_
.imm?:immigrant_x000D_
..Spo:AVIS CHAPMAN</t>
        </r>
      </text>
    </comment>
    <comment ref="P4434" authorId="0" shapeId="0" xr:uid="{73B6DEF6-0A6C-4DDE-A837-DF6A9CB363B4}">
      <text>
        <r>
          <rPr>
            <sz val="9"/>
            <color indexed="81"/>
            <rFont val="Tahoma"/>
            <family val="2"/>
          </rPr>
          <t>LUCY HENEAGE_x000D_
http://yeinfo.com/family/I09021757.html_x000D_
https://www.google.com/search?q=LUCY+HENEAGE+1586+1623+READ_x000D_
.born: 15860224-          Kent county England_x000D_
.died: 1623    -1676      Canterbury (Kent) England, age:36y 10m 8d, _x000D_
.bapt: 1785GE_x000D_
.will: 2004MO_x000D_
.obit: 1890OH_x000D_
.bury: 1850IL _x000D_
.wpbt: 1826PA_x000D_
.anc#:ancestor_x000D_
citiz:foreign_x000D_
#spos:1_x000D_
#srcs:1_x000D_
#comment:0_x000D_
#events:1_x000D_
#kids:1_x000D_
lived:ENKENT CANTERB,ENMIDDLLONDON_x000D_
issue:_x000D_
.recs:Birth,Marriage,Death_x000D_
.imm?:no_x000D_
..Spo:WILLIAM READ</t>
        </r>
      </text>
    </comment>
    <comment ref="N4436" authorId="0" shapeId="0" xr:uid="{2EAD2D04-D9CA-44EA-93B8-B3841591DDC1}">
      <text>
        <r>
          <rPr>
            <sz val="9"/>
            <color indexed="81"/>
            <rFont val="Tahoma"/>
            <family val="2"/>
          </rPr>
          <t>HANNAH REED_x000D_
http://yeinfo.com/family/I09005439.html_x000D_
https://www.google.com/search?q=HANNAH+REED+1637+1661+WHITMARSH_x000D_
.born: 1637    -          Weymouth (Norfolk) Massachusetts_x000D_
.died: 1661    -1727      Weymouth (Norfolk) Massachusetts, age:24y 0m 0d, _x000D_
.bapt: 1785GE_x000D_
.will: 2004MO_x000D_
.obit: 1890OH_x000D_
.bury: 1850IL _x000D_
.wpbt: 1826PA_x000D_
.anc#:ancestor_x000D_
citiz:US born_x000D_
#spos:1_x000D_
#srcs:3_x000D_
#comment:0_x000D_
#events:1_x000D_
#kids:8_x000D_
lived:MANORFOWEYMOUT_x000D_
issue:_x000D_
.recs:Birth,Marriage,Death_x000D_
.imm?:no_x000D_
..Spo:NICHOLAS WHITMARSH</t>
        </r>
      </text>
    </comment>
    <comment ref="O4438" authorId="0" shapeId="0" xr:uid="{1665122B-2A19-4B8A-970E-FB6EEB86F79F}">
      <text>
        <r>
          <rPr>
            <sz val="9"/>
            <color indexed="81"/>
            <rFont val="Tahoma"/>
            <family val="2"/>
          </rPr>
          <t>AVIS CHAPMAN_x000D_
http://yeinfo.com/family/I09010879.html_x000D_
https://www.google.com/search?q=AVIS+CHAPMAN+1618+1638+REED_x000D_
.born: 16180830-          Somerset county England_x000D_
.died: 1638    -1708      , age:19y 4m 2d, _x000D_
.bapt: 1785GE_x000D_
.will: 2004MO_x000D_
.obit: 1890OH_x000D_
.bury: 1850IL _x000D_
.wpbt: 1826PA_x000D_
.anc#:ancestor_x000D_
citiz:US born_x000D_
#spos:1_x000D_
#srcs:2_x000D_
#comment:0_x000D_
#events:2_x000D_
#kids:1_x000D_
lived:ENKENT GRAVESE,ENSOMES_x000D_
issue:_x000D_
.recs:Birth,Marriage,Ship Passenger List,Death_x000D_
.imm?:no_x000D_
..Spo:WILLIAM REED</t>
        </r>
      </text>
    </comment>
    <comment ref="G4440" authorId="0" shapeId="0" xr:uid="{5B9A61EC-4924-4A92-AA3B-339B5B5E499B}">
      <text>
        <r>
          <rPr>
            <sz val="9"/>
            <color indexed="81"/>
            <rFont val="Tahoma"/>
            <family val="2"/>
          </rPr>
          <t>GEORGE LAFFAETTE DOUGLASS_x000D_
http://yeinfo.com/family/I09000042.html_x000D_
https://www.google.com/search?q=GEORGE+LAFFAETTE+DOUGLASS+1826+1914+ELIZABETH+ANN_x000D_
.born: 18260404-          Fairmont (Will) Illinois_x000D_
.died: 19140118-         ?Lompoc (Santa Barbara) California, age:87y 9m 14d, _x000D_
.bapt: 1785GE_x000D_
.will: 2004MO_x000D_
.obit: 1890OH_x000D_
.bury: 1850IL Evergreen Cemetery lot 121 grave 5_x000D_
.wpbt: 1826PA_x000D_
.anc#:ancestor_x000D_
citiz:US born_x000D_
#spos:1_x000D_
#srcs:12_x000D_
#comment:2_x000D_
#events:18_x000D_
#kids:9_x000D_
lived:CASANTBLOMPOC,IADECATGARDENG,ILVERMIDANVILL,ILWILL FAIRMON,SDCLAY VERMILL,SDTURNECENTERV_x000D_
issue:_x000D_
.recs:Birth,Marriage Intention/Bonds,Job/Occupation,Death_x000D_
.imm?:no_x000D_
..Spo:ELIZABETH ANN METIER</t>
        </r>
      </text>
    </comment>
    <comment ref="N4442" authorId="0" shapeId="0" xr:uid="{9F3D983C-A7BA-41D0-BCF0-9A4761B66AB6}">
      <text>
        <r>
          <rPr>
            <sz val="9"/>
            <color indexed="81"/>
            <rFont val="Tahoma"/>
            <family val="2"/>
          </rPr>
          <t>EDMUND BLOSS_x000D_
http://yeinfo.com/family/I09005440.html_x000D_
https://www.google.com/search?q=EDMUND+BLOSS+1587+1681+MARY+Parsons_x000D_
.born: 1587    -          Suffolk county England_x000D_
.died: 168104  -         ?Waterton (Middlesex) Massachusetts, age:94y 3m 0d, _x000D_
.bapt: 1785GE_x000D_
.will: 2004MO_x000D_
.obit: 1890OH_x000D_
.bury: 1850IL _x000D_
.wpbt: 1826PA_x000D_
.anc#:ancestor_x000D_
citiz:immigrant_x000D_
#spos:2_x000D_
#srcs:11_x000D_
#comment:2_x000D_
#events:9_x000D_
#kids:1_x000D_
lived:ENESSEXCOLCHES,ENSUFFOBRANDES,MAMIDDLLEXINGT,MAMIDDLWATERTO,MASUFFOBOSTON_x000D_
issue:Married before Age 16_x000D_
.recs:Birth,Marriage,Job/Occupation,Will Written,Death,Freeman_x000D_
.imm?:immigrant_x000D_
..Spo:MARY COOPER</t>
        </r>
      </text>
    </comment>
    <comment ref="M4444" authorId="0" shapeId="0" xr:uid="{58AD8FA8-5C2C-4483-913A-89661C6F4ABD}">
      <text>
        <r>
          <rPr>
            <sz val="9"/>
            <color indexed="81"/>
            <rFont val="Tahoma"/>
            <family val="2"/>
          </rPr>
          <t>RICHARD BLOSS_x000D_
http://yeinfo.com/family/I09002720.html_x000D_
https://www.google.com/search?q=RICHARD+BLOSS+1623+1665+MICAEL\MICHAL_x000D_
.born: 1623    -          England_x000D_
.died: 1665    -1713      Waterton (Middlesex) Massachusetts, age:42y 0m 0d, _x000D_
.bapt: 1785GE_x000D_
.will: 2004MO_x000D_
.obit: 1890OH_x000D_
.bury: 1850IL _x000D_
.wpbt: 1826PA_x000D_
.anc#:ancestor_x000D_
citiz:immigrant_x000D_
#spos:1_x000D_
#srcs:8_x000D_
#comment:1_x000D_
#events:6_x000D_
#kids:3_x000D_
lived:ENSUFFOIPSWICH,MAMIDDLWATERTO,MASUFFO_x000D_
issue:_x000D_
.recs:Birth,Marriage,Ship Passenger List,Death,Land Transaction,Freeman,Oath Taken_x000D_
.imm?:immigrant_x000D_
..Spo:MICAEL\MICHAL JENNISON</t>
        </r>
      </text>
    </comment>
    <comment ref="N4446" authorId="0" shapeId="0" xr:uid="{6E52F76F-3C9B-4E7B-B852-6AC3F9C15F85}">
      <text>
        <r>
          <rPr>
            <sz val="9"/>
            <color indexed="81"/>
            <rFont val="Tahoma"/>
            <family val="2"/>
          </rPr>
          <t>MARY COOPER_x000D_
http://yeinfo.com/family/I09005441.html_x000D_
https://www.google.com/search?q=MARY+COOPER+1590+1675+BLOSS_x000D_
.born:c1590    -          England_x000D_
.died: 16750529-          Waterton (Middlesex) Massachusetts, age:85y 4m 28d, _x000D_
.bapt: 1785GE_x000D_
.will: 2004MO_x000D_
.obit: 1890OH_x000D_
.bury: 1850IL _x000D_
.wpbt: 1826PA_x000D_
.anc#:ancestor_x000D_
citiz:immigrant_x000D_
#spos:1_x000D_
#srcs:7_x000D_
#comment:0_x000D_
#events:2_x000D_
#kids:1_x000D_
lived:ENESSEXCOLCHES,ENSUFFOIPSWICH,MAMIDDLWATERTO_x000D_
issue:_x000D_
.recs:Birth,Marriage,Ship Passenger List,Death_x000D_
.imm?:immigrant_x000D_
..Spo:EDMUND BLOSS</t>
        </r>
      </text>
    </comment>
    <comment ref="L4448" authorId="0" shapeId="0" xr:uid="{03C3AA57-AF3D-476D-9611-5ECEAEA98A3F}">
      <text>
        <r>
          <rPr>
            <sz val="9"/>
            <color indexed="81"/>
            <rFont val="Tahoma"/>
            <family val="2"/>
          </rPr>
          <t>RICHARD JENNISON BLOSS Jr._x000D_
http://yeinfo.com/family/I09001360.html_x000D_
https://www.google.com/search?q=RICHARD+JENNISON+BLOSS+1659+1716+ANN_x000D_
.born: 16591207-          Waterton (Middlesex) Massachusetts_x000D_
.died: 1716    -1749     ?Killingly (Windham) Connecticut, age:56y 0m 25d, _x000D_
.bapt: 1785GE_x000D_
.will: 2004MO_x000D_
.obit: 1890OH_x000D_
.bury: 1850IL _x000D_
.wpbt: 1826PA_x000D_
.anc#:ancestor_x000D_
citiz:US born_x000D_
#spos:1_x000D_
#srcs:10_x000D_
#comment:1_x000D_
#events:6_x000D_
#kids:4_x000D_
lived:CTWINDHKILLING,MAMIDDLLEXINGT,MAMIDDLWATERTO_x000D_
issue:_x000D_
.recs:Birth,Baptism,Marriage,Death,Freeman,Church_x000D_
.imm?:no_x000D_
..Spo:ANN CUTLER</t>
        </r>
      </text>
    </comment>
    <comment ref="O4450" authorId="0" shapeId="0" xr:uid="{F4BA6174-0D21-4ECF-AC96-5500218D2D37}">
      <text>
        <r>
          <rPr>
            <sz val="9"/>
            <color indexed="81"/>
            <rFont val="Tahoma"/>
            <family val="2"/>
          </rPr>
          <t>ROBERT JENNISON_x000D_
http://yeinfo.com/family/I09010884.html_x000D_
https://www.google.com/search?q=ROBERT+JENNISON+1581+1652+ELIZABETH_x000D_
.born: 15810106-          Newcastle upon Tyne (Northumberland) England_x000D_
.died: 16521108-          England, age:71y 10m 2d, _x000D_
.bapt: 1785GE_x000D_
.will: 2004MO_x000D_
.obit: 1890OH_x000D_
.bury: 1850IL _x000D_
.wpbt: 1826PA_x000D_
.anc#:ancestor_x000D_
citiz:foreign_x000D_
#spos:1_x000D_
#srcs:3_x000D_
#comment:0_x000D_
#events:2_x000D_
#kids:2_x000D_
lived:ENNORTUNEWCTYN_x000D_
issue:_x000D_
.recs:Birth,Marriage,Death_x000D_
.imm?:no_x000D_
..Spo:ELIZABETH FAVOUR</t>
        </r>
      </text>
    </comment>
    <comment ref="N4452" authorId="0" shapeId="0" xr:uid="{252F0FCA-B758-4551-BAFC-1BE2A260DB81}">
      <text>
        <r>
          <rPr>
            <sz val="9"/>
            <color indexed="81"/>
            <rFont val="Tahoma"/>
            <family val="2"/>
          </rPr>
          <t>ROBERT JENNISON_x000D_
http://yeinfo.com/family/I09005442.html_x000D_
https://www.google.com/search?q=ROBERT+JENNISON+1607+1690+Elizabeth+KILBOURNE_x000D_
.born: 1607    -          Colchester (Essex) England_x000D_
.died: 16900704-          Waterton (Middlesex) Massachusetts, age:83y 6m 3d, _x000D_
.bapt: 1785GE_x000D_
.will: 2004MO_x000D_
.obit: 1890OH_x000D_
.bury: 1850IL _x000D_
.wpbt: 1826PA_x000D_
.anc#:ancestor_x000D_
citiz:immigrant_x000D_
#spos:2_x000D_
#srcs:17_x000D_
#comment:0_x000D_
#events:12_x000D_
#kids:5_x000D_
lived:?MAMIDDLWATERTO,ENESSEXCOLCHES,MASUFFOCHAZTWN_x000D_
issue:Will Written after Death_x000D_
.recs:Birth,Military,Will Written,Death,Freeman,Immigrate_x000D_
.imm?:immigrant_x000D_
..Spo:Elizabeth JENNISON</t>
        </r>
      </text>
    </comment>
    <comment ref="O4454" authorId="0" shapeId="0" xr:uid="{9D8673FC-DAF2-4542-9071-9FF730ECBE64}">
      <text>
        <r>
          <rPr>
            <sz val="9"/>
            <color indexed="81"/>
            <rFont val="Tahoma"/>
            <family val="2"/>
          </rPr>
          <t>ELIZABETH FAVOUR_x000D_
http://yeinfo.com/family/I09010885.html_x000D_
https://www.google.com/search?q=ELIZABETH+FAVOUR+1585+1607+JENNISON_x000D_
.born:?1585    -          England_x000D_
.died: 1607    -1675      England, age:22y 0m 0d, _x000D_
.bapt: 1785GE_x000D_
.will: 2004MO_x000D_
.obit: 1890OH_x000D_
.bury: 1850IL _x000D_
.wpbt: 1826PA_x000D_
.anc#:ancestor_x000D_
citiz:foreign_x000D_
#spos:1_x000D_
#srcs:2_x000D_
#comment:0_x000D_
#events:1_x000D_
#kids:2_x000D_
lived:EN_x000D_
issue:_x000D_
.recs:Birth,Marriage,Death_x000D_
.imm?:no_x000D_
..Spo:ROBERT JENNISON</t>
        </r>
      </text>
    </comment>
    <comment ref="M4456" authorId="0" shapeId="0" xr:uid="{2DEDDAB8-3C86-43E6-9B52-9CCD1F7560AA}">
      <text>
        <r>
          <rPr>
            <sz val="9"/>
            <color indexed="81"/>
            <rFont val="Tahoma"/>
            <family val="2"/>
          </rPr>
          <t>MICAEL\MICHAL JENNISON_x000D_
http://yeinfo.com/family/I09002721.html_x000D_
https://www.google.com/search?q=MICAEL\MICHAL+JENNISON+1640+1713+BLOSS+John_x000D_
.born: 16401017-          Waterton (Middlesex) Massachusetts_x000D_
.died: 17130714-         ?Massachusetts, age:72y 8m 27d, _x000D_
.bapt: 1785GE_x000D_
.will: 2004MO_x000D_
.obit: 1890OH_x000D_
.bury: 1850IL _x000D_
.wpbt: 1826PA_x000D_
.anc#:ancestor_x000D_
citiz:US born_x000D_
#spos:2_x000D_
#srcs:10_x000D_
#comment:0_x000D_
#events:2_x000D_
#kids:3_x000D_
lived:MAMIDDLWATERTO_x000D_
issue:_x000D_
.recs:Birth,Marriage,Death_x000D_
.imm?:no_x000D_
..Spo:RICHARD BLOSS</t>
        </r>
      </text>
    </comment>
    <comment ref="N4458" authorId="0" shapeId="0" xr:uid="{981B1A26-4F53-4E35-861D-F8636B561B26}">
      <text>
        <r>
          <rPr>
            <sz val="9"/>
            <color indexed="81"/>
            <rFont val="Tahoma"/>
            <family val="2"/>
          </rPr>
          <t>GRACE KILBOURNE_x000D_
http://yeinfo.com/family/I09005443.html_x000D_
https://www.google.com/search?q=GRACE+KILBOURNE+1614+1686+JENNISON_x000D_
.born: 16140312-          Ditton Green (Cambridgeshire) England_x000D_
.died: 16861126-         ?Waterton (Middlesex) Massachusetts, age:72y 8m 14d, _x000D_
.bapt: 1785GE_x000D_
.will: 2004MO_x000D_
.obit: 1890OH_x000D_
.bury: 1850IL _x000D_
.wpbt: 1826PA_x000D_
.anc#:ancestor_x000D_
citiz:immigrant_x000D_
#spos:1_x000D_
#srcs:8_x000D_
#comment:1_x000D_
#events:1_x000D_
#kids:3_x000D_
lived:ENCAMBSDITTGRN,MAMIDDLWATERTO_x000D_
issue:_x000D_
.recs:Birth,Marriage,Death_x000D_
.imm?:immigrant_x000D_
..Spo:ROBERT JENNISON</t>
        </r>
      </text>
    </comment>
    <comment ref="K4460" authorId="0" shapeId="0" xr:uid="{8143B5CE-433F-47D7-8AB0-2334DA9D1B4E}">
      <text>
        <r>
          <rPr>
            <sz val="9"/>
            <color indexed="81"/>
            <rFont val="Tahoma"/>
            <family val="2"/>
          </rPr>
          <t>SAMUEL BLOSS Sr._x000D_
http://yeinfo.com/family/I09000680.html_x000D_
https://www.google.com/search?q=SAMUEL+BLOSS+1705+1746+MARTHA_x000D_
.born: 17050126-          Waterton (Middlesex) Massachusetts_x000D_
.died: 1746    -1795     ?Connecticut, age:40y 11m 6d, _x000D_
.bapt: 1785GE_x000D_
.will: 2004MO_x000D_
.obit: 1890OH_x000D_
.bury: 1850IL _x000D_
.wpbt: 1826PA_x000D_
.anc#:ancestor_x000D_
citiz:US born_x000D_
#spos:1_x000D_
#srcs:3_x000D_
#comment:2_x000D_
#events:1_x000D_
#kids:10_x000D_
lived:CTWINDHKILLING,MAMIDDLWATERTO_x000D_
issue:_x000D_
.recs:Birth,Marriage,Death_x000D_
.imm?:no_x000D_
..Spo:MARTHA BARKER</t>
        </r>
      </text>
    </comment>
    <comment ref="N4462" authorId="0" shapeId="0" xr:uid="{201F6466-4DC5-4054-B595-76F42EEFC416}">
      <text>
        <r>
          <rPr>
            <sz val="9"/>
            <color indexed="81"/>
            <rFont val="Tahoma"/>
            <family val="2"/>
          </rPr>
          <t>JAMES CUTLER_x000D_
http://yeinfo.com/family/I09005444.html_x000D_
https://www.google.com/search?q=JAMES+CUTLER+1606+1694+ANNA+BARNARD_x000D_
.born: 1606    -          Sprowston (Norfolk) England_x000D_
.died: 16940717-          , age:88y 6m 16d, _x000D_
.bapt: 1785GE_x000D_
.will: 2004MO_x000D_
.obit: 1890OH_x000D_
.bury: 1850IL _x000D_
.wpbt: 1826PA_x000D_
.anc#:  triple ancestor_x000D_
citiz:US born_x000D_
#spos:3_x000D_
#srcs:21_x000D_
#comment:0_x000D_
#events:17_x000D_
#kids:12_x000D_
lived:ENNORFOSPROWST,MAMIDDLLEXINGT,MAMIDDLWATERTO,MAWORCELANCAST_x000D_
issue:AncFlags between Spouses Mismatched_x000D_
.recs:Birth,Marriage,Will Written,Death,Land Transaction_x000D_
.imm?:no_x000D_
..Spo:ANNA CUTLER</t>
        </r>
      </text>
    </comment>
    <comment ref="M4464" authorId="0" shapeId="0" xr:uid="{4A5FA793-DDED-4CCB-8793-58396EEC9682}">
      <text>
        <r>
          <rPr>
            <sz val="9"/>
            <color indexed="81"/>
            <rFont val="Tahoma"/>
            <family val="2"/>
          </rPr>
          <t>JAMES CUTLER Jr._x000D_
http://yeinfo.com/family/I09002722.html_x000D_
https://www.google.com/search?q=JAMES+CUTLER+1635+1685+LYDIA_x000D_
.born: 16351106-          Waterton (Middlesex) Massachusetts_x000D_
.died: 16850731-          Lexington (Middlesex) Massachusetts, age:49y 8m 25d, _x000D_
.bapt: 1785GE_x000D_
.will: 2004MO_x000D_
.obit: 1890OH_x000D_
.bury: 1850IL _x000D_
.wpbt: 1826PA_x000D_
.anc#:ancestor_x000D_
citiz:US born_x000D_
#spos:1_x000D_
#srcs:17_x000D_
#comment:1_x000D_
#events:6_x000D_
#kids:8_x000D_
lived:MAMIDDLLEXINGT,MAMIDDLSUDBURY,MAMIDDLWATERTO_x000D_
issue:_x000D_
.recs:Birth,Marriage,Job/Occupation,Will Written,Death_x000D_
.imm?:no_x000D_
..Spo:LYDIA MOORE</t>
        </r>
      </text>
    </comment>
    <comment ref="N4466" authorId="0" shapeId="0" xr:uid="{B846BC1D-9649-4E79-A557-850D199EA03A}">
      <text>
        <r>
          <rPr>
            <sz val="9"/>
            <color indexed="81"/>
            <rFont val="Tahoma"/>
            <family val="2"/>
          </rPr>
          <t>Mrs. ANNA CUTLER_x000D_
http://yeinfo.com/family/I09005445.html_x000D_
https://www.google.com/search?q=ANNA+CUTLER+1610+1644+CUTLER_x000D_
.born: 1610    -          _x000D_
.died: 16440930-          , age:34y 8m 29d, _x000D_
.bapt: 1785GE_x000D_
.will: 2004MO_x000D_
.obit: 1890OH_x000D_
.bury: 1850IL _x000D_
.wpbt: 1826PA_x000D_
.anc#:double ancestor_x000D_
citiz:US born_x000D_
#spos:1_x000D_
#srcs:12_x000D_
#comment:1_x000D_
#events:2_x000D_
#kids:4_x000D_
lived:?MAMIDDLWATERTO_x000D_
issue:_x000D_
.recs:Birth,Marriage,Death_x000D_
.imm?:no_x000D_
..Spo:JAMES CUTLER</t>
        </r>
      </text>
    </comment>
    <comment ref="L4468" authorId="0" shapeId="0" xr:uid="{76CBA0AD-FE57-4A63-82C2-CAF028E02C41}">
      <text>
        <r>
          <rPr>
            <sz val="9"/>
            <color indexed="81"/>
            <rFont val="Tahoma"/>
            <family val="2"/>
          </rPr>
          <t>ANN CUTLER_x000D_
http://yeinfo.com/family/I09001361.html_x000D_
https://www.google.com/search?q=ANN+CUTLER+1669+1707+BLOSS_x000D_
.born: 16690420-          Lexington (Middlesex) Massachusetts_x000D_
.died: 1707    -1759     ?Connecticut, age:37y 8m 12d, _x000D_
.bapt: 1785GE_x000D_
.will: 2004MO_x000D_
.obit: 1890OH_x000D_
.bury: 1850IL _x000D_
.wpbt: 1826PA_x000D_
.anc#:ancestor_x000D_
citiz:US born_x000D_
#spos:1_x000D_
#srcs:10_x000D_
#comment:0_x000D_
#events:2_x000D_
#kids:4_x000D_
lived:?CT,MAMIDDLLEXINGT_x000D_
issue:_x000D_
.recs:Birth,Marriage,Death_x000D_
.imm?:no_x000D_
..Spo:RICHARD JENNISON BLOSS</t>
        </r>
      </text>
    </comment>
    <comment ref="N4470" authorId="0" shapeId="0" xr:uid="{D5C0584C-3493-411B-9A78-83C5AFD06EA9}">
      <text>
        <r>
          <rPr>
            <sz val="9"/>
            <color indexed="81"/>
            <rFont val="Tahoma"/>
            <family val="2"/>
          </rPr>
          <t>JOHN MOORE_x000D_
http://yeinfo.com/family/I09005446.html_x000D_
https://www.google.com/search?q=JOHN+MOORE+1598+1674+ELIZABETH+RICE_x000D_
.born:?1598    -          Thaxted (Essex) England_x000D_
.died: 16740106-          Sudbury (Middlesex) Massachusetts, age:76y 0m 5d, _x000D_
.bapt: 1785GE_x000D_
.will: 2004MO_x000D_
.obit: 1890OH_x000D_
.bury: 1850IL _x000D_
.wpbt: 1826PA_x000D_
.anc#: quintuple ancestor_x000D_
citiz:immigrant_x000D_
#spos:2_x000D_
#srcs:32_x000D_
#comment:1_x000D_
#events:12_x000D_
#kids:12_x000D_
lived:?ENESSEXHENHAM,ENESSEXTHAXTED,ENHERTFLITTLEG,MAMIDDLCAMBRID,MAMIDDLSUDBURY,MAWORCELANCAST_x000D_
issue:AncFlags between Spouses Mismatched_x000D_
.recs:Birth,Marriage,Will Written,Death,Land Transaction,Freeman,Oath Taken_x000D_
.imm?:immigrant_x000D_
..Spo:ELIZABETH MOORE</t>
        </r>
      </text>
    </comment>
    <comment ref="M4472" authorId="0" shapeId="0" xr:uid="{649FF992-F4D3-4937-8D8C-863BA4311747}">
      <text>
        <r>
          <rPr>
            <sz val="9"/>
            <color indexed="81"/>
            <rFont val="Tahoma"/>
            <family val="2"/>
          </rPr>
          <t>LYDIA MOORE_x000D_
http://yeinfo.com/family/I09002723.html_x000D_
https://www.google.com/search?q=LYDIA+MOORE+1643+1723+Wright+JAMES_x000D_
.born: 16430624-          Sudbury (Middlesex) Massachusetts_x000D_
.died: 17231123-          Sudbury (Middlesex) Massachusetts, age:80y 4m 30d, _x000D_
.bapt: 1785GE_x000D_
.will: 2004MO_x000D_
.obit: 1890OH_x000D_
.bury: 1850IL _x000D_
.wpbt: 1826PA_x000D_
.anc#:ancestor_x000D_
citiz:US born_x000D_
#spos:2_x000D_
#srcs:20_x000D_
#comment:0_x000D_
#events:2_x000D_
#kids:8_x000D_
lived:MAMIDDLLEXINGT,MAMIDDLSUDBURY_x000D_
issue:_x000D_
.recs:Birth,Marriage,Death_x000D_
.imm?:no_x000D_
..Spo:Samuel Wright</t>
        </r>
      </text>
    </comment>
    <comment ref="P4474" authorId="0" shapeId="0" xr:uid="{8C1696EC-ADB4-42F8-9423-CD4745C6AD61}">
      <text>
        <r>
          <rPr>
            <sz val="9"/>
            <color indexed="81"/>
            <rFont val="Tahoma"/>
            <family val="2"/>
          </rPr>
          <t>Mr. {_?_} RICE_x000D_
http://yeinfo.com/family/I09021788.html_x000D_
https://www.google.com/search?q={_?_}+RICE+1560+1594+{_?_}_x000D_
.born:?1560    -          England_x000D_
.died: 1594    -1650      , age:34y 0m 0d, _x000D_
.bapt: 1785GE_x000D_
.will: 2004MO_x000D_
.obit: 1890OH_x000D_
.bury: 1850IL _x000D_
.wpbt: 1826PA_x000D_
.anc#: quintuple ancestor_x000D_
citiz:foreign_x000D_
#spos:1_x000D_
#srcs:1_x000D_
#comment:1_x000D_
#events:1_x000D_
#kids:2_x000D_
lived:EN_x000D_
issue:_x000D_
.recs:Birth,Marriage,Death_x000D_
.imm?:no_x000D_
..Spo:{_?_} RICE</t>
        </r>
      </text>
    </comment>
    <comment ref="O4476" authorId="0" shapeId="0" xr:uid="{290F788B-BECD-4CE2-B0C5-771C3C1C8677}">
      <text>
        <r>
          <rPr>
            <sz val="9"/>
            <color indexed="81"/>
            <rFont val="Tahoma"/>
            <family val="2"/>
          </rPr>
          <t>HENRY\THOMAS RICE_x000D_
http://yeinfo.com/family/I09010894.html_x000D_
https://www.google.com/search?q=HENRY\THOMAS+RICE+1582+1621+ELIZABETH\DEZIAH_x000D_
.born:?1582    -          _x000D_
.died: 162111  -          , age:39y 10m 0d, _x000D_
.bapt: 1785GE_x000D_
.will: 2004MO_x000D_
.obit: 1890OH_x000D_
.bury: 1850IL _x000D_
.wpbt: 1826PA_x000D_
.anc#:ancestor_x000D_
citiz:US born_x000D_
#spos:1_x000D_
#srcs:2_x000D_
#comment:1_x000D_
#events:2_x000D_
#kids:4_x000D_
lived:?ENSUFFOSUDBURY,ENSUFFOSTANSTE,NYSUFFOSOUTHMP_x000D_
issue:_x000D_
.recs:Birth,Baptism,Marriage,Death_x000D_
.imm?:no_x000D_
..Spo:ELIZABETH\DEZIAH FROST</t>
        </r>
      </text>
    </comment>
    <comment ref="P4478" authorId="0" shapeId="0" xr:uid="{AF63A9A0-6E09-476E-A9DF-A44CD3D3E793}">
      <text>
        <r>
          <rPr>
            <sz val="9"/>
            <color indexed="81"/>
            <rFont val="Tahoma"/>
            <family val="2"/>
          </rPr>
          <t>Mrs. {_?_} RICE_x000D_
http://yeinfo.com/family/I09021789.html_x000D_
https://www.google.com/search?q={_?_}+RICE+1560+1594+RICE_x000D_
.born:?1560    -          England_x000D_
.died: 1594    -1650      , age:34y 0m 0d, _x000D_
.bapt: 1785GE_x000D_
.will: 2004MO_x000D_
.obit: 1890OH_x000D_
.bury: 1850IL _x000D_
.wpbt: 1826PA_x000D_
.anc#: quintuple ancestor_x000D_
citiz:foreign_x000D_
#spos:1_x000D_
#srcs:0_x000D_
#comment:0_x000D_
#events:1_x000D_
#kids:2_x000D_
lived:EN_x000D_
issue:_x000D_
.recs:Birth,Marriage,Death_x000D_
.imm?:no_x000D_
..Spo:{_?_} RICE</t>
        </r>
      </text>
    </comment>
    <comment ref="N4480" authorId="0" shapeId="0" xr:uid="{60C92BF0-FD11-4DCF-B798-9054CFE84443}">
      <text>
        <r>
          <rPr>
            <sz val="9"/>
            <color indexed="81"/>
            <rFont val="Tahoma"/>
            <family val="2"/>
          </rPr>
          <t>ELIZABETH RICE_x000D_
http://yeinfo.com/family/I09005447.html_x000D_
https://www.google.com/search?q=ELIZABETH+RICE+1612+1690+MOORE_x000D_
.born: 1612    -          _x000D_
.died: 16901214-          , age:78y 11m 13d, _x000D_
.bapt: 1785GE_x000D_
.will: 2004MO_x000D_
.obit: 1890OH_x000D_
.bury: 1850IL _x000D_
.wpbt: 1826PA_x000D_
.anc#:ancestor_x000D_
citiz:US born_x000D_
#spos:1_x000D_
#srcs:6_x000D_
#comment:2_x000D_
#events:2_x000D_
#kids:9_x000D_
lived:ENHERTFLITTLEG,ENSUFFOSTANDIS,ENSUFFOSTANSTE_x000D_
issue:AncFlags between Spouses Mismatched_x000D_
.recs:Birth,Baptism,Marriage,Death_x000D_
.imm?:no_x000D_
..Spo:JOHN MOORE</t>
        </r>
      </text>
    </comment>
    <comment ref="R4482" authorId="0" shapeId="0" xr:uid="{AC3E2884-7DFA-44EF-944D-1FD527E31F54}">
      <text>
        <r>
          <rPr>
            <sz val="9"/>
            <color indexed="81"/>
            <rFont val="Tahoma"/>
            <family val="2"/>
          </rPr>
          <t>WILLIAM\HENRY FROST_x000D_
http://yeinfo.com/family/I09065537.html_x000D_
https://www.google.com/search?q=WILLIAM\HENRY+FROST+1480+1549+PHILLIPA_x000D_
.born: 1480    -          Stanstead (Suffolk) England_x000D_
.died: 1549    -          Stanstead (Suffolk) England, age:69y 0m 0d, _x000D_
.bapt: 1785GE_x000D_
.will: 2004MO_x000D_
.obit: 1890OH_x000D_
.bury: 1850IL _x000D_
.wpbt: 1826PA_x000D_
.anc#: quintuple ancestor_x000D_
citiz:foreign_x000D_
#spos:1_x000D_
#srcs:3_x000D_
#comment:0_x000D_
#events:3_x000D_
#kids:7_x000D_
lived:ENSUFFOSTANSTE_x000D_
issue:_x000D_
.recs:Birth,Marriage,Will Written,Death_x000D_
.imm?:no_x000D_
..Spo:PHILLIPA SCOTT</t>
        </r>
      </text>
    </comment>
    <comment ref="Q4484" authorId="0" shapeId="0" xr:uid="{3E0CB996-5F53-411C-B5D0-BBCBAD4EE12A}">
      <text>
        <r>
          <rPr>
            <sz val="9"/>
            <color indexed="81"/>
            <rFont val="Tahoma"/>
            <family val="2"/>
          </rPr>
          <t>JOHN\THOMAS FROST_x000D_
http://yeinfo.com/family/I09043580.html_x000D_
https://www.google.com/search?q=JOHN\THOMAS+FROST+1537+1610+ANN+FROST_x000D_
.born:?1537    -          _x000D_
.died: 1610    -          , age:73y 0m 0d, _x000D_
.bapt: 1785GE_x000D_
.will: 2004MO_x000D_
.obit: 1890OH_x000D_
.bury: 1850IL _x000D_
.wpbt: 1826PA_x000D_
.anc#: quintuple ancestor_x000D_
citiz:foreign_x000D_
#spos:2_x000D_
#srcs:2_x000D_
#comment:0_x000D_
#events:7_x000D_
#kids:9_x000D_
lived:ENSUFFOGLEMSFO,ENSUFFOHARTEST,ENSUFFOSTANSTE_x000D_
issue:_x000D_
.recs:Birth,Baptism,Marriage,Death_x000D_
.imm?:no_x000D_
..Spo:ANN SCOTT</t>
        </r>
      </text>
    </comment>
    <comment ref="R4486" authorId="0" shapeId="0" xr:uid="{F337A28B-FD31-4D5E-ACDC-C5B49C287E48}">
      <text>
        <r>
          <rPr>
            <sz val="9"/>
            <color indexed="81"/>
            <rFont val="Tahoma"/>
            <family val="2"/>
          </rPr>
          <t>PHILLIPA SCOTT_x000D_
http://yeinfo.com/family/I09065538.html_x000D_
https://www.google.com/search?q=PHILLIPA+SCOTT+1505+1558+FROST+John_x000D_
.born:?1505    -          Chickney (Essex) England_x000D_
.died: 155801  -         ?Lidgate (Suffolk) England, age:53y 0m 0d, _x000D_
.bapt: 1785GE_x000D_
.will: 2004MO_x000D_
.obit: 1890OH_x000D_
.bury: 1850IL _x000D_
.wpbt: 1826PA_x000D_
.anc#: quintuple ancestor_x000D_
citiz:foreign_x000D_
#spos:2_x000D_
#srcs:3_x000D_
#comment:1_x000D_
#events:3_x000D_
#kids:7_x000D_
lived:?ENSUFFOLIDGATE,ENESSEXCHICKNE,MAMIDDLSUDBURY_x000D_
issue:_x000D_
.recs:Birth,Marriage,Death_x000D_
.imm?:no_x000D_
..Spo:WILLIAM\HENRY FROST</t>
        </r>
      </text>
    </comment>
    <comment ref="P4488" authorId="0" shapeId="0" xr:uid="{27D148BC-5DF0-498F-8B95-24288B0BF354}">
      <text>
        <r>
          <rPr>
            <sz val="9"/>
            <color indexed="81"/>
            <rFont val="Tahoma"/>
            <family val="2"/>
          </rPr>
          <t>EDWARD\EDMUND FROST_x000D_
http://yeinfo.com/family/I09021790.html_x000D_
https://www.google.com/search?q=EDWARD\EDMUND+FROST+1560+1616+THOMASINE_x000D_
.born:?1560    -          Glemsford (Suffolk) England_x000D_
.died: 1616    -          Stanstead (Suffolk) England, age:56y 0m 0d, _x000D_
.bapt: 1785GE_x000D_
.will: 2004MO_x000D_
.obit: 1890OH_x000D_
.bury: 1850IL _x000D_
.wpbt: 1826PA_x000D_
.anc#: quintuple ancestor_x000D_
citiz:foreign_x000D_
#spos:1_x000D_
#srcs:1_x000D_
#comment:1_x000D_
#events:4_x000D_
#kids:11_x000D_
lived:ENSUFFOGLEMSFO,ENSUFFOSTANSTE_x000D_
issue:_x000D_
.recs:Birth,Marriage,Job/Occupation,Will Written,Death_x000D_
.imm?:no_x000D_
..Spo:THOMASINE BELGRAVE</t>
        </r>
      </text>
    </comment>
    <comment ref="R4490" authorId="0" shapeId="0" xr:uid="{76ED8511-EBE6-480D-83AD-359F59EAB6E1}">
      <text>
        <r>
          <rPr>
            <sz val="9"/>
            <color indexed="81"/>
            <rFont val="Tahoma"/>
            <family val="2"/>
          </rPr>
          <t>RICHARD SCOTT_x000D_
http://yeinfo.com/family/I09065539.html_x000D_
https://www.google.com/search?q=RICHARD+SCOTT+1505+1565+JOANNA+SCOTT_x000D_
.born:?1505    -          England_x000D_
.died:c1565    -         ?Glemsford (Suffolk) England, age:60y 0m 0d, _x000D_
.bapt: 1785GE_x000D_
.will: 2004MO_x000D_
.obit: 1890OH_x000D_
.bury: 1850IL _x000D_
.wpbt: 1826PA_x000D_
.anc#: quintuple ancestor_x000D_
citiz:foreign_x000D_
#spos:2_x000D_
#srcs:6_x000D_
#comment:0_x000D_
#events:6_x000D_
#kids:9_x000D_
lived:?ENSUFFOGLEMSFO,EN_x000D_
issue:_x000D_
.recs:Birth,Marriage,Will Written,Death_x000D_
.imm?:no_x000D_
..Spo:JOANNA SCOTT</t>
        </r>
      </text>
    </comment>
    <comment ref="Q4492" authorId="0" shapeId="0" xr:uid="{1FB8DFAE-E43F-4803-B93B-EC2AF231AAAF}">
      <text>
        <r>
          <rPr>
            <sz val="9"/>
            <color indexed="81"/>
            <rFont val="Tahoma"/>
            <family val="2"/>
          </rPr>
          <t>ANN SCOTT_x000D_
http://yeinfo.com/family/I09043581.html_x000D_
https://www.google.com/search?q=ANN+SCOTT+1540+1588+FROST_x000D_
.born:?1540    -          _x000D_
.died: 158807  -          , age:48y 6m 0d, _x000D_
.bapt: 1785GE_x000D_
.will: 2004MO_x000D_
.obit: 1890OH_x000D_
.bury: 1850IL _x000D_
.wpbt: 1826PA_x000D_
.anc#: quintuple ancestor_x000D_
citiz:foreign_x000D_
#spos:1_x000D_
#srcs:2_x000D_
#comment:1_x000D_
#events:2_x000D_
#kids:9_x000D_
lived:ENSUFFOGLEMSFO,ENSUFFOHARTEST,ENSUFFOSTANSTE_x000D_
issue:_x000D_
.recs:Birth,Marriage,Death_x000D_
.imm?:no_x000D_
..Spo:JOHN\THOMAS FROST</t>
        </r>
      </text>
    </comment>
    <comment ref="R4494" authorId="0" shapeId="0" xr:uid="{C6160407-8A59-4A85-8F2E-AC648BE03304}">
      <text>
        <r>
          <rPr>
            <sz val="9"/>
            <color indexed="81"/>
            <rFont val="Tahoma"/>
            <family val="2"/>
          </rPr>
          <t>Mrs. JOANNA SCOTT_x000D_
http://yeinfo.com/family/I09065540.html_x000D_
https://www.google.com/search?q=JOANNA+SCOTT+1505+1556+SCOTT_x000D_
.born:?1505    -          England_x000D_
.died: 1556    -         ?Glemsford (Suffolk) England, age:51y 0m 0d, _x000D_
.bapt: 1785GE_x000D_
.will: 2004MO_x000D_
.obit: 1890OH_x000D_
.bury: 1850IL _x000D_
.wpbt: 1826PA_x000D_
.anc#: quintuple ancestor_x000D_
citiz:foreign_x000D_
#spos:1_x000D_
#srcs:1_x000D_
#comment:0_x000D_
#events:2_x000D_
#kids:9_x000D_
lived:?ENSUFFOGLEMSFO,EN_x000D_
issue:_x000D_
.recs:Birth,Marriage,Death_x000D_
.imm?:no_x000D_
..Spo:RICHARD SCOTT</t>
        </r>
      </text>
    </comment>
    <comment ref="O4496" authorId="0" shapeId="0" xr:uid="{37421AF7-DCE0-4CD7-A42F-618969E8C351}">
      <text>
        <r>
          <rPr>
            <sz val="9"/>
            <color indexed="81"/>
            <rFont val="Tahoma"/>
            <family val="2"/>
          </rPr>
          <t>ELIZABETH\DEZIAH FROST_x000D_
http://yeinfo.com/family/I09010895.html_x000D_
https://www.google.com/search?q=ELIZABETH\DEZIAH+FROST+1587+1647+RICE+Philemon_x000D_
.born: 1587    -          _x000D_
.died: 16470620-          , age:60y 5m 19d, _x000D_
.bapt: 1785GE_x000D_
.will: 2004MO_x000D_
.obit: 1890OH_x000D_
.bury: 1850IL _x000D_
.wpbt: 1826PA_x000D_
.anc#:ancestor_x000D_
citiz:US born_x000D_
#spos:2_x000D_
#srcs:6_x000D_
#comment:1_x000D_
#events:2_x000D_
#kids:4_x000D_
lived:ENSUFFOBURY SE,ENSUFFOSTANSTE_x000D_
issue:_x000D_
.recs:Birth,Marriage,Death_x000D_
.imm?:no_x000D_
..Spo:HENRY\THOMAS RICE</t>
        </r>
      </text>
    </comment>
    <comment ref="Q4498" authorId="0" shapeId="0" xr:uid="{8A987C59-009F-4424-A63C-26AA5DDB4CC4}">
      <text>
        <r>
          <rPr>
            <sz val="9"/>
            <color indexed="81"/>
            <rFont val="Tahoma"/>
            <family val="2"/>
          </rPr>
          <t>JOHN BELGRAVE_x000D_
http://yeinfo.com/family/I09043582.html_x000D_
https://www.google.com/search?q=JOHN+BELGRAVE+1535+1591+JOANNA+Fairefax_x000D_
.born:c1535    -          Glemsford (Suffolk) England_x000D_
.died: 1591    -          Leverington (Cambridgeshire) England, age:56y 0m 0d, _x000D_
.bapt: 1785GE_x000D_
.will: 2004MO_x000D_
.obit: 1890OH_x000D_
.bury: 1850IL _x000D_
.wpbt: 1826PA_x000D_
.anc#: quintuple ancestor_x000D_
citiz:foreign_x000D_
#spos:2_x000D_
#srcs:3_x000D_
#comment:0_x000D_
#events:4_x000D_
#kids:12_x000D_
lived:ENCAMBSLEVERIN,ENSUFFOGLEMSFO_x000D_
issue:_x000D_
.recs:Birth,Marriage,Will Written,Death_x000D_
.imm?:no_x000D_
..Spo:JOANNA STRUTT</t>
        </r>
      </text>
    </comment>
    <comment ref="P4500" authorId="0" shapeId="0" xr:uid="{29575BE1-796A-456B-A518-1D75A5D66576}">
      <text>
        <r>
          <rPr>
            <sz val="9"/>
            <color indexed="81"/>
            <rFont val="Tahoma"/>
            <family val="2"/>
          </rPr>
          <t>THOMASINE BELGRAVE_x000D_
http://yeinfo.com/family/I09021791.html_x000D_
https://www.google.com/search?q=THOMASINE+BELGRAVE+1562+1653+FROST_x000D_
.born: 1562    -          _x000D_
.died: 16530613-          Suffolk county England, age:91y 5m 12d, _x000D_
.bapt: 1785GE_x000D_
.will: 2004MO_x000D_
.obit: 1890OH_x000D_
.bury: 1850IL _x000D_
.wpbt: 1826PA_x000D_
.anc#: quintuple ancestor_x000D_
citiz:US born_x000D_
#spos:1_x000D_
#srcs:3_x000D_
#comment:1_x000D_
#events:2_x000D_
#kids:11_x000D_
lived:?ENCAMBSLEVERIN,ENSUFFOGLEMSFO_x000D_
issue:_x000D_
.recs:Birth,Baptism,Marriage,Death_x000D_
.imm?:no_x000D_
..Spo:EDWARD\EDMUND FROST</t>
        </r>
      </text>
    </comment>
    <comment ref="T4502" authorId="0" shapeId="0" xr:uid="{2E9720F0-2768-4322-9489-7894FF2137A2}">
      <text>
        <r>
          <rPr>
            <sz val="9"/>
            <color indexed="81"/>
            <rFont val="Tahoma"/>
            <family val="2"/>
          </rPr>
          <t>JOHN STRUTT_x000D_
http://yeinfo.com/family/I09065805.html_x000D_
https://www.google.com/search?q=JOHN+STRUTT+1450+1516+ISABELLE+ELIZABETH_x000D_
.born:?1450    -          England_x000D_
.died: 1516    -          Glemsford (Suffolk) England, age:66y 0m 0d, _x000D_
.bapt: 1785GE_x000D_
.will: 2004MO_x000D_
.obit: 1890OH_x000D_
.bury: 1850IL Oure Lady Sainte Marie church yard_x000D_
.wpbt: 1826PA_x000D_
.anc#: quintuple ancestor_x000D_
citiz:foreign_x000D_
#spos:1_x000D_
#srcs:2_x000D_
#comment:0_x000D_
#events:5_x000D_
#kids:7_x000D_
lived:ENSUFFOGLEMSFO_x000D_
issue:_x000D_
.recs:Birth,Marriage,Will Written,Death,Interment/Burial_x000D_
.imm?:no_x000D_
..Spo:ISABELLE ELIZABETH GOLDING</t>
        </r>
      </text>
    </comment>
    <comment ref="S4504" authorId="0" shapeId="0" xr:uid="{5BFAEF18-EA52-4ACC-BA62-3C7BEFC19A72}">
      <text>
        <r>
          <rPr>
            <sz val="9"/>
            <color indexed="81"/>
            <rFont val="Tahoma"/>
            <family val="2"/>
          </rPr>
          <t>THOMAS STRUTT_x000D_
http://yeinfo.com/family/I09065679.html_x000D_
https://www.google.com/search?q=THOMAS+STRUTT+1475+1548+JOHANE_x000D_
.born:?1475    -         ?Glemsford (Suffolk) England_x000D_
.died: 1548    -          Glemsford (Suffolk) England, age:73y 0m 0d, _x000D_
.bapt: 1785GE_x000D_
.will: 2004MO_x000D_
.obit: 1890OH_x000D_
.bury: 1850IL _x000D_
.wpbt: 1826PA_x000D_
.anc#: quintuple ancestor_x000D_
citiz:foreign_x000D_
#spos:1_x000D_
#srcs:2_x000D_
#comment:0_x000D_
#events:3_x000D_
#kids:5_x000D_
lived:?ENSUFFOGLEMSFO_x000D_
issue:_x000D_
.recs:Birth,Marriage,Will Written,Death_x000D_
.imm?:no_x000D_
..Spo:JOHANE STRUTT</t>
        </r>
      </text>
    </comment>
    <comment ref="T4506" authorId="0" shapeId="0" xr:uid="{5AA4E01C-AE69-464B-B150-2631275971B7}">
      <text>
        <r>
          <rPr>
            <sz val="9"/>
            <color indexed="81"/>
            <rFont val="Tahoma"/>
            <family val="2"/>
          </rPr>
          <t>ISABELLE ELIZABETH GOLDING_x000D_
http://yeinfo.com/family/I09065806.html_x000D_
https://www.google.com/search?q=ISABELLE+ELIZABETH+GOLDING+1450+1526+STRUTT_x000D_
.born:?1450    -          England_x000D_
.died: 1526    -         ?Glemsford (Suffolk) England, age:76y 0m 0d, _x000D_
.bapt: 1785GE_x000D_
.will: 2004MO_x000D_
.obit: 1890OH_x000D_
.bury: 1850IL _x000D_
.wpbt: 1826PA_x000D_
.anc#: quintuple ancestor_x000D_
citiz:foreign_x000D_
#spos:1_x000D_
#srcs:1_x000D_
#comment:0_x000D_
#events:1_x000D_
#kids:7_x000D_
lived:?ENSUFFOGLEMSFO,EN_x000D_
issue:_x000D_
.recs:Birth,Marriage,Death_x000D_
.imm?:no_x000D_
..Spo:JOHN STRUTT</t>
        </r>
      </text>
    </comment>
    <comment ref="R4508" authorId="0" shapeId="0" xr:uid="{5332F9D0-FB96-4C1F-A0C0-ED9F82F781D7}">
      <text>
        <r>
          <rPr>
            <sz val="9"/>
            <color indexed="81"/>
            <rFont val="Tahoma"/>
            <family val="2"/>
          </rPr>
          <t>JOHN STRUTT_x000D_
http://yeinfo.com/family/I09065541.html_x000D_
https://www.google.com/search?q=JOHN+STRUTT+1502+1591+CATHERINE\JOHANNA+Scott_x000D_
.born:?1502    -         ?Glemsford (Suffolk) England_x000D_
.died: 1591    -         ?Glemsford (Suffolk) England, age:89y 0m 0d, _x000D_
.bapt: 1785GE_x000D_
.will: 2004MO_x000D_
.obit: 1890OH_x000D_
.bury: 1850IL _x000D_
.wpbt: 1826PA_x000D_
.anc#: quintuple ancestor_x000D_
citiz:foreign_x000D_
#spos:2_x000D_
#srcs:2_x000D_
#comment:0_x000D_
#events:5_x000D_
#kids:5_x000D_
lived:?ENSUFFOGLEMSFO,ENSUFFOSUDBURY_x000D_
issue:_x000D_
.recs:Birth,Marriage,Death_x000D_
.imm?:no_x000D_
..Spo:CATHERINE\JOHANNA SCOTT</t>
        </r>
      </text>
    </comment>
    <comment ref="S4510" authorId="0" shapeId="0" xr:uid="{83DC22EA-5713-4498-912F-DC72CC80874C}">
      <text>
        <r>
          <rPr>
            <sz val="9"/>
            <color indexed="81"/>
            <rFont val="Tahoma"/>
            <family val="2"/>
          </rPr>
          <t>Mrs. JOHANE STRUTT_x000D_
http://yeinfo.com/family/I09065680.html_x000D_
https://www.google.com/search?q=JOHANE+STRUTT+1480+1510+STRUTT_x000D_
.born:?1480    -         ?Glemsford (Suffolk) England_x000D_
.died: 1510    -1570     ?Glemsford (Suffolk) England, age:30y 0m 0d, _x000D_
.bapt: 1785GE_x000D_
.will: 2004MO_x000D_
.obit: 1890OH_x000D_
.bury: 1850IL _x000D_
.wpbt: 1826PA_x000D_
.anc#: quintuple ancestor_x000D_
citiz:foreign_x000D_
#spos:1_x000D_
#srcs:1_x000D_
#comment:0_x000D_
#events:1_x000D_
#kids:5_x000D_
lived:?ENSUFFOGLEMSFO_x000D_
issue:_x000D_
.recs:Birth,Marriage,Death_x000D_
.imm?:no_x000D_
..Spo:THOMAS STRUTT</t>
        </r>
      </text>
    </comment>
    <comment ref="Q4512" authorId="0" shapeId="0" xr:uid="{586698F1-EAC1-4E59-BA3E-B519E5F3EA60}">
      <text>
        <r>
          <rPr>
            <sz val="9"/>
            <color indexed="81"/>
            <rFont val="Tahoma"/>
            <family val="2"/>
          </rPr>
          <t>JOANNA STRUTT_x000D_
http://yeinfo.com/family/I09043583.html_x000D_
https://www.google.com/search?q=JOANNA+STRUTT+1538+1577+BELGRAVE_x000D_
.born:?1538    -          Glemsford (Suffolk) England_x000D_
.died: 1577    -          England, age:39y 0m 0d, _x000D_
.bapt: 1785GE_x000D_
.will: 2004MO_x000D_
.obit: 1890OH_x000D_
.bury: 1850IL _x000D_
.wpbt: 1826PA_x000D_
.anc#: quintuple ancestor_x000D_
citiz:foreign_x000D_
#spos:1_x000D_
#srcs:2_x000D_
#comment:1_x000D_
#events:2_x000D_
#kids:8_x000D_
lived:ENCAMBSLEVERIN,ENSUFFOGLEMSFO_x000D_
issue:_x000D_
.recs:Birth,Marriage,Death_x000D_
.imm?:no_x000D_
..Spo:JOHN BELGRAVE</t>
        </r>
      </text>
    </comment>
    <comment ref="R4514" authorId="0" shapeId="0" xr:uid="{315BF9C9-4B45-4AEF-8809-8A08B9520CA0}">
      <text>
        <r>
          <rPr>
            <sz val="9"/>
            <color indexed="81"/>
            <rFont val="Tahoma"/>
            <family val="2"/>
          </rPr>
          <t>CATHERINE\JOHANNA SCOTT_x000D_
http://yeinfo.com/family/I09065542.html_x000D_
https://www.google.com/search?q=CATHERINE\JOHANNA+SCOTT+1510+1578+STRUTT_x000D_
.born:?1510    -         ?Glemsford (Suffolk) England_x000D_
.died: 157808  -         ?Glemsford (Suffolk) England, age:68y 7m 0d, _x000D_
.bapt: 1785GE_x000D_
.will: 2004MO_x000D_
.obit: 1890OH_x000D_
.bury: 1850IL _x000D_
.wpbt: 1826PA_x000D_
.anc#: quintuple ancestor_x000D_
citiz:foreign_x000D_
#spos:1_x000D_
#srcs:1_x000D_
#comment:0_x000D_
#events:2_x000D_
#kids:5_x000D_
lived:?ENSUFFOGLEMSFO_x000D_
issue:_x000D_
.recs:Birth,Marriage,Death_x000D_
.imm?:no_x000D_
..Spo:JOHN STRUTT</t>
        </r>
      </text>
    </comment>
    <comment ref="J4516" authorId="0" shapeId="0" xr:uid="{20944C8B-4A20-48B8-A84E-F8AFC5EF8ECD}">
      <text>
        <r>
          <rPr>
            <sz val="9"/>
            <color indexed="81"/>
            <rFont val="Tahoma"/>
            <family val="2"/>
          </rPr>
          <t>SAMUEL BLOSS Jr._x000D_
http://yeinfo.com/family/I09000340.html_x000D_
https://www.google.com/search?q=SAMUEL+BLOSS+1731+1785+MARY_x000D_
.born: 17310407-          Killingly (Windham) Connecticut_x000D_
.died: 17850217-          Windham county Connecticut, age:53y 10m 10d, _x000D_
.bapt: 1785GE_x000D_
.will: 2004MO_x000D_
.obit: 1890OH_x000D_
.bury: 1850IL _x000D_
.wpbt: 1826PA_x000D_
.anc#:ancestor_x000D_
citiz:US born_x000D_
#spos:1_x000D_
#srcs:3_x000D_
#comment:2_x000D_
#events:14_x000D_
#kids:6_x000D_
lived:CTNEW LLEBANON,CTWINDHKILLING,NYONEIDVIENNA,VTWASHIPLAINFI_x000D_
issue:_x000D_
.recs:Birth,Baptism,Marriage,Death_x000D_
.imm?:no_x000D_
..Spo:MARY WINTER</t>
        </r>
      </text>
    </comment>
    <comment ref="N4518" authorId="0" shapeId="0" xr:uid="{891A7918-DD01-4DB4-BE0A-0B5D63BBB508}">
      <text>
        <r>
          <rPr>
            <sz val="9"/>
            <color indexed="81"/>
            <rFont val="Tahoma"/>
            <family val="2"/>
          </rPr>
          <t>RICHARD BARKER_x000D_
http://yeinfo.com/family/I09005448.html_x000D_
https://www.google.com/search?q=RICHARD+BARKER+1621+1693+JOANNA_x000D_
.born:?1621    -          England_x000D_
.died: 16930318-          Andover (Essex) Massachusetts, age:72y 2m 17d, _x000D_
.bapt: 1785GE_x000D_
.will: 2004MO_x000D_
.obit: 1890OH_x000D_
.bury: 1850IL _x000D_
.wpbt: 1826PA_x000D_
.anc#:ancestor_x000D_
citiz:immigrant_x000D_
#spos:1_x000D_
#srcs:1_x000D_
#comment:0_x000D_
#events:2_x000D_
#kids:1_x000D_
lived:?MAESSEXANDOVER,EN_x000D_
issue:_x000D_
.recs:Birth,Death,Immigrate_x000D_
.imm?:immigrant_x000D_
..Spo:JOANNA BARKER</t>
        </r>
      </text>
    </comment>
    <comment ref="M4520" authorId="0" shapeId="0" xr:uid="{C38D9524-8F2C-4513-8B13-2B327D106B4E}">
      <text>
        <r>
          <rPr>
            <sz val="9"/>
            <color indexed="81"/>
            <rFont val="Tahoma"/>
            <family val="2"/>
          </rPr>
          <t>EBENEZER BARKER_x000D_
http://yeinfo.com/family/I09002724.html_x000D_
https://www.google.com/search?q=EBENEZER+BARKER+1651+1746+ABIGAIL_x000D_
.born: 16510322-          Andover (Essex) Massachusetts_x000D_
.died: 17460122-          Andover (Essex) Massachusetts, age:94y 10m 0d, _x000D_
.bapt: 1785GE_x000D_
.will: 2004MO_x000D_
.obit: 1890OH_x000D_
.bury: 1850IL _x000D_
.wpbt: 1826PA_x000D_
.anc#:ancestor_x000D_
citiz:US born_x000D_
#spos:1_x000D_
#srcs:1_x000D_
#comment:0_x000D_
#events:2_x000D_
#kids:1_x000D_
lived:MAESSEXANDOVER_x000D_
issue:_x000D_
.recs:Birth,Marriage,Death_x000D_
.imm?:no_x000D_
..Spo:ABIGAIL WHEELER</t>
        </r>
      </text>
    </comment>
    <comment ref="N4522" authorId="0" shapeId="0" xr:uid="{BF74656A-56B1-4AD4-A1E8-BC41DD2D3DAB}">
      <text>
        <r>
          <rPr>
            <sz val="9"/>
            <color indexed="81"/>
            <rFont val="Tahoma"/>
            <family val="2"/>
          </rPr>
          <t>Mrs. JOANNA BARKER_x000D_
http://yeinfo.com/family/I09005449.html_x000D_
https://www.google.com/search?q=JOANNA+BARKER+1623+1687+BARKER_x000D_
.born:?1623    -         ?England_x000D_
.died: 16870411-          Andover (Essex) Massachusetts, age:64y 3m 10d, _x000D_
.bapt: 1785GE_x000D_
.will: 2004MO_x000D_
.obit: 1890OH_x000D_
.bury: 1850IL _x000D_
.wpbt: 1826PA_x000D_
.anc#:ancestor_x000D_
citiz:immigrant_x000D_
#spos:1_x000D_
#srcs:1_x000D_
#comment:0_x000D_
#events:2_x000D_
#kids:1_x000D_
lived:?EN,MAESSEXANDOVER_x000D_
issue:_x000D_
.recs:Birth,Marriage,Death_x000D_
.imm?:immigrant_x000D_
..Spo:RICHARD BARKER</t>
        </r>
      </text>
    </comment>
    <comment ref="L4524" authorId="0" shapeId="0" xr:uid="{C02EBE25-B061-4EF0-8802-B0D6952E8768}">
      <text>
        <r>
          <rPr>
            <sz val="9"/>
            <color indexed="81"/>
            <rFont val="Tahoma"/>
            <family val="2"/>
          </rPr>
          <t>NATHAN BARKER_x000D_
http://yeinfo.com/family/I09001362.html_x000D_
https://www.google.com/search?q=NATHAN+BARKER+1688+1714+BETHIA_x000D_
.born: 16880924-          Andover (Essex) Massachusetts_x000D_
.died: 1714    -1779      Andover (Essex) Massachusetts, age:25y 3m 8d, _x000D_
.bapt: 1785GE_x000D_
.will: 2004MO_x000D_
.obit: 1890OH_x000D_
.bury: 1850IL _x000D_
.wpbt: 1826PA_x000D_
.anc#:ancestor_x000D_
citiz:US born_x000D_
#spos:1_x000D_
#srcs:1_x000D_
#comment:1_x000D_
#events:1_x000D_
#kids:1_x000D_
lived:MAESSEXANDOVER_x000D_
issue:_x000D_
.recs:Birth,Marriage,Death_x000D_
.imm?:no_x000D_
..Spo:BETHIA BODWEL</t>
        </r>
      </text>
    </comment>
    <comment ref="N4526" authorId="0" shapeId="0" xr:uid="{9674C32D-C1F8-4EC2-9FE2-6508D680D8E4}">
      <text>
        <r>
          <rPr>
            <sz val="9"/>
            <color indexed="81"/>
            <rFont val="Tahoma"/>
            <family val="2"/>
          </rPr>
          <t>HENRY WHEELER Sr._x000D_
http://yeinfo.com/family/I09005450.html_x000D_
https://www.google.com/search?q=HENRY+WHEELER+1634+1686+ABIGAIL_x000D_
.born: 16340208-          Salisbury (Wiltshire) England_x000D_
.died: 16860618-          Salisbury (Essex) Massachusetts, age:52y 4m 10d, _x000D_
.bapt: 1785GE_x000D_
.will: 2004MO_x000D_
.obit: 1890OH_x000D_
.bury: 1850IL _x000D_
.wpbt: 1826PA_x000D_
.anc#:ancestor_x000D_
citiz:immigrant_x000D_
#spos:1_x000D_
#srcs:1_x000D_
#comment:1_x000D_
#events:3_x000D_
#kids:1_x000D_
lived:ENSHAMP,ENWILTSSALISBU,MAESSEXSALISBU_x000D_
issue:_x000D_
.recs:Birth,Baptism,Death,Immigrate_x000D_
.imm?:immigrant_x000D_
..Spo:ABIGAIL ALLEN</t>
        </r>
      </text>
    </comment>
    <comment ref="M4528" authorId="0" shapeId="0" xr:uid="{C4B59147-7906-44D0-8A72-5716576308B7}">
      <text>
        <r>
          <rPr>
            <sz val="9"/>
            <color indexed="81"/>
            <rFont val="Tahoma"/>
            <family val="2"/>
          </rPr>
          <t>ABIGAIL WHEELER_x000D_
http://yeinfo.com/family/I09002725.html_x000D_
https://www.google.com/search?q=ABIGAIL+WHEELER+1660+1743+BARKER_x000D_
.born: 16600107-          Salisbury (Norfolk) Massachusetts_x000D_
.died: 17431014-          Andover (Essex) Massachusetts, age:83y 9m 7d, _x000D_
.bapt: 1785GE_x000D_
.will: 2004MO_x000D_
.obit: 1890OH_x000D_
.bury: 1850IL _x000D_
.wpbt: 1826PA_x000D_
.anc#:ancestor_x000D_
citiz:US born_x000D_
#spos:1_x000D_
#srcs:1_x000D_
#comment:1_x000D_
#events:7_x000D_
#kids:1_x000D_
lived:MAESSEXANDOVER,MAESSEXSALEM,MANORFOSALISBU_x000D_
issue:Will Written after Death_x000D_
.recs:Birth,Marriage,Will Written,Death,Gov't Court_x000D_
.imm?:no_x000D_
..Spo:EBENEZER BARKER</t>
        </r>
      </text>
    </comment>
    <comment ref="O4530" authorId="0" shapeId="0" xr:uid="{DCF7A6E1-2988-4FEB-BD63-A07F910B7756}">
      <text>
        <r>
          <rPr>
            <sz val="9"/>
            <color indexed="81"/>
            <rFont val="Tahoma"/>
            <family val="2"/>
          </rPr>
          <t>WILLIAM ALLEN_x000D_
http://yeinfo.com/family/I09010902.html_x000D_
https://www.google.com/search?q=WILLIAM+ALLEN+1618+1686+ANN_x000D_
.born:?1618    -          England_x000D_
.died: 16860618-          Salisbury (Essex) Massachusetts, age:68y 5m 17d, _x000D_
.bapt: 1785GE_x000D_
.will: 2004MO_x000D_
.obit: 1890OH_x000D_
.bury: 1850IL _x000D_
.wpbt: 1826PA_x000D_
.anc#:ancestor_x000D_
citiz:immigrant_x000D_
#spos:1_x000D_
#srcs:1_x000D_
#comment:0_x000D_
#events:2_x000D_
#kids:1_x000D_
lived:EN,MAESSEXSALISBU_x000D_
issue:_x000D_
.recs:Birth,Marriage,Death_x000D_
.imm?:immigrant_x000D_
..Spo:ANN GOODALE</t>
        </r>
      </text>
    </comment>
    <comment ref="N4532" authorId="0" shapeId="0" xr:uid="{3D09C3DD-10F4-4338-84DA-2A2C9F3297F8}">
      <text>
        <r>
          <rPr>
            <sz val="9"/>
            <color indexed="81"/>
            <rFont val="Tahoma"/>
            <family val="2"/>
          </rPr>
          <t>ABIGAIL ALLEN_x000D_
http://yeinfo.com/family/I09005451.html_x000D_
https://www.google.com/search?q=ABIGAIL+ALLEN+1640+1660+WHEELER_x000D_
.born: 16400104-          Salisbury (Essex) Massachusetts_x000D_
.died: 1660    -1725     ?Essex county Massachusetts, age:19y 11m 28d, _x000D_
.bapt: 1785GE_x000D_
.will: 2004MO_x000D_
.obit: 1890OH_x000D_
.bury: 1850IL _x000D_
.wpbt: 1826PA_x000D_
.anc#:ancestor_x000D_
citiz:US born_x000D_
#spos:1_x000D_
#srcs:1_x000D_
#comment:0_x000D_
#events:1_x000D_
#kids:1_x000D_
lived:MAESSEXSALISBU_x000D_
issue:_x000D_
.recs:Birth,Marriage,Death_x000D_
.imm?:no_x000D_
..Spo:HENRY WHEELER</t>
        </r>
      </text>
    </comment>
    <comment ref="O4534" authorId="0" shapeId="0" xr:uid="{11D44D8E-8AB1-44A8-A7EB-9AFC5E6EB768}">
      <text>
        <r>
          <rPr>
            <sz val="9"/>
            <color indexed="81"/>
            <rFont val="Tahoma"/>
            <family val="2"/>
          </rPr>
          <t>ANN GOODALE_x000D_
http://yeinfo.com/family/I09010903.html_x000D_
https://www.google.com/search?q=ANN+GOODALE+1622+1678+ALLEN_x000D_
.born:?1622    -          England_x000D_
.died: 16780531-          Salisbury (Essex) Massachusetts, age:56y 4m 30d, _x000D_
.bapt: 1785GE_x000D_
.will: 2004MO_x000D_
.obit: 1890OH_x000D_
.bury: 1850IL _x000D_
.wpbt: 1826PA_x000D_
.anc#:ancestor_x000D_
citiz:immigrant_x000D_
#spos:1_x000D_
#srcs:1_x000D_
#comment:1_x000D_
#events:1_x000D_
#kids:1_x000D_
lived:EN,MAESSEXSALISBU_x000D_
issue:_x000D_
.recs:Birth,Marriage,Death_x000D_
.imm?:immigrant_x000D_
..Spo:WILLIAM ALLEN</t>
        </r>
      </text>
    </comment>
    <comment ref="K4536" authorId="0" shapeId="0" xr:uid="{78994B80-B39E-4EF4-8E5A-316F6979BEDE}">
      <text>
        <r>
          <rPr>
            <sz val="9"/>
            <color indexed="81"/>
            <rFont val="Tahoma"/>
            <family val="2"/>
          </rPr>
          <t>MARTHA BARKER_x000D_
http://yeinfo.com/family/I09000681.html_x000D_
https://www.google.com/search?q=MARTHA+BARKER+1714+1761+Barker+SAMUEL_x000D_
.born:?1714    -          Andover (Essex) Massachusetts_x000D_
.died:?17610311-         ?Windham county Connecticut, age:47y 2m 10d, _x000D_
.bapt: 1785GE_x000D_
.will: 2004MO_x000D_
.obit: 1890OH_x000D_
.bury: 1850IL _x000D_
.wpbt: 1826PA_x000D_
.anc#:ancestor_x000D_
citiz:US born_x000D_
#spos:2_x000D_
#srcs:12_x000D_
#comment:3_x000D_
#events:3_x000D_
#kids:10_x000D_
lived:?CTWINDHKILLING,MAESSEXANDOVER_x000D_
issue:Died after Age 100_x000D_
.recs:Birth,Marriage,Death_x000D_
.imm?:no_x000D_
..Spo:? Barker</t>
        </r>
      </text>
    </comment>
    <comment ref="N4538" authorId="0" shapeId="0" xr:uid="{0C5B3A13-1BAD-4C0F-A297-95E4FCE5E61E}">
      <text>
        <r>
          <rPr>
            <sz val="9"/>
            <color indexed="81"/>
            <rFont val="Tahoma"/>
            <family val="2"/>
          </rPr>
          <t>HENRY BODWELL Sr._x000D_
http://yeinfo.com/family/I09005452.html_x000D_
https://www.google.com/search?q=HENRY+BODWELL+1615+1651+MARY_x000D_
.born:?1615    -          Wales_x000D_
.died: 1651    -1700     ?England, age:36y 0m 0d, _x000D_
.bapt: 1785GE_x000D_
.will: 2004MO_x000D_
.obit: 1890OH_x000D_
.bury: 1850IL _x000D_
.wpbt: 1826PA_x000D_
.anc#:ancestor_x000D_
citiz:foreign_x000D_
#spos:1_x000D_
#srcs:1_x000D_
#comment:0_x000D_
#events:1_x000D_
#kids:1_x000D_
lived:?EN,WL_x000D_
issue:_x000D_
.recs:Birth,Marriage,Death_x000D_
.imm?:no_x000D_
..Spo:MARY BODWELL</t>
        </r>
      </text>
    </comment>
    <comment ref="M4540" authorId="0" shapeId="0" xr:uid="{6869076E-CAEF-43A0-ADC5-D94FFC2C13EF}">
      <text>
        <r>
          <rPr>
            <sz val="9"/>
            <color indexed="81"/>
            <rFont val="Tahoma"/>
            <family val="2"/>
          </rPr>
          <t>HENRY BODWELL II_x000D_
http://yeinfo.com/family/I09002726.html_x000D_
https://www.google.com/search?q=HENRY+BODWELL+1651+1745+BETHIA_x000D_
.born: 16510117-          London (Middlesex) England_x000D_
.died: 17450601-          Methuen (Essex) Massachusetts, age:94y 4m 15d, _x000D_
.bapt: 1785GE_x000D_
.will: 2004MO_x000D_
.obit: 1890OH_x000D_
.bury: 1850IL Meeting House Hill Cemetery_x000D_
.wpbt: 1826PA_x000D_
.anc#:ancestor_x000D_
citiz:immigrant_x000D_
#spos:1_x000D_
#srcs:1_x000D_
#comment:0_x000D_
#events:5_x000D_
#kids:1_x000D_
lived:ENMIDDLLONDON,MAESSEXMETHUEN,MAESSEXNEWBURY,MAFRKLNDEERFIE_x000D_
issue:_x000D_
.recs:Birth,Baptism,Military,Marriage,Death,Interment/Burial,Freeman_x000D_
.imm?:immigrant_x000D_
..Spo:BETHIA EMERY</t>
        </r>
      </text>
    </comment>
    <comment ref="N4542" authorId="0" shapeId="0" xr:uid="{99B20BBF-9F6C-4B91-8D86-9896A30BBCD1}">
      <text>
        <r>
          <rPr>
            <sz val="9"/>
            <color indexed="81"/>
            <rFont val="Tahoma"/>
            <family val="2"/>
          </rPr>
          <t>Mrs. MARY BODWELL_x000D_
http://yeinfo.com/family/I09005453.html_x000D_
https://www.google.com/search?q=MARY+BODWELL+1620+1651+BODWELL_x000D_
.born:?1620    -         ?England_x000D_
.died: 1651    -1710     ?England, age:31y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..Spo:HENRY BODWELL</t>
        </r>
      </text>
    </comment>
    <comment ref="L4544" authorId="0" shapeId="0" xr:uid="{1CEA49A3-CDD6-4E2F-8706-68800B3B5783}">
      <text>
        <r>
          <rPr>
            <sz val="9"/>
            <color indexed="81"/>
            <rFont val="Tahoma"/>
            <family val="2"/>
          </rPr>
          <t>BETHIA BODWEL_x000D_
http://yeinfo.com/family/I09001363.html_x000D_
https://www.google.com/search?q=BETHIA+BODWEL+1682+1760+BARKER_x000D_
.born: 16820602-          Newbury (Essex) Massachusetts_x000D_
.died: 17600424-          Boxboro (Middlesex) Massachusetts, age:77y 10m 22d, _x000D_
.bapt: 1785GE_x000D_
.will: 2004MO_x000D_
.obit: 1890OH_x000D_
.bury: 1850IL _x000D_
.wpbt: 1826PA_x000D_
.anc#:ancestor_x000D_
citiz:US born_x000D_
#spos:1_x000D_
#srcs:1_x000D_
#comment:1_x000D_
#events:1_x000D_
#kids:1_x000D_
lived:MAESSEXANDOVER,MAESSEXNEWBURY,MAMIDDLBOXBORO_x000D_
issue:_x000D_
.recs:Birth,Marriage,Death_x000D_
.imm?:no_x000D_
..Spo:NATHAN BARKER</t>
        </r>
      </text>
    </comment>
    <comment ref="N4546" authorId="0" shapeId="0" xr:uid="{B027FC2D-6EF3-4BA1-9421-25F793910608}">
      <text>
        <r>
          <rPr>
            <sz val="9"/>
            <color indexed="81"/>
            <rFont val="Tahoma"/>
            <family val="2"/>
          </rPr>
          <t>JOHN EMERY_x000D_
http://yeinfo.com/family/I09005454.html_x000D_
https://www.google.com/search?q=JOHN+EMERY+1629+1693+MARY_x000D_
.born:?1629    -         ?Romsey (Hampshire) England_x000D_
.died: 16930803-16930926  Newbury (Essex) Massachusetts, age:64y 7m 2d, _x000D_
.bapt: 1785GE_x000D_
.will: 2004MO_x000D_
.obit: 1890OH_x000D_
.bury: 1850IL _x000D_
.wpbt: 1826PA_x000D_
.anc#:ancestor_x000D_
citiz:immigrant_x000D_
#spos:1_x000D_
#srcs:1_x000D_
#comment:1_x000D_
#events:7_x000D_
#kids:1_x000D_
lived:?ENHAMPSROMSEY,EN,MAESSEXNEWBURY_x000D_
issue:_x000D_
.recs:Birth,Baptism,Military,Will Written,Death,Immigrate_x000D_
.imm?:immigrant_x000D_
..Spo:MARY WEBSTER</t>
        </r>
      </text>
    </comment>
    <comment ref="M4548" authorId="0" shapeId="0" xr:uid="{C3B8BD07-F76B-4FFA-9DFF-7A36C43F950D}">
      <text>
        <r>
          <rPr>
            <sz val="9"/>
            <color indexed="81"/>
            <rFont val="Tahoma"/>
            <family val="2"/>
          </rPr>
          <t>BETHIA EMERY_x000D_
http://yeinfo.com/family/I09002727.html_x000D_
https://www.google.com/search?q=BETHIA+EMERY+1658+1743+BODWELL_x000D_
.born: 16581015-          Newbury (Essex) Massachusetts_x000D_
.died: 17430105-          Newbury (Essex) Massachusetts, age:84y 2m 21d, _x000D_
.bapt: 1785GE_x000D_
.will: 2004MO_x000D_
.obit: 1890OH_x000D_
.bury: 1850IL _x000D_
.wpbt: 1826PA_x000D_
.anc#:ancestor_x000D_
citiz:US born_x000D_
#spos:1_x000D_
#srcs:1_x000D_
#comment:0_x000D_
#events:1_x000D_
#kids:1_x000D_
lived:MAESSEXNEWBURY_x000D_
issue:_x000D_
.recs:Birth,Marriage,Death_x000D_
.imm?:no_x000D_
..Spo:HENRY BODWELL</t>
        </r>
      </text>
    </comment>
    <comment ref="N4550" authorId="0" shapeId="0" xr:uid="{18FFAF9D-9DDB-4F5B-B2AD-27040AD39012}">
      <text>
        <r>
          <rPr>
            <sz val="9"/>
            <color indexed="81"/>
            <rFont val="Tahoma"/>
            <family val="2"/>
          </rPr>
          <t>MARY WEBSTER_x000D_
http://yeinfo.com/family/I09005455.html_x000D_
https://www.google.com/search?q=MARY+WEBSTER+1630+1709+EMERY_x000D_
.born:?1630    -          England_x000D_
.died: 17090203-          Newbury (Essex) Massachusetts, age:79y 1m 2d, _x000D_
.bapt: 1785GE_x000D_
.will: 2004MO_x000D_
.obit: 1890OH_x000D_
.bury: 1850IL _x000D_
.wpbt: 1826PA_x000D_
.anc#:ancestor_x000D_
citiz:immigrant_x000D_
#spos:1_x000D_
#srcs:1_x000D_
#comment:1_x000D_
#events:1_x000D_
#kids:1_x000D_
lived:EN,MAESSEXNEWBURY_x000D_
issue:_x000D_
.recs:Birth,Marriage,Death_x000D_
.imm?:immigrant_x000D_
..Spo:JOHN EMERY</t>
        </r>
      </text>
    </comment>
    <comment ref="I4552" authorId="0" shapeId="0" xr:uid="{A2029811-CE0D-4FC8-9EE9-9F249371CEB5}">
      <text>
        <r>
          <rPr>
            <sz val="9"/>
            <color indexed="81"/>
            <rFont val="Tahoma"/>
            <family val="2"/>
          </rPr>
          <t>DORMAN BLOSS_x000D_
http://yeinfo.com/family/I09000170.html_x000D_
https://www.google.com/search?q=DORMAN+BLOSS+1771+1823+LUANIE+SCOTT_x000D_
.born:c177101  -          Killingly (Windham) Connecticut_x000D_
.died: 1823    -          Rockford (Jackson) Indiana, age:52y 0m 0d, _x000D_
.bapt: 1785GE_x000D_
.will: 2004MO_x000D_
.obit: 1890OH_x000D_
.bury: 1850IL _x000D_
.wpbt: 1826PA_x000D_
.anc#:ancestor_x000D_
citiz:US born_x000D_
#spos:2_x000D_
#srcs:3_x000D_
#comment:2_x000D_
#events:16_x000D_
#kids:11_x000D_
lived:CTWINDHKILLING,INBROWN,INJACKSBROWNST,INJACKSROCKFOR,NYONEID,PATIOGAMUNCY_x000D_
issue:_x000D_
.recs:Birth,Baptism,Marriage,Taxes,Death_x000D_
.imm?:no_x000D_
..Spo:LUANIE CUTLER</t>
        </r>
      </text>
    </comment>
    <comment ref="N4554" authorId="0" shapeId="0" xr:uid="{44A1F63D-5B7A-4ACA-8868-30CD53621FE2}">
      <text>
        <r>
          <rPr>
            <sz val="9"/>
            <color indexed="81"/>
            <rFont val="Tahoma"/>
            <family val="2"/>
          </rPr>
          <t>JOHN WINTER_x000D_
http://yeinfo.com/family/I09005456.html_x000D_
https://www.google.com/search?q=JOHN+WINTER+1605+1662+ANN_x000D_
.born:?1605    -          England_x000D_
.died: 16620414-         ?Waterton (Middlesex) Massachusetts, age:57y 3m 13d, _x000D_
.bapt: 1785GE_x000D_
.will: 2004MO_x000D_
.obit: 1890OH_x000D_
.bury: 1850IL _x000D_
.wpbt: 1826PA_x000D_
.anc#:ancestor_x000D_
citiz:immigrant_x000D_
#spos:1_x000D_
#srcs:11_x000D_
#comment:1_x000D_
#events:6_x000D_
#kids:4_x000D_
lived:EN,MAMIDDLWATERTO_x000D_
issue:_x000D_
.recs:Birth,Marriage,Job/Occupation,Will Written,Death_x000D_
.imm?:immigrant_x000D_
..Spo:ANN HARRINGTON</t>
        </r>
      </text>
    </comment>
    <comment ref="M4556" authorId="0" shapeId="0" xr:uid="{2A9A0F98-2B5D-408C-B102-2F379C58CC08}">
      <text>
        <r>
          <rPr>
            <sz val="9"/>
            <color indexed="81"/>
            <rFont val="Tahoma"/>
            <family val="2"/>
          </rPr>
          <t>JOHN WINTER Jr._x000D_
http://yeinfo.com/family/I09002728.html_x000D_
https://www.google.com/search?q=JOHN+WINTER+1634+1690+HANNAH_x000D_
.born: 1634    -          England_x000D_
.died: 16900118-          Lexington (Middlesex) Massachusetts, age:56y 0m 17d, _x000D_
.bapt: 1785GE_x000D_
.will: 2004MO_x000D_
.obit: 1890OH_x000D_
.bury: 1850IL _x000D_
.wpbt: 1826PA_x000D_
.anc#:ancestor_x000D_
citiz:immigrant_x000D_
#spos:1_x000D_
#srcs:8_x000D_
#comment:0_x000D_
#events:3_x000D_
#kids:9_x000D_
lived:?MAMIDDLLEXINGT,EN_x000D_
issue:_x000D_
.recs:Birth,Marriage,Will Written,Death_x000D_
.imm?:immigrant_x000D_
..Spo:HANNAH CUTLER</t>
        </r>
      </text>
    </comment>
    <comment ref="N4558" authorId="0" shapeId="0" xr:uid="{453F4A25-9A71-4AEE-9A13-DD81BC221DAE}">
      <text>
        <r>
          <rPr>
            <sz val="9"/>
            <color indexed="81"/>
            <rFont val="Tahoma"/>
            <family val="2"/>
          </rPr>
          <t>ANN HARRINGTON_x000D_
http://yeinfo.com/family/I09005457.html_x000D_
https://www.google.com/search?q=ANN+HARRINGTON+1605+1634+WINTER_x000D_
.born:?1605    -          England_x000D_
.died: 1634    -1695     ?Massachusetts, age:29y 0m 0d, _x000D_
.bapt: 1785GE_x000D_
.will: 2004MO_x000D_
.obit: 1890OH_x000D_
.bury: 1850IL _x000D_
.wpbt: 1826PA_x000D_
.anc#:ancestor_x000D_
citiz:immigrant_x000D_
#spos:1_x000D_
#srcs:2_x000D_
#comment:0_x000D_
#events:1_x000D_
#kids:4_x000D_
lived:?MA,EN_x000D_
issue:_x000D_
.recs:Birth,Marriage,Death_x000D_
.imm?:immigrant_x000D_
..Spo:JOHN WINTER</t>
        </r>
      </text>
    </comment>
    <comment ref="L4560" authorId="0" shapeId="0" xr:uid="{B42EFB5D-1C55-493B-8216-2D4549F5939E}">
      <text>
        <r>
          <rPr>
            <sz val="9"/>
            <color indexed="81"/>
            <rFont val="Tahoma"/>
            <family val="2"/>
          </rPr>
          <t>JOHN WINTER_x000D_
http://yeinfo.com/family/I09001364.html_x000D_
https://www.google.com/search?q=JOHN+WINTER+1667+1748+ABIGAIL_x000D_
.born: 1667    -          Lexington (Middlesex) Massachusetts_x000D_
.died: 17480625-          Killingly (Windham) Connecticut, age:81y 5m 24d, _x000D_
.bapt: 1785GE_x000D_
.will: 2004MO_x000D_
.obit: 1890OH_x000D_
.bury: 1850IL _x000D_
.wpbt: 1826PA_x000D_
.anc#:ancestor_x000D_
citiz:US born_x000D_
#spos:1_x000D_
#srcs:10_x000D_
#comment:0_x000D_
#events:2_x000D_
#kids:16_x000D_
lived:CTWINDHKILLING,MAMIDDLCAMBRID,MAMIDDLLEXINGT_x000D_
issue:_x000D_
.recs:Birth,Marriage,Death_x000D_
.imm?:no_x000D_
..Spo:ABIGAIL SMITH</t>
        </r>
      </text>
    </comment>
    <comment ref="N4562" authorId="0" shapeId="0" xr:uid="{02299927-45E2-4C1C-9EE6-5D609178CF99}">
      <text>
        <r>
          <rPr>
            <sz val="9"/>
            <color indexed="81"/>
            <rFont val="Tahoma"/>
            <family val="2"/>
          </rPr>
          <t>JAMES CUTLER_x000D_
http://yeinfo.com/family/I09005444.html_x000D_
https://www.google.com/search?q=JAMES+CUTLER+1606+1694+ANNA+BARNARD_x000D_
.born: 1606    -          Sprowston (Norfolk) England_x000D_
.died: 16940717-          , age:88y 6m 16d, _x000D_
.bapt: 1785GE_x000D_
.will: 2004MO_x000D_
.obit: 1890OH_x000D_
.bury: 1850IL _x000D_
.wpbt: 1826PA_x000D_
.anc#:  triple ancestor_x000D_
citiz:US born_x000D_
#spos:3_x000D_
#srcs:21_x000D_
#comment:0_x000D_
#events:17_x000D_
#kids:12_x000D_
lived:ENNORFOSPROWST,MAMIDDLLEXINGT,MAMIDDLWATERTO,MAWORCELANCAST_x000D_
issue:AncFlags between Spouses Mismatched_x000D_
.recs:Birth,Marriage,Will Written,Death,Land Transaction_x000D_
.imm?:no_x000D_
..Spo:ANNA CUTLER</t>
        </r>
      </text>
    </comment>
    <comment ref="M4564" authorId="0" shapeId="0" xr:uid="{66DE5B64-0F02-4C3F-9381-CB37076C3BD2}">
      <text>
        <r>
          <rPr>
            <sz val="9"/>
            <color indexed="81"/>
            <rFont val="Tahoma"/>
            <family val="2"/>
          </rPr>
          <t>HANNAH CUTLER_x000D_
http://yeinfo.com/family/I09002729.html_x000D_
https://www.google.com/search?q=HANNAH+CUTLER+1638+1692+WINTER+James_x000D_
.born: 16380726-          _x000D_
.died: 1692    -1728      Waterton (Middlesex) Massachusetts, age:53y 5m 6d, _x000D_
.bapt: 1785GE_x000D_
.will: 2004MO_x000D_
.obit: 1890OH_x000D_
.bury: 1850IL _x000D_
.wpbt: 1826PA_x000D_
.anc#:ancestor_x000D_
citiz:US born_x000D_
#spos:2_x000D_
#srcs:15_x000D_
#comment:0_x000D_
#events:2_x000D_
#kids:9_x000D_
lived:?MAMIDDLLEXINGT,MAMIDDLWATERTO_x000D_
issue:_x000D_
.recs:Birth,Marriage,Death_x000D_
.imm?:no_x000D_
..Spo:JOHN WINTER</t>
        </r>
      </text>
    </comment>
    <comment ref="N4566" authorId="0" shapeId="0" xr:uid="{63475C86-D2DB-472B-A92D-D45DE217E64C}">
      <text>
        <r>
          <rPr>
            <sz val="9"/>
            <color indexed="81"/>
            <rFont val="Tahoma"/>
            <family val="2"/>
          </rPr>
          <t>Mrs. ANNA CUTLER_x000D_
http://yeinfo.com/family/I09005445.html_x000D_
https://www.google.com/search?q=ANNA+CUTLER+1610+1644+CUTLER_x000D_
.born: 1610    -          _x000D_
.died: 16440930-          , age:34y 8m 29d, _x000D_
.bapt: 1785GE_x000D_
.will: 2004MO_x000D_
.obit: 1890OH_x000D_
.bury: 1850IL _x000D_
.wpbt: 1826PA_x000D_
.anc#:double ancestor_x000D_
citiz:US born_x000D_
#spos:1_x000D_
#srcs:12_x000D_
#comment:1_x000D_
#events:2_x000D_
#kids:4_x000D_
lived:?MAMIDDLWATERTO_x000D_
issue:_x000D_
.recs:Birth,Marriage,Death_x000D_
.imm?:no_x000D_
..Spo:JAMES CUTLER</t>
        </r>
      </text>
    </comment>
    <comment ref="K4568" authorId="0" shapeId="0" xr:uid="{E586BD25-C6BD-431D-9382-BF83613AD193}">
      <text>
        <r>
          <rPr>
            <sz val="9"/>
            <color indexed="81"/>
            <rFont val="Tahoma"/>
            <family val="2"/>
          </rPr>
          <t>JOHN WINTER_x000D_
http://yeinfo.com/family/I09000682.html_x000D_
https://www.google.com/search?q=JOHN+WINTER+1685+1757+MARY_x000D_
.born: 16850312-          Waterton (Middlesex) Massachusetts_x000D_
.died: 17570815-          Killingly (Windham) Connecticut, age:72y 5m 3d, _x000D_
.bapt: 1785GE_x000D_
.will: 2004MO_x000D_
.obit: 1890OH_x000D_
.bury: 1850IL _x000D_
.wpbt: 1826PA_x000D_
.anc#:ancestor_x000D_
citiz:US born_x000D_
#spos:1_x000D_
#srcs:4_x000D_
#comment:0_x000D_
#events:5_x000D_
#kids:10_x000D_
lived:CTWINDHKILLING,MAMIDDLLEXINGT,MAMIDDLWATERTO_x000D_
issue:Born before Parents Married_x000D_
.recs:Birth,Baptism,Marriage,Death_x000D_
.imm?:no_x000D_
..Spo:MARY BRYANT</t>
        </r>
      </text>
    </comment>
    <comment ref="L4570" authorId="0" shapeId="0" xr:uid="{97E4A3E0-BA94-47E8-B28C-A37CA2B3E5F5}">
      <text>
        <r>
          <rPr>
            <sz val="9"/>
            <color indexed="81"/>
            <rFont val="Tahoma"/>
            <family val="2"/>
          </rPr>
          <t>ABIGAIL SMITH_x000D_
http://yeinfo.com/family/I09001365.html_x000D_
https://www.google.com/search?q=ABIGAIL+SMITH+1670+1715+WINTER_x000D_
.born: 16700629-          Lexington (Middlesex) Massachusetts_x000D_
.died: 1715    -          Killingly (Windham) Connecticut, age:44y 6m 3d, _x000D_
.bapt: 1785GE_x000D_
.will: 2004MO_x000D_
.obit: 1890OH_x000D_
.bury: 1850IL _x000D_
.wpbt: 1826PA_x000D_
.anc#:ancestor_x000D_
citiz:US born_x000D_
#spos:1_x000D_
#srcs:3_x000D_
#comment:0_x000D_
#events:1_x000D_
#kids:16_x000D_
lived:CTWINDHKILLING,MAMIDDLLEXINGT_x000D_
issue:_x000D_
.recs:Birth,Marriage,Death_x000D_
.imm?:no_x000D_
..Spo:JOHN WINTER</t>
        </r>
      </text>
    </comment>
    <comment ref="J4572" authorId="0" shapeId="0" xr:uid="{2B7F4625-2E71-4F4F-81AF-1D4A494CDAE9}">
      <text>
        <r>
          <rPr>
            <sz val="9"/>
            <color indexed="81"/>
            <rFont val="Tahoma"/>
            <family val="2"/>
          </rPr>
          <t>MARY WINTER_x000D_
http://yeinfo.com/family/I09000341.html_x000D_
https://www.google.com/search?q=MARY+WINTER+1733+1788+BLOSS_x000D_
.born: 17330208-          Killingly (Windham) Connecticut_x000D_
.died:?17880118-         ?Killingly (Windham) Connecticut, age:54y 11m 10d, _x000D_
.bapt: 1785GE_x000D_
.will: 2004MO_x000D_
.obit: 1890OH_x000D_
.bury: 1850IL _x000D_
.wpbt: 1826PA_x000D_
.anc#:ancestor_x000D_
citiz:US born_x000D_
#spos:1_x000D_
#srcs:2_x000D_
#comment:1_x000D_
#events:2_x000D_
#kids:6_x000D_
lived:CTWINDHKILLING_x000D_
issue:_x000D_
.recs:Birth,Baptism,Marriage,Death_x000D_
.imm?:no_x000D_
..Spo:SAMUEL BLOSS</t>
        </r>
      </text>
    </comment>
    <comment ref="N4574" authorId="0" shapeId="0" xr:uid="{4603FD09-9357-430F-A25E-0DB3B6B5F4B8}">
      <text>
        <r>
          <rPr>
            <sz val="9"/>
            <color indexed="81"/>
            <rFont val="Tahoma"/>
            <family val="2"/>
          </rPr>
          <t>ISAAC BRYANT_x000D_
http://yeinfo.com/family/I09005464.html_x000D_
https://www.google.com/search?q=ISAAC+BRYANT+1620+1655+MARY_x000D_
.born:?1620    -         ?England_x000D_
.died: 1655    -1710      , age:35y 0m 0d, _x000D_
.bapt: 1785GE_x000D_
.will: 2004MO_x000D_
.obit: 1890OH_x000D_
.bury: 1850IL _x000D_
.wpbt: 1826PA_x000D_
.anc#:ancestor_x000D_
citiz:US born_x000D_
#spos:1_x000D_
#srcs:1_x000D_
#comment:0_x000D_
#events:2_x000D_
#kids:1_x000D_
lived:?EN,ENSOMESSHEPMAL_x000D_
issue:_x000D_
.recs:Birth,Baptism,Marriage,Death_x000D_
.imm?:no_x000D_
..Spo:MARY STEARNS</t>
        </r>
      </text>
    </comment>
    <comment ref="M4576" authorId="0" shapeId="0" xr:uid="{E1CD6537-78D8-4DED-B6DF-80015CAC82EC}">
      <text>
        <r>
          <rPr>
            <sz val="9"/>
            <color indexed="81"/>
            <rFont val="Tahoma"/>
            <family val="2"/>
          </rPr>
          <t>ISAAC BRYANT_x000D_
http://yeinfo.com/family/I09002732.html_x000D_
https://www.google.com/search?q=ISAAC+BRYANT+1644+1663+SARAH_x000D_
.born: 1644    -          Chelmsford (Middlesex) Massachusetts_x000D_
.died: 1663    -1740      , age:19y 0m 0d, _x000D_
.bapt: 1785GE_x000D_
.will: 2004MO_x000D_
.obit: 1890OH_x000D_
.bury: 1850IL _x000D_
.wpbt: 1826PA_x000D_
.anc#:ancestor_x000D_
citiz:US born_x000D_
#spos:1_x000D_
#srcs:2_x000D_
#comment:0_x000D_
#events:1_x000D_
#kids:1_x000D_
lived:MAMIDDLCHELMSF,MAMIDDLWATERTO_x000D_
issue:Died before Birth_x000D_
.recs:Birth,Marriage,Death_x000D_
.imm?:no_x000D_
..Spo:SARAH BIGELOW</t>
        </r>
      </text>
    </comment>
    <comment ref="P4578" authorId="0" shapeId="0" xr:uid="{04F95148-C6EF-4E52-A3D1-66AD6CE3E6AB}">
      <text>
        <r>
          <rPr>
            <sz val="9"/>
            <color indexed="81"/>
            <rFont val="Tahoma"/>
            <family val="2"/>
          </rPr>
          <t>THOMAS STEARNS_x000D_
http://yeinfo.com/family/I09021860.html_x000D_
https://www.google.com/search?q=THOMAS+STEARNS+1553+1599+{_?_}_x000D_
.born:c1553    -          Raydon (Suffolk) England_x000D_
.died: 159905  -          Fordham (Essex) England, age:46y 4m 0d, _x000D_
.bapt: 1785GE_x000D_
.will: 2004MO_x000D_
.obit: 1890OH_x000D_
.bury: 1850IL _x000D_
.wpbt: 1826PA_x000D_
.anc#:ancestor_x000D_
citiz:foreign_x000D_
#spos:1_x000D_
#srcs:3_x000D_
#comment:0_x000D_
#events:2_x000D_
#kids:1_x000D_
lived:ENESSEXFORDHAM,ENSUFFORAYDON_x000D_
issue:_x000D_
.recs:Birth,Marriage,Death_x000D_
.imm?:no_x000D_
..Spo:{_?_} STEARNS</t>
        </r>
      </text>
    </comment>
    <comment ref="O4580" authorId="0" shapeId="0" xr:uid="{5839B172-7C6E-43BF-A751-597C528A5C7C}">
      <text>
        <r>
          <rPr>
            <sz val="9"/>
            <color indexed="81"/>
            <rFont val="Tahoma"/>
            <family val="2"/>
          </rPr>
          <t>ISAAC STEARNS_x000D_
http://yeinfo.com/family/I09010930.html_x000D_
https://www.google.com/search?q=ISAAC+STEARNS+1595+1671+MARY_x000D_
.born:c159509  -          Fordham (Essex) England_x000D_
.died: 16710619-          Waterton (Middlesex) Massachusetts, age:75y 9m 18d, _x000D_
.bapt: 1785GE_x000D_
.will: 2004MO_x000D_
.obit: 1890OH_x000D_
.bury: 1850IL _x000D_
.wpbt: 1826PA_x000D_
.anc#:ancestor_x000D_
citiz:immigrant_x000D_
#spos:1_x000D_
#srcs:3_x000D_
#comment:0_x000D_
#events:3_x000D_
#kids:1_x000D_
lived:ENESSEXFORDHAM,ENSUFFONAYLAND,MAMIDDLWATERTO_x000D_
issue:_x000D_
.recs:Birth,Baptism,Marriage,Will Written,Death_x000D_
.imm?:immigrant_x000D_
..Spo:MARY BARKER</t>
        </r>
      </text>
    </comment>
    <comment ref="P4582" authorId="0" shapeId="0" xr:uid="{0A06ECB5-EA6C-4CF3-99B6-36664F1EC34E}">
      <text>
        <r>
          <rPr>
            <sz val="9"/>
            <color indexed="81"/>
            <rFont val="Tahoma"/>
            <family val="2"/>
          </rPr>
          <t>Mrs. {_?_} STEARNS_x000D_
http://yeinfo.com/family/I09021861.html_x000D_
https://www.google.com/search?q={_?_}+STEARNS+1560+1595+STEARNS_x000D_
.born:c1560    -          Raydon (Suffolk) England_x000D_
.died: 1595    -1640      Fordham (Essex) England, age:35y 0m 0d, _x000D_
.bapt: 1785GE_x000D_
.will: 2004MO_x000D_
.obit: 1890OH_x000D_
.bury: 1850IL _x000D_
.wpbt: 1826PA_x000D_
.anc#:ancestor_x000D_
citiz:foreign_x000D_
#spos:1_x000D_
#srcs:1_x000D_
#comment:0_x000D_
#events:1_x000D_
#kids:1_x000D_
lived:ENESSEXFORDHAM,ENSUFFORAYDON_x000D_
issue:_x000D_
.recs:Birth,Marriage,Death_x000D_
.imm?:no_x000D_
..Spo:THOMAS STEARNS</t>
        </r>
      </text>
    </comment>
    <comment ref="N4584" authorId="0" shapeId="0" xr:uid="{FC50115B-E45A-4090-9ED0-B383777C9590}">
      <text>
        <r>
          <rPr>
            <sz val="9"/>
            <color indexed="81"/>
            <rFont val="Tahoma"/>
            <family val="2"/>
          </rPr>
          <t>MARY STEARNS_x000D_
http://yeinfo.com/family/I09005465.html_x000D_
https://www.google.com/search?q=MARY+STEARNS+1626+1663+BRYANT_x000D_
.born: 16260106-          Nayland (Suffolk) England_x000D_
.died: 16630108-          Chelmsford (Middlesex) Massachusetts, age:37y 0m 2d, _x000D_
.bapt: 1785GE_x000D_
.will: 2004MO_x000D_
.obit: 1890OH_x000D_
.bury: 1850IL _x000D_
.wpbt: 1826PA_x000D_
.anc#:ancestor_x000D_
citiz:immigrant_x000D_
#spos:1_x000D_
#srcs:3_x000D_
#comment:0_x000D_
#events:1_x000D_
#kids:1_x000D_
lived:ENSUFFONAYLAND,MAMIDDLCHELMSF_x000D_
issue:Died after Age 100_x000D_
.recs:Birth,Marriage,Death_x000D_
.imm?:immigrant_x000D_
..Spo:ISAAC BRYANT</t>
        </r>
      </text>
    </comment>
    <comment ref="P4586" authorId="0" shapeId="0" xr:uid="{86DDD7C9-ECC6-42DF-9307-6D2354D3A23A}">
      <text>
        <r>
          <rPr>
            <sz val="9"/>
            <color indexed="81"/>
            <rFont val="Tahoma"/>
            <family val="2"/>
          </rPr>
          <t>JOHN BARKER_x000D_
http://yeinfo.com/family/I09021862.html_x000D_
https://www.google.com/search?q=JOHN+BARKER+1563+1600+MARGARET_x000D_
.born:a15630530-          Stoke by Nayland (Suffolk) England_x000D_
.died: 1600    -1650     ?, age:36y 7m 2d, _x000D_
.bapt: 1785GE_x000D_
.will: 2004MO_x000D_
.obit: 1890OH_x000D_
.bury: 1850IL _x000D_
.wpbt: 1826PA_x000D_
.anc#:ancestor_x000D_
citiz:US born_x000D_
#spos:1_x000D_
#srcs:1_x000D_
#comment:0_x000D_
#events:1_x000D_
#kids:1_x000D_
lived:ENSUFFOSTOKE B_x000D_
issue:_x000D_
.recs:Birth,Marriage,Death_x000D_
.imm?:no_x000D_
..Spo:MARGARET WALTER</t>
        </r>
      </text>
    </comment>
    <comment ref="O4588" authorId="0" shapeId="0" xr:uid="{27635449-5E34-4146-A5C1-5347A264F410}">
      <text>
        <r>
          <rPr>
            <sz val="9"/>
            <color indexed="81"/>
            <rFont val="Tahoma"/>
            <family val="2"/>
          </rPr>
          <t>MARY BARKER_x000D_
http://yeinfo.com/family/I09010931.html_x000D_
https://www.google.com/search?q=MARY+BARKER+1600+1677+STEARNS_x000D_
.born:c1600    -          Stoke by Nayland (Suffolk) England_x000D_
.died: 16770423-          Waterton (Middlesex) Massachusetts, age:77y 3m 22d, _x000D_
.bapt: 1785GE_x000D_
.will: 2004MO_x000D_
.obit: 1890OH_x000D_
.bury: 1850IL _x000D_
.wpbt: 1826PA_x000D_
.anc#:ancestor_x000D_
citiz:immigrant_x000D_
#spos:1_x000D_
#srcs:1_x000D_
#comment:0_x000D_
#events:1_x000D_
#kids:1_x000D_
lived:ENSUFFONAYLAND,ENSUFFOSTOKE B,MAMIDDLWATERTO_x000D_
issue:_x000D_
.recs:Birth,Marriage,Death_x000D_
.imm?:immigrant_x000D_
..Spo:ISAAC STEARNS</t>
        </r>
      </text>
    </comment>
    <comment ref="P4590" authorId="0" shapeId="0" xr:uid="{F96E0C5E-23CE-4C49-843C-3BFA0AC97B53}">
      <text>
        <r>
          <rPr>
            <sz val="9"/>
            <color indexed="81"/>
            <rFont val="Tahoma"/>
            <family val="2"/>
          </rPr>
          <t>MARGARET WALTER_x000D_
http://yeinfo.com/family/I09021863.html_x000D_
https://www.google.com/search?q=MARGARET+WALTER+1564+1640+BARKER_x000D_
.born:a15640908-          Stoke by Nayland (Suffolk) England_x000D_
.died:p1640    -         ?Waterton (Middlesex) Massachusetts, age:75y 3m 24d, _x000D_
.bapt: 1785GE_x000D_
.will: 2004MO_x000D_
.obit: 1890OH_x000D_
.bury: 1850IL _x000D_
.wpbt: 1826PA_x000D_
.anc#:ancestor_x000D_
citiz:immigrant_x000D_
#spos:1_x000D_
#srcs:1_x000D_
#comment:0_x000D_
#events:1_x000D_
#kids:1_x000D_
lived:?MAMIDDLWATERTO,ENSUFFOSTOKE B_x000D_
issue:_x000D_
.recs:Birth,Marriage,Death_x000D_
.imm?:immigrant_x000D_
..Spo:JOHN BARKER</t>
        </r>
      </text>
    </comment>
    <comment ref="L4592" authorId="0" shapeId="0" xr:uid="{2A6CE743-75EA-49C4-B1AA-3A9AE53B7EC0}">
      <text>
        <r>
          <rPr>
            <sz val="9"/>
            <color indexed="81"/>
            <rFont val="Tahoma"/>
            <family val="2"/>
          </rPr>
          <t>SIMON BRYANT_x000D_
http://yeinfo.com/family/I09001366.html_x000D_
https://www.google.com/search?q=SIMON+BRYANT+1663+1748+HANNAH_x000D_
.born: 166312  -         ?Massachusetts_x000D_
.died: 17480928-          Killingly (Windham) Connecticut, age:84y 9m 27d, _x000D_
.bapt: 1785GE_x000D_
.will: 2004MO_x000D_
.obit: 1890OH_x000D_
.bury: 1850IL Aspinwall Cemetery_x000D_
.wpbt: 1826PA_x000D_
.anc#:ancestor_x000D_
citiz:US born_x000D_
#spos:1_x000D_
#srcs:11_x000D_
#comment:1_x000D_
#events:6_x000D_
#kids:7_x000D_
lived:?MA,CTWINDHKILLING,CTWINDHPUTNAM,MANORFOBRAINTR_x000D_
issue:Born before Parents Married_x000D_
.recs:Birth,Marriage,Death,Interment/Burial_x000D_
.imm?:no_x000D_
..Spo:HANNAH SPEAR</t>
        </r>
      </text>
    </comment>
    <comment ref="N4594" authorId="0" shapeId="0" xr:uid="{A033E52F-6949-42DE-8335-4A3F6805697B}">
      <text>
        <r>
          <rPr>
            <sz val="9"/>
            <color indexed="81"/>
            <rFont val="Tahoma"/>
            <family val="2"/>
          </rPr>
          <t>JOHN BIGELOW_x000D_
http://yeinfo.com/family/I09005466.html_x000D_
https://www.google.com/search?q=JOHN+BIGELOW+1617+1703+MARY+Bemis_x000D_
.born:c1617    -         ?Wrentham (Suffolk) England_x000D_
.died: 17030714-          Waterton (Middlesex) Massachusetts, age:86y 6m 13d, _x000D_
.bapt: 1785GE_x000D_
.will: 2004MO_x000D_
.obit: 1890OH_x000D_
.bury: 1850IL _x000D_
.wpbt: 1826PA_x000D_
.anc#:ancestor_x000D_
citiz:immigrant_x000D_
#spos:2_x000D_
#srcs:1_x000D_
#comment:1_x000D_
#events:4_x000D_
#kids:13_x000D_
lived:?ENSUFFOWRENTHA,MAMIDDLWATERTO_x000D_
issue:_x000D_
.recs:Birth,Baptism,Marriage,Will Written,Death_x000D_
.imm?:immigrant_x000D_
..Spo:MARY WARREN</t>
        </r>
      </text>
    </comment>
    <comment ref="M4596" authorId="0" shapeId="0" xr:uid="{B57D3BFF-CA87-4DD7-8B9D-BBCA384A54F1}">
      <text>
        <r>
          <rPr>
            <sz val="9"/>
            <color indexed="81"/>
            <rFont val="Tahoma"/>
            <family val="2"/>
          </rPr>
          <t>SARAH BIGELOW_x000D_
http://yeinfo.com/family/I09002733.html_x000D_
https://www.google.com/search?q=SARAH+BIGELOW+1656+1663+BRYANT_x000D_
.born: 1656    -          Waterton (Middlesex) Massachusetts_x000D_
.died: 1663    -1740      Framingham (Middlesex) Massachusetts, age:7y 0m 0d, _x000D_
.bapt: 1785GE_x000D_
.will: 2004MO_x000D_
.obit: 1890OH_x000D_
.bury: 1850IL _x000D_
.wpbt: 1826PA_x000D_
.anc#:ancestor_x000D_
citiz:US born_x000D_
#spos:1_x000D_
#srcs:2_x000D_
#comment:0_x000D_
#events:1_x000D_
#kids:1_x000D_
lived:MAMIDDLFRAMING,MAMIDDLWATERTO_x000D_
issue:Died before Birth_x000D_
.recs:Birth,Marriage,Death_x000D_
.imm?:no_x000D_
..Spo:ISAAC BRYANT</t>
        </r>
      </text>
    </comment>
    <comment ref="N4598" authorId="0" shapeId="0" xr:uid="{8DEB6533-BB1F-4911-96CD-64E14AD1869C}">
      <text>
        <r>
          <rPr>
            <sz val="9"/>
            <color indexed="81"/>
            <rFont val="Tahoma"/>
            <family val="2"/>
          </rPr>
          <t>MARY WARREN_x000D_
http://yeinfo.com/family/I09005467.html_x000D_
https://www.google.com/search?q=MARY+WARREN+1624+1691+BIGELOW_x000D_
.born:c1624    -         ?Stoke by Nayland (Suffolk) England_x000D_
.died: 16911019-          Waterton (Middlesex) Massachusetts, age:67y 9m 18d, _x000D_
.bapt: 1785GE_x000D_
.will: 2004MO_x000D_
.obit: 1890OH_x000D_
.bury: 1850IL _x000D_
.wpbt: 1826PA_x000D_
.anc#:ancestor_x000D_
citiz:immigrant_x000D_
#spos:1_x000D_
#srcs:1_x000D_
#comment:1_x000D_
#events:2_x000D_
#kids:13_x000D_
lived:?ENSUFFOSTOKE B,MAMIDDLWATERTO_x000D_
issue:_x000D_
.recs:Birth,Baptism,Marriage,Death_x000D_
.imm?:immigrant_x000D_
..Spo:JOHN BIGELOW</t>
        </r>
      </text>
    </comment>
    <comment ref="K4600" authorId="0" shapeId="0" xr:uid="{15E2190B-B5B8-4D17-A245-42E2B534A9A5}">
      <text>
        <r>
          <rPr>
            <sz val="9"/>
            <color indexed="81"/>
            <rFont val="Tahoma"/>
            <family val="2"/>
          </rPr>
          <t>MARY BRYANT_x000D_
http://yeinfo.com/family/I09000683.html_x000D_
https://www.google.com/search?q=MARY+BRYANT+1701+1768+WINTER_x000D_
.born: 17010919-          Braintree (Norfolk) Massachusetts_x000D_
.died: 176809  -          Killingly (Windham) Connecticut, age:66y 11m 13d, _x000D_
.bapt: 1785GE_x000D_
.will: 2004MO_x000D_
.obit: 1890OH_x000D_
.bury: 1850IL _x000D_
.wpbt: 1826PA_x000D_
.anc#:ancestor_x000D_
citiz:US born_x000D_
#spos:1_x000D_
#srcs:3_x000D_
#comment:1_x000D_
#events:1_x000D_
#kids:10_x000D_
lived:CTWINDHKILLING,MANORFOBRAINTR_x000D_
issue:_x000D_
.recs:Birth,Marriage,Death_x000D_
.imm?:no_x000D_
..Spo:JOHN WINTER</t>
        </r>
      </text>
    </comment>
    <comment ref="N4602" authorId="0" shapeId="0" xr:uid="{8E10FDC2-0715-48D0-B109-EDA657249B44}">
      <text>
        <r>
          <rPr>
            <sz val="9"/>
            <color indexed="81"/>
            <rFont val="Tahoma"/>
            <family val="2"/>
          </rPr>
          <t>RICHARD SPEAR_x000D_
http://yeinfo.com/family/I09005468.html_x000D_
https://www.google.com/search?q=RICHARD+SPEAR+1580+1613+AGNES_x000D_
.born: 1580    -          England_x000D_
.died: 1613    -1670      , age:33y 0m 0d, _x000D_
.bapt: 1785GE_x000D_
.will: 2004MO_x000D_
.obit: 1890OH_x000D_
.bury: 1850IL _x000D_
.wpbt: 1826PA_x000D_
.anc#:ancestor_x000D_
citiz:US born_x000D_
#spos:1_x000D_
#srcs:1_x000D_
#comment:0_x000D_
#events:1_x000D_
#kids:1_x000D_
lived:EN_x000D_
issue:_x000D_
.recs:Birth,Marriage,Death_x000D_
.imm?:no_x000D_
..Spo:AGNES SPEAR</t>
        </r>
      </text>
    </comment>
    <comment ref="M4604" authorId="0" shapeId="0" xr:uid="{E2A4CC64-1924-4A46-97B9-EECC79A0C1C0}">
      <text>
        <r>
          <rPr>
            <sz val="9"/>
            <color indexed="81"/>
            <rFont val="Tahoma"/>
            <family val="2"/>
          </rPr>
          <t>GEORGE SPEAR_x000D_
http://yeinfo.com/family/I09002734.html_x000D_
https://www.google.com/search?q=GEORGE+SPEAR+1613+1678+MARY_x000D_
.born: 161304  -          Sheffield (Yorkshire) England_x000D_
.died: 1678    -1703     ?Braintree (Norfolk) Massachusetts, age:64y 9m 0d, _x000D_
.bapt: 1785GE_x000D_
.will: 2004MO_x000D_
.obit: 1890OH_x000D_
.bury: 1850IL _x000D_
.wpbt: 1826PA_x000D_
.anc#:ancestor_x000D_
citiz:immigrant_x000D_
#spos:1_x000D_
#srcs:12_x000D_
#comment:1_x000D_
#events:7_x000D_
#kids:12_x000D_
lived:ENYORKSSHEFFIE,MANORFOBRAINTR,MASUFFOBOSTON,MASUFFODORCHES_x000D_
issue:_x000D_
.recs:Birth,Marriage,Death,Freeman_x000D_
.imm?:immigrant_x000D_
..Spo:MARY HEATH</t>
        </r>
      </text>
    </comment>
    <comment ref="N4606" authorId="0" shapeId="0" xr:uid="{3DDE12D4-46D9-45BD-8ADC-501D0348C36C}">
      <text>
        <r>
          <rPr>
            <sz val="9"/>
            <color indexed="81"/>
            <rFont val="Tahoma"/>
            <family val="2"/>
          </rPr>
          <t>Mrs. AGNES SPEAR_x000D_
http://yeinfo.com/family/I09005469.html_x000D_
https://www.google.com/search?q=AGNES+SPEAR+1580+1613+SPEAR_x000D_
.born:?1580    -         ?England_x000D_
.died: 1613    -1670      , age:33y 0m 0d, _x000D_
.bapt: 1785GE_x000D_
.will: 2004MO_x000D_
.obit: 1890OH_x000D_
.bury: 1850IL _x000D_
.wpbt: 1826PA_x000D_
.anc#:ancestor_x000D_
citiz:US born_x000D_
#spos:1_x000D_
#srcs:1_x000D_
#comment:0_x000D_
#events:1_x000D_
#kids:1_x000D_
lived:?EN_x000D_
issue:_x000D_
.recs:Birth,Marriage,Death_x000D_
.imm?:no_x000D_
..Spo:RICHARD SPEAR</t>
        </r>
      </text>
    </comment>
    <comment ref="L4608" authorId="0" shapeId="0" xr:uid="{DDD414A4-A8EA-46E5-8F6A-4933A0E9BCBC}">
      <text>
        <r>
          <rPr>
            <sz val="9"/>
            <color indexed="81"/>
            <rFont val="Tahoma"/>
            <family val="2"/>
          </rPr>
          <t>HANNAH SPEAR_x000D_
http://yeinfo.com/family/I09001367.html_x000D_
https://www.google.com/search?q=HANNAH+SPEAR+1671+1747+BRYANT_x000D_
.born: 16710907-          Braintree (Norfolk) Massachusetts_x000D_
.died: 17471228-          , age:76y 3m 21d, _x000D_
.bapt: 1785GE_x000D_
.will: 2004MO_x000D_
.obit: 1890OH_x000D_
.bury: 1850IL Aspinwall Cemetery_x000D_
.wpbt: 1826PA_x000D_
.anc#:ancestor_x000D_
citiz:US born_x000D_
#spos:1_x000D_
#srcs:11_x000D_
#comment:0_x000D_
#events:3_x000D_
#kids:7_x000D_
lived:CTWINDHKILLING,CTWINDHPUTNAM,MANORFOBRAINTR_x000D_
issue:_x000D_
.recs:Birth,Marriage,Death,Interment/Burial_x000D_
.imm?:no_x000D_
..Spo:SIMON BRYANT</t>
        </r>
      </text>
    </comment>
    <comment ref="Q4610" authorId="0" shapeId="0" xr:uid="{7DA9C9D9-9BA7-4E17-8280-F51B11654D52}">
      <text>
        <r>
          <rPr>
            <sz val="9"/>
            <color indexed="81"/>
            <rFont val="Tahoma"/>
            <family val="2"/>
          </rPr>
          <t>ROBERT HEATH_x000D_
http://yeinfo.com/family/I09043760.html_x000D_
https://www.google.com/search?q=ROBERT+HEATH+1505+1525+{_?_}_x000D_
.born:?1505    -         ?England_x000D_
.died: 1525    -1595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..Spo:{_?_} HEATH</t>
        </r>
      </text>
    </comment>
    <comment ref="P4612" authorId="0" shapeId="0" xr:uid="{0E14009A-B307-4236-A149-32D0F98E20B0}">
      <text>
        <r>
          <rPr>
            <sz val="9"/>
            <color indexed="81"/>
            <rFont val="Tahoma"/>
            <family val="2"/>
          </rPr>
          <t>EDWARD HEATH_x000D_
http://yeinfo.com/family/I09021880.html_x000D_
https://www.google.com/search?q=EDWARD+HEATH+1525+1593+ALICE_x000D_
.born:?1525    -          Ware (Hertfordshire) England_x000D_
.died: 159303  -          , age:68y 2m 0d, _x000D_
.bapt: 1785GE_x000D_
.will: 2004MO_x000D_
.obit: 1890OH_x000D_
.bury: 1850IL _x000D_
.wpbt: 1826PA_x000D_
.anc#:double ancestor_x000D_
citiz:foreign_x000D_
#spos:1_x000D_
#srcs:4_x000D_
#comment:0_x000D_
#events:6_x000D_
#kids:2_x000D_
lived:ENHERTFWARE_x000D_
issue:_x000D_
.recs:Birth,Marriage,Will Written,Death_x000D_
.imm?:no_x000D_
..Spo:ALICE CARTER</t>
        </r>
      </text>
    </comment>
    <comment ref="Q4614" authorId="0" shapeId="0" xr:uid="{5E805B60-C3E8-4523-8E4F-F8F4863B13C2}">
      <text>
        <r>
          <rPr>
            <sz val="9"/>
            <color indexed="81"/>
            <rFont val="Tahoma"/>
            <family val="2"/>
          </rPr>
          <t>Mrs. {_?_} HEATH_x000D_
http://yeinfo.com/family/I09043761.html_x000D_
https://www.google.com/search?q={_?_}+HEATH+1505+1525+HEATH_x000D_
.born:?1505    -         ?England_x000D_
.died: 1525    -1595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..Spo:ROBERT HEATH</t>
        </r>
      </text>
    </comment>
    <comment ref="O4616" authorId="0" shapeId="0" xr:uid="{7A424E25-7644-42E6-B38C-67F736F9CB8F}">
      <text>
        <r>
          <rPr>
            <sz val="9"/>
            <color indexed="81"/>
            <rFont val="Tahoma"/>
            <family val="2"/>
          </rPr>
          <t>WILLIAM HEATH_x000D_
http://yeinfo.com/family/I09010940.html_x000D_
https://www.google.com/search?q=WILLIAM+HEATH+1553+1625+AGNES_x000D_
.born:c1553    -          Ware (Hertfordshire) England_x000D_
.died: 162501  -          , age:72y 0m 0d, _x000D_
.bapt: 1785GE_x000D_
.will: 2004MO_x000D_
.obit: 1890OH_x000D_
.bury: 1850IL _x000D_
.wpbt: 1826PA_x000D_
.anc#:ancestor_x000D_
citiz:US born_x000D_
#spos:1_x000D_
#srcs:6_x000D_
#comment:0_x000D_
#events:3_x000D_
#kids:1_x000D_
lived:ENESSEXWALTHAA,ENHERTFWARE_x000D_
issue:_x000D_
.recs:Birth,Marriage,Death_x000D_
.imm?:no_x000D_
..Spo:AGNES CHENEY</t>
        </r>
      </text>
    </comment>
    <comment ref="P4618" authorId="0" shapeId="0" xr:uid="{2811E1F2-7D67-46CE-A87F-75D275945E00}">
      <text>
        <r>
          <rPr>
            <sz val="9"/>
            <color indexed="81"/>
            <rFont val="Tahoma"/>
            <family val="2"/>
          </rPr>
          <t>ALICE CARTER_x000D_
http://yeinfo.com/family/I09021881.html_x000D_
https://www.google.com/search?q=ALICE+CARTER+1525+1593+HEATH_x000D_
.born:c1525    -          Ware (Hertfordshire) England_x000D_
.died: 159312  -         ?Ware (Hertfordshire) England, age:68y 11m 0d, _x000D_
.bapt: 1785GE_x000D_
.will: 2004MO_x000D_
.obit: 1890OH_x000D_
.bury: 1850IL _x000D_
.wpbt: 1826PA_x000D_
.anc#:double ancestor_x000D_
citiz:foreign_x000D_
#spos:1_x000D_
#srcs:3_x000D_
#comment:0_x000D_
#events:2_x000D_
#kids:2_x000D_
lived:ENHERTFWARE_x000D_
issue:_x000D_
.recs:Birth,Marriage,Death_x000D_
.imm?:no_x000D_
..Spo:EDWARD HEATH</t>
        </r>
      </text>
    </comment>
    <comment ref="N4620" authorId="0" shapeId="0" xr:uid="{4F54D48D-0FD1-4D0B-A095-D31956FB05CA}">
      <text>
        <r>
          <rPr>
            <sz val="9"/>
            <color indexed="81"/>
            <rFont val="Tahoma"/>
            <family val="2"/>
          </rPr>
          <t>WILLIAM HEATH_x000D_
http://yeinfo.com/family/I09005470.html_x000D_
https://www.google.com/search?q=WILLIAM+HEATH+1591+1652+Mary+PERRY_x000D_
.born:c1591    -         ?England_x000D_
.died: 16520529-          , age:61y 4m 28d, _x000D_
.bapt: 1785GE_x000D_
.will: 2004MO_x000D_
.obit: 1890OH_x000D_
.bury: 1850IL _x000D_
.wpbt: 1826PA_x000D_
.anc#:ancestor_x000D_
citiz:US born_x000D_
#spos:2_x000D_
#srcs:16_x000D_
#comment:1_x000D_
#events:13_x000D_
#kids:6_x000D_
lived:?EN,?NHSTRAFDOVER,ENESSEXNAZEING,ENHERTFGILSTON,ENHERTFGREAT A,MASUFFOROXBURY_x000D_
issue:_x000D_
.recs:Birth,Marriage,Ship Passenger List,Death,Freeman_x000D_
.imm?:no_x000D_
..Spo:Mary Crampthorne</t>
        </r>
      </text>
    </comment>
    <comment ref="R4622" authorId="0" shapeId="0" xr:uid="{43559A71-487F-491D-85BC-F739B4A931E8}">
      <text>
        <r>
          <rPr>
            <sz val="9"/>
            <color indexed="81"/>
            <rFont val="Tahoma"/>
            <family val="2"/>
          </rPr>
          <t>ROBERT CHENEY_x000D_
http://yeinfo.com/family/I09065589.html_x000D_
https://www.google.com/search?q=ROBERT+CHENEY+1460+1500+{_?_}_x000D_
.born:?1460    -         ?Waltham Abbey (Essex) England_x000D_
.died: 1500    -1550     ?Waltham Abbey (Essex) England, age:40y 0m 0d, _x000D_
.bapt: 1785GE_x000D_
.will: 2004MO_x000D_
.obit: 1890OH_x000D_
.bury: 1850IL _x000D_
.wpbt: 1826PA_x000D_
.anc#:ancestor_x000D_
citiz:foreign_x000D_
#spos:1_x000D_
#srcs:1_x000D_
#comment:0_x000D_
#events:1_x000D_
#kids:1_x000D_
lived:?ENESSEXWALTHAA_x000D_
issue:_x000D_
.recs:Birth,Marriage,Death_x000D_
.imm?:no_x000D_
..Spo:{_?_} CHENEY</t>
        </r>
      </text>
    </comment>
    <comment ref="Q4624" authorId="0" shapeId="0" xr:uid="{D1FDF768-6A6B-46FE-BC1C-B66D92A878DA}">
      <text>
        <r>
          <rPr>
            <sz val="9"/>
            <color indexed="81"/>
            <rFont val="Tahoma"/>
            <family val="2"/>
          </rPr>
          <t>ROBERT CHENEY II_x000D_
http://yeinfo.com/family/I09043764.html_x000D_
https://www.google.com/search?q=ROBERT+CHENEY+1500+1520+MARIA+CLARA_x000D_
.born:?1500    -         ?England_x000D_
.died: 1520    -1590     ?England, age:20y 0m 0d, _x000D_
.bapt: 1785GE_x000D_
.will: 2004MO_x000D_
.obit: 1890OH_x000D_
.bury: 1850IL _x000D_
.wpbt: 1826PA_x000D_
.anc#:ancestor_x000D_
citiz:foreign_x000D_
#spos:1_x000D_
#srcs:2_x000D_
#comment:0_x000D_
#events:1_x000D_
#kids:1_x000D_
lived:?ENESSEXWALTHAA_x000D_
issue:_x000D_
.recs:Birth,Marriage,Death_x000D_
.imm?:no_x000D_
..Spo:MARIA CLARA MUELLER</t>
        </r>
      </text>
    </comment>
    <comment ref="R4626" authorId="0" shapeId="0" xr:uid="{0F65C6CC-D38A-4990-898D-3465669C673D}">
      <text>
        <r>
          <rPr>
            <sz val="9"/>
            <color indexed="81"/>
            <rFont val="Tahoma"/>
            <family val="2"/>
          </rPr>
          <t>Mrs. {_?_} CHENEY_x000D_
http://yeinfo.com/family/I09065590.html_x000D_
https://www.google.com/search?q={_?_}+CHENEY+1460+1500+CHENEY_x000D_
.born:?1460    -         ?Waltham Abbey (Essex) England_x000D_
.died: 1500    -1550     ?Waltham Abbey (Essex) England, age:40y 0m 0d, _x000D_
.bapt: 1785GE_x000D_
.will: 2004MO_x000D_
.obit: 1890OH_x000D_
.bury: 1850IL _x000D_
.wpbt: 1826PA_x000D_
.anc#:ancestor_x000D_
citiz:foreign_x000D_
#spos:1_x000D_
#srcs:1_x000D_
#comment:0_x000D_
#events:1_x000D_
#kids:1_x000D_
lived:?ENESSEXWALTHAA_x000D_
issue:_x000D_
.recs:Birth,Marriage,Death_x000D_
.imm?:no_x000D_
..Spo:ROBERT CHENEY</t>
        </r>
      </text>
    </comment>
    <comment ref="P4628" authorId="0" shapeId="0" xr:uid="{43A8D4B3-B17A-4E2E-A52A-12C7DDE320EF}">
      <text>
        <r>
          <rPr>
            <sz val="9"/>
            <color indexed="81"/>
            <rFont val="Tahoma"/>
            <family val="2"/>
          </rPr>
          <t>ROBERT CHENEY III_x000D_
http://yeinfo.com/family/I09021882.html_x000D_
https://www.google.com/search?q=ROBERT+CHENEY+1520+1567+JOAN_x000D_
.born:c1520    -          Waltham Abbey (Essex) England_x000D_
.died: 1567    -         ?England, age:47y 0m 0d, _x000D_
.bapt: 1785GE_x000D_
.will: 2004MO_x000D_
.obit: 1890OH_x000D_
.bury: 1850IL _x000D_
.wpbt: 1826PA_x000D_
.anc#:ancestor_x000D_
citiz:foreign_x000D_
#spos:1_x000D_
#srcs:3_x000D_
#comment:0_x000D_
#events:1_x000D_
#kids:1_x000D_
lived:ENESSEXWALTHAA_x000D_
issue:_x000D_
.recs:Birth,Marriage,Death_x000D_
.imm?:no_x000D_
..Spo:JOAN HARRISON</t>
        </r>
      </text>
    </comment>
    <comment ref="Q4630" authorId="0" shapeId="0" xr:uid="{8CBBC9DB-0020-4FC4-A86C-53D4A98B2DA8}">
      <text>
        <r>
          <rPr>
            <sz val="9"/>
            <color indexed="81"/>
            <rFont val="Tahoma"/>
            <family val="2"/>
          </rPr>
          <t>MARIA CLARA MUELLER_x000D_
http://yeinfo.com/family/I09043765.html_x000D_
https://www.google.com/search?q=MARIA+CLARA+MUELLER+1492+1565+CHENEY_x000D_
.born:c1492    -         ?Waltham Abbey (Essex) England_x000D_
.died: 1565    -         ?Waltham Abbey (Essex) England, age:73y 0m 0d, _x000D_
.bapt: 1785GE_x000D_
.will: 2004MO_x000D_
.obit: 1890OH_x000D_
.bury: 1850IL _x000D_
.wpbt: 1826PA_x000D_
.anc#:ancestor_x000D_
citiz:foreign_x000D_
#spos:1_x000D_
#srcs:1_x000D_
#comment:0_x000D_
#events:1_x000D_
#kids:1_x000D_
lived:?ENESSEXWALTHAA_x000D_
issue:_x000D_
.recs:Birth,Marriage,Death_x000D_
.imm?:no_x000D_
..Spo:ROBERT CHENEY</t>
        </r>
      </text>
    </comment>
    <comment ref="O4632" authorId="0" shapeId="0" xr:uid="{6B656503-12BA-450D-8785-29E07154D8F2}">
      <text>
        <r>
          <rPr>
            <sz val="9"/>
            <color indexed="81"/>
            <rFont val="Tahoma"/>
            <family val="2"/>
          </rPr>
          <t>AGNES CHENEY_x000D_
http://yeinfo.com/family/I09010941.html_x000D_
https://www.google.com/search?q=AGNES+CHENEY+1556+1591+HEATH_x000D_
.born:c1556    -          Ware (Hertfordshire) England_x000D_
.died: 1591    -1646      Ware (Hertfordshire) England, age:35y 0m 0d, _x000D_
.bapt: 1785GE_x000D_
.will: 2004MO_x000D_
.obit: 1890OH_x000D_
.bury: 1850IL _x000D_
.wpbt: 1826PA_x000D_
.anc#:ancestor_x000D_
citiz:foreign_x000D_
#spos:1_x000D_
#srcs:6_x000D_
#comment:0_x000D_
#events:1_x000D_
#kids:1_x000D_
lived:ENESSEXWALTHAA,ENHERTFWARE_x000D_
issue:_x000D_
.recs:Birth,Marriage,Death_x000D_
.imm?:no_x000D_
..Spo:WILLIAM HEATH</t>
        </r>
      </text>
    </comment>
    <comment ref="Q4634" authorId="0" shapeId="0" xr:uid="{2C18FE3C-90A3-454E-B405-AA4CEF9BEE5E}">
      <text>
        <r>
          <rPr>
            <sz val="9"/>
            <color indexed="81"/>
            <rFont val="Tahoma"/>
            <family val="2"/>
          </rPr>
          <t>JOHN HARRISON_x000D_
http://yeinfo.com/family/I09043766.html_x000D_
https://www.google.com/search?q=JOHN+HARRISON+1490+1550+AGNES_x000D_
.born:?1490    -         ?Waltham Abbey (Essex) England_x000D_
.died:?1550    -         ?Waltham Abbey (Essex) England, age:60y 0m 0d, _x000D_
.bapt: 1785GE_x000D_
.will: 2004MO_x000D_
.obit: 1890OH_x000D_
.bury: 1850IL _x000D_
.wpbt: 1826PA_x000D_
.anc#:ancestor_x000D_
citiz:foreign_x000D_
#spos:1_x000D_
#srcs:1_x000D_
#comment:0_x000D_
#events:1_x000D_
#kids:1_x000D_
lived:?ENESSEXWALTHAA_x000D_
issue:_x000D_
.recs:Birth,Marriage,Death_x000D_
.imm?:no_x000D_
..Spo:AGNES HARRISON</t>
        </r>
      </text>
    </comment>
    <comment ref="P4636" authorId="0" shapeId="0" xr:uid="{E8ED991E-4B2A-4A07-8496-24367F2B14DC}">
      <text>
        <r>
          <rPr>
            <sz val="9"/>
            <color indexed="81"/>
            <rFont val="Tahoma"/>
            <family val="2"/>
          </rPr>
          <t>JOAN HARRISON_x000D_
http://yeinfo.com/family/I09021883.html_x000D_
https://www.google.com/search?q=JOAN+HARRISON+1520+1576+CHENEY_x000D_
.born:?1520    -         ?Waltham Abbey (Essex) England_x000D_
.died: 1576    -1610     ?Waltham Abbey (Essex) England, age:56y 0m 0d, _x000D_
.bapt: 1785GE_x000D_
.will: 2004MO_x000D_
.obit: 1890OH_x000D_
.bury: 1850IL _x000D_
.wpbt: 1826PA_x000D_
.anc#:ancestor_x000D_
citiz:foreign_x000D_
#spos:1_x000D_
#srcs:2_x000D_
#comment:0_x000D_
#events:1_x000D_
#kids:1_x000D_
lived:?ENESSEXWALTHAA_x000D_
issue:_x000D_
.recs:Birth,Marriage,Death_x000D_
.imm?:no_x000D_
..Spo:ROBERT CHENEY</t>
        </r>
      </text>
    </comment>
    <comment ref="Q4638" authorId="0" shapeId="0" xr:uid="{7BCCB92F-966B-40BD-A8B0-EFCB1C428B4A}">
      <text>
        <r>
          <rPr>
            <sz val="9"/>
            <color indexed="81"/>
            <rFont val="Tahoma"/>
            <family val="2"/>
          </rPr>
          <t>Mrs. AGNES HARRISON_x000D_
http://yeinfo.com/family/I09043767.html_x000D_
https://www.google.com/search?q=AGNES+HARRISON+1490+1530+HARRISON_x000D_
.born:?1490    -         ?Waltham Abbey (Essex) England_x000D_
.died: 1530    -1580     ?Waltham Abbey (Essex) England, age:40y 0m 0d, _x000D_
.bapt: 1785GE_x000D_
.will: 2004MO_x000D_
.obit: 1890OH_x000D_
.bury: 1850IL _x000D_
.wpbt: 1826PA_x000D_
.anc#:ancestor_x000D_
citiz:foreign_x000D_
#spos:1_x000D_
#srcs:1_x000D_
#comment:0_x000D_
#events:1_x000D_
#kids:1_x000D_
lived:?ENESSEXWALTHAA_x000D_
issue:_x000D_
.recs:Birth,Marriage,Death_x000D_
.imm?:no_x000D_
..Spo:JOHN HARRISON</t>
        </r>
      </text>
    </comment>
    <comment ref="M4640" authorId="0" shapeId="0" xr:uid="{5C458961-7083-478B-AA03-93CC54A5EC2D}">
      <text>
        <r>
          <rPr>
            <sz val="9"/>
            <color indexed="81"/>
            <rFont val="Tahoma"/>
            <family val="2"/>
          </rPr>
          <t>MARY HEATH_x000D_
http://yeinfo.com/family/I09002735.html_x000D_
https://www.google.com/search?q=MARY+HEATH+1627+1678+SPEAR_x000D_
.born:a16270902-          Nazeing (Essex) England_x000D_
.died: 1678    -1710      , age:50y 3m 30d, _x000D_
.bapt: 1785GE_x000D_
.will: 2004MO_x000D_
.obit: 1890OH_x000D_
.bury: 1850IL _x000D_
.wpbt: 1826PA_x000D_
.anc#:ancestor_x000D_
citiz:US born_x000D_
#spos:1_x000D_
#srcs:7_x000D_
#comment:0_x000D_
#events:2_x000D_
#kids:12_x000D_
lived:ENESSEXNAZEING,MA_x000D_
issue:_x000D_
.recs:Birth,Baptism,Marriage,Death_x000D_
.imm?:no_x000D_
..Spo:GEORGE SPEAR</t>
        </r>
      </text>
    </comment>
    <comment ref="O4642" authorId="0" shapeId="0" xr:uid="{E459F7CA-D5CE-4141-A775-F971C7063C7D}">
      <text>
        <r>
          <rPr>
            <sz val="9"/>
            <color indexed="81"/>
            <rFont val="Tahoma"/>
            <family val="2"/>
          </rPr>
          <t>JOHN PERRY_x000D_
http://yeinfo.com/family/I09010942.html_x000D_
https://www.google.com/search?q=JOHN+PERRY+1545+1612+ANNEIS_x000D_
.born: 1545    -          Sawbridgeworth (Hertfordshire) England_x000D_
.died: 16120403-          Sawbridgeworth (Hertfordshire) England, age:67y 3m 2d, _x000D_
.bapt: 1785GE_x000D_
.will: 2004MO_x000D_
.obit: 1890OH_x000D_
.bury: 1850IL _x000D_
.wpbt: 1826PA_x000D_
.anc#:ancestor_x000D_
citiz:foreign_x000D_
#spos:1_x000D_
#srcs:1_x000D_
#comment:0_x000D_
#events:1_x000D_
#kids:1_x000D_
lived:ENHERTFSAWBRID_x000D_
issue:_x000D_
.recs:Birth,Marriage,Death_x000D_
.imm?:no_x000D_
..Spo:ANNEIS PEERCE</t>
        </r>
      </text>
    </comment>
    <comment ref="N4644" authorId="0" shapeId="0" xr:uid="{9915FDD4-D3F1-4015-9EA8-81FDE55E4591}">
      <text>
        <r>
          <rPr>
            <sz val="9"/>
            <color indexed="81"/>
            <rFont val="Tahoma"/>
            <family val="2"/>
          </rPr>
          <t>MARY PERRY_x000D_
http://yeinfo.com/family/I09005471.html_x000D_
https://www.google.com/search?q=MARY+PERRY+1602+1660+HEATH_x000D_
.born:c16020627-          Sawbridgeworth (Hertfordshire) England_x000D_
.died: 166012  -          , age:58y 5m 4d, _x000D_
.bapt: 1785GE_x000D_
.will: 2004MO_x000D_
.obit: 1890OH_x000D_
.bury: 1850IL _x000D_
.wpbt: 1826PA_x000D_
.anc#:ancestor_x000D_
citiz:US born_x000D_
#spos:1_x000D_
#srcs:10_x000D_
#comment:0_x000D_
#events:4_x000D_
#kids:4_x000D_
lived:ENHERTFGILSTON,ENHERTFSAWBRID,MASUFFOROXBURY_x000D_
issue:_x000D_
.recs:Birth,Marriage,Death_x000D_
.imm?:no_x000D_
..Spo:WILLIAM HEATH</t>
        </r>
      </text>
    </comment>
    <comment ref="O4646" authorId="0" shapeId="0" xr:uid="{BF184FB4-E38F-44F2-AFC0-4FC75E2479AF}">
      <text>
        <r>
          <rPr>
            <sz val="9"/>
            <color indexed="81"/>
            <rFont val="Tahoma"/>
            <family val="2"/>
          </rPr>
          <t>ANNEIS PEERCE_x000D_
http://yeinfo.com/family/I09010943.html_x000D_
https://www.google.com/search?q=ANNEIS+PEERCE+1565+1630+PERRY_x000D_
.born: 1565    -          England_x000D_
.died: 1630    -         ?England, age:65y 0m 0d, _x000D_
.bapt: 1785GE_x000D_
.will: 2004MO_x000D_
.obit: 1890OH_x000D_
.bury: 1850IL _x000D_
.wpbt: 1826PA_x000D_
.anc#:ancestor_x000D_
citiz:foreign_x000D_
#spos:1_x000D_
#srcs:1_x000D_
#comment:0_x000D_
#events:2_x000D_
#kids:1_x000D_
lived:ENHERTFSAWBRID_x000D_
issue:_x000D_
.recs:Birth,Baptism,Marriage,Death_x000D_
.imm?:no_x000D_
..Spo:JOHN PERRY</t>
        </r>
      </text>
    </comment>
    <comment ref="H4648" authorId="0" shapeId="0" xr:uid="{A9C5A77F-6FAE-409A-A907-28E1C07BD121}">
      <text>
        <r>
          <rPr>
            <sz val="9"/>
            <color indexed="81"/>
            <rFont val="Tahoma"/>
            <family val="2"/>
          </rPr>
          <t>RUBY RHODA BLOSS_x000D_
http://yeinfo.com/family/I09000085.html_x000D_
https://www.google.com/search?q=RUBY+RHODA+BLOSS+1806+1866+DOUGLASS_x000D_
.born: 18060124-          Tioga county Pennsylvania_x000D_
.died: 18661215-          Vermilion county Illinois, age:60y 10m 21d, _x000D_
.bapt: 1785GE_x000D_
.will: 2004MO_x000D_
.obit: 1890OH_x000D_
.bury: 1850IL Parish Cemetery_x000D_
.wpbt: 1826PA_x000D_
.anc#:ancestor_x000D_
citiz:US born_x000D_
#spos:1_x000D_
#srcs:6_x000D_
#comment:1_x000D_
#events:7_x000D_
#kids:13_x000D_
lived:ILVERMIDANVILL,ILVERMIDENMARK,INJACKS,PATIOGA_x000D_
issue:_x000D_
.recs:Birth,Marriage,Death,Interment/Burial,Image_x000D_
.imm?:no_x000D_
..Spo:CYRUS DOUGLASS</t>
        </r>
      </text>
    </comment>
    <comment ref="I4650" authorId="0" shapeId="0" xr:uid="{AA96514E-75D7-476A-9B57-38127E490C68}">
      <text>
        <r>
          <rPr>
            <sz val="9"/>
            <color indexed="81"/>
            <rFont val="Tahoma"/>
            <family val="2"/>
          </rPr>
          <t>LUANIE CUTLER_x000D_
http://yeinfo.com/family/I09000171.html_x000D_
https://www.google.com/search?q=LUANIE+CUTLER+1780+1812+BLOSS_x000D_
.born:c1780    -         ?Oneida county New York_x000D_
.died: 1812    -1815      Tioga county Pennsylvania, age:32y 0m 0d, _x000D_
.bapt: 1785GE_x000D_
.will: 2004MO_x000D_
.obit: 1890OH_x000D_
.bury: 1850IL _x000D_
.wpbt: 1826PA_x000D_
.anc#:ancestor_x000D_
citiz:US born_x000D_
#spos:1_x000D_
#srcs:3_x000D_
#comment:2_x000D_
#events:2_x000D_
#kids:7_x000D_
lived:?CTWINDH,?NYONEID,PATIOGA_x000D_
issue:_x000D_
.recs:Birth,Marriage,Death_x000D_
.imm?:no_x000D_
..Spo:DORMAN BLOSS</t>
        </r>
      </text>
    </comment>
    <comment ref="F4652" authorId="0" shapeId="0" xr:uid="{6E2E7527-67BD-4526-9679-462E6E543F8C}">
      <text>
        <r>
          <rPr>
            <sz val="9"/>
            <color indexed="81"/>
            <rFont val="Tahoma"/>
            <family val="2"/>
          </rPr>
          <t>MARY LOUISE DOUGLASS_x000D_
http://yeinfo.com/family/I09000021.html_x000D_
https://www.google.com/search?q=MARY+LOUISE+DOUGLASS+1858+1945+SEARLS_x000D_
.born: 18580208-          Garden Grove (Decatur) Iowa_x000D_
.died: 19451227-          Saint Paul (Ramsey) Minnesota, age:87y 10m 19d, stomach cancer_x000D_
.bapt: 1785GE_x000D_
.will: 2004MO_x000D_
.obit: 1890OH_x000D_
.bury: 1850IL Riverside Cemetery_x000D_
.wpbt: 1826PA_x000D_
.anc#:ancestor_x000D_
citiz:US born_x000D_
#spos:1_x000D_
#srcs:8_x000D_
#comment:1_x000D_
#events:18_x000D_
#kids:8_x000D_
lived:?SDCLAY VERMILL,CALOS ALONG BE,IACLNTNLINN,IADECATGARDENG,IAPLYMOAKRON,IAWOODBSIOUX C,MNHENNEMINNEAP,MNRAMSEST.PAUL,PAPHILAPHILADE,SD_x000D_
issue:_x000D_
.recs:Birth,Grade School,Marriage,Death,Interment/Burial,Obituary,Church,Image_x000D_
.imm?:no_x000D_
..Spo:EDWIN JAMES SEARLS</t>
        </r>
      </text>
    </comment>
    <comment ref="K4654" authorId="0" shapeId="0" xr:uid="{4B2488EA-CC86-4A03-9EE8-E7F8EF95C59F}">
      <text>
        <r>
          <rPr>
            <sz val="9"/>
            <color indexed="81"/>
            <rFont val="Tahoma"/>
            <family val="2"/>
          </rPr>
          <t>JAMES METIER_x000D_
http://yeinfo.com/family/I09000688.html_x000D_
https://www.google.com/search?q=JAMES+METIER+1697+1785+MARGARET_x000D_
.born:c1697    -          Kilkeel (Down) Northern Ireland_x000D_
.died: 17850216-          Cumberland county Pennsylvania, age:88y 1m 15d, _x000D_
.bapt: 1785GE_x000D_
.will: 2004MO_x000D_
.obit: 1890OH_x000D_
.bury: 1850IL Silver Spring Presbyterian Cemetery_x000D_
.wpbt: 1826PA_x000D_
.anc#:ancestor_x000D_
citiz:immigrant_x000D_
#spos:2_x000D_
#srcs:1_x000D_
#comment:1_x000D_
#events:5_x000D_
#kids:5_x000D_
lived:?PACUMBEALLEN,NIDOWN KILKEEL,PACUMBEMECHANI_x000D_
issue:_x000D_
.recs:Birth,Death,Immigrate_x000D_
.imm?:immigrant_x000D_
..Spo:MARGARET ANDERSON</t>
        </r>
      </text>
    </comment>
    <comment ref="J4656" authorId="0" shapeId="0" xr:uid="{C2D7FB93-2239-4258-88CF-BA562D4DD410}">
      <text>
        <r>
          <rPr>
            <sz val="9"/>
            <color indexed="81"/>
            <rFont val="Tahoma"/>
            <family val="2"/>
          </rPr>
          <t>JOHN METIER_x000D_
http://yeinfo.com/family/I09000344.html_x000D_
https://www.google.com/search?q=JOHN+METIER+1736+1790+MARY_x000D_
.born: 17360430-          Cumberland county Pennsylvania_x000D_
.died: 17900410-          Cumberland county Pennsylvania, age:53y 11m 11d, _x000D_
.bapt: 1785GE_x000D_
.will: 2004MO_x000D_
.obit: 1890OH_x000D_
.bury: 1850IL Silver Spring Presbyterian Church Cemetery_x000D_
.wpbt: 1826PA_x000D_
.anc#:ancestor_x000D_
citiz:US born_x000D_
#spos:1_x000D_
#srcs:1_x000D_
#comment:0_x000D_
#events:2_x000D_
#kids:8_x000D_
lived:PACUMBEMECHANI_x000D_
issue:_x000D_
.recs:Birth,Marriage,Death,Interment/Burial_x000D_
.imm?:no_x000D_
..Spo:MARY HUSTON</t>
        </r>
      </text>
    </comment>
    <comment ref="K4658" authorId="0" shapeId="0" xr:uid="{69214125-04DB-4533-9D34-CBA8BC920F4E}">
      <text>
        <r>
          <rPr>
            <sz val="9"/>
            <color indexed="81"/>
            <rFont val="Tahoma"/>
            <family val="2"/>
          </rPr>
          <t>MARGARET ANDERSON_x000D_
http://yeinfo.com/family/I09000689.html_x000D_
https://www.google.com/search?q=MARGARET+ANDERSON+1700+1770+METIER_x000D_
.born:c1700    -          Down county Northern Ireland_x000D_
.died:c1770    -         ?Cumberland county Pennsylvania, age:70y 0m 0d, _x000D_
.bapt: 1785GE_x000D_
.will: 2004MO_x000D_
.obit: 1890OH_x000D_
.bury: 1850IL Silver Spring Presbyterian Cemetery_x000D_
.wpbt: 1826PA_x000D_
.anc#:ancestor_x000D_
citiz:immigrant_x000D_
#spos:1_x000D_
#srcs:1_x000D_
#comment:0_x000D_
#events:2_x000D_
#kids:5_x000D_
lived:?PACUMBEALLEN,NIDOWN,PACUMBEMECHANI_x000D_
issue:_x000D_
.recs:Birth,Marriage,Death,Interment/Burial_x000D_
.imm?:immigrant_x000D_
..Spo:JAMES METIER</t>
        </r>
      </text>
    </comment>
    <comment ref="I4660" authorId="0" shapeId="0" xr:uid="{D7AE14E6-E984-4823-BD64-65C3EED11FCD}">
      <text>
        <r>
          <rPr>
            <sz val="9"/>
            <color indexed="81"/>
            <rFont val="Tahoma"/>
            <family val="2"/>
          </rPr>
          <t>SAMUEL HUSTON METIER Jr._x000D_
http://yeinfo.com/family/I09000172.html_x000D_
https://www.google.com/search?q=SAMUEL+HUSTON+METIER+1752+1814+HANNAH_x000D_
.born: 1752    -          Mechanicsville (Cumberland) Pennsylvania_x000D_
.died: 1814    -1842     ?York county Pennsylvania, age:62y 0m 0d, _x000D_
.bapt: 1785GE_x000D_
.will: 2004MO_x000D_
.obit: 1890OH_x000D_
.bury: 1850IL _x000D_
.wpbt: 1826PA_x000D_
.anc#:ancestor_x000D_
citiz:US born_x000D_
#spos:1_x000D_
#srcs:1_x000D_
#comment:0_x000D_
#events:1_x000D_
#kids:8_x000D_
lived:?PAYORK,PACUMBEMECHANI_x000D_
issue:Born before Parents Married_x000D_
.recs:Birth,Marriage,Death_x000D_
.imm?:no_x000D_
..Spo:HANNAH NESBIT</t>
        </r>
      </text>
    </comment>
    <comment ref="L4662" authorId="0" shapeId="0" xr:uid="{37E117BD-BFC4-4078-A45D-D3939F3ADA9B}">
      <text>
        <r>
          <rPr>
            <sz val="9"/>
            <color indexed="81"/>
            <rFont val="Tahoma"/>
            <family val="2"/>
          </rPr>
          <t>JOHN HUSTON_x000D_
http://yeinfo.com/family/I09001380.html_x000D_
https://www.google.com/search?q=JOHN+HUSTON+1670+1760+MARGARET_x000D_
.born:?1670    -         ?Ireland_x000D_
.died:?1760    -         ?, age:90y 0m 0d, _x000D_
.bapt: 1785GE_x000D_
.will: 2004MO_x000D_
.obit: 1890OH_x000D_
.bury: 1850IL _x000D_
.wpbt: 1826PA_x000D_
.anc#:ancestor_x000D_
citiz:US born_x000D_
#spos:1_x000D_
#srcs:1_x000D_
#comment:0_x000D_
#events:1_x000D_
#kids:3_x000D_
lived:?IR_x000D_
issue:_x000D_
.recs:Birth,Marriage,Death_x000D_
.imm?:no_x000D_
..Spo:MARGARET CUNNINGHAM</t>
        </r>
      </text>
    </comment>
    <comment ref="K4664" authorId="0" shapeId="0" xr:uid="{A941D975-8424-481D-ABBB-3744239B330D}">
      <text>
        <r>
          <rPr>
            <sz val="9"/>
            <color indexed="81"/>
            <rFont val="Tahoma"/>
            <family val="2"/>
          </rPr>
          <t>SAMUEL HUSTON_x000D_
http://yeinfo.com/family/I09000690.html_x000D_
https://www.google.com/search?q=SAMUEL+HUSTON+1708+1784+ISABELLA_x000D_
.born: 1708    -          Cumberland county Pennsylvania_x000D_
.died: 1784    -          Silver Spring (Cumberland) Pennsylvania, age:76y 0m 0d, _x000D_
.bapt: 1785GE_x000D_
.will: 2004MO_x000D_
.obit: 1890OH_x000D_
.bury: 1850IL Pine Hill Cemetery_x000D_
.wpbt: 1826PA_x000D_
.anc#:ancestor_x000D_
citiz:US born_x000D_
#spos:1_x000D_
#srcs:2_x000D_
#comment:0_x000D_
#events:5_x000D_
#kids:10_x000D_
lived:PACUMBECARLISL,PACUMBESILVERG,ST_x000D_
issue:_x000D_
.recs:Birth,Military,Marriage,Death,Interment/Burial,Land Transaction_x000D_
.imm?:no_x000D_
..Spo:ISABELLA SHARON</t>
        </r>
      </text>
    </comment>
    <comment ref="L4666" authorId="0" shapeId="0" xr:uid="{A3CECD52-F238-4A43-AF0C-514607DA08F9}">
      <text>
        <r>
          <rPr>
            <sz val="9"/>
            <color indexed="81"/>
            <rFont val="Tahoma"/>
            <family val="2"/>
          </rPr>
          <t>MARGARET CUNNINGHAM_x000D_
http://yeinfo.com/family/I09001381.html_x000D_
https://www.google.com/search?q=MARGARET+CUNNINGHAM+1675+1754+HUSTON_x000D_
.born:a16750808-          Scotland_x000D_
.died:?1754    -          Rockingham county Virginia, age:78y 4m 24d, _x000D_
.bapt: 1785GE_x000D_
.will: 2004MO_x000D_
.obit: 1890OH_x000D_
.bury: 1850IL _x000D_
.wpbt: 1826PA_x000D_
.anc#:ancestor_x000D_
citiz:immigrant_x000D_
#spos:1_x000D_
#srcs:1_x000D_
#comment:0_x000D_
#events:1_x000D_
#kids:3_x000D_
lived:ST,VAROCKI_x000D_
issue:_x000D_
.recs:Birth,Marriage,Death_x000D_
.imm?:immigrant_x000D_
..Spo:JOHN HUSTON</t>
        </r>
      </text>
    </comment>
    <comment ref="J4668" authorId="0" shapeId="0" xr:uid="{9A9821A6-F02D-409F-BAD8-BF4BB54973ED}">
      <text>
        <r>
          <rPr>
            <sz val="9"/>
            <color indexed="81"/>
            <rFont val="Tahoma"/>
            <family val="2"/>
          </rPr>
          <t>MARY HUSTON_x000D_
http://yeinfo.com/family/I09000345.html_x000D_
https://www.google.com/search?q=MARY+HUSTON+1739+1812+METIER_x000D_
.born: 1739    -          Cumberland county Pennsylvania_x000D_
.died: 18120212-          Cumberland county Pennsylvania, age:73y 1m 11d, _x000D_
.bapt: 1785GE_x000D_
.will: 2004MO_x000D_
.obit: 1890OH_x000D_
.bury: 1850IL _x000D_
.wpbt: 1826PA_x000D_
.anc#:ancestor_x000D_
citiz:US born_x000D_
#spos:1_x000D_
#srcs:1_x000D_
#comment:0_x000D_
#events:1_x000D_
#kids:8_x000D_
lived:PACUMBE_x000D_
issue:_x000D_
.recs:Birth,Marriage,Death_x000D_
.imm?:no_x000D_
..Spo:JOHN METIER</t>
        </r>
      </text>
    </comment>
    <comment ref="M4670" authorId="0" shapeId="0" xr:uid="{AE96EAAE-95DE-4206-BD6D-C2C2EE646FBB}">
      <text>
        <r>
          <rPr>
            <sz val="9"/>
            <color indexed="81"/>
            <rFont val="Tahoma"/>
            <family val="2"/>
          </rPr>
          <t>WILLIAM SHARON_x000D_
http://yeinfo.com/family/I09002764.html_x000D_
https://www.google.com/search?q=WILLIAM+SHARON+1670+1752+MARGARET_x000D_
.born:?1670    -          Antrim county Ireland_x000D_
.died: 17520302-          Hopewell (Cumberland) Pennsylvania, age:82y 2m 1d, _x000D_
.bapt: 1785GE_x000D_
.will: 2004MO_x000D_
.obit: 1890OH_x000D_
.bury: 1850IL _x000D_
.wpbt: 1826PA_x000D_
.anc#:ancestor_x000D_
citiz:immigrant_x000D_
#spos:1_x000D_
#srcs:1_x000D_
#comment:0_x000D_
#events:1_x000D_
#kids:1_x000D_
lived:IRANTRI,PACUMBEHOPEWEL_x000D_
issue:_x000D_
.recs:Birth,Marriage,Death_x000D_
.imm?:immigrant_x000D_
..Spo:MARGARET CHAMBERS</t>
        </r>
      </text>
    </comment>
    <comment ref="L4672" authorId="0" shapeId="0" xr:uid="{01C5CAAD-D82A-4F8C-A5F3-5EFB8674C63F}">
      <text>
        <r>
          <rPr>
            <sz val="9"/>
            <color indexed="81"/>
            <rFont val="Tahoma"/>
            <family val="2"/>
          </rPr>
          <t>JAMES SHARON_x000D_
http://yeinfo.com/family/I09001382.html_x000D_
https://www.google.com/search?q=JAMES+SHARON+1700+1808+{_?_}_x000D_
.born:?1700    -         ?Sadsbury (Lancaster) Pennsylvania_x000D_
.died:c1808    -          Jefferson county Ohio, age:108y 0m 0d, _x000D_
.bapt: 1785GE_x000D_
.will: 2004MO_x000D_
.obit: 1890OH_x000D_
.bury: 1850IL _x000D_
.wpbt: 1826PA_x000D_
.anc#:ancestor_x000D_
citiz:US born_x000D_
#spos:1_x000D_
#srcs:1_x000D_
#comment:0_x000D_
#events:1_x000D_
#kids:3_x000D_
lived:?PALANCASADSBUR,OHJEFFE_x000D_
issue:Died after Age 100,Married after Age 60_x000D_
.recs:Birth,Marriage,Death_x000D_
.imm?:no_x000D_
..Spo:{_?_} SHARON</t>
        </r>
      </text>
    </comment>
    <comment ref="M4674" authorId="0" shapeId="0" xr:uid="{BBEE660F-F112-4317-B8C4-4BF927CE0A1C}">
      <text>
        <r>
          <rPr>
            <sz val="9"/>
            <color indexed="81"/>
            <rFont val="Tahoma"/>
            <family val="2"/>
          </rPr>
          <t>MARGARET CHAMBERS_x000D_
http://yeinfo.com/family/I09002765.html_x000D_
https://www.google.com/search?q=MARGARET+CHAMBERS+1670+1759+SHARON_x000D_
.born:?1670    -          Ulster county Ireland_x000D_
.died:c1759    -          Cumberland county Pennsylvania, age:89y 0m 0d, _x000D_
.bapt: 1785GE_x000D_
.will: 2004MO_x000D_
.obit: 1890OH_x000D_
.bury: 1850IL _x000D_
.wpbt: 1826PA_x000D_
.anc#:ancestor_x000D_
citiz:immigrant_x000D_
#spos:1_x000D_
#srcs:1_x000D_
#comment:0_x000D_
#events:1_x000D_
#kids:1_x000D_
lived:IRULSTE,PACUMBE_x000D_
issue:_x000D_
.recs:Birth,Marriage,Death_x000D_
.imm?:immigrant_x000D_
..Spo:WILLIAM SHARON</t>
        </r>
      </text>
    </comment>
    <comment ref="K4676" authorId="0" shapeId="0" xr:uid="{A2451E26-C385-423D-827E-86A53A397B10}">
      <text>
        <r>
          <rPr>
            <sz val="9"/>
            <color indexed="81"/>
            <rFont val="Tahoma"/>
            <family val="2"/>
          </rPr>
          <t>ISABELLA SHARON_x000D_
http://yeinfo.com/family/I09000691.html_x000D_
https://www.google.com/search?q=ISABELLA+SHARON+1708+1739+HUSTON_x000D_
.born: 1708    -         ?Pennsylvania_x000D_
.died: 1739    -1798     ?Cumberland county Pennsylvania, age:31y 0m 0d, _x000D_
.bapt: 1785GE_x000D_
.will: 2004MO_x000D_
.obit: 1890OH_x000D_
.bury: 1850IL _x000D_
.wpbt: 1826PA_x000D_
.anc#:ancestor_x000D_
citiz:US born_x000D_
#spos:1_x000D_
#srcs:1_x000D_
#comment:0_x000D_
#events:1_x000D_
#kids:10_x000D_
lived:?PA,PACUMBESILVERG_x000D_
issue:Born before Parents Married_x000D_
.recs:Birth,Marriage,Death_x000D_
.imm?:no_x000D_
..Spo:SAMUEL HUSTON</t>
        </r>
      </text>
    </comment>
    <comment ref="L4678" authorId="0" shapeId="0" xr:uid="{43053770-2B8F-49D3-A7B5-A66DCC3FD25B}">
      <text>
        <r>
          <rPr>
            <sz val="9"/>
            <color indexed="81"/>
            <rFont val="Tahoma"/>
            <family val="2"/>
          </rPr>
          <t>Mrs. {_?_} SHARON_x000D_
http://yeinfo.com/family/I09001383.html_x000D_
https://www.google.com/search?q={_?_}+SHARON+1690+1710+SHARON_x000D_
.born:?1690    -         ?_x000D_
.died: 1710    -1780     ?, age:20y 0m 0d, _x000D_
.bapt: 1785GE_x000D_
.will: 2004MO_x000D_
.obit: 1890OH_x000D_
.bury: 1850IL _x000D_
.wpbt: 1826PA_x000D_
.anc#:ancestor_x000D_
citiz:US born_x000D_
#spos:1_x000D_
#srcs:1_x000D_
#comment:0_x000D_
#events:1_x000D_
#kids:3_x000D_
lived:_x000D_
issue:_x000D_
.recs:Birth,Marriage,Death_x000D_
.imm?:no_x000D_
..Spo:JAMES SHARON</t>
        </r>
      </text>
    </comment>
    <comment ref="H4680" authorId="0" shapeId="0" xr:uid="{713C969C-7A4B-487D-B792-066E909939C4}">
      <text>
        <r>
          <rPr>
            <sz val="9"/>
            <color indexed="81"/>
            <rFont val="Tahoma"/>
            <family val="2"/>
          </rPr>
          <t>WILLIAM NESBIT METIER_x000D_
http://yeinfo.com/family/I09000086.html_x000D_
https://www.google.com/search?q=WILLIAM+NESBIT+METIER+1800+1851+SARAH_x000D_
.born: 18000418-          Lancaster county Pennsylvania_x000D_
.died: 18510811-          Vermilion county Illinois, age:51y 3m 24d, _x000D_
.bapt: 1785GE_x000D_
.will: 2004MO_x000D_
.obit: 1890OH_x000D_
.bury: 1850IL Locket Cemetery_x000D_
.wpbt: 1826PA_x000D_
.anc#:ancestor_x000D_
citiz:US born_x000D_
#spos:1_x000D_
#srcs:7_x000D_
#comment:1_x000D_
#events:11_x000D_
#kids:11_x000D_
lived:ILVERMIWESTVIL,OHCLERM,PACHESR,PALANCA_x000D_
issue:_x000D_
.recs:Birth,Marriage,Deed,Interment/Burial,Land Transaction_x000D_
.imm?:no_x000D_
..Spo:SARAH MOYERS</t>
        </r>
      </text>
    </comment>
    <comment ref="M4682" authorId="0" shapeId="0" xr:uid="{439D333A-A84E-45A9-8554-A3630A3A3FF4}">
      <text>
        <r>
          <rPr>
            <sz val="9"/>
            <color indexed="81"/>
            <rFont val="Tahoma"/>
            <family val="2"/>
          </rPr>
          <t>ALEXANDER NESBIT_x000D_
http://yeinfo.com/family/I09002768.html_x000D_
https://www.google.com/search?q=ALEXANDER+NESBIT+1620+1670+{_?_}_x000D_
.born:c1620    -          Scotland_x000D_
.died: 1670    -1710      , age:50y 0m 0d, _x000D_
.bapt: 1785GE_x000D_
.will: 2004MO_x000D_
.obit: 1890OH_x000D_
.bury: 1850IL _x000D_
.wpbt: 1826PA_x000D_
.anc#:ancestor_x000D_
citiz:US born_x000D_
#spos:1_x000D_
#srcs:1_x000D_
#comment:0_x000D_
#events:1_x000D_
#kids:1_x000D_
lived:ST_x000D_
issue:_x000D_
.recs:Birth,Marriage,Death_x000D_
.imm?:no_x000D_
..Spo:{_?_} NESBIT</t>
        </r>
      </text>
    </comment>
    <comment ref="L4684" authorId="0" shapeId="0" xr:uid="{8C528681-7900-4E76-AB30-88EA84A1B03B}">
      <text>
        <r>
          <rPr>
            <sz val="9"/>
            <color indexed="81"/>
            <rFont val="Tahoma"/>
            <family val="2"/>
          </rPr>
          <t>ALEXANDER NESBIT_x000D_
http://yeinfo.com/family/I09001384.html_x000D_
https://www.google.com/search?q=ALEXANDER+NESBIT+1670+1691+ELIZABETH_x000D_
.born: 16700820-          Scotland_x000D_
.died: 1691    -1760      Chester (Delaware) Pennsylvania, age:20y 4m 12d, _x000D_
.bapt: 1785GE_x000D_
.will: 2004MO_x000D_
.obit: 1890OH_x000D_
.bury: 1850IL _x000D_
.wpbt: 1826PA_x000D_
.anc#:ancestor_x000D_
citiz:immigrant_x000D_
#spos:1_x000D_
#srcs:1_x000D_
#comment:0_x000D_
#events:2_x000D_
#kids:1_x000D_
lived:?PAYORK,PADELAWCHESTER,ST_x000D_
issue:_x000D_
.recs:Birth,Marriage,Death_x000D_
.imm?:immigrant_x000D_
..Spo:ELIZABETH GLEDSON</t>
        </r>
      </text>
    </comment>
    <comment ref="M4686" authorId="0" shapeId="0" xr:uid="{A9BB3A92-8D3D-4AED-A644-E3B194E8537B}">
      <text>
        <r>
          <rPr>
            <sz val="9"/>
            <color indexed="81"/>
            <rFont val="Tahoma"/>
            <family val="2"/>
          </rPr>
          <t>Mrs. {_?_} NESBIT_x000D_
http://yeinfo.com/family/I09002769.html_x000D_
https://www.google.com/search?q={_?_}+NESBIT+1620+1670+NESBIT_x000D_
.born:?1620    -         ?Berwick county Scotland_x000D_
.died: 1670    -1710      , age:50y 0m 0d, _x000D_
.bapt: 1785GE_x000D_
.will: 2004MO_x000D_
.obit: 1890OH_x000D_
.bury: 1850IL _x000D_
.wpbt: 1826PA_x000D_
.anc#:ancestor_x000D_
citiz:US born_x000D_
#spos:1_x000D_
#srcs:1_x000D_
#comment:0_x000D_
#events:1_x000D_
#kids:1_x000D_
lived:?STBERWI_x000D_
issue:_x000D_
.recs:Birth,Marriage,Death_x000D_
.imm?:no_x000D_
..Spo:ALEXANDER NESBIT</t>
        </r>
      </text>
    </comment>
    <comment ref="K4688" authorId="0" shapeId="0" xr:uid="{D63ADC9F-5849-4180-A943-FD6050201204}">
      <text>
        <r>
          <rPr>
            <sz val="9"/>
            <color indexed="81"/>
            <rFont val="Tahoma"/>
            <family val="2"/>
          </rPr>
          <t>JAMES NESBIT_x000D_
http://yeinfo.com/family/I09000692.html_x000D_
https://www.google.com/search?q=JAMES+NESBIT+1691+1730+JEMIMA_x000D_
.born: 1691    -          Warrington (York) Pennsylvania_x000D_
.died:?1730    -          Pennsylvania, age:39y 0m 0d, _x000D_
.bapt: 1785GE_x000D_
.will: 2004MO_x000D_
.obit: 1890OH_x000D_
.bury: 1850IL _x000D_
.wpbt: 1826PA_x000D_
.anc#:ancestor_x000D_
citiz:US born_x000D_
#spos:1_x000D_
#srcs:2_x000D_
#comment:0_x000D_
#events:1_x000D_
#kids:5_x000D_
lived:PAYORK WARRING_x000D_
issue:_x000D_
.recs:Birth,Marriage,Death_x000D_
.imm?:no_x000D_
..Spo:JEMIMA PRATT</t>
        </r>
      </text>
    </comment>
    <comment ref="L4690" authorId="0" shapeId="0" xr:uid="{7CA1E6B6-D9E9-424D-A59C-C4A0792FE581}">
      <text>
        <r>
          <rPr>
            <sz val="9"/>
            <color indexed="81"/>
            <rFont val="Tahoma"/>
            <family val="2"/>
          </rPr>
          <t>ELIZABETH GLEDSON_x000D_
http://yeinfo.com/family/I09001385.html_x000D_
https://www.google.com/search?q=ELIZABETH+GLEDSON+1672+1692+NESBIT_x000D_
.born:?1672    -          Berwick county Scotland_x000D_
.died: 1692    -1762     ?York county Pennsylvania, age:20y 0m 0d, _x000D_
.bapt: 1785GE_x000D_
.will: 2004MO_x000D_
.obit: 1890OH_x000D_
.bury: 1850IL _x000D_
.wpbt: 1826PA_x000D_
.anc#:ancestor_x000D_
citiz:immigrant_x000D_
#spos:1_x000D_
#srcs:1_x000D_
#comment:0_x000D_
#events:1_x000D_
#kids:1_x000D_
lived:?PAYORK,STBERWI_x000D_
issue:_x000D_
.recs:Birth,Marriage,Death_x000D_
.imm?:immigrant_x000D_
..Spo:ALEXANDER NESBIT</t>
        </r>
      </text>
    </comment>
    <comment ref="J4692" authorId="0" shapeId="0" xr:uid="{39D8D847-0DC4-4423-8AFB-79F6FCD96ACB}">
      <text>
        <r>
          <rPr>
            <sz val="9"/>
            <color indexed="81"/>
            <rFont val="Tahoma"/>
            <family val="2"/>
          </rPr>
          <t>JOHN NESBIT_x000D_
http://yeinfo.com/family/I09000346.html_x000D_
https://www.google.com/search?q=JOHN+NESBIT+1720+1801+HANNAH+Creighton_x000D_
.born: 1720    -          Kennett (Chester) Pennsylvania_x000D_
.died: 180111  -          Rossville (York) Pennsylvania, age:81y 10m 0d, _x000D_
.bapt: 1785GE_x000D_
.will: 2004MO_x000D_
.obit: 1890OH_x000D_
.bury: 1850IL _x000D_
.wpbt: 1826PA_x000D_
.anc#:ancestor_x000D_
citiz:US born_x000D_
#spos:3_x000D_
#srcs:4_x000D_
#comment:0_x000D_
#events:5_x000D_
#kids:9_x000D_
lived:PACHESRKENNETT,PACHESRLONDOND,PAYORK ROSSVIL,PAYORK WARRING,ST_x000D_
issue:_x000D_
.recs:Birth,Marriage,Will Written,Death_x000D_
.imm?:no_x000D_
..Spo:HANNAH WICKERSHAM</t>
        </r>
      </text>
    </comment>
    <comment ref="N4694" authorId="0" shapeId="0" xr:uid="{B0391692-B0E7-4826-B901-0B3A436B1966}">
      <text>
        <r>
          <rPr>
            <sz val="9"/>
            <color indexed="81"/>
            <rFont val="Tahoma"/>
            <family val="2"/>
          </rPr>
          <t>THOMAS PRATT Sr._x000D_
http://yeinfo.com/family/I09005544.html_x000D_
https://www.google.com/search?q=THOMAS+PRATT+1605+1706+{_?_}_x000D_
.born:c1605    -          England_x000D_
.died: 17060208-         ?Waterton (Middlesex) Massachusetts, age:101y 1m 7d, _x000D_
.bapt: 1785GE_x000D_
.will: 2004MO_x000D_
.obit: 1890OH_x000D_
.bury: 1850IL _x000D_
.wpbt: 1826PA_x000D_
.anc#:double ancestor_x000D_
citiz:immigrant_x000D_
#spos:1_x000D_
#srcs:3_x000D_
#comment:0_x000D_
#events:1_x000D_
#kids:1_x000D_
lived:?MAMIDDLWATERTO,EN_x000D_
issue:Married after Age 60_x000D_
.recs:Birth,Marriage,Death_x000D_
.imm?:immigrant_x000D_
..Spo:{_?_} PRATT</t>
        </r>
      </text>
    </comment>
    <comment ref="M4696" authorId="0" shapeId="0" xr:uid="{237EF03B-003F-4F60-A623-AFCB450C9366}">
      <text>
        <r>
          <rPr>
            <sz val="9"/>
            <color indexed="81"/>
            <rFont val="Tahoma"/>
            <family val="2"/>
          </rPr>
          <t>THOMAS PRATT Jr._x000D_
http://yeinfo.com/family/I09002772.html_x000D_
https://www.google.com/search?q=THOMAS+PRATT+1633+1692+SUSANNAH+PAGE_x000D_
.born:?1633    -         ?Framingham (Middlesex) Massachusetts_x000D_
.died: 16920926-          Sherborn (Middlesex) Massachusetts, age:59y 8m 25d, _x000D_
.bapt: 1785GE_x000D_
.will: 2004MO_x000D_
.obit: 1890OH_x000D_
.bury: 1850IL _x000D_
.wpbt: 1826PA_x000D_
.anc#:double ancestor_x000D_
citiz:US born_x000D_
#spos:1_x000D_
#srcs:12_x000D_
#comment:0_x000D_
#events:10_x000D_
#kids:11_x000D_
lived:?MAMIDDLFRAMING,?MAMIDDLWATERTO,MAMIDDLSHERBOR,MANORFOWEYMOUT_x000D_
issue:_x000D_
.recs:Birth,Marriage,Death,Land Transaction,Freeman,Oath Taken,Inventory,Estate_x000D_
.imm?:no_x000D_
..Spo:SUSANNAH PAGE GLEASON</t>
        </r>
      </text>
    </comment>
    <comment ref="N4698" authorId="0" shapeId="0" xr:uid="{8BC390B9-C33F-4744-9599-19411922B50E}">
      <text>
        <r>
          <rPr>
            <sz val="9"/>
            <color indexed="81"/>
            <rFont val="Tahoma"/>
            <family val="2"/>
          </rPr>
          <t>Mrs. {_?_} PRATT_x000D_
http://yeinfo.com/family/I09005545.html_x000D_
https://www.google.com/search?q={_?_}+PRATT+1605+1633+PRATT_x000D_
.born:c1605    -          England_x000D_
.died: 1633    -1695     ?Middlesex county Massachusetts, age:28y 0m 0d, _x000D_
.bapt: 1785GE_x000D_
.will: 2004MO_x000D_
.obit: 1890OH_x000D_
.bury: 1850IL _x000D_
.wpbt: 1826PA_x000D_
.anc#:double ancestor_x000D_
citiz:immigrant_x000D_
#spos:1_x000D_
#srcs:2_x000D_
#comment:0_x000D_
#events:1_x000D_
#kids:1_x000D_
lived:?MAMIDDL,EN_x000D_
issue:_x000D_
.recs:Birth,Marriage,Death_x000D_
.imm?:immigrant_x000D_
..Spo:THOMAS PRATT</t>
        </r>
      </text>
    </comment>
    <comment ref="L4700" authorId="0" shapeId="0" xr:uid="{CA9F02DF-A6A1-4ED6-91E4-7D40F6594E3A}">
      <text>
        <r>
          <rPr>
            <sz val="9"/>
            <color indexed="81"/>
            <rFont val="Tahoma"/>
            <family val="2"/>
          </rPr>
          <t>EBENEZER PRATT_x000D_
http://yeinfo.com/family/I09001386.html_x000D_
https://www.google.com/search?q=EBENEZER+PRATT+1660+1737+MARY_x000D_
.born: 1660    -          Waterton (Middlesex) Massachusetts_x000D_
.died: 17370502-          Sherborn (Middlesex) Massachusetts, age:77y 4m 1d, _x000D_
.bapt: 1785GE_x000D_
.will: 2004MO_x000D_
.obit: 1890OH_x000D_
.bury: 1850IL _x000D_
.wpbt: 1826PA_x000D_
.anc#:ancestor_x000D_
citiz:US born_x000D_
#spos:1_x000D_
#srcs:4_x000D_
#comment:0_x000D_
#events:2_x000D_
#kids:6_x000D_
lived:MAMIDDLFRAMING,MAMIDDLSHERBOR,MAMIDDLSUDBURY,MAMIDDLWATERTO_x000D_
issue:_x000D_
.recs:Birth,Marriage,Death_x000D_
.imm?:no_x000D_
..Spo:MARY FLAGG</t>
        </r>
      </text>
    </comment>
    <comment ref="O4702" authorId="0" shapeId="0" xr:uid="{1F0C5A59-8C9A-4E46-9526-93BDB0F42402}">
      <text>
        <r>
          <rPr>
            <sz val="9"/>
            <color indexed="81"/>
            <rFont val="Tahoma"/>
            <family val="2"/>
          </rPr>
          <t>THOMAS GLEASON_x000D_
http://yeinfo.com/family/I09011092.html_x000D_
https://www.google.com/search?q=THOMAS+GLEASON+1572+1609+ANNE_x000D_
.born: 1572    -          Cockfield (Suffolk) England_x000D_
.died: 16090322-          Cockfield (Suffolk) England, age:37y 2m 21d, _x000D_
.bapt: 1785GE_x000D_
.will: 2004MO_x000D_
.obit: 1890OH_x000D_
.bury: 1850IL _x000D_
.wpbt: 1826PA_x000D_
.anc#:double ancestor_x000D_
citiz:foreign_x000D_
#spos:1_x000D_
#srcs:2_x000D_
#comment:0_x000D_
#events:1_x000D_
#kids:1_x000D_
lived:ENSUFFOCOCKFIE_x000D_
issue:_x000D_
.recs:Birth,Marriage,Death_x000D_
.imm?:no_x000D_
..Spo:ANNE ARMESBY</t>
        </r>
      </text>
    </comment>
    <comment ref="N4704" authorId="0" shapeId="0" xr:uid="{E5B8B849-9488-4D8E-B262-F43AF157193D}">
      <text>
        <r>
          <rPr>
            <sz val="9"/>
            <color indexed="81"/>
            <rFont val="Tahoma"/>
            <family val="2"/>
          </rPr>
          <t>THOMAS GLEASON_x000D_
http://yeinfo.com/family/I09005546.html_x000D_
https://www.google.com/search?q=THOMAS+GLEASON+1609+1686+SUSAN_x000D_
.born:?1609    -          Sulgrave (Northamptonshire) England_x000D_
.died: 1686    -          Cambridge (Middlesex) Massachusetts, age:77y 0m 0d, _x000D_
.bapt: 1785GE_x000D_
.will: 2004MO_x000D_
.obit: 1890OH_x000D_
.bury: 1850IL _x000D_
.wpbt: 1826PA_x000D_
.anc#:double ancestor_x000D_
citiz:immigrant_x000D_
#spos:1_x000D_
#srcs:1_x000D_
#comment:0_x000D_
#events:1_x000D_
#kids:11_x000D_
lived:ENNORTASULGRAV,MAMIDDLCAMBRID_x000D_
issue:_x000D_
.recs:Birth,Marriage,Death_x000D_
.imm?:immigrant_x000D_
..Spo:SUSAN PAGE</t>
        </r>
      </text>
    </comment>
    <comment ref="P4706" authorId="0" shapeId="0" xr:uid="{887F294B-8F0B-404F-985F-085B124F4EA4}">
      <text>
        <r>
          <rPr>
            <sz val="9"/>
            <color indexed="81"/>
            <rFont val="Tahoma"/>
            <family val="2"/>
          </rPr>
          <t>JOHN ARMESBY_x000D_
http://yeinfo.com/family/I09022186.html_x000D_
https://www.google.com/search?q=JOHN+ARMESBY+1545+1585+FRANCES+ARMESBY_x000D_
.born:c1545    -          Suffolk county England_x000D_
.died: 1585    -1635      Cockfield (Suffolk) England, age:40y 0m 0d, _x000D_
.bapt: 1785GE_x000D_
.will: 2004MO_x000D_
.obit: 1890OH_x000D_
.bury: 1850IL _x000D_
.wpbt: 1826PA_x000D_
.anc#:double ancestor_x000D_
citiz:foreign_x000D_
#spos:2_x000D_
#srcs:1_x000D_
#comment:0_x000D_
#events:2_x000D_
#kids:9_x000D_
lived:ENSUFFOCOCKFIE_x000D_
issue:Married before Age 16,Died before Birth_x000D_
.recs:Birth,Marriage,Death_x000D_
.imm?:no_x000D_
..Spo:FRANCES FROST</t>
        </r>
      </text>
    </comment>
    <comment ref="O4708" authorId="0" shapeId="0" xr:uid="{B964DF95-01F2-4251-93EE-886F5C536370}">
      <text>
        <r>
          <rPr>
            <sz val="9"/>
            <color indexed="81"/>
            <rFont val="Tahoma"/>
            <family val="2"/>
          </rPr>
          <t>ANNE ARMESBY_x000D_
http://yeinfo.com/family/I09011093.html_x000D_
https://www.google.com/search?q=ANNE+ARMESBY+1572+1699+GLEASON_x000D_
.born:?1572    -          Cockfield (Suffolk) England_x000D_
.died: 1699    -1662      Cockfield (Suffolk) England, age:127y 0m 0d, _x000D_
.bapt: 1785GE_x000D_
.will: 2004MO_x000D_
.obit: 1890OH_x000D_
.bury: 1850IL _x000D_
.wpbt: 1826PA_x000D_
.anc#:double ancestor_x000D_
citiz:foreign_x000D_
#spos:1_x000D_
#srcs:1_x000D_
#comment:0_x000D_
#events:1_x000D_
#kids:1_x000D_
lived:ENSUFFOCOCKFIE_x000D_
issue:Married after Age 60_x000D_
.recs:Birth,Marriage,Death_x000D_
.imm?:no_x000D_
..Spo:THOMAS GLEASON</t>
        </r>
      </text>
    </comment>
    <comment ref="P4710" authorId="0" shapeId="0" xr:uid="{409A1F1C-569C-43BE-ABF2-36188135510C}">
      <text>
        <r>
          <rPr>
            <sz val="9"/>
            <color indexed="81"/>
            <rFont val="Tahoma"/>
            <family val="2"/>
          </rPr>
          <t>FRANCES FROST_x000D_
http://yeinfo.com/family/I09022187.html_x000D_
https://www.google.com/search?q=FRANCES+FROST+1555+1575+ARMESBY_x000D_
.born:c1555    -          Suffolk county England_x000D_
.died: 1575    -1645      Cockfield (Suffolk) England, age:20y 0m 0d, _x000D_
.bapt: 1785GE_x000D_
.will: 2004MO_x000D_
.obit: 1890OH_x000D_
.bury: 1850IL _x000D_
.wpbt: 1826PA_x000D_
.anc#:double ancestor_x000D_
citiz:foreign_x000D_
#spos:1_x000D_
#srcs:1_x000D_
#comment:0_x000D_
#events:1_x000D_
#kids:9_x000D_
lived:ENSUFFOCOCKFIE_x000D_
issue:Died after Age 100_x000D_
.recs:Birth,Marriage,Death_x000D_
.imm?:no_x000D_
..Spo:JOHN ARMESBY</t>
        </r>
      </text>
    </comment>
    <comment ref="M4712" authorId="0" shapeId="0" xr:uid="{12675BA2-BAFC-4D7A-843C-191AEBE0E8E0}">
      <text>
        <r>
          <rPr>
            <sz val="9"/>
            <color indexed="81"/>
            <rFont val="Tahoma"/>
            <family val="2"/>
          </rPr>
          <t>SUSANNAH PAGE GLEASON_x000D_
http://yeinfo.com/family/I09002773.html_x000D_
https://www.google.com/search?q=SUSANNAH+PAGE+GLEASON+1635+1677+PRATT_x000D_
.born:a16351013-          Cockfield (Suffolk) England_x000D_
.died: 1677    -1720      Sherborn (Middlesex) Massachusetts, age:41y 2m 19d, _x000D_
.bapt: 1785GE_x000D_
.will: 2004MO_x000D_
.obit: 1890OH_x000D_
.bury: 1850IL _x000D_
.wpbt: 1826PA_x000D_
.anc#:double ancestor_x000D_
citiz:immigrant_x000D_
#spos:1_x000D_
#srcs:6_x000D_
#comment:0_x000D_
#events:2_x000D_
#kids:11_x000D_
lived:ENSUFFOCOCKFIE,MAMIDDLSHERBOR,MAMIDDLWATERTO_x000D_
issue:_x000D_
.recs:Birth,Baptism,Marriage,Death_x000D_
.imm?:immigrant_x000D_
..Spo:THOMAS PRATT</t>
        </r>
      </text>
    </comment>
    <comment ref="N4714" authorId="0" shapeId="0" xr:uid="{66C563DA-6A7E-4C76-BBF9-F131B316F125}">
      <text>
        <r>
          <rPr>
            <sz val="9"/>
            <color indexed="81"/>
            <rFont val="Tahoma"/>
            <family val="2"/>
          </rPr>
          <t>SUSAN PAGE_x000D_
http://yeinfo.com/family/I09005547.html_x000D_
https://www.google.com/search?q=SUSAN+PAGE+1614+1681+GLEASON_x000D_
.born:?1614    -          Ingham (Suffolk) England_x000D_
.died: 16810124-          Boston (Suffolk) Massachusetts, age:67y 0m 23d, _x000D_
.bapt: 1785GE_x000D_
.will: 2004MO_x000D_
.obit: 1890OH_x000D_
.bury: 1850IL _x000D_
.wpbt: 1826PA_x000D_
.anc#:double ancestor_x000D_
citiz:immigrant_x000D_
#spos:1_x000D_
#srcs:1_x000D_
#comment:0_x000D_
#events:1_x000D_
#kids:11_x000D_
lived:ENSUFFOINGHAM,MASUFFOBOSTON_x000D_
issue:_x000D_
.recs:Birth,Marriage,Death_x000D_
.imm?:immigrant_x000D_
..Spo:THOMAS GLEASON</t>
        </r>
      </text>
    </comment>
    <comment ref="K4716" authorId="0" shapeId="0" xr:uid="{D8C1CD0D-82EC-4F2A-9968-A4A75763628F}">
      <text>
        <r>
          <rPr>
            <sz val="9"/>
            <color indexed="81"/>
            <rFont val="Tahoma"/>
            <family val="2"/>
          </rPr>
          <t>JEMIMA PRATT_x000D_
http://yeinfo.com/family/I09000693.html_x000D_
https://www.google.com/search?q=JEMIMA+PRATT+1695+1730+NESBIT_x000D_
.born: 1695    -          Springton (Chester) Pennsylvania_x000D_
.died: 1730    -1780      Chester county Pennsylvania, age:35y 0m 0d, _x000D_
.bapt: 1785GE_x000D_
.will: 2004MO_x000D_
.obit: 1890OH_x000D_
.bury: 1850IL _x000D_
.wpbt: 1826PA_x000D_
.anc#:ancestor_x000D_
citiz:US born_x000D_
#spos:1_x000D_
#srcs:3_x000D_
#comment:0_x000D_
#events:1_x000D_
#kids:5_x000D_
lived:PACHESRSPRINGN_x000D_
issue:_x000D_
.recs:Birth,Marriage,Death_x000D_
.imm?:no_x000D_
..Spo:JAMES NESBIT</t>
        </r>
      </text>
    </comment>
    <comment ref="O4718" authorId="0" shapeId="0" xr:uid="{42D8230F-54A5-4FDA-B9B1-68EA543D44A0}">
      <text>
        <r>
          <rPr>
            <sz val="9"/>
            <color indexed="81"/>
            <rFont val="Tahoma"/>
            <family val="2"/>
          </rPr>
          <t>BARTHOLOMEW FLAGG_x000D_
http://yeinfo.com/family/I09011096.html_x000D_
https://www.google.com/search?q=BARTHOLOMEW+FLAGG+1585+1629+ALICIA_x000D_
.born:c1585    -          Whinburgh (Norfolk) England_x000D_
.died: 1629    -         ?, age:44y 0m 0d, _x000D_
.bapt: 1785GE_x000D_
.will: 2004MO_x000D_
.obit: 1890OH_x000D_
.bury: 1850IL _x000D_
.wpbt: 1826PA_x000D_
.anc#:ancestor_x000D_
citiz:US born_x000D_
#spos:1_x000D_
#srcs:1_x000D_
#comment:0_x000D_
#events:1_x000D_
#kids:1_x000D_
lived:ENNORFOWHINBUR_x000D_
issue:_x000D_
.recs:Birth,Marriage,Death_x000D_
.imm?:no_x000D_
..Spo:ALICIA FLAGG</t>
        </r>
      </text>
    </comment>
    <comment ref="N4720" authorId="0" shapeId="0" xr:uid="{948A864C-23B7-429B-B95C-C1F33455F90D}">
      <text>
        <r>
          <rPr>
            <sz val="9"/>
            <color indexed="81"/>
            <rFont val="Tahoma"/>
            <family val="2"/>
          </rPr>
          <t>THOMAS FLAGG_x000D_
http://yeinfo.com/family/I09005548.html_x000D_
https://www.google.com/search?q=THOMAS+FLAGG+1615+1698+MARY_x000D_
.born: 161509  -          Hardingham (Norfolk) England_x000D_
.died: 16980206-          Waterton (Middlesex) Massachusetts, age:82y 5m 5d, _x000D_
.bapt: 1785GE_x000D_
.will: 2004MO_x000D_
.obit: 1890OH_x000D_
.bury: 1850IL _x000D_
.wpbt: 1826PA_x000D_
.anc#:ancestor_x000D_
citiz:immigrant_x000D_
#spos:1_x000D_
#srcs:1_x000D_
#comment:0_x000D_
#events:3_x000D_
#kids:11_x000D_
lived:?MAMIDDLWATERTO,ENNORFOHARDINH_x000D_
issue:_x000D_
.recs:Birth,Marriage,Will Written,Death_x000D_
.imm?:immigrant_x000D_
..Spo:MARY FLAGG</t>
        </r>
      </text>
    </comment>
    <comment ref="O4722" authorId="0" shapeId="0" xr:uid="{ACE689BA-25A7-45C9-A362-AA685A6845EB}">
      <text>
        <r>
          <rPr>
            <sz val="9"/>
            <color indexed="81"/>
            <rFont val="Tahoma"/>
            <family val="2"/>
          </rPr>
          <t>Mrs. ALICIA FLAGG_x000D_
http://yeinfo.com/family/I09011097.html_x000D_
https://www.google.com/search?q=ALICIA+FLAGG+1585+1615+FLAGG_x000D_
.born:c1585    -         ?Norfolk county England_x000D_
.died: 1615    -1675     ?, age:30y 0m 0d, _x000D_
.bapt: 1785GE_x000D_
.will: 2004MO_x000D_
.obit: 1890OH_x000D_
.bury: 1850IL _x000D_
.wpbt: 1826PA_x000D_
.anc#:ancestor_x000D_
citiz:US born_x000D_
#spos:1_x000D_
#srcs:1_x000D_
#comment:0_x000D_
#events:1_x000D_
#kids:1_x000D_
lived:?ENNORFO_x000D_
issue:_x000D_
.recs:Birth,Marriage,Death_x000D_
.imm?:no_x000D_
..Spo:BARTHOLOMEW FLAGG</t>
        </r>
      </text>
    </comment>
    <comment ref="M4724" authorId="0" shapeId="0" xr:uid="{95CFF332-A1F0-4204-96FC-72204CB3E0ED}">
      <text>
        <r>
          <rPr>
            <sz val="9"/>
            <color indexed="81"/>
            <rFont val="Tahoma"/>
            <family val="2"/>
          </rPr>
          <t>JOHN FLAGG_x000D_
http://yeinfo.com/family/I09002774.html_x000D_
https://www.google.com/search?q=JOHN+FLAGG+1643+1696+MARY_x000D_
.born: 16430614-          Waterton (Middlesex) Massachusetts_x000D_
.died: 16960206-          Waterton (Middlesex) Massachusetts, age:52y 7m 23d, _x000D_
.bapt: 1785GE_x000D_
.will: 2004MO_x000D_
.obit: 1890OH_x000D_
.bury: 1850IL _x000D_
.wpbt: 1826PA_x000D_
.anc#:ancestor_x000D_
citiz:US born_x000D_
#spos:1_x000D_
#srcs:1_x000D_
#comment:0_x000D_
#events:1_x000D_
#kids:3_x000D_
lived:MAMIDDLWATERTO_x000D_
issue:_x000D_
.recs:Birth,Marriage,Death_x000D_
.imm?:no_x000D_
..Spo:MARY GALE</t>
        </r>
      </text>
    </comment>
    <comment ref="N4726" authorId="0" shapeId="0" xr:uid="{CD11D3F3-A0F5-4CA0-A59A-DCBE79ED3026}">
      <text>
        <r>
          <rPr>
            <sz val="9"/>
            <color indexed="81"/>
            <rFont val="Tahoma"/>
            <family val="2"/>
          </rPr>
          <t>Mrs. MARY FLAGG_x000D_
http://yeinfo.com/family/I09005549.html_x000D_
https://www.google.com/search?q=MARY+FLAGG+1620+1665+FLAGG_x000D_
.born:?1620    -          Hardingham (Norfolk) England_x000D_
.died: 1665    -1710      Waterton (Middlesex) Massachusetts, age:45y 0m 0d, _x000D_
.bapt: 1785GE_x000D_
.will: 2004MO_x000D_
.obit: 1890OH_x000D_
.bury: 1850IL _x000D_
.wpbt: 1826PA_x000D_
.anc#:ancestor_x000D_
citiz:immigrant_x000D_
#spos:1_x000D_
#srcs:1_x000D_
#comment:0_x000D_
#events:1_x000D_
#kids:11_x000D_
lived:ENNORFOHARDINH,MAMIDDLWATERTO_x000D_
issue:_x000D_
.recs:Birth,Marriage,Death_x000D_
.imm?:immigrant_x000D_
..Spo:THOMAS FLAGG</t>
        </r>
      </text>
    </comment>
    <comment ref="L4728" authorId="0" shapeId="0" xr:uid="{1D99B186-833A-4B59-B1B4-621924C150BF}">
      <text>
        <r>
          <rPr>
            <sz val="9"/>
            <color indexed="81"/>
            <rFont val="Tahoma"/>
            <family val="2"/>
          </rPr>
          <t>MARY FLAGG_x000D_
http://yeinfo.com/family/I09001387.html_x000D_
https://www.google.com/search?q=MARY+FLAGG+1672+1733+PRATT_x000D_
.born: 1672    -          Waterton (Middlesex) Massachusetts_x000D_
.died: 17331118-          Sherborn (Middlesex) Massachusetts, age:61y 10m 17d, _x000D_
.bapt: 1785GE_x000D_
.will: 2004MO_x000D_
.obit: 1890OH_x000D_
.bury: 1850IL _x000D_
.wpbt: 1826PA_x000D_
.anc#:ancestor_x000D_
citiz:US born_x000D_
#spos:1_x000D_
#srcs:6_x000D_
#comment:0_x000D_
#events:1_x000D_
#kids:6_x000D_
lived:MAMIDDLSHERBOR,MAMIDDLWATERTO_x000D_
issue:_x000D_
.recs:Birth,Marriage,Death_x000D_
.imm?:no_x000D_
..Spo:EBENEZER PRATT</t>
        </r>
      </text>
    </comment>
    <comment ref="P4730" authorId="0" shapeId="0" xr:uid="{67EC24B8-05A9-4600-908A-DD209182FE6E}">
      <text>
        <r>
          <rPr>
            <sz val="9"/>
            <color indexed="81"/>
            <rFont val="Tahoma"/>
            <family val="2"/>
          </rPr>
          <t>ABRAHAM GALE_x000D_
http://yeinfo.com/family/I09022200.html_x000D_
https://www.google.com/search?q=ABRAHAM+GALE+1543+1577+MARGARET_x000D_
.born: 1543    -          Devonport (Devon) England_x000D_
.died: 1577    -1633      Devonport (Devon) England, age:34y 0m 0d, _x000D_
.bapt: 1785GE_x000D_
.will: 2004MO_x000D_
.obit: 1890OH_x000D_
.bury: 1850IL Saint Andrew Churchyard_x000D_
.wpbt: 1826PA_x000D_
.anc#:double ancestor_x000D_
citiz:foreign_x000D_
#spos:1_x000D_
#srcs:3_x000D_
#comment:0_x000D_
#events:2_x000D_
#kids:5_x000D_
lived:?ENWILTS,ENDEVONDEVONPO_x000D_
issue:_x000D_
.recs:Birth,Marriage,Death,Interment/Burial_x000D_
.imm?:no_x000D_
..Spo:MARGARET GALE</t>
        </r>
      </text>
    </comment>
    <comment ref="O4732" authorId="0" shapeId="0" xr:uid="{2123C54B-3455-49E0-BB71-CBB805702120}">
      <text>
        <r>
          <rPr>
            <sz val="9"/>
            <color indexed="81"/>
            <rFont val="Tahoma"/>
            <family val="2"/>
          </rPr>
          <t>RICHARD GALE Sr._x000D_
http://yeinfo.com/family/I09011100.html_x000D_
https://www.google.com/search?q=RICHARD+GALE+1577+1638+ALICE_x000D_
.born: 15770818-          Devonport (Devon) England_x000D_
.died: 1638    -          Devonport (Devon) England, age:60y 4m 14d, _x000D_
.bapt: 1785GE_x000D_
.will: 2004MO_x000D_
.obit: 1890OH_x000D_
.bury: 1850IL Saint Andrew Churchyard_x000D_
.wpbt: 1826PA_x000D_
.anc#:double ancestor_x000D_
citiz:foreign_x000D_
#spos:1_x000D_
#srcs:3_x000D_
#comment:0_x000D_
#events:2_x000D_
#kids:1_x000D_
lived:ENDEVONDEVONPO_x000D_
issue:_x000D_
.recs:Birth,Marriage,Death,Interment/Burial_x000D_
.imm?:no_x000D_
..Spo:ALICE ATWOOD</t>
        </r>
      </text>
    </comment>
    <comment ref="P4734" authorId="0" shapeId="0" xr:uid="{75E8FF52-FDFE-419A-B0B5-7C504A00AA66}">
      <text>
        <r>
          <rPr>
            <sz val="9"/>
            <color indexed="81"/>
            <rFont val="Tahoma"/>
            <family val="2"/>
          </rPr>
          <t>Mrs. MARGARET GALE_x000D_
http://yeinfo.com/family/I09022201.html_x000D_
https://www.google.com/search?q=MARGARET+GALE+1548+1577+GALE_x000D_
.born: 1548    -          Devonport (Devon) England_x000D_
.died: 1577    -1638      Devonport (Devon) England, age:29y 0m 0d, _x000D_
.bapt: 1785GE_x000D_
.will: 2004MO_x000D_
.obit: 1890OH_x000D_
.bury: 1850IL _x000D_
.wpbt: 1826PA_x000D_
.anc#:double ancestor_x000D_
citiz:foreign_x000D_
#spos:1_x000D_
#srcs:3_x000D_
#comment:0_x000D_
#events:1_x000D_
#kids:5_x000D_
lived:?ENWILTS,ENDEVONDEVONPO_x000D_
issue:_x000D_
.recs:Birth,Marriage,Death_x000D_
.imm?:no_x000D_
..Spo:ABRAHAM GALE</t>
        </r>
      </text>
    </comment>
    <comment ref="N4736" authorId="0" shapeId="0" xr:uid="{7AEF1F7F-D245-4398-847D-64F510BAEFFD}">
      <text>
        <r>
          <rPr>
            <sz val="9"/>
            <color indexed="81"/>
            <rFont val="Tahoma"/>
            <family val="2"/>
          </rPr>
          <t>RICHARD GALE Jr._x000D_
http://yeinfo.com/family/I09005550.html_x000D_
https://www.google.com/search?q=RICHARD+GALE+1618+1679+MARY_x000D_
.born: 16180216-          Devon county England_x000D_
.died: 16790322-          Waterton (Middlesex) Massachusetts, age:61y 1m 6d, _x000D_
.bapt: 1785GE_x000D_
.will: 2004MO_x000D_
.obit: 1890OH_x000D_
.bury: 1850IL _x000D_
.wpbt: 1826PA_x000D_
.anc#:double ancestor_x000D_
citiz:immigrant_x000D_
#spos:1_x000D_
#srcs:3_x000D_
#comment:0_x000D_
#events:1_x000D_
#kids:6_x000D_
lived:ENDEVON,MAMIDDLWATERTO_x000D_
issue:_x000D_
.recs:Birth,Marriage,Death_x000D_
.imm?:immigrant_x000D_
..Spo:MARY CASTLE</t>
        </r>
      </text>
    </comment>
    <comment ref="O4738" authorId="0" shapeId="0" xr:uid="{9A96EB22-75E2-4361-9F9A-E86183F2504D}">
      <text>
        <r>
          <rPr>
            <sz val="9"/>
            <color indexed="81"/>
            <rFont val="Tahoma"/>
            <family val="2"/>
          </rPr>
          <t>ALICE ATWOOD_x000D_
http://yeinfo.com/family/I09011101.html_x000D_
https://www.google.com/search?q=ALICE+ATWOOD+1578+1618+GALE_x000D_
.born: 1578    -1585     ?Devonport (Devon) England_x000D_
.died: 1618    -1668     ?Devonport (Devon) England, age:40y 0m 0d, _x000D_
.bapt: 1785GE_x000D_
.will: 2004MO_x000D_
.obit: 1890OH_x000D_
.bury: 1850IL Saint Andrew Churchyard_x000D_
.wpbt: 1826PA_x000D_
.anc#:double ancestor_x000D_
citiz:foreign_x000D_
#spos:1_x000D_
#srcs:3_x000D_
#comment:0_x000D_
#events:2_x000D_
#kids:1_x000D_
lived:?ENDEVONDEVONPO,EN_x000D_
issue:_x000D_
.recs:Birth,Marriage,Death,Interment/Burial_x000D_
.imm?:no_x000D_
..Spo:RICHARD GALE</t>
        </r>
      </text>
    </comment>
    <comment ref="M4740" authorId="0" shapeId="0" xr:uid="{41B4B715-1168-45ED-ABC5-95F3114AB58C}">
      <text>
        <r>
          <rPr>
            <sz val="9"/>
            <color indexed="81"/>
            <rFont val="Tahoma"/>
            <family val="2"/>
          </rPr>
          <t>MARY GALE_x000D_
http://yeinfo.com/family/I09002775.html_x000D_
https://www.google.com/search?q=MARY+GALE+1641+1715+FLAGG_x000D_
.born: 16410807-          Waterton (Middlesex) Massachusetts_x000D_
.died:c1715    -          Waterton (Middlesex) Massachusetts, age:73y 4m 25d, _x000D_
.bapt: 1785GE_x000D_
.will: 2004MO_x000D_
.obit: 1890OH_x000D_
.bury: 1850IL _x000D_
.wpbt: 1826PA_x000D_
.anc#:ancestor_x000D_
citiz:US born_x000D_
#spos:1_x000D_
#srcs:6_x000D_
#comment:0_x000D_
#events:1_x000D_
#kids:3_x000D_
lived:MAMIDDLWATERTO_x000D_
issue:_x000D_
.recs:Birth,Marriage,Death_x000D_
.imm?:no_x000D_
..Spo:JOHN FLAGG</t>
        </r>
      </text>
    </comment>
    <comment ref="P4742" authorId="0" shapeId="0" xr:uid="{F35A0172-DC6A-4A86-9771-BAAD5487D965}">
      <text>
        <r>
          <rPr>
            <sz val="9"/>
            <color indexed="81"/>
            <rFont val="Tahoma"/>
            <family val="2"/>
          </rPr>
          <t>RICHARD CASTLE_x000D_
http://yeinfo.com/family/I09022204.html_x000D_
https://www.google.com/search?q=RICHARD+CASTLE+1538+1594+ELIZABETH_x000D_
.born:c1538    -          Whiteparish (Wiltshire) England_x000D_
.died: 1594    -          Whiteparish (Wiltshire) England, age:56y 0m 0d, _x000D_
.bapt: 1785GE_x000D_
.will: 2004MO_x000D_
.obit: 1890OH_x000D_
.bury: 1850IL _x000D_
.wpbt: 1826PA_x000D_
.anc#:double ancestor_x000D_
citiz:foreign_x000D_
#spos:1_x000D_
#srcs:1_x000D_
#comment:0_x000D_
#events:1_x000D_
#kids:3_x000D_
lived:?ENWARWESTRATUA,ENWILTSWHITEPA_x000D_
issue:_x000D_
.recs:Birth,Marriage,Death_x000D_
.imm?:no_x000D_
..Spo:ELIZABETH SMITH</t>
        </r>
      </text>
    </comment>
    <comment ref="O4744" authorId="0" shapeId="0" xr:uid="{928B8D66-F9C1-4FD3-B1E9-2D5AECAA87BA}">
      <text>
        <r>
          <rPr>
            <sz val="9"/>
            <color indexed="81"/>
            <rFont val="Tahoma"/>
            <family val="2"/>
          </rPr>
          <t>RICHARD CASTLE_x000D_
http://yeinfo.com/family/I09011102.html_x000D_
https://www.google.com/search?q=RICHARD+CASTLE+1577+1632+ALICE+ELIZABETH_x000D_
.born: 15770817-         ?Stratford upon Avon (Warwickshire) England_x000D_
.died: 1632    -          Stratford upon Avon (Warwickshire) England, age:54y 4m 15d, _x000D_
.bapt: 1785GE_x000D_
.will: 2004MO_x000D_
.obit: 1890OH_x000D_
.bury: 1850IL _x000D_
.wpbt: 1826PA_x000D_
.anc#:double ancestor_x000D_
citiz:foreign_x000D_
#spos:1_x000D_
#srcs:1_x000D_
#comment:0_x000D_
#events:1_x000D_
#kids:13_x000D_
lived:?ENWARWESTRATUA_x000D_
issue:_x000D_
.recs:Birth,Marriage,Death_x000D_
.imm?:no_x000D_
..Spo:ALICE ELIZABETH CATER</t>
        </r>
      </text>
    </comment>
    <comment ref="P4746" authorId="0" shapeId="0" xr:uid="{B3BC2156-995B-478A-B8FE-E5473145D2B1}">
      <text>
        <r>
          <rPr>
            <sz val="9"/>
            <color indexed="81"/>
            <rFont val="Tahoma"/>
            <family val="2"/>
          </rPr>
          <t>ELIZABETH SMITH_x000D_
http://yeinfo.com/family/I09022205.html_x000D_
https://www.google.com/search?q=ELIZABETH+SMITH+1538+1583+CASTLE_x000D_
.born:c1538    -          Whiteparish (Wiltshire) England_x000D_
.died:c1583    -          Stratford upon Avon (Warwickshire) England, age:45y 0m 0d, _x000D_
.bapt: 1785GE_x000D_
.will: 2004MO_x000D_
.obit: 1890OH_x000D_
.bury: 1850IL _x000D_
.wpbt: 1826PA_x000D_
.anc#:double ancestor_x000D_
citiz:foreign_x000D_
#spos:1_x000D_
#srcs:1_x000D_
#comment:0_x000D_
#events:1_x000D_
#kids:3_x000D_
lived:?ENWARWESTRATUA,ENWILTSWHITEPA_x000D_
issue:_x000D_
.recs:Birth,Marriage,Death_x000D_
.imm?:no_x000D_
..Spo:RICHARD CASTLE</t>
        </r>
      </text>
    </comment>
    <comment ref="N4748" authorId="0" shapeId="0" xr:uid="{356529B8-E59C-4337-8659-0D70E0653830}">
      <text>
        <r>
          <rPr>
            <sz val="9"/>
            <color indexed="81"/>
            <rFont val="Tahoma"/>
            <family val="2"/>
          </rPr>
          <t>MARY CASTLE_x000D_
http://yeinfo.com/family/I09005551.html_x000D_
https://www.google.com/search?q=MARY+CASTLE+1624+1681+GALE_x000D_
.born: 16240404-          Warwickshire county England_x000D_
.died: 16810802-          Waterton (Middlesex) Massachusetts, age:57y 3m 29d, _x000D_
.bapt: 1785GE_x000D_
.will: 2004MO_x000D_
.obit: 1890OH_x000D_
.bury: 1850IL _x000D_
.wpbt: 1826PA_x000D_
.anc#:double ancestor_x000D_
citiz:immigrant_x000D_
#spos:1_x000D_
#srcs:3_x000D_
#comment:0_x000D_
#events:1_x000D_
#kids:6_x000D_
lived:ENWARWE,MAMIDDLWATERTO_x000D_
issue:_x000D_
.recs:Birth,Marriage,Death_x000D_
.imm?:immigrant_x000D_
..Spo:RICHARD GALE</t>
        </r>
      </text>
    </comment>
    <comment ref="O4750" authorId="0" shapeId="0" xr:uid="{C7DC9859-1A2B-4263-A351-0841209EB153}">
      <text>
        <r>
          <rPr>
            <sz val="9"/>
            <color indexed="81"/>
            <rFont val="Tahoma"/>
            <family val="2"/>
          </rPr>
          <t>ALICE ELIZABETH CATER_x000D_
http://yeinfo.com/family/I09011103.html_x000D_
https://www.google.com/search?q=ALICE+ELIZABETH+CATER+1586+1632+CASTLE_x000D_
.born: 1586    -          Stratford upon Avon (Warwickshire) England_x000D_
.died: 1632    -          Stratford upon Avon (Warwickshire) England, age:46y 0m 0d, _x000D_
.bapt: 1785GE_x000D_
.will: 2004MO_x000D_
.obit: 1890OH_x000D_
.bury: 1850IL _x000D_
.wpbt: 1826PA_x000D_
.anc#:double ancestor_x000D_
citiz:foreign_x000D_
#spos:1_x000D_
#srcs:1_x000D_
#comment:0_x000D_
#events:1_x000D_
#kids:13_x000D_
lived:ENWARWESTRATUA_x000D_
issue:_x000D_
.recs:Birth,Marriage,Death_x000D_
.imm?:no_x000D_
..Spo:RICHARD CASTLE</t>
        </r>
      </text>
    </comment>
    <comment ref="I4752" authorId="0" shapeId="0" xr:uid="{695864B5-8AF0-4F24-974B-4D0F7F26396A}">
      <text>
        <r>
          <rPr>
            <sz val="9"/>
            <color indexed="81"/>
            <rFont val="Tahoma"/>
            <family val="2"/>
          </rPr>
          <t>HANNAH NESBIT_x000D_
http://yeinfo.com/family/I09000173.html_x000D_
https://www.google.com/search?q=HANNAH+NESBIT+1770+1836+METIER_x000D_
.born:?1770    -          East Marlborough (Chester) Pennsylvania_x000D_
.died:?1836    -          Rossville (York) Pennsylvania, age:66y 0m 0d, _x000D_
.bapt: 1785GE_x000D_
.will: 2004MO_x000D_
.obit: 1890OH_x000D_
.bury: 1850IL _x000D_
.wpbt: 1826PA_x000D_
.anc#:ancestor_x000D_
citiz:US born_x000D_
#spos:1_x000D_
#srcs:3_x000D_
#comment:0_x000D_
#events:1_x000D_
#kids:8_x000D_
lived:PACHESRE. MARL,PAYORK ROSSVIL_x000D_
issue:_x000D_
.recs:Birth,Marriage,Death_x000D_
.imm?:no_x000D_
..Spo:SAMUEL HUSTON METIER</t>
        </r>
      </text>
    </comment>
    <comment ref="M4754" authorId="0" shapeId="0" xr:uid="{00F40E80-2A43-4950-B630-EFD2E31B62D7}">
      <text>
        <r>
          <rPr>
            <sz val="9"/>
            <color indexed="81"/>
            <rFont val="Tahoma"/>
            <family val="2"/>
          </rPr>
          <t>JOHN WICKERSHAM_x000D_
http://yeinfo.com/family/I09002776.html_x000D_
https://www.google.com/search?q=JOHN+WICKERSHAM+1641+1660+ELIZABETH_x000D_
.born:a16410116-          Sussex county England_x000D_
.died: 1660    -1730     ?, age:18y 11m 16d, _x000D_
.bapt: 1785GE_x000D_
.will: 2004MO_x000D_
.obit: 1890OH_x000D_
.bury: 1850IL _x000D_
.wpbt: 1826PA_x000D_
.anc#:ancestor_x000D_
citiz:US born_x000D_
#spos:1_x000D_
#srcs:1_x000D_
#comment:0_x000D_
#events:1_x000D_
#kids:1_x000D_
lived:ENSUSSE_x000D_
issue:_x000D_
.recs:Birth,Marriage,Death_x000D_
.imm?:no_x000D_
..Spo:ELIZABETH WICKERSHAM</t>
        </r>
      </text>
    </comment>
    <comment ref="L4756" authorId="0" shapeId="0" xr:uid="{A153BB01-8C17-4BA1-905C-B592D34B35EF}">
      <text>
        <r>
          <rPr>
            <sz val="9"/>
            <color indexed="81"/>
            <rFont val="Tahoma"/>
            <family val="2"/>
          </rPr>
          <t>THOMAS WICKERSHAM_x000D_
http://yeinfo.com/family/I09001388.html_x000D_
https://www.google.com/search?q=THOMAS+WICKERSHAM+1660+1730+ANN_x000D_
.born:c1660    -          Sussex county England_x000D_
.died: 17300604-          Kennett (Chester) Pennsylvania, age:70y 5m 3d, _x000D_
.bapt: 1785GE_x000D_
.will: 2004MO_x000D_
.obit: 1890OH_x000D_
.bury: 1850IL _x000D_
.wpbt: 1826PA_x000D_
.anc#:ancestor_x000D_
citiz:immigrant_x000D_
#spos:1_x000D_
#srcs:2_x000D_
#comment:0_x000D_
#events:3_x000D_
#kids:2_x000D_
lived:ENSUSSEBOLNEY,ENSUSSEHURSTPE,PACHESRE. MARL,PACHESRKENNETT_x000D_
issue:_x000D_
.recs:Birth,Death,Immigrate_x000D_
.imm?:immigrant_x000D_
..Spo:ANN GROVER</t>
        </r>
      </text>
    </comment>
    <comment ref="M4758" authorId="0" shapeId="0" xr:uid="{ADB7AE1A-BE67-40CE-9A2A-7B8DC7655BCC}">
      <text>
        <r>
          <rPr>
            <sz val="9"/>
            <color indexed="81"/>
            <rFont val="Tahoma"/>
            <family val="2"/>
          </rPr>
          <t>Mrs. ELIZABETH WICKERSHAM_x000D_
http://yeinfo.com/family/I09002777.html_x000D_
https://www.google.com/search?q=ELIZABETH+WICKERSHAM+1638+1660+WICKERSHAM_x000D_
.born:c1638    -          Sussex county England_x000D_
.died: 1660    -1728     ?, age:22y 0m 0d, _x000D_
.bapt: 1785GE_x000D_
.will: 2004MO_x000D_
.obit: 1890OH_x000D_
.bury: 1850IL _x000D_
.wpbt: 1826PA_x000D_
.anc#:ancestor_x000D_
citiz:US born_x000D_
#spos:1_x000D_
#srcs:1_x000D_
#comment:0_x000D_
#events:1_x000D_
#kids:1_x000D_
lived:ENSUSSE_x000D_
issue:_x000D_
.recs:Birth,Marriage,Death_x000D_
.imm?:no_x000D_
..Spo:JOHN WICKERSHAM</t>
        </r>
      </text>
    </comment>
    <comment ref="K4760" authorId="0" shapeId="0" xr:uid="{036B8B99-2DB2-48B0-9081-801DEBD7B20D}">
      <text>
        <r>
          <rPr>
            <sz val="9"/>
            <color indexed="81"/>
            <rFont val="Tahoma"/>
            <family val="2"/>
          </rPr>
          <t>THOMAS WICKERSHAM_x000D_
http://yeinfo.com/family/I09000694.html_x000D_
https://www.google.com/search?q=THOMAS+WICKERSHAM+1691+1726+ABIGAIL_x000D_
.born: 16910719-          Sussex county England_x000D_
.died: 1726    -         ?Pennsylvania, age:34y 5m 13d, _x000D_
.bapt: 1785GE_x000D_
.will: 2004MO_x000D_
.obit: 1890OH_x000D_
.bury: 1850IL _x000D_
.wpbt: 1826PA_x000D_
.anc#:ancestor_x000D_
citiz:immigrant_x000D_
#spos:1_x000D_
#srcs:1_x000D_
#comment:0_x000D_
#events:1_x000D_
#kids:1_x000D_
lived:ENSUSSE,PA_x000D_
issue:_x000D_
.recs:Birth,Marriage,Death_x000D_
.imm?:immigrant_x000D_
..Spo:ABIGAIL JOHNSON</t>
        </r>
      </text>
    </comment>
    <comment ref="M4762" authorId="0" shapeId="0" xr:uid="{27BE1116-0ACA-4464-81D0-3D02B7527867}">
      <text>
        <r>
          <rPr>
            <sz val="9"/>
            <color indexed="81"/>
            <rFont val="Tahoma"/>
            <family val="2"/>
          </rPr>
          <t>JOHN GROVER_x000D_
http://yeinfo.com/family/I09002778.html_x000D_
https://www.google.com/search?q=JOHN+GROVER+1646+1689+ANN_x000D_
.born: 1646    -          Hurstperpoint (Sussex) England_x000D_
.died: 16890606-          Sussex county England, age:43y 5m 5d, _x000D_
.bapt: 1785GE_x000D_
.will: 2004MO_x000D_
.obit: 1890OH_x000D_
.bury: 1850IL _x000D_
.wpbt: 1826PA_x000D_
.anc#:ancestor_x000D_
citiz:foreign_x000D_
#spos:1_x000D_
#srcs:3_x000D_
#comment:0_x000D_
#events:1_x000D_
#kids:1_x000D_
lived:ENSUSSEHURSTPE_x000D_
issue:_x000D_
.recs:Birth,Marriage,Death_x000D_
.imm?:no_x000D_
..Spo:ANN KILLINGBECK</t>
        </r>
      </text>
    </comment>
    <comment ref="L4764" authorId="0" shapeId="0" xr:uid="{E2E3C7F5-9A81-441F-B7E7-CB2F2FF5682A}">
      <text>
        <r>
          <rPr>
            <sz val="9"/>
            <color indexed="81"/>
            <rFont val="Tahoma"/>
            <family val="2"/>
          </rPr>
          <t>ANN GROVER_x000D_
http://yeinfo.com/family/I09001389.html_x000D_
https://www.google.com/search?q=ANN+GROVER+1668+1697+WICKERSHAM_x000D_
.born: 16680427-          Hurstperpoint (Sussex) England_x000D_
.died: 16970824-          Sussex county England, age:29y 3m 28d, _x000D_
.bapt: 1785GE_x000D_
.will: 2004MO_x000D_
.obit: 1890OH_x000D_
.bury: 1850IL _x000D_
.wpbt: 1826PA_x000D_
.anc#:ancestor_x000D_
citiz:foreign_x000D_
#spos:1_x000D_
#srcs:1_x000D_
#comment:0_x000D_
#events:1_x000D_
#kids:2_x000D_
lived:ENSUSSEHURSTPE_x000D_
issue:_x000D_
.recs:Birth,Marriage,Death_x000D_
.imm?:no_x000D_
..Spo:THOMAS WICKERSHAM</t>
        </r>
      </text>
    </comment>
    <comment ref="M4766" authorId="0" shapeId="0" xr:uid="{46ED7B60-8241-411D-B928-7B5B1CF9034A}">
      <text>
        <r>
          <rPr>
            <sz val="9"/>
            <color indexed="81"/>
            <rFont val="Tahoma"/>
            <family val="2"/>
          </rPr>
          <t>ANN KILLINGBECK_x000D_
http://yeinfo.com/family/I09002779.html_x000D_
https://www.google.com/search?q=ANN+KILLINGBECK+1650+1672+GROVER_x000D_
.born: 1650    -          Sussex county England_x000D_
.died: 16720511-          Sussex county England, age:22y 4m 10d, _x000D_
.bapt: 1785GE_x000D_
.will: 2004MO_x000D_
.obit: 1890OH_x000D_
.bury: 1850IL _x000D_
.wpbt: 1826PA_x000D_
.anc#:ancestor_x000D_
citiz:foreign_x000D_
#spos:1_x000D_
#srcs:3_x000D_
#comment:0_x000D_
#events:1_x000D_
#kids:1_x000D_
lived:ENSUSSE_x000D_
issue:_x000D_
.recs:Birth,Marriage,Death_x000D_
.imm?:no_x000D_
..Spo:JOHN GROVER</t>
        </r>
      </text>
    </comment>
    <comment ref="J4768" authorId="0" shapeId="0" xr:uid="{E0220215-831C-4307-8254-99536B3ED007}">
      <text>
        <r>
          <rPr>
            <sz val="9"/>
            <color indexed="81"/>
            <rFont val="Tahoma"/>
            <family val="2"/>
          </rPr>
          <t>HANNAH WICKERSHAM_x000D_
http://yeinfo.com/family/I09000347.html_x000D_
https://www.google.com/search?q=HANNAH+WICKERSHAM+1723+1811+NESBIT_x000D_
.born: 17230505-          East Marlborough (Chester) Pennsylvania_x000D_
.died: 18111215-          Chester county Pennsylvania, age:88y 7m 10d, _x000D_
.bapt: 1785GE_x000D_
.will: 2004MO_x000D_
.obit: 1890OH_x000D_
.bury: 1850IL _x000D_
.wpbt: 1826PA_x000D_
.anc#:ancestor_x000D_
citiz:US born_x000D_
#spos:1_x000D_
#srcs:6_x000D_
#comment:0_x000D_
#events:1_x000D_
#kids:9_x000D_
lived:PACHESRE. MARL,PACHESRLONDOND,PAYORK WARRING_x000D_
issue:_x000D_
.recs:Birth,Marriage,Death_x000D_
.imm?:no_x000D_
..Spo:JOHN NESBIT</t>
        </r>
      </text>
    </comment>
    <comment ref="N4770" authorId="0" shapeId="0" xr:uid="{149778D3-88D0-4E38-8AB0-F437181C3113}">
      <text>
        <r>
          <rPr>
            <sz val="9"/>
            <color indexed="81"/>
            <rFont val="Tahoma"/>
            <family val="2"/>
          </rPr>
          <t>WILLIAM JOHNSON_x000D_
http://yeinfo.com/family/I09005560.html_x000D_
https://www.google.com/search?q=WILLIAM+JOHNSON+1593+1658+AGNES_x000D_
.born: 1593    -          Dumfries county Scotland_x000D_
.died:c1658    -          England, age:65y 0m 0d, _x000D_
.bapt: 1785GE_x000D_
.will: 2004MO_x000D_
.obit: 1890OH_x000D_
.bury: 1850IL _x000D_
.wpbt: 1826PA_x000D_
.anc#:ancestor_x000D_
citiz:foreign_x000D_
#spos:1_x000D_
#srcs:1_x000D_
#comment:0_x000D_
#events:1_x000D_
#kids:1_x000D_
lived:EN,STDUMFR_x000D_
issue:_x000D_
.recs:Birth,Marriage,Death_x000D_
.imm?:no_x000D_
..Spo:AGNES MAXWELL</t>
        </r>
      </text>
    </comment>
    <comment ref="M4772" authorId="0" shapeId="0" xr:uid="{888488BD-C9F7-4E90-93D6-DCE52AED4B01}">
      <text>
        <r>
          <rPr>
            <sz val="9"/>
            <color indexed="81"/>
            <rFont val="Tahoma"/>
            <family val="2"/>
          </rPr>
          <t>JOSEPH JOHNSON_x000D_
http://yeinfo.com/family/I09002780.html_x000D_
https://www.google.com/search?q=JOSEPH+JOHNSON+1644+1695+AGNES_x000D_
.born: 1644    -          Coolboy (Wicklow) Ireland_x000D_
.died: 16951102-          Coolboy (Wicklow) Ireland, age:51y 10m 1d, _x000D_
.bapt: 1785GE_x000D_
.will: 2004MO_x000D_
.obit: 1890OH_x000D_
.bury: 1850IL _x000D_
.wpbt: 1826PA_x000D_
.anc#:ancestor_x000D_
citiz:foreign_x000D_
#spos:1_x000D_
#srcs:1_x000D_
#comment:0_x000D_
#events:1_x000D_
#kids:1_x000D_
lived:IRWICKLCOOLBOY_x000D_
issue:_x000D_
.recs:Birth,Marriage,Death_x000D_
.imm?:no_x000D_
..Spo:AGNES HENDRY</t>
        </r>
      </text>
    </comment>
    <comment ref="N4774" authorId="0" shapeId="0" xr:uid="{3CAEA2ED-61EC-4E3E-B8FF-7C3E45F8A8C0}">
      <text>
        <r>
          <rPr>
            <sz val="9"/>
            <color indexed="81"/>
            <rFont val="Tahoma"/>
            <family val="2"/>
          </rPr>
          <t>AGNES MAXWELL_x000D_
http://yeinfo.com/family/I09005561.html_x000D_
https://www.google.com/search?q=AGNES+MAXWELL+1607+1650+JOHNSON_x000D_
.born:c1607    -          Glasgow (Lanarkshire) Scotland_x000D_
.died: 165005  -          England, age:43y 4m 0d, _x000D_
.bapt: 1785GE_x000D_
.will: 2004MO_x000D_
.obit: 1890OH_x000D_
.bury: 1850IL _x000D_
.wpbt: 1826PA_x000D_
.anc#:ancestor_x000D_
citiz:foreign_x000D_
#spos:1_x000D_
#srcs:1_x000D_
#comment:0_x000D_
#events:1_x000D_
#kids:1_x000D_
lived:EN,STLANARGLASGOW_x000D_
issue:_x000D_
.recs:Birth,Marriage,Death_x000D_
.imm?:no_x000D_
..Spo:WILLIAM JOHNSON</t>
        </r>
      </text>
    </comment>
    <comment ref="L4776" authorId="0" shapeId="0" xr:uid="{03344775-1152-4081-89F4-D5B88325C7C1}">
      <text>
        <r>
          <rPr>
            <sz val="9"/>
            <color indexed="81"/>
            <rFont val="Tahoma"/>
            <family val="2"/>
          </rPr>
          <t>ROBERT JOHNSON_x000D_
http://yeinfo.com/family/I09001390.html_x000D_
https://www.google.com/search?q=ROBERT+JOHNSON+1669+1732+MARGARET_x000D_
.born: 1669    -          Coolboy (Wicklow) Ireland_x000D_
.died: 173211  -          Chester county Pennsylvania, age:63y 10m 0d, _x000D_
.bapt: 1785GE_x000D_
.will: 2004MO_x000D_
.obit: 1890OH_x000D_
.bury: 1850IL _x000D_
.wpbt: 1826PA_x000D_
.anc#:ancestor_x000D_
citiz:immigrant_x000D_
#spos:1_x000D_
#srcs:2_x000D_
#comment:0_x000D_
#events:1_x000D_
#kids:1_x000D_
lived:IRWICKLCOOLBOY,PACHESR_x000D_
issue:_x000D_
.recs:Birth,Marriage,Death_x000D_
.imm?:immigrant_x000D_
..Spo:MARGARET BRAITHWAITE</t>
        </r>
      </text>
    </comment>
    <comment ref="M4778" authorId="0" shapeId="0" xr:uid="{D05CB3C6-A99A-4F81-9B3D-D574FC32FD3B}">
      <text>
        <r>
          <rPr>
            <sz val="9"/>
            <color indexed="81"/>
            <rFont val="Tahoma"/>
            <family val="2"/>
          </rPr>
          <t>AGNES HENDRY_x000D_
http://yeinfo.com/family/I09002781.html_x000D_
https://www.google.com/search?q=AGNES+HENDRY+1644+1669+JOHNSON_x000D_
.born: 1644    -          Ireland_x000D_
.died: 1669    -1734     ?Ireland, age:25y 0m 0d, _x000D_
.bapt: 1785GE_x000D_
.will: 2004MO_x000D_
.obit: 1890OH_x000D_
.bury: 1850IL _x000D_
.wpbt: 1826PA_x000D_
.anc#:ancestor_x000D_
citiz:foreign_x000D_
#spos:1_x000D_
#srcs:1_x000D_
#comment:0_x000D_
#events:1_x000D_
#kids:1_x000D_
lived:?IRWICKLCOOLBOY,IR_x000D_
issue:_x000D_
.recs:Birth,Marriage,Death_x000D_
.imm?:no_x000D_
..Spo:JOSEPH JOHNSON</t>
        </r>
      </text>
    </comment>
    <comment ref="K4780" authorId="0" shapeId="0" xr:uid="{9B3780E2-9E74-45D6-9129-30959B7F4349}">
      <text>
        <r>
          <rPr>
            <sz val="9"/>
            <color indexed="81"/>
            <rFont val="Tahoma"/>
            <family val="2"/>
          </rPr>
          <t>ABIGAIL JOHNSON_x000D_
http://yeinfo.com/family/I09000695.html_x000D_
https://www.google.com/search?q=ABIGAIL+JOHNSON+1704+1759+WICKERSHAM_x000D_
.born:c1704    -          East Marlborough (Chester) Pennsylvania_x000D_
.died: 17590105-          East Marlborough (Chester) Pennsylvania, age:55y 0m 4d, _x000D_
.bapt: 1785GE_x000D_
.will: 2004MO_x000D_
.obit: 1890OH_x000D_
.bury: 1850IL _x000D_
.wpbt: 1826PA_x000D_
.anc#:ancestor_x000D_
citiz:US born_x000D_
#spos:1_x000D_
#srcs:2_x000D_
#comment:0_x000D_
#events:1_x000D_
#kids:1_x000D_
lived:IRWICKLCOOLBOY,PACHESRE. MARL_x000D_
issue:Died after Age 100_x000D_
.recs:Birth,Marriage,Death_x000D_
.imm?:no_x000D_
..Spo:THOMAS WICKERSHAM</t>
        </r>
      </text>
    </comment>
    <comment ref="M4782" authorId="0" shapeId="0" xr:uid="{2FA75467-057B-4BE8-B4EF-0D97F334728B}">
      <text>
        <r>
          <rPr>
            <sz val="9"/>
            <color indexed="81"/>
            <rFont val="Tahoma"/>
            <family val="2"/>
          </rPr>
          <t>JAMES BRAITHWAITE_x000D_
http://yeinfo.com/family/I09002782.html_x000D_
https://www.google.com/search?q=JAMES+BRAITHWAITE+1654+1673+MARGARET_x000D_
.born:a1654    -         ?_x000D_
.died: 1673    -1740      Cumbria county England, age:19y 0m 0d, _x000D_
.bapt: 1785GE_x000D_
.will: 2004MO_x000D_
.obit: 1890OH_x000D_
.bury: 1850IL _x000D_
.wpbt: 1826PA_x000D_
.anc#:ancestor_x000D_
citiz:US born_x000D_
#spos:1_x000D_
#srcs:1_x000D_
#comment:0_x000D_
#events:1_x000D_
#kids:1_x000D_
lived:ENCUMBR_x000D_
issue:_x000D_
.recs:Birth,Death_x000D_
.imm?:no_x000D_
..Spo:MARGARET BOULTON</t>
        </r>
      </text>
    </comment>
    <comment ref="L4784" authorId="0" shapeId="0" xr:uid="{ED69404B-7BD0-4CFC-8EED-884CF0F4F0FB}">
      <text>
        <r>
          <rPr>
            <sz val="9"/>
            <color indexed="81"/>
            <rFont val="Tahoma"/>
            <family val="2"/>
          </rPr>
          <t>MARGARET BRAITHWAITE_x000D_
http://yeinfo.com/family/I09001391.html_x000D_
https://www.google.com/search?q=MARGARET+BRAITHWAITE+1673+1704+JOHNSON_x000D_
.born: 1673    -          Carlisle (Cumbria) England_x000D_
.died: 1704    -1763      , age:31y 0m 0d, _x000D_
.bapt: 1785GE_x000D_
.will: 2004MO_x000D_
.obit: 1890OH_x000D_
.bury: 1850IL _x000D_
.wpbt: 1826PA_x000D_
.anc#:ancestor_x000D_
citiz:US born_x000D_
#spos:1_x000D_
#srcs:2_x000D_
#comment:0_x000D_
#events:1_x000D_
#kids:1_x000D_
lived:ENCUMBRCARLISL_x000D_
issue:_x000D_
.recs:Birth,Marriage,Death_x000D_
.imm?:no_x000D_
..Spo:ROBERT JOHNSON</t>
        </r>
      </text>
    </comment>
    <comment ref="M4786" authorId="0" shapeId="0" xr:uid="{783CE709-5FFC-4AB0-B45F-AA7058D2E7A0}">
      <text>
        <r>
          <rPr>
            <sz val="9"/>
            <color indexed="81"/>
            <rFont val="Tahoma"/>
            <family val="2"/>
          </rPr>
          <t>MARGARET BOULTON_x000D_
http://yeinfo.com/family/I09002783.html_x000D_
https://www.google.com/search?q=MARGARET+BOULTON+1653+1750+BRAITHWAITE_x000D_
.born:c1653    -         ?_x000D_
.died: 17501218-          Cumbria county England, age:97y 11m 17d, _x000D_
.bapt: 1785GE_x000D_
.will: 2004MO_x000D_
.obit: 1890OH_x000D_
.bury: 1850IL _x000D_
.wpbt: 1826PA_x000D_
.anc#:ancestor_x000D_
citiz:US born_x000D_
#spos:1_x000D_
#srcs:1_x000D_
#comment:0_x000D_
#events:1_x000D_
#kids:1_x000D_
lived:ENCUMBR_x000D_
issue:_x000D_
.recs:Birth,Death_x000D_
.imm?:no_x000D_
..Spo:JAMES BRAITHWAITE</t>
        </r>
      </text>
    </comment>
    <comment ref="G4788" authorId="0" shapeId="0" xr:uid="{1BCA11CB-6912-49B4-A6C8-E17E9DE59F7F}">
      <text>
        <r>
          <rPr>
            <sz val="9"/>
            <color indexed="81"/>
            <rFont val="Tahoma"/>
            <family val="2"/>
          </rPr>
          <t>ELIZABETH ANN METIER_x000D_
http://yeinfo.com/family/I09000043.html_x000D_
https://www.google.com/search?q=ELIZABETH+ANN+METIER+1829+1911+DOUGLASS_x000D_
.born: 18290415-          Clermont county Ohio_x000D_
.died: 19110527-          Lompoc (Santa Barbara) California, age:82y 1m 12d, _x000D_
.bapt: 1785GE_x000D_
.will: 2004MO_x000D_
.obit: 1890OH_x000D_
.bury: 1850IL Evergreen Cemetery lot 121 grave 6_x000D_
.wpbt: 1826PA_x000D_
.anc#:ancestor_x000D_
citiz:US born_x000D_
#spos:1_x000D_
#srcs:11_x000D_
#comment:1_x000D_
#events:12_x000D_
#kids:9_x000D_
lived:CASANTBLOMPOC,IACLNTNLINN,ILVERMIDANVILL,OHCLERM,SDCLAY VERMILL,SDTURNECENTERV_x000D_
issue:_x000D_
.recs:Birth,Marriage Intention/Bonds,Death,Church_x000D_
.imm?:no_x000D_
..Spo:GEORGE LAFFAETTE DOUGLASS</t>
        </r>
      </text>
    </comment>
    <comment ref="L4790" authorId="0" shapeId="0" xr:uid="{C3B348AE-7795-4851-9D37-652426095C7A}">
      <text>
        <r>
          <rPr>
            <sz val="9"/>
            <color indexed="81"/>
            <rFont val="Tahoma"/>
            <family val="2"/>
          </rPr>
          <t>HENRY MOYERS_x000D_
http://yeinfo.com/family/I09001392.html_x000D_
https://www.google.com/search?q=HENRY+MOYERS+1705+1730+{_?_}_x000D_
.born:?1705    -          American Samoa_x000D_
.died: 1730    -1795      Millbach (Lebanon) Pennsylvania, age:25y 0m 0d, _x000D_
.bapt: 1785GE_x000D_
.will: 2004MO_x000D_
.obit: 1890OH_x000D_
.bury: 1850IL _x000D_
.wpbt: 1826PA_x000D_
.anc#:ancestor_x000D_
citiz:immigrant_x000D_
#spos:1_x000D_
#srcs:1_x000D_
#comment:0_x000D_
#events:1_x000D_
#kids:1_x000D_
lived:AS,PALEBANMILLBAC_x000D_
issue:_x000D_
.recs:Birth,Marriage,Death_x000D_
.imm?:immigrant_x000D_
..Spo:{_?_} MOYERS</t>
        </r>
      </text>
    </comment>
    <comment ref="K4792" authorId="0" shapeId="0" xr:uid="{46E22057-0D8F-43CB-9470-9C60495C8D01}">
      <text>
        <r>
          <rPr>
            <sz val="9"/>
            <color indexed="81"/>
            <rFont val="Tahoma"/>
            <family val="2"/>
          </rPr>
          <t>JACOB MOYERS_x000D_
http://yeinfo.com/family/I09000696.html_x000D_
https://www.google.com/search?q=JACOB+MOYERS+1730+1808+SUSANNA_x000D_
.born:?1730    -          American Samoa_x000D_
.died:c1808    -         ?Centre county Pennsylvania, age:78y 0m 0d, _x000D_
.bapt: 1785GE_x000D_
.will: 2004MO_x000D_
.obit: 1890OH_x000D_
.bury: 1850IL Zion Morr Lutheran Cemetery_x000D_
.wpbt: 1826PA_x000D_
.anc#:ancestor_x000D_
citiz:immigrant_x000D_
#spos:1_x000D_
#srcs:1_x000D_
#comment:0_x000D_
#events:2_x000D_
#kids:1_x000D_
lived:AS,PACENTRREBERSB_x000D_
issue:_x000D_
.recs:Birth,Marriage,Death,Interment/Burial_x000D_
.imm?:immigrant_x000D_
..Spo:SUSANNA REAM</t>
        </r>
      </text>
    </comment>
    <comment ref="L4794" authorId="0" shapeId="0" xr:uid="{C3FE4675-1CA2-4E85-96C7-DA679EB2310D}">
      <text>
        <r>
          <rPr>
            <sz val="9"/>
            <color indexed="81"/>
            <rFont val="Tahoma"/>
            <family val="2"/>
          </rPr>
          <t>Mrs. {_?_} MOYERS_x000D_
http://yeinfo.com/family/I09001393.html_x000D_
https://www.google.com/search?q={_?_}+MOYERS+1700+1730+MOYERS_x000D_
.born:?1700    -          American Samoa_x000D_
.died: 1730    -1790     ?Lebanon county Pennsylvania, age:30y 0m 0d, _x000D_
.bapt: 1785GE_x000D_
.will: 2004MO_x000D_
.obit: 1890OH_x000D_
.bury: 1850IL _x000D_
.wpbt: 1826PA_x000D_
.anc#:ancestor_x000D_
citiz:immigrant_x000D_
#spos:1_x000D_
#srcs:1_x000D_
#comment:0_x000D_
#events:1_x000D_
#kids:1_x000D_
lived:?PALEBAN,AS_x000D_
issue:_x000D_
.recs:Birth,Marriage,Death_x000D_
.imm?:immigrant_x000D_
..Spo:HENRY MOYERS</t>
        </r>
      </text>
    </comment>
    <comment ref="J4796" authorId="0" shapeId="0" xr:uid="{1252C273-C4A4-42C3-9AAC-881E72969D01}">
      <text>
        <r>
          <rPr>
            <sz val="9"/>
            <color indexed="81"/>
            <rFont val="Tahoma"/>
            <family val="2"/>
          </rPr>
          <t>JOHN\PHILIP MOYERS_x000D_
http://yeinfo.com/family/I09000348.html_x000D_
https://www.google.com/search?q=JOHN\PHILIP+MOYERS+1755+1831+ANNA\MARGARET_x000D_
.born: 17551114-          Lebanon (Lebanon) Pennsylvania_x000D_
.died: 18310427-          Centre (Juniata) Pennsylvania, age:75y 5m 13d, _x000D_
.bapt: 1785GE_x000D_
.will: 2004MO_x000D_
.obit: 1890OH_x000D_
.bury: 1850IL St.Peters Lutheran and Reformed Cemetery_x000D_
.wpbt: 1826PA_x000D_
.anc#:ancestor_x000D_
citiz:US born_x000D_
#spos:1_x000D_
#srcs:1_x000D_
#comment:0_x000D_
#events:3_x000D_
#kids:1_x000D_
lived:PACENTRREBERSB,PAINDAABRUSH V,PAJUNIACENTRE,PALEBANLEBANON_x000D_
issue:_x000D_
.recs:Birth,Marriage,Death,Interment/Burial_x000D_
.imm?:no_x000D_
..Spo:ANNA\MARGARET MORR</t>
        </r>
      </text>
    </comment>
    <comment ref="L4798" authorId="0" shapeId="0" xr:uid="{F09E79B6-B4D1-4D69-83CC-7D0EAD825B81}">
      <text>
        <r>
          <rPr>
            <sz val="9"/>
            <color indexed="81"/>
            <rFont val="Tahoma"/>
            <family val="2"/>
          </rPr>
          <t>PETER REAM_x000D_
http://yeinfo.com/family/I09001394.html_x000D_
https://www.google.com/search?q=PETER+REAM+1705+1730+JOHANN\ANNA+ELIZABETHA_x000D_
.born:?1705    -         ?Germany_x000D_
.died: 1730    -1795      Lebanon (Lebanon) Pennsylvania, age:25y 0m 0d, _x000D_
.bapt: 1785GE_x000D_
.will: 2004MO_x000D_
.obit: 1890OH_x000D_
.bury: 1850IL _x000D_
.wpbt: 1826PA_x000D_
.anc#:ancestor_x000D_
citiz:immigrant_x000D_
#spos:1_x000D_
#srcs:2_x000D_
#comment:0_x000D_
#events:1_x000D_
#kids:1_x000D_
lived:?GE,PALEBANLEBANON_x000D_
issue:_x000D_
.recs:Birth,Marriage,Death_x000D_
.imm?:immigrant_x000D_
..Spo:JOHANN\ANNA ELIZABETHA EBERHARDT</t>
        </r>
      </text>
    </comment>
    <comment ref="K4800" authorId="0" shapeId="0" xr:uid="{94BF59C3-92AB-48A4-9D67-907DE7620DA8}">
      <text>
        <r>
          <rPr>
            <sz val="9"/>
            <color indexed="81"/>
            <rFont val="Tahoma"/>
            <family val="2"/>
          </rPr>
          <t>SUSANNA REAM_x000D_
http://yeinfo.com/family/I09000697.html_x000D_
https://www.google.com/search?q=SUSANNA+REAM+1730+1807+MOYERS_x000D_
.born: 1730    -          Snyder (Indiana) Pennsylvania_x000D_
.died: 1807    -          Freeburg (Snyder) Pennsylvania, age:77y 0m 0d, _x000D_
.bapt: 1785GE_x000D_
.will: 2004MO_x000D_
.obit: 1890OH_x000D_
.bury: 1850IL Zion Morr Lutheran Cemetery_x000D_
.wpbt: 1826PA_x000D_
.anc#:ancestor_x000D_
citiz:US born_x000D_
#spos:1_x000D_
#srcs:1_x000D_
#comment:0_x000D_
#events:2_x000D_
#kids:1_x000D_
lived:PACENTRREBERSB,PAINDAASNYDER,PASNYDEFREEBUR_x000D_
issue:_x000D_
.recs:Birth,Marriage,Death,Interment/Burial_x000D_
.imm?:no_x000D_
..Spo:JACOB MOYERS</t>
        </r>
      </text>
    </comment>
    <comment ref="L4802" authorId="0" shapeId="0" xr:uid="{F272DFCC-5BAF-4F3E-A9C3-AD1528A47035}">
      <text>
        <r>
          <rPr>
            <sz val="9"/>
            <color indexed="81"/>
            <rFont val="Tahoma"/>
            <family val="2"/>
          </rPr>
          <t>JOHANN\ANNA ELIZABETHA EBERHARDT_x000D_
http://yeinfo.com/family/I09001395.html_x000D_
https://www.google.com/search?q=JOHANN\ANNA+ELIZABETHA+EBERHARDT+1700+1730+REAM_x000D_
.born:?1700    -         ?Germany_x000D_
.died: 1730    -1790      Pennsylvania, age:30y 0m 0d, _x000D_
.bapt: 1785GE_x000D_
.will: 2004MO_x000D_
.obit: 1890OH_x000D_
.bury: 1850IL _x000D_
.wpbt: 1826PA_x000D_
.anc#:ancestor_x000D_
citiz:immigrant_x000D_
#spos:1_x000D_
#srcs:1_x000D_
#comment:0_x000D_
#events:1_x000D_
#kids:1_x000D_
lived:?GE,PA_x000D_
issue:_x000D_
.recs:Birth,Marriage,Death_x000D_
.imm?:immigrant_x000D_
..Spo:PETER REAM</t>
        </r>
      </text>
    </comment>
    <comment ref="I4804" authorId="0" shapeId="0" xr:uid="{74903B37-AB49-49EA-AA9F-CB61EC248264}">
      <text>
        <r>
          <rPr>
            <sz val="9"/>
            <color indexed="81"/>
            <rFont val="Tahoma"/>
            <family val="2"/>
          </rPr>
          <t>PHILIP MOYERS_x000D_
http://yeinfo.com/family/I09000174.html_x000D_
https://www.google.com/search?q=PHILIP+MOYERS+1780+1858+ELIZABETH+Erensparger_x000D_
.born: 17801220-          Snyder county Pennsylvania_x000D_
.died: 18581219-          Clermont county Ohio, age:77y 11m 29d, _x000D_
.bapt: 1785GE_x000D_
.will: 2004MO_x000D_
.obit: 1890OH_x000D_
.bury: 1850IL Smyrna Cemetery_x000D_
.wpbt: 1826PA_x000D_
.anc#:ancestor_x000D_
citiz:US born_x000D_
#spos:2_x000D_
#srcs:3_x000D_
#comment:1_x000D_
#events:8_x000D_
#kids:14_x000D_
lived:?OHCLERMFELICIT,KYBRACK,PACENTR,PASNYDE_x000D_
issue:_x000D_
.recs:Birth,Marriage Intention/Bonds,Will Written,Death_x000D_
.imm?:no_x000D_
..Spo:ELIZABETH MOYERS</t>
        </r>
      </text>
    </comment>
    <comment ref="M4806" authorId="0" shapeId="0" xr:uid="{5065BC66-0A69-4709-8951-00219B63C34B}">
      <text>
        <r>
          <rPr>
            <sz val="9"/>
            <color indexed="81"/>
            <rFont val="Tahoma"/>
            <family val="2"/>
          </rPr>
          <t>JOHAN NICHOLAS MORR_x000D_
http://yeinfo.com/family/I09002792.html_x000D_
https://www.google.com/search?q=JOHAN+NICHOLAS+MORR+1660+1750+BARBARA+MARIA_x000D_
.born: 16600531-          Germany_x000D_
.died: 1750    -          Tulpehocken (Berks) Pennsylvania, age:89y 7m 1d, _x000D_
.bapt: 1785GE_x000D_
.will: 2004MO_x000D_
.obit: 1890OH_x000D_
.bury: 1850IL _x000D_
.wpbt: 1826PA_x000D_
.anc#:ancestor_x000D_
citiz:immigrant_x000D_
#spos:1_x000D_
#srcs:2_x000D_
#comment:1_x000D_
#events:1_x000D_
#kids:1_x000D_
lived:GE,PABERKSTULPEHO_x000D_
issue:_x000D_
.recs:Birth,Marriage,Death_x000D_
.imm?:immigrant_x000D_
..Spo:BARBARA MARIA SCHMEUSER</t>
        </r>
      </text>
    </comment>
    <comment ref="L4808" authorId="0" shapeId="0" xr:uid="{17F18967-4ABB-48FC-8397-ACCEABB9FC99}">
      <text>
        <r>
          <rPr>
            <sz val="9"/>
            <color indexed="81"/>
            <rFont val="Tahoma"/>
            <family val="2"/>
          </rPr>
          <t>JOHANN ANDREAS MORR Sr._x000D_
http://yeinfo.com/family/I09001396.html_x000D_
https://www.google.com/search?q=JOHANN+ANDREAS+MORR+1702+1758+ANNA+ELIZABETH_x000D_
.born: 1702    -          Germany_x000D_
.died: 17580305-          Freeburg (Snyder) Pennsylvania, age:56y 2m 4d, _x000D_
.bapt: 1785GE_x000D_
.will: 2004MO_x000D_
.obit: 1890OH_x000D_
.bury: 1850IL _x000D_
.wpbt: 1826PA_x000D_
.anc#:ancestor_x000D_
citiz:immigrant_x000D_
#spos:1_x000D_
#srcs:2_x000D_
#comment:0_x000D_
#events:1_x000D_
#kids:1_x000D_
lived:GE,PASNYDEFREEBUR_x000D_
issue:_x000D_
.recs:Birth,Marriage,Death_x000D_
.imm?:immigrant_x000D_
..Spo:ANNA ELIZABETH SCHWIND</t>
        </r>
      </text>
    </comment>
    <comment ref="M4810" authorId="0" shapeId="0" xr:uid="{BCB66833-5348-48D4-BB68-B02EB2979DC3}">
      <text>
        <r>
          <rPr>
            <sz val="9"/>
            <color indexed="81"/>
            <rFont val="Tahoma"/>
            <family val="2"/>
          </rPr>
          <t>BARBARA MARIA SCHMEUSER_x000D_
http://yeinfo.com/family/I09002793.html_x000D_
https://www.google.com/search?q=BARBARA+MARIA+SCHMEUSER+1667+1755+MORR_x000D_
.born: 1667    -          Germany_x000D_
.died: 1755    -          Tulpehocken (Berks) Pennsylvania, age:88y 0m 0d, _x000D_
.bapt: 1785GE_x000D_
.will: 2004MO_x000D_
.obit: 1890OH_x000D_
.bury: 1850IL _x000D_
.wpbt: 1826PA_x000D_
.anc#:ancestor_x000D_
citiz:immigrant_x000D_
#spos:1_x000D_
#srcs:1_x000D_
#comment:1_x000D_
#events:2_x000D_
#kids:1_x000D_
lived:GE,PABERKSTULPEHO_x000D_
issue:_x000D_
.recs:Birth,Marriage,Death_x000D_
.imm?:immigrant_x000D_
..Spo:JOHAN NICHOLAS MORR</t>
        </r>
      </text>
    </comment>
    <comment ref="K4812" authorId="0" shapeId="0" xr:uid="{9C4DD813-9F37-4792-B704-38FB80D961BE}">
      <text>
        <r>
          <rPr>
            <sz val="9"/>
            <color indexed="81"/>
            <rFont val="Tahoma"/>
            <family val="2"/>
          </rPr>
          <t>JOHANN ANDREAS MORR Jr._x000D_
http://yeinfo.com/family/I09000698.html_x000D_
https://www.google.com/search?q=JOHANN+ANDREAS+MORR+1727+1801+CATHARINA+ELIZABETHA+Roenninger_x000D_
.born: 17270430-          Germany_x000D_
.died: 18010818-         ?Centre county Pennsylvania, age:74y 3m 19d, _x000D_
.bapt: 1785GE_x000D_
.will: 2004MO_x000D_
.obit: 1890OH_x000D_
.bury: 1850IL Zion-Morr Lutheran Church Cemetery_x000D_
.wpbt: 1826PA_x000D_
.anc#:ancestor_x000D_
citiz:immigrant_x000D_
#spos:2_x000D_
#srcs:3_x000D_
#comment:1_x000D_
#events:7_x000D_
#kids:1_x000D_
lived:?PACENTR,GE,PABERKSBETHEL,PALEBANSCHAEFF,PASNYDEFREEBUR_x000D_
issue:_x000D_
.recs:Birth,Military,Marriage,Ship Passenger List,Death,Interment/Burial_x000D_
.imm?:immigrant_x000D_
..Spo:CATHARINA ELIZABETHA RENNINGER</t>
        </r>
      </text>
    </comment>
    <comment ref="L4814" authorId="0" shapeId="0" xr:uid="{81A20B16-CA58-441B-BE5B-9B76F2FB42EB}">
      <text>
        <r>
          <rPr>
            <sz val="9"/>
            <color indexed="81"/>
            <rFont val="Tahoma"/>
            <family val="2"/>
          </rPr>
          <t>ANNA ELIZABETH SCHWIND_x000D_
http://yeinfo.com/family/I09001397.html_x000D_
https://www.google.com/search?q=ANNA+ELIZABETH+SCHWIND+1706+1750+MORR_x000D_
.born: 1706    -          Germany_x000D_
.died: 175011  -          Conestoga (Lancaster) Pennsylvania, age:44y 10m 0d, _x000D_
.bapt: 1785GE_x000D_
.will: 2004MO_x000D_
.obit: 1890OH_x000D_
.bury: 1850IL _x000D_
.wpbt: 1826PA_x000D_
.anc#:ancestor_x000D_
citiz:immigrant_x000D_
#spos:1_x000D_
#srcs:1_x000D_
#comment:0_x000D_
#events:1_x000D_
#kids:1_x000D_
lived:GE,PALANCACONESTO_x000D_
issue:_x000D_
.recs:Birth,Marriage,Death_x000D_
.imm?:immigrant_x000D_
..Spo:JOHANN ANDREAS MORR</t>
        </r>
      </text>
    </comment>
    <comment ref="J4816" authorId="0" shapeId="0" xr:uid="{19A64DD3-C8D8-45B8-851B-4AE176D4C7C5}">
      <text>
        <r>
          <rPr>
            <sz val="9"/>
            <color indexed="81"/>
            <rFont val="Tahoma"/>
            <family val="2"/>
          </rPr>
          <t>ANNA\MARGARET MORR_x000D_
http://yeinfo.com/family/I09000349.html_x000D_
https://www.google.com/search?q=ANNA\MARGARET+MORR+1759+1829+MOYERS_x000D_
.born: 17590820-          Pennsylvania_x000D_
.died: 18290312-          Centre (Juniata) Pennsylvania, age:69y 6m 20d, _x000D_
.bapt: 1785GE_x000D_
.will: 2004MO_x000D_
.obit: 1890OH_x000D_
.bury: 1850IL St.Peters Lutheran and Reformed Cemetery_x000D_
.wpbt: 1826PA_x000D_
.anc#:ancestor_x000D_
citiz:US born_x000D_
#spos:1_x000D_
#srcs:1_x000D_
#comment:1_x000D_
#events:2_x000D_
#kids:1_x000D_
lived:PACENTRREBERSB,PAJUNIACENTRE_x000D_
issue:_x000D_
.recs:Birth,Marriage,Death,Interment/Burial_x000D_
.imm?:no_x000D_
..Spo:JOHN\PHILIP MOYERS</t>
        </r>
      </text>
    </comment>
    <comment ref="K4818" authorId="0" shapeId="0" xr:uid="{59BA6094-13BC-4EFD-8CE3-158FE60B99FC}">
      <text>
        <r>
          <rPr>
            <sz val="9"/>
            <color indexed="81"/>
            <rFont val="Tahoma"/>
            <family val="2"/>
          </rPr>
          <t>CATHARINA ELIZABETHA RENNINGER_x000D_
http://yeinfo.com/family/I09000699.html_x000D_
https://www.google.com/search?q=CATHARINA+ELIZABETHA+RENNINGER+1732+1795+MORR_x000D_
.born: 17320417-          Germany_x000D_
.died: 17950717-         ?Snyder county Pennsylvania, age:63y 3m 0d, _x000D_
.bapt: 1785GE_x000D_
.will: 2004MO_x000D_
.obit: 1890OH_x000D_
.bury: 1850IL Zion-Morr Lutheran Church Cemetery_x000D_
.wpbt: 1826PA_x000D_
.anc#:ancestor_x000D_
citiz:immigrant_x000D_
#spos:1_x000D_
#srcs:1_x000D_
#comment:2_x000D_
#events:3_x000D_
#kids:1_x000D_
lived:GE,PABERKSBETHEL,PASNYDEFREEBUR_x000D_
issue:_x000D_
.recs:Birth,Baptism,Marriage,Death,Interment/Burial_x000D_
.imm?:immigrant_x000D_
..Spo:JOHANN ANDREAS MORR</t>
        </r>
      </text>
    </comment>
    <comment ref="H4820" authorId="0" shapeId="0" xr:uid="{26A7C030-3673-439B-BA6B-225FB707CD68}">
      <text>
        <r>
          <rPr>
            <sz val="9"/>
            <color indexed="81"/>
            <rFont val="Tahoma"/>
            <family val="2"/>
          </rPr>
          <t>SARAH MOYERS_x000D_
http://yeinfo.com/family/I09000087.html_x000D_
https://www.google.com/search?q=SARAH+MOYERS+1807+1879+METIER_x000D_
.born: 18070703-          Felicity Cove (Clermont) Ohio_x000D_
.died: 18790416-          Vermilion county Illinois, age:71y 9m 13d, _x000D_
.bapt: 1785GE_x000D_
.will: 2004MO_x000D_
.obit: 1890OH_x000D_
.bury: 1850IL _x000D_
.wpbt: 1826PA_x000D_
.anc#:ancestor_x000D_
citiz:US born_x000D_
#spos:1_x000D_
#srcs:7_x000D_
#comment:1_x000D_
#events:4_x000D_
#kids:11_x000D_
lived:ILVERMI,OHCLERMFELICIT,PAINDAABRUSH V_x000D_
issue:_x000D_
.recs:Birth,Marriage,Death_x000D_
.imm?:no_x000D_
..Spo:WILLIAM NESBIT METIER</t>
        </r>
      </text>
    </comment>
    <comment ref="M4822" authorId="0" shapeId="0" xr:uid="{CBA2EBD1-7080-47B3-BBCC-A235F8C23D10}">
      <text>
        <r>
          <rPr>
            <sz val="9"/>
            <color indexed="81"/>
            <rFont val="Tahoma"/>
            <family val="2"/>
          </rPr>
          <t>JOHANNES MOYERS_x000D_
http://yeinfo.com/family/I09002800.html_x000D_
https://www.google.com/search?q=JOHANNES+MOYERS+1630+1687+ANNA\ANNALI+ANNATOLI_x000D_
.born: 16301215-          Zurich (Zurich) Switzerland_x000D_
.died: 16870224-          Conestoga (Lancaster) Pennsylvania, age:56y 2m 9d, _x000D_
.bapt: 1785GE_x000D_
.will: 2004MO_x000D_
.obit: 1890OH_x000D_
.bury: 1850IL _x000D_
.wpbt: 1826PA_x000D_
.anc#:ancestor_x000D_
citiz:immigrant_x000D_
#spos:1_x000D_
#srcs:1_x000D_
#comment:2_x000D_
#events:1_x000D_
#kids:1_x000D_
lived:PALANCACONESTO,SZZURICZURICH_x000D_
issue:_x000D_
.recs:Birth,Marriage,Death_x000D_
.imm?:immigrant_x000D_
..Spo:ANNA\ANNALI ANNATOLI BAUMAN</t>
        </r>
      </text>
    </comment>
    <comment ref="L4824" authorId="0" shapeId="0" xr:uid="{BF7F2075-2F7C-41C0-8167-BB05ED3FE886}">
      <text>
        <r>
          <rPr>
            <sz val="9"/>
            <color indexed="81"/>
            <rFont val="Tahoma"/>
            <family val="2"/>
          </rPr>
          <t>RUDOLPH MOYERS_x000D_
http://yeinfo.com/family/I09001400.html_x000D_
https://www.google.com/search?q=RUDOLPH+MOYERS+1682+1767+BARBARA_x000D_
.born:c1682    -          Baldenheim (Alsace) France_x000D_
.died: 176701  -          Tulpehocken (Berks) Pennsylvania, age:85y 0m 0d, _x000D_
.bapt: 1785GE_x000D_
.will: 2004MO_x000D_
.obit: 1890OH_x000D_
.bury: 1850IL _x000D_
.wpbt: 1826PA_x000D_
.anc#:ancestor_x000D_
citiz:immigrant_x000D_
#spos:1_x000D_
#srcs:2_x000D_
#comment:2_x000D_
#events:1_x000D_
#kids:4_x000D_
lived:?PALANCA,FRALSACBALDENH,PABERKSTULPEHO_x000D_
issue:_x000D_
.recs:Birth,Marriage,Death_x000D_
.imm?:immigrant_x000D_
..Spo:BARBARA BERGEY</t>
        </r>
      </text>
    </comment>
    <comment ref="M4826" authorId="0" shapeId="0" xr:uid="{6A87F3C4-EFE8-4498-AE1A-395E4F19E15C}">
      <text>
        <r>
          <rPr>
            <sz val="9"/>
            <color indexed="81"/>
            <rFont val="Tahoma"/>
            <family val="2"/>
          </rPr>
          <t>ANNA\ANNALI ANNATOLI BAUMAN_x000D_
http://yeinfo.com/family/I09002801.html_x000D_
https://www.google.com/search?q=ANNA\ANNALI+ANNATOLI+BAUMAN+1635+1686+MOYERS_x000D_
.born: 16350531-          Reitnau (Zofingen) Switzerland_x000D_
.died: 16860118-          Germany, age:50y 7m 18d, _x000D_
.bapt: 1785GE_x000D_
.will: 2004MO_x000D_
.obit: 1890OH_x000D_
.bury: 1850IL _x000D_
.wpbt: 1826PA_x000D_
.anc#:ancestor_x000D_
citiz:foreign_x000D_
#spos:1_x000D_
#srcs:1_x000D_
#comment:1_x000D_
#events:1_x000D_
#kids:1_x000D_
lived:GE,SZZOFINREITNAU_x000D_
issue:_x000D_
.recs:Birth,Marriage,Death_x000D_
.imm?:no_x000D_
..Spo:JOHANNES MOYERS</t>
        </r>
      </text>
    </comment>
    <comment ref="K4828" authorId="0" shapeId="0" xr:uid="{044490E4-A0B6-41AF-84A5-5436185BAE2C}">
      <text>
        <r>
          <rPr>
            <sz val="9"/>
            <color indexed="81"/>
            <rFont val="Tahoma"/>
            <family val="2"/>
          </rPr>
          <t>JOHN MOYERS_x000D_
http://yeinfo.com/family/I09000700.html_x000D_
https://www.google.com/search?q=JOHN+MOYERS+1730+1793+MARGARETTA_x000D_
.born: 1730    -          Lancaster (Lancaster) Pennsylvania_x000D_
.died: 179310  -          Bethel (Berks) Pennsylvania, age:63y 9m 0d, _x000D_
.bapt: 1785GE_x000D_
.will: 2004MO_x000D_
.obit: 1890OH_x000D_
.bury: 1850IL _x000D_
.wpbt: 1826PA_x000D_
.anc#:ancestor_x000D_
citiz:US born_x000D_
#spos:2_x000D_
#srcs:7_x000D_
#comment:0_x000D_
#events:7_x000D_
#kids:3_x000D_
lived:PABERKSBETHEL,PACENTR,PALANCALANCAST_x000D_
issue:_x000D_
.recs:Birth,Military,Marriage,Will Inclusion,Will Written,Death_x000D_
.imm?:no_x000D_
..Spo:MARGARETTA MOYERS</t>
        </r>
      </text>
    </comment>
    <comment ref="L4830" authorId="0" shapeId="0" xr:uid="{8D5F58A7-E093-40EC-91BD-18BB19DB289B}">
      <text>
        <r>
          <rPr>
            <sz val="9"/>
            <color indexed="81"/>
            <rFont val="Tahoma"/>
            <family val="2"/>
          </rPr>
          <t>BARBARA BERGEY_x000D_
http://yeinfo.com/family/I09001401.html_x000D_
https://www.google.com/search?q=BARBARA+BERGEY+1695+1767+MOYERS_x000D_
.born:c1695    -          Rudesheim am Rhein (Hesse) Germany_x000D_
.died: 1767    -          Tulpehocken (Berks) Pennsylvania, age:72y 0m 0d, _x000D_
.bapt: 1785GE_x000D_
.will: 2004MO_x000D_
.obit: 1890OH_x000D_
.bury: 1850IL _x000D_
.wpbt: 1826PA_x000D_
.anc#:ancestor_x000D_
citiz:immigrant_x000D_
#spos:1_x000D_
#srcs:1_x000D_
#comment:0_x000D_
#events:1_x000D_
#kids:4_x000D_
lived:?PALANCA,GEHESSERUDESHE,PABERKSTULPEHO_x000D_
issue:_x000D_
.recs:Birth,Marriage,Death_x000D_
.imm?:immigrant_x000D_
..Spo:RUDOLPH MOYERS</t>
        </r>
      </text>
    </comment>
    <comment ref="J4832" authorId="0" shapeId="0" xr:uid="{38CBA6CE-4A11-465C-9BC9-D258024613B0}">
      <text>
        <r>
          <rPr>
            <sz val="9"/>
            <color indexed="81"/>
            <rFont val="Tahoma"/>
            <family val="2"/>
          </rPr>
          <t>PHILIP MOYERS_x000D_
http://yeinfo.com/family/I09000350.html_x000D_
https://www.google.com/search?q=PHILIP+MOYERS+1758+1796+ESTHER_x000D_
.born:?1758    -         ?Pennsylvania_x000D_
.died: 17960213-          Bethel (Berks) Pennsylvania, age:38y 1m 12d, _x000D_
.bapt: 1785GE_x000D_
.will: 2004MO_x000D_
.obit: 1890OH_x000D_
.bury: 1850IL _x000D_
.wpbt: 1826PA_x000D_
.anc#:ancestor_x000D_
citiz:US born_x000D_
#spos:1_x000D_
#srcs:4_x000D_
#comment:2_x000D_
#events:5_x000D_
#kids:9_x000D_
lived:?PABERKSBETHEL,OHCLERM_x000D_
issue:Born before Parents Married_x000D_
.recs:Birth,Marriage,Will Written,Death_x000D_
.imm?:no_x000D_
..Spo:ESTHER KLINE</t>
        </r>
      </text>
    </comment>
    <comment ref="K4834" authorId="0" shapeId="0" xr:uid="{A2CCD065-025E-4410-A745-BA7A5D05084B}">
      <text>
        <r>
          <rPr>
            <sz val="9"/>
            <color indexed="81"/>
            <rFont val="Tahoma"/>
            <family val="2"/>
          </rPr>
          <t>Mrs. MARGARETTA MOYERS_x000D_
http://yeinfo.com/family/I09000701.html_x000D_
https://www.google.com/search?q=MARGARETTA+MOYERS+1737+1806+MOYERS_x000D_
.born:c1737    -          Berks county Pennsylvania_x000D_
.died:c1806    -          Bethel (Berks) Pennsylvania, age:69y 0m 0d, _x000D_
.bapt: 1785GE_x000D_
.will: 2004MO_x000D_
.obit: 1890OH_x000D_
.bury: 1850IL Christ Little Tulpehocken Cemetery_x000D_
.wpbt: 1826PA_x000D_
.anc#:ancestor_x000D_
citiz:US born_x000D_
#spos:1_x000D_
#srcs:3_x000D_
#comment:0_x000D_
#events:4_x000D_
#kids:3_x000D_
lived:PABERKSBERNVIL,PABERKSBETHEL,PAFAYET_x000D_
issue:_x000D_
.recs:Birth,Marriage,Will Written,Death,Interment/Burial_x000D_
.imm?:no_x000D_
..Spo:JOHN MOYERS</t>
        </r>
      </text>
    </comment>
    <comment ref="I4836" authorId="0" shapeId="0" xr:uid="{A9DCB747-E1ED-4F33-B213-81FD0465405F}">
      <text>
        <r>
          <rPr>
            <sz val="9"/>
            <color indexed="81"/>
            <rFont val="Tahoma"/>
            <family val="2"/>
          </rPr>
          <t>ELIZABETH MOYERS_x000D_
http://yeinfo.com/family/I09000175.html_x000D_
https://www.google.com/search?q=ELIZABETH+MOYERS+1779+1815+MOYERS_x000D_
.born:c1779    -         ?Pennsylvania_x000D_
.died:c1815    -         ?Clermont county Ohio, age:36y 0m 0d, _x000D_
.bapt: 1785GE_x000D_
.will: 2004MO_x000D_
.obit: 1890OH_x000D_
.bury: 1850IL Smyrna Cemetery_x000D_
.wpbt: 1826PA_x000D_
.anc#:ancestor_x000D_
citiz:US born_x000D_
#spos:1_x000D_
#srcs:1_x000D_
#comment:1_x000D_
#events:4_x000D_
#kids:6_x000D_
lived:?OHCLERMFELICIT,?PA,KYBRACK,PABERKSBETHEL_x000D_
issue:Born before Parents Married_x000D_
.recs:Birth,Marriage Intention/Bonds,Will Inclusion,Death_x000D_
.imm?:no_x000D_
..Spo:PHILIP MOYERS</t>
        </r>
      </text>
    </comment>
    <comment ref="M4838" authorId="0" shapeId="0" xr:uid="{2636E9C4-307A-4A77-AC36-4D77DF28AE12}">
      <text>
        <r>
          <rPr>
            <sz val="9"/>
            <color indexed="81"/>
            <rFont val="Tahoma"/>
            <family val="2"/>
          </rPr>
          <t>JOHANN JACOB KLEIN_x000D_
http://yeinfo.com/family/I09002808.html_x000D_
https://www.google.com/search?q=JOHANN+JACOB+KLEIN+1683+1751+MARIA+DOROTHEA_x000D_
.born: 16831201-          Germany_x000D_
.died: 17511123-          Germany, age:67y 11m 22d, _x000D_
.bapt: 1785GE_x000D_
.will: 2004MO_x000D_
.obit: 1890OH_x000D_
.bury: 1850IL _x000D_
.wpbt: 1826PA_x000D_
.anc#:ancestor_x000D_
citiz:foreign_x000D_
#spos:1_x000D_
#srcs:2_x000D_
#comment:0_x000D_
#events:1_x000D_
#kids:1_x000D_
lived:GE_x000D_
issue:_x000D_
.recs:Birth,Marriage,Death_x000D_
.imm?:no_x000D_
..Spo:MARIA DOROTHEA CULTER</t>
        </r>
      </text>
    </comment>
    <comment ref="L4840" authorId="0" shapeId="0" xr:uid="{AF706576-7FF1-4392-B02A-65EA14990FD9}">
      <text>
        <r>
          <rPr>
            <sz val="9"/>
            <color indexed="81"/>
            <rFont val="Tahoma"/>
            <family val="2"/>
          </rPr>
          <t>JOHANN GEORGE KLEIN_x000D_
http://yeinfo.com/family/I09001404.html_x000D_
https://www.google.com/search?q=JOHANN+GEORGE+KLEIN+1715+1783+MARIA+DORTHEA_x000D_
.born: 17151015-          Germany_x000D_
.died: 17830102-          Bernville (Berks) Pennsylvania, age:67y 2m 18d, _x000D_
.bapt: 1785GE_x000D_
.will: 2004MO_x000D_
.obit: 1890OH_x000D_
.bury: 1850IL Klein Cemetery_x000D_
.wpbt: 1826PA_x000D_
.anc#:ancestor_x000D_
citiz:immigrant_x000D_
#spos:1_x000D_
#srcs:2_x000D_
#comment:0_x000D_
#events:2_x000D_
#kids:1_x000D_
lived:GE,PABERKSBERNVIL_x000D_
issue:Born before Parents Married_x000D_
.recs:Birth,Marriage,Death,Interment/Burial_x000D_
.imm?:immigrant_x000D_
..Spo:MARIA DORTHEA REBMAN</t>
        </r>
      </text>
    </comment>
    <comment ref="M4842" authorId="0" shapeId="0" xr:uid="{A942EDFD-548F-4849-B863-FF6FB471B0E2}">
      <text>
        <r>
          <rPr>
            <sz val="9"/>
            <color indexed="81"/>
            <rFont val="Tahoma"/>
            <family val="2"/>
          </rPr>
          <t>MARIA DOROTHEA CULTER_x000D_
http://yeinfo.com/family/I09002809.html_x000D_
https://www.google.com/search?q=MARIA+DOROTHEA+CULTER+1686+1756+KLEIN_x000D_
.born:c1686    -          Germany_x000D_
.died: 17560127-          Germany, age:70y 0m 26d, _x000D_
.bapt: 1785GE_x000D_
.will: 2004MO_x000D_
.obit: 1890OH_x000D_
.bury: 1850IL _x000D_
.wpbt: 1826PA_x000D_
.anc#:ancestor_x000D_
citiz:foreign_x000D_
#spos:1_x000D_
#srcs:2_x000D_
#comment:0_x000D_
#events:1_x000D_
#kids:1_x000D_
lived:GE_x000D_
issue:_x000D_
.recs:Birth,Marriage,Death_x000D_
.imm?:no_x000D_
..Spo:JOHANN JACOB KLEIN</t>
        </r>
      </text>
    </comment>
    <comment ref="K4844" authorId="0" shapeId="0" xr:uid="{0E5711EC-1C36-4B34-9788-0A6D4E840D1A}">
      <text>
        <r>
          <rPr>
            <sz val="9"/>
            <color indexed="81"/>
            <rFont val="Tahoma"/>
            <family val="2"/>
          </rPr>
          <t>DAVID REBMAN KLINE_x000D_
http://yeinfo.com/family/I09000702.html_x000D_
https://www.google.com/search?q=DAVID+REBMAN+KLINE+1746+1814+ANNA+ELIZABETHA_x000D_
.born: 17460302-         ?Lebanon (Lebanon) Pennsylvania_x000D_
.died: 18140128-         ?Berks county Pennsylvania, age:67y 10m 26d, _x000D_
.bapt: 1785GE_x000D_
.will: 2004MO_x000D_
.obit: 1890OH_x000D_
.bury: 1850IL Klein Cemetery_x000D_
.wpbt: 1826PA_x000D_
.anc#:ancestor_x000D_
citiz:US born_x000D_
#spos:1_x000D_
#srcs:2_x000D_
#comment:1_x000D_
#events:3_x000D_
#kids:1_x000D_
lived:?PALANCA,?PALEBANLEBANON,PABERKSBERNVIL,PABERKSBETHEL_x000D_
issue:_x000D_
.recs:Birth,Marriage,Will Inclusion,Death_x000D_
.imm?:no_x000D_
..Spo:ANNA ELIZABETHA BRENEISEN</t>
        </r>
      </text>
    </comment>
    <comment ref="M4846" authorId="0" shapeId="0" xr:uid="{A95EAA0B-3E1D-4E0C-80E4-97CF29DF7C78}">
      <text>
        <r>
          <rPr>
            <sz val="9"/>
            <color indexed="81"/>
            <rFont val="Tahoma"/>
            <family val="2"/>
          </rPr>
          <t>JOHANN CONRAD REBMAN_x000D_
http://yeinfo.com/family/I09002810.html_x000D_
https://www.google.com/search?q=JOHANN+CONRAD+REBMAN+1680+1751+ANNA+MARIA_x000D_
.born: 16801203-          Alsace county France_x000D_
.died: 1751    -          Pennsylvania, age:70y 0m 29d, _x000D_
.bapt: 1785GE_x000D_
.will: 2004MO_x000D_
.obit: 1890OH_x000D_
.bury: 1850IL _x000D_
.wpbt: 1826PA_x000D_
.anc#:ancestor_x000D_
citiz:immigrant_x000D_
#spos:1_x000D_
#srcs:2_x000D_
#comment:0_x000D_
#events:1_x000D_
#kids:1_x000D_
lived:FRALSAC,GE,PA_x000D_
issue:_x000D_
.recs:Birth,Marriage,Death_x000D_
.imm?:immigrant_x000D_
..Spo:ANNA MARIA HOENNEU</t>
        </r>
      </text>
    </comment>
    <comment ref="L4848" authorId="0" shapeId="0" xr:uid="{AA8FC0E5-3839-449C-A4F2-EFDA24A09D07}">
      <text>
        <r>
          <rPr>
            <sz val="9"/>
            <color indexed="81"/>
            <rFont val="Tahoma"/>
            <family val="2"/>
          </rPr>
          <t>MARIA DORTHEA REBMAN_x000D_
http://yeinfo.com/family/I09001405.html_x000D_
https://www.google.com/search?q=MARIA+DORTHEA+REBMAN+1714+1777+KLEIN_x000D_
.born: 17140614-          Germany_x000D_
.died: 17770824-          Berks county Pennsylvania, age:63y 2m 10d, _x000D_
.bapt: 1785GE_x000D_
.will: 2004MO_x000D_
.obit: 1890OH_x000D_
.bury: 1850IL Klein Cemetery_x000D_
.wpbt: 1826PA_x000D_
.anc#:ancestor_x000D_
citiz:immigrant_x000D_
#spos:1_x000D_
#srcs:2_x000D_
#comment:0_x000D_
#events:2_x000D_
#kids:1_x000D_
lived:GE,PABERKSBERNVIL_x000D_
issue:_x000D_
.recs:Birth,Marriage,Death,Interment/Burial_x000D_
.imm?:immigrant_x000D_
..Spo:JOHANN GEORGE KLEIN</t>
        </r>
      </text>
    </comment>
    <comment ref="M4850" authorId="0" shapeId="0" xr:uid="{98D42754-5EC0-4C8A-8497-53469E805880}">
      <text>
        <r>
          <rPr>
            <sz val="9"/>
            <color indexed="81"/>
            <rFont val="Tahoma"/>
            <family val="2"/>
          </rPr>
          <t>ANNA MARIA HOENNEU_x000D_
http://yeinfo.com/family/I09002811.html_x000D_
https://www.google.com/search?q=ANNA+MARIA+HOENNEU+1686+1737+REBMAN_x000D_
.born: 16860922-          Germany_x000D_
.died: 17371117-          Berks county Pennsylvania, age:51y 1m 26d, _x000D_
.bapt: 1785GE_x000D_
.will: 2004MO_x000D_
.obit: 1890OH_x000D_
.bury: 1850IL _x000D_
.wpbt: 1826PA_x000D_
.anc#:ancestor_x000D_
citiz:immigrant_x000D_
#spos:1_x000D_
#srcs:2_x000D_
#comment:0_x000D_
#events:1_x000D_
#kids:1_x000D_
lived:GE,PABERKS_x000D_
issue:_x000D_
.recs:Birth,Marriage,Death_x000D_
.imm?:immigrant_x000D_
..Spo:JOHANN CONRAD REBMAN</t>
        </r>
      </text>
    </comment>
    <comment ref="J4852" authorId="0" shapeId="0" xr:uid="{18E35D2C-B3E7-4558-B2E7-3C45BC104F31}">
      <text>
        <r>
          <rPr>
            <sz val="9"/>
            <color indexed="81"/>
            <rFont val="Tahoma"/>
            <family val="2"/>
          </rPr>
          <t>ESTHER KLINE_x000D_
http://yeinfo.com/family/I09000351.html_x000D_
https://www.google.com/search?q=ESTHER+KLINE+1770+1840+MOYERS_x000D_
.born: 17700713-          Berks county Pennsylvania_x000D_
.died: 18400608-          Berks county Pennsylvania, age:69y 10m 26d, _x000D_
.bapt: 1785GE_x000D_
.will: 2004MO_x000D_
.obit: 1890OH_x000D_
.bury: 1850IL Merkey's Cemetery row 6_x000D_
.wpbt: 1826PA_x000D_
.anc#:ancestor_x000D_
citiz:US born_x000D_
#spos:1_x000D_
#srcs:1_x000D_
#comment:0_x000D_
#events:3_x000D_
#kids:9_x000D_
lived:PABERKSBETHEL_x000D_
issue:Died after Age 100_x000D_
.recs:Birth,Marriage,Will Inclusion,Death_x000D_
.imm?:no_x000D_
..Spo:PHILIP MOYERS</t>
        </r>
      </text>
    </comment>
    <comment ref="M4854" authorId="0" shapeId="0" xr:uid="{331EACE8-9E34-4029-ABB3-1642E73580A5}">
      <text>
        <r>
          <rPr>
            <sz val="9"/>
            <color indexed="81"/>
            <rFont val="Tahoma"/>
            <family val="2"/>
          </rPr>
          <t>JOHANN\HANS\JOHN VALENTINE BRENEISEN_x000D_
http://yeinfo.com/family/I09002812.html_x000D_
https://www.google.com/search?q=JOHANN\HANS\JOHN+VALENTINE+BRENEISEN+1698+1737+ANNA+MARGARETHA_x000D_
.born: 16981104-          Germany_x000D_
.died: 17370827-          Lancaster county Pennsylvania, age:38y 9m 23d, _x000D_
.bapt: 1785GE_x000D_
.will: 2004MO_x000D_
.obit: 1890OH_x000D_
.bury: 1850IL Trinity Lutheran Cemetery_x000D_
.wpbt: 1826PA_x000D_
.anc#:ancestor_x000D_
citiz:immigrant_x000D_
#spos:1_x000D_
#srcs:4_x000D_
#comment:0_x000D_
#events:4_x000D_
#kids:1_x000D_
lived:GE,NTSHOLLROTTERD,PALANCACOLUMBI,PAPHILAPHILADE_x000D_
issue:_x000D_
.recs:Birth,Marriage,Ship Passenger List,Death,Interment/Burial_x000D_
.imm?:immigrant_x000D_
..Spo:ANNA MARGARETHA HERTZLER</t>
        </r>
      </text>
    </comment>
    <comment ref="L4856" authorId="0" shapeId="0" xr:uid="{A1763478-8A3E-43FB-AA18-B73DC523C0D6}">
      <text>
        <r>
          <rPr>
            <sz val="9"/>
            <color indexed="81"/>
            <rFont val="Tahoma"/>
            <family val="2"/>
          </rPr>
          <t>JOHANN JACOB BRENEISEN_x000D_
http://yeinfo.com/family/I09001406.html_x000D_
https://www.google.com/search?q=JOHANN+JACOB+BRENEISEN+1733+1778+ANNA+CATHERINA+BRENEISEN_x000D_
.born: 17330917-          Lancaster county Pennsylvania_x000D_
.died: 177811  -          Lancaster (Lancaster) Pennsylvania, age:45y 1m 15d, _x000D_
.bapt: 1785GE_x000D_
.will: 2004MO_x000D_
.obit: 1890OH_x000D_
.bury: 1850IL _x000D_
.wpbt: 1826PA_x000D_
.anc#:ancestor_x000D_
citiz:US born_x000D_
#spos:2_x000D_
#srcs:3_x000D_
#comment:0_x000D_
#events:2_x000D_
#kids:1_x000D_
lived:PALANCALANCAST,PALEBANNORTH A_x000D_
issue:Died after Age 100_x000D_
.recs:Birth,Marriage,Death_x000D_
.imm?:no_x000D_
..Spo:ANNA CATHERINA WAMPFLER</t>
        </r>
      </text>
    </comment>
    <comment ref="P4858" authorId="0" shapeId="0" xr:uid="{92A87536-EA86-4D73-8079-0BDE7A6BCD0B}">
      <text>
        <r>
          <rPr>
            <sz val="9"/>
            <color indexed="81"/>
            <rFont val="Tahoma"/>
            <family val="2"/>
          </rPr>
          <t>JOHANNES HERTZLER_x000D_
http://yeinfo.com/family/I09022504.html_x000D_
https://www.google.com/search?q=JOHANNES+HERTZLER+1630+1698+ANNA_x000D_
.born:?1630    -          Germany_x000D_
.died: 1698    -         ?Germany, age:68y 0m 0d,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..Spo:ANNA EYMANN</t>
        </r>
      </text>
    </comment>
    <comment ref="O4860" authorId="0" shapeId="0" xr:uid="{061B05AE-4AB9-4F48-84EE-550B02FA24BA}">
      <text>
        <r>
          <rPr>
            <sz val="9"/>
            <color indexed="81"/>
            <rFont val="Tahoma"/>
            <family val="2"/>
          </rPr>
          <t>ARTHUR HERTZLER_x000D_
http://yeinfo.com/family/I09011252.html_x000D_
https://www.google.com/search?q=ARTHUR+HERTZLER+1650+1670+{_?_}_x000D_
.born:?1650    -          Germany_x000D_
.died: 1670    -1740     ?Germany, age:20y 0m 0d, _x000D_
.bapt: 1785GE_x000D_
.will: 2004MO_x000D_
.obit: 1890OH_x000D_
.bury: 1850IL _x000D_
.wpbt: 1826PA_x000D_
.anc#:ancestor_x000D_
citiz:foreign_x000D_
#spos:1_x000D_
#srcs:3_x000D_
#comment:0_x000D_
#events:1_x000D_
#kids:1_x000D_
lived:GE_x000D_
issue:_x000D_
.recs:Birth,Marriage,Death_x000D_
.imm?:no_x000D_
..Spo:{_?_} HERTZLER</t>
        </r>
      </text>
    </comment>
    <comment ref="P4862" authorId="0" shapeId="0" xr:uid="{5061E42F-C974-4584-B133-BCB226D51FDA}">
      <text>
        <r>
          <rPr>
            <sz val="9"/>
            <color indexed="81"/>
            <rFont val="Tahoma"/>
            <family val="2"/>
          </rPr>
          <t>ANNA EYMANN_x000D_
http://yeinfo.com/family/I09022505.html_x000D_
https://www.google.com/search?q=ANNA+EYMANN+1633+1712+HERTZLER_x000D_
.born: 1633    -          Germany_x000D_
.died: 1712    -         ?Germany, age:79y 0m 0d, _x000D_
.bapt: 1785GE_x000D_
.will: 2004MO_x000D_
.obit: 1890OH_x000D_
.bury: 1850IL _x000D_
.wpbt: 1826PA_x000D_
.anc#:ancestor_x000D_
citiz:foreign_x000D_
#spos:1_x000D_
#srcs:1_x000D_
#comment:0_x000D_
#events:2_x000D_
#kids:1_x000D_
lived:GE_x000D_
issue:Died after Age 100_x000D_
.recs:Birth,Baptism,Marriage,Death_x000D_
.imm?:no_x000D_
..Spo:JOHANNES HERTZLER</t>
        </r>
      </text>
    </comment>
    <comment ref="N4864" authorId="0" shapeId="0" xr:uid="{5682A894-D537-48B4-BB28-DFA7201033A9}">
      <text>
        <r>
          <rPr>
            <sz val="9"/>
            <color indexed="81"/>
            <rFont val="Tahoma"/>
            <family val="2"/>
          </rPr>
          <t>ANDREAS HERTZLER_x000D_
http://yeinfo.com/family/I09005626.html_x000D_
https://www.google.com/search?q=ANDREAS+HERTZLER+1670+1730+{_?_}_x000D_
.born:?1670    -          Germany_x000D_
.died: 1730    -          Lancaster (Lancaster) Pennsylvania, age:60y 0m 0d, _x000D_
.bapt: 1785GE_x000D_
.will: 2004MO_x000D_
.obit: 1890OH_x000D_
.bury: 1850IL _x000D_
.wpbt: 1826PA_x000D_
.anc#:ancestor_x000D_
citiz:immigrant_x000D_
#spos:1_x000D_
#srcs:3_x000D_
#comment:0_x000D_
#events:1_x000D_
#kids:1_x000D_
lived:GE,PALANCALANCAST_x000D_
issue:_x000D_
.recs:Birth,Marriage,Death_x000D_
.imm?:immigrant_x000D_
..Spo:{_?_} HERTZLER</t>
        </r>
      </text>
    </comment>
    <comment ref="O4866" authorId="0" shapeId="0" xr:uid="{C03AA57F-4904-45CC-9F84-BBC2431F9AB2}">
      <text>
        <r>
          <rPr>
            <sz val="9"/>
            <color indexed="81"/>
            <rFont val="Tahoma"/>
            <family val="2"/>
          </rPr>
          <t>Mrs. {_?_} HERTZLER_x000D_
http://yeinfo.com/family/I09011253.html_x000D_
https://www.google.com/search?q={_?_}+HERTZLER+1650+1670+HERTZLER_x000D_
.born:?1650    -         ?Germany_x000D_
.died: 1670    -1740     ?Germany, age:20y 0m 0d, _x000D_
.bapt: 1785GE_x000D_
.will: 2004MO_x000D_
.obit: 1890OH_x000D_
.bury: 1850IL _x000D_
.wpbt: 1826PA_x000D_
.anc#:ancestor_x000D_
citiz:foreign_x000D_
#spos:1_x000D_
#srcs:0_x000D_
#comment:0_x000D_
#events:1_x000D_
#kids:1_x000D_
lived:?GE_x000D_
issue:_x000D_
.recs:Birth,Marriage,Death_x000D_
.imm?:no_x000D_
..Spo:ARTHUR HERTZLER</t>
        </r>
      </text>
    </comment>
    <comment ref="M4868" authorId="0" shapeId="0" xr:uid="{32AD3635-F1D1-45E3-8F66-3625A0D7B70F}">
      <text>
        <r>
          <rPr>
            <sz val="9"/>
            <color indexed="81"/>
            <rFont val="Tahoma"/>
            <family val="2"/>
          </rPr>
          <t>ANNA MARGARETHA HERTZLER_x000D_
http://yeinfo.com/family/I09002813.html_x000D_
https://www.google.com/search?q=ANNA+MARGARETHA+HERTZLER+1702+1797+BRENEISEN_x000D_
.born:c1702    -          Germany_x000D_
.died: 1797    -          Lancaster (Lancaster) Pennsylvania, age:95y 0m 0d, _x000D_
.bapt: 1785GE_x000D_
.will: 2004MO_x000D_
.obit: 1890OH_x000D_
.bury: 1850IL Trinity Lutheran Cemetery_x000D_
.wpbt: 1826PA_x000D_
.anc#:ancestor_x000D_
citiz:immigrant_x000D_
#spos:1_x000D_
#srcs:3_x000D_
#comment:0_x000D_
#events:2_x000D_
#kids:1_x000D_
lived:GE,PALANCACOLUMBI,PALANCALANCAST_x000D_
issue:_x000D_
.recs:Birth,Marriage,Death,Interment/Burial_x000D_
.imm?:immigrant_x000D_
..Spo:JOHANN\HANS\JOHN VALENTINE BRENEISEN</t>
        </r>
      </text>
    </comment>
    <comment ref="N4870" authorId="0" shapeId="0" xr:uid="{D44904C0-B91D-43F6-876A-85DB8E4F9CF0}">
      <text>
        <r>
          <rPr>
            <sz val="9"/>
            <color indexed="81"/>
            <rFont val="Tahoma"/>
            <family val="2"/>
          </rPr>
          <t>Mrs. {_?_} HERTZLER_x000D_
http://yeinfo.com/family/I09005627.html_x000D_
https://www.google.com/search?q={_?_}+HERTZLER+1681+1702+HERTZLER_x000D_
.born:?1681    -         ?Germany_x000D_
.died: 1702    -1771     ?, age:21y 0m 0d, _x000D_
.bapt: 1785GE_x000D_
.will: 2004MO_x000D_
.obit: 1890OH_x000D_
.bury: 1850IL _x000D_
.wpbt: 1826PA_x000D_
.anc#:ancestor_x000D_
citiz:US born_x000D_
#spos:1_x000D_
#srcs:0_x000D_
#comment:0_x000D_
#events:1_x000D_
#kids:1_x000D_
lived:?GE_x000D_
issue:_x000D_
.recs:Birth,Marriage,Death_x000D_
.imm?:no_x000D_
..Spo:ANDREAS HERTZLER</t>
        </r>
      </text>
    </comment>
    <comment ref="K4872" authorId="0" shapeId="0" xr:uid="{21C7176F-A51C-4F42-9612-4ABBF2C5A906}">
      <text>
        <r>
          <rPr>
            <sz val="9"/>
            <color indexed="81"/>
            <rFont val="Tahoma"/>
            <family val="2"/>
          </rPr>
          <t>ANNA ELIZABETHA BRENEISEN_x000D_
http://yeinfo.com/family/I09000703.html_x000D_
https://www.google.com/search?q=ANNA+ELIZABETHA+BRENEISEN+1750+1827+KLINE_x000D_
.born: 17501108-          Lancaster county Pennsylvania_x000D_
.died: 18270804-         ?Berks county Pennsylvania, age:76y 8m 27d, _x000D_
.bapt: 1785GE_x000D_
.will: 2004MO_x000D_
.obit: 1890OH_x000D_
.bury: 1850IL Klein Cemetery_x000D_
.wpbt: 1826PA_x000D_
.anc#:ancestor_x000D_
citiz:US born_x000D_
#spos:1_x000D_
#srcs:3_x000D_
#comment:0_x000D_
#events:2_x000D_
#kids:1_x000D_
lived:PABERKSBERNVIL,PALANCA_x000D_
issue:Died after Age 100_x000D_
.recs:Birth,Marriage,Death,Interment/Burial_x000D_
.imm?:no_x000D_
..Spo:DAVID REBMAN KLINE</t>
        </r>
      </text>
    </comment>
    <comment ref="M4874" authorId="0" shapeId="0" xr:uid="{952AEC6C-9D38-44DF-A1EB-2AC71DF788C8}">
      <text>
        <r>
          <rPr>
            <sz val="9"/>
            <color indexed="81"/>
            <rFont val="Tahoma"/>
            <family val="2"/>
          </rPr>
          <t>HANS PETER WAMPFLER_x000D_
http://yeinfo.com/family/I09002814.html_x000D_
https://www.google.com/search?q=HANS+PETER+WAMPFLER+1701+1749+ANNA+VERONICA_x000D_
.born: 1701    -          Alsace county France_x000D_
.died: 17490424-          Lebanon (Lebanon) Pennsylvania, age:48y 3m 23d, _x000D_
.bapt: 1785GE_x000D_
.will: 2004MO_x000D_
.obit: 1890OH_x000D_
.bury: 1850IL _x000D_
.wpbt: 1826PA_x000D_
.anc#:ancestor_x000D_
citiz:immigrant_x000D_
#spos:1_x000D_
#srcs:2_x000D_
#comment:0_x000D_
#events:1_x000D_
#kids:1_x000D_
lived:FRALSAC,PALEBANLEBANON_x000D_
issue:_x000D_
.recs:Birth,Marriage,Death_x000D_
.imm?:immigrant_x000D_
..Spo:ANNA VERONICA LUNG</t>
        </r>
      </text>
    </comment>
    <comment ref="L4876" authorId="0" shapeId="0" xr:uid="{A3C0EB39-6680-4597-9C1F-0F3A3649CCB3}">
      <text>
        <r>
          <rPr>
            <sz val="9"/>
            <color indexed="81"/>
            <rFont val="Tahoma"/>
            <family val="2"/>
          </rPr>
          <t>ANNA CATHERINA WAMPFLER_x000D_
http://yeinfo.com/family/I09001407.html_x000D_
https://www.google.com/search?q=ANNA+CATHERINA+WAMPFLER+1726+1750+BRENEISEN_x000D_
.born: 17261105-          France_x000D_
.died: 1750    -1816     ?, age:23y 1m 27d, _x000D_
.bapt: 1785GE_x000D_
.will: 2004MO_x000D_
.obit: 1890OH_x000D_
.bury: 1850IL _x000D_
.wpbt: 1826PA_x000D_
.anc#:ancestor_x000D_
citiz:US born_x000D_
#spos:1_x000D_
#srcs:3_x000D_
#comment:0_x000D_
#events:1_x000D_
#kids:1_x000D_
lived:FR,PALEBANNORTH A_x000D_
issue:_x000D_
.recs:Birth,Marriage,Death_x000D_
.imm?:no_x000D_
..Spo:JOHANN JACOB BRENEISEN</t>
        </r>
      </text>
    </comment>
    <comment ref="M4878" authorId="0" shapeId="0" xr:uid="{2279B8B5-B724-4507-9A0B-6EA918000080}">
      <text>
        <r>
          <rPr>
            <sz val="9"/>
            <color indexed="81"/>
            <rFont val="Tahoma"/>
            <family val="2"/>
          </rPr>
          <t>ANNA VERONICA LUNG_x000D_
http://yeinfo.com/family/I09002815.html_x000D_
https://www.google.com/search?q=ANNA+VERONICA+LUNG+1702+1726+WAMPFLER_x000D_
.born:c1702    -          Alsace county France_x000D_
.died: 1726    -1792      Lebanon (Lebanon) Pennsylvania, age:24y 0m 0d, _x000D_
.bapt: 1785GE_x000D_
.will: 2004MO_x000D_
.obit: 1890OH_x000D_
.bury: 1850IL _x000D_
.wpbt: 1826PA_x000D_
.anc#:ancestor_x000D_
citiz:immigrant_x000D_
#spos:1_x000D_
#srcs:2_x000D_
#comment:0_x000D_
#events:1_x000D_
#kids:1_x000D_
lived:FRALSAC,PALEBANLEBANON_x000D_
issue:_x000D_
.recs:Birth,Marriage,Death_x000D_
.imm?:immigrant_x000D_
..Spo:HANS PETER WAMPFLER</t>
        </r>
      </text>
    </comment>
    <comment ref="D4880" authorId="0" shapeId="0" xr:uid="{4E4254D6-5525-4759-856A-F6C7794C6DA7}">
      <text>
        <r>
          <rPr>
            <sz val="9"/>
            <color indexed="81"/>
            <rFont val="Tahoma"/>
            <family val="2"/>
          </rPr>
          <t>YVONNE JEANETTE SEARLS_x000D_
http://yeinfo.com/family/I09000005.html_x000D_
https://www.google.com/search?q=YVONNE+JEANETTE+SEARLS+1908+1990+WILSON_x000D_
.born: 19080517-          Sioux Falls (Minnehaha) South Dakota_x000D_
.died: 19900522-          Excelsior Springs (Clay) Missouri, age:82y 0m 5d, _x000D_
.bapt: 1785GE_x000D_
.will: 2004MO_x000D_
.obit: 1890OH_x000D_
.bury: 1850IL Crownhill Cemetery Masonic section_x000D_
.wpbt: 1826PA_x000D_
.anc#:ancestor_x000D_
citiz:US born_x000D_
#spos:1_x000D_
#srcs:6_x000D_
#comment:2_x000D_
#events:17_x000D_
#kids:2_x000D_
lived:IACERRGCLEAR L,IAPLYMOLE MARS,IAWOODBSIOUX C,MOCLAY EXCELSI,OHHAMILCINCINN,OHHAMILNORWOOD,SDDVISNMITCHEL,SDMINNESIOUX F_x000D_
issue:_x000D_
.recs:Birth,Grade School,High School,College,Marriage,Letter Written,Death,Interment/Burial,Obituary,Image_x000D_
.imm?:no_x000D_
..Spo:EDWIN LAWRENCE WILSON</t>
        </r>
      </text>
    </comment>
    <comment ref="M4882" authorId="0" shapeId="0" xr:uid="{07279561-987C-4839-A16D-C922195A6E2E}">
      <text>
        <r>
          <rPr>
            <sz val="9"/>
            <color indexed="81"/>
            <rFont val="Tahoma"/>
            <family val="2"/>
          </rPr>
          <t>JOHN MOORE_x000D_
http://yeinfo.com/family/I09005446.html_x000D_
https://www.google.com/search?q=JOHN+MOORE+1598+1674+ELIZABETH+RICE_x000D_
.born:?1598    -          Thaxted (Essex) England_x000D_
.died: 16740106-          Sudbury (Middlesex) Massachusetts, age:76y 0m 5d, _x000D_
.bapt: 1785GE_x000D_
.will: 2004MO_x000D_
.obit: 1890OH_x000D_
.bury: 1850IL _x000D_
.wpbt: 1826PA_x000D_
.anc#: quintuple ancestor_x000D_
citiz:immigrant_x000D_
#spos:2_x000D_
#srcs:32_x000D_
#comment:1_x000D_
#events:12_x000D_
#kids:12_x000D_
lived:?ENESSEXHENHAM,ENESSEXTHAXTED,ENHERTFLITTLEG,MAMIDDLCAMBRID,MAMIDDLSUDBURY,MAWORCELANCAST_x000D_
issue:AncFlags between Spouses Mismatched_x000D_
.recs:Birth,Marriage,Will Written,Death,Land Transaction,Freeman,Oath Taken_x000D_
.imm?:immigrant_x000D_
..Spo:ELIZABETH MOORE</t>
        </r>
      </text>
    </comment>
    <comment ref="L4884" authorId="0" shapeId="0" xr:uid="{560B8FFC-A7C4-435E-9AC1-BFECEA650A72}">
      <text>
        <r>
          <rPr>
            <sz val="9"/>
            <color indexed="81"/>
            <rFont val="Tahoma"/>
            <family val="2"/>
          </rPr>
          <t>JOHN MOORE Jr._x000D_
http://yeinfo.com/family/I09001408.html_x000D_
https://www.google.com/search?q=JOHN+MOORE+1628+1702+ANN+MOORE_x000D_
.born:?1628    -         ?Henham (Essex) England_x000D_
.died:a17020923-          Lancaster (Worcester) Massachusetts, age:74y 8m 22d, _x000D_
.bapt: 1785GE_x000D_
.will: 2004MO_x000D_
.obit: 1890OH_x000D_
.bury: 1850IL _x000D_
.wpbt: 1826PA_x000D_
.anc#:double ancestor_x000D_
citiz:immigrant_x000D_
#spos:2_x000D_
#srcs:23_x000D_
#comment:0_x000D_
#events:19_x000D_
#kids:8_x000D_
lived:?ENESSEXHENHAM,MAMIDDLSUDBURY,MAWORCELANCAST_x000D_
issue:_x000D_
.recs:Birth,Baptism,Military,Marriage,Job/Occupation,Deed,Will Written,Land Transaction,Inventory_x000D_
.imm?:immigrant_x000D_
..Spo:ANN SMITH</t>
        </r>
      </text>
    </comment>
    <comment ref="M4886" authorId="0" shapeId="0" xr:uid="{C1F3E7D0-9073-4F7B-8392-CE30C788EA42}">
      <text>
        <r>
          <rPr>
            <sz val="9"/>
            <color indexed="81"/>
            <rFont val="Tahoma"/>
            <family val="2"/>
          </rPr>
          <t>Mrs. ELIZABETH MOORE_x000D_
http://yeinfo.com/family/I09002817.html_x000D_
https://www.google.com/search?q=ELIZABETH+MOORE+1600+1633+MOORE_x000D_
.born:?1600    -         ?England_x000D_
.died:a16331127-         ?England, age:33y 10m 26d, _x000D_
.bapt: 1785GE_x000D_
.will: 2004MO_x000D_
.obit: 1890OH_x000D_
.bury: 1850IL _x000D_
.wpbt: 1826PA_x000D_
.anc#:  quadruple ancestor_x000D_
citiz:foreign_x000D_
#spos:1_x000D_
#srcs:7_x000D_
#comment:1_x000D_
#events:1_x000D_
#kids:3_x000D_
lived:?ENESSEXHENHAM,?MA_x000D_
issue:_x000D_
.recs:Birth,Marriage,Death_x000D_
.imm?:no_x000D_
..Spo:JOHN MOORE</t>
        </r>
      </text>
    </comment>
    <comment ref="K4888" authorId="0" shapeId="0" xr:uid="{E40E222E-A451-46D6-AED9-4F09B8F35C05}">
      <text>
        <r>
          <rPr>
            <sz val="9"/>
            <color indexed="81"/>
            <rFont val="Tahoma"/>
            <family val="2"/>
          </rPr>
          <t>JOHN MOORE_x000D_
http://yeinfo.com/family/I09000704.html_x000D_
https://www.google.com/search?q=JOHN+MOORE+1662+1740+Mary+FAIRBANK_x000D_
.born: 16620407-          Lancaster (Worcester) Massachusetts_x000D_
.died: 17400727-          Bolton (Worcester) Massachusetts, age:78y 3m 20d, _x000D_
.bapt: 1785GE_x000D_
.will: 2004MO_x000D_
.obit: 1890OH_x000D_
.bury: 1850IL Old South Burial Ground_x000D_
.wpbt: 1826PA_x000D_
.anc#:ancestor_x000D_
citiz:US born_x000D_
#spos:2_x000D_
#srcs:12_x000D_
#comment:0_x000D_
#events:10_x000D_
#kids:6_x000D_
lived:MAMIDDLCONCORD,MAWORCEBOLTON,MAWORCELANCAST_x000D_
issue:_x000D_
.recs:Birth,Military,Marriage,Deed,Interment/Burial,Estate_x000D_
.imm?:no_x000D_
..Spo:Mary WHITCOMB</t>
        </r>
      </text>
    </comment>
    <comment ref="M4890" authorId="0" shapeId="0" xr:uid="{F8407642-41D2-4BF1-A5AA-563CEFB0DEB7}">
      <text>
        <r>
          <rPr>
            <sz val="9"/>
            <color indexed="81"/>
            <rFont val="Tahoma"/>
            <family val="2"/>
          </rPr>
          <t>JOHN SMITH_x000D_
http://yeinfo.com/family/I09002818.html_x000D_
https://www.google.com/search?q=JOHN+SMITH+1610+1669+ALICE\MARY_x000D_
.born:?1610    -         ?England_x000D_
.died: 16690716-          Lancaster (Worcester) Massachusetts, age:59y 6m 15d, _x000D_
.bapt: 1785GE_x000D_
.will: 2004MO_x000D_
.obit: 1890OH_x000D_
.bury: 1850IL _x000D_
.wpbt: 1826PA_x000D_
.anc#:double ancestor_x000D_
citiz:immigrant_x000D_
#spos:1_x000D_
#srcs:12_x000D_
#comment:0_x000D_
#events:7_x000D_
#kids:4_x000D_
lived:?EN,MAMIDDLSUDBURY,MAWORCELANCAST_x000D_
issue:_x000D_
.recs:Birth,Marriage,Will Written,Death_x000D_
.imm?:immigrant_x000D_
..Spo:ALICE\MARY SMITH</t>
        </r>
      </text>
    </comment>
    <comment ref="L4892" authorId="0" shapeId="0" xr:uid="{72A59C6F-5D71-4426-B3BA-99D833BC997B}">
      <text>
        <r>
          <rPr>
            <sz val="9"/>
            <color indexed="81"/>
            <rFont val="Tahoma"/>
            <family val="2"/>
          </rPr>
          <t>ANN SMITH_x000D_
http://yeinfo.com/family/I09001409.html_x000D_
https://www.google.com/search?q=ANN+SMITH+1635+1671+MOORE_x000D_
.born:?1635    -         ?Massachusetts_x000D_
.died: 16710310-          Lancaster (Worcester) Massachusetts, age:36y 2m 9d, _x000D_
.bapt: 1785GE_x000D_
.will: 2004MO_x000D_
.obit: 1890OH_x000D_
.bury: 1850IL _x000D_
.wpbt: 1826PA_x000D_
.anc#:double ancestor_x000D_
citiz:US born_x000D_
#spos:1_x000D_
#srcs:12_x000D_
#comment:0_x000D_
#events:2_x000D_
#kids:8_x000D_
lived:?MA,MAMIDDLSUDBURY,MAWORCELANCAST_x000D_
issue:_x000D_
.recs:Birth,Marriage,Death_x000D_
.imm?:no_x000D_
..Spo:JOHN MOORE</t>
        </r>
      </text>
    </comment>
    <comment ref="M4894" authorId="0" shapeId="0" xr:uid="{7A2DA64C-D90D-412C-A14F-CF108492600F}">
      <text>
        <r>
          <rPr>
            <sz val="9"/>
            <color indexed="81"/>
            <rFont val="Tahoma"/>
            <family val="2"/>
          </rPr>
          <t>Mrs. ALICE\MARY SMITH_x000D_
http://yeinfo.com/family/I09002819.html_x000D_
https://www.google.com/search?q=ALICE\MARY+SMITH+1610+1659+SMITH_x000D_
.born:?1610    -         ?England_x000D_
.died: 16591027-          Lancaster (Worcester) Massachusetts, age:49y 9m 26d, _x000D_
.bapt: 1785GE_x000D_
.will: 2004MO_x000D_
.obit: 1890OH_x000D_
.bury: 1850IL _x000D_
.wpbt: 1826PA_x000D_
.anc#:double ancestor_x000D_
citiz:immigrant_x000D_
#spos:1_x000D_
#srcs:4_x000D_
#comment:1_x000D_
#events:1_x000D_
#kids:4_x000D_
lived:?EN,MAWORCELANCAST_x000D_
issue:_x000D_
.recs:Birth,Marriage,Death_x000D_
.imm?:immigrant_x000D_
..Spo:JOHN SMITH</t>
        </r>
      </text>
    </comment>
    <comment ref="J4896" authorId="0" shapeId="0" xr:uid="{3DB3621B-F847-4019-B43D-672BCFF0DFF5}">
      <text>
        <r>
          <rPr>
            <sz val="9"/>
            <color indexed="81"/>
            <rFont val="Tahoma"/>
            <family val="2"/>
          </rPr>
          <t>JOHN MOORE_x000D_
http://yeinfo.com/family/I09000352.html_x000D_
https://www.google.com/search?q=JOHN+MOORE+1684+1750+SUSANNAH_x000D_
.born: 1684    -          Sudbury (Middlesex) Massachusetts_x000D_
.died: 1750    -          Worcester (Worcester) Massachusetts, age:66y 0m 0d, _x000D_
.bapt: 1785GE_x000D_
.will: 2004MO_x000D_
.obit: 1890OH_x000D_
.bury: 1850IL _x000D_
.wpbt: 1826PA_x000D_
.anc#:ancestor_x000D_
citiz:US born_x000D_
#spos:1_x000D_
#srcs:4_x000D_
#comment:0_x000D_
#events:6_x000D_
#kids:7_x000D_
lived:?MAMIDDLCONCORD,MAMIDDLSUDBURY,MAWORCEBOLTON,MAWORCELANCAST,MAWORCEWORCEST_x000D_
issue:_x000D_
.recs:Birth,Baptism,Marriage,Deed_x000D_
.imm?:no_x000D_
..Spo:SUSANNAH WILLARD</t>
        </r>
      </text>
    </comment>
    <comment ref="Q4898" authorId="0" shapeId="0" xr:uid="{37641CE6-FECD-4181-A14B-176A23557DA8}">
      <text>
        <r>
          <rPr>
            <sz val="9"/>
            <color indexed="81"/>
            <rFont val="Tahoma"/>
            <family val="2"/>
          </rPr>
          <t>WILLIAM FAIRBANK_x000D_
http://yeinfo.com/family/I09045120.html_x000D_
https://www.google.com/search?q=WILLIAM+FAIRBANK+1455+1518+{_?_}_x000D_
.born: 1455    -          England_x000D_
.died: 1518    -          England, age:63y 0m 0d, _x000D_
.bapt: 1785GE_x000D_
.will: 2004MO_x000D_
.obit: 1890OH_x000D_
.bury: 1850IL _x000D_
.wpbt: 1826PA_x000D_
.anc#:double ancestor_x000D_
citiz:foreign_x000D_
#spos:1_x000D_
#srcs:1_x000D_
#comment:0_x000D_
#events:3_x000D_
#kids:1_x000D_
lived:ENYORKSSOWERBY_x000D_
issue:_x000D_
.recs:Birth,Marriage,Death,Land Transaction_x000D_
.imm?:no_x000D_
..Spo:{_?_} FAIRBANK</t>
        </r>
      </text>
    </comment>
    <comment ref="P4900" authorId="0" shapeId="0" xr:uid="{02D8A5AB-DDDC-48B3-94E5-6BD15EC4AB06}">
      <text>
        <r>
          <rPr>
            <sz val="9"/>
            <color indexed="81"/>
            <rFont val="Tahoma"/>
            <family val="2"/>
          </rPr>
          <t>JOHN FAIRBANK_x000D_
http://yeinfo.com/family/I09022560.html_x000D_
https://www.google.com/search?q=JOHN+FAIRBANK+1480+1551+MARGARET_x000D_
.born: 1480    -          England_x000D_
.died: 1551    -          England, age:71y 0m 0d, _x000D_
.bapt: 1785GE_x000D_
.will: 2004MO_x000D_
.obit: 1890OH_x000D_
.bury: 1850IL _x000D_
.wpbt: 1826PA_x000D_
.anc#:double ancestor_x000D_
citiz:foreign_x000D_
#spos:1_x000D_
#srcs:1_x000D_
#comment:0_x000D_
#events:2_x000D_
#kids:1_x000D_
lived:EN_x000D_
issue:_x000D_
.recs:Birth,Marriage,Deed_x000D_
.imm?:no_x000D_
..Spo:MARGARET FAIRBANK</t>
        </r>
      </text>
    </comment>
    <comment ref="Q4902" authorId="0" shapeId="0" xr:uid="{BBA15A04-5F2C-4CB4-8104-3F1A1D604E24}">
      <text>
        <r>
          <rPr>
            <sz val="9"/>
            <color indexed="81"/>
            <rFont val="Tahoma"/>
            <family val="2"/>
          </rPr>
          <t>Mrs. {_?_} FAIRBANK_x000D_
http://yeinfo.com/family/I09045121.html_x000D_
https://www.google.com/search?q={_?_}+FAIRBANK+1455+1480+FAIRBANK_x000D_
.born:?1455    -          England_x000D_
.died: 1480    -1545      , age:25y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..Spo:WILLIAM FAIRBANK</t>
        </r>
      </text>
    </comment>
    <comment ref="O4904" authorId="0" shapeId="0" xr:uid="{923E7020-419D-4D27-9394-A6D816D2326D}">
      <text>
        <r>
          <rPr>
            <sz val="9"/>
            <color indexed="81"/>
            <rFont val="Tahoma"/>
            <family val="2"/>
          </rPr>
          <t>GILBERT FAIRBANK_x000D_
http://yeinfo.com/family/I09011280.html_x000D_
https://www.google.com/search?q=GILBERT+FAIRBANK+1505+1578+CIBELLA+FAIRBANK_x000D_
.born:c1505    -          England_x000D_
.died: 15780303-          England, age:73y 2m 2d, _x000D_
.bapt: 1785GE_x000D_
.will: 2004MO_x000D_
.obit: 1890OH_x000D_
.bury: 1850IL _x000D_
.wpbt: 1826PA_x000D_
.anc#:double ancestor_x000D_
citiz:foreign_x000D_
#spos:2_x000D_
#srcs:1_x000D_
#comment:0_x000D_
#events:3_x000D_
#kids:8_x000D_
lived:EN_x000D_
issue:Married before Age 16,Spouse Age more than 30-Year Difference_x000D_
.recs:Birth,Marriage,Death_x000D_
.imm?:no_x000D_
..Spo:CIBELLA WAIDE</t>
        </r>
      </text>
    </comment>
    <comment ref="P4906" authorId="0" shapeId="0" xr:uid="{0D2AFB13-6F1A-4D2D-915D-1ECCBF1E1EED}">
      <text>
        <r>
          <rPr>
            <sz val="9"/>
            <color indexed="81"/>
            <rFont val="Tahoma"/>
            <family val="2"/>
          </rPr>
          <t>Mrs. MARGARET FAIRBANK_x000D_
http://yeinfo.com/family/I09022561.html_x000D_
https://www.google.com/search?q=MARGARET+FAIRBANK+1480+1505+FAIRBANK_x000D_
.born:?1480    -          England_x000D_
.died: 1505    -1570      , age:25y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..Spo:JOHN FAIRBANK</t>
        </r>
      </text>
    </comment>
    <comment ref="N4908" authorId="0" shapeId="0" xr:uid="{ACEABC4D-3957-48B6-9795-BF2AA5F14DC0}">
      <text>
        <r>
          <rPr>
            <sz val="9"/>
            <color indexed="81"/>
            <rFont val="Tahoma"/>
            <family val="2"/>
          </rPr>
          <t>JOHN FAIRBANK_x000D_
http://yeinfo.com/family/I09005640.html_x000D_
https://www.google.com/search?q=JOHN+FAIRBANK+1565+1625+ISABEL+Parker_x000D_
.born:?1565    -          England_x000D_
.died: 1625    -          England, age:60y 0m 0d, _x000D_
.bapt: 1785GE_x000D_
.will: 2004MO_x000D_
.obit: 1890OH_x000D_
.bury: 1850IL _x000D_
.wpbt: 1826PA_x000D_
.anc#:double ancestor_x000D_
citiz:foreign_x000D_
#spos:2_x000D_
#srcs:1_x000D_
#comment:0_x000D_
#events:7_x000D_
#kids:8_x000D_
lived:ENYORKS_x000D_
issue:_x000D_
.recs:Birth,Marriage,Job/Occupation,Death_x000D_
.imm?:no_x000D_
..Spo:ISABEL STANCLIFFE</t>
        </r>
      </text>
    </comment>
    <comment ref="O4910" authorId="0" shapeId="0" xr:uid="{AEA58BC6-7E44-4091-ADE4-FE496EC23A11}">
      <text>
        <r>
          <rPr>
            <sz val="9"/>
            <color indexed="81"/>
            <rFont val="Tahoma"/>
            <family val="2"/>
          </rPr>
          <t>CIBELLA WAIDE_x000D_
http://yeinfo.com/family/I09011281.html_x000D_
https://www.google.com/search?q=CIBELLA+WAIDE+1540+1576+FAIRBANK_x000D_
.born:?1540    -          England_x000D_
.died:?1576    -          England, age:36y 0m 0d, _x000D_
.bapt: 1785GE_x000D_
.will: 2004MO_x000D_
.obit: 1890OH_x000D_
.bury: 1850IL _x000D_
.wpbt: 1826PA_x000D_
.anc#:double ancestor_x000D_
citiz:foreign_x000D_
#spos:1_x000D_
#srcs:1_x000D_
#comment:0_x000D_
#events:1_x000D_
#kids:4_x000D_
lived:EN_x000D_
issue:Spouse Age more than 30-Year Difference_x000D_
.recs:Birth,Marriage,Death_x000D_
.imm?:no_x000D_
..Spo:GILBERT FAIRBANK</t>
        </r>
      </text>
    </comment>
    <comment ref="M4912" authorId="0" shapeId="0" xr:uid="{5824CD13-4535-49D7-AAC7-8AE8CB272004}">
      <text>
        <r>
          <rPr>
            <sz val="9"/>
            <color indexed="81"/>
            <rFont val="Tahoma"/>
            <family val="2"/>
          </rPr>
          <t>JONATHAN FAIRBANK_x000D_
http://yeinfo.com/family/I09002820.html_x000D_
https://www.google.com/search?q=JONATHAN+FAIRBANK+1595+1668+GRACE_x000D_
.born:c1595    -          Yorkshire county England_x000D_
.died: 16681205-          Dedham (Norfolk) Massachusetts, age:73y 11m 4d, _x000D_
.bapt: 1785GE_x000D_
.will: 2004MO_x000D_
.obit: 1890OH_x000D_
.bury: 1850IL _x000D_
.wpbt: 1826PA_x000D_
.anc#:double ancestor_x000D_
citiz:immigrant_x000D_
#spos:1_x000D_
#srcs:17_x000D_
#comment:1_x000D_
#events:9_x000D_
#kids:8_x000D_
lived:ENYORKSHALIFAX,ENYORKSSOWERBY,MANORFODEDHAM,MASUFFOBOSTON_x000D_
issue:_x000D_
.recs:Birth,Marriage,Ship Passenger List,Will Written,Death,Freeman,Church_x000D_
.imm?:immigrant_x000D_
..Spo:GRACE SMITH</t>
        </r>
      </text>
    </comment>
    <comment ref="N4914" authorId="0" shapeId="0" xr:uid="{8D48C21A-B790-4D77-88E5-B2F436AEF861}">
      <text>
        <r>
          <rPr>
            <sz val="9"/>
            <color indexed="81"/>
            <rFont val="Tahoma"/>
            <family val="2"/>
          </rPr>
          <t>ISABEL STANCLIFFE_x000D_
http://yeinfo.com/family/I09005641.html_x000D_
https://www.google.com/search?q=ISABEL+STANCLIFFE+1565+1597+FAIRBANK_x000D_
.born:?1565    -          England_x000D_
.died: 15970709-          England, age:32y 6m 8d,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..Spo:JOHN FAIRBANK</t>
        </r>
      </text>
    </comment>
    <comment ref="L4916" authorId="0" shapeId="0" xr:uid="{527C74B7-78D5-475C-AA42-14B492FCB55D}">
      <text>
        <r>
          <rPr>
            <sz val="9"/>
            <color indexed="81"/>
            <rFont val="Tahoma"/>
            <family val="2"/>
          </rPr>
          <t>JONAS FAIRBANK_x000D_
http://yeinfo.com/family/I09001410.html_x000D_
https://www.google.com/search?q=JONAS+FAIRBANK+1624+1676+LYDIA_x000D_
.born:c1624    -          England_x000D_
.died: 16760210-          Lancaster (Worcester) Massachusetts, age:52y 1m 9d, killed by Indians in a massacre_x000D_
.bapt: 1785GE_x000D_
.will: 2004MO_x000D_
.obit: 1890OH_x000D_
.bury: 1850IL _x000D_
.wpbt: 1826PA_x000D_
.anc#:ancestor_x000D_
citiz:immigrant_x000D_
#spos:1_x000D_
#srcs:14_x000D_
#comment:2_x000D_
#events:7_x000D_
#kids:10_x000D_
lived:?MANORFODEDHAM,ENYORKS,MAWORCELANCAST_x000D_
issue:_x000D_
.recs:Birth,Marriage,Death,Gov't Court_x000D_
.imm?:immigrant_x000D_
..Spo:LYDIA PRESCOTT</t>
        </r>
      </text>
    </comment>
    <comment ref="M4918" authorId="0" shapeId="0" xr:uid="{BDA0D3AE-3091-4BC6-A39D-BAA3B4C6237E}">
      <text>
        <r>
          <rPr>
            <sz val="9"/>
            <color indexed="81"/>
            <rFont val="Tahoma"/>
            <family val="2"/>
          </rPr>
          <t>GRACE SMITH_x000D_
http://yeinfo.com/family/I09002821.html_x000D_
https://www.google.com/search?q=GRACE+SMITH+1600+1673+FAIRBANK_x000D_
.born:?1600    -          England_x000D_
.died: 16731028-         ?Lancaster (Worcester) Massachusetts, age:73y 9m 27d, _x000D_
.bapt: 1785GE_x000D_
.will: 2004MO_x000D_
.obit: 1890OH_x000D_
.bury: 1850IL _x000D_
.wpbt: 1826PA_x000D_
.anc#:double ancestor_x000D_
citiz:immigrant_x000D_
#spos:1_x000D_
#srcs:10_x000D_
#comment:0_x000D_
#events:2_x000D_
#kids:8_x000D_
lived:?MAWORCELANCAST,ENYORKSHALIFAX,ENYORKSWARLEY_x000D_
issue:_x000D_
.recs:Birth,Marriage,Death_x000D_
.imm?:immigrant_x000D_
..Spo:JONATHAN FAIRBANK</t>
        </r>
      </text>
    </comment>
    <comment ref="K4920" authorId="0" shapeId="0" xr:uid="{3F6228FF-D64C-41AB-97AD-EC512A75D157}">
      <text>
        <r>
          <rPr>
            <sz val="9"/>
            <color indexed="81"/>
            <rFont val="Tahoma"/>
            <family val="2"/>
          </rPr>
          <t>HASADIAH FAIRBANK_x000D_
http://yeinfo.com/family/I09000705.html_x000D_
https://www.google.com/search?q=HASADIAH+FAIRBANK+1668+1740+MOORE_x000D_
.born: 16680228-          Lancaster (Worcester) Massachusetts_x000D_
.died:p17400101-          Bolton (Worcester) Massachusetts, age:71y 10m 4d, _x000D_
.bapt: 1785GE_x000D_
.will: 2004MO_x000D_
.obit: 1890OH_x000D_
.bury: 1850IL Old South Burying Ground_x000D_
.wpbt: 1826PA_x000D_
.anc#:ancestor_x000D_
citiz:US born_x000D_
#spos:1_x000D_
#srcs:6_x000D_
#comment:1_x000D_
#events:2_x000D_
#kids:6_x000D_
lived:MAMIDDLCONCORD,MAWORCEBOLTON,MAWORCELANCAST_x000D_
issue:_x000D_
.recs:Birth,Marriage,Death,Interment/Burial_x000D_
.imm?:no_x000D_
..Spo:JOHN MOORE</t>
        </r>
      </text>
    </comment>
    <comment ref="M4922" authorId="0" shapeId="0" xr:uid="{06A6ACB8-B208-4BB1-A944-114575EB5A76}">
      <text>
        <r>
          <rPr>
            <sz val="9"/>
            <color indexed="81"/>
            <rFont val="Tahoma"/>
            <family val="2"/>
          </rPr>
          <t>JOHN PRESCOTT_x000D_
http://yeinfo.com/family/I09002822.html_x000D_
https://www.google.com/search?q=JOHN+PRESCOTT+1604+1681+MARY_x000D_
.born:c1604    -          Shevington (Lancashire) England_x000D_
.died: 168112  -          Lancaster (Worcester) Massachusetts, age:77y 11m 0d, _x000D_
.bapt: 1785GE_x000D_
.will: 2004MO_x000D_
.obit: 1890OH_x000D_
.bury: 1850IL Old Settler's Burial Field_x000D_
.wpbt: 1826PA_x000D_
.anc#:double ancestor_x000D_
citiz:immigrant_x000D_
#spos:1_x000D_
#srcs:15_x000D_
#comment:1_x000D_
#events:14_x000D_
#kids:9_x000D_
lived:BA,ENLANCSSHEVING,ENYORKSSOWERBY,MAMIDDLWATERTO,MAWORCELANCAST_x000D_
issue:_x000D_
.recs:Birth,Baptism,Marriage,Job/Occupation,Death,Interment/Burial,Freeman,Oath Taken_x000D_
.imm?:immigrant_x000D_
..Spo:MARY PLATTS</t>
        </r>
      </text>
    </comment>
    <comment ref="L4924" authorId="0" shapeId="0" xr:uid="{78180000-DD52-49B0-BAE7-AACA18F5EC8F}">
      <text>
        <r>
          <rPr>
            <sz val="9"/>
            <color indexed="81"/>
            <rFont val="Tahoma"/>
            <family val="2"/>
          </rPr>
          <t>LYDIA PRESCOTT_x000D_
http://yeinfo.com/family/I09001411.html_x000D_
https://www.google.com/search?q=LYDIA+PRESCOTT+1641+1723+FAIRBANK+Elias_x000D_
.born: 16410815-          Waterton (Middlesex) Massachusetts_x000D_
.died: 17231231-         ?Massachusetts, age:82y 4m 16d, _x000D_
.bapt: 1785GE_x000D_
.will: 2004MO_x000D_
.obit: 1890OH_x000D_
.bury: 1850IL _x000D_
.wpbt: 1826PA_x000D_
.anc#:ancestor_x000D_
citiz:US born_x000D_
#spos:2_x000D_
#srcs:7_x000D_
#comment:1_x000D_
#events:2_x000D_
#kids:10_x000D_
lived:MAMIDDLWATERTO,MAWORCELANCAST_x000D_
issue:_x000D_
.recs:Birth,Marriage,Death_x000D_
.imm?:no_x000D_
..Spo:JONAS FAIRBANK</t>
        </r>
      </text>
    </comment>
    <comment ref="M4926" authorId="0" shapeId="0" xr:uid="{01F624E0-CCB4-4806-B102-5E57BBF5E408}">
      <text>
        <r>
          <rPr>
            <sz val="9"/>
            <color indexed="81"/>
            <rFont val="Tahoma"/>
            <family val="2"/>
          </rPr>
          <t>MARY PLATTS_x000D_
http://yeinfo.com/family/I09002823.html_x000D_
https://www.google.com/search?q=MARY+PLATTS+1606+1674+PRESCOTT_x000D_
.born:?1606    -          Yorkshire county England_x000D_
.died: 1674    -         ?Lancaster (Worcester) Massachusetts, age:68y 0m 0d, _x000D_
.bapt: 1785GE_x000D_
.will: 2004MO_x000D_
.obit: 1890OH_x000D_
.bury: 1850IL _x000D_
.wpbt: 1826PA_x000D_
.anc#:double ancestor_x000D_
citiz:immigrant_x000D_
#spos:1_x000D_
#srcs:8_x000D_
#comment:0_x000D_
#events:6_x000D_
#kids:9_x000D_
lived:ENYORKSSOWERBY,MAMIDDLWATERTO,MAWORCELANCAST_x000D_
issue:_x000D_
.recs:Birth,Baptism,Marriage,Death_x000D_
.imm?:immigrant_x000D_
..Spo:JOHN PRESCOTT</t>
        </r>
      </text>
    </comment>
    <comment ref="I4928" authorId="0" shapeId="0" xr:uid="{9ACD4704-904C-4DC7-AF78-D7D6AABB4007}">
      <text>
        <r>
          <rPr>
            <sz val="9"/>
            <color indexed="81"/>
            <rFont val="Tahoma"/>
            <family val="2"/>
          </rPr>
          <t>SAMUEL MOORE_x000D_
http://yeinfo.com/family/I09000176.html_x000D_
https://www.google.com/search?q=SAMUEL+MOORE+1732+1812+ZERISH_x000D_
.born: 17320702-          Lancaster (Worcester) Massachusetts_x000D_
.died: 18120218-          Bolton (Worcester) Massachusetts, age:79y 7m 16d, _x000D_
.bapt: 1785GE_x000D_
.will: 2004MO_x000D_
.obit: 1890OH_x000D_
.bury: 1850IL _x000D_
.wpbt: 1826PA_x000D_
.anc#:ancestor_x000D_
citiz:US born_x000D_
#spos:1_x000D_
#srcs:4_x000D_
#comment:1_x000D_
#events:4_x000D_
#kids:11_x000D_
lived:MAWORCEBOLTON,MAWORCELANCAST,VTWINDHMARLBOR_x000D_
issue:_x000D_
.recs:Birth,Marriage,Death_x000D_
.imm?:no_x000D_
..Spo:ZERISH HOUGHTON</t>
        </r>
      </text>
    </comment>
    <comment ref="O4930" authorId="0" shapeId="0" xr:uid="{A50313C7-A92E-4622-86C7-F185AA124DDB}">
      <text>
        <r>
          <rPr>
            <sz val="9"/>
            <color indexed="81"/>
            <rFont val="Tahoma"/>
            <family val="2"/>
          </rPr>
          <t>RICHARD WILLARD_x000D_
http://yeinfo.com/family/I09011296.html_x000D_
https://www.google.com/search?q=RICHARD+WILLARD+1510+1558+ELIZABETH_x000D_
.born:?1510    -          England_x000D_
.died: 1558    -          Brenchley (Kent) England, age:48y 0m 0d, _x000D_
.bapt: 1785GE_x000D_
.will: 2004MO_x000D_
.obit: 1890OH_x000D_
.bury: 1850IL _x000D_
.wpbt: 1826PA_x000D_
.anc#:ancestor_x000D_
citiz:foreign_x000D_
#spos:1_x000D_
#srcs:2_x000D_
#comment:0_x000D_
#events:5_x000D_
#kids:10_x000D_
lived:ENKENT BRENCHL_x000D_
issue:_x000D_
.recs:Birth,Marriage,Will Written,Death_x000D_
.imm?:no_x000D_
..Spo:ELIZABETH FREMINGHAM</t>
        </r>
      </text>
    </comment>
    <comment ref="N4932" authorId="0" shapeId="0" xr:uid="{0335DA8A-32BA-46B2-8623-8AABAE191F5A}">
      <text>
        <r>
          <rPr>
            <sz val="9"/>
            <color indexed="81"/>
            <rFont val="Tahoma"/>
            <family val="2"/>
          </rPr>
          <t>SYMON WILLARD_x000D_
http://yeinfo.com/family/I09005648.html_x000D_
https://www.google.com/search?q=SYMON+WILLARD+1545+1584+ELIZABETH_x000D_
.born:?1545    -          Kent county England_x000D_
.died: 158402  -          Kent county England, age:39y 1m 0d, _x000D_
.bapt: 1785GE_x000D_
.will: 2004MO_x000D_
.obit: 1890OH_x000D_
.bury: 1850IL _x000D_
.wpbt: 1826PA_x000D_
.anc#:ancestor_x000D_
citiz:foreign_x000D_
#spos:1_x000D_
#srcs:2_x000D_
#comment:0_x000D_
#events:4_x000D_
#kids:4_x000D_
lived:ENKENT_x000D_
issue:_x000D_
.recs:Birth,Marriage,Will Written,Death_x000D_
.imm?:no_x000D_
..Spo:ELIZABETH WATERMAN</t>
        </r>
      </text>
    </comment>
    <comment ref="O4934" authorId="0" shapeId="0" xr:uid="{7A99E28B-6AFC-4D7F-8072-3E7C60B18971}">
      <text>
        <r>
          <rPr>
            <sz val="9"/>
            <color indexed="81"/>
            <rFont val="Tahoma"/>
            <family val="2"/>
          </rPr>
          <t>ELIZABETH FREMINGHAM_x000D_
http://yeinfo.com/family/I09011297.html_x000D_
https://www.google.com/search?q=ELIZABETH+FREMINGHAM+1510+1552+WILLARD_x000D_
.born:?1510    -          England_x000D_
.died: 1552    -1600      , age:42y 0m 0d, _x000D_
.bapt: 1785GE_x000D_
.will: 2004MO_x000D_
.obit: 1890OH_x000D_
.bury: 1850IL _x000D_
.wpbt: 1826PA_x000D_
.anc#:ancestor_x000D_
citiz:foreign_x000D_
#spos:1_x000D_
#srcs:1_x000D_
#comment:0_x000D_
#events:1_x000D_
#kids:10_x000D_
lived:EN_x000D_
issue:_x000D_
.recs:Birth,Marriage,Death_x000D_
.imm?:no_x000D_
..Spo:RICHARD WILLARD</t>
        </r>
      </text>
    </comment>
    <comment ref="M4936" authorId="0" shapeId="0" xr:uid="{2AE8A14F-007C-44D1-B486-3D92676EFBEC}">
      <text>
        <r>
          <rPr>
            <sz val="9"/>
            <color indexed="81"/>
            <rFont val="Tahoma"/>
            <family val="2"/>
          </rPr>
          <t>RICHARD WILLARD_x000D_
http://yeinfo.com/family/I09002824.html_x000D_
https://www.google.com/search?q=RICHARD+WILLARD+1572+1616+Catherine+HUMPHREY_x000D_
.born:?1572    -          Kent county England_x000D_
.died:?161603  -          Kent county England, age:44y 2m 0d, _x000D_
.bapt: 1785GE_x000D_
.will: 2004MO_x000D_
.obit: 1890OH_x000D_
.bury: 1850IL _x000D_
.wpbt: 1826PA_x000D_
.anc#:ancestor_x000D_
citiz:foreign_x000D_
#spos:3_x000D_
#srcs:6_x000D_
#comment:0_x000D_
#events:6_x000D_
#kids:10_x000D_
lived:ENKENT HORSMON_x000D_
issue:_x000D_
.recs:Birth,Marriage,Will Written,Death_x000D_
.imm?:no_x000D_
..Spo:Catherine WILLARD</t>
        </r>
      </text>
    </comment>
    <comment ref="N4938" authorId="0" shapeId="0" xr:uid="{35849CC8-D8D2-4474-90F8-E5A6FBC09FC8}">
      <text>
        <r>
          <rPr>
            <sz val="9"/>
            <color indexed="81"/>
            <rFont val="Tahoma"/>
            <family val="2"/>
          </rPr>
          <t>ELIZABETH WATERMAN_x000D_
http://yeinfo.com/family/I09005649.html_x000D_
https://www.google.com/search?q=ELIZABETH+WATERMAN+1545+1587+WILLARD_x000D_
.born:?1545    -          Kent county England_x000D_
.died: 1587    -          Horsmonden (Kent) England, age:42y 0m 0d, _x000D_
.bapt: 1785GE_x000D_
.will: 2004MO_x000D_
.obit: 1890OH_x000D_
.bury: 1850IL _x000D_
.wpbt: 1826PA_x000D_
.anc#:ancestor_x000D_
citiz:foreign_x000D_
#spos:1_x000D_
#srcs:1_x000D_
#comment:0_x000D_
#events:2_x000D_
#kids:4_x000D_
lived:ENKENT HORSMON_x000D_
issue:_x000D_
.recs:Birth,Marriage,Death_x000D_
.imm?:no_x000D_
..Spo:SYMON WILLARD</t>
        </r>
      </text>
    </comment>
    <comment ref="L4940" authorId="0" shapeId="0" xr:uid="{DC2086AC-F2C8-4C2B-8A29-F5C5A25776BD}">
      <text>
        <r>
          <rPr>
            <sz val="9"/>
            <color indexed="81"/>
            <rFont val="Tahoma"/>
            <family val="2"/>
          </rPr>
          <t>SIMON WILLARD_x000D_
http://yeinfo.com/family/I09001412.html_x000D_
https://www.google.com/search?q=SIMON+WILLARD+1605+1676+MARY\JANE+Dunster_x000D_
.born:?1605    -          Horsmonden (Kent) England_x000D_
.died: 16760424-          , age:71y 3m 23d, _x000D_
.bapt: 1785GE_x000D_
.will: 2004MO_x000D_
.obit: 1890OH_x000D_
.bury: 1850IL _x000D_
.wpbt: 1826PA_x000D_
.anc#:ancestor_x000D_
citiz:US born_x000D_
#spos:3_x000D_
#srcs:15_x000D_
#comment:2_x000D_
#events:29_x000D_
#kids:18_x000D_
lived:ENKENT HORSMON,MAESSEXSALEM,MAMIDDLCAMBRID,MAMIDDLCONCORD,MAMIDDLGROTON,MAWORCELANCAST_x000D_
issue:_x000D_
.recs:Birth,Baptism,Military,Job/Occupation,Death,Land Transaction,Immigrate_x000D_
.imm?:no_x000D_
..Spo:MARY\JANE SHARPE</t>
        </r>
      </text>
    </comment>
    <comment ref="M4942" authorId="0" shapeId="0" xr:uid="{134B4F93-0EB2-4F02-B745-EF0A0A441E06}">
      <text>
        <r>
          <rPr>
            <sz val="9"/>
            <color indexed="81"/>
            <rFont val="Tahoma"/>
            <family val="2"/>
          </rPr>
          <t>MARGERY HUMPHREY_x000D_
http://yeinfo.com/family/I09002825.html_x000D_
https://www.google.com/search?q=MARGERY+HUMPHREY+1575+1608+WILLARD_x000D_
.born:?1575    -          Kent county England_x000D_
.died: 16081212-         ?Horsmonden (Kent) England, age:33y 11m 11d, _x000D_
.bapt: 1785GE_x000D_
.will: 2004MO_x000D_
.obit: 1890OH_x000D_
.bury: 1850IL _x000D_
.wpbt: 1826PA_x000D_
.anc#:ancestor_x000D_
citiz:foreign_x000D_
#spos:1_x000D_
#srcs:1_x000D_
#comment:0_x000D_
#events:1_x000D_
#kids:6_x000D_
lived:?ENKENT HORSMON_x000D_
issue:_x000D_
.recs:Birth,Marriage,Death_x000D_
.imm?:no_x000D_
..Spo:RICHARD WILLARD</t>
        </r>
      </text>
    </comment>
    <comment ref="K4944" authorId="0" shapeId="0" xr:uid="{CD6A0254-CF8B-4A24-8555-E157DE0B7D4A}">
      <text>
        <r>
          <rPr>
            <sz val="9"/>
            <color indexed="81"/>
            <rFont val="Tahoma"/>
            <family val="2"/>
          </rPr>
          <t>HENRY WILLARD_x000D_
http://yeinfo.com/family/I09000706.html_x000D_
https://www.google.com/search?q=HENRY+WILLARD+1655+1701+Mary+CUTLER_x000D_
.born: 16550604-          Concord (Middlesex) Massachusetts_x000D_
.died: 1701    -          Lancaster (Worcester) Massachusetts, age:45y 6m 28d, _x000D_
.bapt: 1785GE_x000D_
.will: 2004MO_x000D_
.obit: 1890OH_x000D_
.bury: 1850IL _x000D_
.wpbt: 1826PA_x000D_
.anc#:ancestor_x000D_
citiz:US born_x000D_
#spos:2_x000D_
#srcs:8_x000D_
#comment:1_x000D_
#events:6_x000D_
#kids:14_x000D_
lived:MAMIDDLCONCORD,MAWORCELANCAST_x000D_
issue:_x000D_
.recs:Birth,Marriage,Will Written,Death_x000D_
.imm?:no_x000D_
..Spo:Mary Lakin</t>
        </r>
      </text>
    </comment>
    <comment ref="M4946" authorId="0" shapeId="0" xr:uid="{B09635CA-7518-4A10-B15C-98E9FA226A01}">
      <text>
        <r>
          <rPr>
            <sz val="9"/>
            <color indexed="81"/>
            <rFont val="Tahoma"/>
            <family val="2"/>
          </rPr>
          <t>HENRY SHARPE_x000D_
http://yeinfo.com/family/I09002826.html_x000D_
https://www.google.com/search?q=HENRY+SHARPE+1588+1650+JANE_x000D_
.born:?1588    -         ?England_x000D_
.died:c1650    -         ?England, age:62y 0m 0d, _x000D_
.bapt: 1785GE_x000D_
.will: 2004MO_x000D_
.obit: 1890OH_x000D_
.bury: 1850IL _x000D_
.wpbt: 1826PA_x000D_
.anc#:ancestor_x000D_
citiz:foreign_x000D_
#spos:1_x000D_
#srcs:2_x000D_
#comment:0_x000D_
#events:1_x000D_
#kids:2_x000D_
lived:?EN_x000D_
issue:_x000D_
.recs:Birth,Marriage,Death_x000D_
.imm?:no_x000D_
..Spo:JANE FIELD</t>
        </r>
      </text>
    </comment>
    <comment ref="L4948" authorId="0" shapeId="0" xr:uid="{1652CDDE-D224-4549-969C-DAB8A3FE8D7C}">
      <text>
        <r>
          <rPr>
            <sz val="9"/>
            <color indexed="81"/>
            <rFont val="Tahoma"/>
            <family val="2"/>
          </rPr>
          <t>MARY\JANE SHARPE_x000D_
http://yeinfo.com/family/I09001413.html_x000D_
https://www.google.com/search?q=MARY\JANE+SHARPE+1614+1655+WILLARD_x000D_
.born:c1614    -         ?Horsmonden (Kent) England_x000D_
.died: 1655    -1700     ?Concord (Middlesex) Massachusetts, age:41y 0m 0d, _x000D_
.bapt: 1785GE_x000D_
.will: 2004MO_x000D_
.obit: 1890OH_x000D_
.bury: 1850IL _x000D_
.wpbt: 1826PA_x000D_
.anc#:ancestor_x000D_
citiz:immigrant_x000D_
#spos:1_x000D_
#srcs:7_x000D_
#comment:0_x000D_
#events:3_x000D_
#kids:13_x000D_
lived:?ENKENT HORSMON,?MAMIDDLCONCORD_x000D_
issue:_x000D_
.recs:Birth,Baptism,Marriage,Death_x000D_
.imm?:immigrant_x000D_
..Spo:SIMON WILLARD</t>
        </r>
      </text>
    </comment>
    <comment ref="M4950" authorId="0" shapeId="0" xr:uid="{AC5CDE0B-490D-4C76-AAF6-69117C448F53}">
      <text>
        <r>
          <rPr>
            <sz val="9"/>
            <color indexed="81"/>
            <rFont val="Tahoma"/>
            <family val="2"/>
          </rPr>
          <t>JANE FIELD_x000D_
http://yeinfo.com/family/I09002827.html_x000D_
https://www.google.com/search?q=JANE+FIELD+1590+1650+SHARPE_x000D_
.born:?1590    -         ?England_x000D_
.died: 1650    -          England, age:60y 0m 0d, _x000D_
.bapt: 1785GE_x000D_
.will: 2004MO_x000D_
.obit: 1890OH_x000D_
.bury: 1850IL _x000D_
.wpbt: 1826PA_x000D_
.anc#:ancestor_x000D_
citiz:foreign_x000D_
#spos:1_x000D_
#srcs:3_x000D_
#comment:0_x000D_
#events:1_x000D_
#kids:2_x000D_
lived:?EN_x000D_
issue:_x000D_
.recs:Birth,Marriage,Death_x000D_
.imm?:no_x000D_
..Spo:HENRY SHARPE</t>
        </r>
      </text>
    </comment>
    <comment ref="J4952" authorId="0" shapeId="0" xr:uid="{9A8AD98F-2732-4086-9F1A-046DE74CE561}">
      <text>
        <r>
          <rPr>
            <sz val="9"/>
            <color indexed="81"/>
            <rFont val="Tahoma"/>
            <family val="2"/>
          </rPr>
          <t>SUSANNAH WILLARD_x000D_
http://yeinfo.com/family/I09000353.html_x000D_
https://www.google.com/search?q=SUSANNAH+WILLARD+1701+1743+MOORE_x000D_
.born:c1701    -          Lancaster (Worcester) Massachusetts_x000D_
.died: 1743    -1790     ?Bolton (Worcester) Massachusetts, age:42y 0m 0d, _x000D_
.bapt: 1785GE_x000D_
.will: 2004MO_x000D_
.obit: 1890OH_x000D_
.bury: 1850IL _x000D_
.wpbt: 1826PA_x000D_
.anc#:ancestor_x000D_
citiz:US born_x000D_
#spos:1_x000D_
#srcs:3_x000D_
#comment:0_x000D_
#events:3_x000D_
#kids:7_x000D_
lived:?MAWORCEBOLTON,MAWORCELANCAST_x000D_
issue:_x000D_
.recs:Birth,Marriage,Death_x000D_
.imm?:no_x000D_
..Spo:JOHN MOORE</t>
        </r>
      </text>
    </comment>
    <comment ref="M4954" authorId="0" shapeId="0" xr:uid="{1AD24438-8D21-4E99-80CC-622D1E0CC5FB}">
      <text>
        <r>
          <rPr>
            <sz val="9"/>
            <color indexed="81"/>
            <rFont val="Tahoma"/>
            <family val="2"/>
          </rPr>
          <t>JAMES CUTLER_x000D_
http://yeinfo.com/family/I09005444.html_x000D_
https://www.google.com/search?q=JAMES+CUTLER+1606+1694+ANNA+BARNARD_x000D_
.born: 1606    -          Sprowston (Norfolk) England_x000D_
.died: 16940717-          , age:88y 6m 16d, _x000D_
.bapt: 1785GE_x000D_
.will: 2004MO_x000D_
.obit: 1890OH_x000D_
.bury: 1850IL _x000D_
.wpbt: 1826PA_x000D_
.anc#:  triple ancestor_x000D_
citiz:US born_x000D_
#spos:3_x000D_
#srcs:21_x000D_
#comment:0_x000D_
#events:17_x000D_
#kids:12_x000D_
lived:ENNORFOSPROWST,MAMIDDLLEXINGT,MAMIDDLWATERTO,MAWORCELANCAST_x000D_
issue:AncFlags between Spouses Mismatched_x000D_
.recs:Birth,Marriage,Will Written,Death,Land Transaction_x000D_
.imm?:no_x000D_
..Spo:ANNA CUTLER</t>
        </r>
      </text>
    </comment>
    <comment ref="L4956" authorId="0" shapeId="0" xr:uid="{11462F23-5534-408E-90D1-97DFF04F7D81}">
      <text>
        <r>
          <rPr>
            <sz val="9"/>
            <color indexed="81"/>
            <rFont val="Tahoma"/>
            <family val="2"/>
          </rPr>
          <t>THOMAS CUTLER_x000D_
http://yeinfo.com/family/I09001414.html_x000D_
https://www.google.com/search?q=THOMAS+CUTLER+1648+1722+ABIGAIL_x000D_
.born: 164810  -          Waterton (Middlesex) Massachusetts_x000D_
.died: 17220713-          Lexington (Middlesex) Massachusetts, age:73y 9m 12d, _x000D_
.bapt: 1785GE_x000D_
.will: 2004MO_x000D_
.obit: 1890OH_x000D_
.bury: 1850IL _x000D_
.wpbt: 1826PA_x000D_
.anc#:ancestor_x000D_
citiz:US born_x000D_
#spos:1_x000D_
#srcs:8_x000D_
#comment:0_x000D_
#events:2_x000D_
#kids:8_x000D_
lived:MAMIDDLLEXINGT,MAMIDDLWATERTO_x000D_
issue:_x000D_
.recs:Birth,Marriage,Death_x000D_
.imm?:no_x000D_
..Spo:ABIGAIL DEWEY</t>
        </r>
      </text>
    </comment>
    <comment ref="M4958" authorId="0" shapeId="0" xr:uid="{DDF80ADB-EDB4-468B-B710-EF13C5F98F92}">
      <text>
        <r>
          <rPr>
            <sz val="9"/>
            <color indexed="81"/>
            <rFont val="Tahoma"/>
            <family val="2"/>
          </rPr>
          <t>MARY BARNARD_x000D_
http://yeinfo.com/family/I09002829.html_x000D_
https://www.google.com/search?q=MARY+BARNARD+1610+1654+King+JAMES_x000D_
.born:?1610    -         ?England_x000D_
.died: 16541207-         ?Lexington (Middlesex) Massachusetts, age:44y 11m 6d, _x000D_
.bapt: 1785GE_x000D_
.will: 2004MO_x000D_
.obit: 1890OH_x000D_
.bury: 1850IL _x000D_
.wpbt: 1826PA_x000D_
.anc#:ancestor_x000D_
citiz:immigrant_x000D_
#spos:2_x000D_
#srcs:8_x000D_
#comment:1_x000D_
#events:2_x000D_
#kids:3_x000D_
lived:?EN,MAMIDDLLEXINGT_x000D_
issue:AncFlags between Spouses Mismatched_x000D_
.recs:Birth,Marriage,Death_x000D_
.imm?:immigrant_x000D_
..Spo:Thomas King</t>
        </r>
      </text>
    </comment>
    <comment ref="K4960" authorId="0" shapeId="0" xr:uid="{05CB4D36-CC3A-4462-BF4C-B49751253B52}">
      <text>
        <r>
          <rPr>
            <sz val="9"/>
            <color indexed="81"/>
            <rFont val="Tahoma"/>
            <family val="2"/>
          </rPr>
          <t>DORCAS CUTLER_x000D_
http://yeinfo.com/family/I09000707.html_x000D_
https://www.google.com/search?q=DORCAS+CUTLER+1675+1747+WILLARD+Benjamin_x000D_
.born: 1675    -         ?Concord (Middlesex) Massachusetts_x000D_
.died: 17470908-          Lunenburg (Worcester) Massachusetts, age:72y 8m 7d, _x000D_
.bapt: 1785GE_x000D_
.will: 2004MO_x000D_
.obit: 1890OH_x000D_
.bury: 1850IL South Cemetery_x000D_
.wpbt: 1826PA_x000D_
.anc#:ancestor_x000D_
citiz:US born_x000D_
#spos:2_x000D_
#srcs:7_x000D_
#comment:1_x000D_
#events:4_x000D_
#kids:7_x000D_
lived:?MAMIDDLCONCORD,MAWORCELANCAST,MAWORCELUNENBU_x000D_
issue:Died after Age 100_x000D_
.recs:Birth,Marriage,Will Written,Death,Interment/Burial_x000D_
.imm?:no_x000D_
..Spo:HENRY WILLARD</t>
        </r>
      </text>
    </comment>
    <comment ref="M4962" authorId="0" shapeId="0" xr:uid="{A7A3B0DC-CAAA-4777-A09D-FEC5098006B6}">
      <text>
        <r>
          <rPr>
            <sz val="9"/>
            <color indexed="81"/>
            <rFont val="Tahoma"/>
            <family val="2"/>
          </rPr>
          <t>THOMAS DEWEY_x000D_
http://yeinfo.com/family/I09002830.html_x000D_
https://www.google.com/search?q=THOMAS+DEWEY+1606+1648+FRANCES_x000D_
.born: 16060427-          England_x000D_
.died: 16480427-          Hartford (Hartford) Connecticut, age:42y 0m 0d, _x000D_
.bapt: 1785GE_x000D_
.will: 2004MO_x000D_
.obit: 1890OH_x000D_
.bury: 1850IL _x000D_
.wpbt: 1826PA_x000D_
.anc#:ancestor_x000D_
citiz:immigrant_x000D_
#spos:1_x000D_
#srcs:2_x000D_
#comment:1_x000D_
#events:1_x000D_
#kids:7_x000D_
lived:CTHARTFHARTFOR,CTHARTFWINDSOR,EN_x000D_
issue:_x000D_
.recs:Birth,Marriage,Death_x000D_
.imm?:immigrant_x000D_
..Spo:FRANCES RANDALL</t>
        </r>
      </text>
    </comment>
    <comment ref="L4964" authorId="0" shapeId="0" xr:uid="{BB642AA2-E658-47E5-9B89-C265F6EC55A6}">
      <text>
        <r>
          <rPr>
            <sz val="9"/>
            <color indexed="81"/>
            <rFont val="Tahoma"/>
            <family val="2"/>
          </rPr>
          <t>ABIGAIL DEWEY_x000D_
http://yeinfo.com/family/I09001415.html_x000D_
https://www.google.com/search?q=ABIGAIL+DEWEY+1646+1711+CUTLER_x000D_
.born:c164601  -         ?Lexington (Middlesex) Massachusetts_x000D_
.died: 17110219-         ?Lexington (Middlesex) Massachusetts, age:65y 1m 18d, _x000D_
.bapt: 1785GE_x000D_
.will: 2004MO_x000D_
.obit: 1890OH_x000D_
.bury: 1850IL _x000D_
.wpbt: 1826PA_x000D_
.anc#:ancestor_x000D_
citiz:US born_x000D_
#spos:1_x000D_
#srcs:3_x000D_
#comment:0_x000D_
#events:1_x000D_
#kids:8_x000D_
lived:?MAMIDDLLEXINGT,MAMIDDLWATERTO_x000D_
issue:_x000D_
.recs:Birth,Marriage,Death_x000D_
.imm?:no_x000D_
..Spo:THOMAS CUTLER</t>
        </r>
      </text>
    </comment>
    <comment ref="M4966" authorId="0" shapeId="0" xr:uid="{DDDAAB1B-FA7B-4440-BF5B-1FA3F4430241}">
      <text>
        <r>
          <rPr>
            <sz val="9"/>
            <color indexed="81"/>
            <rFont val="Tahoma"/>
            <family val="2"/>
          </rPr>
          <t>FRANCES RANDALL_x000D_
http://yeinfo.com/family/I09002831.html_x000D_
https://www.google.com/search?q=FRANCES+RANDALL+1611+1690+DEWEY+George_x000D_
.born: 1611    -         ?England_x000D_
.died: 16900927-          Westfield (Hampden) Massachusetts, age:79y 8m 26d, _x000D_
.bapt: 1785GE_x000D_
.will: 2004MO_x000D_
.obit: 1890OH_x000D_
.bury: 1850IL _x000D_
.wpbt: 1826PA_x000D_
.anc#:ancestor_x000D_
citiz:immigrant_x000D_
#spos:2_x000D_
#srcs:2_x000D_
#comment:0_x000D_
#events:2_x000D_
#kids:7_x000D_
lived:?EN,CTHARTFWINDSOR,MAHAMPDWESTFIE_x000D_
issue:_x000D_
.recs:Birth,Marriage,Death_x000D_
.imm?:immigrant_x000D_
..Spo:THOMAS DEWEY</t>
        </r>
      </text>
    </comment>
    <comment ref="H4968" authorId="0" shapeId="0" xr:uid="{C20EDC7D-A55C-4F93-91A9-1ED18A2B8105}">
      <text>
        <r>
          <rPr>
            <sz val="9"/>
            <color indexed="81"/>
            <rFont val="Tahoma"/>
            <family val="2"/>
          </rPr>
          <t>RUFUS MOORE_x000D_
http://yeinfo.com/family/I09000088.html_x000D_
https://www.google.com/search?q=RUFUS+MOORE+1761+1836+RACHEL_x000D_
.born: 17610828-          Bolton (Worcester) Massachusetts_x000D_
.died: 18361205-          Dummerston (Windham) Vermont, age:75y 3m 7d, _x000D_
.bapt: 1785GE_x000D_
.will: 2004MO_x000D_
.obit: 1890OH_x000D_
.bury: 1850IL Dummerston Hill Cemetery_x000D_
.wpbt: 1826PA_x000D_
.anc#:ancestor_x000D_
citiz:US born_x000D_
#spos:1_x000D_
#srcs:8_x000D_
#comment:2_x000D_
#events:12_x000D_
#kids:11_x000D_
lived:MAWORCEBOLTON,VTADDSNWHITING,VTWINDHDUMMERS,VTWINDHPUTNEY_x000D_
issue:_x000D_
.recs:Birth,Military,Marriage,Death,Interment/Burial_x000D_
.imm?:no_x000D_
..Spo:RACHEL MOORE</t>
        </r>
      </text>
    </comment>
    <comment ref="N4970" authorId="0" shapeId="0" xr:uid="{0F7E8C38-C5AB-4E1D-B6A2-37D424D7CD8B}">
      <text>
        <r>
          <rPr>
            <sz val="9"/>
            <color indexed="81"/>
            <rFont val="Tahoma"/>
            <family val="2"/>
          </rPr>
          <t>JOHN HOUGHTON_x000D_
http://yeinfo.com/family/I09005664.html_x000D_
https://www.google.com/search?q=JOHN+HOUGHTON+1573+1618+KATHERINE_x000D_
.born: 1573    -          England_x000D_
.died: 1618    -          Eaton Bray (Bedfordshire) England, age:45y 0m 0d, _x000D_
.bapt: 1785GE_x000D_
.will: 2004MO_x000D_
.obit: 1890OH_x000D_
.bury: 1850IL _x000D_
.wpbt: 1826PA_x000D_
.anc#:double ancestor_x000D_
citiz:foreign_x000D_
#spos:1_x000D_
#srcs:3_x000D_
#comment:0_x000D_
#events:2_x000D_
#kids:1_x000D_
lived:ENBEDFOEATON B_x000D_
issue:_x000D_
.recs:Birth,Marriage,Death_x000D_
.imm?:no_x000D_
..Spo:KATHERINE HOUGHTON</t>
        </r>
      </text>
    </comment>
    <comment ref="M4972" authorId="0" shapeId="0" xr:uid="{1D873B13-6D8F-48CC-B95C-6FC156B31B2C}">
      <text>
        <r>
          <rPr>
            <sz val="9"/>
            <color indexed="81"/>
            <rFont val="Tahoma"/>
            <family val="2"/>
          </rPr>
          <t>JOHN HOUGHTON_x000D_
http://yeinfo.com/family/I09002832.html_x000D_
https://www.google.com/search?q=JOHN+HOUGHTON+1593+1629+DAMARIS_x000D_
.born: 1593    -          Eaton Bray (Bedfordshire) England_x000D_
.died: 1629    -1683     ?Bedfordshire county England, age:36y 0m 0d, _x000D_
.bapt: 1785GE_x000D_
.will: 2004MO_x000D_
.obit: 1890OH_x000D_
.bury: 1850IL _x000D_
.wpbt: 1826PA_x000D_
.anc#:double ancestor_x000D_
citiz:foreign_x000D_
#spos:1_x000D_
#srcs:7_x000D_
#comment:0_x000D_
#events:3_x000D_
#kids:1_x000D_
lived:ENBEDFOEATON B_x000D_
issue:_x000D_
.recs:Birth,Baptism,Marriage,Death_x000D_
.imm?:no_x000D_
..Spo:DAMARIS BUCKMASTER</t>
        </r>
      </text>
    </comment>
    <comment ref="N4974" authorId="0" shapeId="0" xr:uid="{DC480031-4730-4F2D-8F8C-BB36906C79B3}">
      <text>
        <r>
          <rPr>
            <sz val="9"/>
            <color indexed="81"/>
            <rFont val="Tahoma"/>
            <family val="2"/>
          </rPr>
          <t>Mrs. KATHERINE HOUGHTON_x000D_
http://yeinfo.com/family/I09005665.html_x000D_
https://www.google.com/search?q=KATHERINE+HOUGHTON+1575+1595+HOUGHTON_x000D_
.born:?1575    -          Pendleton (Lancashire) England_x000D_
.died: 1595    -1665     ?England, age:20y 0m 0d, _x000D_
.bapt: 1785GE_x000D_
.will: 2004MO_x000D_
.obit: 1890OH_x000D_
.bury: 1850IL _x000D_
.wpbt: 1826PA_x000D_
.anc#:double ancestor_x000D_
citiz:foreign_x000D_
#spos:1_x000D_
#srcs:2_x000D_
#comment:0_x000D_
#events:1_x000D_
#kids:1_x000D_
lived:ENLANCSPENDLET_x000D_
issue:_x000D_
.recs:Birth,Marriage,Death_x000D_
.imm?:no_x000D_
..Spo:JOHN HOUGHTON</t>
        </r>
      </text>
    </comment>
    <comment ref="L4976" authorId="0" shapeId="0" xr:uid="{30062903-F3FC-4E58-88A6-9F7FE952E0E5}">
      <text>
        <r>
          <rPr>
            <sz val="9"/>
            <color indexed="81"/>
            <rFont val="Tahoma"/>
            <family val="2"/>
          </rPr>
          <t>JOHN HOUGHTON_x000D_
http://yeinfo.com/family/I09001416.html_x000D_
https://www.google.com/search?q=JOHN+HOUGHTON+1624+1684+BEATRIX_x000D_
.born: 16241224-          Eaton Bray (Bedfordshire) England_x000D_
.died: 16840429-          Lancaster (Worcester) Massachusetts, age:59y 4m 5d, _x000D_
.bapt: 1785GE_x000D_
.will: 2004MO_x000D_
.obit: 1890OH_x000D_
.bury: 1850IL Old Granary burying ground_x000D_
.wpbt: 1826PA_x000D_
.anc#:double ancestor_x000D_
citiz:immigrant_x000D_
#spos:1_x000D_
#srcs:16_x000D_
#comment:1_x000D_
#events:13_x000D_
#kids:7_x000D_
lived:?ENLANCS,ENBEDFOEATON B,ENYORKSELLAND,MAMIDDLCONCORD,MANORFODEDHAM,MASUFFOCHAZTWN,MAWORCELANCAST_x000D_
issue:_x000D_
.recs:Birth,Will Written,Death,Land Transaction,Immigrate_x000D_
.imm?:immigrant_x000D_
..Spo:BEATRIX WALKER</t>
        </r>
      </text>
    </comment>
    <comment ref="N4978" authorId="0" shapeId="0" xr:uid="{282D298D-C9E3-43CF-9708-D035FFAEAA36}">
      <text>
        <r>
          <rPr>
            <sz val="9"/>
            <color indexed="81"/>
            <rFont val="Tahoma"/>
            <family val="2"/>
          </rPr>
          <t>ANDREW BUCKMASTER_x000D_
http://yeinfo.com/family/I09005666.html_x000D_
https://www.google.com/search?q=ANDREW+BUCKMASTER+1567+1598+MARY\MARIE_x000D_
.born:a15671130-         ?England_x000D_
.died:a15980410-         ?Eaton Bray (Bedfordshire) England, age:30y 4m 11d, _x000D_
.bapt: 1785GE_x000D_
.will: 2004MO_x000D_
.obit: 1890OH_x000D_
.bury: 1850IL _x000D_
.wpbt: 1826PA_x000D_
.anc#:double ancestor_x000D_
citiz:foreign_x000D_
#spos:1_x000D_
#srcs:3_x000D_
#comment:0_x000D_
#events:1_x000D_
#kids:1_x000D_
lived:?ENBEDFOEATON B_x000D_
issue:_x000D_
.recs:Birth,Marriage,Death_x000D_
.imm?:no_x000D_
..Spo:MARY\MARIE ROBERTS</t>
        </r>
      </text>
    </comment>
    <comment ref="M4980" authorId="0" shapeId="0" xr:uid="{9EA5899C-7EB2-4084-9247-1977486A6FC1}">
      <text>
        <r>
          <rPr>
            <sz val="9"/>
            <color indexed="81"/>
            <rFont val="Tahoma"/>
            <family val="2"/>
          </rPr>
          <t>DAMARIS BUCKMASTER_x000D_
http://yeinfo.com/family/I09002833.html_x000D_
https://www.google.com/search?q=DAMARIS+BUCKMASTER+1593+1666+HOUGHTON_x000D_
.born: 15930308-          Eaton Bray (Bedfordshire) England_x000D_
.died:?1666    -          Eaton Bray (Bedfordshire) England, age:72y 9m 24d, _x000D_
.bapt: 1785GE_x000D_
.will: 2004MO_x000D_
.obit: 1890OH_x000D_
.bury: 1850IL _x000D_
.wpbt: 1826PA_x000D_
.anc#:double ancestor_x000D_
citiz:foreign_x000D_
#spos:1_x000D_
#srcs:7_x000D_
#comment:0_x000D_
#events:1_x000D_
#kids:1_x000D_
lived:ENBEDFOEATON B_x000D_
issue:_x000D_
.recs:Birth,Marriage,Death_x000D_
.imm?:no_x000D_
..Spo:JOHN HOUGHTON</t>
        </r>
      </text>
    </comment>
    <comment ref="N4982" authorId="0" shapeId="0" xr:uid="{C6746667-F881-4E73-8911-F52CC798FCDA}">
      <text>
        <r>
          <rPr>
            <sz val="9"/>
            <color indexed="81"/>
            <rFont val="Tahoma"/>
            <family val="2"/>
          </rPr>
          <t>MARY\MARIE ROBERTS_x000D_
http://yeinfo.com/family/I09005667.html_x000D_
https://www.google.com/search?q=MARY\MARIE+ROBERTS+1575+1595+BUCKMASTER_x000D_
.born:?1575    -         ?England_x000D_
.died: 1595    -1665     ?, age:20y 0m 0d, _x000D_
.bapt: 1785GE_x000D_
.will: 2004MO_x000D_
.obit: 1890OH_x000D_
.bury: 1850IL _x000D_
.wpbt: 1826PA_x000D_
.anc#:double ancestor_x000D_
citiz:foreign_x000D_
#spos:1_x000D_
#srcs:2_x000D_
#comment:0_x000D_
#events:1_x000D_
#kids:1_x000D_
lived:?EN_x000D_
issue:Died after Age 100_x000D_
.recs:Birth,Marriage,Death_x000D_
.imm?:no_x000D_
..Spo:ANDREW BUCKMASTER</t>
        </r>
      </text>
    </comment>
    <comment ref="K4984" authorId="0" shapeId="0" xr:uid="{E8E986FD-E1B5-4144-B85E-F6EFB001A808}">
      <text>
        <r>
          <rPr>
            <sz val="9"/>
            <color indexed="81"/>
            <rFont val="Tahoma"/>
            <family val="2"/>
          </rPr>
          <t>JOHN HOUGHTON_x000D_
http://yeinfo.com/family/I09000708.html_x000D_
https://www.google.com/search?q=JOHN+HOUGHTON+1650+1737+MARY+Atherton_x000D_
.born: 16500426-          Dedham (Norfolk) Massachusetts_x000D_
.died: 17370208-          , age:86y 9m 13d, _x000D_
.bapt: 1785GE_x000D_
.will: 2004MO_x000D_
.obit: 1890OH_x000D_
.bury: 1850IL _x000D_
.wpbt: 1826PA_x000D_
.anc#:double ancestor_x000D_
citiz:US born_x000D_
#spos:2_x000D_
#srcs:11_x000D_
#comment:1_x000D_
#events:9_x000D_
#kids:11_x000D_
lived:MAMIDDLWOBURN,MANORFODEDHAM,MASUFFOBOSTON,MAWORCELANCAST_x000D_
issue:Married before Age 16_x000D_
.recs:Birth,Military,Marriage,Will Written,Death,Obituary_x000D_
.imm?:no_x000D_
..Spo:MARY FARRAR</t>
        </r>
      </text>
    </comment>
    <comment ref="L4986" authorId="0" shapeId="0" xr:uid="{56755311-49F2-4EA1-A3D6-FEEB75BAF094}">
      <text>
        <r>
          <rPr>
            <sz val="9"/>
            <color indexed="81"/>
            <rFont val="Tahoma"/>
            <family val="2"/>
          </rPr>
          <t>BEATRIX WALKER_x000D_
http://yeinfo.com/family/I09001417.html_x000D_
https://www.google.com/search?q=BEATRIX+WALKER+1625+1711+HOUGHTON_x000D_
.born:?1625    -         ?Hingham (Norfolk) England_x000D_
.died: 17110608-          Lancaster (Worcester) Massachusetts, age:86y 5m 7d, _x000D_
.bapt: 1785GE_x000D_
.will: 2004MO_x000D_
.obit: 1890OH_x000D_
.bury: 1850IL _x000D_
.wpbt: 1826PA_x000D_
.anc#:double ancestor_x000D_
citiz:immigrant_x000D_
#spos:1_x000D_
#srcs:11_x000D_
#comment:0_x000D_
#events:2_x000D_
#kids:7_x000D_
lived:?ENNORFOHINGHAM,ENYORKSELLAND,MAWORCELANCAST_x000D_
issue:_x000D_
.recs:Birth,Marriage,Death_x000D_
.imm?:immigrant_x000D_
..Spo:JOHN HOUGHTON</t>
        </r>
      </text>
    </comment>
    <comment ref="J4988" authorId="0" shapeId="0" xr:uid="{8D8E5EA2-DB14-4372-8698-5E0BC5611A90}">
      <text>
        <r>
          <rPr>
            <sz val="9"/>
            <color indexed="81"/>
            <rFont val="Tahoma"/>
            <family val="2"/>
          </rPr>
          <t>JONATHAN HOUGHTON_x000D_
http://yeinfo.com/family/I09000354.html_x000D_
https://www.google.com/search?q=JONATHAN+HOUGHTON+1685+1737+THANKFUL_x000D_
.born: 16850220-          Lancaster (Worcester) Massachusetts_x000D_
.died: 17370408-          Lancaster (Worcester) Massachusetts, age:52y 1m 19d, _x000D_
.bapt: 1785GE_x000D_
.will: 2004MO_x000D_
.obit: 1890OH_x000D_
.bury: 1850IL _x000D_
.wpbt: 1826PA_x000D_
.anc#:ancestor_x000D_
citiz:US born_x000D_
#spos:1_x000D_
#srcs:10_x000D_
#comment:0_x000D_
#events:8_x000D_
#kids:11_x000D_
lived:MAWORCELANCAST_x000D_
issue:_x000D_
.recs:Birth,Marriage,Job/Occupation,Will Written,Death_x000D_
.imm?:no_x000D_
..Spo:THANKFUL WHITE</t>
        </r>
      </text>
    </comment>
    <comment ref="P4990" authorId="0" shapeId="0" xr:uid="{0CDF9636-2CBA-4754-93A2-35A719FEFDCC}">
      <text>
        <r>
          <rPr>
            <sz val="9"/>
            <color indexed="81"/>
            <rFont val="Tahoma"/>
            <family val="2"/>
          </rPr>
          <t>HENRY FARRAR_x000D_
http://yeinfo.com/family/I09022688.html_x000D_
https://www.google.com/search?q=HENRY+FARRAR+1492+1549+AGNES+ANN_x000D_
.born:c1492    -          Halifax (Yorkshire) England_x000D_
.died: 1549    -          Yorkshire county England, age:57y 0m 0d, _x000D_
.bapt: 1785GE_x000D_
.will: 2004MO_x000D_
.obit: 1890OH_x000D_
.bury: 1850IL _x000D_
.wpbt: 1826PA_x000D_
.anc#:double ancestor_x000D_
citiz:foreign_x000D_
#spos:1_x000D_
#srcs:2_x000D_
#comment:0_x000D_
#events:6_x000D_
#kids:5_x000D_
lived:ENYORKSHALIFAX,ENYORKSSOWERBY_x000D_
issue:_x000D_
.recs:Birth,Marriage,Will Written,Death,Land Transaction_x000D_
.imm?:no_x000D_
..Spo:AGNES ANN HORSFALL</t>
        </r>
      </text>
    </comment>
    <comment ref="O4992" authorId="0" shapeId="0" xr:uid="{7FB590E5-3CF5-455F-BCB1-9C505C941570}">
      <text>
        <r>
          <rPr>
            <sz val="9"/>
            <color indexed="81"/>
            <rFont val="Tahoma"/>
            <family val="2"/>
          </rPr>
          <t>HENRY FARRAR_x000D_
http://yeinfo.com/family/I09011344.html_x000D_
https://www.google.com/search?q=HENRY+FARRAR+1520+1575+MARY\ISABELLA\ANN_x000D_
.born: 1520    -          Yorkshire county England_x000D_
.died: 1575    -1610      Yorkshire county England, age:55y 0m 0d, _x000D_
.bapt: 1785GE_x000D_
.will: 2004MO_x000D_
.obit: 1890OH_x000D_
.bury: 1850IL _x000D_
.wpbt: 1826PA_x000D_
.anc#:double ancestor_x000D_
citiz:foreign_x000D_
#spos:1_x000D_
#srcs:2_x000D_
#comment:0_x000D_
#events:5_x000D_
#kids:2_x000D_
lived:?ENYORKSSOWERBY,EN_x000D_
issue:_x000D_
.recs:Birth,Marriage,Deed,Will Inclusion_x000D_
.imm?:no_x000D_
..Spo:MARY\ISABELLA\ANN THOMPSON</t>
        </r>
      </text>
    </comment>
    <comment ref="S4994" authorId="0" shapeId="0" xr:uid="{9A3A863D-5A97-497F-A333-017A10E803E1}">
      <text>
        <r>
          <rPr>
            <sz val="9"/>
            <color indexed="81"/>
            <rFont val="Tahoma"/>
            <family val="2"/>
          </rPr>
          <t>THOMAS HORSFAL_x000D_
http://yeinfo.com/family/I09065783.html_x000D_
https://www.google.com/search?q=THOMAS+HORSFAL+1420+1480+JANETT_x000D_
.born:c1420    -          Yorkshire county England_x000D_
.died: 1480    -          Hepstonstall (Yorkshire) England, age:60y 0m 0d, _x000D_
.bapt: 1785GE_x000D_
.will: 2004MO_x000D_
.obit: 1890OH_x000D_
.bury: 1850IL _x000D_
.wpbt: 1826PA_x000D_
.anc#:double ancestor_x000D_
citiz:foreign_x000D_
#spos:1_x000D_
#srcs:2_x000D_
#comment:0_x000D_
#events:1_x000D_
#kids:1_x000D_
lived:ENYORKSHEPSTON_x000D_
issue:_x000D_
.recs:Birth,Marriage,Death_x000D_
.imm?:no_x000D_
..Spo:JANETT DRYVER</t>
        </r>
      </text>
    </comment>
    <comment ref="R4996" authorId="0" shapeId="0" xr:uid="{06A15029-B8A0-4FC6-B240-E291C55E6D26}">
      <text>
        <r>
          <rPr>
            <sz val="9"/>
            <color indexed="81"/>
            <rFont val="Tahoma"/>
            <family val="2"/>
          </rPr>
          <t>JOHN FRANK HORSFAL_x000D_
http://yeinfo.com/family/I09065653.html_x000D_
https://www.google.com/search?q=JOHN+FRANK+HORSFAL+1441+1547+AGNES_x000D_
.born: 1441    -          Yorkshire county England_x000D_
.died: 1547    -          Yorkshire county England, age:106y 0m 0d, _x000D_
.bapt: 1785GE_x000D_
.will: 2004MO_x000D_
.obit: 1890OH_x000D_
.bury: 1850IL _x000D_
.wpbt: 1826PA_x000D_
.anc#:double ancestor_x000D_
citiz:foreign_x000D_
#spos:1_x000D_
#srcs:1_x000D_
#comment:0_x000D_
#events:1_x000D_
#kids:1_x000D_
lived:ENYORKS_x000D_
issue:Married after Age 60_x000D_
.recs:Birth,Marriage,Death_x000D_
.imm?:no_x000D_
..Spo:AGNES BARCROFT</t>
        </r>
      </text>
    </comment>
    <comment ref="S4998" authorId="0" shapeId="0" xr:uid="{009359CF-B088-4B71-B9C1-85CD21ACADE3}">
      <text>
        <r>
          <rPr>
            <sz val="9"/>
            <color indexed="81"/>
            <rFont val="Tahoma"/>
            <family val="2"/>
          </rPr>
          <t>JANETT DRYVER_x000D_
http://yeinfo.com/family/I09065777.html_x000D_
https://www.google.com/search?q=JANETT+DRYVER+1420+1490+HORSFAL_x000D_
.born: 1420    -          Yorkshire county England_x000D_
.died: 1490    -          Hepstonstall (Yorkshire) England, age:70y 0m 0d, _x000D_
.bapt: 1785GE_x000D_
.will: 2004MO_x000D_
.obit: 1890OH_x000D_
.bury: 1850IL _x000D_
.wpbt: 1826PA_x000D_
.anc#:double ancestor_x000D_
citiz:foreign_x000D_
#spos:1_x000D_
#srcs:2_x000D_
#comment:0_x000D_
#events:1_x000D_
#kids:1_x000D_
lived:ENYORKSHEPSTON_x000D_
issue:_x000D_
.recs:Birth,Marriage,Death_x000D_
.imm?:no_x000D_
..Spo:THOMAS HORSFAL</t>
        </r>
      </text>
    </comment>
    <comment ref="Q5000" authorId="0" shapeId="0" xr:uid="{CD711A19-9D88-4BE8-8027-A67E16546079}">
      <text>
        <r>
          <rPr>
            <sz val="9"/>
            <color indexed="81"/>
            <rFont val="Tahoma"/>
            <family val="2"/>
          </rPr>
          <t>WILLIAM JOHN HORSFAL_x000D_
http://yeinfo.com/family/I09045378.html_x000D_
https://www.google.com/search?q=WILLIAM+JOHN+HORSFAL+1462+1548+AGNES_x000D_
.born: 1462    -          Stokesley (Yorkshire) England_x000D_
.died: 15481119-          Stokesley (Yorkshire) England, age:86y 10m 18d, _x000D_
.bapt: 1785GE_x000D_
.will: 2004MO_x000D_
.obit: 1890OH_x000D_
.bury: 1850IL _x000D_
.wpbt: 1826PA_x000D_
.anc#:double ancestor_x000D_
citiz:foreign_x000D_
#spos:1_x000D_
#srcs:2_x000D_
#comment:0_x000D_
#events:1_x000D_
#kids:1_x000D_
lived:ENYORKSSTOKESL_x000D_
issue:Born before Parents Married_x000D_
.recs:Birth,Marriage,Death_x000D_
.imm?:no_x000D_
..Spo:AGNES SAVILLE</t>
        </r>
      </text>
    </comment>
    <comment ref="X5002" authorId="0" shapeId="0" xr:uid="{1124DAA2-880B-433E-9AF2-D31F7D8DCA0B}">
      <text>
        <r>
          <rPr>
            <sz val="9"/>
            <color indexed="81"/>
            <rFont val="Tahoma"/>
            <family val="2"/>
          </rPr>
          <t>MATTHEW BARCROFT_x000D_
http://yeinfo.com/family/I09066776.html_x000D_
https://www.google.com/search?q=MATTHEW+BARCROFT+1291+1322+{_?_}_x000D_
.born: 1291    -          Burnley (Lancashire) England_x000D_
.died: 1322    -1387      Lancashire county England, age:31y 0m 0d, _x000D_
.bapt: 1785GE_x000D_
.will: 2004MO_x000D_
.obit: 1890OH_x000D_
.bury: 1850IL _x000D_
.wpbt: 1826PA_x000D_
.anc#:double ancestor_x000D_
citiz:foreign_x000D_
#spos:1_x000D_
#srcs:1_x000D_
#comment:1_x000D_
#events:1_x000D_
#kids:1_x000D_
lived:ENLANCSBURNLEY_x000D_
issue:_x000D_
.recs:Birth,Marriage,Death_x000D_
.imm?:no_x000D_
..Spo:{_?_} BARCROFT</t>
        </r>
      </text>
    </comment>
    <comment ref="W5004" authorId="0" shapeId="0" xr:uid="{FF40F2DF-B396-4A0B-8E5C-C678798E9439}">
      <text>
        <r>
          <rPr>
            <sz val="9"/>
            <color indexed="81"/>
            <rFont val="Tahoma"/>
            <family val="2"/>
          </rPr>
          <t>RICHARD BARCROFT_x000D_
http://yeinfo.com/family/I09066440.html_x000D_
https://www.google.com/search?q=RICHARD+BARCROFT+1322+1348+{_?_}_x000D_
.born:c1322    -          Whalley (Lancashire) England_x000D_
.died: 1348    -          Whalley (Lancashire) England, age:26y 0m 0d, _x000D_
.bapt: 1785GE_x000D_
.will: 2004MO_x000D_
.obit: 1890OH_x000D_
.bury: 1850IL _x000D_
.wpbt: 1826PA_x000D_
.anc#:double ancestor_x000D_
citiz:foreign_x000D_
#spos:1_x000D_
#srcs:1_x000D_
#comment:1_x000D_
#events:1_x000D_
#kids:1_x000D_
lived:ENLANCSBURNLEY,ENLANCSWHALLEY_x000D_
issue:_x000D_
.recs:Birth,Marriage,Death_x000D_
.imm?:no_x000D_
..Spo:{_?_} BARCROFT</t>
        </r>
      </text>
    </comment>
    <comment ref="X5006" authorId="0" shapeId="0" xr:uid="{CF3EA1D2-A7B0-4E28-A293-A68737D4198A}">
      <text>
        <r>
          <rPr>
            <sz val="9"/>
            <color indexed="81"/>
            <rFont val="Tahoma"/>
            <family val="2"/>
          </rPr>
          <t>Mrs. {_?_} BARCROFT_x000D_
http://yeinfo.com/family/I09066775.html_x000D_
https://www.google.com/search?q={_?_}+BARCROFT+1295+1348+BARCROFT_x000D_
.born:?1295    -         ?England_x000D_
.died:?1348    -1380      Lancashire county England, age:53y 0m 0d, _x000D_
.bapt: 1785GE_x000D_
.will: 2004MO_x000D_
.obit: 1890OH_x000D_
.bury: 1850IL _x000D_
.wpbt: 1826PA_x000D_
.anc#:double ancestor_x000D_
citiz:foreign_x000D_
#spos:1_x000D_
#srcs:1_x000D_
#comment:0_x000D_
#events:1_x000D_
#kids:1_x000D_
lived:?ENLANCSBURNLEY,ENLANCS_x000D_
issue:_x000D_
.recs:Birth,Marriage,Death_x000D_
.imm?:no_x000D_
..Spo:MATTHEW BARCROFT</t>
        </r>
      </text>
    </comment>
    <comment ref="V5008" authorId="0" shapeId="0" xr:uid="{ED964C04-AD52-46B3-B4EE-FDE80AC63B5C}">
      <text>
        <r>
          <rPr>
            <sz val="9"/>
            <color indexed="81"/>
            <rFont val="Tahoma"/>
            <family val="2"/>
          </rPr>
          <t>MATTHEW BARCROFT_x000D_
http://yeinfo.com/family/I09066278.html_x000D_
https://www.google.com/search?q=MATTHEW+BARCROFT+1348+1382+ELEANOR_x000D_
.born:c1348    -          Whalley (Lancashire) England_x000D_
.died: 1382    -1438     ?Lancashire county England, age:34y 0m 0d, _x000D_
.bapt: 1785GE_x000D_
.will: 2004MO_x000D_
.obit: 1890OH_x000D_
.bury: 1850IL _x000D_
.wpbt: 1826PA_x000D_
.anc#:double ancestor_x000D_
citiz:foreign_x000D_
#spos:1_x000D_
#srcs:1_x000D_
#comment:0_x000D_
#events:1_x000D_
#kids:1_x000D_
lived:ENLANCSBURNLEY,ENLANCSWHALLEY_x000D_
issue:_x000D_
.recs:Birth,Marriage,Death_x000D_
.imm?:no_x000D_
..Spo:ELEANOR BARCROFT</t>
        </r>
      </text>
    </comment>
    <comment ref="W5010" authorId="0" shapeId="0" xr:uid="{D8F8C86B-9AB3-4358-B0AD-FF0C89E3DBBB}">
      <text>
        <r>
          <rPr>
            <sz val="9"/>
            <color indexed="81"/>
            <rFont val="Tahoma"/>
            <family val="2"/>
          </rPr>
          <t>Mrs. {_?_} BARCROFT_x000D_
http://yeinfo.com/family/I09066439.html_x000D_
https://www.google.com/search?q={_?_}+BARCROFT+1326+1348+BARCROFT_x000D_
.born:c1326    -         ?England_x000D_
.died: 1348    -1416     ?England, age:22y 0m 0d, _x000D_
.bapt: 1785GE_x000D_
.will: 2004MO_x000D_
.obit: 1890OH_x000D_
.bury: 1850IL _x000D_
.wpbt: 1826PA_x000D_
.anc#:double ancestor_x000D_
citiz:foreign_x000D_
#spos:1_x000D_
#srcs:1_x000D_
#comment:0_x000D_
#events:1_x000D_
#kids:1_x000D_
lived:?EN,ENLANCSBURNLEY_x000D_
issue:_x000D_
.recs:Birth,Marriage,Death_x000D_
.imm?:no_x000D_
..Spo:RICHARD BARCROFT</t>
        </r>
      </text>
    </comment>
    <comment ref="U5012" authorId="0" shapeId="0" xr:uid="{7B37A45A-0FC2-482F-8CBF-24AD86DB9AB6}">
      <text>
        <r>
          <rPr>
            <sz val="9"/>
            <color indexed="81"/>
            <rFont val="Tahoma"/>
            <family val="2"/>
          </rPr>
          <t>WILLIAM BARCROFT_x000D_
http://yeinfo.com/family/I09066078.html_x000D_
https://www.google.com/search?q=WILLIAM+BARCROFT+1382+1426+{_?_}_x000D_
.born: 1382    -          Whalley (Lancashire) England_x000D_
.died: 1426    -          Whalley (Lancashire) England, age:44y 0m 0d, _x000D_
.bapt: 1785GE_x000D_
.will: 2004MO_x000D_
.obit: 1890OH_x000D_
.bury: 1850IL _x000D_
.wpbt: 1826PA_x000D_
.anc#:double ancestor_x000D_
citiz:foreign_x000D_
#spos:1_x000D_
#srcs:1_x000D_
#comment:0_x000D_
#events:1_x000D_
#kids:1_x000D_
lived:ENLANCSBURNLEY,ENLANCSWHALLEY_x000D_
issue:_x000D_
.recs:Birth,Marriage,Death_x000D_
.imm?:no_x000D_
..Spo:{_?_} BARCROFT</t>
        </r>
      </text>
    </comment>
    <comment ref="V5014" authorId="0" shapeId="0" xr:uid="{ADFF7533-2C1B-46BD-BE1E-9453DC8E82C1}">
      <text>
        <r>
          <rPr>
            <sz val="9"/>
            <color indexed="81"/>
            <rFont val="Tahoma"/>
            <family val="2"/>
          </rPr>
          <t>Mrs. ELEANOR BARCROFT_x000D_
http://yeinfo.com/family/I09066277.html_x000D_
https://www.google.com/search?q=ELEANOR+BARCROFT+1350+1382+BARCROFT_x000D_
.born: 1350    -          Whalley (Lancashire) England_x000D_
.died: 1382    -1440     ?Lancashire county England, age:32y 0m 0d, _x000D_
.bapt: 1785GE_x000D_
.will: 2004MO_x000D_
.obit: 1890OH_x000D_
.bury: 1850IL _x000D_
.wpbt: 1826PA_x000D_
.anc#:double ancestor_x000D_
citiz:foreign_x000D_
#spos:1_x000D_
#srcs:1_x000D_
#comment:0_x000D_
#events:1_x000D_
#kids:1_x000D_
lived:ENLANCSBURNLEY,ENLANCSWHALLEY_x000D_
issue:_x000D_
.recs:Birth,Marriage,Death_x000D_
.imm?:no_x000D_
..Spo:MATTHEW BARCROFT</t>
        </r>
      </text>
    </comment>
    <comment ref="T5016" authorId="0" shapeId="0" xr:uid="{70BEE26A-936D-4A22-A3C4-F38B408888E1}">
      <text>
        <r>
          <rPr>
            <sz val="9"/>
            <color indexed="81"/>
            <rFont val="Tahoma"/>
            <family val="2"/>
          </rPr>
          <t>THOMAS BARCROFT_x000D_
http://yeinfo.com/family/I09065914.html_x000D_
https://www.google.com/search?q=THOMAS+BARCROFT+1406+1458+{_?_}_x000D_
.born: 1406    -         ?Yorkshire county England_x000D_
.died: 1458    -         ?England, age:52y 0m 0d, _x000D_
.bapt: 1785GE_x000D_
.will: 2004MO_x000D_
.obit: 1890OH_x000D_
.bury: 1850IL _x000D_
.wpbt: 1826PA_x000D_
.anc#:double ancestor_x000D_
citiz:foreign_x000D_
#spos:1_x000D_
#srcs:1_x000D_
#comment:0_x000D_
#events:1_x000D_
#kids:1_x000D_
lived:?ENYORKS_x000D_
issue:_x000D_
.recs:Birth,Marriage,Death_x000D_
.imm?:no_x000D_
..Spo:{_?_} BARCROFT</t>
        </r>
      </text>
    </comment>
    <comment ref="U5018" authorId="0" shapeId="0" xr:uid="{608E8D02-CF1D-405A-A36E-D441EF06AD3F}">
      <text>
        <r>
          <rPr>
            <sz val="9"/>
            <color indexed="81"/>
            <rFont val="Tahoma"/>
            <family val="2"/>
          </rPr>
          <t>Mrs. {_?_} BARCROFT_x000D_
http://yeinfo.com/family/I09066077.html_x000D_
https://www.google.com/search?q={_?_}+BARCROFT+1378+1406+BARCROFT_x000D_
.born: 1378    -         ?Whalley (Lancashire) England_x000D_
.died: 1406    -         ?Whalley (Lancashire) England, age:28y 0m 0d, _x000D_
.bapt: 1785GE_x000D_
.will: 2004MO_x000D_
.obit: 1890OH_x000D_
.bury: 1850IL _x000D_
.wpbt: 1826PA_x000D_
.anc#:double ancestor_x000D_
citiz:foreign_x000D_
#spos:1_x000D_
#srcs:1_x000D_
#comment:0_x000D_
#events:1_x000D_
#kids:1_x000D_
lived:?ENLANCSWHALLEY,ENLANCSBURNLEY_x000D_
issue:_x000D_
.recs:Birth,Marriage,Death_x000D_
.imm?:no_x000D_
..Spo:WILLIAM BARCROFT</t>
        </r>
      </text>
    </comment>
    <comment ref="S5020" authorId="0" shapeId="0" xr:uid="{5D0FC832-C807-4192-B960-883BCB1557AA}">
      <text>
        <r>
          <rPr>
            <sz val="9"/>
            <color indexed="81"/>
            <rFont val="Tahoma"/>
            <family val="2"/>
          </rPr>
          <t>WILLIAM BARCROFT_x000D_
http://yeinfo.com/family/I09065770.html_x000D_
https://www.google.com/search?q=WILLIAM+BARCROFT+1426+1446+{_?_}_x000D_
.born: 1426    -          Yorkshire county England_x000D_
.died: 1446    -1516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lived:ENYORKS_x000D_
issue:Died after Age 100_x000D_
.recs:Birth,Marriage,Death_x000D_
.imm?:no_x000D_
..Spo:{_?_} BARCROFT</t>
        </r>
      </text>
    </comment>
    <comment ref="T5022" authorId="0" shapeId="0" xr:uid="{89B57D59-5111-4B41-A7F4-33A49861D683}">
      <text>
        <r>
          <rPr>
            <sz val="9"/>
            <color indexed="81"/>
            <rFont val="Tahoma"/>
            <family val="2"/>
          </rPr>
          <t>Mrs. {_?_} BARCROFT_x000D_
http://yeinfo.com/family/I09065913.html_x000D_
https://www.google.com/search?q={_?_}+BARCROFT+1406+1426+BARCROFT_x000D_
.born:?1406    -         ?England_x000D_
.died: 1426    -1496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..Spo:THOMAS BARCROFT</t>
        </r>
      </text>
    </comment>
    <comment ref="R5024" authorId="0" shapeId="0" xr:uid="{99EAC3C9-E83A-4C27-A5B6-97F3119A3940}">
      <text>
        <r>
          <rPr>
            <sz val="9"/>
            <color indexed="81"/>
            <rFont val="Tahoma"/>
            <family val="2"/>
          </rPr>
          <t>AGNES BARCROFT_x000D_
http://yeinfo.com/family/I09065638.html_x000D_
https://www.google.com/search?q=AGNES+BARCROFT+1444+1464+HORSFAL_x000D_
.born: 1444    -          Yorkshire county England_x000D_
.died: 1464    -1534      Halifax (Yorkshire) England, age:20y 0m 0d, _x000D_
.bapt: 1785GE_x000D_
.will: 2004MO_x000D_
.obit: 1890OH_x000D_
.bury: 1850IL _x000D_
.wpbt: 1826PA_x000D_
.anc#:double ancestor_x000D_
citiz:foreign_x000D_
#spos:1_x000D_
#srcs:1_x000D_
#comment:0_x000D_
#events:1_x000D_
#kids:1_x000D_
lived:ENYORKSHALIFAX_x000D_
issue:Died before Birth_x000D_
.recs:Birth,Marriage,Death_x000D_
.imm?:no_x000D_
..Spo:JOHN FRANK HORSFAL</t>
        </r>
      </text>
    </comment>
    <comment ref="S5026" authorId="0" shapeId="0" xr:uid="{698B0EB9-013D-4402-8D91-393CBA7F4A88}">
      <text>
        <r>
          <rPr>
            <sz val="9"/>
            <color indexed="81"/>
            <rFont val="Tahoma"/>
            <family val="2"/>
          </rPr>
          <t>Mrs. {_?_} BARCROFT_x000D_
http://yeinfo.com/family/I09065769.html_x000D_
https://www.google.com/search?q={_?_}+BARCROFT+1426+1446+BARCROFT_x000D_
.born:?1426    -         ?England_x000D_
.died: 1446    -1516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lived:?ENYORKS_x000D_
issue:_x000D_
.recs:Birth,Marriage,Death_x000D_
.imm?:no_x000D_
..Spo:WILLIAM BARCROFT</t>
        </r>
      </text>
    </comment>
    <comment ref="P5028" authorId="0" shapeId="0" xr:uid="{F820AC8D-1B8A-4C4B-A6C0-EDC8A741AC2E}">
      <text>
        <r>
          <rPr>
            <sz val="9"/>
            <color indexed="81"/>
            <rFont val="Tahoma"/>
            <family val="2"/>
          </rPr>
          <t>AGNES ANN HORSFALL_x000D_
http://yeinfo.com/family/I09022689.html_x000D_
https://www.google.com/search?q=AGNES+ANN+HORSFALL+1495+1522+FARRAR_x000D_
.born:?1495    -         ?England_x000D_
.died: 1522    -1585     ?England, age:27y 0m 0d, _x000D_
.bapt: 1785GE_x000D_
.will: 2004MO_x000D_
.obit: 1890OH_x000D_
.bury: 1850IL _x000D_
.wpbt: 1826PA_x000D_
.anc#:double ancestor_x000D_
citiz:foreign_x000D_
#spos:1_x000D_
#srcs:2_x000D_
#comment:0_x000D_
#events:1_x000D_
#kids:5_x000D_
lived:?EN,ENYORKSSOWERBY_x000D_
issue:_x000D_
.recs:Birth,Marriage,Death_x000D_
.imm?:no_x000D_
..Spo:HENRY FARRAR</t>
        </r>
      </text>
    </comment>
    <comment ref="W5030" authorId="0" shapeId="0" xr:uid="{E31A11B4-21ED-4532-9BA4-785B312E4DB0}">
      <text>
        <r>
          <rPr>
            <sz val="9"/>
            <color indexed="81"/>
            <rFont val="Tahoma"/>
            <family val="2"/>
          </rPr>
          <t>JOHN SAVILLE II_x000D_
http://yeinfo.com/family/I09066476.html_x000D_
https://www.google.com/search?q=JOHN+SAVILLE+1300+1343+MARGERY_x000D_
.born: 1300    -          Tankersley (Yorkshire) England_x000D_
.died: 1343    -         ?England, age:43y 0m 0d, _x000D_
.bapt: 1785GE_x000D_
.will: 2004MO_x000D_
.obit: 1890OH_x000D_
.bury: 1850IL _x000D_
.wpbt: 1826PA_x000D_
.anc#:double ancestor_x000D_
citiz:foreign_x000D_
#spos:1_x000D_
#srcs:1_x000D_
#comment:1_x000D_
#events:1_x000D_
#kids:1_x000D_
lived:ENYORKSTANKERS_x000D_
issue:_x000D_
.recs:Birth,Marriage,Death_x000D_
.imm?:no_x000D_
..Spo:MARGERY BOSCO</t>
        </r>
      </text>
    </comment>
    <comment ref="V5032" authorId="0" shapeId="0" xr:uid="{8EE4BF3E-4F43-4760-94E5-7329E46E7AB6}">
      <text>
        <r>
          <rPr>
            <sz val="9"/>
            <color indexed="81"/>
            <rFont val="Tahoma"/>
            <family val="2"/>
          </rPr>
          <t>JOHN SAVILLE III_x000D_
http://yeinfo.com/family/I09066305.html_x000D_
https://www.google.com/search?q=JOHN+SAVILLE+1329+1399+ISOBEL_x000D_
.born:c1329    -         ?England_x000D_
.died:c1399    -         ?England, age:70y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..Spo:ISOBEL ELAND</t>
        </r>
      </text>
    </comment>
    <comment ref="W5034" authorId="0" shapeId="0" xr:uid="{1E0E4085-7D10-48A1-9DAA-7A565B39FFC2}">
      <text>
        <r>
          <rPr>
            <sz val="9"/>
            <color indexed="81"/>
            <rFont val="Tahoma"/>
            <family val="2"/>
          </rPr>
          <t>MARGERY BOSCO_x000D_
http://yeinfo.com/family/I09066444.html_x000D_
https://www.google.com/search?q=MARGERY+BOSCO+1312+1343+SAVILLE_x000D_
.born: 1312    -          Tankersley (Yorkshire) England_x000D_
.died: 1343    -         ?England, age:31y 0m 0d, _x000D_
.bapt: 1785GE_x000D_
.will: 2004MO_x000D_
.obit: 1890OH_x000D_
.bury: 1850IL _x000D_
.wpbt: 1826PA_x000D_
.anc#:double ancestor_x000D_
citiz:foreign_x000D_
#spos:1_x000D_
#srcs:1_x000D_
#comment:0_x000D_
#events:1_x000D_
#kids:1_x000D_
lived:ENYORKSTANKERS_x000D_
issue:Died after Age 100_x000D_
.recs:Birth,Marriage,Death_x000D_
.imm?:no_x000D_
..Spo:JOHN SAVILLE</t>
        </r>
      </text>
    </comment>
    <comment ref="U5036" authorId="0" shapeId="0" xr:uid="{9A676F4E-250B-436A-AB7F-56B75B12E7AA}">
      <text>
        <r>
          <rPr>
            <sz val="9"/>
            <color indexed="81"/>
            <rFont val="Tahoma"/>
            <family val="2"/>
          </rPr>
          <t>HENRY SAVILLE II_x000D_
http://yeinfo.com/family/I09066111.html_x000D_
https://www.google.com/search?q=HENRY+SAVILLE+1355+1437+ELIZABETH_x000D_
.born: 1355    -          Thornhill (Yorkshire) England_x000D_
.died: 14371118-          England, age:82y 10m 17d, _x000D_
.bapt: 1785GE_x000D_
.will: 2004MO_x000D_
.obit: 1890OH_x000D_
.bury: 1850IL _x000D_
.wpbt: 1826PA_x000D_
.anc#:double ancestor_x000D_
citiz:foreign_x000D_
#spos:1_x000D_
#srcs:1_x000D_
#comment:0_x000D_
#events:1_x000D_
#kids:1_x000D_
lived:ENYORKSTHORNHI_x000D_
issue:_x000D_
.recs:Birth,Marriage,Death_x000D_
.imm?:no_x000D_
..Spo:ELIZABETH THORNHILL</t>
        </r>
      </text>
    </comment>
    <comment ref="V5038" authorId="0" shapeId="0" xr:uid="{04192BFB-394A-4314-99BA-BF3E2D088C27}">
      <text>
        <r>
          <rPr>
            <sz val="9"/>
            <color indexed="81"/>
            <rFont val="Tahoma"/>
            <family val="2"/>
          </rPr>
          <t>ISOBEL ELAND_x000D_
http://yeinfo.com/family/I09066285.html_x000D_
https://www.google.com/search?q=ISOBEL+ELAND+1335+1355+SAVILLE_x000D_
.born: 1335    -          Halifax (Yorkshire) England_x000D_
.died: 1355    -1425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lived:ENYORKSHALIFAX_x000D_
issue:Died after Age 100_x000D_
.recs:Birth,Marriage,Death_x000D_
.imm?:no_x000D_
..Spo:JOHN SAVILLE</t>
        </r>
      </text>
    </comment>
    <comment ref="T5040" authorId="0" shapeId="0" xr:uid="{D9745E20-D074-4DEA-9089-7529A057EA41}">
      <text>
        <r>
          <rPr>
            <sz val="9"/>
            <color indexed="81"/>
            <rFont val="Tahoma"/>
            <family val="2"/>
          </rPr>
          <t>THOMAS SAVILLE_x000D_
http://yeinfo.com/family/I09065941.html_x000D_
https://www.google.com/search?q=THOMAS+SAVILLE+1381+1406+MARGARET_x000D_
.born: 1381    -          Thornhill (Yorkshire) England_x000D_
.died: 1406    -1471      Thornhill (Yorkshire) England, age:25y 0m 0d, _x000D_
.bapt: 1785GE_x000D_
.will: 2004MO_x000D_
.obit: 1890OH_x000D_
.bury: 1850IL _x000D_
.wpbt: 1826PA_x000D_
.anc#:double ancestor_x000D_
citiz:foreign_x000D_
#spos:1_x000D_
#srcs:1_x000D_
#comment:0_x000D_
#events:1_x000D_
#kids:1_x000D_
lived:ENYORKSTHORNHI_x000D_
issue:_x000D_
.recs:Birth,Marriage,Death_x000D_
.imm?:no_x000D_
..Spo:MARGARET PILKINGTON</t>
        </r>
      </text>
    </comment>
    <comment ref="W5042" authorId="0" shapeId="0" xr:uid="{E168A410-6BA9-46E7-A626-869F8CE17E9E}">
      <text>
        <r>
          <rPr>
            <sz val="9"/>
            <color indexed="81"/>
            <rFont val="Tahoma"/>
            <family val="2"/>
          </rPr>
          <t>BRYAN THORNHILL_x000D_
http://yeinfo.com/family/I09066481.html_x000D_
https://www.google.com/search?q=BRYAN+THORNHILL+1300+1369+JOAN_x000D_
.born:c1300    -          Thornhill (Yorkshire) England_x000D_
.died: 13691003-         ?, age:69y 9m 2d, _x000D_
.bapt: 1785GE_x000D_
.will: 2004MO_x000D_
.obit: 1890OH_x000D_
.bury: 1850IL _x000D_
.wpbt: 1826PA_x000D_
.anc#:double ancestor_x000D_
citiz:foreign_x000D_
#spos:1_x000D_
#srcs:1_x000D_
#comment:1_x000D_
#events:1_x000D_
#kids:1_x000D_
lived:ENYORKSTHORNHI_x000D_
issue:_x000D_
.recs:Birth,Marriage,Death_x000D_
.imm?:no_x000D_
..Spo:JOAN WILLIAM</t>
        </r>
      </text>
    </comment>
    <comment ref="V5044" authorId="0" shapeId="0" xr:uid="{49706F32-56A4-4465-91E3-1D5DE26AAE35}">
      <text>
        <r>
          <rPr>
            <sz val="9"/>
            <color indexed="81"/>
            <rFont val="Tahoma"/>
            <family val="2"/>
          </rPr>
          <t>SIMON THORNHILL_x000D_
http://yeinfo.com/family/I09066310.html_x000D_
https://www.google.com/search?q=SIMON+THORNHILL+1330+1378+ELIZABETH_x000D_
.born: 1330    -          Thornhill (Yorkshire) England_x000D_
.died:c1378    -         ?England, age:48y 0m 0d, _x000D_
.bapt: 1785GE_x000D_
.will: 2004MO_x000D_
.obit: 1890OH_x000D_
.bury: 1850IL _x000D_
.wpbt: 1826PA_x000D_
.anc#:double ancestor_x000D_
citiz:foreign_x000D_
#spos:1_x000D_
#srcs:1_x000D_
#comment:0_x000D_
#events:1_x000D_
#kids:1_x000D_
lived:ENYORKSTHORNHI_x000D_
issue:_x000D_
.recs:Birth,Marriage,Death_x000D_
.imm?:no_x000D_
..Spo:ELIZABETH BABTHORPE</t>
        </r>
      </text>
    </comment>
    <comment ref="W5046" authorId="0" shapeId="0" xr:uid="{27815D27-D7B8-49DF-A736-9C5DCB29A8B7}">
      <text>
        <r>
          <rPr>
            <sz val="9"/>
            <color indexed="81"/>
            <rFont val="Tahoma"/>
            <family val="2"/>
          </rPr>
          <t>JOAN WILLIAM_x000D_
http://yeinfo.com/family/I09066487.html_x000D_
https://www.google.com/search?q=JOAN+WILLIAM+1317+1384+THORNHILL_x000D_
.born:c1317    -          Sprotborough (Yorkshire) England_x000D_
.died: 13840222-          Howden (Yorkshire) England, age:67y 1m 21d, _x000D_
.bapt: 1785GE_x000D_
.will: 2004MO_x000D_
.obit: 1890OH_x000D_
.bury: 1850IL _x000D_
.wpbt: 1826PA_x000D_
.anc#:double ancestor_x000D_
citiz:foreign_x000D_
#spos:1_x000D_
#srcs:1_x000D_
#comment:1_x000D_
#events:1_x000D_
#kids:1_x000D_
lived:ENYORKSHOWDEN,ENYORKSSPROTBO_x000D_
issue:Died after Age 100_x000D_
.recs:Birth,Marriage,Death_x000D_
.imm?:no_x000D_
..Spo:BRYAN THORNHILL</t>
        </r>
      </text>
    </comment>
    <comment ref="U5048" authorId="0" shapeId="0" xr:uid="{3DA00BF4-FF08-43EB-A19A-C4C3A783D3D4}">
      <text>
        <r>
          <rPr>
            <sz val="9"/>
            <color indexed="81"/>
            <rFont val="Tahoma"/>
            <family val="2"/>
          </rPr>
          <t>ELIZABETH THORNHILL_x000D_
http://yeinfo.com/family/I09066116.html_x000D_
https://www.google.com/search?q=ELIZABETH+THORNHILL+1360+1437+SAVILLE_x000D_
.born: 1360    -          Thornhill (Yorkshire) England_x000D_
.died: 1437    -          England, age:77y 0m 0d, _x000D_
.bapt: 1785GE_x000D_
.will: 2004MO_x000D_
.obit: 1890OH_x000D_
.bury: 1850IL _x000D_
.wpbt: 1826PA_x000D_
.anc#:double ancestor_x000D_
citiz:foreign_x000D_
#spos:1_x000D_
#srcs:1_x000D_
#comment:0_x000D_
#events:1_x000D_
#kids:1_x000D_
lived:ENYORKSTHORNHI_x000D_
issue:_x000D_
.recs:Birth,Marriage,Death_x000D_
.imm?:no_x000D_
..Spo:HENRY SAVILLE</t>
        </r>
      </text>
    </comment>
    <comment ref="X5050" authorId="0" shapeId="0" xr:uid="{3D67FA4C-8152-409F-B18E-1252EBCECE98}">
      <text>
        <r>
          <rPr>
            <sz val="9"/>
            <color indexed="81"/>
            <rFont val="Tahoma"/>
            <family val="2"/>
          </rPr>
          <t>THOMAS BABTHORPE_x000D_
http://yeinfo.com/family/I09066743.html_x000D_
https://www.google.com/search?q=THOMAS+BABTHORPE+1290+1310+ANSWITH_x000D_
.born:?1290    -         ?England_x000D_
.died: 1310    -1375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..Spo:ANSWITH HAYE</t>
        </r>
      </text>
    </comment>
    <comment ref="W5052" authorId="0" shapeId="0" xr:uid="{79089967-3FD2-4577-8040-49D27E0E0B87}">
      <text>
        <r>
          <rPr>
            <sz val="9"/>
            <color indexed="81"/>
            <rFont val="Tahoma"/>
            <family val="2"/>
          </rPr>
          <t>EDWARD BABTHORPE_x000D_
http://yeinfo.com/family/I09066437.html_x000D_
https://www.google.com/search?q=EDWARD+BABTHORPE+1315+1340+JULIANNE_x000D_
.born:c1315    -          Yorkshire county England_x000D_
.died: 1340    -1405     ?England, age:25y 0m 0d, _x000D_
.bapt: 1785GE_x000D_
.will: 2004MO_x000D_
.obit: 1890OH_x000D_
.bury: 1850IL _x000D_
.wpbt: 1826PA_x000D_
.anc#:double ancestor_x000D_
citiz:foreign_x000D_
#spos:1_x000D_
#srcs:1_x000D_
#comment:1_x000D_
#events:1_x000D_
#kids:1_x000D_
lived:ENYORKS_x000D_
issue:Born after Parent Died_x000D_
.recs:Birth,Marriage,Death_x000D_
.imm?:no_x000D_
..Spo:JULIANNE SALVAIN</t>
        </r>
      </text>
    </comment>
    <comment ref="X5054" authorId="0" shapeId="0" xr:uid="{5FF3CD60-03D1-4F40-99D5-EEA2D85232E5}">
      <text>
        <r>
          <rPr>
            <sz val="9"/>
            <color indexed="81"/>
            <rFont val="Tahoma"/>
            <family val="2"/>
          </rPr>
          <t>ANSWITH HAYE_x000D_
http://yeinfo.com/family/I09066744.html_x000D_
https://www.google.com/search?q=ANSWITH+HAYE+1290+1310+BABTHORPE_x000D_
.born:?1290    -         ?England_x000D_
.died: 1310    -1375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..Spo:THOMAS BABTHORPE</t>
        </r>
      </text>
    </comment>
    <comment ref="V5056" authorId="0" shapeId="0" xr:uid="{0450B289-511F-48E8-8E2B-F3573A0E1207}">
      <text>
        <r>
          <rPr>
            <sz val="9"/>
            <color indexed="81"/>
            <rFont val="Tahoma"/>
            <family val="2"/>
          </rPr>
          <t>ELIZABETH BABTHORPE_x000D_
http://yeinfo.com/family/I09066275.html_x000D_
https://www.google.com/search?q=ELIZABETH+BABTHORPE+1340+1385+THORNHILL_x000D_
.born:c1340    -          Yorkshire county England_x000D_
.died:c1385    -         ?England, age:45y 0m 0d, _x000D_
.bapt: 1785GE_x000D_
.will: 2004MO_x000D_
.obit: 1890OH_x000D_
.bury: 1850IL _x000D_
.wpbt: 1826PA_x000D_
.anc#:double ancestor_x000D_
citiz:foreign_x000D_
#spos:1_x000D_
#srcs:1_x000D_
#comment:0_x000D_
#events:1_x000D_
#kids:1_x000D_
lived:ENYORKS_x000D_
issue:_x000D_
.recs:Birth,Marriage,Death_x000D_
.imm?:no_x000D_
..Spo:SIMON THORNHILL</t>
        </r>
      </text>
    </comment>
    <comment ref="W5058" authorId="0" shapeId="0" xr:uid="{7F7CDAED-98B5-439E-948E-F46588EE6675}">
      <text>
        <r>
          <rPr>
            <sz val="9"/>
            <color indexed="81"/>
            <rFont val="Tahoma"/>
            <family val="2"/>
          </rPr>
          <t>JULIANNE SALVAIN_x000D_
http://yeinfo.com/family/I09066474.html_x000D_
https://www.google.com/search?q=JULIANNE+SALVAIN+1310+1340+BABTHORPE_x000D_
.born: 1310    -         ?England_x000D_
.died: 1340    -1400     ?England, age:30y 0m 0d, _x000D_
.bapt: 1785GE_x000D_
.will: 2004MO_x000D_
.obit: 1890OH_x000D_
.bury: 1850IL _x000D_
.wpbt: 1826PA_x000D_
.anc#:double ancestor_x000D_
citiz:foreign_x000D_
#spos:1_x000D_
#srcs:1_x000D_
#comment:0_x000D_
#events:1_x000D_
#kids:1_x000D_
lived:?ENYORKS_x000D_
issue:_x000D_
.recs:Birth,Marriage,Death_x000D_
.imm?:no_x000D_
..Spo:EDWARD BABTHORPE</t>
        </r>
      </text>
    </comment>
    <comment ref="S5060" authorId="0" shapeId="0" xr:uid="{1FDC16C2-227A-4FF7-91EC-94079F47A93A}">
      <text>
        <r>
          <rPr>
            <sz val="9"/>
            <color indexed="81"/>
            <rFont val="Tahoma"/>
            <family val="2"/>
          </rPr>
          <t>JOHN SAVILLE_x000D_
http://yeinfo.com/family/I09065793.html_x000D_
https://www.google.com/search?q=JOHN+SAVILLE+1406+1482+ALICE_x000D_
.born:c1406    -          Thornhill (Yorkshire) England_x000D_
.died: 14820615-          Wakefield (Yorkshire) England, age:76y 5m 14d, _x000D_
.bapt: 1785GE_x000D_
.will: 2004MO_x000D_
.obit: 1890OH_x000D_
.bury: 1850IL _x000D_
.wpbt: 1826PA_x000D_
.anc#:double ancestor_x000D_
citiz:foreign_x000D_
#spos:1_x000D_
#srcs:1_x000D_
#comment:0_x000D_
#events:1_x000D_
#kids:1_x000D_
lived:ENYORKSTHORNHI,ENYORKSWAKEFIE_x000D_
issue:_x000D_
.recs:Birth,Marriage,Death_x000D_
.imm?:no_x000D_
..Spo:ALICE GASCOIGNE</t>
        </r>
      </text>
    </comment>
    <comment ref="W5062" authorId="0" shapeId="0" xr:uid="{37510B14-BC2B-4C25-AD98-E9E1BC33B691}">
      <text>
        <r>
          <rPr>
            <sz val="9"/>
            <color indexed="81"/>
            <rFont val="Tahoma"/>
            <family val="2"/>
          </rPr>
          <t>ROGER PILKINGTON IV_x000D_
http://yeinfo.com/family/I09066473.html_x000D_
https://www.google.com/search?q=ROGER+PILKINGTON+1291+1347+ALICE_x000D_
.born: 1291    -          Pilkington (Lancashire) England_x000D_
.died: 1347    -          Pilkington (Lancashire) England, age:56y 0m 0d, _x000D_
.bapt: 1785GE_x000D_
.will: 2004MO_x000D_
.obit: 1890OH_x000D_
.bury: 1850IL _x000D_
.wpbt: 1826PA_x000D_
.anc#:double ancestor_x000D_
citiz:foreign_x000D_
#spos:1_x000D_
#srcs:1_x000D_
#comment:1_x000D_
#events:1_x000D_
#kids:1_x000D_
lived:ENLANCSPILKING_x000D_
issue:_x000D_
.recs:Birth,Marriage,Death_x000D_
.imm?:no_x000D_
..Spo:ALICE BURY</t>
        </r>
      </text>
    </comment>
    <comment ref="V5064" authorId="0" shapeId="0" xr:uid="{93435435-FB4F-40AB-B95C-C25568FB1CC3}">
      <text>
        <r>
          <rPr>
            <sz val="9"/>
            <color indexed="81"/>
            <rFont val="Tahoma"/>
            <family val="2"/>
          </rPr>
          <t>ROGER PILKINGTON V_x000D_
http://yeinfo.com/family/I09066301.html_x000D_
https://www.google.com/search?q=ROGER+PILKINGTON+1323+1406+ANNE_x000D_
.born: 13230921-          Chellesworth (Suffolk) England_x000D_
.died: 14060102-          Pilkington (Lancashire) England, age:82y 3m 12d, _x000D_
.bapt: 1785GE_x000D_
.will: 2004MO_x000D_
.obit: 1890OH_x000D_
.bury: 1850IL _x000D_
.wpbt: 1826PA_x000D_
.anc#:double ancestor_x000D_
citiz:foreign_x000D_
#spos:1_x000D_
#srcs:1_x000D_
#comment:0_x000D_
#events:1_x000D_
#kids:1_x000D_
lived:ENLANCSPILKING,ENSUFFOCHELLES_x000D_
issue:_x000D_
.recs:Birth,Marriage,Death_x000D_
.imm?:no_x000D_
..Spo:ANNE SAVAGE</t>
        </r>
      </text>
    </comment>
    <comment ref="W5066" authorId="0" shapeId="0" xr:uid="{A502B780-49D8-4296-B0C8-C38B8E75084F}">
      <text>
        <r>
          <rPr>
            <sz val="9"/>
            <color indexed="81"/>
            <rFont val="Tahoma"/>
            <family val="2"/>
          </rPr>
          <t>ALICE BURY_x000D_
http://yeinfo.com/family/I09066446.html_x000D_
https://www.google.com/search?q=ALICE+BURY+1300+1347+PILKINGTON_x000D_
.born: 1300    -          Bury (Lancashire) England_x000D_
.died: 1347    -          Pilkington (Lancashire) England, age:47y 0m 0d, _x000D_
.bapt: 1785GE_x000D_
.will: 2004MO_x000D_
.obit: 1890OH_x000D_
.bury: 1850IL _x000D_
.wpbt: 1826PA_x000D_
.anc#:double ancestor_x000D_
citiz:foreign_x000D_
#spos:1_x000D_
#srcs:1_x000D_
#comment:1_x000D_
#events:1_x000D_
#kids:1_x000D_
lived:ENLANCSBURY,ENLANCSPILKING_x000D_
issue:_x000D_
.recs:Birth,Marriage,Death_x000D_
.imm?:no_x000D_
..Spo:ROGER PILKINGTON</t>
        </r>
      </text>
    </comment>
    <comment ref="U5068" authorId="0" shapeId="0" xr:uid="{DAD223AC-DDE5-4CC5-8463-C97FBB21ED31}">
      <text>
        <r>
          <rPr>
            <sz val="9"/>
            <color indexed="81"/>
            <rFont val="Tahoma"/>
            <family val="2"/>
          </rPr>
          <t>JOHN PILKINGTON_x000D_
http://yeinfo.com/family/I09066106.html_x000D_
https://www.google.com/search?q=JOHN+PILKINGTON+1365+1421+MARGARET_x000D_
.born:c1365    -          Pilkington (Lancashire) England_x000D_
.died: 14210308-          Pilkington (Lancashire) England, age:56y 2m 7d, _x000D_
.bapt: 1785GE_x000D_
.will: 2004MO_x000D_
.obit: 1890OH_x000D_
.bury: 1850IL _x000D_
.wpbt: 1826PA_x000D_
.anc#:double ancestor_x000D_
citiz:foreign_x000D_
#spos:1_x000D_
#srcs:1_x000D_
#comment:0_x000D_
#events:1_x000D_
#kids:1_x000D_
lived:ENLANCSPILKING_x000D_
issue:Died after Age 100_x000D_
.recs:Birth,Marriage,Death_x000D_
.imm?:no_x000D_
..Spo:MARGARET VERDUN</t>
        </r>
      </text>
    </comment>
    <comment ref="W5070" authorId="0" shapeId="0" xr:uid="{B274A3AF-B3B3-457F-B8FF-5D077A1904C6}">
      <text>
        <r>
          <rPr>
            <sz val="9"/>
            <color indexed="81"/>
            <rFont val="Tahoma"/>
            <family val="2"/>
          </rPr>
          <t>JOHN SAVAGE_x000D_
http://yeinfo.com/family/I09066475.html_x000D_
https://www.google.com/search?q=JOHN+SAVAGE+1311+1336+ELIZABETH_x000D_
.born: 1311    -          Derbyshire county England_x000D_
.died: 1336    -1401     ?England, age:25y 0m 0d, _x000D_
.bapt: 1785GE_x000D_
.will: 2004MO_x000D_
.obit: 1890OH_x000D_
.bury: 1850IL _x000D_
.wpbt: 1826PA_x000D_
.anc#:double ancestor_x000D_
citiz:foreign_x000D_
#spos:1_x000D_
#srcs:1_x000D_
#comment:0_x000D_
#events:1_x000D_
#kids:1_x000D_
lived:ENDERBS_x000D_
issue:_x000D_
.recs:Birth,Marriage,Death_x000D_
.imm?:no_x000D_
..Spo:ELIZABETH BRERTON</t>
        </r>
      </text>
    </comment>
    <comment ref="V5072" authorId="0" shapeId="0" xr:uid="{BC5D07D5-FAC6-4BE0-B942-68DA72BF05A0}">
      <text>
        <r>
          <rPr>
            <sz val="9"/>
            <color indexed="81"/>
            <rFont val="Tahoma"/>
            <family val="2"/>
          </rPr>
          <t>ANNE SAVAGE_x000D_
http://yeinfo.com/family/I09066304.html_x000D_
https://www.google.com/search?q=ANNE+SAVAGE+1336+1398+PILKINGTON_x000D_
.born: 1336    -          Derbyshire county England_x000D_
.died: 1398    -          Pilkington (Lancashire) England, age:62y 0m 0d, _x000D_
.bapt: 1785GE_x000D_
.will: 2004MO_x000D_
.obit: 1890OH_x000D_
.bury: 1850IL _x000D_
.wpbt: 1826PA_x000D_
.anc#:double ancestor_x000D_
citiz:foreign_x000D_
#spos:1_x000D_
#srcs:1_x000D_
#comment:0_x000D_
#events:1_x000D_
#kids:1_x000D_
lived:ENDERBS,ENLANCSPILKING_x000D_
issue:Died after Age 100_x000D_
.recs:Birth,Marriage,Death_x000D_
.imm?:no_x000D_
..Spo:ROGER PILKINGTON</t>
        </r>
      </text>
    </comment>
    <comment ref="W5074" authorId="0" shapeId="0" xr:uid="{A2C41401-8666-4E13-87F7-68442A69BD46}">
      <text>
        <r>
          <rPr>
            <sz val="9"/>
            <color indexed="81"/>
            <rFont val="Tahoma"/>
            <family val="2"/>
          </rPr>
          <t>ELIZABETH BRERTON_x000D_
http://yeinfo.com/family/I09066445.html_x000D_
https://www.google.com/search?q=ELIZABETH+BRERTON+1316+1336+SAVAGE_x000D_
.born: 1316    -          England_x000D_
.died: 1336    -1406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lived:EN_x000D_
issue:Died after Age 100_x000D_
.recs:Birth,Marriage,Death_x000D_
.imm?:no_x000D_
..Spo:JOHN SAVAGE</t>
        </r>
      </text>
    </comment>
    <comment ref="T5076" authorId="0" shapeId="0" xr:uid="{B9A04E8D-C24B-427B-8B92-1EBD5BCF6257}">
      <text>
        <r>
          <rPr>
            <sz val="9"/>
            <color indexed="81"/>
            <rFont val="Tahoma"/>
            <family val="2"/>
          </rPr>
          <t>MARGARET PILKINGTON_x000D_
http://yeinfo.com/family/I09065938.html_x000D_
https://www.google.com/search?q=MARGARET+PILKINGTON+1383+1445+SAVILLE_x000D_
.born: 1383    -          Yorkshire county England_x000D_
.died: 1445    -          Brixworth (Northamptonshire) England, age:62y 0m 0d, _x000D_
.bapt: 1785GE_x000D_
.will: 2004MO_x000D_
.obit: 1890OH_x000D_
.bury: 1850IL _x000D_
.wpbt: 1826PA_x000D_
.anc#:double ancestor_x000D_
citiz:foreign_x000D_
#spos:1_x000D_
#srcs:1_x000D_
#comment:0_x000D_
#events:1_x000D_
#kids:1_x000D_
lived:ENNORTABRIXWOR,ENYORKS_x000D_
issue:Died after Age 100_x000D_
.recs:Birth,Marriage,Death_x000D_
.imm?:no_x000D_
..Spo:THOMAS SAVILLE</t>
        </r>
      </text>
    </comment>
    <comment ref="W5078" authorId="0" shapeId="0" xr:uid="{51E23054-E6CA-4ADC-919C-5B7FF4102802}">
      <text>
        <r>
          <rPr>
            <sz val="9"/>
            <color indexed="81"/>
            <rFont val="Tahoma"/>
            <family val="2"/>
          </rPr>
          <t>JOHN VERDUN_x000D_
http://yeinfo.com/family/I09066483.html_x000D_
https://www.google.com/search?q=JOHN+VERDUN+1299+1376+AGNES_x000D_
.born: 12990624-          Brixworth (Northamptonshire) England_x000D_
.died: 13761023-          Bressingham (Norfolk) England, age:77y 3m 29d, _x000D_
.bapt: 1785GE_x000D_
.will: 2004MO_x000D_
.obit: 1890OH_x000D_
.bury: 1850IL _x000D_
.wpbt: 1826PA_x000D_
.anc#:double ancestor_x000D_
citiz:foreign_x000D_
#spos:1_x000D_
#srcs:1_x000D_
#comment:1_x000D_
#events:1_x000D_
#kids:1_x000D_
lived:ENNORFOBRESSIN,ENNORTABRIXWOR_x000D_
issue:_x000D_
.recs:Birth,Marriage,Death_x000D_
.imm?:no_x000D_
..Spo:AGNES VERDUN</t>
        </r>
      </text>
    </comment>
    <comment ref="V5080" authorId="0" shapeId="0" xr:uid="{FC163598-81D8-4A47-9A72-D61BFE56DB6A}">
      <text>
        <r>
          <rPr>
            <sz val="9"/>
            <color indexed="81"/>
            <rFont val="Tahoma"/>
            <family val="2"/>
          </rPr>
          <t>EDMUND VERDUN_x000D_
http://yeinfo.com/family/I09066313.html_x000D_
https://www.google.com/search?q=EDMUND+VERDUN+1325+1376+JOAN_x000D_
.born:c1325    -          Saint Pauls Walden (Hertfordshire) England_x000D_
.died: 1376    -          England, age:51y 0m 0d, _x000D_
.bapt: 1785GE_x000D_
.will: 2004MO_x000D_
.obit: 1890OH_x000D_
.bury: 1850IL _x000D_
.wpbt: 1826PA_x000D_
.anc#:double ancestor_x000D_
citiz:foreign_x000D_
#spos:1_x000D_
#srcs:1_x000D_
#comment:0_x000D_
#events:1_x000D_
#kids:1_x000D_
lived:ENHERTFSTPWALD_x000D_
issue:_x000D_
.recs:Birth,Marriage,Death_x000D_
.imm?:no_x000D_
..Spo:JOAN VERDUN</t>
        </r>
      </text>
    </comment>
    <comment ref="W5082" authorId="0" shapeId="0" xr:uid="{BC58CA8C-BB2F-4B78-97F4-2516867D6D68}">
      <text>
        <r>
          <rPr>
            <sz val="9"/>
            <color indexed="81"/>
            <rFont val="Tahoma"/>
            <family val="2"/>
          </rPr>
          <t>Mrs. AGNES VERDUN_x000D_
http://yeinfo.com/family/I09066482.html_x000D_
https://www.google.com/search?q=AGNES+VERDUN+1308+1328+VERDUN_x000D_
.born:c1308    -          Bressingham (Norfolk) England_x000D_
.died: 1328    -1398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lived:ENNORFOBRESSIN_x000D_
issue:_x000D_
.recs:Birth,Marriage,Death_x000D_
.imm?:no_x000D_
..Spo:JOHN VERDUN</t>
        </r>
      </text>
    </comment>
    <comment ref="U5084" authorId="0" shapeId="0" xr:uid="{E85FEC5F-EB2D-40FB-B95F-3AAFEB69ABB2}">
      <text>
        <r>
          <rPr>
            <sz val="9"/>
            <color indexed="81"/>
            <rFont val="Tahoma"/>
            <family val="2"/>
          </rPr>
          <t>MARGARET VERDUN_x000D_
http://yeinfo.com/family/I09066121.html_x000D_
https://www.google.com/search?q=MARGARET+VERDUN+1356+1436+PILKINGTON_x000D_
.born: 1356    -          Brixworth (Northamptonshire) England_x000D_
.died: 14361124-          Pilkington (Lancashire) England, age:80y 10m 23d, _x000D_
.bapt: 1785GE_x000D_
.will: 2004MO_x000D_
.obit: 1890OH_x000D_
.bury: 1850IL _x000D_
.wpbt: 1826PA_x000D_
.anc#:double ancestor_x000D_
citiz:foreign_x000D_
#spos:1_x000D_
#srcs:1_x000D_
#comment:0_x000D_
#events:1_x000D_
#kids:1_x000D_
lived:ENLANCSPILKING,ENNORTABRIXWOR_x000D_
issue:_x000D_
.recs:Birth,Marriage,Death_x000D_
.imm?:no_x000D_
..Spo:JOHN PILKINGTON</t>
        </r>
      </text>
    </comment>
    <comment ref="V5086" authorId="0" shapeId="0" xr:uid="{C1C0537B-0B34-4615-A89D-18D8C0D60929}">
      <text>
        <r>
          <rPr>
            <sz val="9"/>
            <color indexed="81"/>
            <rFont val="Tahoma"/>
            <family val="2"/>
          </rPr>
          <t>Mrs. JOAN VERDUN_x000D_
http://yeinfo.com/family/I09066312.html_x000D_
https://www.google.com/search?q=JOAN+VERDUN+1330+1356+VERDUN_x000D_
.born:?1330    -         ?England_x000D_
.died: 1356    -1420     ?England, age:26y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..Spo:EDMUND VERDUN</t>
        </r>
      </text>
    </comment>
    <comment ref="R5088" authorId="0" shapeId="0" xr:uid="{6A42C11A-F6FA-41AA-AB23-61A0FB50DC79}">
      <text>
        <r>
          <rPr>
            <sz val="9"/>
            <color indexed="81"/>
            <rFont val="Tahoma"/>
            <family val="2"/>
          </rPr>
          <t>NICHOLAS SAVILLE_x000D_
http://yeinfo.com/family/I09065666.html_x000D_
https://www.google.com/search?q=NICHOLAS+SAVILLE+1440+1481+ANN_x000D_
.born: 1440    -          Newhall (Yorkshire) England_x000D_
.died: 1481    -          Newhall (Yorkshire) England, age:41y 0m 0d, _x000D_
.bapt: 1785GE_x000D_
.will: 2004MO_x000D_
.obit: 1890OH_x000D_
.bury: 1850IL _x000D_
.wpbt: 1826PA_x000D_
.anc#:double ancestor_x000D_
citiz:foreign_x000D_
#spos:1_x000D_
#srcs:1_x000D_
#comment:0_x000D_
#events:1_x000D_
#kids:1_x000D_
lived:ENYORKSNEWHALL_x000D_
issue:_x000D_
.recs:Birth,Marriage,Death_x000D_
.imm?:no_x000D_
..Spo:ANN STANDISFIELD</t>
        </r>
      </text>
    </comment>
    <comment ref="W5090" authorId="0" shapeId="0" xr:uid="{0DBD34E3-741E-4C1F-BE5C-DD0BA5C2117C}">
      <text>
        <r>
          <rPr>
            <sz val="9"/>
            <color indexed="81"/>
            <rFont val="Tahoma"/>
            <family val="2"/>
          </rPr>
          <t>WILLIAM GASCOIGNE_x000D_
http://yeinfo.com/family/I09066464.html_x000D_
https://www.google.com/search?q=WILLIAM+GASCOIGNE+1250+1330+MATILDA_x000D_
.born:?1250    -          Harewood (Yorkshire) England_x000D_
.died: 1330    -          Harewood (Yorkshire) England, age:80y 0m 0d, _x000D_
.bapt: 1785GE_x000D_
.will: 2004MO_x000D_
.obit: 1890OH_x000D_
.bury: 1850IL _x000D_
.wpbt: 1826PA_x000D_
.anc#:double ancestor_x000D_
citiz:foreign_x000D_
#spos:1_x000D_
#srcs:1_x000D_
#comment:1_x000D_
#events:1_x000D_
#kids:1_x000D_
lived:ENYORKSHAREWOO_x000D_
issue:_x000D_
.recs:Birth,Marriage,Death_x000D_
.imm?:no_x000D_
..Spo:MATILDA GASCOIGNE</t>
        </r>
      </text>
    </comment>
    <comment ref="V5092" authorId="0" shapeId="0" xr:uid="{BC1448B2-3F58-48A6-B475-F1D763F10068}">
      <text>
        <r>
          <rPr>
            <sz val="9"/>
            <color indexed="81"/>
            <rFont val="Tahoma"/>
            <family val="2"/>
          </rPr>
          <t>WILLIAM GASCOIGNE Sr._x000D_
http://yeinfo.com/family/I09066291.html_x000D_
https://www.google.com/search?q=WILLIAM+GASCOIGNE+1293+1378+AGNES_x000D_
.born: 12930909-          Harewood (Yorkshire) England_x000D_
.died: 1378    -          Gawthorpe (Yorkshire) England, age:84y 3m 23d, _x000D_
.bapt: 1785GE_x000D_
.will: 2004MO_x000D_
.obit: 1890OH_x000D_
.bury: 1850IL _x000D_
.wpbt: 1826PA_x000D_
.anc#:double ancestor_x000D_
citiz:foreign_x000D_
#spos:1_x000D_
#srcs:1_x000D_
#comment:0_x000D_
#events:1_x000D_
#kids:1_x000D_
lived:ENYORKSGAWTHOR,ENYORKSHAREWOO_x000D_
issue:_x000D_
.recs:Birth,Marriage,Death_x000D_
.imm?:no_x000D_
..Spo:AGNES FRANKE</t>
        </r>
      </text>
    </comment>
    <comment ref="W5094" authorId="0" shapeId="0" xr:uid="{49F392F8-1067-483B-8227-43F392D8ED2C}">
      <text>
        <r>
          <rPr>
            <sz val="9"/>
            <color indexed="81"/>
            <rFont val="Tahoma"/>
            <family val="2"/>
          </rPr>
          <t>Mrs. MATILDA GASCOIGNE_x000D_
http://yeinfo.com/family/I09066463.html_x000D_
https://www.google.com/search?q=MATILDA+GASCOIGNE+1264+1317+GASCOIGNE_x000D_
.born: 1264    -          Gawthorpe (Yorkshire) England_x000D_
.died:c1317    -          Gawthorpe (Yorkshire) England, age:53y 0m 0d, _x000D_
.bapt: 1785GE_x000D_
.will: 2004MO_x000D_
.obit: 1890OH_x000D_
.bury: 1850IL _x000D_
.wpbt: 1826PA_x000D_
.anc#:double ancestor_x000D_
citiz:foreign_x000D_
#spos:1_x000D_
#srcs:1_x000D_
#comment:0_x000D_
#events:1_x000D_
#kids:1_x000D_
lived:ENYORKSGAWTHOR_x000D_
issue:_x000D_
.recs:Birth,Marriage,Death_x000D_
.imm?:no_x000D_
..Spo:WILLIAM GASCOIGNE</t>
        </r>
      </text>
    </comment>
    <comment ref="U5096" authorId="0" shapeId="0" xr:uid="{16744F12-7FAF-4602-B3CA-111AE07C5AE3}">
      <text>
        <r>
          <rPr>
            <sz val="9"/>
            <color indexed="81"/>
            <rFont val="Tahoma"/>
            <family val="2"/>
          </rPr>
          <t>WILLIAM GASCOIGNE_x000D_
http://yeinfo.com/family/I09066090.html_x000D_
https://www.google.com/search?q=WILLIAM+GASCOIGNE+1350+1419+ELIZABETH_x000D_
.born:c1350    -          Yorkshire county England_x000D_
.died: 14191217-          Harewood (Yorkshire) England, age:69y 11m 16d, _x000D_
.bapt: 1785GE_x000D_
.will: 2004MO_x000D_
.obit: 1890OH_x000D_
.bury: 1850IL _x000D_
.wpbt: 1826PA_x000D_
.anc#:double ancestor_x000D_
citiz:foreign_x000D_
#spos:2_x000D_
#srcs:1_x000D_
#comment:0_x000D_
#events:2_x000D_
#kids:1_x000D_
lived:ENYORKSHAREWOO_x000D_
issue:_x000D_
.recs:Birth,Marriage,Death_x000D_
.imm?:no_x000D_
..Spo:ELIZABETH MOWBRAY</t>
        </r>
      </text>
    </comment>
    <comment ref="W5098" authorId="0" shapeId="0" xr:uid="{07E3413C-5618-47F9-90E2-922DC809FEA1}">
      <text>
        <r>
          <rPr>
            <sz val="9"/>
            <color indexed="81"/>
            <rFont val="Tahoma"/>
            <family val="2"/>
          </rPr>
          <t>NICHOLAS FRANKE_x000D_
http://yeinfo.com/family/I09066459.html_x000D_
https://www.google.com/search?q=NICHOLAS+FRANKE+1285+1377+KATHERINE_x000D_
.born:c1285    -          Alwoodley (Yorkshire) England_x000D_
.died: 1377    -          Alwoodley (Yorkshire) England, age:92y 0m 0d, _x000D_
.bapt: 1785GE_x000D_
.will: 2004MO_x000D_
.obit: 1890OH_x000D_
.bury: 1850IL _x000D_
.wpbt: 1826PA_x000D_
.anc#:double ancestor_x000D_
citiz:foreign_x000D_
#spos:1_x000D_
#srcs:1_x000D_
#comment:1_x000D_
#events:1_x000D_
#kids:1_x000D_
lived:ENYORKSALWOODL_x000D_
issue:_x000D_
.recs:Birth,Marriage,Death_x000D_
.imm?:no_x000D_
..Spo:KATHERINE ELLIS</t>
        </r>
      </text>
    </comment>
    <comment ref="V5100" authorId="0" shapeId="0" xr:uid="{DABFE73E-7F1E-4BA9-AD11-32B129A95149}">
      <text>
        <r>
          <rPr>
            <sz val="9"/>
            <color indexed="81"/>
            <rFont val="Tahoma"/>
            <family val="2"/>
          </rPr>
          <t>AGNES FRANKE_x000D_
http://yeinfo.com/family/I09066289.html_x000D_
https://www.google.com/search?q=AGNES+FRANKE+1312+1389+GASCOIGNE_x000D_
.born:c1312    -          Alwoodley (Yorkshire) England_x000D_
.died: 1389    -          Yorkshire county England, age:77y 0m 0d, _x000D_
.bapt: 1785GE_x000D_
.will: 2004MO_x000D_
.obit: 1890OH_x000D_
.bury: 1850IL _x000D_
.wpbt: 1826PA_x000D_
.anc#:double ancestor_x000D_
citiz:foreign_x000D_
#spos:1_x000D_
#srcs:1_x000D_
#comment:0_x000D_
#events:1_x000D_
#kids:1_x000D_
lived:ENYORKSALWOODL_x000D_
issue:_x000D_
.recs:Birth,Marriage,Death_x000D_
.imm?:no_x000D_
..Spo:WILLIAM GASCOIGNE</t>
        </r>
      </text>
    </comment>
    <comment ref="W5102" authorId="0" shapeId="0" xr:uid="{47DB6B41-E859-41FA-9117-9DCE50282CF2}">
      <text>
        <r>
          <rPr>
            <sz val="9"/>
            <color indexed="81"/>
            <rFont val="Tahoma"/>
            <family val="2"/>
          </rPr>
          <t>KATHERINE ELLIS_x000D_
http://yeinfo.com/family/I09066450.html_x000D_
https://www.google.com/search?q=KATHERINE+ELLIS+1288+1377+FRANKE_x000D_
.born: 1288    -          Alwoodley (Yorkshire) England_x000D_
.died: 1377    -          Yorkshire county England, age:89y 0m 0d, _x000D_
.bapt: 1785GE_x000D_
.will: 2004MO_x000D_
.obit: 1890OH_x000D_
.bury: 1850IL _x000D_
.wpbt: 1826PA_x000D_
.anc#:double ancestor_x000D_
citiz:foreign_x000D_
#spos:1_x000D_
#srcs:1_x000D_
#comment:1_x000D_
#events:1_x000D_
#kids:1_x000D_
lived:ENYORKSALWOODL_x000D_
issue:_x000D_
.recs:Birth,Marriage,Death_x000D_
.imm?:no_x000D_
..Spo:NICHOLAS FRANKE</t>
        </r>
      </text>
    </comment>
    <comment ref="T5104" authorId="0" shapeId="0" xr:uid="{EF7A12F8-48F8-47E5-8092-9D52C70836D8}">
      <text>
        <r>
          <rPr>
            <sz val="9"/>
            <color indexed="81"/>
            <rFont val="Tahoma"/>
            <family val="2"/>
          </rPr>
          <t>WILLIAM GASCOIGNE II_x000D_
http://yeinfo.com/family/I09065925.html_x000D_
https://www.google.com/search?q=WILLIAM+GASCOIGNE+1387+1422+JOAN_x000D_
.born: 1387    -          Harewood (Yorkshire) England_x000D_
.died: 14220328-          Dewsbury (Yorkshire) England, age:35y 2m 27d, _x000D_
.bapt: 1785GE_x000D_
.will: 2004MO_x000D_
.obit: 1890OH_x000D_
.bury: 1850IL Meaux Abbey, Wawne_x000D_
.wpbt: 1826PA_x000D_
.anc#:double ancestor_x000D_
citiz:foreign_x000D_
#spos:1_x000D_
#srcs:1_x000D_
#comment:0_x000D_
#events:3_x000D_
#kids:1_x000D_
lived:ENYORKSDEWSBUR,ENYORKSHAREWOO_x000D_
issue:Born before Parents Married,Died after Age 100_x000D_
.recs:Birth,Marriage,Death,Interment/Burial_x000D_
.imm?:no_x000D_
..Spo:JOAN WYMAN</t>
        </r>
      </text>
    </comment>
    <comment ref="U5106" authorId="0" shapeId="0" xr:uid="{3F5BBED2-C795-4C1C-BF1A-97B520676C66}">
      <text>
        <r>
          <rPr>
            <sz val="9"/>
            <color indexed="81"/>
            <rFont val="Tahoma"/>
            <family val="2"/>
          </rPr>
          <t>ELIZABETH MOWBRAY_x000D_
http://yeinfo.com/family/I09066104.html_x000D_
https://www.google.com/search?q=ELIZABETH+MOWBRAY+1340+1403+GASCOIGNE_x000D_
.born:c1340    -          Kirkton (Yorkshire) England_x000D_
.died: 14030922-          Yorkshire county England, age:63y 8m 21d, _x000D_
.bapt: 1785GE_x000D_
.will: 2004MO_x000D_
.obit: 1890OH_x000D_
.bury: 1850IL _x000D_
.wpbt: 1826PA_x000D_
.anc#:double ancestor_x000D_
citiz:foreign_x000D_
#spos:1_x000D_
#srcs:1_x000D_
#comment:0_x000D_
#events:2_x000D_
#kids:1_x000D_
lived:ENYORKSHAREWOO,ENYORKSKIRKTON_x000D_
issue:_x000D_
.recs:Birth,Marriage,Death_x000D_
.imm?:no_x000D_
..Spo:WILLIAM GASCOIGNE</t>
        </r>
      </text>
    </comment>
    <comment ref="S5108" authorId="0" shapeId="0" xr:uid="{842B462E-3A06-4180-9C92-914095F6AABB}">
      <text>
        <r>
          <rPr>
            <sz val="9"/>
            <color indexed="81"/>
            <rFont val="Tahoma"/>
            <family val="2"/>
          </rPr>
          <t>ALICE GASCOIGNE_x000D_
http://yeinfo.com/family/I09065778.html_x000D_
https://www.google.com/search?q=ALICE+GASCOIGNE+1415+1482+SAVILLE_x000D_
.born: 14151101-          Yorkshire county England_x000D_
.died: 14820703-          Thornhill (Yorkshire) England, age:66y 8m 2d, _x000D_
.bapt: 1785GE_x000D_
.will: 2004MO_x000D_
.obit: 1890OH_x000D_
.bury: 1850IL _x000D_
.wpbt: 1826PA_x000D_
.anc#:double ancestor_x000D_
citiz:foreign_x000D_
#spos:1_x000D_
#srcs:1_x000D_
#comment:0_x000D_
#events:1_x000D_
#kids:1_x000D_
lived:ENYORKSTHORNHI_x000D_
issue:Died after Age 100_x000D_
.recs:Birth,Marriage,Death_x000D_
.imm?:no_x000D_
..Spo:JOHN SAVILLE</t>
        </r>
      </text>
    </comment>
    <comment ref="U5110" authorId="0" shapeId="0" xr:uid="{A6B93D17-6091-44D7-8AC3-CAEA3D328A48}">
      <text>
        <r>
          <rPr>
            <sz val="9"/>
            <color indexed="81"/>
            <rFont val="Tahoma"/>
            <family val="2"/>
          </rPr>
          <t>HENRY WYMAN_x000D_
http://yeinfo.com/family/I09066123.html_x000D_
https://www.google.com/search?q=HENRY+WYMAN+1344+1411+AGNES_x000D_
.born: 1344    -          York (Yorkshire) England_x000D_
.died: 14110705-          York (Yorkshire) England, age:67y 6m 4d, _x000D_
.bapt: 1785GE_x000D_
.will: 2004MO_x000D_
.obit: 1890OH_x000D_
.bury: 1850IL St. Crux Churchyard_x000D_
.wpbt: 1826PA_x000D_
.anc#:double ancestor_x000D_
citiz:foreign_x000D_
#spos:1_x000D_
#srcs:1_x000D_
#comment:0_x000D_
#events:2_x000D_
#kids:1_x000D_
lived:ENYORKSYORK_x000D_
issue:_x000D_
.recs:Birth,Marriage,Death,Interment/Burial_x000D_
.imm?:no_x000D_
..Spo:AGNES BARDEN</t>
        </r>
      </text>
    </comment>
    <comment ref="T5112" authorId="0" shapeId="0" xr:uid="{3472C1C8-8281-42A0-8A34-BA06E7505420}">
      <text>
        <r>
          <rPr>
            <sz val="9"/>
            <color indexed="81"/>
            <rFont val="Tahoma"/>
            <family val="2"/>
          </rPr>
          <t>JOAN WYMAN_x000D_
http://yeinfo.com/family/I09065952.html_x000D_
https://www.google.com/search?q=JOAN+WYMAN+1370+1432+GASCOIGNE_x000D_
.born: 13700701-          Harewood (Yorkshire) England_x000D_
.died: 1432    -          Harewood (Yorkshire) England, age:61y 6m 0d, _x000D_
.bapt: 1785GE_x000D_
.will: 2004MO_x000D_
.obit: 1890OH_x000D_
.bury: 1850IL _x000D_
.wpbt: 1826PA_x000D_
.anc#:double ancestor_x000D_
citiz:foreign_x000D_
#spos:1_x000D_
#srcs:1_x000D_
#comment:0_x000D_
#events:1_x000D_
#kids:1_x000D_
lived:ENYORKSHAREWOO_x000D_
issue:_x000D_
.recs:Birth,Marriage,Death_x000D_
.imm?:no_x000D_
..Spo:WILLIAM GASCOIGNE</t>
        </r>
      </text>
    </comment>
    <comment ref="U5114" authorId="0" shapeId="0" xr:uid="{46CCB1C8-96C2-4F75-A356-AA3F79058656}">
      <text>
        <r>
          <rPr>
            <sz val="9"/>
            <color indexed="81"/>
            <rFont val="Tahoma"/>
            <family val="2"/>
          </rPr>
          <t>AGNES BARDEN_x000D_
http://yeinfo.com/family/I09066079.html_x000D_
https://www.google.com/search?q=AGNES+BARDEN+1346+1403+WYMAN_x000D_
.born:c1346    -          Yorkshire county England_x000D_
.died: 14030922-          Yorkshire county England, age:57y 8m 21d, _x000D_
.bapt: 1785GE_x000D_
.will: 2004MO_x000D_
.obit: 1890OH_x000D_
.bury: 1850IL St. Crux Churchyard_x000D_
.wpbt: 1826PA_x000D_
.anc#:double ancestor_x000D_
citiz:foreign_x000D_
#spos:1_x000D_
#srcs:1_x000D_
#comment:0_x000D_
#events:2_x000D_
#kids:1_x000D_
lived:ENYORKS_x000D_
issue:_x000D_
.recs:Birth,Marriage,Death,Interment/Burial_x000D_
.imm?:no_x000D_
..Spo:HENRY WYMAN</t>
        </r>
      </text>
    </comment>
    <comment ref="Q5116" authorId="0" shapeId="0" xr:uid="{D259C97B-940E-46BB-B997-A0190DBD6DF4}">
      <text>
        <r>
          <rPr>
            <sz val="9"/>
            <color indexed="81"/>
            <rFont val="Tahoma"/>
            <family val="2"/>
          </rPr>
          <t>AGNES SAVILLE_x000D_
http://yeinfo.com/family/I09045379.html_x000D_
https://www.google.com/search?q=AGNES+SAVILLE+1478+1554+HORSFAL_x000D_
.born: 1478    -          Elland (Yorkshire) England_x000D_
.died: 1554    -          Bishops Stortford (Yorkshire) England, age:76y 0m 0d, _x000D_
.bapt: 1785GE_x000D_
.will: 2004MO_x000D_
.obit: 1890OH_x000D_
.bury: 1850IL _x000D_
.wpbt: 1826PA_x000D_
.anc#:double ancestor_x000D_
citiz:foreign_x000D_
#spos:1_x000D_
#srcs:1_x000D_
#comment:0_x000D_
#events:1_x000D_
#kids:1_x000D_
lived:ENYORKSBISHOST,ENYORKSELLAND_x000D_
issue:Born after Parent Died,Died after Age 100_x000D_
.recs:Birth,Marriage,Death_x000D_
.imm?:no_x000D_
..Spo:WILLIAM JOHN HORSFAL</t>
        </r>
      </text>
    </comment>
    <comment ref="U5118" authorId="0" shapeId="0" xr:uid="{6C2E671B-92E4-4318-BCDB-973156B3C6A7}">
      <text>
        <r>
          <rPr>
            <sz val="9"/>
            <color indexed="81"/>
            <rFont val="Tahoma"/>
            <family val="2"/>
          </rPr>
          <t>THOMAS STANDISFIELD_x000D_
http://yeinfo.com/family/I09066114.html_x000D_
https://www.google.com/search?q=THOMAS+STANDISFIELD+1350+1380+BARBARA_x000D_
.born:c1350    -          Stansfield (Yorkshire) England_x000D_
.died: 1380    -1440      Stansfield (Yorkshire) England, age:30y 0m 0d, _x000D_
.bapt: 1785GE_x000D_
.will: 2004MO_x000D_
.obit: 1890OH_x000D_
.bury: 1850IL _x000D_
.wpbt: 1826PA_x000D_
.anc#:double ancestor_x000D_
citiz:foreign_x000D_
#spos:1_x000D_
#srcs:1_x000D_
#comment:0_x000D_
#events:1_x000D_
#kids:1_x000D_
lived:ENYORKSSTANSFI_x000D_
issue:_x000D_
.recs:Birth,Marriage,Death_x000D_
.imm?:no_x000D_
..Spo:BARBARA LASCELLES</t>
        </r>
      </text>
    </comment>
    <comment ref="T5120" authorId="0" shapeId="0" xr:uid="{73332AF5-7F3A-4433-AF5A-2CF9C0035E1A}">
      <text>
        <r>
          <rPr>
            <sz val="9"/>
            <color indexed="81"/>
            <rFont val="Tahoma"/>
            <family val="2"/>
          </rPr>
          <t>JOHN STANDISFIELD_x000D_
http://yeinfo.com/family/I09065945.html_x000D_
https://www.google.com/search?q=JOHN+STANDISFIELD+1380+1457+MARY_x000D_
.born: 1380    -          Halifax (Yorkshire) England_x000D_
.died: 1457    -          Stansfield (Yorkshire) England, age:77y 0m 0d, _x000D_
.bapt: 1785GE_x000D_
.will: 2004MO_x000D_
.obit: 1890OH_x000D_
.bury: 1850IL _x000D_
.wpbt: 1826PA_x000D_
.anc#:double ancestor_x000D_
citiz:foreign_x000D_
#spos:1_x000D_
#srcs:1_x000D_
#comment:0_x000D_
#events:1_x000D_
#kids:1_x000D_
lived:ENYORKSHALIFAX,ENYORKSSTANSFI_x000D_
issue:_x000D_
.recs:Birth,Marriage,Death_x000D_
.imm?:no_x000D_
..Spo:MARY FLEMING</t>
        </r>
      </text>
    </comment>
    <comment ref="W5122" authorId="0" shapeId="0" xr:uid="{60B3F6AF-89A4-4B02-9CAA-102B3A3D079B}">
      <text>
        <r>
          <rPr>
            <sz val="9"/>
            <color indexed="81"/>
            <rFont val="Tahoma"/>
            <family val="2"/>
          </rPr>
          <t>RANULPH RALPH LASCELLES_x000D_
http://yeinfo.com/family/I09066470.html_x000D_
https://www.google.com/search?q=RANULPH+RALPH+LASCELLES+1300+1343+ISABEL_x000D_
.born: 1300    -          Spennithorne (Yorkshire) England_x000D_
.died: 1343    -          Spennithorne (Yorkshire) England, age:43y 0m 0d, _x000D_
.bapt: 1785GE_x000D_
.will: 2004MO_x000D_
.obit: 1890OH_x000D_
.bury: 1850IL Richmondshire district_x000D_
.wpbt: 1826PA_x000D_
.anc#:double ancestor_x000D_
citiz:foreign_x000D_
#spos:1_x000D_
#srcs:1_x000D_
#comment:1_x000D_
#events:2_x000D_
#kids:1_x000D_
lived:ENYORKSSPENNIT_x000D_
issue:_x000D_
.recs:Birth,Marriage,Death,Interment/Burial_x000D_
.imm?:no_x000D_
..Spo:ISABEL FITZRALPH</t>
        </r>
      </text>
    </comment>
    <comment ref="V5124" authorId="0" shapeId="0" xr:uid="{38927DDC-D17D-4397-8F2D-E3535B3C4A72}">
      <text>
        <r>
          <rPr>
            <sz val="9"/>
            <color indexed="81"/>
            <rFont val="Tahoma"/>
            <family val="2"/>
          </rPr>
          <t>JOHN LASCELLES_x000D_
http://yeinfo.com/family/I09066298.html_x000D_
https://www.google.com/search?q=JOHN+LASCELLES+1330+1352+{_?_}_x000D_
.born:?1330    -         ?England_x000D_
.died: 1352    -1420     ?England, age:22y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..Spo:{_?_} LASCELLES</t>
        </r>
      </text>
    </comment>
    <comment ref="W5126" authorId="0" shapeId="0" xr:uid="{FB22C6DB-7A82-4FA0-9879-6CE1D8156238}">
      <text>
        <r>
          <rPr>
            <sz val="9"/>
            <color indexed="81"/>
            <rFont val="Tahoma"/>
            <family val="2"/>
          </rPr>
          <t>ISABEL FITZRALPH_x000D_
http://yeinfo.com/family/I09066454.html_x000D_
https://www.google.com/search?q=ISABEL+FITZRALPH+1304+1388+LASCELLES_x000D_
.born: 13040306-         ?Ellerton Abbey (Yorkshire) England_x000D_
.died: 1388    -          Spennithorne (Yorkshire) England, age:83y 9m 26d, _x000D_
.bapt: 1785GE_x000D_
.will: 2004MO_x000D_
.obit: 1890OH_x000D_
.bury: 1850IL _x000D_
.wpbt: 1826PA_x000D_
.anc#:double ancestor_x000D_
citiz:foreign_x000D_
#spos:1_x000D_
#srcs:1_x000D_
#comment:0_x000D_
#events:1_x000D_
#kids:1_x000D_
lived:?ENYORKSELLEABB,ENYORKSSPENNIT_x000D_
issue:_x000D_
.recs:Birth,Marriage,Death_x000D_
.imm?:no_x000D_
..Spo:RANULPH RALPH LASCELLES</t>
        </r>
      </text>
    </comment>
    <comment ref="U5128" authorId="0" shapeId="0" xr:uid="{3592DB42-C294-4F8D-9DBD-EEDFB9C21D0B}">
      <text>
        <r>
          <rPr>
            <sz val="9"/>
            <color indexed="81"/>
            <rFont val="Tahoma"/>
            <family val="2"/>
          </rPr>
          <t>BARBARA LASCELLES_x000D_
http://yeinfo.com/family/I09066100.html_x000D_
https://www.google.com/search?q=BARBARA+LASCELLES+1352+1380+STANDISFIELD_x000D_
.born: 1352    -          Yorkshire county England_x000D_
.died: 1380    -1442      Stansfield (Yorkshire) England, age:28y 0m 0d, _x000D_
.bapt: 1785GE_x000D_
.will: 2004MO_x000D_
.obit: 1890OH_x000D_
.bury: 1850IL _x000D_
.wpbt: 1826PA_x000D_
.anc#:double ancestor_x000D_
citiz:foreign_x000D_
#spos:1_x000D_
#srcs:1_x000D_
#comment:0_x000D_
#events:1_x000D_
#kids:1_x000D_
lived:ENYORKSSTANSFI_x000D_
issue:_x000D_
.recs:Birth,Marriage,Death_x000D_
.imm?:no_x000D_
..Spo:THOMAS STANDISFIELD</t>
        </r>
      </text>
    </comment>
    <comment ref="V5130" authorId="0" shapeId="0" xr:uid="{F7CEE11C-F391-4D43-98D2-7CD1E5764AE0}">
      <text>
        <r>
          <rPr>
            <sz val="9"/>
            <color indexed="81"/>
            <rFont val="Tahoma"/>
            <family val="2"/>
          </rPr>
          <t>Mrs. {_?_} LASCELLES_x000D_
http://yeinfo.com/family/I09066297.html_x000D_
https://www.google.com/search?q={_?_}+LASCELLES+1330+1352+LASCELLES_x000D_
.born:?1330    -         ?England_x000D_
.died: 1352    -1420     ?England, age:22y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..Spo:JOHN LASCELLES</t>
        </r>
      </text>
    </comment>
    <comment ref="S5132" authorId="0" shapeId="0" xr:uid="{018DAFC5-CB4B-4AFA-8803-1C92E715BEC3}">
      <text>
        <r>
          <rPr>
            <sz val="9"/>
            <color indexed="81"/>
            <rFont val="Tahoma"/>
            <family val="2"/>
          </rPr>
          <t>THOMAS STANDISFIELD_x000D_
http://yeinfo.com/family/I09065800.html_x000D_
https://www.google.com/search?q=THOMAS+STANDISFIELD+1400+1450+ALICE_x000D_
.born:?1400    -         ?Yorkshire county England_x000D_
.died: 1450    -1490     ?England, age:50y 0m 0d, _x000D_
.bapt: 1785GE_x000D_
.will: 2004MO_x000D_
.obit: 1890OH_x000D_
.bury: 1850IL _x000D_
.wpbt: 1826PA_x000D_
.anc#:double ancestor_x000D_
citiz:foreign_x000D_
#spos:1_x000D_
#srcs:1_x000D_
#comment:0_x000D_
#events:1_x000D_
#kids:1_x000D_
lived:?ENYORKS_x000D_
issue:Born before Parents Married_x000D_
.recs:Birth,Marriage,Death_x000D_
.imm?:no_x000D_
..Spo:ALICE SAVILLE</t>
        </r>
      </text>
    </comment>
    <comment ref="W5134" authorId="0" shapeId="0" xr:uid="{EA932855-914C-4EC8-A625-892476CE1143}">
      <text>
        <r>
          <rPr>
            <sz val="9"/>
            <color indexed="81"/>
            <rFont val="Tahoma"/>
            <family val="2"/>
          </rPr>
          <t>THOMAS FLEMING_x000D_
http://yeinfo.com/family/I09066457.html_x000D_
https://www.google.com/search?q=THOMAS+FLEMING+1300+1360+{_?_}_x000D_
.born:c1300    -          Wath upon Dearne (Yorkshire) England_x000D_
.died: 1360    -          Wath upon Dearne (Yorkshire) England, age:60y 0m 0d, _x000D_
.bapt: 1785GE_x000D_
.will: 2004MO_x000D_
.obit: 1890OH_x000D_
.bury: 1850IL _x000D_
.wpbt: 1826PA_x000D_
.anc#:double ancestor_x000D_
citiz:foreign_x000D_
#spos:1_x000D_
#srcs:1_x000D_
#comment:1_x000D_
#events:1_x000D_
#kids:1_x000D_
lived:ENYORKSWATH UP_x000D_
issue:_x000D_
.recs:Birth,Marriage,Death_x000D_
.imm?:no_x000D_
..Spo:{_?_} FLEMING</t>
        </r>
      </text>
    </comment>
    <comment ref="V5136" authorId="0" shapeId="0" xr:uid="{7BD49E9A-C0BC-4D5D-A248-0CD9BC09609C}">
      <text>
        <r>
          <rPr>
            <sz val="9"/>
            <color indexed="81"/>
            <rFont val="Tahoma"/>
            <family val="2"/>
          </rPr>
          <t>THOMAS FLEMING II_x000D_
http://yeinfo.com/family/I09066288.html_x000D_
https://www.google.com/search?q=THOMAS+FLEMING+1332+1412+{_?_}_x000D_
.born:c1332    -          Wath upon Dearne (Yorkshire) England_x000D_
.died:c1412    -          Croston (Lancashire) England, age:80y 0m 0d, _x000D_
.bapt: 1785GE_x000D_
.will: 2004MO_x000D_
.obit: 1890OH_x000D_
.bury: 1850IL _x000D_
.wpbt: 1826PA_x000D_
.anc#:double ancestor_x000D_
citiz:foreign_x000D_
#spos:1_x000D_
#srcs:1_x000D_
#comment:0_x000D_
#events:1_x000D_
#kids:1_x000D_
lived:ENLANCSCROSTON,ENYORKSWATH UP_x000D_
issue:_x000D_
.recs:Birth,Marriage,Death_x000D_
.imm?:no_x000D_
..Spo:{_?_} FLEMING</t>
        </r>
      </text>
    </comment>
    <comment ref="W5138" authorId="0" shapeId="0" xr:uid="{81E32636-80FC-48DA-AA6D-DAC7A90C9BE6}">
      <text>
        <r>
          <rPr>
            <sz val="9"/>
            <color indexed="81"/>
            <rFont val="Tahoma"/>
            <family val="2"/>
          </rPr>
          <t>Mrs. {_?_} FLEMING_x000D_
http://yeinfo.com/family/I09066456.html_x000D_
https://www.google.com/search?q={_?_}+FLEMING+1300+1332+FLEMING_x000D_
.born:?1300    -         ?Yorkshire county England_x000D_
.died: 1332    -1390     ?England, age:32y 0m 0d, _x000D_
.bapt: 1785GE_x000D_
.will: 2004MO_x000D_
.obit: 1890OH_x000D_
.bury: 1850IL _x000D_
.wpbt: 1826PA_x000D_
.anc#:double ancestor_x000D_
citiz:foreign_x000D_
#spos:1_x000D_
#srcs:1_x000D_
#comment:0_x000D_
#events:1_x000D_
#kids:1_x000D_
lived:?ENYORKS,EN_x000D_
issue:_x000D_
.recs:Birth,Marriage,Death_x000D_
.imm?:no_x000D_
..Spo:THOMAS FLEMING</t>
        </r>
      </text>
    </comment>
    <comment ref="U5140" authorId="0" shapeId="0" xr:uid="{4F6C0D31-2BE1-4250-BCB3-018D46672D94}">
      <text>
        <r>
          <rPr>
            <sz val="9"/>
            <color indexed="81"/>
            <rFont val="Tahoma"/>
            <family val="2"/>
          </rPr>
          <t>JOHN FLEMING_x000D_
http://yeinfo.com/family/I09066088.html_x000D_
https://www.google.com/search?q=JOHN+FLEMING+1358+1432+ALICE_x000D_
.born:c1358    -          Croston (Lancashire) England_x000D_
.died: 1432    -          Croston (Lancashire) England, age:74y 0m 0d, _x000D_
.bapt: 1785GE_x000D_
.will: 2004MO_x000D_
.obit: 1890OH_x000D_
.bury: 1850IL _x000D_
.wpbt: 1826PA_x000D_
.anc#:double ancestor_x000D_
citiz:foreign_x000D_
#spos:1_x000D_
#srcs:1_x000D_
#comment:0_x000D_
#events:1_x000D_
#kids:1_x000D_
lived:ENLANCSCROSTON_x000D_
issue:_x000D_
.recs:Birth,Marriage,Death_x000D_
.imm?:no_x000D_
..Spo:ALICE LEA</t>
        </r>
      </text>
    </comment>
    <comment ref="V5142" authorId="0" shapeId="0" xr:uid="{C0CE8330-FFCB-4347-B4F3-EE8001B40DAA}">
      <text>
        <r>
          <rPr>
            <sz val="9"/>
            <color indexed="81"/>
            <rFont val="Tahoma"/>
            <family val="2"/>
          </rPr>
          <t>Mrs. {_?_} FLEMING_x000D_
http://yeinfo.com/family/I09066287.html_x000D_
https://www.google.com/search?q={_?_}+FLEMING+1335+1358+FLEMING_x000D_
.born:?1335    -         ?Yorkshire county England_x000D_
.died: 1358    -1425     ?England, age:23y 0m 0d, _x000D_
.bapt: 1785GE_x000D_
.will: 2004MO_x000D_
.obit: 1890OH_x000D_
.bury: 1850IL _x000D_
.wpbt: 1826PA_x000D_
.anc#:double ancestor_x000D_
citiz:foreign_x000D_
#spos:1_x000D_
#srcs:1_x000D_
#comment:0_x000D_
#events:1_x000D_
#kids:1_x000D_
lived:?ENYORKS,EN_x000D_
issue:_x000D_
.recs:Birth,Marriage,Death_x000D_
.imm?:no_x000D_
..Spo:THOMAS FLEMING</t>
        </r>
      </text>
    </comment>
    <comment ref="T5144" authorId="0" shapeId="0" xr:uid="{3AF7FCCB-205A-4A05-B653-97880DF3EAEE}">
      <text>
        <r>
          <rPr>
            <sz val="9"/>
            <color indexed="81"/>
            <rFont val="Tahoma"/>
            <family val="2"/>
          </rPr>
          <t>MARY FLEMING_x000D_
http://yeinfo.com/family/I09065924.html_x000D_
https://www.google.com/search?q=MARY+FLEMING+1382+1482+STANDISFIELD_x000D_
.born: 1382    -          Yorkshire county England_x000D_
.died: 1482    -          Stansfield (Yorkshire) England, age:100y 0m 0d, _x000D_
.bapt: 1785GE_x000D_
.will: 2004MO_x000D_
.obit: 1890OH_x000D_
.bury: 1850IL _x000D_
.wpbt: 1826PA_x000D_
.anc#:double ancestor_x000D_
citiz:foreign_x000D_
#spos:1_x000D_
#srcs:1_x000D_
#comment:0_x000D_
#events:1_x000D_
#kids:1_x000D_
lived:ENYORKSSTANSFI_x000D_
issue:_x000D_
.recs:Birth,Marriage,Death_x000D_
.imm?:no_x000D_
..Spo:JOHN STANDISFIELD</t>
        </r>
      </text>
    </comment>
    <comment ref="U5146" authorId="0" shapeId="0" xr:uid="{0BDF2878-9244-4867-94BA-B1B53C5D9D3F}">
      <text>
        <r>
          <rPr>
            <sz val="9"/>
            <color indexed="81"/>
            <rFont val="Tahoma"/>
            <family val="2"/>
          </rPr>
          <t>ALICE LEA_x000D_
http://yeinfo.com/family/I09066101.html_x000D_
https://www.google.com/search?q=ALICE+LEA+1362+1382+FLEMING_x000D_
.born: 1362    -          Crosstone (Yorkshire) England_x000D_
.died: 1382    -1452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lived:?ENLANCS,ENYORKSCROSSTO_x000D_
issue:_x000D_
.recs:Birth,Marriage,Death_x000D_
.imm?:no_x000D_
..Spo:JOHN FLEMING</t>
        </r>
      </text>
    </comment>
    <comment ref="R5148" authorId="0" shapeId="0" xr:uid="{67A8E2C8-AF94-4782-9F2D-D12689D1D3AC}">
      <text>
        <r>
          <rPr>
            <sz val="9"/>
            <color indexed="81"/>
            <rFont val="Tahoma"/>
            <family val="2"/>
          </rPr>
          <t>ANN STANDISFIELD_x000D_
http://yeinfo.com/family/I09065670.html_x000D_
https://www.google.com/search?q=ANN+STANDISFIELD+1450+1470+SAVILLE_x000D_
.born:c1450    -         ?England_x000D_
.died: 1470    -1540     ?Yorkshire county England, age:20y 0m 0d, _x000D_
.bapt: 1785GE_x000D_
.will: 2004MO_x000D_
.obit: 1890OH_x000D_
.bury: 1850IL St.Mary Magdalen_x000D_
.wpbt: 1826PA_x000D_
.anc#:double ancestor_x000D_
citiz:foreign_x000D_
#spos:1_x000D_
#srcs:1_x000D_
#comment:0_x000D_
#events:2_x000D_
#kids:1_x000D_
lived:?EN,ENYORKSRICHMON_x000D_
issue:Died after Age 100_x000D_
.recs:Birth,Marriage,Death,Interment/Burial_x000D_
.imm?:no_x000D_
..Spo:NICHOLAS SAVILLE</t>
        </r>
      </text>
    </comment>
    <comment ref="V5150" authorId="0" shapeId="0" xr:uid="{8E82AF27-A569-4C37-A10E-A81DEBF18A89}">
      <text>
        <r>
          <rPr>
            <sz val="9"/>
            <color indexed="81"/>
            <rFont val="Tahoma"/>
            <family val="2"/>
          </rPr>
          <t>HENRY SAVILLE_x000D_
http://yeinfo.com/family/I09066315.html_x000D_
https://www.google.com/search?q=HENRY+SAVILLE+1341+1365+ELLEN_x000D_
.born:?1341    -         ?England_x000D_
.died: 1365    -1431     ?England, age:24y 0m 0d, _x000D_
.bapt: 1785GE_x000D_
.will: 2004MO_x000D_
.obit: 1890OH_x000D_
.bury: 1850IL _x000D_
.wpbt: 1826PA_x000D_
.anc#:double ancestor_x000D_
citiz:foreign_x000D_
#spos:1_x000D_
#srcs:1_x000D_
#comment:0_x000D_
#events:1_x000D_
#kids:1_x000D_
lived:?EN,ENYORKS_x000D_
issue:_x000D_
.recs:Birth,Marriage,Death_x000D_
.imm?:no_x000D_
..Spo:ELLEN COPLEY</t>
        </r>
      </text>
    </comment>
    <comment ref="U5152" authorId="0" shapeId="0" xr:uid="{3D570ED4-A861-4F00-A8E8-FC049038066B}">
      <text>
        <r>
          <rPr>
            <sz val="9"/>
            <color indexed="81"/>
            <rFont val="Tahoma"/>
            <family val="2"/>
          </rPr>
          <t>HENRY SAVILLE_x000D_
http://yeinfo.com/family/I09066124.html_x000D_
https://www.google.com/search?q=HENRY+SAVILLE+1365+1390+HELEN_x000D_
.born:c1365    -         ?England_x000D_
.died: 1390    -1455     ?England, age:25y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..Spo:HELEN COPLEY</t>
        </r>
      </text>
    </comment>
    <comment ref="V5154" authorId="0" shapeId="0" xr:uid="{C6FEFA36-882C-4377-9627-EE8C9FF0864A}">
      <text>
        <r>
          <rPr>
            <sz val="9"/>
            <color indexed="81"/>
            <rFont val="Tahoma"/>
            <family val="2"/>
          </rPr>
          <t>ELLEN COPLEY_x000D_
http://yeinfo.com/family/I09066316.html_x000D_
https://www.google.com/search?q=ELLEN+COPLEY+1347+1367+SAVILLE_x000D_
.born:?1347    -          Yorkshire county England_x000D_
.died: 1367    -1437      Dewsbury (Yorkshire) England, age:20y 0m 0d, _x000D_
.bapt: 1785GE_x000D_
.will: 2004MO_x000D_
.obit: 1890OH_x000D_
.bury: 1850IL _x000D_
.wpbt: 1826PA_x000D_
.anc#:double ancestor_x000D_
citiz:foreign_x000D_
#spos:1_x000D_
#srcs:1_x000D_
#comment:0_x000D_
#events:1_x000D_
#kids:1_x000D_
lived:ENYORKSDEWSBUR_x000D_
issue:_x000D_
.recs:Birth,Marriage,Death_x000D_
.imm?:no_x000D_
..Spo:HENRY SAVILLE</t>
        </r>
      </text>
    </comment>
    <comment ref="T5156" authorId="0" shapeId="0" xr:uid="{11CF4F50-9CB7-403B-8AFA-40CD77330EDE}">
      <text>
        <r>
          <rPr>
            <sz val="9"/>
            <color indexed="81"/>
            <rFont val="Tahoma"/>
            <family val="2"/>
          </rPr>
          <t>JOHN SAVILLE IV_x000D_
http://yeinfo.com/family/I09065954.html_x000D_
https://www.google.com/search?q=JOHN+SAVILLE+1390+1459+MAUD_x000D_
.born:c1390    -          Yorkshire county England_x000D_
.died: 14590420-          Yorkshire county England, age:69y 3m 19d, _x000D_
.bapt: 1785GE_x000D_
.will: 2004MO_x000D_
.obit: 1890OH_x000D_
.bury: 1850IL _x000D_
.wpbt: 1826PA_x000D_
.anc#:double ancestor_x000D_
citiz:foreign_x000D_
#spos:1_x000D_
#srcs:1_x000D_
#comment:0_x000D_
#events:1_x000D_
#kids:1_x000D_
lived:ENYORKS_x000D_
issue:Died after Age 100_x000D_
.recs:Birth,Marriage,Death_x000D_
.imm?:no_x000D_
..Spo:MAUD TRAFFORD</t>
        </r>
      </text>
    </comment>
    <comment ref="U5158" authorId="0" shapeId="0" xr:uid="{57B25731-EBD3-4F89-B1F0-788C81B42FC2}">
      <text>
        <r>
          <rPr>
            <sz val="9"/>
            <color indexed="81"/>
            <rFont val="Tahoma"/>
            <family val="2"/>
          </rPr>
          <t>HELEN COPLEY_x000D_
http://yeinfo.com/family/I09066125.html_x000D_
https://www.google.com/search?q=HELEN+COPLEY+1370+1390+SAVILLE_x000D_
.born:?1370    -         ?England_x000D_
.died: 1390    -1460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..Spo:HENRY SAVILLE</t>
        </r>
      </text>
    </comment>
    <comment ref="S5160" authorId="0" shapeId="0" xr:uid="{9C2C97B9-648B-4A16-8E89-2306AEF81B0D}">
      <text>
        <r>
          <rPr>
            <sz val="9"/>
            <color indexed="81"/>
            <rFont val="Tahoma"/>
            <family val="2"/>
          </rPr>
          <t>ALICE SAVILLE_x000D_
http://yeinfo.com/family/I09065804.html_x000D_
https://www.google.com/search?q=ALICE+SAVILLE+1405+1451+STANDISFIELD_x000D_
.born:c1405    -          Thornhill (Yorkshire) England_x000D_
.died: 14511217-          Suffolk county England, age:46y 11m 16d, _x000D_
.bapt: 1785GE_x000D_
.will: 2004MO_x000D_
.obit: 1890OH_x000D_
.bury: 1850IL _x000D_
.wpbt: 1826PA_x000D_
.anc#:double ancestor_x000D_
citiz:foreign_x000D_
#spos:1_x000D_
#srcs:1_x000D_
#comment:0_x000D_
#events:1_x000D_
#kids:1_x000D_
lived:ENSUFFO,ENYORKSTHORNHI_x000D_
issue:_x000D_
.recs:Birth,Marriage,Death_x000D_
.imm?:no_x000D_
..Spo:THOMAS STANDISFIELD</t>
        </r>
      </text>
    </comment>
    <comment ref="X5162" authorId="0" shapeId="0" xr:uid="{B7F36B69-51C3-4E4F-AD74-2DAA36E82C27}">
      <text>
        <r>
          <rPr>
            <sz val="9"/>
            <color indexed="81"/>
            <rFont val="Tahoma"/>
            <family val="2"/>
          </rPr>
          <t>HENRY TRAFFORD_x000D_
http://yeinfo.com/family/I09066981.html_x000D_
https://www.google.com/search?q=HENRY+TRAFFORD+1225+1264+MARGARET_x000D_
.born:?1225    -          Lancashire county England_x000D_
.died:?1264    -1310      Lancashire county England, age:39y 0m 0d, _x000D_
.bapt: 1785GE_x000D_
.will: 2004MO_x000D_
.obit: 1890OH_x000D_
.bury: 1850IL _x000D_
.wpbt: 1826PA_x000D_
.anc#:  nontuple ancestor_x000D_
citiz:foreign_x000D_
#spos:1_x000D_
#srcs:1_x000D_
#comment:1_x000D_
#events:1_x000D_
#kids:1_x000D_
lived:ENLANCS_x000D_
issue:_x000D_
.recs:Birth,Marriage,Death_x000D_
.imm?:no_x000D_
..Spo:MARGARET TRAFFORD</t>
        </r>
      </text>
    </comment>
    <comment ref="W5164" authorId="0" shapeId="0" xr:uid="{C60FAF37-2153-47C4-B183-B47A703D0FAC}">
      <text>
        <r>
          <rPr>
            <sz val="9"/>
            <color indexed="81"/>
            <rFont val="Tahoma"/>
            <family val="2"/>
          </rPr>
          <t>JOHN TRAFFORD_x000D_
http://yeinfo.com/family/I09066434.html_x000D_
https://www.google.com/search?q=JOHN+TRAFFORD+1264+1340+ELIZABETH_x000D_
.born: 1264    -          Lancashire county England_x000D_
.died: 1340    -1350      Lancashire county England, age:76y 0m 0d, _x000D_
.bapt: 1785GE_x000D_
.will: 2004MO_x000D_
.obit: 1890OH_x000D_
.bury: 1850IL _x000D_
.wpbt: 1826PA_x000D_
.anc#:  nontuple ancestor_x000D_
citiz:foreign_x000D_
#spos:1_x000D_
#srcs:7_x000D_
#comment:1_x000D_
#events:1_x000D_
#kids:2_x000D_
lived:ENLANCS_x000D_
issue:_x000D_
.recs:Birth,Marriage,Death_x000D_
.imm?:no_x000D_
..Spo:ELIZABETH ASHTON</t>
        </r>
      </text>
    </comment>
    <comment ref="X5166" authorId="0" shapeId="0" xr:uid="{314FF9A7-F5CF-4E0E-90F9-348BE36B19EE}">
      <text>
        <r>
          <rPr>
            <sz val="9"/>
            <color indexed="81"/>
            <rFont val="Tahoma"/>
            <family val="2"/>
          </rPr>
          <t>Mrs. MARGARET TRAFFORD_x000D_
http://yeinfo.com/family/I09066980.html_x000D_
https://www.google.com/search?q=MARGARET+TRAFFORD+1236+1334+TRAFFORD_x000D_
.born: 1236    -          Lancashire county England_x000D_
.died: 1334    -          Lancashire county England, age:98y 0m 0d, _x000D_
.bapt: 1785GE_x000D_
.will: 2004MO_x000D_
.obit: 1890OH_x000D_
.bury: 1850IL _x000D_
.wpbt: 1826PA_x000D_
.anc#:  nontuple ancestor_x000D_
citiz:foreign_x000D_
#spos:1_x000D_
#srcs:1_x000D_
#comment:0_x000D_
#events:1_x000D_
#kids:1_x000D_
lived:ENLANCS_x000D_
issue:_x000D_
.recs:Birth,Marriage,Death_x000D_
.imm?:no_x000D_
..Spo:HENRY TRAFFORD</t>
        </r>
      </text>
    </comment>
    <comment ref="V5168" authorId="0" shapeId="0" xr:uid="{568C8D1D-E4AA-4839-9882-4CB79E9820EF}">
      <text>
        <r>
          <rPr>
            <sz val="9"/>
            <color indexed="81"/>
            <rFont val="Tahoma"/>
            <family val="2"/>
          </rPr>
          <t>HENRY TRAFFORD_x000D_
http://yeinfo.com/family/I09066317.html_x000D_
https://www.google.com/search?q=HENRY+TRAFFORD+1292+1370+AGNES_x000D_
.born: 1292    -          Lancashire county England_x000D_
.died: 1370    -          Lancashire county England, age:78y 0m 0d, _x000D_
.bapt: 1785GE_x000D_
.will: 2004MO_x000D_
.obit: 1890OH_x000D_
.bury: 1850IL _x000D_
.wpbt: 1826PA_x000D_
.anc#:  nontuple ancestor_x000D_
citiz:foreign_x000D_
#spos:1_x000D_
#srcs:1_x000D_
#comment:0_x000D_
#events:1_x000D_
#kids:3_x000D_
lived:ENLANCS_x000D_
issue:_x000D_
.recs:Birth,Marriage,Death_x000D_
.imm?:no_x000D_
..Spo:AGNES DOTERINDE</t>
        </r>
      </text>
    </comment>
    <comment ref="W5170" authorId="0" shapeId="0" xr:uid="{DC47822D-3C36-4E40-A564-4CCE2E672DBD}">
      <text>
        <r>
          <rPr>
            <sz val="9"/>
            <color indexed="81"/>
            <rFont val="Tahoma"/>
            <family val="2"/>
          </rPr>
          <t>ELIZABETH ASHTON_x000D_
http://yeinfo.com/family/I09066433.html_x000D_
https://www.google.com/search?q=ELIZABETH+ASHTON+1268+1340+TRAFFORD_x000D_
.born: 1268    -          Lancashire county England_x000D_
.died: 1340    -1350      Lancashire county England, age:72y 0m 0d, _x000D_
.bapt: 1785GE_x000D_
.will: 2004MO_x000D_
.obit: 1890OH_x000D_
.bury: 1850IL _x000D_
.wpbt: 1826PA_x000D_
.anc#:  nontuple ancestor_x000D_
citiz:foreign_x000D_
#spos:1_x000D_
#srcs:1_x000D_
#comment:1_x000D_
#events:1_x000D_
#kids:2_x000D_
lived:ENLANCS_x000D_
issue:_x000D_
.recs:Birth,Marriage,Death_x000D_
.imm?:no_x000D_
..Spo:JOHN TRAFFORD</t>
        </r>
      </text>
    </comment>
    <comment ref="U5172" authorId="0" shapeId="0" xr:uid="{35A7633D-C663-42B0-B82C-0A18B2CE828B}">
      <text>
        <r>
          <rPr>
            <sz val="9"/>
            <color indexed="81"/>
            <rFont val="Tahoma"/>
            <family val="2"/>
          </rPr>
          <t>THOMAS TRAFFORD_x000D_
http://yeinfo.com/family/I09066126.html_x000D_
https://www.google.com/search?q=THOMAS+TRAFFORD+1336+1410+{_?_}_x000D_
.born: 1336    -          Lancashire county England_x000D_
.died: 1410    -          Lancashire county England, age:74y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..Spo:{_?_} TRAFFORD</t>
        </r>
      </text>
    </comment>
    <comment ref="W5174" authorId="0" shapeId="0" xr:uid="{5DE06E7A-CC8C-4D5D-8B3D-AF5BC87B73E4}">
      <text>
        <r>
          <rPr>
            <sz val="9"/>
            <color indexed="81"/>
            <rFont val="Tahoma"/>
            <family val="2"/>
          </rPr>
          <t>RICHARD DOTERINDE_x000D_
http://yeinfo.com/family/I09066492.html_x000D_
https://www.google.com/search?q=RICHARD+DOTERINDE+1280+1345+{_?_}_x000D_
.born:?1280    -          Norfolk county England_x000D_
.died: 1345    -         ?England, age:65y 0m 0d, _x000D_
.bapt: 1785GE_x000D_
.will: 2004MO_x000D_
.obit: 1890OH_x000D_
.bury: 1850IL _x000D_
.wpbt: 1826PA_x000D_
.anc#:  nontuple ancestor_x000D_
citiz:foreign_x000D_
#spos:1_x000D_
#srcs:1_x000D_
#comment:0_x000D_
#events:1_x000D_
#kids:1_x000D_
lived:ENNORFO_x000D_
issue:_x000D_
.recs:Birth,Marriage,Death_x000D_
.imm?:no_x000D_
..Spo:{_?_} DOTERINDE</t>
        </r>
      </text>
    </comment>
    <comment ref="V5176" authorId="0" shapeId="0" xr:uid="{580F1B9A-64E9-4052-8F95-7DB19015B01B}">
      <text>
        <r>
          <rPr>
            <sz val="9"/>
            <color indexed="81"/>
            <rFont val="Tahoma"/>
            <family val="2"/>
          </rPr>
          <t>AGNES DOTERINDE_x000D_
http://yeinfo.com/family/I09066318.html_x000D_
https://www.google.com/search?q=AGNES+DOTERINDE+1302+1360+TRAFFORD_x000D_
.born: 1302    -          Birch (Lancashire) England_x000D_
.died: 1360    -          Lancashire county England, age:58y 0m 0d, _x000D_
.bapt: 1785GE_x000D_
.will: 2004MO_x000D_
.obit: 1890OH_x000D_
.bury: 1850IL _x000D_
.wpbt: 1826PA_x000D_
.anc#:  nontuple ancestor_x000D_
citiz:foreign_x000D_
#spos:1_x000D_
#srcs:1_x000D_
#comment:0_x000D_
#events:1_x000D_
#kids:3_x000D_
lived:ENLANCSBIRCH_x000D_
issue:_x000D_
.recs:Birth,Marriage,Death_x000D_
.imm?:no_x000D_
..Spo:HENRY TRAFFORD</t>
        </r>
      </text>
    </comment>
    <comment ref="W5178" authorId="0" shapeId="0" xr:uid="{046F5646-42F1-4EDB-A377-6EFDD20FC719}">
      <text>
        <r>
          <rPr>
            <sz val="9"/>
            <color indexed="81"/>
            <rFont val="Tahoma"/>
            <family val="2"/>
          </rPr>
          <t>Mrs. {_?_} DOTERINDE_x000D_
http://yeinfo.com/family/I09066493.html_x000D_
https://www.google.com/search?q={_?_}+DOTERINDE+1280+1302+DOTERINDE_x000D_
.born:?1280    -         ?England_x000D_
.died: 1302    -1370     ?England, age:22y 0m 0d, _x000D_
.bapt: 1785GE_x000D_
.will: 2004MO_x000D_
.obit: 1890OH_x000D_
.bury: 1850IL _x000D_
.wpbt: 1826PA_x000D_
.anc#:  nontuple ancestor_x000D_
citiz:foreign_x000D_
#spos:1_x000D_
#srcs:1_x000D_
#comment:0_x000D_
#events:1_x000D_
#kids:1_x000D_
lived:?EN_x000D_
issue:_x000D_
.recs:Birth,Marriage,Death_x000D_
.imm?:no_x000D_
..Spo:RICHARD DOTERINDE</t>
        </r>
      </text>
    </comment>
    <comment ref="T5180" authorId="0" shapeId="0" xr:uid="{CA07510D-F6EC-459D-8778-09B57D7172C6}">
      <text>
        <r>
          <rPr>
            <sz val="9"/>
            <color indexed="81"/>
            <rFont val="Tahoma"/>
            <family val="2"/>
          </rPr>
          <t>MAUD TRAFFORD_x000D_
http://yeinfo.com/family/I09065953.html_x000D_
https://www.google.com/search?q=MAUD+TRAFFORD+1386+1450+SAVILLE_x000D_
.born: 1386    -          Lancashire county England_x000D_
.died: 1450    -          Lancashire county England, age:64y 0m 0d, _x000D_
.bapt: 1785GE_x000D_
.will: 2004MO_x000D_
.obit: 1890OH_x000D_
.bury: 1850IL _x000D_
.wpbt: 1826PA_x000D_
.anc#:double ancestor_x000D_
citiz:foreign_x000D_
#spos:1_x000D_
#srcs:1_x000D_
#comment:0_x000D_
#events:1_x000D_
#kids:1_x000D_
lived:?ENYORKS,ENLANCS_x000D_
issue:_x000D_
.recs:Birth,Marriage,Death_x000D_
.imm?:no_x000D_
..Spo:JOHN SAVILLE</t>
        </r>
      </text>
    </comment>
    <comment ref="U5182" authorId="0" shapeId="0" xr:uid="{A073DC52-D1F4-4651-8593-A558DE76D6BE}">
      <text>
        <r>
          <rPr>
            <sz val="9"/>
            <color indexed="81"/>
            <rFont val="Tahoma"/>
            <family val="2"/>
          </rPr>
          <t>Mrs. {_?_} TRAFFORD_x000D_
http://yeinfo.com/family/I09066127.html_x000D_
https://www.google.com/search?q={_?_}+TRAFFORD+1340+1386+TRAFFORD_x000D_
.born:?1340    -         ?England_x000D_
.died: 1386    -1430     ?England, age:46y 0m 0d, _x000D_
.bapt: 1785GE_x000D_
.will: 2004MO_x000D_
.obit: 1890OH_x000D_
.bury: 1850IL _x000D_
.wpbt: 1826PA_x000D_
.anc#:double ancestor_x000D_
citiz:foreign_x000D_
#spos:1_x000D_
#srcs:1_x000D_
#comment:0_x000D_
#events:1_x000D_
#kids:1_x000D_
lived:?ENLANCS_x000D_
issue:_x000D_
.recs:Birth,Marriage,Death_x000D_
.imm?:no_x000D_
..Spo:THOMAS TRAFFORD</t>
        </r>
      </text>
    </comment>
    <comment ref="N5184" authorId="0" shapeId="0" xr:uid="{AF1EF5C7-AC74-4894-9487-94565F2117B7}">
      <text>
        <r>
          <rPr>
            <sz val="9"/>
            <color indexed="81"/>
            <rFont val="Tahoma"/>
            <family val="2"/>
          </rPr>
          <t>WILLIAM FARRAR_x000D_
http://yeinfo.com/family/I09005672.html_x000D_
https://www.google.com/search?q=WILLIAM+FARRAR+1550+1605+MARGARET_x000D_
.born: 1550    -          England_x000D_
.died: 1605    -          Yorkshire county England, age:55y 0m 0d, _x000D_
.bapt: 1785GE_x000D_
.will: 2004MO_x000D_
.obit: 1890OH_x000D_
.bury: 1850IL Heptonstall_x000D_
.wpbt: 1826PA_x000D_
.anc#:double ancestor_x000D_
citiz:foreign_x000D_
#spos:1_x000D_
#srcs:2_x000D_
#comment:0_x000D_
#events:6_x000D_
#kids:3_x000D_
lived:?ENYORKSSOWERBY,ENYORKSERRINGD,ENYORKSHALIFAX_x000D_
issue:_x000D_
.recs:Birth,Marriage,Deed,Will Written,Interment/Burial_x000D_
.imm?:no_x000D_
..Spo:MARGARET BANNISTER</t>
        </r>
      </text>
    </comment>
    <comment ref="O5186" authorId="0" shapeId="0" xr:uid="{3DE3B331-51D2-4969-945F-18DB051F38D3}">
      <text>
        <r>
          <rPr>
            <sz val="9"/>
            <color indexed="81"/>
            <rFont val="Tahoma"/>
            <family val="2"/>
          </rPr>
          <t>MARY\ISABELLA\ANN THOMPSON_x000D_
http://yeinfo.com/family/I09011345.html_x000D_
https://www.google.com/search?q=MARY\ISABELLA\ANN+THOMPSON+1525+1550+FARRAR_x000D_
.born:?1525    -         ?England_x000D_
.died: 1550    -1615     ?England, age:25y 0m 0d, _x000D_
.bapt: 1785GE_x000D_
.will: 2004MO_x000D_
.obit: 1890OH_x000D_
.bury: 1850IL _x000D_
.wpbt: 1826PA_x000D_
.anc#:double ancestor_x000D_
citiz:foreign_x000D_
#spos:1_x000D_
#srcs:2_x000D_
#comment:0_x000D_
#events:1_x000D_
#kids:2_x000D_
lived:?ENYORKSSOWERBY_x000D_
issue:_x000D_
.recs:Birth,Marriage,Death_x000D_
.imm?:no_x000D_
..Spo:HENRY FARRAR</t>
        </r>
      </text>
    </comment>
    <comment ref="M5188" authorId="0" shapeId="0" xr:uid="{1B2DCE1B-5CD2-4082-A64D-922803E6D99D}">
      <text>
        <r>
          <rPr>
            <sz val="9"/>
            <color indexed="81"/>
            <rFont val="Tahoma"/>
            <family val="2"/>
          </rPr>
          <t>JACOB FARRAR_x000D_
http://yeinfo.com/family/I09002836.html_x000D_
https://www.google.com/search?q=JACOB+FARRAR+1584+1639+MARY_x000D_
.born: 1584    -          Yorkshire county England_x000D_
.died: 1639    -         ?, age:55y 0m 0d, _x000D_
.bapt: 1785GE_x000D_
.will: 2004MO_x000D_
.obit: 1890OH_x000D_
.bury: 1850IL _x000D_
.wpbt: 1826PA_x000D_
.anc#:double ancestor_x000D_
citiz:US born_x000D_
#spos:1_x000D_
#srcs:3_x000D_
#comment:0_x000D_
#events:1_x000D_
#kids:2_x000D_
lived:ENYORKSSOWERBY_x000D_
issue:_x000D_
.recs:Birth,Marriage,Death_x000D_
.imm?:no_x000D_
..Spo:MARY HAUGHTON</t>
        </r>
      </text>
    </comment>
    <comment ref="P5190" authorId="0" shapeId="0" xr:uid="{6F3348E4-2E79-4292-8E90-7BD65F2FB991}">
      <text>
        <r>
          <rPr>
            <sz val="9"/>
            <color indexed="81"/>
            <rFont val="Tahoma"/>
            <family val="2"/>
          </rPr>
          <t>GEORGE BANNISTER_x000D_
http://yeinfo.com/family/I09022692.html_x000D_
https://www.google.com/search?q=GEORGE+BANNISTER+1500+1538+{_?_}_x000D_
.born:?1500    -          Yorkshire county England_x000D_
.died: 15380709-          Yorkshire county England, age:38y 6m 8d, _x000D_
.bapt: 1785GE_x000D_
.will: 2004MO_x000D_
.obit: 1890OH_x000D_
.bury: 1850IL _x000D_
.wpbt: 1826PA_x000D_
.anc#:double ancestor_x000D_
citiz:foreign_x000D_
#spos:1_x000D_
#srcs:1_x000D_
#comment:0_x000D_
#events:1_x000D_
#kids:1_x000D_
lived:ENYORKS_x000D_
issue:_x000D_
.recs:Birth,Marriage,Death_x000D_
.imm?:no_x000D_
..Spo:{_?_} BANNISTER</t>
        </r>
      </text>
    </comment>
    <comment ref="O5192" authorId="0" shapeId="0" xr:uid="{12341EA8-6C27-4E03-943D-D6C3BE371D54}">
      <text>
        <r>
          <rPr>
            <sz val="9"/>
            <color indexed="81"/>
            <rFont val="Tahoma"/>
            <family val="2"/>
          </rPr>
          <t>GEORGE BANNISTER_x000D_
http://yeinfo.com/family/I09011346.html_x000D_
https://www.google.com/search?q=GEORGE+BANNISTER+1520+1572+MARGARET_x000D_
.born:?1520    -          England_x000D_
.died: 15720823-          Halifax (Yorkshire) England, age:52y 7m 22d, _x000D_
.bapt: 1785GE_x000D_
.will: 2004MO_x000D_
.obit: 1890OH_x000D_
.bury: 1850IL _x000D_
.wpbt: 1826PA_x000D_
.anc#:double ancestor_x000D_
citiz:foreign_x000D_
#spos:1_x000D_
#srcs:2_x000D_
#comment:0_x000D_
#events:2_x000D_
#kids:1_x000D_
lived:ENYORKSHALIFAX,ENYORKSSOWERBY_x000D_
issue:_x000D_
.recs:Birth,Marriage,Death_x000D_
.imm?:no_x000D_
..Spo:MARGARET CROWTHER</t>
        </r>
      </text>
    </comment>
    <comment ref="P5194" authorId="0" shapeId="0" xr:uid="{59CD0F3B-FA64-425B-8994-C778EBBF95BE}">
      <text>
        <r>
          <rPr>
            <sz val="9"/>
            <color indexed="81"/>
            <rFont val="Tahoma"/>
            <family val="2"/>
          </rPr>
          <t>Mrs. {_?_} BANNISTER_x000D_
http://yeinfo.com/family/I09022693.html_x000D_
https://www.google.com/search?q={_?_}+BANNISTER+1500+1520+BANNISTER_x000D_
.born:?1500    -         ?Yorkshire county England_x000D_
.died: 1520    -1585     ?Yorkshire county England, age:20y 0m 0d, _x000D_
.bapt: 1785GE_x000D_
.will: 2004MO_x000D_
.obit: 1890OH_x000D_
.bury: 1850IL _x000D_
.wpbt: 1826PA_x000D_
.anc#:double ancestor_x000D_
citiz:foreign_x000D_
#spos:1_x000D_
#srcs:1_x000D_
#comment:0_x000D_
#events:1_x000D_
#kids:1_x000D_
lived:?ENYORKS_x000D_
issue:_x000D_
.recs:Birth,Marriage,Death_x000D_
.imm?:no_x000D_
..Spo:GEORGE BANNISTER</t>
        </r>
      </text>
    </comment>
    <comment ref="N5196" authorId="0" shapeId="0" xr:uid="{F04227E7-76B8-4934-BF24-A6C555BEEEE1}">
      <text>
        <r>
          <rPr>
            <sz val="9"/>
            <color indexed="81"/>
            <rFont val="Tahoma"/>
            <family val="2"/>
          </rPr>
          <t>MARGARET BANNISTER_x000D_
http://yeinfo.com/family/I09005673.html_x000D_
https://www.google.com/search?q=MARGARET+BANNISTER+1546+1624+FARRAR_x000D_
.born:?1546    -         ?Halifax (Yorkshire) England_x000D_
.died: 16240902-          Halifax (Yorkshire) England, age:78y 8m 1d, _x000D_
.bapt: 1785GE_x000D_
.will: 2004MO_x000D_
.obit: 1890OH_x000D_
.bury: 1850IL _x000D_
.wpbt: 1826PA_x000D_
.anc#:double ancestor_x000D_
citiz:foreign_x000D_
#spos:1_x000D_
#srcs:3_x000D_
#comment:0_x000D_
#events:3_x000D_
#kids:3_x000D_
lived:?ENYORKSHALIFAX,ENYORKSSOWERBY_x000D_
issue:_x000D_
.recs:Birth,Marriage,Will Written,Death_x000D_
.imm?:no_x000D_
..Spo:WILLIAM FARRAR</t>
        </r>
      </text>
    </comment>
    <comment ref="O5198" authorId="0" shapeId="0" xr:uid="{E51C78A9-B39F-43B7-A8AE-686FADB0B6A9}">
      <text>
        <r>
          <rPr>
            <sz val="9"/>
            <color indexed="81"/>
            <rFont val="Tahoma"/>
            <family val="2"/>
          </rPr>
          <t>MARGARET CROWTHER_x000D_
http://yeinfo.com/family/I09011347.html_x000D_
https://www.google.com/search?q=MARGARET+CROWTHER+1520+1546+BANNISTER_x000D_
.born:?1520    -          England_x000D_
.died: 1546    -1610      , age:26y 0m 0d, _x000D_
.bapt: 1785GE_x000D_
.will: 2004MO_x000D_
.obit: 1890OH_x000D_
.bury: 1850IL _x000D_
.wpbt: 1826PA_x000D_
.anc#:double ancestor_x000D_
citiz:foreign_x000D_
#spos:1_x000D_
#srcs:2_x000D_
#comment:0_x000D_
#events:1_x000D_
#kids:1_x000D_
lived:?ENYORKS,EN_x000D_
issue:_x000D_
.recs:Birth,Marriage,Death_x000D_
.imm?:no_x000D_
..Spo:GEORGE BANNISTER</t>
        </r>
      </text>
    </comment>
    <comment ref="L5200" authorId="0" shapeId="0" xr:uid="{E7896432-25D0-448E-87A6-2370F58CFB5B}">
      <text>
        <r>
          <rPr>
            <sz val="9"/>
            <color indexed="81"/>
            <rFont val="Tahoma"/>
            <family val="2"/>
          </rPr>
          <t>JACOB FARRAR_x000D_
http://yeinfo.com/family/I09001418.html_x000D_
https://www.google.com/search?q=JACOB+FARRAR+1614+1677+Grace+FARRAR_x000D_
.born: 1614    -          Yorkshire county England_x000D_
.died: 16770814-          Woburn (Middlesex) Massachusetts, age:63y 7m 13d, _x000D_
.bapt: 1785GE_x000D_
.will: 2004MO_x000D_
.obit: 1890OH_x000D_
.bury: 1850IL _x000D_
.wpbt: 1826PA_x000D_
.anc#:double ancestor_x000D_
citiz:immigrant_x000D_
#spos:2_x000D_
#srcs:15_x000D_
#comment:0_x000D_
#events:11_x000D_
#kids:5_x000D_
lived:ENDERBSHATHERS,ENLANCS,ENYORKSHALIFAX,MAMIDDLWOBURN,MANORFODEDHAM,MAWORCELANCAST_x000D_
issue:_x000D_
.recs:Birth,Baptism,Marriage,Job/Occupation,Death_x000D_
.imm?:immigrant_x000D_
..Spo:Grace Dean</t>
        </r>
      </text>
    </comment>
    <comment ref="M5202" authorId="0" shapeId="0" xr:uid="{25A02F18-6F6E-452C-A2B1-AEB16A8D7CCD}">
      <text>
        <r>
          <rPr>
            <sz val="9"/>
            <color indexed="81"/>
            <rFont val="Tahoma"/>
            <family val="2"/>
          </rPr>
          <t>MARY HAUGHTON_x000D_
http://yeinfo.com/family/I09002837.html_x000D_
https://www.google.com/search?q=MARY+HAUGHTON+1585+1639+FARRAR_x000D_
.born:?1585    -         ?England_x000D_
.died: 1639    -         ?, age:54y 0m 0d, _x000D_
.bapt: 1785GE_x000D_
.will: 2004MO_x000D_
.obit: 1890OH_x000D_
.bury: 1850IL _x000D_
.wpbt: 1826PA_x000D_
.anc#:double ancestor_x000D_
citiz:US born_x000D_
#spos:1_x000D_
#srcs:2_x000D_
#comment:0_x000D_
#events:1_x000D_
#kids:2_x000D_
lived:?EN,ENYORKSSOWERBY_x000D_
issue:_x000D_
.recs:Birth,Marriage,Death_x000D_
.imm?:no_x000D_
..Spo:JACOB FARRAR</t>
        </r>
      </text>
    </comment>
    <comment ref="K5204" authorId="0" shapeId="0" xr:uid="{01A4B884-F5E0-4D60-8680-12599471E201}">
      <text>
        <r>
          <rPr>
            <sz val="9"/>
            <color indexed="81"/>
            <rFont val="Tahoma"/>
            <family val="2"/>
          </rPr>
          <t>MARY FARRAR_x000D_
http://yeinfo.com/family/I09000709.html_x000D_
https://www.google.com/search?q=MARY+FARRAR+1648+1696+HOUGHTON_x000D_
.born: 1648    -          Lancaster (Worcester) Massachusetts_x000D_
.died: 1696    -1738     ?, age:48y 0m 0d, _x000D_
.bapt: 1785GE_x000D_
.will: 2004MO_x000D_
.obit: 1890OH_x000D_
.bury: 1850IL _x000D_
.wpbt: 1826PA_x000D_
.anc#:double ancestor_x000D_
citiz:US born_x000D_
#spos:1_x000D_
#srcs:8_x000D_
#comment:1_x000D_
#events:1_x000D_
#kids:11_x000D_
lived:MAWORCELANCAST_x000D_
issue:_x000D_
.recs:Birth,Marriage,Death_x000D_
.imm?:no_x000D_
..Spo:JOHN HOUGHTON</t>
        </r>
      </text>
    </comment>
    <comment ref="L5206" authorId="0" shapeId="0" xr:uid="{AC3D7BDF-A34C-4A6E-A7BD-09519CDFF419}">
      <text>
        <r>
          <rPr>
            <sz val="9"/>
            <color indexed="81"/>
            <rFont val="Tahoma"/>
            <family val="2"/>
          </rPr>
          <t>Mrs. ANN FARRAR_x000D_
http://yeinfo.com/family/I09001419.html_x000D_
https://www.google.com/search?q=ANN+FARRAR+1620+1660+FARRAR+Jacob_x000D_
.born:?1620    -         ?England_x000D_
.died: 1660    -1710     ?Massachusetts, age:40y 0m 0d, _x000D_
.bapt: 1785GE_x000D_
.will: 2004MO_x000D_
.obit: 1890OH_x000D_
.bury: 1850IL _x000D_
.wpbt: 1826PA_x000D_
.anc#:double ancestor_x000D_
citiz:immigrant_x000D_
#spos:2_x000D_
#srcs:4_x000D_
#comment:0_x000D_
#events:2_x000D_
#kids:4_x000D_
lived:?ENYORKSHALIFAX,?MA_x000D_
issue:_x000D_
.recs:Birth,Marriage,Death_x000D_
.imm?:immigrant_x000D_
..Spo:JACOB FARRAR</t>
        </r>
      </text>
    </comment>
    <comment ref="I5208" authorId="0" shapeId="0" xr:uid="{8098F6A0-74E9-4869-B962-EF7BF0229225}">
      <text>
        <r>
          <rPr>
            <sz val="9"/>
            <color indexed="81"/>
            <rFont val="Tahoma"/>
            <family val="2"/>
          </rPr>
          <t>ZERISH HOUGHTON_x000D_
http://yeinfo.com/family/I09000177.html_x000D_
https://www.google.com/search?q=ZERISH+HOUGHTON+1729+1769+MOORE_x000D_
.born: 17290218-          Lancaster (Worcester) Massachusetts_x000D_
.died: 1769    -1819     ?Massachusetts, age:39y 10m 14d, _x000D_
.bapt: 1785GE_x000D_
.will: 2004MO_x000D_
.obit: 1890OH_x000D_
.bury: 1850IL _x000D_
.wpbt: 1826PA_x000D_
.anc#:ancestor_x000D_
citiz:US born_x000D_
#spos:1_x000D_
#srcs:4_x000D_
#comment:1_x000D_
#events:1_x000D_
#kids:11_x000D_
lived:MAWORCEBOLTON,MAWORCELANCAST_x000D_
issue:_x000D_
.recs:Birth,Marriage,Death_x000D_
.imm?:no_x000D_
..Spo:SAMUEL MOORE</t>
        </r>
      </text>
    </comment>
    <comment ref="P5210" authorId="0" shapeId="0" xr:uid="{4C60C9A4-5A06-4562-B763-A34B1980CF5B}">
      <text>
        <r>
          <rPr>
            <sz val="9"/>
            <color indexed="81"/>
            <rFont val="Tahoma"/>
            <family val="2"/>
          </rPr>
          <t>THOMAS WHITE_x000D_
http://yeinfo.com/family/I09022720.html_x000D_
https://www.google.com/search?q=THOMAS+WHITE+1500+1538+AGNES_x000D_
.born:?1500    -          Merriott (Somerset) England_x000D_
.died: 1538    -1590      England, age:38y 0m 0d, _x000D_
.bapt: 1785GE_x000D_
.will: 2004MO_x000D_
.obit: 1890OH_x000D_
.bury: 1850IL _x000D_
.wpbt: 1826PA_x000D_
.anc#:ancestor_x000D_
citiz:foreign_x000D_
#spos:1_x000D_
#srcs:1_x000D_
#comment:0_x000D_
#events:5_x000D_
#kids:5_x000D_
lived:ENDEVONWIDECOM,ENSOMESMERRIOT_x000D_
issue:_x000D_
.recs:Birth,Marriage,Death,Land Transaction_x000D_
.imm?:no_x000D_
..Spo:AGNES RICHARD</t>
        </r>
      </text>
    </comment>
    <comment ref="O5212" authorId="0" shapeId="0" xr:uid="{CC5E32D2-A729-46FC-B766-833C82E93FD0}">
      <text>
        <r>
          <rPr>
            <sz val="9"/>
            <color indexed="81"/>
            <rFont val="Tahoma"/>
            <family val="2"/>
          </rPr>
          <t>RICHARD\ROBERT WHITE_x000D_
http://yeinfo.com/family/I09011360.html_x000D_
https://www.google.com/search?q=RICHARD\ROBERT+WHITE+1525+1578+ELLEN\HELEN_x000D_
.born:?1525    -         ?Merriott (Somerset) England_x000D_
.died: 157804  -          England, age:53y 3m 0d, _x000D_
.bapt: 1785GE_x000D_
.will: 2004MO_x000D_
.obit: 1890OH_x000D_
.bury: 1850IL _x000D_
.wpbt: 1826PA_x000D_
.anc#:ancestor_x000D_
citiz:foreign_x000D_
#spos:1_x000D_
#srcs:1_x000D_
#comment:0_x000D_
#events:4_x000D_
#kids:10_x000D_
lived:?ENSOMESMERRIOT,ENSOMES_x000D_
issue:_x000D_
.recs:Birth,Marriage,Will Written,Death,Gov't Court_x000D_
.imm?:no_x000D_
..Spo:ELLEN\HELEN KIRTON</t>
        </r>
      </text>
    </comment>
    <comment ref="P5214" authorId="0" shapeId="0" xr:uid="{F5275EDC-C297-4910-A3D8-D8F74D0EDBA0}">
      <text>
        <r>
          <rPr>
            <sz val="9"/>
            <color indexed="81"/>
            <rFont val="Tahoma"/>
            <family val="2"/>
          </rPr>
          <t>AGNES RICHARD_x000D_
http://yeinfo.com/family/I09022721.html_x000D_
https://www.google.com/search?q=AGNES+RICHARD+1500+1549+WHITE_x000D_
.born:?1500    -          England_x000D_
.died: 1549    -1590     ?England, age:49y 0m 0d, _x000D_
.bapt: 1785GE_x000D_
.will: 2004MO_x000D_
.obit: 1890OH_x000D_
.bury: 1850IL _x000D_
.wpbt: 1826PA_x000D_
.anc#:ancestor_x000D_
citiz:foreign_x000D_
#spos:1_x000D_
#srcs:1_x000D_
#comment:0_x000D_
#events:2_x000D_
#kids:5_x000D_
lived:EN_x000D_
issue:_x000D_
.recs:Birth,Marriage,Will Written,Death_x000D_
.imm?:no_x000D_
..Spo:THOMAS WHITE</t>
        </r>
      </text>
    </comment>
    <comment ref="N5216" authorId="0" shapeId="0" xr:uid="{C6EB37D9-8CEE-42CC-A469-DE4B076C97AD}">
      <text>
        <r>
          <rPr>
            <sz val="9"/>
            <color indexed="81"/>
            <rFont val="Tahoma"/>
            <family val="2"/>
          </rPr>
          <t>ROBERT WHITE_x000D_
http://yeinfo.com/family/I09005680.html_x000D_
https://www.google.com/search?q=ROBERT+WHITE+1550+1600+ALICE_x000D_
.born:c1550    -         ?Hillfarrance (Somerset) England_x000D_
.died: 160009  -          England, age:50y 8m 0d, _x000D_
.bapt: 1785GE_x000D_
.will: 2004MO_x000D_
.obit: 1890OH_x000D_
.bury: 1850IL _x000D_
.wpbt: 1826PA_x000D_
.anc#:ancestor_x000D_
citiz:foreign_x000D_
#spos:1_x000D_
#srcs:2_x000D_
#comment:1_x000D_
#events:5_x000D_
#kids:3_x000D_
lived:?ENSOMESHILLFAR,ENSOMESS.PETHE,ENSOMESTAUNTON_x000D_
issue:_x000D_
.recs:Birth,Marriage,Death,Gov't Court_x000D_
.imm?:no_x000D_
..Spo:ALICE RICH</t>
        </r>
      </text>
    </comment>
    <comment ref="O5218" authorId="0" shapeId="0" xr:uid="{8A4FC474-95AD-417D-9BED-2BC623701C3F}">
      <text>
        <r>
          <rPr>
            <sz val="9"/>
            <color indexed="81"/>
            <rFont val="Tahoma"/>
            <family val="2"/>
          </rPr>
          <t>ELLEN\HELEN KIRTON_x000D_
http://yeinfo.com/family/I09011361.html_x000D_
https://www.google.com/search?q=ELLEN\HELEN+KIRTON+1525+1568+WHITE_x000D_
.born:?1525    -          England_x000D_
.died: 1568    -1615      England, age:43y 0m 0d, _x000D_
.bapt: 1785GE_x000D_
.will: 2004MO_x000D_
.obit: 1890OH_x000D_
.bury: 1850IL _x000D_
.wpbt: 1826PA_x000D_
.anc#:ancestor_x000D_
citiz:foreign_x000D_
#spos:1_x000D_
#srcs:1_x000D_
#comment:0_x000D_
#events:1_x000D_
#kids:10_x000D_
lived:EN_x000D_
issue:_x000D_
.recs:Birth,Marriage,Death_x000D_
.imm?:no_x000D_
..Spo:RICHARD\ROBERT WHITE</t>
        </r>
      </text>
    </comment>
    <comment ref="M5220" authorId="0" shapeId="0" xr:uid="{55DDE7DE-B94C-41F1-B5C8-5326BB1F667D}">
      <text>
        <r>
          <rPr>
            <sz val="9"/>
            <color indexed="81"/>
            <rFont val="Tahoma"/>
            <family val="2"/>
          </rPr>
          <t>ROBERT WHITE_x000D_
http://yeinfo.com/family/I09002840.html_x000D_
https://www.google.com/search?q=ROBERT+WHITE+1577+1642+JOAN\JEAN\BRIDGET_x000D_
.born:?1577    -          _x000D_
.died: 16420308-          South Petherton (Somerset) England, age:65y 2m 7d, _x000D_
.bapt: 1785GE_x000D_
.will: 2004MO_x000D_
.obit: 1890OH_x000D_
.bury: 1850IL _x000D_
.wpbt: 1826PA_x000D_
.anc#:ancestor_x000D_
citiz:US born_x000D_
#spos:1_x000D_
#srcs:3_x000D_
#comment:0_x000D_
#events:4_x000D_
#kids:9_x000D_
lived:ENSOMESS.PETHE_x000D_
issue:_x000D_
.recs:Birth,Marriage,Death_x000D_
.imm?:no_x000D_
..Spo:JOAN\JEAN\BRIDGET WEST</t>
        </r>
      </text>
    </comment>
    <comment ref="N5222" authorId="0" shapeId="0" xr:uid="{E9EC2949-4AE8-4985-A332-4209DED0FF78}">
      <text>
        <r>
          <rPr>
            <sz val="9"/>
            <color indexed="81"/>
            <rFont val="Tahoma"/>
            <family val="2"/>
          </rPr>
          <t>ALICE RICH_x000D_
http://yeinfo.com/family/I09005681.html_x000D_
https://www.google.com/search?q=ALICE+RICH+1550+1577+WHITE_x000D_
.born:?1550    -          England_x000D_
.died: 1577    -1640      , age:27y 0m 0d, _x000D_
.bapt: 1785GE_x000D_
.will: 2004MO_x000D_
.obit: 1890OH_x000D_
.bury: 1850IL _x000D_
.wpbt: 1826PA_x000D_
.anc#:ancestor_x000D_
citiz:foreign_x000D_
#spos:1_x000D_
#srcs:2_x000D_
#comment:0_x000D_
#events:1_x000D_
#kids:3_x000D_
lived:EN_x000D_
issue:_x000D_
.recs:Birth,Marriage,Death_x000D_
.imm?:no_x000D_
..Spo:ROBERT WHITE</t>
        </r>
      </text>
    </comment>
    <comment ref="L5224" authorId="0" shapeId="0" xr:uid="{EB5854E2-C035-4262-B652-F623B25E1595}">
      <text>
        <r>
          <rPr>
            <sz val="9"/>
            <color indexed="81"/>
            <rFont val="Tahoma"/>
            <family val="2"/>
          </rPr>
          <t>JOHN WHITE_x000D_
http://yeinfo.com/family/I09001420.html_x000D_
https://www.google.com/search?q=JOHN+WHITE+1602+1683+JOANE\JEAN_x000D_
.born: 160203  -          _x000D_
.died: 1683    -1692      Lancaster (Worcester) Massachusetts, age:80y 10m 0d, _x000D_
.bapt: 1785GE_x000D_
.will: 2004MO_x000D_
.obit: 1890OH_x000D_
.bury: 1850IL _x000D_
.wpbt: 1826PA_x000D_
.anc#:ancestor_x000D_
citiz:US born_x000D_
#spos:1_x000D_
#srcs:15_x000D_
#comment:1_x000D_
#events:18_x000D_
#kids:9_x000D_
lived:ENSOMESDRAYTON,ENSOMESS.PETHE,MAESSEXLYNN,MAESSEXWENHAM,MAWORCELANCAST_x000D_
issue:_x000D_
.recs:Birth,Baptism,Marriage,Job/Occupation,Will Written,Death,Land Transaction_x000D_
.imm?:no_x000D_
..Spo:JOANE\JEAN WEST</t>
        </r>
      </text>
    </comment>
    <comment ref="N5226" authorId="0" shapeId="0" xr:uid="{13E34532-569B-4CDB-83B6-E6E35E819660}">
      <text>
        <r>
          <rPr>
            <sz val="9"/>
            <color indexed="81"/>
            <rFont val="Tahoma"/>
            <family val="2"/>
          </rPr>
          <t>NICHOLAS WEST_x000D_
http://yeinfo.com/family/I09005682.html_x000D_
https://www.google.com/search?q=NICHOLAS+WEST+1555+1601+ANN\PHILIPA+Hawker_x000D_
.born:?1555    -         ?England_x000D_
.died: 160110  -          Drayton (Somerset) England, age:46y 9m 0d, _x000D_
.bapt: 1785GE_x000D_
.will: 2004MO_x000D_
.obit: 1890OH_x000D_
.bury: 1850IL Drayton Church yard_x000D_
.wpbt: 1826PA_x000D_
.anc#:double ancestor_x000D_
citiz:foreign_x000D_
#spos:2_x000D_
#srcs:3_x000D_
#comment:1_x000D_
#events:4_x000D_
#kids:7_x000D_
lived:?EN,ENSOMESBRUTON,ENSOMESDRAYTON_x000D_
issue:_x000D_
.recs:Birth,Marriage,Death,Interment/Burial_x000D_
.imm?:no_x000D_
..Spo:ANN\PHILIPA BENEDICT</t>
        </r>
      </text>
    </comment>
    <comment ref="M5228" authorId="0" shapeId="0" xr:uid="{3BF329F8-B388-48D6-A284-6F55C1821930}">
      <text>
        <r>
          <rPr>
            <sz val="9"/>
            <color indexed="81"/>
            <rFont val="Tahoma"/>
            <family val="2"/>
          </rPr>
          <t>JOAN\JEAN\BRIDGET WEST_x000D_
http://yeinfo.com/family/I09002841.html_x000D_
https://www.google.com/search?q=JOAN\JEAN\BRIDGET+WEST+1577+1631+WHITE_x000D_
.born:?1577    -         ?Bruton (Somerset) England_x000D_
.died: 16310913-          South Petherton (Somerset) England, age:54y 8m 12d, _x000D_
.bapt: 1785GE_x000D_
.will: 2004MO_x000D_
.obit: 1890OH_x000D_
.bury: 1850IL _x000D_
.wpbt: 1826PA_x000D_
.anc#:ancestor_x000D_
citiz:foreign_x000D_
#spos:1_x000D_
#srcs:2_x000D_
#comment:0_x000D_
#events:3_x000D_
#kids:9_x000D_
lived:?ENSOMESBRUTON,ENSOMESS.PETHE_x000D_
issue:_x000D_
.recs:Birth,Baptism,Marriage,Death_x000D_
.imm?:no_x000D_
..Spo:ROBERT WHITE</t>
        </r>
      </text>
    </comment>
    <comment ref="N5230" authorId="0" shapeId="0" xr:uid="{ACA4E259-4ED3-49FB-9E1A-0BAD55942BC8}">
      <text>
        <r>
          <rPr>
            <sz val="9"/>
            <color indexed="81"/>
            <rFont val="Tahoma"/>
            <family val="2"/>
          </rPr>
          <t>ANN\PHILIPA BENEDICT_x000D_
http://yeinfo.com/family/I09005683.html_x000D_
https://www.google.com/search?q=ANN\PHILIPA+BENEDICT+1555+1595+WEST_x000D_
.born:?1555    -         ?England_x000D_
.died: 159506  -          England, age:40y 5m 0d, _x000D_
.bapt: 1785GE_x000D_
.will: 2004MO_x000D_
.obit: 1890OH_x000D_
.bury: 1850IL _x000D_
.wpbt: 1826PA_x000D_
.anc#:double ancestor_x000D_
citiz:foreign_x000D_
#spos:1_x000D_
#srcs:2_x000D_
#comment:0_x000D_
#events:2_x000D_
#kids:7_x000D_
lived:?EN_x000D_
issue:_x000D_
.recs:Birth,Marriage,Death_x000D_
.imm?:no_x000D_
..Spo:NICHOLAS WEST</t>
        </r>
      </text>
    </comment>
    <comment ref="K5232" authorId="0" shapeId="0" xr:uid="{6A6B5153-C1AC-4AEF-B2A8-75F946CB11EF}">
      <text>
        <r>
          <rPr>
            <sz val="9"/>
            <color indexed="81"/>
            <rFont val="Tahoma"/>
            <family val="2"/>
          </rPr>
          <t>JOSIAH WHITE_x000D_
http://yeinfo.com/family/I09000710.html_x000D_
https://www.google.com/search?q=JOSIAH+WHITE+1643+1714+Mary+RICE_x000D_
.born: 164306  -          _x000D_
.died: 17141111-          , age:71y 5m 10d, _x000D_
.bapt: 1785GE_x000D_
.will: 2004MO_x000D_
.obit: 1890OH_x000D_
.bury: 1850IL _x000D_
.wpbt: 1826PA_x000D_
.anc#:ancestor_x000D_
citiz:US born_x000D_
#spos:2_x000D_
#srcs:10_x000D_
#comment:0_x000D_
#events:7_x000D_
#kids:7_x000D_
lived:?MAMIDDLMARLBOR,MAESSEXSALEM,MAWORCELANCAST_x000D_
issue:_x000D_
.recs:Birth,Baptism,Military,Marriage,Death_x000D_
.imm?:no_x000D_
..Spo:Mary LEWIS</t>
        </r>
      </text>
    </comment>
    <comment ref="N5234" authorId="0" shapeId="0" xr:uid="{95FF62EC-5844-4C7C-B7FE-8B3E7DCA2C79}">
      <text>
        <r>
          <rPr>
            <sz val="9"/>
            <color indexed="81"/>
            <rFont val="Tahoma"/>
            <family val="2"/>
          </rPr>
          <t>NICHOLAS WEST_x000D_
http://yeinfo.com/family/I09005682.html_x000D_
https://www.google.com/search?q=NICHOLAS+WEST+1555+1601+ANN\PHILIPA+Hawker_x000D_
.born:?1555    -         ?England_x000D_
.died: 160110  -          Drayton (Somerset) England, age:46y 9m 0d, _x000D_
.bapt: 1785GE_x000D_
.will: 2004MO_x000D_
.obit: 1890OH_x000D_
.bury: 1850IL Drayton Church yard_x000D_
.wpbt: 1826PA_x000D_
.anc#:double ancestor_x000D_
citiz:foreign_x000D_
#spos:2_x000D_
#srcs:3_x000D_
#comment:1_x000D_
#events:4_x000D_
#kids:7_x000D_
lived:?EN,ENSOMESBRUTON,ENSOMESDRAYTON_x000D_
issue:_x000D_
.recs:Birth,Marriage,Death,Interment/Burial_x000D_
.imm?:no_x000D_
..Spo:ANN\PHILIPA BENEDICT</t>
        </r>
      </text>
    </comment>
    <comment ref="M5236" authorId="0" shapeId="0" xr:uid="{17BEB3BB-DBC1-40ED-AAEF-75A11BD9FC14}">
      <text>
        <r>
          <rPr>
            <sz val="9"/>
            <color indexed="81"/>
            <rFont val="Tahoma"/>
            <family val="2"/>
          </rPr>
          <t>RICHARD WEST_x000D_
http://yeinfo.com/family/I09002842.html_x000D_
https://www.google.com/search?q=RICHARD+WEST+1579+1643+MAUDLIN+MAGDALINE_x000D_
.born:c1579    -          Drayton (Somerset) England_x000D_
.died: 1643    -1669      Somerset county England, age:64y 0m 0d, _x000D_
.bapt: 1785GE_x000D_
.will: 2004MO_x000D_
.obit: 1890OH_x000D_
.bury: 1850IL _x000D_
.wpbt: 1826PA_x000D_
.anc#:ancestor_x000D_
citiz:foreign_x000D_
#spos:1_x000D_
#srcs:3_x000D_
#comment:0_x000D_
#events:3_x000D_
#kids:2_x000D_
lived:ENSOMESBRUTON,ENSOMESDRAYTON_x000D_
issue:_x000D_
.recs:Birth,Baptism,Marriage,Will Written,Death_x000D_
.imm?:no_x000D_
..Spo:MAUDLIN MAGDALINE STAPLE</t>
        </r>
      </text>
    </comment>
    <comment ref="N5238" authorId="0" shapeId="0" xr:uid="{9CC7C88C-F09B-4599-A8CB-3672FE64D7AA}">
      <text>
        <r>
          <rPr>
            <sz val="9"/>
            <color indexed="81"/>
            <rFont val="Tahoma"/>
            <family val="2"/>
          </rPr>
          <t>ANN\PHILIPA BENEDICT_x000D_
http://yeinfo.com/family/I09005683.html_x000D_
https://www.google.com/search?q=ANN\PHILIPA+BENEDICT+1555+1595+WEST_x000D_
.born:?1555    -         ?England_x000D_
.died: 159506  -          England, age:40y 5m 0d, _x000D_
.bapt: 1785GE_x000D_
.will: 2004MO_x000D_
.obit: 1890OH_x000D_
.bury: 1850IL _x000D_
.wpbt: 1826PA_x000D_
.anc#:double ancestor_x000D_
citiz:foreign_x000D_
#spos:1_x000D_
#srcs:2_x000D_
#comment:0_x000D_
#events:2_x000D_
#kids:7_x000D_
lived:?EN_x000D_
issue:_x000D_
.recs:Birth,Marriage,Death_x000D_
.imm?:no_x000D_
..Spo:NICHOLAS WEST</t>
        </r>
      </text>
    </comment>
    <comment ref="L5240" authorId="0" shapeId="0" xr:uid="{97A4D690-BC3E-400D-851B-F1554B99B804}">
      <text>
        <r>
          <rPr>
            <sz val="9"/>
            <color indexed="81"/>
            <rFont val="Tahoma"/>
            <family val="2"/>
          </rPr>
          <t>JOANE\JEAN WEST_x000D_
http://yeinfo.com/family/I09001421.html_x000D_
https://www.google.com/search?q=JOANE\JEAN+WEST+1606+1654+WHITE_x000D_
.born: 160604  -          Drayton (Somerset) England_x000D_
.died: 16540318-          , age:47y 11m 17d, _x000D_
.bapt: 1785GE_x000D_
.will: 2004MO_x000D_
.obit: 1890OH_x000D_
.bury: 1850IL _x000D_
.wpbt: 1826PA_x000D_
.anc#:ancestor_x000D_
citiz:US born_x000D_
#spos:1_x000D_
#srcs:11_x000D_
#comment:1_x000D_
#events:6_x000D_
#kids:9_x000D_
lived:ENSOMESBRUTON,ENSOMESDRAYTON,MAESSEXSALEM,MAWORCELANCAST_x000D_
issue:_x000D_
.recs:Birth,Baptism,Marriage,Death_x000D_
.imm?:no_x000D_
..Spo:JOHN WHITE</t>
        </r>
      </text>
    </comment>
    <comment ref="M5242" authorId="0" shapeId="0" xr:uid="{2B9891AE-E417-42B3-9436-8F4810B5C1CA}">
      <text>
        <r>
          <rPr>
            <sz val="9"/>
            <color indexed="81"/>
            <rFont val="Tahoma"/>
            <family val="2"/>
          </rPr>
          <t>MAUDLIN MAGDALINE STAPLE_x000D_
http://yeinfo.com/family/I09002843.html_x000D_
https://www.google.com/search?q=MAUDLIN+MAGDALINE+STAPLE+1602+1641+WEST_x000D_
.born: 160203  -          _x000D_
.died: 164108  -          Somerset county England, age:39y 5m 0d, _x000D_
.bapt: 1785GE_x000D_
.will: 2004MO_x000D_
.obit: 1890OH_x000D_
.bury: 1850IL _x000D_
.wpbt: 1826PA_x000D_
.anc#:ancestor_x000D_
citiz:US born_x000D_
#spos:1_x000D_
#srcs:3_x000D_
#comment:0_x000D_
#events:2_x000D_
#kids:2_x000D_
lived:ENSOMES_x000D_
issue:Died after Age 100_x000D_
.recs:Birth,Marriage,Death_x000D_
.imm?:no_x000D_
..Spo:RICHARD WEST</t>
        </r>
      </text>
    </comment>
    <comment ref="J5244" authorId="0" shapeId="0" xr:uid="{299FC99F-8B98-4B24-BAED-E616615AD1A3}">
      <text>
        <r>
          <rPr>
            <sz val="9"/>
            <color indexed="81"/>
            <rFont val="Tahoma"/>
            <family val="2"/>
          </rPr>
          <t>THANKFUL WHITE_x000D_
http://yeinfo.com/family/I09000355.html_x000D_
https://www.google.com/search?q=THANKFUL+WHITE+1689+1737+HOUGHTON_x000D_
.born: 16890327-          Lancaster (Worcester) Massachusetts_x000D_
.died: 17370408-          Lancaster (Worcester) Massachusetts, age:48y 0m 12d, _x000D_
.bapt: 1785GE_x000D_
.will: 2004MO_x000D_
.obit: 1890OH_x000D_
.bury: 1850IL _x000D_
.wpbt: 1826PA_x000D_
.anc#:ancestor_x000D_
citiz:US born_x000D_
#spos:1_x000D_
#srcs:8_x000D_
#comment:0_x000D_
#events:3_x000D_
#kids:11_x000D_
lived:MAWORCELANCAST_x000D_
issue:_x000D_
.recs:Birth,Marriage,Will Written,Death_x000D_
.imm?:no_x000D_
..Spo:JONATHAN HOUGHTON</t>
        </r>
      </text>
    </comment>
    <comment ref="N5246" authorId="0" shapeId="0" xr:uid="{990AA997-D1EC-4C86-823F-9B51F388B835}">
      <text>
        <r>
          <rPr>
            <sz val="9"/>
            <color indexed="81"/>
            <rFont val="Tahoma"/>
            <family val="2"/>
          </rPr>
          <t>Mr. {_?_} RICE_x000D_
http://yeinfo.com/family/I09021788.html_x000D_
https://www.google.com/search?q={_?_}+RICE+1560+1594+{_?_}_x000D_
.born:?1560    -          England_x000D_
.died: 1594    -1650      , age:34y 0m 0d, _x000D_
.bapt: 1785GE_x000D_
.will: 2004MO_x000D_
.obit: 1890OH_x000D_
.bury: 1850IL _x000D_
.wpbt: 1826PA_x000D_
.anc#: quintuple ancestor_x000D_
citiz:foreign_x000D_
#spos:1_x000D_
#srcs:1_x000D_
#comment:1_x000D_
#events:1_x000D_
#kids:2_x000D_
lived:EN_x000D_
issue:_x000D_
.recs:Birth,Marriage,Death_x000D_
.imm?:no_x000D_
..Spo:{_?_} RICE</t>
        </r>
      </text>
    </comment>
    <comment ref="M5248" authorId="0" shapeId="0" xr:uid="{594FEE0B-6784-47A5-A217-2E91ED4FA0CF}">
      <text>
        <r>
          <rPr>
            <sz val="9"/>
            <color indexed="81"/>
            <rFont val="Tahoma"/>
            <family val="2"/>
          </rPr>
          <t>EDMUND RICE_x000D_
http://yeinfo.com/family/I09002844.html_x000D_
https://www.google.com/search?q=EDMUND+RICE+1594+1663+THOMAZINE\ESTHER+HURD_x000D_
.born:c1594    -         ?Sudbury (Suffolk) England_x000D_
.died: 16630503-          Marlborough (Middlesex) Massachusetts, age:69y 4m 2d, _x000D_
.bapt: 1785GE_x000D_
.will: 2004MO_x000D_
.obit: 1890OH_x000D_
.bury: 1850IL _x000D_
.wpbt: 1826PA_x000D_
.anc#:  quadruple ancestor_x000D_
citiz:immigrant_x000D_
#spos:2_x000D_
#srcs:19_x000D_
#comment:2_x000D_
#events:24_x000D_
#kids:12_x000D_
lived:?ENSUFFOSUDBURY,ENHERTFBERKHAM,ENSUFFOBURY SE,ENSUFFOSTANSTE,MAMIDDLMARLBOR,MAMIDDLSUDBURY_x000D_
issue:Married before Age 16_x000D_
.recs:Birth,Baptism,Job/Occupation,Death,Land Transaction,Freeman,Immigrate_x000D_
.imm?:immigrant_x000D_
..Spo:THOMAZINE\ESTHER FROST</t>
        </r>
      </text>
    </comment>
    <comment ref="N5250" authorId="0" shapeId="0" xr:uid="{7A7D01CD-AF0D-445F-AD23-EEF28B2547E2}">
      <text>
        <r>
          <rPr>
            <sz val="9"/>
            <color indexed="81"/>
            <rFont val="Tahoma"/>
            <family val="2"/>
          </rPr>
          <t>Mrs. {_?_} RICE_x000D_
http://yeinfo.com/family/I09021789.html_x000D_
https://www.google.com/search?q={_?_}+RICE+1560+1594+RICE_x000D_
.born:?1560    -          England_x000D_
.died: 1594    -1650      , age:34y 0m 0d, _x000D_
.bapt: 1785GE_x000D_
.will: 2004MO_x000D_
.obit: 1890OH_x000D_
.bury: 1850IL _x000D_
.wpbt: 1826PA_x000D_
.anc#: quintuple ancestor_x000D_
citiz:foreign_x000D_
#spos:1_x000D_
#srcs:0_x000D_
#comment:0_x000D_
#events:1_x000D_
#kids:2_x000D_
lived:EN_x000D_
issue:_x000D_
.recs:Birth,Marriage,Death_x000D_
.imm?:no_x000D_
..Spo:{_?_} RICE</t>
        </r>
      </text>
    </comment>
    <comment ref="L5252" authorId="0" shapeId="0" xr:uid="{6066FE35-DDBA-4E0F-A14F-4D0F3154E87D}">
      <text>
        <r>
          <rPr>
            <sz val="9"/>
            <color indexed="81"/>
            <rFont val="Tahoma"/>
            <family val="2"/>
          </rPr>
          <t>THOMAS RICE_x000D_
http://yeinfo.com/family/I09001422.html_x000D_
https://www.google.com/search?q=THOMAS+RICE+1622+1681+MARY\BLANDENIA_x000D_
.born:c1622    -          Buckinghamshire county England_x000D_
.died: 16811116-          Marlborough (Middlesex) Massachusetts, age:59y 10m 15d, _x000D_
.bapt: 1785GE_x000D_
.will: 2004MO_x000D_
.obit: 1890OH_x000D_
.bury: 1850IL _x000D_
.wpbt: 1826PA_x000D_
.anc#:ancestor_x000D_
citiz:immigrant_x000D_
#spos:1_x000D_
#srcs:11_x000D_
#comment:0_x000D_
#events:7_x000D_
#kids:14_x000D_
lived:ENBUCKE,ENSUFFOSTANSTE,MAMIDDLMARLBOR,MAMIDDLSUDBURY_x000D_
issue:_x000D_
.recs:Birth,Baptism,Marriage,Job/Occupation,Will Written,Death_x000D_
.imm?:immigrant_x000D_
..Spo:MARY\BLANDENIA KING</t>
        </r>
      </text>
    </comment>
    <comment ref="P5254" authorId="0" shapeId="0" xr:uid="{4B17642A-CD1D-4FB6-B890-9CE1BB49FA54}">
      <text>
        <r>
          <rPr>
            <sz val="9"/>
            <color indexed="81"/>
            <rFont val="Tahoma"/>
            <family val="2"/>
          </rPr>
          <t>WILLIAM\HENRY FROST_x000D_
http://yeinfo.com/family/I09065537.html_x000D_
https://www.google.com/search?q=WILLIAM\HENRY+FROST+1480+1549+PHILLIPA_x000D_
.born: 1480    -          Stanstead (Suffolk) England_x000D_
.died: 1549    -          Stanstead (Suffolk) England, age:69y 0m 0d, _x000D_
.bapt: 1785GE_x000D_
.will: 2004MO_x000D_
.obit: 1890OH_x000D_
.bury: 1850IL _x000D_
.wpbt: 1826PA_x000D_
.anc#: quintuple ancestor_x000D_
citiz:foreign_x000D_
#spos:1_x000D_
#srcs:3_x000D_
#comment:0_x000D_
#events:3_x000D_
#kids:7_x000D_
lived:ENSUFFOSTANSTE_x000D_
issue:_x000D_
.recs:Birth,Marriage,Will Written,Death_x000D_
.imm?:no_x000D_
..Spo:PHILLIPA SCOTT</t>
        </r>
      </text>
    </comment>
    <comment ref="O5256" authorId="0" shapeId="0" xr:uid="{66703757-5B10-4A80-9273-E3037DC07E8C}">
      <text>
        <r>
          <rPr>
            <sz val="9"/>
            <color indexed="81"/>
            <rFont val="Tahoma"/>
            <family val="2"/>
          </rPr>
          <t>JOHN\THOMAS FROST_x000D_
http://yeinfo.com/family/I09043580.html_x000D_
https://www.google.com/search?q=JOHN\THOMAS+FROST+1537+1610+ANN+FROST_x000D_
.born:?1537    -          _x000D_
.died: 1610    -          , age:73y 0m 0d, _x000D_
.bapt: 1785GE_x000D_
.will: 2004MO_x000D_
.obit: 1890OH_x000D_
.bury: 1850IL _x000D_
.wpbt: 1826PA_x000D_
.anc#: quintuple ancestor_x000D_
citiz:foreign_x000D_
#spos:2_x000D_
#srcs:2_x000D_
#comment:0_x000D_
#events:7_x000D_
#kids:9_x000D_
lived:ENSUFFOGLEMSFO,ENSUFFOHARTEST,ENSUFFOSTANSTE_x000D_
issue:_x000D_
.recs:Birth,Baptism,Marriage,Death_x000D_
.imm?:no_x000D_
..Spo:ANN SCOTT</t>
        </r>
      </text>
    </comment>
    <comment ref="P5258" authorId="0" shapeId="0" xr:uid="{F272E018-4F78-4BA1-8898-92B24756A20E}">
      <text>
        <r>
          <rPr>
            <sz val="9"/>
            <color indexed="81"/>
            <rFont val="Tahoma"/>
            <family val="2"/>
          </rPr>
          <t>PHILLIPA SCOTT_x000D_
http://yeinfo.com/family/I09065538.html_x000D_
https://www.google.com/search?q=PHILLIPA+SCOTT+1505+1558+FROST+John_x000D_
.born:?1505    -          Chickney (Essex) England_x000D_
.died: 155801  -         ?Lidgate (Suffolk) England, age:53y 0m 0d, _x000D_
.bapt: 1785GE_x000D_
.will: 2004MO_x000D_
.obit: 1890OH_x000D_
.bury: 1850IL _x000D_
.wpbt: 1826PA_x000D_
.anc#: quintuple ancestor_x000D_
citiz:foreign_x000D_
#spos:2_x000D_
#srcs:3_x000D_
#comment:1_x000D_
#events:3_x000D_
#kids:7_x000D_
lived:?ENSUFFOLIDGATE,ENESSEXCHICKNE,MAMIDDLSUDBURY_x000D_
issue:_x000D_
.recs:Birth,Marriage,Death_x000D_
.imm?:no_x000D_
..Spo:WILLIAM\HENRY FROST</t>
        </r>
      </text>
    </comment>
    <comment ref="N5260" authorId="0" shapeId="0" xr:uid="{41CF284F-03B6-4ED9-8000-252D0C415482}">
      <text>
        <r>
          <rPr>
            <sz val="9"/>
            <color indexed="81"/>
            <rFont val="Tahoma"/>
            <family val="2"/>
          </rPr>
          <t>EDWARD\EDMUND FROST_x000D_
http://yeinfo.com/family/I09021790.html_x000D_
https://www.google.com/search?q=EDWARD\EDMUND+FROST+1560+1616+THOMASINE_x000D_
.born:?1560    -          Glemsford (Suffolk) England_x000D_
.died: 1616    -          Stanstead (Suffolk) England, age:56y 0m 0d, _x000D_
.bapt: 1785GE_x000D_
.will: 2004MO_x000D_
.obit: 1890OH_x000D_
.bury: 1850IL _x000D_
.wpbt: 1826PA_x000D_
.anc#: quintuple ancestor_x000D_
citiz:foreign_x000D_
#spos:1_x000D_
#srcs:1_x000D_
#comment:1_x000D_
#events:4_x000D_
#kids:11_x000D_
lived:ENSUFFOGLEMSFO,ENSUFFOSTANSTE_x000D_
issue:_x000D_
.recs:Birth,Marriage,Job/Occupation,Will Written,Death_x000D_
.imm?:no_x000D_
..Spo:THOMASINE BELGRAVE</t>
        </r>
      </text>
    </comment>
    <comment ref="P5262" authorId="0" shapeId="0" xr:uid="{58E4A01A-0F4F-490A-9CA4-D9497299FA33}">
      <text>
        <r>
          <rPr>
            <sz val="9"/>
            <color indexed="81"/>
            <rFont val="Tahoma"/>
            <family val="2"/>
          </rPr>
          <t>RICHARD SCOTT_x000D_
http://yeinfo.com/family/I09065539.html_x000D_
https://www.google.com/search?q=RICHARD+SCOTT+1505+1565+JOANNA+SCOTT_x000D_
.born:?1505    -          England_x000D_
.died:c1565    -         ?Glemsford (Suffolk) England, age:60y 0m 0d, _x000D_
.bapt: 1785GE_x000D_
.will: 2004MO_x000D_
.obit: 1890OH_x000D_
.bury: 1850IL _x000D_
.wpbt: 1826PA_x000D_
.anc#: quintuple ancestor_x000D_
citiz:foreign_x000D_
#spos:2_x000D_
#srcs:6_x000D_
#comment:0_x000D_
#events:6_x000D_
#kids:9_x000D_
lived:?ENSUFFOGLEMSFO,EN_x000D_
issue:_x000D_
.recs:Birth,Marriage,Will Written,Death_x000D_
.imm?:no_x000D_
..Spo:JOANNA SCOTT</t>
        </r>
      </text>
    </comment>
    <comment ref="O5264" authorId="0" shapeId="0" xr:uid="{3375CA25-5653-42D1-B753-D1173662EE22}">
      <text>
        <r>
          <rPr>
            <sz val="9"/>
            <color indexed="81"/>
            <rFont val="Tahoma"/>
            <family val="2"/>
          </rPr>
          <t>ANN SCOTT_x000D_
http://yeinfo.com/family/I09043581.html_x000D_
https://www.google.com/search?q=ANN+SCOTT+1540+1588+FROST_x000D_
.born:?1540    -          _x000D_
.died: 158807  -          , age:48y 6m 0d, _x000D_
.bapt: 1785GE_x000D_
.will: 2004MO_x000D_
.obit: 1890OH_x000D_
.bury: 1850IL _x000D_
.wpbt: 1826PA_x000D_
.anc#: quintuple ancestor_x000D_
citiz:foreign_x000D_
#spos:1_x000D_
#srcs:2_x000D_
#comment:1_x000D_
#events:2_x000D_
#kids:9_x000D_
lived:ENSUFFOGLEMSFO,ENSUFFOHARTEST,ENSUFFOSTANSTE_x000D_
issue:_x000D_
.recs:Birth,Marriage,Death_x000D_
.imm?:no_x000D_
..Spo:JOHN\THOMAS FROST</t>
        </r>
      </text>
    </comment>
    <comment ref="P5266" authorId="0" shapeId="0" xr:uid="{A1AAFF9E-D543-485D-A639-8B0CBC67F9D0}">
      <text>
        <r>
          <rPr>
            <sz val="9"/>
            <color indexed="81"/>
            <rFont val="Tahoma"/>
            <family val="2"/>
          </rPr>
          <t>Mrs. JOANNA SCOTT_x000D_
http://yeinfo.com/family/I09065540.html_x000D_
https://www.google.com/search?q=JOANNA+SCOTT+1505+1556+SCOTT_x000D_
.born:?1505    -          England_x000D_
.died: 1556    -         ?Glemsford (Suffolk) England, age:51y 0m 0d, _x000D_
.bapt: 1785GE_x000D_
.will: 2004MO_x000D_
.obit: 1890OH_x000D_
.bury: 1850IL _x000D_
.wpbt: 1826PA_x000D_
.anc#: quintuple ancestor_x000D_
citiz:foreign_x000D_
#spos:1_x000D_
#srcs:1_x000D_
#comment:0_x000D_
#events:2_x000D_
#kids:9_x000D_
lived:?ENSUFFOGLEMSFO,EN_x000D_
issue:_x000D_
.recs:Birth,Marriage,Death_x000D_
.imm?:no_x000D_
..Spo:RICHARD SCOTT</t>
        </r>
      </text>
    </comment>
    <comment ref="M5268" authorId="0" shapeId="0" xr:uid="{929760CA-EAD9-4AFF-A7CA-6B2A65E4FF51}">
      <text>
        <r>
          <rPr>
            <sz val="9"/>
            <color indexed="81"/>
            <rFont val="Tahoma"/>
            <family val="2"/>
          </rPr>
          <t>THOMAZINE\ESTHER FROST_x000D_
http://yeinfo.com/family/I09002845.html_x000D_
https://www.google.com/search?q=THOMAZINE\ESTHER+FROST+1600+1654+RICE_x000D_
.born: 1600    -          _x000D_
.died: 16540613-          , age:54y 5m 12d, _x000D_
.bapt: 1785GE_x000D_
.will: 2004MO_x000D_
.obit: 1890OH_x000D_
.bury: 1850IL _x000D_
.wpbt: 1826PA_x000D_
.anc#:  quadruple ancestor_x000D_
citiz:US born_x000D_
#spos:1_x000D_
#srcs:14_x000D_
#comment:1_x000D_
#events:5_x000D_
#kids:10_x000D_
lived:?ENSUFFOBURY SE,?ENSUFFOSTANSTE,ENHERTFBERKHAM,MAMIDDLSUDBURY,NJMIDDLWOODBRI_x000D_
issue:_x000D_
.recs:Birth,Baptism,Marriage,Death_x000D_
.imm?:no_x000D_
..Spo:EDMUND RICE</t>
        </r>
      </text>
    </comment>
    <comment ref="O5270" authorId="0" shapeId="0" xr:uid="{6E1ECDE3-57D0-4077-A740-2CB0E0A2B460}">
      <text>
        <r>
          <rPr>
            <sz val="9"/>
            <color indexed="81"/>
            <rFont val="Tahoma"/>
            <family val="2"/>
          </rPr>
          <t>JOHN BELGRAVE_x000D_
http://yeinfo.com/family/I09043582.html_x000D_
https://www.google.com/search?q=JOHN+BELGRAVE+1535+1591+JOANNA+Fairefax_x000D_
.born:c1535    -          Glemsford (Suffolk) England_x000D_
.died: 1591    -          Leverington (Cambridgeshire) England, age:56y 0m 0d, _x000D_
.bapt: 1785GE_x000D_
.will: 2004MO_x000D_
.obit: 1890OH_x000D_
.bury: 1850IL _x000D_
.wpbt: 1826PA_x000D_
.anc#: quintuple ancestor_x000D_
citiz:foreign_x000D_
#spos:2_x000D_
#srcs:3_x000D_
#comment:0_x000D_
#events:4_x000D_
#kids:12_x000D_
lived:ENCAMBSLEVERIN,ENSUFFOGLEMSFO_x000D_
issue:_x000D_
.recs:Birth,Marriage,Will Written,Death_x000D_
.imm?:no_x000D_
..Spo:JOANNA STRUTT</t>
        </r>
      </text>
    </comment>
    <comment ref="N5272" authorId="0" shapeId="0" xr:uid="{8009C28D-0477-47D5-A24F-93F1BDA6E42D}">
      <text>
        <r>
          <rPr>
            <sz val="9"/>
            <color indexed="81"/>
            <rFont val="Tahoma"/>
            <family val="2"/>
          </rPr>
          <t>THOMASINE BELGRAVE_x000D_
http://yeinfo.com/family/I09021791.html_x000D_
https://www.google.com/search?q=THOMASINE+BELGRAVE+1562+1653+FROST_x000D_
.born: 1562    -          _x000D_
.died: 16530613-          Suffolk county England, age:91y 5m 12d, _x000D_
.bapt: 1785GE_x000D_
.will: 2004MO_x000D_
.obit: 1890OH_x000D_
.bury: 1850IL _x000D_
.wpbt: 1826PA_x000D_
.anc#: quintuple ancestor_x000D_
citiz:US born_x000D_
#spos:1_x000D_
#srcs:3_x000D_
#comment:1_x000D_
#events:2_x000D_
#kids:11_x000D_
lived:?ENCAMBSLEVERIN,ENSUFFOGLEMSFO_x000D_
issue:_x000D_
.recs:Birth,Baptism,Marriage,Death_x000D_
.imm?:no_x000D_
..Spo:EDWARD\EDMUND FROST</t>
        </r>
      </text>
    </comment>
    <comment ref="R5274" authorId="0" shapeId="0" xr:uid="{BFA8A4A1-F695-4C04-8AE8-CD27FFE1EC52}">
      <text>
        <r>
          <rPr>
            <sz val="9"/>
            <color indexed="81"/>
            <rFont val="Tahoma"/>
            <family val="2"/>
          </rPr>
          <t>JOHN STRUTT_x000D_
http://yeinfo.com/family/I09065805.html_x000D_
https://www.google.com/search?q=JOHN+STRUTT+1450+1516+ISABELLE+ELIZABETH_x000D_
.born:?1450    -          England_x000D_
.died: 1516    -          Glemsford (Suffolk) England, age:66y 0m 0d, _x000D_
.bapt: 1785GE_x000D_
.will: 2004MO_x000D_
.obit: 1890OH_x000D_
.bury: 1850IL Oure Lady Sainte Marie church yard_x000D_
.wpbt: 1826PA_x000D_
.anc#: quintuple ancestor_x000D_
citiz:foreign_x000D_
#spos:1_x000D_
#srcs:2_x000D_
#comment:0_x000D_
#events:5_x000D_
#kids:7_x000D_
lived:ENSUFFOGLEMSFO_x000D_
issue:_x000D_
.recs:Birth,Marriage,Will Written,Death,Interment/Burial_x000D_
.imm?:no_x000D_
..Spo:ISABELLE ELIZABETH GOLDING</t>
        </r>
      </text>
    </comment>
    <comment ref="Q5276" authorId="0" shapeId="0" xr:uid="{C8A21D1E-6F35-469C-AA74-DAB12D118DFB}">
      <text>
        <r>
          <rPr>
            <sz val="9"/>
            <color indexed="81"/>
            <rFont val="Tahoma"/>
            <family val="2"/>
          </rPr>
          <t>THOMAS STRUTT_x000D_
http://yeinfo.com/family/I09065679.html_x000D_
https://www.google.com/search?q=THOMAS+STRUTT+1475+1548+JOHANE_x000D_
.born:?1475    -         ?Glemsford (Suffolk) England_x000D_
.died: 1548    -          Glemsford (Suffolk) England, age:73y 0m 0d, _x000D_
.bapt: 1785GE_x000D_
.will: 2004MO_x000D_
.obit: 1890OH_x000D_
.bury: 1850IL _x000D_
.wpbt: 1826PA_x000D_
.anc#: quintuple ancestor_x000D_
citiz:foreign_x000D_
#spos:1_x000D_
#srcs:2_x000D_
#comment:0_x000D_
#events:3_x000D_
#kids:5_x000D_
lived:?ENSUFFOGLEMSFO_x000D_
issue:_x000D_
.recs:Birth,Marriage,Will Written,Death_x000D_
.imm?:no_x000D_
..Spo:JOHANE STRUTT</t>
        </r>
      </text>
    </comment>
    <comment ref="R5278" authorId="0" shapeId="0" xr:uid="{567E9F61-2E0B-42CD-B6E1-80EBFA9376F9}">
      <text>
        <r>
          <rPr>
            <sz val="9"/>
            <color indexed="81"/>
            <rFont val="Tahoma"/>
            <family val="2"/>
          </rPr>
          <t>ISABELLE ELIZABETH GOLDING_x000D_
http://yeinfo.com/family/I09065806.html_x000D_
https://www.google.com/search?q=ISABELLE+ELIZABETH+GOLDING+1450+1526+STRUTT_x000D_
.born:?1450    -          England_x000D_
.died: 1526    -         ?Glemsford (Suffolk) England, age:76y 0m 0d, _x000D_
.bapt: 1785GE_x000D_
.will: 2004MO_x000D_
.obit: 1890OH_x000D_
.bury: 1850IL _x000D_
.wpbt: 1826PA_x000D_
.anc#: quintuple ancestor_x000D_
citiz:foreign_x000D_
#spos:1_x000D_
#srcs:1_x000D_
#comment:0_x000D_
#events:1_x000D_
#kids:7_x000D_
lived:?ENSUFFOGLEMSFO,EN_x000D_
issue:_x000D_
.recs:Birth,Marriage,Death_x000D_
.imm?:no_x000D_
..Spo:JOHN STRUTT</t>
        </r>
      </text>
    </comment>
    <comment ref="P5280" authorId="0" shapeId="0" xr:uid="{FC6C1BE9-819C-4CC0-A3ED-75A094CF7AC4}">
      <text>
        <r>
          <rPr>
            <sz val="9"/>
            <color indexed="81"/>
            <rFont val="Tahoma"/>
            <family val="2"/>
          </rPr>
          <t>JOHN STRUTT_x000D_
http://yeinfo.com/family/I09065541.html_x000D_
https://www.google.com/search?q=JOHN+STRUTT+1502+1591+CATHERINE\JOHANNA+Scott_x000D_
.born:?1502    -         ?Glemsford (Suffolk) England_x000D_
.died: 1591    -         ?Glemsford (Suffolk) England, age:89y 0m 0d, _x000D_
.bapt: 1785GE_x000D_
.will: 2004MO_x000D_
.obit: 1890OH_x000D_
.bury: 1850IL _x000D_
.wpbt: 1826PA_x000D_
.anc#: quintuple ancestor_x000D_
citiz:foreign_x000D_
#spos:2_x000D_
#srcs:2_x000D_
#comment:0_x000D_
#events:5_x000D_
#kids:5_x000D_
lived:?ENSUFFOGLEMSFO,ENSUFFOSUDBURY_x000D_
issue:_x000D_
.recs:Birth,Marriage,Death_x000D_
.imm?:no_x000D_
..Spo:CATHERINE\JOHANNA SCOTT</t>
        </r>
      </text>
    </comment>
    <comment ref="Q5282" authorId="0" shapeId="0" xr:uid="{72B82B3C-0D1E-4580-ACBF-8E3EB2ED6A4F}">
      <text>
        <r>
          <rPr>
            <sz val="9"/>
            <color indexed="81"/>
            <rFont val="Tahoma"/>
            <family val="2"/>
          </rPr>
          <t>Mrs. JOHANE STRUTT_x000D_
http://yeinfo.com/family/I09065680.html_x000D_
https://www.google.com/search?q=JOHANE+STRUTT+1480+1510+STRUTT_x000D_
.born:?1480    -         ?Glemsford (Suffolk) England_x000D_
.died: 1510    -1570     ?Glemsford (Suffolk) England, age:30y 0m 0d, _x000D_
.bapt: 1785GE_x000D_
.will: 2004MO_x000D_
.obit: 1890OH_x000D_
.bury: 1850IL _x000D_
.wpbt: 1826PA_x000D_
.anc#: quintuple ancestor_x000D_
citiz:foreign_x000D_
#spos:1_x000D_
#srcs:1_x000D_
#comment:0_x000D_
#events:1_x000D_
#kids:5_x000D_
lived:?ENSUFFOGLEMSFO_x000D_
issue:_x000D_
.recs:Birth,Marriage,Death_x000D_
.imm?:no_x000D_
..Spo:THOMAS STRUTT</t>
        </r>
      </text>
    </comment>
    <comment ref="O5284" authorId="0" shapeId="0" xr:uid="{675A6267-3927-49E6-BEF6-40DF5E11928B}">
      <text>
        <r>
          <rPr>
            <sz val="9"/>
            <color indexed="81"/>
            <rFont val="Tahoma"/>
            <family val="2"/>
          </rPr>
          <t>JOANNA STRUTT_x000D_
http://yeinfo.com/family/I09043583.html_x000D_
https://www.google.com/search?q=JOANNA+STRUTT+1538+1577+BELGRAVE_x000D_
.born:?1538    -          Glemsford (Suffolk) England_x000D_
.died: 1577    -          England, age:39y 0m 0d, _x000D_
.bapt: 1785GE_x000D_
.will: 2004MO_x000D_
.obit: 1890OH_x000D_
.bury: 1850IL _x000D_
.wpbt: 1826PA_x000D_
.anc#: quintuple ancestor_x000D_
citiz:foreign_x000D_
#spos:1_x000D_
#srcs:2_x000D_
#comment:1_x000D_
#events:2_x000D_
#kids:8_x000D_
lived:ENCAMBSLEVERIN,ENSUFFOGLEMSFO_x000D_
issue:_x000D_
.recs:Birth,Marriage,Death_x000D_
.imm?:no_x000D_
..Spo:JOHN BELGRAVE</t>
        </r>
      </text>
    </comment>
    <comment ref="P5286" authorId="0" shapeId="0" xr:uid="{AEE5333B-45B8-4957-B2C5-C1F71DB4589B}">
      <text>
        <r>
          <rPr>
            <sz val="9"/>
            <color indexed="81"/>
            <rFont val="Tahoma"/>
            <family val="2"/>
          </rPr>
          <t>CATHERINE\JOHANNA SCOTT_x000D_
http://yeinfo.com/family/I09065542.html_x000D_
https://www.google.com/search?q=CATHERINE\JOHANNA+SCOTT+1510+1578+STRUTT_x000D_
.born:?1510    -         ?Glemsford (Suffolk) England_x000D_
.died: 157808  -         ?Glemsford (Suffolk) England, age:68y 7m 0d, _x000D_
.bapt: 1785GE_x000D_
.will: 2004MO_x000D_
.obit: 1890OH_x000D_
.bury: 1850IL _x000D_
.wpbt: 1826PA_x000D_
.anc#: quintuple ancestor_x000D_
citiz:foreign_x000D_
#spos:1_x000D_
#srcs:1_x000D_
#comment:0_x000D_
#events:2_x000D_
#kids:5_x000D_
lived:?ENSUFFOGLEMSFO_x000D_
issue:_x000D_
.recs:Birth,Marriage,Death_x000D_
.imm?:no_x000D_
..Spo:JOHN STRUTT</t>
        </r>
      </text>
    </comment>
    <comment ref="K5288" authorId="0" shapeId="0" xr:uid="{ED7AA02F-A0FA-44A8-AF6E-9A35053BEC41}">
      <text>
        <r>
          <rPr>
            <sz val="9"/>
            <color indexed="81"/>
            <rFont val="Tahoma"/>
            <family val="2"/>
          </rPr>
          <t>MARY\KEZIAH RICE_x000D_
http://yeinfo.com/family/I09000711.html_x000D_
https://www.google.com/search?q=MARY\KEZIAH+RICE+1656+1733+WHITE+THOMAS_x000D_
.born: 16560904-          Sudbury (Middlesex) Massachusetts_x000D_
.died: 17330822-          , age:76y 11m 18d, _x000D_
.bapt: 1785GE_x000D_
.will: 2004MO_x000D_
.obit: 1890OH_x000D_
.bury: 1850IL _x000D_
.wpbt: 1826PA_x000D_
.anc#:ancestor_x000D_
citiz:US born_x000D_
#spos:2_x000D_
#srcs:11_x000D_
#comment:0_x000D_
#events:3_x000D_
#kids:7_x000D_
lived:MAMIDDLMARLBOR,MAMIDDLSUDBURY,MAWORCELANCAST_x000D_
issue:Married before Age 16_x000D_
.recs:Birth,Marriage,Death_x000D_
.imm?:no_x000D_
..Spo:JOSIAH WHITE</t>
        </r>
      </text>
    </comment>
    <comment ref="P5290" authorId="0" shapeId="0" xr:uid="{93F71D95-81A2-42B5-86D2-58B57766F0F8}">
      <text>
        <r>
          <rPr>
            <sz val="9"/>
            <color indexed="81"/>
            <rFont val="Tahoma"/>
            <family val="2"/>
          </rPr>
          <t>THOMAS KING_x000D_
http://yeinfo.com/family/I09022768.html_x000D_
https://www.google.com/search?q=THOMAS+KING+1510+1538+REBECCA_x000D_
.born:?1510    -         ?England_x000D_
.died: 1538    -1600     ?England, age:28y 0m 0d, _x000D_
.bapt: 1785GE_x000D_
.will: 2004MO_x000D_
.obit: 1890OH_x000D_
.bury: 1850IL _x000D_
.wpbt: 1826PA_x000D_
.anc#:ancestor_x000D_
citiz:foreign_x000D_
#spos:1_x000D_
#srcs:1_x000D_
#comment:0_x000D_
#events:1_x000D_
#kids:1_x000D_
lived:?ENDORSE_x000D_
issue:Died after Age 100_x000D_
.recs:Birth,Marriage,Death_x000D_
.imm?:no_x000D_
..Spo:REBECCA KING</t>
        </r>
      </text>
    </comment>
    <comment ref="O5292" authorId="0" shapeId="0" xr:uid="{2651497D-516B-43F2-9725-DDB3085C3007}">
      <text>
        <r>
          <rPr>
            <sz val="9"/>
            <color indexed="81"/>
            <rFont val="Tahoma"/>
            <family val="2"/>
          </rPr>
          <t>WILLIAM KING_x000D_
http://yeinfo.com/family/I09011384.html_x000D_
https://www.google.com/search?q=WILLIAM+KING+1538+1570+CECILY_x000D_
.born:c1538    -          Dorset county England_x000D_
.died: 1570    -1628     ?England, age:32y 0m 0d, _x000D_
.bapt: 1785GE_x000D_
.will: 2004MO_x000D_
.obit: 1890OH_x000D_
.bury: 1850IL _x000D_
.wpbt: 1826PA_x000D_
.anc#:ancestor_x000D_
citiz:foreign_x000D_
#spos:1_x000D_
#srcs:1_x000D_
#comment:0_x000D_
#events:1_x000D_
#kids:1_x000D_
lived:ENDORSE_x000D_
issue:_x000D_
.recs:Birth,Marriage,Death_x000D_
.imm?:no_x000D_
..Spo:CECILY KING</t>
        </r>
      </text>
    </comment>
    <comment ref="P5294" authorId="0" shapeId="0" xr:uid="{E368F55E-7872-4C2D-B3E4-9C370C4E4408}">
      <text>
        <r>
          <rPr>
            <sz val="9"/>
            <color indexed="81"/>
            <rFont val="Tahoma"/>
            <family val="2"/>
          </rPr>
          <t>Mrs. REBECCA KING_x000D_
http://yeinfo.com/family/I09022769.html_x000D_
https://www.google.com/search?q=REBECCA+KING+1510+1538+KING_x000D_
.born: 1510    -          Boxted (Essex) England_x000D_
.died: 1538    -1600     ?England, age:28y 0m 0d, _x000D_
.bapt: 1785GE_x000D_
.will: 2004MO_x000D_
.obit: 1890OH_x000D_
.bury: 1850IL _x000D_
.wpbt: 1826PA_x000D_
.anc#:ancestor_x000D_
citiz:foreign_x000D_
#spos:1_x000D_
#srcs:1_x000D_
#comment:0_x000D_
#events:1_x000D_
#kids:1_x000D_
lived:?ENDORSE,ENESSEXBOXTED_x000D_
issue:_x000D_
.recs:Birth,Marriage,Death_x000D_
.imm?:no_x000D_
..Spo:THOMAS KING</t>
        </r>
      </text>
    </comment>
    <comment ref="N5296" authorId="0" shapeId="0" xr:uid="{0C137389-1A52-4A1C-B160-94D2292BA789}">
      <text>
        <r>
          <rPr>
            <sz val="9"/>
            <color indexed="81"/>
            <rFont val="Tahoma"/>
            <family val="2"/>
          </rPr>
          <t>THOMAS KING Sr._x000D_
http://yeinfo.com/family/I09005692.html_x000D_
https://www.google.com/search?q=THOMAS+KING+1570+1644+SARAH\SUSAN_x000D_
.born: 1570    -          Shaftesbury (Dorset) England_x000D_
.died: 16441203-          Sudbury (Middlesex) Massachusetts, age:74y 11m 2d, _x000D_
.bapt: 1785GE_x000D_
.will: 2004MO_x000D_
.obit: 1890OH_x000D_
.bury: 1850IL _x000D_
.wpbt: 1826PA_x000D_
.anc#:ancestor_x000D_
citiz:immigrant_x000D_
#spos:1_x000D_
#srcs:1_x000D_
#comment:0_x000D_
#events:1_x000D_
#kids:1_x000D_
lived:ENDORSESHAFTES,MAMIDDLSUDBURY_x000D_
issue:Died after Age 100_x000D_
.recs:Birth,Marriage,Death_x000D_
.imm?:immigrant_x000D_
..Spo:SARAH\SUSAN KING</t>
        </r>
      </text>
    </comment>
    <comment ref="O5298" authorId="0" shapeId="0" xr:uid="{726C2D81-13FC-4B81-B0A1-CC1612A9F659}">
      <text>
        <r>
          <rPr>
            <sz val="9"/>
            <color indexed="81"/>
            <rFont val="Tahoma"/>
            <family val="2"/>
          </rPr>
          <t>Mrs. CECILY KING_x000D_
http://yeinfo.com/family/I09011385.html_x000D_
https://www.google.com/search?q=CECILY+KING+1540+1570+KING_x000D_
.born:c1540    -          Shaftesbury (Dorset) England_x000D_
.died: 1570    -1630     ?England, age:30y 0m 0d, _x000D_
.bapt: 1785GE_x000D_
.will: 2004MO_x000D_
.obit: 1890OH_x000D_
.bury: 1850IL _x000D_
.wpbt: 1826PA_x000D_
.anc#:ancestor_x000D_
citiz:foreign_x000D_
#spos:1_x000D_
#srcs:1_x000D_
#comment:0_x000D_
#events:1_x000D_
#kids:1_x000D_
lived:ENDORSESHAFTES_x000D_
issue:_x000D_
.recs:Birth,Marriage,Death_x000D_
.imm?:no_x000D_
..Spo:WILLIAM KING</t>
        </r>
      </text>
    </comment>
    <comment ref="M5300" authorId="0" shapeId="0" xr:uid="{50170F67-950E-41BE-B3DC-81DEE317B303}">
      <text>
        <r>
          <rPr>
            <sz val="9"/>
            <color indexed="81"/>
            <rFont val="Tahoma"/>
            <family val="2"/>
          </rPr>
          <t>THOMAS KING Jr._x000D_
http://yeinfo.com/family/I09002846.html_x000D_
https://www.google.com/search?q=THOMAS+KING+1600+1676+ANN+Loker_x000D_
.born: 1600    -          England_x000D_
.died:c1676    -         ?Marlborough (Middlesex) Massachusetts, age:76y 0m 0d, _x000D_
.bapt: 1785GE_x000D_
.will: 2004MO_x000D_
.obit: 1890OH_x000D_
.bury: 1850IL _x000D_
.wpbt: 1826PA_x000D_
.anc#:ancestor_x000D_
citiz:immigrant_x000D_
#spos:2_x000D_
#srcs:12_x000D_
#comment:0_x000D_
#events:10_x000D_
#kids:6_x000D_
lived:ENDORSESHAFTES,MAMIDDLMARLBOR,MAMIDDLSUDBURY,MAWORCELANCAST_x000D_
issue:_x000D_
.recs:Birth,Marriage,Will Written,Death_x000D_
.imm?:immigrant_x000D_
..Spo:ANN COLLINS</t>
        </r>
      </text>
    </comment>
    <comment ref="R5302" authorId="0" shapeId="0" xr:uid="{A616F51E-F668-42AD-9166-64553599E4F8}">
      <text>
        <r>
          <rPr>
            <sz val="9"/>
            <color indexed="81"/>
            <rFont val="Tahoma"/>
            <family val="2"/>
          </rPr>
          <t>JOHN KING_x000D_
http://yeinfo.com/family/I09065655.html_x000D_
https://www.google.com/search?q=JOHN+KING+1489+1543+ALICE_x000D_
.born: 1489    -          England_x000D_
.died: 1543    -          Althorne (Essex) England, age:54y 0m 0d, _x000D_
.bapt: 1785GE_x000D_
.will: 2004MO_x000D_
.obit: 1890OH_x000D_
.bury: 1850IL _x000D_
.wpbt: 1826PA_x000D_
.anc#:ancestor_x000D_
citiz:foreign_x000D_
#spos:1_x000D_
#srcs:1_x000D_
#comment:0_x000D_
#events:1_x000D_
#kids:1_x000D_
lived:ENESSEXALTHORN_x000D_
issue:_x000D_
.recs:Birth,Marriage,Death_x000D_
.imm?:no_x000D_
..Spo:ALICE SLYNY</t>
        </r>
      </text>
    </comment>
    <comment ref="Q5304" authorId="0" shapeId="0" xr:uid="{F09775EF-6AE4-403B-B3B8-893DD92C948A}">
      <text>
        <r>
          <rPr>
            <sz val="9"/>
            <color indexed="81"/>
            <rFont val="Tahoma"/>
            <family val="2"/>
          </rPr>
          <t>THOMAS KING_x000D_
http://yeinfo.com/family/I09045544.html_x000D_
https://www.google.com/search?q=THOMAS+KING+1506+1570+ISABELLA_x000D_
.born: 1506    -          Boxted (Essex) England_x000D_
.died: 15700901-          Great Baddow (Essex) England, age:64y 8m 0d, _x000D_
.bapt: 1785GE_x000D_
.will: 2004MO_x000D_
.obit: 1890OH_x000D_
.bury: 1850IL _x000D_
.wpbt: 1826PA_x000D_
.anc#:ancestor_x000D_
citiz:foreign_x000D_
#spos:1_x000D_
#srcs:1_x000D_
#comment:0_x000D_
#events:1_x000D_
#kids:1_x000D_
lived:ENESSEXBOXTED,ENESSEXGREATBA_x000D_
issue:Born before Parents Married_x000D_
.recs:Birth,Marriage,Death_x000D_
.imm?:no_x000D_
..Spo:ISABELLA JOHNS</t>
        </r>
      </text>
    </comment>
    <comment ref="S5306" authorId="0" shapeId="0" xr:uid="{D99D9FDB-93FD-4722-875A-D1F4B9CF73CC}">
      <text>
        <r>
          <rPr>
            <sz val="9"/>
            <color indexed="81"/>
            <rFont val="Tahoma"/>
            <family val="2"/>
          </rPr>
          <t>WILLIAM JOHN SLYNY_x000D_
http://yeinfo.com/family/I09065797.html_x000D_
https://www.google.com/search?q=WILLIAM+JOHN+SLYNY+1470+1494+{_?_}_x000D_
.born: 14700911-          Great Baddow (Essex) England_x000D_
.died: 1494    -1562      Boxted (Essex) England, age:23y 3m 21d, _x000D_
.bapt: 1785GE_x000D_
.will: 2004MO_x000D_
.obit: 1890OH_x000D_
.bury: 1850IL _x000D_
.wpbt: 1826PA_x000D_
.anc#:ancestor_x000D_
citiz:foreign_x000D_
#spos:1_x000D_
#srcs:1_x000D_
#comment:0_x000D_
#events:1_x000D_
#kids:1_x000D_
lived:ENESSEXBOXTED,ENESSEXGREATBA_x000D_
issue:_x000D_
.recs:Birth,Marriage,Death_x000D_
.imm?:no_x000D_
..Spo:{_?_} SLYNY</t>
        </r>
      </text>
    </comment>
    <comment ref="R5308" authorId="0" shapeId="0" xr:uid="{AB942437-C78B-4412-9F7E-13777EE04175}">
      <text>
        <r>
          <rPr>
            <sz val="9"/>
            <color indexed="81"/>
            <rFont val="Tahoma"/>
            <family val="2"/>
          </rPr>
          <t>ALICE SLYNY_x000D_
http://yeinfo.com/family/I09065668.html_x000D_
https://www.google.com/search?q=ALICE+SLYNY+1493+1540+KING_x000D_
.born:c1493    -          Slyne (Lancashire) England_x000D_
.died: 154002  -         ?England, age:47y 1m 0d, _x000D_
.bapt: 1785GE_x000D_
.will: 2004MO_x000D_
.obit: 1890OH_x000D_
.bury: 1850IL _x000D_
.wpbt: 1826PA_x000D_
.anc#:ancestor_x000D_
citiz:foreign_x000D_
#spos:1_x000D_
#srcs:1_x000D_
#comment:0_x000D_
#events:1_x000D_
#kids:1_x000D_
lived:ENLANCSSLYNE_x000D_
issue:_x000D_
.recs:Birth,Marriage,Death_x000D_
.imm?:no_x000D_
..Spo:JOHN KING</t>
        </r>
      </text>
    </comment>
    <comment ref="S5310" authorId="0" shapeId="0" xr:uid="{2F5A5055-955E-4F7D-A3B4-E57DD5053AC5}">
      <text>
        <r>
          <rPr>
            <sz val="9"/>
            <color indexed="81"/>
            <rFont val="Tahoma"/>
            <family val="2"/>
          </rPr>
          <t>Mrs. {_?_} SLYNY_x000D_
http://yeinfo.com/family/I09065796.html_x000D_
https://www.google.com/search?q={_?_}+SLYNY+1472+1494+SLYNY_x000D_
.born:?1472    -         ?England_x000D_
.died: 1494    -1562     ?England, age:22y 0m 0d, _x000D_
.bapt: 1785GE_x000D_
.will: 2004MO_x000D_
.obit: 1890OH_x000D_
.bury: 1850IL _x000D_
.wpbt: 1826PA_x000D_
.anc#:ancestor_x000D_
citiz:foreign_x000D_
#spos:1_x000D_
#srcs:1_x000D_
#comment:0_x000D_
#events:1_x000D_
#kids:1_x000D_
lived:?ENESSEX_x000D_
issue:_x000D_
.recs:Birth,Marriage,Death_x000D_
.imm?:no_x000D_
..Spo:WILLIAM JOHN SLYNY</t>
        </r>
      </text>
    </comment>
    <comment ref="P5312" authorId="0" shapeId="0" xr:uid="{BE3AE384-2FD6-4406-9E97-9DF156A1DC51}">
      <text>
        <r>
          <rPr>
            <sz val="9"/>
            <color indexed="81"/>
            <rFont val="Tahoma"/>
            <family val="2"/>
          </rPr>
          <t>THOMAS KING II_x000D_
http://yeinfo.com/family/I09022772.html_x000D_
https://www.google.com/search?q=THOMAS+KING+1525+1602+REBECCA+JOAN_x000D_
.born: 1525    -          Boxted (Essex) England_x000D_
.died: 16020512-          Boxted (Essex) England, age:77y 4m 11d, _x000D_
.bapt: 1785GE_x000D_
.will: 2004MO_x000D_
.obit: 1890OH_x000D_
.bury: 1850IL _x000D_
.wpbt: 1826PA_x000D_
.anc#:ancestor_x000D_
citiz:foreign_x000D_
#spos:1_x000D_
#srcs:1_x000D_
#comment:0_x000D_
#events:1_x000D_
#kids:1_x000D_
lived:ENESSEXBOXTED_x000D_
issue:_x000D_
.recs:Birth,Marriage,Death_x000D_
.imm?:no_x000D_
..Spo:REBECCA JOAN CHALK</t>
        </r>
      </text>
    </comment>
    <comment ref="Q5314" authorId="0" shapeId="0" xr:uid="{96440F18-1D73-4670-A80E-B97F0A4E0399}">
      <text>
        <r>
          <rPr>
            <sz val="9"/>
            <color indexed="81"/>
            <rFont val="Tahoma"/>
            <family val="2"/>
          </rPr>
          <t>ISABELLA JOHNS_x000D_
http://yeinfo.com/family/I09045545.html_x000D_
https://www.google.com/search?q=ISABELLA+JOHNS+1509+1540+KING_x000D_
.born:c1509    -          Boxted (Essex) England_x000D_
.died: 154002  -          Boxted (Essex) England, age:31y 1m 0d, _x000D_
.bapt: 1785GE_x000D_
.will: 2004MO_x000D_
.obit: 1890OH_x000D_
.bury: 1850IL _x000D_
.wpbt: 1826PA_x000D_
.anc#:ancestor_x000D_
citiz:foreign_x000D_
#spos:1_x000D_
#srcs:1_x000D_
#comment:0_x000D_
#events:1_x000D_
#kids:1_x000D_
lived:ENESSEXBOXTED_x000D_
issue:Died after Age 100_x000D_
.recs:Birth,Marriage,Death_x000D_
.imm?:no_x000D_
..Spo:THOMAS KING</t>
        </r>
      </text>
    </comment>
    <comment ref="O5316" authorId="0" shapeId="0" xr:uid="{4A7FF4A6-37DA-4232-971C-C79279AE6BC7}">
      <text>
        <r>
          <rPr>
            <sz val="9"/>
            <color indexed="81"/>
            <rFont val="Tahoma"/>
            <family val="2"/>
          </rPr>
          <t>ROBERT KING_x000D_
http://yeinfo.com/family/I09011386.html_x000D_
https://www.google.com/search?q=ROBERT+KING+1557+1577+ANN_x000D_
.born:c1557    -          Barnstaple (Devon) England_x000D_
.died: 1577    -1647     ?, age:20y 0m 0d, _x000D_
.bapt: 1785GE_x000D_
.will: 2004MO_x000D_
.obit: 1890OH_x000D_
.bury: 1850IL _x000D_
.wpbt: 1826PA_x000D_
.anc#:ancestor_x000D_
citiz:foreign_x000D_
#spos:1_x000D_
#srcs:1_x000D_
#comment:0_x000D_
#events:1_x000D_
#kids:1_x000D_
lived:?ENDORSE,ENDEVONBARNSTA_x000D_
issue:_x000D_
.recs:Birth,Marriage,Death_x000D_
.imm?:no_x000D_
..Spo:ANN HAWKS</t>
        </r>
      </text>
    </comment>
    <comment ref="R5318" authorId="0" shapeId="0" xr:uid="{55F17C70-FC6F-4F55-A61A-29535742B5FC}">
      <text>
        <r>
          <rPr>
            <sz val="9"/>
            <color indexed="81"/>
            <rFont val="Tahoma"/>
            <family val="2"/>
          </rPr>
          <t>GEORGE BROAD CHALK_x000D_
http://yeinfo.com/family/I09065642.html_x000D_
https://www.google.com/search?q=GEORGE+BROAD+CHALK+1485+1511+MARY+MARIA_x000D_
.born:?1485    -         ?Broad Chalk (Wiltshire) England_x000D_
.died: 1511    -          Broad Chalk (Wiltshire) England, age:26y 0m 0d, _x000D_
.bapt: 1785GE_x000D_
.will: 2004MO_x000D_
.obit: 1890OH_x000D_
.bury: 1850IL _x000D_
.wpbt: 1826PA_x000D_
.anc#:ancestor_x000D_
citiz:foreign_x000D_
#spos:1_x000D_
#srcs:1_x000D_
#comment:0_x000D_
#events:1_x000D_
#kids:1_x000D_
lived:?ENWILTSBROADCH_x000D_
issue:_x000D_
.recs:Birth,Marriage,Death_x000D_
.imm?:no_x000D_
..Spo:MARY MARIA CAPLIN</t>
        </r>
      </text>
    </comment>
    <comment ref="Q5320" authorId="0" shapeId="0" xr:uid="{8CE92A9E-78ED-4F6C-ADEB-95FA9CBE82DD}">
      <text>
        <r>
          <rPr>
            <sz val="9"/>
            <color indexed="81"/>
            <rFont val="Tahoma"/>
            <family val="2"/>
          </rPr>
          <t>JAMES ASKEW CHALK_x000D_
http://yeinfo.com/family/I09045546.html_x000D_
https://www.google.com/search?q=JAMES+ASKEW+CHALK+1505+1536+MALINDA_x000D_
.born: 1505    -          Boxted (Essex) England_x000D_
.died:c1536    -          Broad Chalk (Wiltshire) England, age:31y 0m 0d, _x000D_
.bapt: 1785GE_x000D_
.will: 2004MO_x000D_
.obit: 1890OH_x000D_
.bury: 1850IL _x000D_
.wpbt: 1826PA_x000D_
.anc#:ancestor_x000D_
citiz:foreign_x000D_
#spos:1_x000D_
#srcs:1_x000D_
#comment:0_x000D_
#events:1_x000D_
#kids:1_x000D_
lived:ENESSEXBOXTED,ENWILTSBROADCH_x000D_
issue:_x000D_
.recs:Birth,Marriage,Death_x000D_
.imm?:no_x000D_
..Spo:MALINDA SIMMONS</t>
        </r>
      </text>
    </comment>
    <comment ref="R5322" authorId="0" shapeId="0" xr:uid="{BC2A6EF1-59E9-402B-8D0A-EB6556F13C65}">
      <text>
        <r>
          <rPr>
            <sz val="9"/>
            <color indexed="81"/>
            <rFont val="Tahoma"/>
            <family val="2"/>
          </rPr>
          <t>MARY MARIA CAPLIN_x000D_
http://yeinfo.com/family/I09065641.html_x000D_
https://www.google.com/search?q=MARY+MARIA+CAPLIN+1485+1505+CHALK_x000D_
.born:c1485    -         ?England_x000D_
.died: 1505    -1575     ?England, age:20y 0m 0d, _x000D_
.bapt: 1785GE_x000D_
.will: 2004MO_x000D_
.obit: 1890OH_x000D_
.bury: 1850IL _x000D_
.wpbt: 1826PA_x000D_
.anc#:ancestor_x000D_
citiz:foreign_x000D_
#spos:1_x000D_
#srcs:1_x000D_
#comment:0_x000D_
#events:1_x000D_
#kids:1_x000D_
lived:?ENWILTS_x000D_
issue:_x000D_
.recs:Birth,Marriage,Death_x000D_
.imm?:no_x000D_
..Spo:GEORGE BROAD CHALK</t>
        </r>
      </text>
    </comment>
    <comment ref="P5324" authorId="0" shapeId="0" xr:uid="{48606C4E-893E-4629-8072-600FE68726B6}">
      <text>
        <r>
          <rPr>
            <sz val="9"/>
            <color indexed="81"/>
            <rFont val="Tahoma"/>
            <family val="2"/>
          </rPr>
          <t>REBECCA JOAN CHALK_x000D_
http://yeinfo.com/family/I09022773.html_x000D_
https://www.google.com/search?q=REBECCA+JOAN+CHALK+1535+1605+KING_x000D_
.born: 1535    -          Boxted (Essex) England_x000D_
.died: 16050101-          Boxted (Essex) England, age:70y 0m 0d, _x000D_
.bapt: 1785GE_x000D_
.will: 2004MO_x000D_
.obit: 1890OH_x000D_
.bury: 1850IL _x000D_
.wpbt: 1826PA_x000D_
.anc#:ancestor_x000D_
citiz:foreign_x000D_
#spos:1_x000D_
#srcs:1_x000D_
#comment:0_x000D_
#events:1_x000D_
#kids:1_x000D_
lived:ENESSEXBOXTED_x000D_
issue:Died after Age 100_x000D_
.recs:Birth,Marriage,Death_x000D_
.imm?:no_x000D_
..Spo:THOMAS KING</t>
        </r>
      </text>
    </comment>
    <comment ref="Q5326" authorId="0" shapeId="0" xr:uid="{EEF12DC9-7CD0-4793-94F0-2443A84A9B84}">
      <text>
        <r>
          <rPr>
            <sz val="9"/>
            <color indexed="81"/>
            <rFont val="Tahoma"/>
            <family val="2"/>
          </rPr>
          <t>MALINDA SIMMONS_x000D_
http://yeinfo.com/family/I09045547.html_x000D_
https://www.google.com/search?q=MALINDA+SIMMONS+1508+1535+CHALK_x000D_
.born: 1508    -         ?England_x000D_
.died: 1535    -          Essex county England, age:27y 0m 0d, _x000D_
.bapt: 1785GE_x000D_
.will: 2004MO_x000D_
.obit: 1890OH_x000D_
.bury: 1850IL _x000D_
.wpbt: 1826PA_x000D_
.anc#:ancestor_x000D_
citiz:foreign_x000D_
#spos:1_x000D_
#srcs:1_x000D_
#comment:0_x000D_
#events:1_x000D_
#kids:1_x000D_
lived:?ENESSEX_x000D_
issue:_x000D_
.recs:Birth,Marriage,Death_x000D_
.imm?:no_x000D_
..Spo:JAMES ASKEW CHALK</t>
        </r>
      </text>
    </comment>
    <comment ref="N5328" authorId="0" shapeId="0" xr:uid="{DFB99957-400F-48AC-9C2F-1EA93353AEF6}">
      <text>
        <r>
          <rPr>
            <sz val="9"/>
            <color indexed="81"/>
            <rFont val="Tahoma"/>
            <family val="2"/>
          </rPr>
          <t>SARAH\SUSAN KING_x000D_
http://yeinfo.com/family/I09005693.html_x000D_
https://www.google.com/search?q=SARAH\SUSAN+KING+1575+1678+KING_x000D_
.born:c1575    -          Dorchester (Dorset) England_x000D_
.died: 1678    -          Sudbury (Middlesex) Massachusetts, age:103y 0m 0d, _x000D_
.bapt: 1785GE_x000D_
.will: 2004MO_x000D_
.obit: 1890OH_x000D_
.bury: 1850IL _x000D_
.wpbt: 1826PA_x000D_
.anc#:ancestor_x000D_
citiz:immigrant_x000D_
#spos:1_x000D_
#srcs:1_x000D_
#comment:0_x000D_
#events:2_x000D_
#kids:1_x000D_
lived:ENDORSEDORCHES,MAMIDDLSUDBURY_x000D_
issue:Died after Age 100,Married after Age 60_x000D_
.recs:Birth,Marriage,Death_x000D_
.imm?:immigrant_x000D_
..Spo:THOMAS KING</t>
        </r>
      </text>
    </comment>
    <comment ref="R5330" authorId="0" shapeId="0" xr:uid="{BC367883-94E1-408F-AF02-36CD741D2F70}">
      <text>
        <r>
          <rPr>
            <sz val="9"/>
            <color indexed="81"/>
            <rFont val="Tahoma"/>
            <family val="2"/>
          </rPr>
          <t>CHARLES HAWKS_x000D_
http://yeinfo.com/family/I09065650.html_x000D_
https://www.google.com/search?q=CHARLES+HAWKS+1500+1521+AGNES_x000D_
.born: 1500    -          England_x000D_
.died: 1521    -1590     ?England, age:21y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..Spo:AGNES GREADE</t>
        </r>
      </text>
    </comment>
    <comment ref="Q5332" authorId="0" shapeId="0" xr:uid="{B1984F69-5CD2-4216-8B6E-5FCB3A11E88E}">
      <text>
        <r>
          <rPr>
            <sz val="9"/>
            <color indexed="81"/>
            <rFont val="Tahoma"/>
            <family val="2"/>
          </rPr>
          <t>JOHN HAWKS_x000D_
http://yeinfo.com/family/I09045548.html_x000D_
https://www.google.com/search?q=JOHN+HAWKS+1521+1588+ELIZABETH_x000D_
.born: 1521    -          England_x000D_
.died: 1588    -          England, age:67y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..Spo:ELIZABETH RAWVERENT</t>
        </r>
      </text>
    </comment>
    <comment ref="R5334" authorId="0" shapeId="0" xr:uid="{D654EFBF-2BAA-4888-9A8E-DA38B78859F9}">
      <text>
        <r>
          <rPr>
            <sz val="9"/>
            <color indexed="81"/>
            <rFont val="Tahoma"/>
            <family val="2"/>
          </rPr>
          <t>AGNES GREADE_x000D_
http://yeinfo.com/family/I09065648.html_x000D_
https://www.google.com/search?q=AGNES+GREADE+1500+1521+HAWKS_x000D_
.born: 1500    -          England_x000D_
.died: 1521    -1590     ?England, age:21y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..Spo:CHARLES HAWKS</t>
        </r>
      </text>
    </comment>
    <comment ref="P5336" authorId="0" shapeId="0" xr:uid="{CF6B5F28-2AD7-46E8-ABFA-35D6875D03D1}">
      <text>
        <r>
          <rPr>
            <sz val="9"/>
            <color indexed="81"/>
            <rFont val="Tahoma"/>
            <family val="2"/>
          </rPr>
          <t>ABRAHAM HAWKS_x000D_
http://yeinfo.com/family/I09022774.html_x000D_
https://www.google.com/search?q=ABRAHAM+HAWKS+1541+1639+{_?_}_x000D_
.born:c1541    -          England_x000D_
.died: 1639    -          England, age:98y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..Spo:{_?_} HAWKS</t>
        </r>
      </text>
    </comment>
    <comment ref="Q5338" authorId="0" shapeId="0" xr:uid="{6EDF175E-7BB0-45F4-960A-F4363A4E48A4}">
      <text>
        <r>
          <rPr>
            <sz val="9"/>
            <color indexed="81"/>
            <rFont val="Tahoma"/>
            <family val="2"/>
          </rPr>
          <t>ELIZABETH RAWVERENT_x000D_
http://yeinfo.com/family/I09045549.html_x000D_
https://www.google.com/search?q=ELIZABETH+RAWVERENT+1520+1602+HAWKS_x000D_
.born: 1520    -          England_x000D_
.died: 1602    -          England, age:82y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..Spo:JOHN HAWKS</t>
        </r>
      </text>
    </comment>
    <comment ref="O5340" authorId="0" shapeId="0" xr:uid="{B375AC72-ECD7-4E81-95F6-47DD5CE421D7}">
      <text>
        <r>
          <rPr>
            <sz val="9"/>
            <color indexed="81"/>
            <rFont val="Tahoma"/>
            <family val="2"/>
          </rPr>
          <t>ANN HAWKS_x000D_
http://yeinfo.com/family/I09011387.html_x000D_
https://www.google.com/search?q=ANN+HAWKS+1561+1581+KING_x000D_
.born:c1561    -          Barnstaple (Devon) England_x000D_
.died: 1581    -1651     ?, age:20y 0m 0d, _x000D_
.bapt: 1785GE_x000D_
.will: 2004MO_x000D_
.obit: 1890OH_x000D_
.bury: 1850IL _x000D_
.wpbt: 1826PA_x000D_
.anc#:ancestor_x000D_
citiz:foreign_x000D_
#spos:1_x000D_
#srcs:1_x000D_
#comment:0_x000D_
#events:1_x000D_
#kids:1_x000D_
lived:?ENDORSE,ENDEVONBARNSTA_x000D_
issue:Died after Age 100_x000D_
.recs:Birth,Marriage,Death_x000D_
.imm?:no_x000D_
..Spo:ROBERT KING</t>
        </r>
      </text>
    </comment>
    <comment ref="P5342" authorId="0" shapeId="0" xr:uid="{1EC8AECF-C16D-451E-BAC1-3782A8E673AF}">
      <text>
        <r>
          <rPr>
            <sz val="9"/>
            <color indexed="81"/>
            <rFont val="Tahoma"/>
            <family val="2"/>
          </rPr>
          <t>Mrs. {_?_} HAWKS_x000D_
http://yeinfo.com/family/I09022775.html_x000D_
https://www.google.com/search?q={_?_}+HAWKS+1541+1561+HAWKS_x000D_
.born:c1541    -         ?England_x000D_
.died: 1561    -1631     ?England, age:20y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..Spo:ABRAHAM HAWKS</t>
        </r>
      </text>
    </comment>
    <comment ref="L5344" authorId="0" shapeId="0" xr:uid="{B85A954F-0DB9-4F74-9491-B7792EA6420E}">
      <text>
        <r>
          <rPr>
            <sz val="9"/>
            <color indexed="81"/>
            <rFont val="Tahoma"/>
            <family val="2"/>
          </rPr>
          <t>MARY\BLANDENIA KING_x000D_
http://yeinfo.com/family/I09001423.html_x000D_
https://www.google.com/search?q=MARY\BLANDENIA+KING+1631+1715+RICE_x000D_
.born:?1631    -          _x000D_
.died: 17150322-          , age:84y 2m 21d, _x000D_
.bapt: 1785GE_x000D_
.will: 2004MO_x000D_
.obit: 1890OH_x000D_
.bury: 1850IL _x000D_
.wpbt: 1826PA_x000D_
.anc#:ancestor_x000D_
citiz:US born_x000D_
#spos:1_x000D_
#srcs:7_x000D_
#comment:0_x000D_
#events:2_x000D_
#kids:14_x000D_
lived:MAMIDDLSUDBURY_x000D_
issue:_x000D_
.recs:Birth,Marriage,Death_x000D_
.imm?:no_x000D_
..Spo:THOMAS RICE</t>
        </r>
      </text>
    </comment>
    <comment ref="M5346" authorId="0" shapeId="0" xr:uid="{56B56DAA-EC33-4556-BB48-1AF6B29A42AA}">
      <text>
        <r>
          <rPr>
            <sz val="9"/>
            <color indexed="81"/>
            <rFont val="Tahoma"/>
            <family val="2"/>
          </rPr>
          <t>ANN COLLINS_x000D_
http://yeinfo.com/family/I09002847.html_x000D_
https://www.google.com/search?q=ANN+COLLINS+1605+1642+KING_x000D_
.born:?1605    -          England_x000D_
.died: 16421224-          Sudbury (Middlesex) Massachusetts, age:37y 11m 23d, _x000D_
.bapt: 1785GE_x000D_
.will: 2004MO_x000D_
.obit: 1890OH_x000D_
.bury: 1850IL _x000D_
.wpbt: 1826PA_x000D_
.anc#:ancestor_x000D_
citiz:immigrant_x000D_
#spos:1_x000D_
#srcs:4_x000D_
#comment:0_x000D_
#events:1_x000D_
#kids:6_x000D_
lived:EN,MAMIDDLSUDBURY_x000D_
issue:_x000D_
.recs:Birth,Marriage,Death_x000D_
.imm?:immigrant_x000D_
..Spo:THOMAS KING</t>
        </r>
      </text>
    </comment>
    <comment ref="G5348" authorId="0" shapeId="0" xr:uid="{2219D56D-7765-40E4-B198-AD7157DED013}">
      <text>
        <r>
          <rPr>
            <sz val="9"/>
            <color indexed="81"/>
            <rFont val="Tahoma"/>
            <family val="2"/>
          </rPr>
          <t>MARTIN MOORE_x000D_
http://yeinfo.com/family/I09000044.html_x000D_
https://www.google.com/search?q=MARTIN+MOORE+1804+1878+DOLLY_x000D_
.born: 18040211-          Dummerston (Windham) Vermont_x000D_
.died: 18780213-          Somerville (Middlesex) Massachusetts, age:74y 0m 2d, _x000D_
.bapt: 1785GE_x000D_
.will: 2004MO_x000D_
.obit: 1890OH_x000D_
.bury: 1850IL _x000D_
.wpbt: 1826PA_x000D_
.anc#:ancestor_x000D_
citiz:US born_x000D_
#spos:1_x000D_
#srcs:8_x000D_
#comment:1_x000D_
#events:8_x000D_
#kids:6_x000D_
lived:MAMIDDLSOMERVI,VTWINDHBRATTLB,VTWINDHDUMMERS_x000D_
issue:_x000D_
.recs:Birth,Marriage,Job/Occupation,Death_x000D_
.imm?:no_x000D_
..Spo:DOLLY DEAN</t>
        </r>
      </text>
    </comment>
    <comment ref="M5350" authorId="0" shapeId="0" xr:uid="{854C0E95-8F27-4689-B287-E13F265D7481}">
      <text>
        <r>
          <rPr>
            <sz val="9"/>
            <color indexed="81"/>
            <rFont val="Tahoma"/>
            <family val="2"/>
          </rPr>
          <t>JOHN MOORE_x000D_
http://yeinfo.com/family/I09005446.html_x000D_
https://www.google.com/search?q=JOHN+MOORE+1598+1674+ELIZABETH+RICE_x000D_
.born:?1598    -          Thaxted (Essex) England_x000D_
.died: 16740106-          Sudbury (Middlesex) Massachusetts, age:76y 0m 5d, _x000D_
.bapt: 1785GE_x000D_
.will: 2004MO_x000D_
.obit: 1890OH_x000D_
.bury: 1850IL _x000D_
.wpbt: 1826PA_x000D_
.anc#: quintuple ancestor_x000D_
citiz:immigrant_x000D_
#spos:2_x000D_
#srcs:32_x000D_
#comment:1_x000D_
#events:12_x000D_
#kids:12_x000D_
lived:?ENESSEXHENHAM,ENESSEXTHAXTED,ENHERTFLITTLEG,MAMIDDLCAMBRID,MAMIDDLSUDBURY,MAWORCELANCAST_x000D_
issue:AncFlags between Spouses Mismatched_x000D_
.recs:Birth,Marriage,Will Written,Death,Land Transaction,Freeman,Oath Taken_x000D_
.imm?:immigrant_x000D_
..Spo:ELIZABETH MOORE</t>
        </r>
      </text>
    </comment>
    <comment ref="L5352" authorId="0" shapeId="0" xr:uid="{D144531D-D4D0-400C-BB15-6E2A099D90F8}">
      <text>
        <r>
          <rPr>
            <sz val="9"/>
            <color indexed="81"/>
            <rFont val="Tahoma"/>
            <family val="2"/>
          </rPr>
          <t>JOHN MOORE Jr._x000D_
http://yeinfo.com/family/I09001408.html_x000D_
https://www.google.com/search?q=JOHN+MOORE+1628+1702+ANN+MOORE_x000D_
.born:?1628    -         ?Henham (Essex) England_x000D_
.died:a17020923-          Lancaster (Worcester) Massachusetts, age:74y 8m 22d, _x000D_
.bapt: 1785GE_x000D_
.will: 2004MO_x000D_
.obit: 1890OH_x000D_
.bury: 1850IL _x000D_
.wpbt: 1826PA_x000D_
.anc#:double ancestor_x000D_
citiz:immigrant_x000D_
#spos:2_x000D_
#srcs:23_x000D_
#comment:0_x000D_
#events:19_x000D_
#kids:8_x000D_
lived:?ENESSEXHENHAM,MAMIDDLSUDBURY,MAWORCELANCAST_x000D_
issue:_x000D_
.recs:Birth,Baptism,Military,Marriage,Job/Occupation,Deed,Will Written,Land Transaction,Inventory_x000D_
.imm?:immigrant_x000D_
..Spo:ANN SMITH</t>
        </r>
      </text>
    </comment>
    <comment ref="M5354" authorId="0" shapeId="0" xr:uid="{5406F2E4-935E-4DCA-9118-071DD7C59020}">
      <text>
        <r>
          <rPr>
            <sz val="9"/>
            <color indexed="81"/>
            <rFont val="Tahoma"/>
            <family val="2"/>
          </rPr>
          <t>Mrs. ELIZABETH MOORE_x000D_
http://yeinfo.com/family/I09002817.html_x000D_
https://www.google.com/search?q=ELIZABETH+MOORE+1600+1633+MOORE_x000D_
.born:?1600    -         ?England_x000D_
.died:a16331127-         ?England, age:33y 10m 26d, _x000D_
.bapt: 1785GE_x000D_
.will: 2004MO_x000D_
.obit: 1890OH_x000D_
.bury: 1850IL _x000D_
.wpbt: 1826PA_x000D_
.anc#:  quadruple ancestor_x000D_
citiz:foreign_x000D_
#spos:1_x000D_
#srcs:7_x000D_
#comment:1_x000D_
#events:1_x000D_
#kids:3_x000D_
lived:?ENESSEXHENHAM,?MA_x000D_
issue:_x000D_
.recs:Birth,Marriage,Death_x000D_
.imm?:no_x000D_
..Spo:JOHN MOORE</t>
        </r>
      </text>
    </comment>
    <comment ref="K5356" authorId="0" shapeId="0" xr:uid="{8D320BC4-8967-40FA-83F5-730699C6A490}">
      <text>
        <r>
          <rPr>
            <sz val="9"/>
            <color indexed="81"/>
            <rFont val="Tahoma"/>
            <family val="2"/>
          </rPr>
          <t>JONATHAN MOORE_x000D_
http://yeinfo.com/family/I09000712.html_x000D_
https://www.google.com/search?q=JONATHAN+MOORE+1669+1742+HANNAH_x000D_
.born: 16690519-          Lancaster (Worcester) Massachusetts_x000D_
.died: 17420206-          Bolton (Worcester) Massachusetts, age:72y 8m 18d, _x000D_
.bapt: 1785GE_x000D_
.will: 2004MO_x000D_
.obit: 1890OH_x000D_
.bury: 1850IL _x000D_
.wpbt: 1826PA_x000D_
.anc#:ancestor_x000D_
citiz:US born_x000D_
#spos:1_x000D_
#srcs:10_x000D_
#comment:1_x000D_
#events:8_x000D_
#kids:12_x000D_
lived:MAWORCEBOLTON,MAWORCELANCAST,MAWORCEWORCEST_x000D_
issue:_x000D_
.recs:Birth,Marriage,Deed,Will Written,Church_x000D_
.imm?:no_x000D_
..Spo:HANNAH SAWYER</t>
        </r>
      </text>
    </comment>
    <comment ref="M5358" authorId="0" shapeId="0" xr:uid="{5D59C30E-9099-418B-8424-F9F08A038788}">
      <text>
        <r>
          <rPr>
            <sz val="9"/>
            <color indexed="81"/>
            <rFont val="Tahoma"/>
            <family val="2"/>
          </rPr>
          <t>JOHN SMITH_x000D_
http://yeinfo.com/family/I09002818.html_x000D_
https://www.google.com/search?q=JOHN+SMITH+1610+1669+ALICE\MARY_x000D_
.born:?1610    -         ?England_x000D_
.died: 16690716-          Lancaster (Worcester) Massachusetts, age:59y 6m 15d, _x000D_
.bapt: 1785GE_x000D_
.will: 2004MO_x000D_
.obit: 1890OH_x000D_
.bury: 1850IL _x000D_
.wpbt: 1826PA_x000D_
.anc#:double ancestor_x000D_
citiz:immigrant_x000D_
#spos:1_x000D_
#srcs:12_x000D_
#comment:0_x000D_
#events:7_x000D_
#kids:4_x000D_
lived:?EN,MAMIDDLSUDBURY,MAWORCELANCAST_x000D_
issue:_x000D_
.recs:Birth,Marriage,Will Written,Death_x000D_
.imm?:immigrant_x000D_
..Spo:ALICE\MARY SMITH</t>
        </r>
      </text>
    </comment>
    <comment ref="L5360" authorId="0" shapeId="0" xr:uid="{19D4BF31-AE46-4059-92C1-4CA1E0D90C8B}">
      <text>
        <r>
          <rPr>
            <sz val="9"/>
            <color indexed="81"/>
            <rFont val="Tahoma"/>
            <family val="2"/>
          </rPr>
          <t>ANN SMITH_x000D_
http://yeinfo.com/family/I09001409.html_x000D_
https://www.google.com/search?q=ANN+SMITH+1635+1671+MOORE_x000D_
.born:?1635    -         ?Massachusetts_x000D_
.died: 16710310-          Lancaster (Worcester) Massachusetts, age:36y 2m 9d, _x000D_
.bapt: 1785GE_x000D_
.will: 2004MO_x000D_
.obit: 1890OH_x000D_
.bury: 1850IL _x000D_
.wpbt: 1826PA_x000D_
.anc#:double ancestor_x000D_
citiz:US born_x000D_
#spos:1_x000D_
#srcs:12_x000D_
#comment:0_x000D_
#events:2_x000D_
#kids:8_x000D_
lived:?MA,MAMIDDLSUDBURY,MAWORCELANCAST_x000D_
issue:_x000D_
.recs:Birth,Marriage,Death_x000D_
.imm?:no_x000D_
..Spo:JOHN MOORE</t>
        </r>
      </text>
    </comment>
    <comment ref="M5362" authorId="0" shapeId="0" xr:uid="{CBE3CEBC-68D3-4BE2-AEDD-CC49EF715EEB}">
      <text>
        <r>
          <rPr>
            <sz val="9"/>
            <color indexed="81"/>
            <rFont val="Tahoma"/>
            <family val="2"/>
          </rPr>
          <t>Mrs. ALICE\MARY SMITH_x000D_
http://yeinfo.com/family/I09002819.html_x000D_
https://www.google.com/search?q=ALICE\MARY+SMITH+1610+1659+SMITH_x000D_
.born:?1610    -         ?England_x000D_
.died: 16591027-          Lancaster (Worcester) Massachusetts, age:49y 9m 26d, _x000D_
.bapt: 1785GE_x000D_
.will: 2004MO_x000D_
.obit: 1890OH_x000D_
.bury: 1850IL _x000D_
.wpbt: 1826PA_x000D_
.anc#:double ancestor_x000D_
citiz:immigrant_x000D_
#spos:1_x000D_
#srcs:4_x000D_
#comment:1_x000D_
#events:1_x000D_
#kids:4_x000D_
lived:?EN,MAWORCELANCAST_x000D_
issue:_x000D_
.recs:Birth,Marriage,Death_x000D_
.imm?:immigrant_x000D_
..Spo:JOHN SMITH</t>
        </r>
      </text>
    </comment>
    <comment ref="J5364" authorId="0" shapeId="0" xr:uid="{1D140E72-876B-4AB4-A4B2-0D5BA9F082FD}">
      <text>
        <r>
          <rPr>
            <sz val="9"/>
            <color indexed="81"/>
            <rFont val="Tahoma"/>
            <family val="2"/>
          </rPr>
          <t>ABRAHAM MOORE_x000D_
http://yeinfo.com/family/I09000356.html_x000D_
https://www.google.com/search?q=ABRAHAM+MOORE+1716+1773+SILENCE_x000D_
.born: 17161231-         ?Lancaster (Worcester) Massachusetts_x000D_
.died: 17731110-          Bolton (Worcester) Massachusetts, age:56y 10m 10d, _x000D_
.bapt: 1785GE_x000D_
.will: 2004MO_x000D_
.obit: 1890OH_x000D_
.bury: 1850IL Old South Burying Ground_x000D_
.wpbt: 1826PA_x000D_
.anc#:ancestor_x000D_
citiz:US born_x000D_
#spos:1_x000D_
#srcs:10_x000D_
#comment:0_x000D_
#events:9_x000D_
#kids:12_x000D_
lived:?MAWORCELANCAST,MAWORCEBOLTON_x000D_
issue:_x000D_
.recs:Birth,Baptism,Marriage,Death,Interment/Burial_x000D_
.imm?:no_x000D_
..Spo:SILENCE NICHOLS</t>
        </r>
      </text>
    </comment>
    <comment ref="N5366" authorId="0" shapeId="0" xr:uid="{F60231AF-947A-43EC-8847-86F13AF022F7}">
      <text>
        <r>
          <rPr>
            <sz val="9"/>
            <color indexed="81"/>
            <rFont val="Tahoma"/>
            <family val="2"/>
          </rPr>
          <t>JOHN SAWYER_x000D_
http://yeinfo.com/family/I09005704.html_x000D_
https://www.google.com/search?q=JOHN+SAWYER+1580+1616+AGNES_x000D_
.born:?1580    -          England_x000D_
.died: 1616    -1670     ?England, age:36y 0m 0d, _x000D_
.bapt: 1785GE_x000D_
.will: 2004MO_x000D_
.obit: 1890OH_x000D_
.bury: 1850IL _x000D_
.wpbt: 1826PA_x000D_
.anc#:ancestor_x000D_
citiz:foreign_x000D_
#spos:1_x000D_
#srcs:1_x000D_
#comment:0_x000D_
#events:1_x000D_
#kids:3_x000D_
lived:EN_x000D_
issue:_x000D_
.recs:Birth,Marriage,Death_x000D_
.imm?:no_x000D_
..Spo:AGNES SHARPE</t>
        </r>
      </text>
    </comment>
    <comment ref="M5368" authorId="0" shapeId="0" xr:uid="{648C2B77-4CF2-4169-B956-B9F4944081F4}">
      <text>
        <r>
          <rPr>
            <sz val="9"/>
            <color indexed="81"/>
            <rFont val="Tahoma"/>
            <family val="2"/>
          </rPr>
          <t>THOMAS SAWYER_x000D_
http://yeinfo.com/family/I09002852.html_x000D_
https://www.google.com/search?q=THOMAS+SAWYER+1616+1706+MARY_x000D_
.born:c1616    -          Lincolnshire county England_x000D_
.died: 17060912-          Lancaster (Worcester) Massachusetts, age:90y 8m 11d, _x000D_
.bapt: 1785GE_x000D_
.will: 2004MO_x000D_
.obit: 1890OH_x000D_
.bury: 1850IL _x000D_
.wpbt: 1826PA_x000D_
.anc#:ancestor_x000D_
citiz:immigrant_x000D_
#spos:1_x000D_
#srcs:10_x000D_
#comment:1_x000D_
#events:10_x000D_
#kids:12_x000D_
lived:ENLINCS,MAESSEXROWLEY,MAWORCELANCAST_x000D_
issue:_x000D_
.recs:Birth,Marriage,Job/Occupation,Will Written,Death,Freeman_x000D_
.imm?:immigrant_x000D_
..Spo:MARY PRESCOTT</t>
        </r>
      </text>
    </comment>
    <comment ref="N5370" authorId="0" shapeId="0" xr:uid="{8E742359-BCBF-40DB-80B8-010B4DE769B4}">
      <text>
        <r>
          <rPr>
            <sz val="9"/>
            <color indexed="81"/>
            <rFont val="Tahoma"/>
            <family val="2"/>
          </rPr>
          <t>AGNES SHARPE_x000D_
http://yeinfo.com/family/I09005705.html_x000D_
https://www.google.com/search?q=AGNES+SHARPE+1580+1616+SAWYER_x000D_
.born:?1580    -          England_x000D_
.died: 1616    -1670     ?England, age:36y 0m 0d, _x000D_
.bapt: 1785GE_x000D_
.will: 2004MO_x000D_
.obit: 1890OH_x000D_
.bury: 1850IL _x000D_
.wpbt: 1826PA_x000D_
.anc#:ancestor_x000D_
citiz:foreign_x000D_
#spos:1_x000D_
#srcs:1_x000D_
#comment:0_x000D_
#events:1_x000D_
#kids:3_x000D_
lived:EN_x000D_
issue:_x000D_
.recs:Birth,Marriage,Death_x000D_
.imm?:no_x000D_
..Spo:JOHN SAWYER</t>
        </r>
      </text>
    </comment>
    <comment ref="L5372" authorId="0" shapeId="0" xr:uid="{70B9C5BA-C9C1-44CE-8371-C8A4BA63C42E}">
      <text>
        <r>
          <rPr>
            <sz val="9"/>
            <color indexed="81"/>
            <rFont val="Tahoma"/>
            <family val="2"/>
          </rPr>
          <t>THOMAS SAWYER_x000D_
http://yeinfo.com/family/I09001426.html_x000D_
https://www.google.com/search?q=THOMAS+SAWYER+1649+1736+Sarah+LEWIS_x000D_
.born: 16490502-          Lancaster (Worcester) Massachusetts_x000D_
.died: 17360905-          Lancaster (Worcester) Massachusetts, age:87y 4m 3d, _x000D_
.bapt: 1785GE_x000D_
.will: 2004MO_x000D_
.obit: 1890OH_x000D_
.bury: 1850IL _x000D_
.wpbt: 1826PA_x000D_
.anc#:ancestor_x000D_
citiz:US born_x000D_
#spos:4_x000D_
#srcs:3_x000D_
#comment:1_x000D_
#events:4_x000D_
#kids:6_x000D_
lived:MAWORCELANCAST_x000D_
issue:Married before Age 16_x000D_
.recs:Birth,Marriage,Death_x000D_
.imm?:no_x000D_
..Spo:Sarah Fairbank</t>
        </r>
      </text>
    </comment>
    <comment ref="N5374" authorId="0" shapeId="0" xr:uid="{BD1EC2A0-1785-41D8-AAD2-AEE8DB6A7E64}">
      <text>
        <r>
          <rPr>
            <sz val="9"/>
            <color indexed="81"/>
            <rFont val="Tahoma"/>
            <family val="2"/>
          </rPr>
          <t>JOHN PRESCOTT_x000D_
http://yeinfo.com/family/I09002822.html_x000D_
https://www.google.com/search?q=JOHN+PRESCOTT+1604+1681+MARY_x000D_
.born:c1604    -          Shevington (Lancashire) England_x000D_
.died: 168112  -          Lancaster (Worcester) Massachusetts, age:77y 11m 0d, _x000D_
.bapt: 1785GE_x000D_
.will: 2004MO_x000D_
.obit: 1890OH_x000D_
.bury: 1850IL Old Settler's Burial Field_x000D_
.wpbt: 1826PA_x000D_
.anc#:double ancestor_x000D_
citiz:immigrant_x000D_
#spos:1_x000D_
#srcs:15_x000D_
#comment:1_x000D_
#events:14_x000D_
#kids:9_x000D_
lived:BA,ENLANCSSHEVING,ENYORKSSOWERBY,MAMIDDLWATERTO,MAWORCELANCAST_x000D_
issue:_x000D_
.recs:Birth,Baptism,Marriage,Job/Occupation,Death,Interment/Burial,Freeman,Oath Taken_x000D_
.imm?:immigrant_x000D_
..Spo:MARY PLATTS</t>
        </r>
      </text>
    </comment>
    <comment ref="M5376" authorId="0" shapeId="0" xr:uid="{36942C7D-4DB5-481F-BE0F-ED8FB4D9E44F}">
      <text>
        <r>
          <rPr>
            <sz val="9"/>
            <color indexed="81"/>
            <rFont val="Tahoma"/>
            <family val="2"/>
          </rPr>
          <t>MARY PRESCOTT_x000D_
http://yeinfo.com/family/I09002853.html_x000D_
https://www.google.com/search?q=MARY+PRESCOTT+1630+1716+SAWYER_x000D_
.born:?1630    -          Sowerby (Yorkshire) England_x000D_
.died: 171604  -         ?Lancaster (Worcester) Massachusetts, age:86y 3m 0d, _x000D_
.bapt: 1785GE_x000D_
.will: 2004MO_x000D_
.obit: 1890OH_x000D_
.bury: 1850IL _x000D_
.wpbt: 1826PA_x000D_
.anc#:ancestor_x000D_
citiz:immigrant_x000D_
#spos:1_x000D_
#srcs:6_x000D_
#comment:0_x000D_
#events:2_x000D_
#kids:12_x000D_
lived:ENYORKSSOWERBY,MAWORCELANCAST_x000D_
issue:_x000D_
.recs:Birth,Baptism,Marriage,Death_x000D_
.imm?:immigrant_x000D_
..Spo:THOMAS SAWYER</t>
        </r>
      </text>
    </comment>
    <comment ref="N5378" authorId="0" shapeId="0" xr:uid="{B3383844-D8DD-4813-9113-6C39CF3293E6}">
      <text>
        <r>
          <rPr>
            <sz val="9"/>
            <color indexed="81"/>
            <rFont val="Tahoma"/>
            <family val="2"/>
          </rPr>
          <t>MARY PLATTS_x000D_
http://yeinfo.com/family/I09002823.html_x000D_
https://www.google.com/search?q=MARY+PLATTS+1606+1674+PRESCOTT_x000D_
.born:?1606    -          Yorkshire county England_x000D_
.died: 1674    -         ?Lancaster (Worcester) Massachusetts, age:68y 0m 0d, _x000D_
.bapt: 1785GE_x000D_
.will: 2004MO_x000D_
.obit: 1890OH_x000D_
.bury: 1850IL _x000D_
.wpbt: 1826PA_x000D_
.anc#:double ancestor_x000D_
citiz:immigrant_x000D_
#spos:1_x000D_
#srcs:8_x000D_
#comment:0_x000D_
#events:6_x000D_
#kids:9_x000D_
lived:ENYORKSSOWERBY,MAMIDDLWATERTO,MAWORCELANCAST_x000D_
issue:_x000D_
.recs:Birth,Baptism,Marriage,Death_x000D_
.imm?:immigrant_x000D_
..Spo:JOHN PRESCOTT</t>
        </r>
      </text>
    </comment>
    <comment ref="K5380" authorId="0" shapeId="0" xr:uid="{D069A2BD-8C11-42E4-A478-648AF66CDA2B}">
      <text>
        <r>
          <rPr>
            <sz val="9"/>
            <color indexed="81"/>
            <rFont val="Tahoma"/>
            <family val="2"/>
          </rPr>
          <t>HANNAH SAWYER_x000D_
http://yeinfo.com/family/I09000713.html_x000D_
https://www.google.com/search?q=HANNAH+SAWYER+1675+1765+MOORE_x000D_
.born: 16750523-          Marlborough (Middlesex) Massachusetts_x000D_
.died: 17650301-          Bolton (Worcester) Massachusetts, age:89y 9m 6d, _x000D_
.bapt: 1785GE_x000D_
.will: 2004MO_x000D_
.obit: 1890OH_x000D_
.bury: 1850IL _x000D_
.wpbt: 1826PA_x000D_
.anc#:ancestor_x000D_
citiz:US born_x000D_
#spos:1_x000D_
#srcs:7_x000D_
#comment:0_x000D_
#events:3_x000D_
#kids:12_x000D_
lived:MAMIDDLMARLBOR,MAWORCEBOLTON,MAWORCELANCAST,MAWORCEWORCEST_x000D_
issue:_x000D_
.recs:Birth,Marriage,Death_x000D_
.imm?:no_x000D_
..Spo:JONATHAN MOORE</t>
        </r>
      </text>
    </comment>
    <comment ref="O5382" authorId="0" shapeId="0" xr:uid="{9785AF72-D61D-44C7-9427-90EF2A10EC9B}">
      <text>
        <r>
          <rPr>
            <sz val="9"/>
            <color indexed="81"/>
            <rFont val="Tahoma"/>
            <family val="2"/>
          </rPr>
          <t>EDMUND LEWIS_x000D_
http://yeinfo.com/family/I09011416.html_x000D_
https://www.google.com/search?q=EDMUND+LEWIS+1540+1563+ANNE_x000D_
.born:?1540    -         ?England_x000D_
.died: 1563    -1630     ?Stoke by Nayland (Suffolk) England, age:23y 0m 0d, _x000D_
.bapt: 1785GE_x000D_
.will: 2004MO_x000D_
.obit: 1890OH_x000D_
.bury: 1850IL _x000D_
.wpbt: 1826PA_x000D_
.anc#:ancestor_x000D_
citiz:foreign_x000D_
#spos:1_x000D_
#srcs:1_x000D_
#comment:0_x000D_
#events:1_x000D_
#kids:1_x000D_
lived:?ENSUFFOSTOKE B_x000D_
issue:_x000D_
.recs:Birth,Marriage,Death_x000D_
.imm?:no_x000D_
..Spo:ANNE LEWIS</t>
        </r>
      </text>
    </comment>
    <comment ref="N5384" authorId="0" shapeId="0" xr:uid="{6F106238-50C4-4A95-A6B1-187129D9DFF2}">
      <text>
        <r>
          <rPr>
            <sz val="9"/>
            <color indexed="81"/>
            <rFont val="Tahoma"/>
            <family val="2"/>
          </rPr>
          <t>WILLIAM LEWIS_x000D_
http://yeinfo.com/family/I09005708.html_x000D_
https://www.google.com/search?q=WILLIAM+LEWIS+1563+1634+ELINOR_x000D_
.born:c1563    -         ?Stoke by Nayland (Suffolk) England_x000D_
.died: 1634    -          Stoke by Nayland (Suffolk) England, age:71y 0m 0d, _x000D_
.bapt: 1785GE_x000D_
.will: 2004MO_x000D_
.obit: 1890OH_x000D_
.bury: 1850IL _x000D_
.wpbt: 1826PA_x000D_
.anc#:ancestor_x000D_
citiz:foreign_x000D_
#spos:1_x000D_
#srcs:2_x000D_
#comment:0_x000D_
#events:3_x000D_
#kids:1_x000D_
lived:?ENSUFFOSTOKE B_x000D_
issue:_x000D_
.recs:Birth,Baptism,Marriage,Will Written,Death_x000D_
.imm?:no_x000D_
..Spo:ELINOR TAYLOR</t>
        </r>
      </text>
    </comment>
    <comment ref="O5386" authorId="0" shapeId="0" xr:uid="{2EB9F5FC-67EE-4F3E-9266-BF2ED8D1213C}">
      <text>
        <r>
          <rPr>
            <sz val="9"/>
            <color indexed="81"/>
            <rFont val="Tahoma"/>
            <family val="2"/>
          </rPr>
          <t>Mrs. ANNE LEWIS_x000D_
http://yeinfo.com/family/I09011417.html_x000D_
https://www.google.com/search?q=ANNE+LEWIS+1540+1563+LEWIS_x000D_
.born:?1540    -         ?England_x000D_
.died: 1563    -1630     ?Stoke by Nayland (Suffolk) England, age:23y 0m 0d, _x000D_
.bapt: 1785GE_x000D_
.will: 2004MO_x000D_
.obit: 1890OH_x000D_
.bury: 1850IL _x000D_
.wpbt: 1826PA_x000D_
.anc#:ancestor_x000D_
citiz:foreign_x000D_
#spos:1_x000D_
#srcs:1_x000D_
#comment:0_x000D_
#events:1_x000D_
#kids:1_x000D_
lived:?ENSUFFOSTOKE B_x000D_
issue:_x000D_
.recs:Birth,Marriage,Death_x000D_
.imm?:no_x000D_
..Spo:EDMUND LEWIS</t>
        </r>
      </text>
    </comment>
    <comment ref="M5388" authorId="0" shapeId="0" xr:uid="{EE156C14-1E28-44D3-8E39-A507141B8095}">
      <text>
        <r>
          <rPr>
            <sz val="9"/>
            <color indexed="81"/>
            <rFont val="Tahoma"/>
            <family val="2"/>
          </rPr>
          <t>WILLIAM LEWIS_x000D_
http://yeinfo.com/family/I09002854.html_x000D_
https://www.google.com/search?q=WILLIAM+LEWIS+1609+1671+Lydia+WELD_x000D_
.born: 16090219-         ?Stoke by Nayland (Suffolk) England_x000D_
.died:?16711003-          Lancaster (Worcester) Massachusetts, age:62y 7m 14d, _x000D_
.bapt: 1785GE_x000D_
.will: 2004MO_x000D_
.obit: 1890OH_x000D_
.bury: 1850IL _x000D_
.wpbt: 1826PA_x000D_
.anc#:ancestor_x000D_
citiz:immigrant_x000D_
#spos:2_x000D_
#srcs:8_x000D_
#comment:1_x000D_
#events:5_x000D_
#kids:7_x000D_
lived:?ENSUFFOSTOKE B,EN,MASUFFOROXBURY,MAWORCELANCAST_x000D_
issue:Died after Age 100_x000D_
.recs:Birth,Marriage,Death,Freeman_x000D_
.imm?:immigrant_x000D_
..Spo:Lydia Morse</t>
        </r>
      </text>
    </comment>
    <comment ref="O5390" authorId="0" shapeId="0" xr:uid="{29E1705F-0A34-42D2-A642-B8E8CE490DAC}">
      <text>
        <r>
          <rPr>
            <sz val="9"/>
            <color indexed="81"/>
            <rFont val="Tahoma"/>
            <family val="2"/>
          </rPr>
          <t>WILLIAM TAYLOR_x000D_
http://yeinfo.com/family/I09011418.html_x000D_
https://www.google.com/search?q=WILLIAM+TAYLOR+1540+1612+{_?_}_x000D_
.born:?1540    -         ?England_x000D_
.died: 16120108-          Storth (Cumbria) England, age:72y 0m 7d, _x000D_
.bapt: 1785GE_x000D_
.will: 2004MO_x000D_
.obit: 1890OH_x000D_
.bury: 1850IL _x000D_
.wpbt: 1826PA_x000D_
.anc#:ancestor_x000D_
citiz:foreign_x000D_
#spos:1_x000D_
#srcs:2_x000D_
#comment:0_x000D_
#events:1_x000D_
#kids:1_x000D_
lived:?EN,ENCUMBRSTORTH_x000D_
issue:_x000D_
.recs:Birth,Marriage,Death_x000D_
.imm?:no_x000D_
..Spo:{_?_} TAYLOR</t>
        </r>
      </text>
    </comment>
    <comment ref="N5392" authorId="0" shapeId="0" xr:uid="{D6D25F8B-8B9A-4F6B-BAEF-B85B4AF72391}">
      <text>
        <r>
          <rPr>
            <sz val="9"/>
            <color indexed="81"/>
            <rFont val="Tahoma"/>
            <family val="2"/>
          </rPr>
          <t>ELINOR TAYLOR_x000D_
http://yeinfo.com/family/I09005709.html_x000D_
https://www.google.com/search?q=ELINOR+TAYLOR+1570+1609+LEWIS_x000D_
.born:?1570    -         ?Stoke by Nayland (Suffolk) England_x000D_
.died: 1609    -1660     ?Stoke by Nayland (Suffolk) England, age:39y 0m 0d, _x000D_
.bapt: 1785GE_x000D_
.will: 2004MO_x000D_
.obit: 1890OH_x000D_
.bury: 1850IL _x000D_
.wpbt: 1826PA_x000D_
.anc#:ancestor_x000D_
citiz:foreign_x000D_
#spos:1_x000D_
#srcs:2_x000D_
#comment:0_x000D_
#events:1_x000D_
#kids:1_x000D_
lived:?ENSUFFOSTOKE B_x000D_
issue:_x000D_
.recs:Birth,Marriage,Death_x000D_
.imm?:no_x000D_
..Spo:WILLIAM LEWIS</t>
        </r>
      </text>
    </comment>
    <comment ref="O5394" authorId="0" shapeId="0" xr:uid="{4706CFB7-CB89-4F40-8F1F-573E97D12EA6}">
      <text>
        <r>
          <rPr>
            <sz val="9"/>
            <color indexed="81"/>
            <rFont val="Tahoma"/>
            <family val="2"/>
          </rPr>
          <t>Mrs. {_?_} TAYLOR_x000D_
http://yeinfo.com/family/I09011419.html_x000D_
https://www.google.com/search?q={_?_}+TAYLOR+1540+1570+TAYLOR_x000D_
.born:?1540    -         ?England_x000D_
.died: 1570    -1630     ?Stoke by Nayland (Suffolk) England, age:30y 0m 0d, _x000D_
.bapt: 1785GE_x000D_
.will: 2004MO_x000D_
.obit: 1890OH_x000D_
.bury: 1850IL _x000D_
.wpbt: 1826PA_x000D_
.anc#:ancestor_x000D_
citiz:foreign_x000D_
#spos:1_x000D_
#srcs:1_x000D_
#comment:0_x000D_
#events:1_x000D_
#kids:1_x000D_
lived:?ENSUFFOSTOKE B_x000D_
issue:_x000D_
.recs:Birth,Marriage,Death_x000D_
.imm?:no_x000D_
..Spo:WILLIAM TAYLOR</t>
        </r>
      </text>
    </comment>
    <comment ref="L5396" authorId="0" shapeId="0" xr:uid="{49192F2E-2237-478C-91B0-C7EDEFDB0ED4}">
      <text>
        <r>
          <rPr>
            <sz val="9"/>
            <color indexed="81"/>
            <rFont val="Tahoma"/>
            <family val="2"/>
          </rPr>
          <t>ABIGAIL HANNAH LEWIS_x000D_
http://yeinfo.com/family/I09001427.html_x000D_
https://www.google.com/search?q=ABIGAIL+HANNAH+LEWIS+1649+1689+SAWYER_x000D_
.born:?1649    -         ?Roxbury (Suffolk) Massachusetts_x000D_
.died: 1689    -1739     ?Massachusetts, age:40y 0m 0d, _x000D_
.bapt: 1785GE_x000D_
.will: 2004MO_x000D_
.obit: 1890OH_x000D_
.bury: 1850IL _x000D_
.wpbt: 1826PA_x000D_
.anc#:ancestor_x000D_
citiz:US born_x000D_
#spos:1_x000D_
#srcs:3_x000D_
#comment:0_x000D_
#events:2_x000D_
#kids:5_x000D_
lived:?MASUFFOROXBURY_x000D_
issue:_x000D_
.recs:Birth,Baptism,Marriage,Death_x000D_
.imm?:no_x000D_
..Spo:THOMAS SAWYER</t>
        </r>
      </text>
    </comment>
    <comment ref="N5398" authorId="0" shapeId="0" xr:uid="{5B04E283-0C8B-4579-8718-6691C3184233}">
      <text>
        <r>
          <rPr>
            <sz val="9"/>
            <color indexed="81"/>
            <rFont val="Tahoma"/>
            <family val="2"/>
          </rPr>
          <t>JOSEPH WELD_x000D_
http://yeinfo.com/family/I09005710.html_x000D_
https://www.google.com/search?q=JOSEPH+WELD+1595+1615+ELIZABETH_x000D_
.born:?1595    -         ?Suffolk county England_x000D_
.died: 1615    -1685      , age:20y 0m 0d, _x000D_
.bapt: 1785GE_x000D_
.will: 2004MO_x000D_
.obit: 1890OH_x000D_
.bury: 1850IL _x000D_
.wpbt: 1826PA_x000D_
.anc#:ancestor_x000D_
citiz:US born_x000D_
#spos:1_x000D_
#srcs:1_x000D_
#comment:0_x000D_
#events:1_x000D_
#kids:1_x000D_
lived:?ENSUFFO_x000D_
issue:_x000D_
.recs:Birth,Marriage,Death_x000D_
.imm?:no_x000D_
..Spo:ELIZABETH WISE</t>
        </r>
      </text>
    </comment>
    <comment ref="M5400" authorId="0" shapeId="0" xr:uid="{39DD62A6-5470-4F28-98C0-E0F11C603B6C}">
      <text>
        <r>
          <rPr>
            <sz val="9"/>
            <color indexed="81"/>
            <rFont val="Tahoma"/>
            <family val="2"/>
          </rPr>
          <t>AMY\ANN WELD_x000D_
http://yeinfo.com/family/I09002855.html_x000D_
https://www.google.com/search?q=AMY\ANN+WELD+1615+1649+LEWIS_x000D_
.born: 1615    -         ?Suffolk county England_x000D_
.died: 1649    -1705     ?Roxbury (Suffolk) Massachusetts, age:34y 0m 0d, _x000D_
.bapt: 1785GE_x000D_
.will: 2004MO_x000D_
.obit: 1890OH_x000D_
.bury: 1850IL _x000D_
.wpbt: 1826PA_x000D_
.anc#:ancestor_x000D_
citiz:immigrant_x000D_
#spos:1_x000D_
#srcs:8_x000D_
#comment:0_x000D_
#events:1_x000D_
#kids:7_x000D_
lived:?ENSUFFO,?MASUFFOROXBURY_x000D_
issue:_x000D_
.recs:Birth,Marriage,Death_x000D_
.imm?:immigrant_x000D_
..Spo:WILLIAM LEWIS</t>
        </r>
      </text>
    </comment>
    <comment ref="N5402" authorId="0" shapeId="0" xr:uid="{96FE599A-4DCF-4272-A9AB-10941F9FAC4A}">
      <text>
        <r>
          <rPr>
            <sz val="9"/>
            <color indexed="81"/>
            <rFont val="Tahoma"/>
            <family val="2"/>
          </rPr>
          <t>ELIZABETH WISE_x000D_
http://yeinfo.com/family/I09005711.html_x000D_
https://www.google.com/search?q=ELIZABETH+WISE+1600+1620+WELD_x000D_
.born:?1600    -         ?Suffolk county England_x000D_
.died: 1620    -1690      , age:20y 0m 0d, _x000D_
.bapt: 1785GE_x000D_
.will: 2004MO_x000D_
.obit: 1890OH_x000D_
.bury: 1850IL _x000D_
.wpbt: 1826PA_x000D_
.anc#:ancestor_x000D_
citiz:US born_x000D_
#spos:1_x000D_
#srcs:1_x000D_
#comment:0_x000D_
#events:1_x000D_
#kids:1_x000D_
lived:?ENSUFFO_x000D_
issue:Died after Age 100_x000D_
.recs:Birth,Marriage,Death_x000D_
.imm?:no_x000D_
..Spo:JOSEPH WELD</t>
        </r>
      </text>
    </comment>
    <comment ref="I5404" authorId="0" shapeId="0" xr:uid="{1E0A2CCB-7033-4272-B88A-A2EACFFEEA36}">
      <text>
        <r>
          <rPr>
            <sz val="9"/>
            <color indexed="81"/>
            <rFont val="Tahoma"/>
            <family val="2"/>
          </rPr>
          <t>DAVID MOORE_x000D_
http://yeinfo.com/family/I09000178.html_x000D_
https://www.google.com/search?q=DAVID+MOORE+1742+1808+ELIZABETH_x000D_
.born: 17421119-          _x000D_
.died: 18080401-          , age:65y 4m 13d, _x000D_
.bapt: 1785GE_x000D_
.will: 2004MO_x000D_
.obit: 1890OH_x000D_
.bury: 1850IL Old North Burying Ground_x000D_
.wpbt: 1826PA_x000D_
.anc#:ancestor_x000D_
citiz:US born_x000D_
#spos:1_x000D_
#srcs:10_x000D_
#comment:0_x000D_
#events:7_x000D_
#kids:7_x000D_
lived:MAWORCEBOLTON,MAWORCELANCAST,VTWINDHPUTNEY_x000D_
issue:_x000D_
.recs:Birth,Marriage Intention/Bonds,Death_x000D_
.imm?:no_x000D_
..Spo:ELIZABETH WHITCOMB</t>
        </r>
      </text>
    </comment>
    <comment ref="N5406" authorId="0" shapeId="0" xr:uid="{DE7A4EAD-AFDC-493C-AE18-1FB179B7D34A}">
      <text>
        <r>
          <rPr>
            <sz val="9"/>
            <color indexed="81"/>
            <rFont val="Tahoma"/>
            <family val="2"/>
          </rPr>
          <t>WALTER NICHOLS_x000D_
http://yeinfo.com/family/I09005712.html_x000D_
https://www.google.com/search?q=WALTER+NICHOLS+1582+1624+ELIZABETH_x000D_
.born: 15821108-          Coggeshall (Essex) England_x000D_
.died: 1624    -1672      Harwich (Essex) England, age:41y 1m 24d, _x000D_
.bapt: 1785GE_x000D_
.will: 2004MO_x000D_
.obit: 1890OH_x000D_
.bury: 1850IL _x000D_
.wpbt: 1826PA_x000D_
.anc#:double ancestor_x000D_
citiz:foreign_x000D_
#spos:1_x000D_
#srcs:1_x000D_
#comment:1_x000D_
#events:1_x000D_
#kids:9_x000D_
lived:ENESSEXCOGGESH,ENESSEXHARWICH,ENESSEXHIGH RO_x000D_
issue:_x000D_
.recs:Birth,Marriage,Death_x000D_
.imm?:no_x000D_
..Spo:ELIZABETH CATTLYN</t>
        </r>
      </text>
    </comment>
    <comment ref="M5408" authorId="0" shapeId="0" xr:uid="{E3ECA71E-57AB-4BD6-9ED0-4935237B07C2}">
      <text>
        <r>
          <rPr>
            <sz val="9"/>
            <color indexed="81"/>
            <rFont val="Tahoma"/>
            <family val="2"/>
          </rPr>
          <t>THOMAS NICHOLS_x000D_
http://yeinfo.com/family/I09002856.html_x000D_
https://www.google.com/search?q=THOMAS+NICHOLS+1615+1696+REBECCA+NICHOLS_x000D_
.born:?1615    -         ?England_x000D_
.died: 16961108-          , age:81y 10m 7d, _x000D_
.bapt: 1785GE_x000D_
.will: 2004MO_x000D_
.obit: 1890OH_x000D_
.bury: 1850IL _x000D_
.wpbt: 1826PA_x000D_
.anc#:ancestor_x000D_
citiz:US born_x000D_
#spos:2_x000D_
#srcs:8_x000D_
#comment:1_x000D_
#events:6_x000D_
#kids:11_x000D_
lived:?EN,MAPLYMOHINGHAM,MAPLYMOSCITUAT_x000D_
issue:Married before Age 16_x000D_
.recs:Birth,Marriage,Death,Land Transaction_x000D_
.imm?:no_x000D_
..Spo:REBECCA JOSLIN</t>
        </r>
      </text>
    </comment>
    <comment ref="N5410" authorId="0" shapeId="0" xr:uid="{7963B4DE-5D0D-46BD-8FAE-6B8687B6B2E5}">
      <text>
        <r>
          <rPr>
            <sz val="9"/>
            <color indexed="81"/>
            <rFont val="Tahoma"/>
            <family val="2"/>
          </rPr>
          <t>ELIZABETH CATTLYN_x000D_
http://yeinfo.com/family/I09005713.html_x000D_
https://www.google.com/search?q=ELIZABETH+CATTLYN+1585+1628+NICHOLS_x000D_
.born:?1585    -          Coggeshall (Essex) England_x000D_
.died: 16280111-          Coggeshall (Essex) England, age:43y 0m 10d, _x000D_
.bapt: 1785GE_x000D_
.will: 2004MO_x000D_
.obit: 1890OH_x000D_
.bury: 1850IL _x000D_
.wpbt: 1826PA_x000D_
.anc#:double ancestor_x000D_
citiz:foreign_x000D_
#spos:1_x000D_
#srcs:1_x000D_
#comment:0_x000D_
#events:1_x000D_
#kids:9_x000D_
lived:ENESSEXCOGGESH,ENESSEXHIGH RO_x000D_
issue:_x000D_
.recs:Birth,Marriage,Death_x000D_
.imm?:no_x000D_
..Spo:WALTER NICHOLS</t>
        </r>
      </text>
    </comment>
    <comment ref="L5412" authorId="0" shapeId="0" xr:uid="{09615650-19A3-4882-ADCF-105C02559FEB}">
      <text>
        <r>
          <rPr>
            <sz val="9"/>
            <color indexed="81"/>
            <rFont val="Tahoma"/>
            <family val="2"/>
          </rPr>
          <t>ISRAEL WINSLOW NICHOLS_x000D_
http://yeinfo.com/family/I09001428.html_x000D_
https://www.google.com/search?q=ISRAEL+WINSLOW+NICHOLS+1650+1734+Mary+SUMNER_x000D_
.born: 16500901-          Hingham (Plymouth) Massachusetts_x000D_
.died: 17340124-          Hingham (Plymouth) Massachusetts, age:83y 4m 23d, _x000D_
.bapt: 1785GE_x000D_
.will: 2004MO_x000D_
.obit: 1890OH_x000D_
.bury: 1850IL _x000D_
.wpbt: 1826PA_x000D_
.anc#:ancestor_x000D_
citiz:US born_x000D_
#spos:3_x000D_
#srcs:7_x000D_
#comment:1_x000D_
#events:9_x000D_
#kids:15_x000D_
lived:MAHAMPSMILTON,MAPLYMOHINGHAM,MAWORCELANCAST_x000D_
issue:Married before Age 16_x000D_
.recs:Birth,Marriage,Death_x000D_
.imm?:no_x000D_
..Spo:Mary NICHOLS</t>
        </r>
      </text>
    </comment>
    <comment ref="O5414" authorId="0" shapeId="0" xr:uid="{5AD377C4-D358-4A36-B8B7-3CBA55A3AC50}">
      <text>
        <r>
          <rPr>
            <sz val="9"/>
            <color indexed="81"/>
            <rFont val="Tahoma"/>
            <family val="2"/>
          </rPr>
          <t>RALPH JOSLIN_x000D_
http://yeinfo.com/family/I09011428.html_x000D_
https://www.google.com/search?q=RALPH+JOSLIN+1556+1604+MARY_x000D_
.born: 1556    -          Roxwell (Essex) England_x000D_
.died: 1604    -1646     ?Roxwell (Essex) England, age:48y 0m 0d, _x000D_
.bapt: 1785GE_x000D_
.will: 2004MO_x000D_
.obit: 1890OH_x000D_
.bury: 1850IL _x000D_
.wpbt: 1826PA_x000D_
.anc#:double ancestor_x000D_
citiz:foreign_x000D_
#spos:1_x000D_
#srcs:4_x000D_
#comment:2_x000D_
#events:4_x000D_
#kids:11_x000D_
lived:ENESSEXROXWELL_x000D_
issue:_x000D_
.recs:Birth,Marriage,Death_x000D_
.imm?:no_x000D_
..Spo:MARY BRIGHT</t>
        </r>
      </text>
    </comment>
    <comment ref="N5416" authorId="0" shapeId="0" xr:uid="{B1219A11-0681-40A5-BB5D-6C012E184D04}">
      <text>
        <r>
          <rPr>
            <sz val="9"/>
            <color indexed="81"/>
            <rFont val="Tahoma"/>
            <family val="2"/>
          </rPr>
          <t>THOMAS JOSLIN_x000D_
http://yeinfo.com/family/I09005714.html_x000D_
https://www.google.com/search?q=THOMAS+JOSLIN+1592+1661+REBECCA_x000D_
.born:?1592    -          Roxwell (Essex) England_x000D_
.died: 16610203-          Lancaster (Worcester) Massachusetts, age:69y 1m 2d, _x000D_
.bapt: 1785GE_x000D_
.will: 2004MO_x000D_
.obit: 1890OH_x000D_
.bury: 1850IL _x000D_
.wpbt: 1826PA_x000D_
.anc#:double ancestor_x000D_
citiz:immigrant_x000D_
#spos:1_x000D_
#srcs:8_x000D_
#comment:0_x000D_
#events:14_x000D_
#kids:7_x000D_
lived:ENESSEXROXWELL,ENMIDDLLONDON,MAPLYMOHINGHAM,MAWORCELANCAST_x000D_
issue:_x000D_
.recs:Birth,Marriage,Ship Passenger List,Will Written,Death,Land Transaction,Inventory_x000D_
.imm?:immigrant_x000D_
..Spo:REBECCA JUDE</t>
        </r>
      </text>
    </comment>
    <comment ref="O5418" authorId="0" shapeId="0" xr:uid="{9B795B2D-777E-4156-8CB8-FCB992467E2D}">
      <text>
        <r>
          <rPr>
            <sz val="9"/>
            <color indexed="81"/>
            <rFont val="Tahoma"/>
            <family val="2"/>
          </rPr>
          <t>MARY BRIGHT_x000D_
http://yeinfo.com/family/I09011429.html_x000D_
https://www.google.com/search?q=MARY+BRIGHT+1560+1604+JOSLIN_x000D_
.born:?1560    -          Roxwell (Essex) England_x000D_
.died: 1604    -1650     ?Roxwell (Essex) England, age:44y 0m 0d, _x000D_
.bapt: 1785GE_x000D_
.will: 2004MO_x000D_
.obit: 1890OH_x000D_
.bury: 1850IL _x000D_
.wpbt: 1826PA_x000D_
.anc#:double ancestor_x000D_
citiz:foreign_x000D_
#spos:1_x000D_
#srcs:1_x000D_
#comment:0_x000D_
#events:1_x000D_
#kids:11_x000D_
lived:ENESSEXROXWELL_x000D_
issue:_x000D_
.recs:Birth,Marriage,Death_x000D_
.imm?:no_x000D_
..Spo:RALPH JOSLIN</t>
        </r>
      </text>
    </comment>
    <comment ref="M5420" authorId="0" shapeId="0" xr:uid="{B0EED36A-56AC-4345-A020-9C58A54B3BCF}">
      <text>
        <r>
          <rPr>
            <sz val="9"/>
            <color indexed="81"/>
            <rFont val="Tahoma"/>
            <family val="2"/>
          </rPr>
          <t>REBECCA JOSLIN_x000D_
http://yeinfo.com/family/I09002857.html_x000D_
https://www.google.com/search?q=REBECCA+JOSLIN+1617+1675+NICHOLS_x000D_
.born:?1617    -         ?Barnham (Suffolk) England_x000D_
.died: 16750922-          Hingham (Plymouth) Massachusetts, age:58y 8m 21d, _x000D_
.bapt: 1785GE_x000D_
.will: 2004MO_x000D_
.obit: 1890OH_x000D_
.bury: 1850IL _x000D_
.wpbt: 1826PA_x000D_
.anc#:ancestor_x000D_
citiz:immigrant_x000D_
#spos:1_x000D_
#srcs:4_x000D_
#comment:0_x000D_
#events:1_x000D_
#kids:11_x000D_
lived:?ENSUFFOBARNHAM,MAPLYMOHINGHAM_x000D_
issue:_x000D_
.recs:Birth,Marriage,Death_x000D_
.imm?:immigrant_x000D_
..Spo:THOMAS NICHOLS</t>
        </r>
      </text>
    </comment>
    <comment ref="N5422" authorId="0" shapeId="0" xr:uid="{3BBD9DC1-C94D-44D0-A650-8EEB735AC948}">
      <text>
        <r>
          <rPr>
            <sz val="9"/>
            <color indexed="81"/>
            <rFont val="Tahoma"/>
            <family val="2"/>
          </rPr>
          <t>REBECCA JUDE_x000D_
http://yeinfo.com/family/I09005715.html_x000D_
https://www.google.com/search?q=REBECCA+JUDE+1595+1675+JOSLIN+William_x000D_
.born:?1595    -          England_x000D_
.died: 16750922-         ?Lancaster (Worcester) Massachusetts, age:80y 8m 21d, _x000D_
.bapt: 1785GE_x000D_
.will: 2004MO_x000D_
.obit: 1890OH_x000D_
.bury: 1850IL _x000D_
.wpbt: 1826PA_x000D_
.anc#:double ancestor_x000D_
citiz:immigrant_x000D_
#spos:2_x000D_
#srcs:3_x000D_
#comment:0_x000D_
#events:2_x000D_
#kids:7_x000D_
lived:ENESSEXROXWELL,MAWORCELANCAST_x000D_
issue:Married before Age 16_x000D_
.recs:Birth,Marriage,Death_x000D_
.imm?:immigrant_x000D_
..Spo:THOMAS JOSLIN</t>
        </r>
      </text>
    </comment>
    <comment ref="K5424" authorId="0" shapeId="0" xr:uid="{80CA3388-F12E-4016-9893-C2BCBDC05C53}">
      <text>
        <r>
          <rPr>
            <sz val="9"/>
            <color indexed="81"/>
            <rFont val="Tahoma"/>
            <family val="2"/>
          </rPr>
          <t>JAZANIAH ROGER NICHOLS_x000D_
http://yeinfo.com/family/I09000714.html_x000D_
https://www.google.com/search?q=JAZANIAH+ROGER+NICHOLS+1691+1755+REBECCA_x000D_
.born: 16911101-          _x000D_
.died: 17550308-          , age:63y 4m 7d, _x000D_
.bapt: 1785GE_x000D_
.will: 2004MO_x000D_
.obit: 1890OH_x000D_
.bury: 1850IL _x000D_
.wpbt: 1826PA_x000D_
.anc#:ancestor_x000D_
citiz:US born_x000D_
#spos:1_x000D_
#srcs:4_x000D_
#comment:1_x000D_
#events:5_x000D_
#kids:12_x000D_
lived:MAPLYMOCOHASSE,MAPLYMOHINGHAM,MAWORCELANCAST_x000D_
issue:_x000D_
.recs:Birth,Marriage,Job/Occupation,Death_x000D_
.imm?:no_x000D_
..Spo:REBECCA HOBART</t>
        </r>
      </text>
    </comment>
    <comment ref="O5426" authorId="0" shapeId="0" xr:uid="{9E53C272-9FD4-4BC0-A988-9221E1FD1553}">
      <text>
        <r>
          <rPr>
            <sz val="9"/>
            <color indexed="81"/>
            <rFont val="Tahoma"/>
            <family val="2"/>
          </rPr>
          <t>ROGER SUMNER_x000D_
http://yeinfo.com/family/I09011432.html_x000D_
https://www.google.com/search?q=ROGER+SUMNER+1577+1608+JOANE_x000D_
.born:?1577    -          England_x000D_
.died: 16081203-          Bicester (Oxfordshire) England, age:31y 11m 2d, _x000D_
.bapt: 1785GE_x000D_
.will: 2004MO_x000D_
.obit: 1890OH_x000D_
.bury: 1850IL _x000D_
.wpbt: 1826PA_x000D_
.anc#:ancestor_x000D_
citiz:foreign_x000D_
#spos:1_x000D_
#srcs:3_x000D_
#comment:0_x000D_
#events:1_x000D_
#kids:1_x000D_
lived:ENOXFOSBICESTE_x000D_
issue:_x000D_
.recs:Birth,Marriage,Death_x000D_
.imm?:no_x000D_
..Spo:JOANE FRANKLIN</t>
        </r>
      </text>
    </comment>
    <comment ref="N5428" authorId="0" shapeId="0" xr:uid="{D53AD5A0-4F12-411B-82EE-6C906C00E07E}">
      <text>
        <r>
          <rPr>
            <sz val="9"/>
            <color indexed="81"/>
            <rFont val="Tahoma"/>
            <family val="2"/>
          </rPr>
          <t>WILLIAM SUMNER_x000D_
http://yeinfo.com/family/I09005716.html_x000D_
https://www.google.com/search?q=WILLIAM+SUMNER+1605+1688+MARY_x000D_
.born: 16050122-          Bicester (Oxfordshire) England_x000D_
.died: 16881209-          , age:83y 10m 17d, _x000D_
.bapt: 1785GE_x000D_
.will: 2004MO_x000D_
.obit: 1890OH_x000D_
.bury: 1850IL _x000D_
.wpbt: 1826PA_x000D_
.anc#:ancestor_x000D_
citiz:US born_x000D_
#spos:1_x000D_
#srcs:6_x000D_
#comment:0_x000D_
#events:14_x000D_
#kids:6_x000D_
lived:ENOXFOSBICESTE,ENOXFOSOXFORD,MASUFFODORCHES_x000D_
issue:_x000D_
.recs:Birth,Baptism,Will Written,Death,Freeman,Immigrate_x000D_
.imm?:no_x000D_
..Spo:MARY WEST</t>
        </r>
      </text>
    </comment>
    <comment ref="O5430" authorId="0" shapeId="0" xr:uid="{DCF7AD9F-379D-4424-AFA1-FF8210950923}">
      <text>
        <r>
          <rPr>
            <sz val="9"/>
            <color indexed="81"/>
            <rFont val="Tahoma"/>
            <family val="2"/>
          </rPr>
          <t>JOANE FRANKLIN_x000D_
http://yeinfo.com/family/I09011433.html_x000D_
https://www.google.com/search?q=JOANE+FRANKLIN+1579+1605+SUMNER+Marcus_x000D_
.born:p15790212-          Bicester (Oxfordshire) England_x000D_
.died: 1605    -1665     ?Massachusetts, age:25y 10m 20d, _x000D_
.bapt: 1785GE_x000D_
.will: 2004MO_x000D_
.obit: 1890OH_x000D_
.bury: 1850IL _x000D_
.wpbt: 1826PA_x000D_
.anc#:ancestor_x000D_
citiz:immigrant_x000D_
#spos:2_x000D_
#srcs:3_x000D_
#comment:0_x000D_
#events:2_x000D_
#kids:1_x000D_
lived:?MA,ENOXFOSBICESTE_x000D_
issue:Died before Birth_x000D_
.recs:Birth,Marriage,Death_x000D_
.imm?:immigrant_x000D_
..Spo:ROGER SUMNER</t>
        </r>
      </text>
    </comment>
    <comment ref="M5432" authorId="0" shapeId="0" xr:uid="{EFEF4426-F655-4967-BEBD-F94EECEEB1F4}">
      <text>
        <r>
          <rPr>
            <sz val="9"/>
            <color indexed="81"/>
            <rFont val="Tahoma"/>
            <family val="2"/>
          </rPr>
          <t>ROGER SUMNER_x000D_
http://yeinfo.com/family/I09002858.html_x000D_
https://www.google.com/search?q=ROGER+SUMNER+1632+1698+MARY_x000D_
.born: 1632    -         ?Oxford county England_x000D_
.died: 16980526-          , age:66y 4m 25d, _x000D_
.bapt: 1785GE_x000D_
.will: 2004MO_x000D_
.obit: 1890OH_x000D_
.bury: 1850IL _x000D_
.wpbt: 1826PA_x000D_
.anc#:ancestor_x000D_
citiz:US born_x000D_
#spos:1_x000D_
#srcs:6_x000D_
#comment:0_x000D_
#events:5_x000D_
#kids:8_x000D_
lived:?ENOXFOR,MAHAMPSMILTON,MANORFOMILTON,MAWORCELANCAST_x000D_
issue:_x000D_
.recs:Birth,Baptism,Marriage,Death_x000D_
.imm?:no_x000D_
..Spo:MARY JOSLIN</t>
        </r>
      </text>
    </comment>
    <comment ref="N5434" authorId="0" shapeId="0" xr:uid="{9FB704BF-C433-453D-BF27-BDE08C4A3409}">
      <text>
        <r>
          <rPr>
            <sz val="9"/>
            <color indexed="81"/>
            <rFont val="Tahoma"/>
            <family val="2"/>
          </rPr>
          <t>MARY WEST_x000D_
http://yeinfo.com/family/I09005717.html_x000D_
https://www.google.com/search?q=MARY+WEST+1606+1676+SUMNER_x000D_
.born: 16060620-          Bicester (Oxfordshire) England_x000D_
.died: 16760607-          , age:69y 11m 18d, _x000D_
.bapt: 1785GE_x000D_
.will: 2004MO_x000D_
.obit: 1890OH_x000D_
.bury: 1850IL _x000D_
.wpbt: 1826PA_x000D_
.anc#:ancestor_x000D_
citiz:US born_x000D_
#spos:1_x000D_
#srcs:3_x000D_
#comment:0_x000D_
#events:1_x000D_
#kids:6_x000D_
lived:ENOXFOSBICESTE,ENOXFOSDORCHES_x000D_
issue:_x000D_
.recs:Birth,Marriage,Death_x000D_
.imm?:no_x000D_
..Spo:WILLIAM SUMNER</t>
        </r>
      </text>
    </comment>
    <comment ref="L5436" authorId="0" shapeId="0" xr:uid="{FA28EB05-81BC-4ACB-A923-B0EC376406E1}">
      <text>
        <r>
          <rPr>
            <sz val="9"/>
            <color indexed="81"/>
            <rFont val="Tahoma"/>
            <family val="2"/>
          </rPr>
          <t>MARY SUMNER_x000D_
http://yeinfo.com/family/I09001429.html_x000D_
https://www.google.com/search?q=MARY+SUMNER+1665+1724+NICHOLS_x000D_
.born: 16650805-          Lancaster (Worcester) Massachusetts_x000D_
.died: 17240227-          Lancaster (Worcester) Massachusetts, age:58y 6m 22d, _x000D_
.bapt: 1785GE_x000D_
.will: 2004MO_x000D_
.obit: 1890OH_x000D_
.bury: 1850IL _x000D_
.wpbt: 1826PA_x000D_
.anc#:ancestor_x000D_
citiz:US born_x000D_
#spos:1_x000D_
#srcs:4_x000D_
#comment:1_x000D_
#events:1_x000D_
#kids:10_x000D_
lived:?MAPLYMOHINGHAM,MAWORCELANCAST_x000D_
issue:_x000D_
.recs:Birth,Marriage,Death_x000D_
.imm?:no_x000D_
..Spo:ISRAEL WINSLOW NICHOLS</t>
        </r>
      </text>
    </comment>
    <comment ref="O5438" authorId="0" shapeId="0" xr:uid="{431B3A51-E13B-45F3-83C3-81D9825C1099}">
      <text>
        <r>
          <rPr>
            <sz val="9"/>
            <color indexed="81"/>
            <rFont val="Tahoma"/>
            <family val="2"/>
          </rPr>
          <t>RALPH JOSLIN_x000D_
http://yeinfo.com/family/I09011428.html_x000D_
https://www.google.com/search?q=RALPH+JOSLIN+1556+1604+MARY_x000D_
.born: 1556    -          Roxwell (Essex) England_x000D_
.died: 1604    -1646     ?Roxwell (Essex) England, age:48y 0m 0d, _x000D_
.bapt: 1785GE_x000D_
.will: 2004MO_x000D_
.obit: 1890OH_x000D_
.bury: 1850IL _x000D_
.wpbt: 1826PA_x000D_
.anc#:double ancestor_x000D_
citiz:foreign_x000D_
#spos:1_x000D_
#srcs:4_x000D_
#comment:2_x000D_
#events:4_x000D_
#kids:11_x000D_
lived:ENESSEXROXWELL_x000D_
issue:_x000D_
.recs:Birth,Marriage,Death_x000D_
.imm?:no_x000D_
..Spo:MARY BRIGHT</t>
        </r>
      </text>
    </comment>
    <comment ref="N5440" authorId="0" shapeId="0" xr:uid="{1A358831-5D80-42F0-A609-697670F56D1C}">
      <text>
        <r>
          <rPr>
            <sz val="9"/>
            <color indexed="81"/>
            <rFont val="Tahoma"/>
            <family val="2"/>
          </rPr>
          <t>THOMAS JOSLIN_x000D_
http://yeinfo.com/family/I09005714.html_x000D_
https://www.google.com/search?q=THOMAS+JOSLIN+1592+1661+REBECCA_x000D_
.born:?1592    -          Roxwell (Essex) England_x000D_
.died: 16610203-          Lancaster (Worcester) Massachusetts, age:69y 1m 2d, _x000D_
.bapt: 1785GE_x000D_
.will: 2004MO_x000D_
.obit: 1890OH_x000D_
.bury: 1850IL _x000D_
.wpbt: 1826PA_x000D_
.anc#:double ancestor_x000D_
citiz:immigrant_x000D_
#spos:1_x000D_
#srcs:8_x000D_
#comment:0_x000D_
#events:14_x000D_
#kids:7_x000D_
lived:ENESSEXROXWELL,ENMIDDLLONDON,MAPLYMOHINGHAM,MAWORCELANCAST_x000D_
issue:_x000D_
.recs:Birth,Marriage,Ship Passenger List,Will Written,Death,Land Transaction,Inventory_x000D_
.imm?:immigrant_x000D_
..Spo:REBECCA JUDE</t>
        </r>
      </text>
    </comment>
    <comment ref="O5442" authorId="0" shapeId="0" xr:uid="{100C13EA-DBD4-4C9F-AC93-A4A1A28519CB}">
      <text>
        <r>
          <rPr>
            <sz val="9"/>
            <color indexed="81"/>
            <rFont val="Tahoma"/>
            <family val="2"/>
          </rPr>
          <t>MARY BRIGHT_x000D_
http://yeinfo.com/family/I09011429.html_x000D_
https://www.google.com/search?q=MARY+BRIGHT+1560+1604+JOSLIN_x000D_
.born:?1560    -          Roxwell (Essex) England_x000D_
.died: 1604    -1650     ?Roxwell (Essex) England, age:44y 0m 0d, _x000D_
.bapt: 1785GE_x000D_
.will: 2004MO_x000D_
.obit: 1890OH_x000D_
.bury: 1850IL _x000D_
.wpbt: 1826PA_x000D_
.anc#:double ancestor_x000D_
citiz:foreign_x000D_
#spos:1_x000D_
#srcs:1_x000D_
#comment:0_x000D_
#events:1_x000D_
#kids:11_x000D_
lived:ENESSEXROXWELL_x000D_
issue:_x000D_
.recs:Birth,Marriage,Death_x000D_
.imm?:no_x000D_
..Spo:RALPH JOSLIN</t>
        </r>
      </text>
    </comment>
    <comment ref="M5444" authorId="0" shapeId="0" xr:uid="{195F0BEA-8F3D-4834-90D0-587FA15A6EE7}">
      <text>
        <r>
          <rPr>
            <sz val="9"/>
            <color indexed="81"/>
            <rFont val="Tahoma"/>
            <family val="2"/>
          </rPr>
          <t>MARY JOSLIN_x000D_
http://yeinfo.com/family/I09002859.html_x000D_
https://www.google.com/search?q=MARY+JOSLIN+1634+1711+SUMNER_x000D_
.born:?1634    -          Barnham (Suffolk) England_x000D_
.died: 17110821-          Milton (Hampshire) Massachusetts, age:77y 7m 20d, _x000D_
.bapt: 1785GE_x000D_
.will: 2004MO_x000D_
.obit: 1890OH_x000D_
.bury: 1850IL _x000D_
.wpbt: 1826PA_x000D_
.anc#:ancestor_x000D_
citiz:immigrant_x000D_
#spos:1_x000D_
#srcs:4_x000D_
#comment:0_x000D_
#events:2_x000D_
#kids:8_x000D_
lived:ENSUFFOBARNHAM,MAHAMPSMILTON_x000D_
issue:_x000D_
.recs:Birth,Baptism,Marriage,Death_x000D_
.imm?:immigrant_x000D_
..Spo:ROGER SUMNER</t>
        </r>
      </text>
    </comment>
    <comment ref="N5446" authorId="0" shapeId="0" xr:uid="{648824A9-DD53-4381-A638-014F48C50F54}">
      <text>
        <r>
          <rPr>
            <sz val="9"/>
            <color indexed="81"/>
            <rFont val="Tahoma"/>
            <family val="2"/>
          </rPr>
          <t>REBECCA JUDE_x000D_
http://yeinfo.com/family/I09005715.html_x000D_
https://www.google.com/search?q=REBECCA+JUDE+1595+1675+JOSLIN+William_x000D_
.born:?1595    -          England_x000D_
.died: 16750922-         ?Lancaster (Worcester) Massachusetts, age:80y 8m 21d, _x000D_
.bapt: 1785GE_x000D_
.will: 2004MO_x000D_
.obit: 1890OH_x000D_
.bury: 1850IL _x000D_
.wpbt: 1826PA_x000D_
.anc#:double ancestor_x000D_
citiz:immigrant_x000D_
#spos:2_x000D_
#srcs:3_x000D_
#comment:0_x000D_
#events:2_x000D_
#kids:7_x000D_
lived:ENESSEXROXWELL,MAWORCELANCAST_x000D_
issue:Married before Age 16_x000D_
.recs:Birth,Marriage,Death_x000D_
.imm?:immigrant_x000D_
..Spo:THOMAS JOSLIN</t>
        </r>
      </text>
    </comment>
    <comment ref="J5448" authorId="0" shapeId="0" xr:uid="{66418594-B0CD-45E1-B59F-C8F53E8A70CC}">
      <text>
        <r>
          <rPr>
            <sz val="9"/>
            <color indexed="81"/>
            <rFont val="Tahoma"/>
            <family val="2"/>
          </rPr>
          <t>SILENCE NICHOLS_x000D_
http://yeinfo.com/family/I09000357.html_x000D_
https://www.google.com/search?q=SILENCE+NICHOLS+1719+1794+MOORE_x000D_
.born: 17191211-          Hingham (Plymouth) Massachusetts_x000D_
.died: 17940508-          Bolton (Worcester) Massachusetts, age:74y 4m 27d, _x000D_
.bapt: 1785GE_x000D_
.will: 2004MO_x000D_
.obit: 1890OH_x000D_
.bury: 1850IL _x000D_
.wpbt: 1826PA_x000D_
.anc#:ancestor_x000D_
citiz:US born_x000D_
#spos:1_x000D_
#srcs:6_x000D_
#comment:0_x000D_
#events:2_x000D_
#kids:12_x000D_
lived:MAPLYMOHINGHAM,MAWORCEBOLTON,MAWORCELANCAST_x000D_
issue:_x000D_
.recs:Birth,Marriage,Death_x000D_
.imm?:no_x000D_
..Spo:ABRAHAM MOORE</t>
        </r>
      </text>
    </comment>
    <comment ref="N5450" authorId="0" shapeId="0" xr:uid="{DB9EDC69-CDF8-4336-B2D6-FED96B57FD12}">
      <text>
        <r>
          <rPr>
            <sz val="9"/>
            <color indexed="81"/>
            <rFont val="Tahoma"/>
            <family val="2"/>
          </rPr>
          <t>EDMUND HOBART_x000D_
http://yeinfo.com/family/I09005720.html_x000D_
https://www.google.com/search?q=EDMUND+HOBART+1570+1648+MARGARET+HOBART_x000D_
.born: 1570    -          Hingham (Norfolk) England_x000D_
.died: 16480308-          , age:78y 2m 7d, _x000D_
.bapt: 1785GE_x000D_
.will: 2004MO_x000D_
.obit: 1890OH_x000D_
.bury: 1850IL _x000D_
.wpbt: 1826PA_x000D_
.anc#:ancestor_x000D_
citiz:US born_x000D_
#spos:2_x000D_
#srcs:12_x000D_
#comment:1_x000D_
#events:12_x000D_
#kids:10_x000D_
lived:ENHAMPSYARMOUT,ENNORFOHINGHAM,MAPLYMOHINGHAM,MASUFFOCHAZTWN_x000D_
issue:Married before Age 16_x000D_
.recs:Birth,Marriage,Ship Passenger List,Job/Occupation,Death,Freeman_x000D_
.imm?:no_x000D_
..Spo:MARGARET DEWEY</t>
        </r>
      </text>
    </comment>
    <comment ref="M5452" authorId="0" shapeId="0" xr:uid="{A15E2377-F45C-4D94-83CF-2B7F7E3B5E10}">
      <text>
        <r>
          <rPr>
            <sz val="9"/>
            <color indexed="81"/>
            <rFont val="Tahoma"/>
            <family val="2"/>
          </rPr>
          <t>PETER HOBART_x000D_
http://yeinfo.com/family/I09002860.html_x000D_
https://www.google.com/search?q=PETER+HOBART+1604+1679+Rebecca+PECK_x000D_
.born: 1604    -          Hingham (Norfolk) England_x000D_
.died: 16790120-          Hingham (Plymouth) Massachusetts, age:75y 0m 19d, _x000D_
.bapt: 1785GE_x000D_
.will: 2004MO_x000D_
.obit: 1890OH_x000D_
.bury: 1850IL _x000D_
.wpbt: 1826PA_x000D_
.anc#:ancestor_x000D_
citiz:immigrant_x000D_
#spos:2_x000D_
#srcs:12_x000D_
#comment:2_x000D_
#events:11_x000D_
#kids:18_x000D_
lived:ENCAMBSCAMBRID,ENNORFOHINGHAM,MAPLYMOHINGHAM_x000D_
issue:_x000D_
.recs:Birth,Baptism,College,Marriage,Will Written,Death,Freeman_x000D_
.imm?:immigrant_x000D_
..Spo:Rebecca Ibrook</t>
        </r>
      </text>
    </comment>
    <comment ref="N5454" authorId="0" shapeId="0" xr:uid="{D6599145-BC8C-47DF-8AA2-FE7935663E14}">
      <text>
        <r>
          <rPr>
            <sz val="9"/>
            <color indexed="81"/>
            <rFont val="Tahoma"/>
            <family val="2"/>
          </rPr>
          <t>MARGARET DEWEY_x000D_
http://yeinfo.com/family/I09005721.html_x000D_
https://www.google.com/search?q=MARGARET+DEWEY+1578+1617+HOBART_x000D_
.born: 1578    -          Wymondham (Norfolk) England_x000D_
.died: 1617    -1668     ?Charlestown (Suffolk) Massachusetts, age:39y 0m 0d, _x000D_
.bapt: 1785GE_x000D_
.will: 2004MO_x000D_
.obit: 1890OH_x000D_
.bury: 1850IL _x000D_
.wpbt: 1826PA_x000D_
.anc#:ancestor_x000D_
citiz:immigrant_x000D_
#spos:1_x000D_
#srcs:3_x000D_
#comment:1_x000D_
#events:2_x000D_
#kids:10_x000D_
lived:?MASUFFOCHAZTWN,ENHAMPSYARMOUT,ENNORFOHINGHAM,ENNORFOWYMONDH_x000D_
issue:_x000D_
.recs:Birth,Marriage,Ship Passenger List,Death_x000D_
.imm?:immigrant_x000D_
..Spo:EDMUND HOBART</t>
        </r>
      </text>
    </comment>
    <comment ref="L5456" authorId="0" shapeId="0" xr:uid="{EE8CE743-6CD9-48D0-A6D1-68449538ABE5}">
      <text>
        <r>
          <rPr>
            <sz val="9"/>
            <color indexed="81"/>
            <rFont val="Tahoma"/>
            <family val="2"/>
          </rPr>
          <t>DAVID HOBART_x000D_
http://yeinfo.com/family/I09001430.html_x000D_
https://www.google.com/search?q=DAVID+HOBART+1651+1717+JOANNA\MARGARET+Cleverly_x000D_
.born: 16510807-          Hingham (Plymouth) Massachusetts_x000D_
.died: 17170821-          Hingham (Plymouth) Massachusetts, age:66y 0m 14d, _x000D_
.bapt: 1785GE_x000D_
.will: 2004MO_x000D_
.obit: 1890OH_x000D_
.bury: 1850IL _x000D_
.wpbt: 1826PA_x000D_
.anc#:ancestor_x000D_
citiz:US born_x000D_
#spos:2_x000D_
#srcs:6_x000D_
#comment:1_x000D_
#events:11_x000D_
#kids:6_x000D_
lived:MAPLYMOHINGHAM_x000D_
issue:_x000D_
.recs:Birth,Baptism,Military,Marriage,Job/Occupation,Death,Freeman_x000D_
.imm?:no_x000D_
..Spo:JOANNA\MARGARET QUINCY</t>
        </r>
      </text>
    </comment>
    <comment ref="P5458" authorId="0" shapeId="0" xr:uid="{EADB546C-AAA9-4B29-AC0E-30750C6E4EB1}">
      <text>
        <r>
          <rPr>
            <sz val="9"/>
            <color indexed="81"/>
            <rFont val="Tahoma"/>
            <family val="2"/>
          </rPr>
          <t>ROBERT PECK_x000D_
http://yeinfo.com/family/I09022888.html_x000D_
https://www.google.com/search?q=ROBERT+PECK+1508+1556+{_?_}+WATERS_x000D_
.born:a1508    -          Bewdley (Worcestershire) England_x000D_
.died: 155611  -          , age:48y 10m 0d, _x000D_
.bapt: 1785GE_x000D_
.will: 2004MO_x000D_
.obit: 1890OH_x000D_
.bury: 1850IL _x000D_
.wpbt: 1826PA_x000D_
.anc#:ancestor_x000D_
citiz:foreign_x000D_
#spos:2_x000D_
#srcs:2_x000D_
#comment:0_x000D_
#events:4_x000D_
#kids:7_x000D_
lived:?ENSUFFOBECCLES,ENWORCSBEWDLEY_x000D_
issue:_x000D_
.recs:Birth,Marriage,Will Written,Death_x000D_
.imm?:no_x000D_
..Spo:{_?_} Norton</t>
        </r>
      </text>
    </comment>
    <comment ref="O5460" authorId="0" shapeId="0" xr:uid="{3515032B-90A5-4CA1-8A19-3204B549CC27}">
      <text>
        <r>
          <rPr>
            <sz val="9"/>
            <color indexed="81"/>
            <rFont val="Tahoma"/>
            <family val="2"/>
          </rPr>
          <t>ROBERT PECK_x000D_
http://yeinfo.com/family/I09011444.html_x000D_
https://www.google.com/search?q=ROBERT+PECK+1548+1598+HELEN_x000D_
.born: 15481128-          _x000D_
.died: 1598    -          , age:49y 1m 4d, _x000D_
.bapt: 1785GE_x000D_
.will: 2004MO_x000D_
.obit: 1890OH_x000D_
.bury: 1850IL _x000D_
.wpbt: 1826PA_x000D_
.anc#:ancestor_x000D_
citiz:foreign_x000D_
#spos:1_x000D_
#srcs:4_x000D_
#comment:0_x000D_
#events:4_x000D_
#kids:8_x000D_
lived:ENSUFFOBECCLES_x000D_
issue:_x000D_
.recs:Birth,Marriage,Will Written,Death_x000D_
.imm?:no_x000D_
..Spo:HELEN BABBS</t>
        </r>
      </text>
    </comment>
    <comment ref="Q5462" authorId="0" shapeId="0" xr:uid="{8731ADA5-EF08-40E3-9D23-F630CEA75C25}">
      <text>
        <r>
          <rPr>
            <sz val="9"/>
            <color indexed="81"/>
            <rFont val="Tahoma"/>
            <family val="2"/>
          </rPr>
          <t>JOHN WATERS_x000D_
http://yeinfo.com/family/I09045778.html_x000D_
https://www.google.com/search?q=JOHN+WATERS+1480+1547+MARGARET_x000D_
.born:?1480    -         ?England_x000D_
.died: 1547    -1570     ?Beccles (Suffolk) England, age:67y 0m 0d, _x000D_
.bapt: 1785GE_x000D_
.will: 2004MO_x000D_
.obit: 1890OH_x000D_
.bury: 1850IL _x000D_
.wpbt: 1826PA_x000D_
.anc#:ancestor_x000D_
citiz:foreign_x000D_
#spos:1_x000D_
#srcs:1_x000D_
#comment:0_x000D_
#events:2_x000D_
#kids:1_x000D_
lived:?ENSUFFOBECCLES_x000D_
issue:_x000D_
.recs:Birth,Marriage,Will Written,Death_x000D_
.imm?:no_x000D_
..Spo:MARGARET WATERS</t>
        </r>
      </text>
    </comment>
    <comment ref="P5464" authorId="0" shapeId="0" xr:uid="{3FA6AD66-7B51-45C6-BEC7-7D30CAD537E8}">
      <text>
        <r>
          <rPr>
            <sz val="9"/>
            <color indexed="81"/>
            <rFont val="Tahoma"/>
            <family val="2"/>
          </rPr>
          <t>JOHAN\JOHUN WATERS_x000D_
http://yeinfo.com/family/I09022889.html_x000D_
https://www.google.com/search?q=JOHAN\JOHUN+WATERS+1508+1548+PECK_x000D_
.born:?1508    -         ?Beccles (Suffolk) England_x000D_
.died: 1548    -1598     ?England, age:40y 0m 0d, _x000D_
.bapt: 1785GE_x000D_
.will: 2004MO_x000D_
.obit: 1890OH_x000D_
.bury: 1850IL _x000D_
.wpbt: 1826PA_x000D_
.anc#:ancestor_x000D_
citiz:foreign_x000D_
#spos:1_x000D_
#srcs:1_x000D_
#comment:0_x000D_
#events:1_x000D_
#kids:6_x000D_
lived:?ENSUFFOBECCLES_x000D_
issue:_x000D_
.recs:Birth,Marriage,Death_x000D_
.imm?:no_x000D_
..Spo:ROBERT PECK</t>
        </r>
      </text>
    </comment>
    <comment ref="Q5466" authorId="0" shapeId="0" xr:uid="{7D0CF22A-BC09-41A9-B118-26FB3C0279A5}">
      <text>
        <r>
          <rPr>
            <sz val="9"/>
            <color indexed="81"/>
            <rFont val="Tahoma"/>
            <family val="2"/>
          </rPr>
          <t>Mrs. MARGARET WATERS_x000D_
http://yeinfo.com/family/I09045779.html_x000D_
https://www.google.com/search?q=MARGARET+WATERS+1480+1508+WATERS_x000D_
.born:?1480    -         ?England_x000D_
.died: 1508    -1570     ?England, age:28y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..Spo:JOHN WATERS</t>
        </r>
      </text>
    </comment>
    <comment ref="N5468" authorId="0" shapeId="0" xr:uid="{E76039A5-D375-4035-BAE8-51D14149287D}">
      <text>
        <r>
          <rPr>
            <sz val="9"/>
            <color indexed="81"/>
            <rFont val="Tahoma"/>
            <family val="2"/>
          </rPr>
          <t>JOSEPH\NICHOLAS PECK_x000D_
http://yeinfo.com/family/I09005722.html_x000D_
https://www.google.com/search?q=JOSEPH\NICHOLAS+PECK+1587+1663+REBECCA+PECK_x000D_
.born: 1587    -          _x000D_
.died: 16631223-          , age:76y 11m 22d, _x000D_
.bapt: 1785GE_x000D_
.will: 2004MO_x000D_
.obit: 1890OH_x000D_
.bury: 1850IL _x000D_
.wpbt: 1826PA_x000D_
.anc#:ancestor_x000D_
citiz:US born_x000D_
#spos:2_x000D_
#srcs:12_x000D_
#comment:0_x000D_
#events:6_x000D_
#kids:8_x000D_
lived:ENNORFOHINGHAM,ENSUFFOBECCLES,ENWORCSBEWDLEY,MAPLYMOHINGHAM_x000D_
issue:Spouse Age more than 30-Year Difference_x000D_
.recs:Birth,Baptism,Death,Immigrate_x000D_
.imm?:no_x000D_
..Spo:REBECCA CLARK</t>
        </r>
      </text>
    </comment>
    <comment ref="Q5470" authorId="0" shapeId="0" xr:uid="{AE890B0A-5BBD-4C5D-9A62-8CACC334FD43}">
      <text>
        <r>
          <rPr>
            <sz val="9"/>
            <color indexed="81"/>
            <rFont val="Tahoma"/>
            <family val="2"/>
          </rPr>
          <t>NICHOLAS GUILDFORD BABBS_x000D_
http://yeinfo.com/family/I09045780.html_x000D_
https://www.google.com/search?q=NICHOLAS+GUILDFORD+BABBS+1495+1520+{_?_}_x000D_
.born:c1495    -          Ipswich (Suffolk) England_x000D_
.died: 1520    -1585      Guildford (Surrey) England, age:25y 0m 0d, _x000D_
.bapt: 1785GE_x000D_
.will: 2004MO_x000D_
.obit: 1890OH_x000D_
.bury: 1850IL _x000D_
.wpbt: 1826PA_x000D_
.anc#:ancestor_x000D_
citiz:foreign_x000D_
#spos:1_x000D_
#srcs:2_x000D_
#comment:0_x000D_
#events:1_x000D_
#kids:2_x000D_
lived:ENSUFFOIPSWICH,ENSURREGUILDFO_x000D_
issue:Died after Age 100_x000D_
.recs:Birth,Marriage,Death_x000D_
.imm?:no_x000D_
..Spo:{_?_} BABBS</t>
        </r>
      </text>
    </comment>
    <comment ref="P5472" authorId="0" shapeId="0" xr:uid="{7EEC8146-DF6C-49CC-8A56-3137A4A59E5E}">
      <text>
        <r>
          <rPr>
            <sz val="9"/>
            <color indexed="81"/>
            <rFont val="Tahoma"/>
            <family val="2"/>
          </rPr>
          <t>NICHOLAS BABBS_x000D_
http://yeinfo.com/family/I09022890.html_x000D_
https://www.google.com/search?q=NICHOLAS+BABBS+1520+1554+HELEN_x000D_
.born:c1520    -          England_x000D_
.died: 1554    -1600      Guildford (Surrey) England, age:34y 0m 0d, _x000D_
.bapt: 1785GE_x000D_
.will: 2004MO_x000D_
.obit: 1890OH_x000D_
.bury: 1850IL _x000D_
.wpbt: 1826PA_x000D_
.anc#:ancestor_x000D_
citiz:foreign_x000D_
#spos:1_x000D_
#srcs:3_x000D_
#comment:0_x000D_
#events:1_x000D_
#kids:8_x000D_
lived:ENSURREGUILDFO_x000D_
issue:_x000D_
.recs:Birth,Marriage,Death_x000D_
.imm?:no_x000D_
..Spo:HELEN PARKHURST</t>
        </r>
      </text>
    </comment>
    <comment ref="Q5474" authorId="0" shapeId="0" xr:uid="{AADDC442-22B6-4352-B0E1-B3AE03BD8BC2}">
      <text>
        <r>
          <rPr>
            <sz val="9"/>
            <color indexed="81"/>
            <rFont val="Tahoma"/>
            <family val="2"/>
          </rPr>
          <t>Mrs. {_?_} BABBS_x000D_
http://yeinfo.com/family/I09045781.html_x000D_
https://www.google.com/search?q={_?_}+BABBS+1495+1520+BABBS_x000D_
.born:?1495    -         ?Surrey county England_x000D_
.died: 1520    -1585     ?England, age:25y 0m 0d, _x000D_
.bapt: 1785GE_x000D_
.will: 2004MO_x000D_
.obit: 1890OH_x000D_
.bury: 1850IL _x000D_
.wpbt: 1826PA_x000D_
.anc#:ancestor_x000D_
citiz:foreign_x000D_
#spos:1_x000D_
#srcs:2_x000D_
#comment:0_x000D_
#events:1_x000D_
#kids:2_x000D_
lived:?ENSURRE,EN_x000D_
issue:_x000D_
.recs:Birth,Marriage,Death_x000D_
.imm?:no_x000D_
..Spo:NICHOLAS GUILDFORD BABBS</t>
        </r>
      </text>
    </comment>
    <comment ref="O5476" authorId="0" shapeId="0" xr:uid="{485D93C5-ED31-49E2-85B4-A5FD555183E5}">
      <text>
        <r>
          <rPr>
            <sz val="9"/>
            <color indexed="81"/>
            <rFont val="Tahoma"/>
            <family val="2"/>
          </rPr>
          <t>HELEN BABBS_x000D_
http://yeinfo.com/family/I09011445.html_x000D_
https://www.google.com/search?q=HELEN+BABBS+1546+1614+PECK_x000D_
.born: 154609  -          Surrey county England_x000D_
.died: 161410  -          Beccles (Suffolk) England, age:68y 1m 0d, _x000D_
.bapt: 1785GE_x000D_
.will: 2004MO_x000D_
.obit: 1890OH_x000D_
.bury: 1850IL _x000D_
.wpbt: 1826PA_x000D_
.anc#:ancestor_x000D_
citiz:foreign_x000D_
#spos:1_x000D_
#srcs:7_x000D_
#comment:0_x000D_
#events:3_x000D_
#kids:8_x000D_
lived:ENSUFFOBECCLES,ENSURREGUILDFO_x000D_
issue:_x000D_
.recs:Birth,Baptism,Marriage,Death_x000D_
.imm?:no_x000D_
..Spo:ROBERT PECK</t>
        </r>
      </text>
    </comment>
    <comment ref="S5478" authorId="0" shapeId="0" xr:uid="{364BBD98-C61A-484B-8E22-31362D01AEA6}">
      <text>
        <r>
          <rPr>
            <sz val="9"/>
            <color indexed="81"/>
            <rFont val="Tahoma"/>
            <family val="2"/>
          </rPr>
          <t>GEORGIUS PARKHURST_x000D_
http://yeinfo.com/family/I09065724.html_x000D_
https://www.google.com/search?q=GEORGIUS+PARKHURST+1433+1465+{_?_}_x000D_
.born:c1433    -         ?England_x000D_
.died: 1465    -1523     ?England, age:32y 0m 0d, _x000D_
.bapt: 1785GE_x000D_
.will: 2004MO_x000D_
.obit: 1890OH_x000D_
.bury: 1850IL _x000D_
.wpbt: 1826PA_x000D_
.anc#:ancestor_x000D_
citiz:foreign_x000D_
#spos:1_x000D_
#srcs:2_x000D_
#comment:0_x000D_
#events:1_x000D_
#kids:1_x000D_
lived:?EN_x000D_
issue:_x000D_
.recs:Birth,Marriage,Death_x000D_
.imm?:no_x000D_
..Spo:{_?_} PARKHURST</t>
        </r>
      </text>
    </comment>
    <comment ref="R5480" authorId="0" shapeId="0" xr:uid="{38324642-A0BC-4109-AEDD-D813B69510F5}">
      <text>
        <r>
          <rPr>
            <sz val="9"/>
            <color indexed="81"/>
            <rFont val="Tahoma"/>
            <family val="2"/>
          </rPr>
          <t>JOHN CHRISTOPHER PARKHURST_x000D_
http://yeinfo.com/family/I09065591.html_x000D_
https://www.google.com/search?q=JOHN+CHRISTOPHER+PARKHURST+1470+1528+ANN_x000D_
.born:c1470    -          Surrey county England_x000D_
.died: 15280202-          Norwich (Norfolk) England, age:58y 1m 1d, _x000D_
.bapt: 1785GE_x000D_
.will: 2004MO_x000D_
.obit: 1890OH_x000D_
.bury: 1850IL _x000D_
.wpbt: 1826PA_x000D_
.anc#:ancestor_x000D_
citiz:foreign_x000D_
#spos:1_x000D_
#srcs:2_x000D_
#comment:0_x000D_
#events:1_x000D_
#kids:1_x000D_
lived:ENNORFONORWICH,ENSURRE_x000D_
issue:Born after Parent Died,Died after Age 100_x000D_
.recs:Birth,Marriage,Death_x000D_
.imm?:no_x000D_
..Spo:ANN BARON</t>
        </r>
      </text>
    </comment>
    <comment ref="S5482" authorId="0" shapeId="0" xr:uid="{7CB4CA14-8F01-4B32-A8AE-9610B262B7CF}">
      <text>
        <r>
          <rPr>
            <sz val="9"/>
            <color indexed="81"/>
            <rFont val="Tahoma"/>
            <family val="2"/>
          </rPr>
          <t>Mrs. {_?_} PARKHURST_x000D_
http://yeinfo.com/family/I09065725.html_x000D_
https://www.google.com/search?q={_?_}+PARKHURST+1435+1465+PARKHURST_x000D_
.born:?1435    -         ?England_x000D_
.died: 1465    -1525     ?England, age:30y 0m 0d, _x000D_
.bapt: 1785GE_x000D_
.will: 2004MO_x000D_
.obit: 1890OH_x000D_
.bury: 1850IL _x000D_
.wpbt: 1826PA_x000D_
.anc#:ancestor_x000D_
citiz:foreign_x000D_
#spos:1_x000D_
#srcs:2_x000D_
#comment:0_x000D_
#events:1_x000D_
#kids:1_x000D_
lived:?EN_x000D_
issue:_x000D_
.recs:Birth,Marriage,Death_x000D_
.imm?:no_x000D_
..Spo:GEORGIUS PARKHURST</t>
        </r>
      </text>
    </comment>
    <comment ref="Q5484" authorId="0" shapeId="0" xr:uid="{E25B571B-2D58-4ADE-8F87-DD27F8A91CD0}">
      <text>
        <r>
          <rPr>
            <sz val="9"/>
            <color indexed="81"/>
            <rFont val="Tahoma"/>
            <family val="2"/>
          </rPr>
          <t>GEORGE\GEORGIUS PARKHURST_x000D_
http://yeinfo.com/family/I09045782.html_x000D_
https://www.google.com/search?q=GEORGE\GEORGIUS+PARKHURST+1495+1546+PHEBE_x000D_
.born:?1495    -         ?England_x000D_
.died: 15460502-         ?England, age:51y 4m 1d, _x000D_
.bapt: 1785GE_x000D_
.will: 2004MO_x000D_
.obit: 1890OH_x000D_
.bury: 1850IL _x000D_
.wpbt: 1826PA_x000D_
.anc#:ancestor_x000D_
citiz:foreign_x000D_
#spos:1_x000D_
#srcs:3_x000D_
#comment:0_x000D_
#events:1_x000D_
#kids:1_x000D_
lived:?EN_x000D_
issue:_x000D_
.recs:Birth,Marriage,Death_x000D_
.imm?:no_x000D_
..Spo:PHEBE SURREY</t>
        </r>
      </text>
    </comment>
    <comment ref="R5486" authorId="0" shapeId="0" xr:uid="{889807A7-4B7A-4F4D-9ABD-D92D8B229BD5}">
      <text>
        <r>
          <rPr>
            <sz val="9"/>
            <color indexed="81"/>
            <rFont val="Tahoma"/>
            <family val="2"/>
          </rPr>
          <t>ANN BARON_x000D_
http://yeinfo.com/family/I09065592.html_x000D_
https://www.google.com/search?q=ANN+BARON+1472+1495+PARKHURST_x000D_
.born: 1472    -          Godalming (Surrey) England_x000D_
.died: 1495    -1562      Parham (Suffolk) England, age:23y 0m 0d, _x000D_
.bapt: 1785GE_x000D_
.will: 2004MO_x000D_
.obit: 1890OH_x000D_
.bury: 1850IL _x000D_
.wpbt: 1826PA_x000D_
.anc#:ancestor_x000D_
citiz:foreign_x000D_
#spos:1_x000D_
#srcs:2_x000D_
#comment:0_x000D_
#events:1_x000D_
#kids:1_x000D_
lived:ENSUFFOPARHAM,ENSURREGODALMI_x000D_
issue:Died after Age 100_x000D_
.recs:Birth,Marriage,Death_x000D_
.imm?:no_x000D_
..Spo:JOHN CHRISTOPHER PARKHURST</t>
        </r>
      </text>
    </comment>
    <comment ref="P5488" authorId="0" shapeId="0" xr:uid="{BB3C8EFE-6999-4B70-879C-4FDDE6143D61}">
      <text>
        <r>
          <rPr>
            <sz val="9"/>
            <color indexed="81"/>
            <rFont val="Tahoma"/>
            <family val="2"/>
          </rPr>
          <t>HELEN PARKHURST_x000D_
http://yeinfo.com/family/I09022891.html_x000D_
https://www.google.com/search?q=HELEN+PARKHURST+1525+1568+BABBS_x000D_
.born: 1525    -         ?England_x000D_
.died: 1568    -1638      , age:43y 0m 0d, _x000D_
.bapt: 1785GE_x000D_
.will: 2004MO_x000D_
.obit: 1890OH_x000D_
.bury: 1850IL _x000D_
.wpbt: 1826PA_x000D_
.anc#:ancestor_x000D_
citiz:foreign_x000D_
#spos:1_x000D_
#srcs:3_x000D_
#comment:0_x000D_
#events:1_x000D_
#kids:8_x000D_
lived:?EN_x000D_
issue:_x000D_
.recs:Birth,Marriage,Death_x000D_
.imm?:no_x000D_
..Spo:NICHOLAS BABBS</t>
        </r>
      </text>
    </comment>
    <comment ref="Q5490" authorId="0" shapeId="0" xr:uid="{F0B4B0AE-C99A-47D1-95A5-4C05FF8AFBE5}">
      <text>
        <r>
          <rPr>
            <sz val="9"/>
            <color indexed="81"/>
            <rFont val="Tahoma"/>
            <family val="2"/>
          </rPr>
          <t>PHEBE SURREY_x000D_
http://yeinfo.com/family/I09045783.html_x000D_
https://www.google.com/search?q=PHEBE+SURREY+1494+1548+PARKHURST_x000D_
.born: 1494    -          _x000D_
.died: 1548    -1584      , age:54y 0m 0d, _x000D_
.bapt: 1785GE_x000D_
.will: 2004MO_x000D_
.obit: 1890OH_x000D_
.bury: 1850IL _x000D_
.wpbt: 1826PA_x000D_
.anc#:ancestor_x000D_
citiz:foreign_x000D_
#spos:1_x000D_
#srcs:3_x000D_
#comment:0_x000D_
#events:1_x000D_
#kids:1_x000D_
lived:EN_x000D_
issue:_x000D_
.recs:Birth,Marriage,Death_x000D_
.imm?:no_x000D_
..Spo:GEORGE\GEORGIUS PARKHURST</t>
        </r>
      </text>
    </comment>
    <comment ref="M5492" authorId="0" shapeId="0" xr:uid="{3839D09E-C452-4E40-A286-46FF8E47A5FE}">
      <text>
        <r>
          <rPr>
            <sz val="9"/>
            <color indexed="81"/>
            <rFont val="Tahoma"/>
            <family val="2"/>
          </rPr>
          <t>REBECCA PECK_x000D_
http://yeinfo.com/family/I09002861.html_x000D_
https://www.google.com/search?q=REBECCA+PECK+1620+1693+HOBART_x000D_
.born: 1620    -          Southwold (Suffolk) England_x000D_
.died: 1693    -         ?Hingham (Plymouth) Massachusetts, age:73y 0m 0d, _x000D_
.bapt: 1785GE_x000D_
.will: 2004MO_x000D_
.obit: 1890OH_x000D_
.bury: 1850IL _x000D_
.wpbt: 1826PA_x000D_
.anc#:ancestor_x000D_
citiz:immigrant_x000D_
#spos:1_x000D_
#srcs:4_x000D_
#comment:0_x000D_
#events:2_x000D_
#kids:7_x000D_
lived:?MAPLYMOHINGHAM,ENSUFFOSOUTHWO_x000D_
issue:Died after Age 100_x000D_
.recs:Birth,Baptism,Marriage,Death_x000D_
.imm?:immigrant_x000D_
..Spo:PETER HOBART</t>
        </r>
      </text>
    </comment>
    <comment ref="N5494" authorId="0" shapeId="0" xr:uid="{FA548E75-7C1C-4A12-A296-757B85D080D1}">
      <text>
        <r>
          <rPr>
            <sz val="9"/>
            <color indexed="81"/>
            <rFont val="Tahoma"/>
            <family val="2"/>
          </rPr>
          <t>REBECCA CLARK_x000D_
http://yeinfo.com/family/I09005723.html_x000D_
https://www.google.com/search?q=REBECCA+CLARK+1585+1637+PECK_x000D_
.born: 15850502-         ?England_x000D_
.died: 163710  -          Rehoboth (Bristol) Massachusetts, age:52y 4m 29d, _x000D_
.bapt: 1785GE_x000D_
.will: 2004MO_x000D_
.obit: 1890OH_x000D_
.bury: 1850IL _x000D_
.wpbt: 1826PA_x000D_
.anc#:ancestor_x000D_
citiz:immigrant_x000D_
#spos:1_x000D_
#srcs:6_x000D_
#comment:0_x000D_
#events:2_x000D_
#kids:5_x000D_
lived:?EN,ENNORFOHINGHAM,ENWORCSBEWDLEY,MABRISTREHOBOT_x000D_
issue:_x000D_
.recs:Birth,Marriage,Death_x000D_
.imm?:immigrant_x000D_
..Spo:JOSEPH\NICHOLAS PECK</t>
        </r>
      </text>
    </comment>
    <comment ref="K5496" authorId="0" shapeId="0" xr:uid="{72559B10-1744-4284-B131-99D729069D58}">
      <text>
        <r>
          <rPr>
            <sz val="9"/>
            <color indexed="81"/>
            <rFont val="Tahoma"/>
            <family val="2"/>
          </rPr>
          <t>REBECCA HOBART_x000D_
http://yeinfo.com/family/I09000715.html_x000D_
https://www.google.com/search?q=REBECCA+HOBART+1694+1768+NICHOLS_x000D_
.born: 16940101-          Hingham (Plymouth) Massachusetts_x000D_
.died: 17680329-         ?Hingham (Plymouth) Massachusetts, age:74y 2m 28d, _x000D_
.bapt: 1785GE_x000D_
.will: 2004MO_x000D_
.obit: 1890OH_x000D_
.bury: 1850IL Cohasset Central Cemetery_x000D_
.wpbt: 1826PA_x000D_
.anc#:ancestor_x000D_
citiz:US born_x000D_
#spos:1_x000D_
#srcs:4_x000D_
#comment:0_x000D_
#events:2_x000D_
#kids:12_x000D_
lived:MANORFOCOHASSE,MAPLYMOHINGHAM_x000D_
issue:_x000D_
.recs:Birth,Marriage,Death,Interment/Burial_x000D_
.imm?:no_x000D_
..Spo:JAZANIAH ROGER NICHOLS</t>
        </r>
      </text>
    </comment>
    <comment ref="R5498" authorId="0" shapeId="0" xr:uid="{FAB8E1E9-5770-44CE-A570-822675C3A036}">
      <text>
        <r>
          <rPr>
            <sz val="9"/>
            <color indexed="81"/>
            <rFont val="Tahoma"/>
            <family val="2"/>
          </rPr>
          <t>WILLIAM QUINCY_x000D_
http://yeinfo.com/family/I09065593.html_x000D_
https://www.google.com/search?q=WILLIAM+QUINCY+1485+1550+JOAN\JONE_x000D_
.born:?1485    -          Aldwincle (Northamptonshire) England_x000D_
.died: 1550    -          Northamptonshire county England, age:65y 0m 0d, _x000D_
.bapt: 1785GE_x000D_
.will: 2004MO_x000D_
.obit: 1890OH_x000D_
.bury: 1850IL _x000D_
.wpbt: 1826PA_x000D_
.anc#:ancestor_x000D_
citiz:foreign_x000D_
#spos:1_x000D_
#srcs:2_x000D_
#comment:1_x000D_
#events:7_x000D_
#kids:8_x000D_
lived:ENNORTAALDWINC,ENNORTADEEPGAT,ENNORTALILFORD_x000D_
issue:_x000D_
.recs:Birth,Marriage,Taxes,Will Written,Death_x000D_
.imm?:no_x000D_
..Spo:JOAN\JONE QUINCY</t>
        </r>
      </text>
    </comment>
    <comment ref="Q5500" authorId="0" shapeId="0" xr:uid="{65B907DE-9B06-4136-8E79-61B540ECC41B}">
      <text>
        <r>
          <rPr>
            <sz val="9"/>
            <color indexed="81"/>
            <rFont val="Tahoma"/>
            <family val="2"/>
          </rPr>
          <t>JOHN QUINCY_x000D_
http://yeinfo.com/family/I09045792.html_x000D_
https://www.google.com/search?q=JOHN+QUINCY+1510+1575+{_?_}_x000D_
.born:?1510    -          Aldwincle (Northamptonshire) England_x000D_
.died: 1575    -          Northamptonshire county England, age:65y 0m 0d, _x000D_
.bapt: 1785GE_x000D_
.will: 2004MO_x000D_
.obit: 1890OH_x000D_
.bury: 1850IL _x000D_
.wpbt: 1826PA_x000D_
.anc#:ancestor_x000D_
citiz:foreign_x000D_
#spos:1_x000D_
#srcs:2_x000D_
#comment:0_x000D_
#events:4_x000D_
#kids:1_x000D_
lived:ENNORTAALDWINC,ENNORTALILFORD_x000D_
issue:_x000D_
.recs:Birth,Marriage,Death_x000D_
.imm?:no_x000D_
..Spo:{_?_} QUINCY</t>
        </r>
      </text>
    </comment>
    <comment ref="R5502" authorId="0" shapeId="0" xr:uid="{DD0F21D4-8E7F-44FF-8455-AADDDB0F0F59}">
      <text>
        <r>
          <rPr>
            <sz val="9"/>
            <color indexed="81"/>
            <rFont val="Tahoma"/>
            <family val="2"/>
          </rPr>
          <t>Mrs. JOAN\JONE QUINCY_x000D_
http://yeinfo.com/family/I09065594.html_x000D_
https://www.google.com/search?q=JOAN\JONE+QUINCY+1485+1510+QUINCY_x000D_
.born:?1485    -          Northamptonshire county England_x000D_
.died: 1510    -1575      Northamptonshire county England, age:25y 0m 0d, _x000D_
.bapt: 1785GE_x000D_
.will: 2004MO_x000D_
.obit: 1890OH_x000D_
.bury: 1850IL _x000D_
.wpbt: 1826PA_x000D_
.anc#:ancestor_x000D_
citiz:foreign_x000D_
#spos:1_x000D_
#srcs:1_x000D_
#comment:0_x000D_
#events:1_x000D_
#kids:8_x000D_
lived:ENNORTA_x000D_
issue:_x000D_
.recs:Birth,Marriage,Death_x000D_
.imm?:no_x000D_
..Spo:WILLIAM QUINCY</t>
        </r>
      </text>
    </comment>
    <comment ref="P5504" authorId="0" shapeId="0" xr:uid="{0BA42063-A858-421D-A8A1-A4CEB3FFA8E9}">
      <text>
        <r>
          <rPr>
            <sz val="9"/>
            <color indexed="81"/>
            <rFont val="Tahoma"/>
            <family val="2"/>
          </rPr>
          <t>JOHN QUINCY_x000D_
http://yeinfo.com/family/I09022896.html_x000D_
https://www.google.com/search?q=JOHN+QUINCY+1535+1597+MARY_x000D_
.born: 1535    -         ?Lilford (Northamptonshire) England_x000D_
.died: 1597    -         ?Lilford (Northamptonshire) England, age:62y 0m 0d, _x000D_
.bapt: 1785GE_x000D_
.will: 2004MO_x000D_
.obit: 1890OH_x000D_
.bury: 1850IL _x000D_
.wpbt: 1826PA_x000D_
.anc#:ancestor_x000D_
citiz:foreign_x000D_
#spos:1_x000D_
#srcs:3_x000D_
#comment:0_x000D_
#events:4_x000D_
#kids:5_x000D_
lived:?ENNORTALILFORD,ENNORTA_x000D_
issue:_x000D_
.recs:Birth,Marriage,Death_x000D_
.imm?:no_x000D_
..Spo:MARY ELLSWORTH</t>
        </r>
      </text>
    </comment>
    <comment ref="Q5506" authorId="0" shapeId="0" xr:uid="{7CEC64F5-C10D-4A0C-B3E3-171AEDF7289A}">
      <text>
        <r>
          <rPr>
            <sz val="9"/>
            <color indexed="81"/>
            <rFont val="Tahoma"/>
            <family val="2"/>
          </rPr>
          <t>Mrs. {_?_} QUINCY_x000D_
http://yeinfo.com/family/I09045793.html_x000D_
https://www.google.com/search?q={_?_}+QUINCY+1510+1535+QUINCY_x000D_
.born:?1510    -          Northamptonshire county England_x000D_
.died: 1535    -1600      Northamptonshire county England, age:25y 0m 0d, _x000D_
.bapt: 1785GE_x000D_
.will: 2004MO_x000D_
.obit: 1890OH_x000D_
.bury: 1850IL _x000D_
.wpbt: 1826PA_x000D_
.anc#:ancestor_x000D_
citiz:foreign_x000D_
#spos:1_x000D_
#srcs:1_x000D_
#comment:0_x000D_
#events:1_x000D_
#kids:1_x000D_
lived:ENNORTA_x000D_
issue:_x000D_
.recs:Birth,Marriage,Death_x000D_
.imm?:no_x000D_
..Spo:JOHN QUINCY</t>
        </r>
      </text>
    </comment>
    <comment ref="O5508" authorId="0" shapeId="0" xr:uid="{EBC9C621-287D-4D1C-AAC3-FE712F7F0F24}">
      <text>
        <r>
          <rPr>
            <sz val="9"/>
            <color indexed="81"/>
            <rFont val="Tahoma"/>
            <family val="2"/>
          </rPr>
          <t>EDMUND QUINCY_x000D_
http://yeinfo.com/family/I09011448.html_x000D_
https://www.google.com/search?q=EDMUND+QUINCY+1559+1628+ANN_x000D_
.born: 1559    -         ?Lilford (Northamptonshire) England_x000D_
.died: 1628    -         ?Lilford (Northamptonshire) England, age:69y 0m 0d, _x000D_
.bapt: 1785GE_x000D_
.will: 2004MO_x000D_
.obit: 1890OH_x000D_
.bury: 1850IL _x000D_
.wpbt: 1826PA_x000D_
.anc#:ancestor_x000D_
citiz:foreign_x000D_
#spos:1_x000D_
#srcs:4_x000D_
#comment:1_x000D_
#events:4_x000D_
#kids:1_x000D_
lived:?ENNORTALILFORD_x000D_
issue:_x000D_
.recs:Birth,Baptism,Marriage,Death_x000D_
.imm?:no_x000D_
..Spo:ANN PALMER</t>
        </r>
      </text>
    </comment>
    <comment ref="P5510" authorId="0" shapeId="0" xr:uid="{B8524B66-23BF-45EF-BC91-11718DF9767E}">
      <text>
        <r>
          <rPr>
            <sz val="9"/>
            <color indexed="81"/>
            <rFont val="Tahoma"/>
            <family val="2"/>
          </rPr>
          <t>MARY ELLSWORTH_x000D_
http://yeinfo.com/family/I09022897.html_x000D_
https://www.google.com/search?q=MARY+ELLSWORTH+1535+1567+QUINCY_x000D_
.born:?1535    -         ?Northamptonshire county England_x000D_
.died: 1567    -1620      Northamptonshire county England, age:32y 0m 0d, _x000D_
.bapt: 1785GE_x000D_
.will: 2004MO_x000D_
.obit: 1890OH_x000D_
.bury: 1850IL _x000D_
.wpbt: 1826PA_x000D_
.anc#:ancestor_x000D_
citiz:foreign_x000D_
#spos:1_x000D_
#srcs:1_x000D_
#comment:0_x000D_
#events:1_x000D_
#kids:5_x000D_
lived:?ENNORTA_x000D_
issue:_x000D_
.recs:Birth,Marriage,Death_x000D_
.imm?:no_x000D_
..Spo:JOHN QUINCY</t>
        </r>
      </text>
    </comment>
    <comment ref="N5512" authorId="0" shapeId="0" xr:uid="{EC301F3E-0CB9-421D-981B-812A34E87D9F}">
      <text>
        <r>
          <rPr>
            <sz val="9"/>
            <color indexed="81"/>
            <rFont val="Tahoma"/>
            <family val="2"/>
          </rPr>
          <t>EDMUND QUINCY_x000D_
http://yeinfo.com/family/I09005724.html_x000D_
https://www.google.com/search?q=EDMUND+QUINCY+1602+1637+JUDITH_x000D_
.born: 16020530-          Lilford (Northamptonshire) England_x000D_
.died: 1637    -          Braintree (Norfolk) Massachusetts, age:34y 7m 2d, _x000D_
.bapt: 1785GE_x000D_
.will: 2004MO_x000D_
.obit: 1890OH_x000D_
.bury: 1850IL _x000D_
.wpbt: 1826PA_x000D_
.anc#:ancestor_x000D_
citiz:immigrant_x000D_
#spos:1_x000D_
#srcs:7_x000D_
#comment:1_x000D_
#events:9_x000D_
#kids:2_x000D_
lived:ENLEICETHORARN,ENNORTALILFORD,MANORFOBRAINTR,MASUFFOBOSTON_x000D_
issue:_x000D_
.recs:Birth,Baptism,Marriage,Ship Passenger List,Death,Land Transaction,Freeman_x000D_
.imm?:immigrant_x000D_
..Spo:JUDITH PARES</t>
        </r>
      </text>
    </comment>
    <comment ref="O5514" authorId="0" shapeId="0" xr:uid="{3BDCDC76-F86C-4A75-B333-2A957D3BA05F}">
      <text>
        <r>
          <rPr>
            <sz val="9"/>
            <color indexed="81"/>
            <rFont val="Tahoma"/>
            <family val="2"/>
          </rPr>
          <t>ANN PALMER_x000D_
http://yeinfo.com/family/I09011449.html_x000D_
https://www.google.com/search?q=ANN+PALMER+1560+1631+QUINCY_x000D_
.born:?1560    -          England_x000D_
.died:?1631    -         ?England, age:71y 0m 0d, _x000D_
.bapt: 1785GE_x000D_
.will: 2004MO_x000D_
.obit: 1890OH_x000D_
.bury: 1850IL _x000D_
.wpbt: 1826PA_x000D_
.anc#:ancestor_x000D_
citiz:foreign_x000D_
#spos:1_x000D_
#srcs:4_x000D_
#comment:0_x000D_
#events:4_x000D_
#kids:1_x000D_
lived:ENNORTALILFORD_x000D_
issue:_x000D_
.recs:Birth,Marriage,Will Written,Death_x000D_
.imm?:no_x000D_
..Spo:EDMUND QUINCY</t>
        </r>
      </text>
    </comment>
    <comment ref="M5516" authorId="0" shapeId="0" xr:uid="{8E19A4A8-1A84-4F81-943D-9FA4FA9CA19D}">
      <text>
        <r>
          <rPr>
            <sz val="9"/>
            <color indexed="81"/>
            <rFont val="Tahoma"/>
            <family val="2"/>
          </rPr>
          <t>EDMUND QUINCY_x000D_
http://yeinfo.com/family/I09002862.html_x000D_
https://www.google.com/search?q=EDMUND+QUINCY+1627+1698+JOANNA+Gookin_x000D_
.born: 1627    -          Achurch (Northamptonshire) England_x000D_
.died: 16980107-          Braintree (Norfolk) Massachusetts, age:71y 0m 6d, _x000D_
.bapt: 1785GE_x000D_
.will: 2004MO_x000D_
.obit: 1890OH_x000D_
.bury: 1850IL Hancock Cemetery_x000D_
.wpbt: 1826PA_x000D_
.anc#:ancestor_x000D_
citiz:immigrant_x000D_
#spos:2_x000D_
#srcs:6_x000D_
#comment:0_x000D_
#events:5_x000D_
#kids:10_x000D_
lived:ENNORTAACHURCH,MANORFOBRAINTR_x000D_
issue:_x000D_
.recs:Birth,Marriage,Death,Interment/Burial_x000D_
.imm?:immigrant_x000D_
..Spo:JOANNA HOAR</t>
        </r>
      </text>
    </comment>
    <comment ref="N5518" authorId="0" shapeId="0" xr:uid="{59485E11-7283-472C-A1FD-B07EF4B3340A}">
      <text>
        <r>
          <rPr>
            <sz val="9"/>
            <color indexed="81"/>
            <rFont val="Tahoma"/>
            <family val="2"/>
          </rPr>
          <t>JUDITH PARES_x000D_
http://yeinfo.com/family/I09005725.html_x000D_
https://www.google.com/search?q=JUDITH+PARES+1603+1631+QUINCY+Moses_x000D_
.born:?1603    -          England_x000D_
.died:?1631    -         ?Massachusetts, age:28y 0m 0d, _x000D_
.bapt: 1785GE_x000D_
.will: 2004MO_x000D_
.obit: 1890OH_x000D_
.bury: 1850IL _x000D_
.wpbt: 1826PA_x000D_
.anc#:ancestor_x000D_
citiz:immigrant_x000D_
#spos:3_x000D_
#srcs:6_x000D_
#comment:1_x000D_
#events:5_x000D_
#kids:2_x000D_
lived:ENDERBSBOYTHOR,ENNORTALILFORD,MANORFO_x000D_
issue:Died before Birth_x000D_
.recs:Birth,Marriage,Death_x000D_
.imm?:immigrant_x000D_
..Spo:EDMUND QUINCY</t>
        </r>
      </text>
    </comment>
    <comment ref="L5520" authorId="0" shapeId="0" xr:uid="{D3928BD4-A6D7-4145-B9BC-0D825026C576}">
      <text>
        <r>
          <rPr>
            <sz val="9"/>
            <color indexed="81"/>
            <rFont val="Tahoma"/>
            <family val="2"/>
          </rPr>
          <t>JOANNA\MARGARET QUINCY_x000D_
http://yeinfo.com/family/I09001431.html_x000D_
https://www.google.com/search?q=JOANNA\MARGARET+QUINCY+1654+1694+HOBART_x000D_
.born: 16540316-          _x000D_
.died: 1694    -1744      , age:39y 9m 16d, _x000D_
.bapt: 1785GE_x000D_
.will: 2004MO_x000D_
.obit: 1890OH_x000D_
.bury: 1850IL _x000D_
.wpbt: 1826PA_x000D_
.anc#:ancestor_x000D_
citiz:US born_x000D_
#spos:1_x000D_
#srcs:3_x000D_
#comment:0_x000D_
#events:1_x000D_
#kids:6_x000D_
lived:?MAPLYMOHINGHAM_x000D_
issue:_x000D_
.recs:Birth,Marriage,Death_x000D_
.imm?:no_x000D_
..Spo:DAVID HOBART</t>
        </r>
      </text>
    </comment>
    <comment ref="O5522" authorId="0" shapeId="0" xr:uid="{519630DA-F722-4990-83FB-04860046EF96}">
      <text>
        <r>
          <rPr>
            <sz val="9"/>
            <color indexed="81"/>
            <rFont val="Tahoma"/>
            <family val="2"/>
          </rPr>
          <t>CHARLES HOAR_x000D_
http://yeinfo.com/family/I09011452.html_x000D_
https://www.google.com/search?q=CHARLES+HOAR+1568+1632+MARGERY_x000D_
.born:?1568    -         ?Gloucester (Gloucestershire) England_x000D_
.died:?1632    -          Gloucester (Gloucestershire) England, age:64y 0m 0d, _x000D_
.bapt: 1785GE_x000D_
.will: 2004MO_x000D_
.obit: 1890OH_x000D_
.bury: 1850IL _x000D_
.wpbt: 1826PA_x000D_
.anc#:double ancestor_x000D_
citiz:foreign_x000D_
#spos:1_x000D_
#srcs:3_x000D_
#comment:1_x000D_
#events:3_x000D_
#kids:4_x000D_
lived:?ENGLOUSGLOUCES,EN_x000D_
issue:_x000D_
.recs:Birth,Marriage,Job/Occupation,Will Written,Death_x000D_
.imm?:no_x000D_
..Spo:MARGERY HOAR</t>
        </r>
      </text>
    </comment>
    <comment ref="N5524" authorId="0" shapeId="0" xr:uid="{C871DD44-35FD-4E08-A6B7-C25E34180C79}">
      <text>
        <r>
          <rPr>
            <sz val="9"/>
            <color indexed="81"/>
            <rFont val="Tahoma"/>
            <family val="2"/>
          </rPr>
          <t>CHARLES HOAR_x000D_
http://yeinfo.com/family/I09005726.html_x000D_
https://www.google.com/search?q=CHARLES+HOAR+1592+1638+JOANNA_x000D_
.born:?1592    -          Gloucester (Gloucestershire) England_x000D_
.died: 1638    -          Gloucester (Gloucestershire) England, age:46y 0m 0d, _x000D_
.bapt: 1785GE_x000D_
.will: 2004MO_x000D_
.obit: 1890OH_x000D_
.bury: 1850IL _x000D_
.wpbt: 1826PA_x000D_
.anc#:double ancestor_x000D_
citiz:foreign_x000D_
#spos:1_x000D_
#srcs:4_x000D_
#comment:2_x000D_
#events:7_x000D_
#kids:6_x000D_
lived:ENGLOUSGLOUCES_x000D_
issue:_x000D_
.recs:Birth,Marriage,Job/Occupation,Will Written,Death_x000D_
.imm?:no_x000D_
..Spo:JOANNA HINCKSMAN</t>
        </r>
      </text>
    </comment>
    <comment ref="O5526" authorId="0" shapeId="0" xr:uid="{6F4ED0E3-C080-4AB0-9D6E-875FB9123652}">
      <text>
        <r>
          <rPr>
            <sz val="9"/>
            <color indexed="81"/>
            <rFont val="Tahoma"/>
            <family val="2"/>
          </rPr>
          <t>Mrs. MARGERY HOAR_x000D_
http://yeinfo.com/family/I09011453.html_x000D_
https://www.google.com/search?q=MARGERY+HOAR+1570+1594+HOAR_x000D_
.born:?1570    -         ?Gloucester (Gloucestershire) England_x000D_
.died: 1594    -1660     ?Gloucester (Gloucestershire) England, age:24y 0m 0d, _x000D_
.bapt: 1785GE_x000D_
.will: 2004MO_x000D_
.obit: 1890OH_x000D_
.bury: 1850IL _x000D_
.wpbt: 1826PA_x000D_
.anc#:double ancestor_x000D_
citiz:foreign_x000D_
#spos:1_x000D_
#srcs:2_x000D_
#comment:0_x000D_
#events:1_x000D_
#kids:4_x000D_
lived:?ENGLOUSGLOUCES_x000D_
issue:_x000D_
.recs:Birth,Marriage,Death_x000D_
.imm?:no_x000D_
..Spo:CHARLES HOAR</t>
        </r>
      </text>
    </comment>
    <comment ref="M5528" authorId="0" shapeId="0" xr:uid="{D0D939F9-F72D-4836-9AED-A6A1D1ABEBCB}">
      <text>
        <r>
          <rPr>
            <sz val="9"/>
            <color indexed="81"/>
            <rFont val="Tahoma"/>
            <family val="2"/>
          </rPr>
          <t>JOANNA HOAR_x000D_
http://yeinfo.com/family/I09002863.html_x000D_
https://www.google.com/search?q=JOANNA+HOAR+1624+1680+QUINCY_x000D_
.born: 1624    -          Gloucester (Gloucestershire) England_x000D_
.died: 16800516-          Braintree (Norfolk) Massachusetts, age:56y 4m 15d, _x000D_
.bapt: 1785GE_x000D_
.will: 2004MO_x000D_
.obit: 1890OH_x000D_
.bury: 1850IL Hancock Cemetery_x000D_
.wpbt: 1826PA_x000D_
.anc#:ancestor_x000D_
citiz:immigrant_x000D_
#spos:1_x000D_
#srcs:3_x000D_
#comment:1_x000D_
#events:3_x000D_
#kids:10_x000D_
lived:ENGLOUSGLOUCES,MANORFOBRAINTR_x000D_
issue:_x000D_
.recs:Birth,Baptism,Marriage,Death,Interment/Burial_x000D_
.imm?:immigrant_x000D_
..Spo:EDMUND QUINCY</t>
        </r>
      </text>
    </comment>
    <comment ref="N5530" authorId="0" shapeId="0" xr:uid="{11FD0889-4283-4C74-AA20-A3F2F6FFBB45}">
      <text>
        <r>
          <rPr>
            <sz val="9"/>
            <color indexed="81"/>
            <rFont val="Tahoma"/>
            <family val="2"/>
          </rPr>
          <t>JOANNA HINCKSMAN_x000D_
http://yeinfo.com/family/I09005727.html_x000D_
https://www.google.com/search?q=JOANNA+HINCKSMAN+1592+1651+HOAR_x000D_
.born:?1592    -         ?Gloucester (Gloucestershire) England_x000D_
.died: 16510921-          Braintree (Norfolk) Massachusetts, age:59y 8m 20d, _x000D_
.bapt: 1785GE_x000D_
.will: 2004MO_x000D_
.obit: 1890OH_x000D_
.bury: 1850IL Quincy Burying Ground_x000D_
.wpbt: 1826PA_x000D_
.anc#:double ancestor_x000D_
citiz:immigrant_x000D_
#spos:1_x000D_
#srcs:6_x000D_
#comment:1_x000D_
#events:3_x000D_
#kids:6_x000D_
lived:?ENGLOUSGLOUCES,EN,MANORFOBRAINTR_x000D_
issue:_x000D_
.recs:Birth,Death,Immigrate_x000D_
.imm?:immigrant_x000D_
..Spo:CHARLES HOAR</t>
        </r>
      </text>
    </comment>
    <comment ref="H5532" authorId="0" shapeId="0" xr:uid="{C45B543F-5D9F-45C3-8F80-D7737D8DDE2C}">
      <text>
        <r>
          <rPr>
            <sz val="9"/>
            <color indexed="81"/>
            <rFont val="Tahoma"/>
            <family val="2"/>
          </rPr>
          <t>RACHEL MOORE_x000D_
http://yeinfo.com/family/I09000089.html_x000D_
https://www.google.com/search?q=RACHEL+MOORE+1768+1855+MOORE_x000D_
.born: 17680508-          _x000D_
.died: 1855    -          , age:86y 7m 24d, _x000D_
.bapt: 1785GE_x000D_
.will: 2004MO_x000D_
.obit: 1890OH_x000D_
.bury: 1850IL _x000D_
.wpbt: 1826PA_x000D_
.anc#:ancestor_x000D_
citiz:US born_x000D_
#spos:1_x000D_
#srcs:7_x000D_
#comment:1_x000D_
#events:4_x000D_
#kids:11_x000D_
lived:MAWORCEBOLTON,VTWINDHBRATTLB_x000D_
issue:_x000D_
.recs:Birth,Marriage,Death_x000D_
.imm?:no_x000D_
..Spo:RUFUS MOORE</t>
        </r>
      </text>
    </comment>
    <comment ref="N5534" authorId="0" shapeId="0" xr:uid="{88C76918-9D1F-4DDB-BE4E-EB22A8F46F6E}">
      <text>
        <r>
          <rPr>
            <sz val="9"/>
            <color indexed="81"/>
            <rFont val="Tahoma"/>
            <family val="2"/>
          </rPr>
          <t>JOHN WHITCOMB_x000D_
http://yeinfo.com/family/I09005728.html_x000D_
https://www.google.com/search?q=JOHN+WHITCOMB+1565+1648+ANN_x000D_
.born:?1565    -         ?England_x000D_
.died: 1648    -          Sherborne (Dorset) England, age:83y 0m 0d, _x000D_
.bapt: 1785GE_x000D_
.will: 2004MO_x000D_
.obit: 1890OH_x000D_
.bury: 1850IL _x000D_
.wpbt: 1826PA_x000D_
.anc#:ancestor_x000D_
citiz:foreign_x000D_
#spos:1_x000D_
#srcs:1_x000D_
#comment:0_x000D_
#events:1_x000D_
#kids:1_x000D_
lived:?EN,ENDORSESHERBOE,ENSOMESTAUNTON_x000D_
issue:_x000D_
.recs:Birth,Marriage,Death_x000D_
.imm?:no_x000D_
..Spo:ANN HARPER</t>
        </r>
      </text>
    </comment>
    <comment ref="M5536" authorId="0" shapeId="0" xr:uid="{09AF4841-2B61-47F6-ACF2-F8C0B31424E5}">
      <text>
        <r>
          <rPr>
            <sz val="9"/>
            <color indexed="81"/>
            <rFont val="Tahoma"/>
            <family val="2"/>
          </rPr>
          <t>JOHN WHITCOMB_x000D_
http://yeinfo.com/family/I09002864.html_x000D_
https://www.google.com/search?q=JOHN+WHITCOMB+1588+1662+FRANCES_x000D_
.born:c1588    -          Taunton (Somerset) England_x000D_
.died: 16620724-          , age:74y 6m 23d, _x000D_
.bapt: 1785GE_x000D_
.will: 2004MO_x000D_
.obit: 1890OH_x000D_
.bury: 1850IL _x000D_
.wpbt: 1826PA_x000D_
.anc#:ancestor_x000D_
citiz:US born_x000D_
#spos:1_x000D_
#srcs:17_x000D_
#comment:2_x000D_
#events:18_x000D_
#kids:10_x000D_
lived:?ENSOMESST.MARY,ENDORSE,ENSOMESTAUNTON,MAMIDDLCAMBRID,MAPLYMOSCITUAT,MASUFFODORCHES,MAWORCELANCAST_x000D_
issue:Born before Parents Married_x000D_
.recs:Birth,Baptism,Marriage,Ship Passenger List,Job/Occupation,Deed,Land Transaction,Gov't Court,Freeman_x000D_
.imm?:no_x000D_
..Spo:FRANCES COGGAN</t>
        </r>
      </text>
    </comment>
    <comment ref="N5538" authorId="0" shapeId="0" xr:uid="{586882CC-45A9-4052-906C-C295588AC6B4}">
      <text>
        <r>
          <rPr>
            <sz val="9"/>
            <color indexed="81"/>
            <rFont val="Tahoma"/>
            <family val="2"/>
          </rPr>
          <t>ANN HARPER_x000D_
http://yeinfo.com/family/I09005729.html_x000D_
https://www.google.com/search?q=ANN+HARPER+1570+1590+WHITCOMB_x000D_
.born:?1570    -         ?England_x000D_
.died: 1590    -1660     ?England, age:20y 0m 0d, _x000D_
.bapt: 1785GE_x000D_
.will: 2004MO_x000D_
.obit: 1890OH_x000D_
.bury: 1850IL _x000D_
.wpbt: 1826PA_x000D_
.anc#:ancestor_x000D_
citiz:foreign_x000D_
#spos:1_x000D_
#srcs:1_x000D_
#comment:0_x000D_
#events:1_x000D_
#kids:1_x000D_
lived:?EN,ENSOMESTAUNTON_x000D_
issue:Died before Birth_x000D_
.recs:Birth,Marriage,Death_x000D_
.imm?:no_x000D_
..Spo:JOHN WHITCOMB</t>
        </r>
      </text>
    </comment>
    <comment ref="L5540" authorId="0" shapeId="0" xr:uid="{913CAE9C-EC36-4A4F-91B1-FC173575BE0C}">
      <text>
        <r>
          <rPr>
            <sz val="9"/>
            <color indexed="81"/>
            <rFont val="Tahoma"/>
            <family val="2"/>
          </rPr>
          <t>JOSIAH\JAMES WHITCOMB_x000D_
http://yeinfo.com/family/I09001432.html_x000D_
https://www.google.com/search?q=JOSIAH\JAMES+WHITCOMB+1638+1718+REBECCA_x000D_
.born: 1638    -          Dorchester (Suffolk) Massachusetts_x000D_
.died: 17180321-          Lancaster (Worcester) Massachusetts, age:80y 2m 20d, _x000D_
.bapt: 1785GE_x000D_
.will: 2004MO_x000D_
.obit: 1890OH_x000D_
.bury: 1850IL _x000D_
.wpbt: 1826PA_x000D_
.anc#:ancestor_x000D_
citiz:US born_x000D_
#spos:1_x000D_
#srcs:15_x000D_
#comment:1_x000D_
#events:9_x000D_
#kids:11_x000D_
lived:MAPLYMOROCHEST,MASUFFODORCHES,MAWORCELANCAST_x000D_
issue:_x000D_
.recs:Birth,Military,Marriage,Will Written,Death,Gov't Court_x000D_
.imm?:no_x000D_
..Spo:REBECCA WATERS</t>
        </r>
      </text>
    </comment>
    <comment ref="O5542" authorId="0" shapeId="0" xr:uid="{B9A1F1A8-8CF2-4C3B-8F17-71A5E92989DB}">
      <text>
        <r>
          <rPr>
            <sz val="9"/>
            <color indexed="81"/>
            <rFont val="Tahoma"/>
            <family val="2"/>
          </rPr>
          <t>HENRY COGGAN_x000D_
http://yeinfo.com/family/I09011460.html_x000D_
https://www.google.com/search?q=HENRY+COGGAN+1545+1585+ELIZABETH_x000D_
.born:?1545    -         ?England_x000D_
.died: 1585    -1630      Chedzoy (Somerset) England, age:40y 0m 0d, _x000D_
.bapt: 1785GE_x000D_
.will: 2004MO_x000D_
.obit: 1890OH_x000D_
.bury: 1850IL _x000D_
.wpbt: 1826PA_x000D_
.anc#:ancestor_x000D_
citiz:foreign_x000D_
#spos:1_x000D_
#srcs:1_x000D_
#comment:0_x000D_
#events:1_x000D_
#kids:1_x000D_
lived:?EN,ENSOMESCHEDZOY_x000D_
issue:_x000D_
.recs:Birth,Marriage,Death_x000D_
.imm?:no_x000D_
..Spo:ELIZABETH CARYE</t>
        </r>
      </text>
    </comment>
    <comment ref="N5544" authorId="0" shapeId="0" xr:uid="{D417AB70-5160-4B51-9C55-3765B9122DEF}">
      <text>
        <r>
          <rPr>
            <sz val="9"/>
            <color indexed="81"/>
            <rFont val="Tahoma"/>
            <family val="2"/>
          </rPr>
          <t>HENRY COGGAN_x000D_
http://yeinfo.com/family/I09005730.html_x000D_
https://www.google.com/search?q=HENRY+COGGAN+1585+1612+JOANE_x000D_
.born:c1585    -          Taunton (Somerset) England_x000D_
.died: 1612    -          , age:27y 0m 0d, _x000D_
.bapt: 1785GE_x000D_
.will: 2004MO_x000D_
.obit: 1890OH_x000D_
.bury: 1850IL St. Mary Magdalen Church_x000D_
.wpbt: 1826PA_x000D_
.anc#:ancestor_x000D_
citiz:US born_x000D_
#spos:1_x000D_
#srcs:7_x000D_
#comment:0_x000D_
#events:6_x000D_
#kids:11_x000D_
lived:ENSOMESTAUNTON_x000D_
issue:Died after Age 100_x000D_
.recs:Birth,Marriage,Will Written,Death,Interment/Burial_x000D_
.imm?:no_x000D_
..Spo:JOANE BORIDGE</t>
        </r>
      </text>
    </comment>
    <comment ref="O5546" authorId="0" shapeId="0" xr:uid="{322B9D56-F073-49A1-9FE9-746CBC69D70E}">
      <text>
        <r>
          <rPr>
            <sz val="9"/>
            <color indexed="81"/>
            <rFont val="Tahoma"/>
            <family val="2"/>
          </rPr>
          <t>ELIZABETH CARYE_x000D_
http://yeinfo.com/family/I09011461.html_x000D_
https://www.google.com/search?q=ELIZABETH+CARYE+1544+1615+COGGAN_x000D_
.born:?1544    -         ?England_x000D_
.died: 161504  -          Chedzoy (Somerset) England, age:71y 3m 0d, _x000D_
.bapt: 1785GE_x000D_
.will: 2004MO_x000D_
.obit: 1890OH_x000D_
.bury: 1850IL _x000D_
.wpbt: 1826PA_x000D_
.anc#:ancestor_x000D_
citiz:foreign_x000D_
#spos:1_x000D_
#srcs:1_x000D_
#comment:0_x000D_
#events:1_x000D_
#kids:1_x000D_
lived:?EN,ENSOMESCHEDZOY_x000D_
issue:_x000D_
.recs:Birth,Marriage,Death_x000D_
.imm?:no_x000D_
..Spo:HENRY COGGAN</t>
        </r>
      </text>
    </comment>
    <comment ref="M5548" authorId="0" shapeId="0" xr:uid="{9A4D4E4E-64EC-480A-BEA6-F30FA1A04F6A}">
      <text>
        <r>
          <rPr>
            <sz val="9"/>
            <color indexed="81"/>
            <rFont val="Tahoma"/>
            <family val="2"/>
          </rPr>
          <t>FRANCES COGGAN_x000D_
http://yeinfo.com/family/I09002865.html_x000D_
https://www.google.com/search?q=FRANCES+COGGAN+1605+1671+WHITCOMB_x000D_
.born: 16050224-          _x000D_
.died: 16710517-          , age:66y 2m 23d, _x000D_
.bapt: 1785GE_x000D_
.will: 2004MO_x000D_
.obit: 1890OH_x000D_
.bury: 1850IL _x000D_
.wpbt: 1826PA_x000D_
.anc#:ancestor_x000D_
citiz:US born_x000D_
#spos:1_x000D_
#srcs:17_x000D_
#comment:0_x000D_
#events:6_x000D_
#kids:10_x000D_
lived:ENSOMESTAUNTON,MAPLYMOSCITUAT,MASUFFODORCHES,MAWORCELANCAST_x000D_
issue:_x000D_
.recs:Birth,Baptism,Marriage,Will Written,Death_x000D_
.imm?:no_x000D_
..Spo:JOHN WHITCOMB</t>
        </r>
      </text>
    </comment>
    <comment ref="N5550" authorId="0" shapeId="0" xr:uid="{FABEF95D-F96E-47DD-8EF6-452959360370}">
      <text>
        <r>
          <rPr>
            <sz val="9"/>
            <color indexed="81"/>
            <rFont val="Tahoma"/>
            <family val="2"/>
          </rPr>
          <t>JOANE BORIDGE_x000D_
http://yeinfo.com/family/I09005731.html_x000D_
https://www.google.com/search?q=JOANE+BORIDGE+1600+1620+COGGAN_x000D_
.born:c1600    -          Taunton (Somerset) England_x000D_
.died: 1620    -1690      Taunton (Somerset) England, age:20y 0m 0d, _x000D_
.bapt: 1785GE_x000D_
.will: 2004MO_x000D_
.obit: 1890OH_x000D_
.bury: 1850IL _x000D_
.wpbt: 1826PA_x000D_
.anc#:ancestor_x000D_
citiz:foreign_x000D_
#spos:1_x000D_
#srcs:4_x000D_
#comment:0_x000D_
#events:1_x000D_
#kids:11_x000D_
lived:ENSOMESTAUNTON_x000D_
issue:Died after Age 100_x000D_
.recs:Birth,Marriage,Death_x000D_
.imm?:no_x000D_
..Spo:HENRY COGGAN</t>
        </r>
      </text>
    </comment>
    <comment ref="K5552" authorId="0" shapeId="0" xr:uid="{589FD2CC-FB84-4203-AFAF-C7CDD7D13ED9}">
      <text>
        <r>
          <rPr>
            <sz val="9"/>
            <color indexed="81"/>
            <rFont val="Tahoma"/>
            <family val="2"/>
          </rPr>
          <t>HEZEKIAH WHITCOMB_x000D_
http://yeinfo.com/family/I09000716.html_x000D_
https://www.google.com/search?q=HEZEKIAH+WHITCOMB+1681+1732+HANNAH_x000D_
.born: 16810914-          Lancaster (Worcester) Massachusetts_x000D_
.died: 17320506-          , age:50y 7m 22d, _x000D_
.bapt: 1785GE_x000D_
.will: 2004MO_x000D_
.obit: 1890OH_x000D_
.bury: 1850IL _x000D_
.wpbt: 1826PA_x000D_
.anc#:ancestor_x000D_
citiz:US born_x000D_
#spos:1_x000D_
#srcs:11_x000D_
#comment:1_x000D_
#events:3_x000D_
#kids:8_x000D_
lived:MAMIDDLGROTON,MAWORCEBOLTON,MAWORCELANCAST_x000D_
issue:_x000D_
.recs:Birth,Marriage,Death_x000D_
.imm?:no_x000D_
..Spo:HANNAH GREEN</t>
        </r>
      </text>
    </comment>
    <comment ref="N5554" authorId="0" shapeId="0" xr:uid="{8CB6D5D5-5C7F-4D8D-914B-18569105E178}">
      <text>
        <r>
          <rPr>
            <sz val="9"/>
            <color indexed="81"/>
            <rFont val="Tahoma"/>
            <family val="2"/>
          </rPr>
          <t>JAMES WATERS_x000D_
http://yeinfo.com/family/I09005732.html_x000D_
https://www.google.com/search?q=JAMES+WATERS+1568+1617+PHEBE_x000D_
.born: 15680829-          London (Middlesex) England_x000D_
.died: 16170202-          London (Middlesex) England, age:48y 5m 4d, _x000D_
.bapt: 1785GE_x000D_
.will: 2004MO_x000D_
.obit: 1890OH_x000D_
.bury: 1850IL _x000D_
.wpbt: 1826PA_x000D_
.anc#:double ancestor_x000D_
citiz:foreign_x000D_
#spos:1_x000D_
#srcs:1_x000D_
#comment:1_x000D_
#events:1_x000D_
#kids:2_x000D_
lived:ENMIDDLLONDON_x000D_
issue:_x000D_
.recs:Birth,Marriage,Death_x000D_
.imm?:no_x000D_
..Spo:PHEBE MANNING</t>
        </r>
      </text>
    </comment>
    <comment ref="M5556" authorId="0" shapeId="0" xr:uid="{47ADCB09-0FFC-4AA2-B556-BE13D2F2CD9D}">
      <text>
        <r>
          <rPr>
            <sz val="9"/>
            <color indexed="81"/>
            <rFont val="Tahoma"/>
            <family val="2"/>
          </rPr>
          <t>LAWRENCE WATERS_x000D_
http://yeinfo.com/family/I09002866.html_x000D_
https://www.google.com/search?q=LAWRENCE+WATERS+1602+1687+ANN\ANNA_x000D_
.born: 1602    -          London county England_x000D_
.died: 16871209-          Charlestown (Suffolk) Massachusetts, age:85y 11m 8d, _x000D_
.bapt: 1785GE_x000D_
.will: 2004MO_x000D_
.obit: 1890OH_x000D_
.bury: 1850IL _x000D_
.wpbt: 1826PA_x000D_
.anc#:ancestor_x000D_
citiz:immigrant_x000D_
#spos:1_x000D_
#srcs:20_x000D_
#comment:1_x000D_
#events:11_x000D_
#kids:13_x000D_
lived:?MAMIDDLWATERTO,ENLONDO,MASUFFOCHAZTWN,MAWORCELANCAST_x000D_
issue:_x000D_
.recs:Birth,Marriage,Job/Occupation,Death,Land Transaction,Gov't Court,Freeman_x000D_
.imm?:immigrant_x000D_
..Spo:ANN\ANNA LINTON</t>
        </r>
      </text>
    </comment>
    <comment ref="N5558" authorId="0" shapeId="0" xr:uid="{887DE7E4-9F89-4A02-B4AD-56CFCE127A1B}">
      <text>
        <r>
          <rPr>
            <sz val="9"/>
            <color indexed="81"/>
            <rFont val="Tahoma"/>
            <family val="2"/>
          </rPr>
          <t>PHEBE MANNING_x000D_
http://yeinfo.com/family/I09005733.html_x000D_
https://www.google.com/search?q=PHEBE+MANNING+1572+1642+WATERS_x000D_
.born:a15720309-         ?England_x000D_
.died:?1642    -         ?Salem (Essex) Massachusetts, age:69y 9m 23d, _x000D_
.bapt: 1785GE_x000D_
.will: 2004MO_x000D_
.obit: 1890OH_x000D_
.bury: 1850IL _x000D_
.wpbt: 1826PA_x000D_
.anc#:double ancestor_x000D_
citiz:immigrant_x000D_
#spos:1_x000D_
#srcs:1_x000D_
#comment:1_x000D_
#events:2_x000D_
#kids:2_x000D_
lived:?EN,ENESSEXSALEM,ENMIDDLLONDON_x000D_
issue:_x000D_
.recs:Birth,Death,Immigrate_x000D_
.imm?:immigrant_x000D_
..Spo:JAMES WATERS</t>
        </r>
      </text>
    </comment>
    <comment ref="L5560" authorId="0" shapeId="0" xr:uid="{E00E5936-7E88-4D1C-BEA7-85C35A26B992}">
      <text>
        <r>
          <rPr>
            <sz val="9"/>
            <color indexed="81"/>
            <rFont val="Tahoma"/>
            <family val="2"/>
          </rPr>
          <t>REBECCA WATERS_x000D_
http://yeinfo.com/family/I09001433.html_x000D_
https://www.google.com/search?q=REBECCA+WATERS+1640+1726+WHITCOMB_x000D_
.born: 164002  -          _x000D_
.died: 1726    -          , age:85y 11m 0d, _x000D_
.bapt: 1785GE_x000D_
.will: 2004MO_x000D_
.obit: 1890OH_x000D_
.bury: 1850IL _x000D_
.wpbt: 1826PA_x000D_
.anc#:ancestor_x000D_
citiz:US born_x000D_
#spos:1_x000D_
#srcs:15_x000D_
#comment:0_x000D_
#events:3_x000D_
#kids:11_x000D_
lived:MASUFFODORCHES,MAWORCELANCAST_x000D_
issue:_x000D_
.recs:Birth,Marriage,Will Written,Death_x000D_
.imm?:no_x000D_
..Spo:JOSIAH\JAMES WHITCOMB</t>
        </r>
      </text>
    </comment>
    <comment ref="N5562" authorId="0" shapeId="0" xr:uid="{0793EBAC-D9B7-4936-82AA-B9C6263069AD}">
      <text>
        <r>
          <rPr>
            <sz val="9"/>
            <color indexed="81"/>
            <rFont val="Tahoma"/>
            <family val="2"/>
          </rPr>
          <t>RICHARD LINTON III_x000D_
http://yeinfo.com/family/I09005734.html_x000D_
https://www.google.com/search?q=RICHARD+LINTON+1585+1665+ELIZABETH_x000D_
.born:c1585    -         ?England_x000D_
.died: 16650330-          Lancaster (Worcester) Massachusetts, age:80y 2m 29d, _x000D_
.bapt: 1785GE_x000D_
.will: 2004MO_x000D_
.obit: 1890OH_x000D_
.bury: 1850IL _x000D_
.wpbt: 1826PA_x000D_
.anc#:ancestor_x000D_
citiz:immigrant_x000D_
#spos:1_x000D_
#srcs:12_x000D_
#comment:0_x000D_
#events:9_x000D_
#kids:2_x000D_
lived:?EN,MAMIDDLCONCORD,MAMIDDLWATERTO,MAWORCELANCAST_x000D_
issue:_x000D_
.recs:Birth,Marriage,Death,Land Transaction,Gov't Court_x000D_
.imm?:immigrant_x000D_
..Spo:ELIZABETH HAYWARD</t>
        </r>
      </text>
    </comment>
    <comment ref="M5564" authorId="0" shapeId="0" xr:uid="{A498E84B-56D8-49B2-96E5-DF35B15363CA}">
      <text>
        <r>
          <rPr>
            <sz val="9"/>
            <color indexed="81"/>
            <rFont val="Tahoma"/>
            <family val="2"/>
          </rPr>
          <t>ANN\ANNA LINTON_x000D_
http://yeinfo.com/family/I09002867.html_x000D_
https://www.google.com/search?q=ANN\ANNA+LINTON+1612+1680+WATERS_x000D_
.born: 1612    -          _x000D_
.died: 16800206-          Charlestown (Suffolk) Massachusetts, age:68y 1m 5d, _x000D_
.bapt: 1785GE_x000D_
.will: 2004MO_x000D_
.obit: 1890OH_x000D_
.bury: 1850IL _x000D_
.wpbt: 1826PA_x000D_
.anc#:ancestor_x000D_
citiz:US born_x000D_
#spos:1_x000D_
#srcs:11_x000D_
#comment:1_x000D_
#events:1_x000D_
#kids:13_x000D_
lived:?MA,MASUFFOCHAZTWN_x000D_
issue:_x000D_
.recs:Birth,Marriage,Death_x000D_
.imm?:no_x000D_
..Spo:LAWRENCE WATERS</t>
        </r>
      </text>
    </comment>
    <comment ref="O5566" authorId="0" shapeId="0" xr:uid="{E999871E-97B8-43D6-B93C-43F225E8F469}">
      <text>
        <r>
          <rPr>
            <sz val="9"/>
            <color indexed="81"/>
            <rFont val="Tahoma"/>
            <family val="2"/>
          </rPr>
          <t>WILLIAM HAYWARD_x000D_
http://yeinfo.com/family/I09011470.html_x000D_
https://www.google.com/search?q=WILLIAM+HAYWARD+1550+1640+MARGERY_x000D_
.born: 1550    -          London (Middlesex) England_x000D_
.died: 16401007-          Aylesford (Kent) England, age:90y 9m 6d, _x000D_
.bapt: 1785GE_x000D_
.will: 2004MO_x000D_
.obit: 1890OH_x000D_
.bury: 1850IL _x000D_
.wpbt: 1826PA_x000D_
.anc#:  triple ancestor_x000D_
citiz:foreign_x000D_
#spos:1_x000D_
#srcs:2_x000D_
#comment:0_x000D_
#events:2_x000D_
#kids:8_x000D_
lived:ENCUMBRGREYSTO,ENKENT AYLESFO,ENMIDDLLONDON_x000D_
issue:_x000D_
.recs:Birth,Marriage,Death_x000D_
.imm?:no_x000D_
..Spo:MARGERY THAYER</t>
        </r>
      </text>
    </comment>
    <comment ref="N5568" authorId="0" shapeId="0" xr:uid="{41A2D974-E31E-453C-B91B-27F989A659B0}">
      <text>
        <r>
          <rPr>
            <sz val="9"/>
            <color indexed="81"/>
            <rFont val="Tahoma"/>
            <family val="2"/>
          </rPr>
          <t>ELIZABETH HAYWARD_x000D_
http://yeinfo.com/family/I09005735.html_x000D_
https://www.google.com/search?q=ELIZABETH+HAYWARD+1585+1612+LINTON_x000D_
.born: 1585    -         ?London (Middlesex) England_x000D_
.died: 1612    -1675      Charlestown (Suffolk) Massachusetts, age:27y 0m 0d, _x000D_
.bapt: 1785GE_x000D_
.will: 2004MO_x000D_
.obit: 1890OH_x000D_
.bury: 1850IL _x000D_
.wpbt: 1826PA_x000D_
.anc#:ancestor_x000D_
citiz:immigrant_x000D_
#spos:1_x000D_
#srcs:8_x000D_
#comment:0_x000D_
#events:1_x000D_
#kids:2_x000D_
lived:?ENMIDDLLONDON,MASUFFOCHAZTWN_x000D_
issue:_x000D_
.recs:Birth,Marriage,Death_x000D_
.imm?:immigrant_x000D_
..Spo:RICHARD LINTON</t>
        </r>
      </text>
    </comment>
    <comment ref="O5570" authorId="0" shapeId="0" xr:uid="{781057C5-300C-47E3-A3E5-42F6DB422A69}">
      <text>
        <r>
          <rPr>
            <sz val="9"/>
            <color indexed="81"/>
            <rFont val="Tahoma"/>
            <family val="2"/>
          </rPr>
          <t>MARGERY THAYER_x000D_
http://yeinfo.com/family/I09011471.html_x000D_
https://www.google.com/search?q=MARGERY+THAYER+1543+1588+HAYWARD_x000D_
.born: 1543    -          London (Middlesex) England_x000D_
.died: 1588    -          Thornbury (Gloucestershire) England, age:45y 0m 0d, _x000D_
.bapt: 1785GE_x000D_
.will: 2004MO_x000D_
.obit: 1890OH_x000D_
.bury: 1850IL _x000D_
.wpbt: 1826PA_x000D_
.anc#:  triple ancestor_x000D_
citiz:foreign_x000D_
#spos:1_x000D_
#srcs:2_x000D_
#comment:0_x000D_
#events:2_x000D_
#kids:8_x000D_
lived:ENGLOUSTHORNBU,ENMIDDLLONDON,ENMIDDLSTEPNEY_x000D_
issue:_x000D_
.recs:Birth,Marriage,Death_x000D_
.imm?:no_x000D_
..Spo:WILLIAM HAYWARD</t>
        </r>
      </text>
    </comment>
    <comment ref="J5572" authorId="0" shapeId="0" xr:uid="{D9DB273F-043C-465D-BAA5-3C86F8CBB4BD}">
      <text>
        <r>
          <rPr>
            <sz val="9"/>
            <color indexed="81"/>
            <rFont val="Tahoma"/>
            <family val="2"/>
          </rPr>
          <t>HEZEKIAH WILLIAM WHITCOMB_x000D_
http://yeinfo.com/family/I09000358.html_x000D_
https://www.google.com/search?q=HEZEKIAH+WILLIAM+WHITCOMB+1707+1744+RACHEL_x000D_
.born: 17071222-          Groton (Middlesex) Massachusetts_x000D_
.died: 1744    -1797     ?Lancaster (Worcester) Massachusetts, age:36y 0m 10d, _x000D_
.bapt: 1785GE_x000D_
.will: 2004MO_x000D_
.obit: 1890OH_x000D_
.bury: 1850IL _x000D_
.wpbt: 1826PA_x000D_
.anc#:ancestor_x000D_
citiz:US born_x000D_
#spos:1_x000D_
#srcs:6_x000D_
#comment:1_x000D_
#events:4_x000D_
#kids:4_x000D_
lived:MAMIDDLGROTON,MAWORCELANCAST_x000D_
issue:_x000D_
.recs:Birth,Military,Marriage,Death,Estate_x000D_
.imm?:no_x000D_
..Spo:RACHEL PRIEST</t>
        </r>
      </text>
    </comment>
    <comment ref="N5574" authorId="0" shapeId="0" xr:uid="{A5AC4690-7826-4BF2-86A5-48BDACA44643}">
      <text>
        <r>
          <rPr>
            <sz val="9"/>
            <color indexed="81"/>
            <rFont val="Tahoma"/>
            <family val="2"/>
          </rPr>
          <t>EDWARD GREEN_x000D_
http://yeinfo.com/family/I09005736.html_x000D_
https://www.google.com/search?q=EDWARD+GREEN+1570+1648+ELIZABETH_x000D_
.born:?1570    -         ?England_x000D_
.died: 164810  -          Great Wilbraham (Cambridgeshire) England, age:78y 9m 0d, _x000D_
.bapt: 1785GE_x000D_
.will: 2004MO_x000D_
.obit: 1890OH_x000D_
.bury: 1850IL _x000D_
.wpbt: 1826PA_x000D_
.anc#:ancestor_x000D_
citiz:foreign_x000D_
#spos:1_x000D_
#srcs:1_x000D_
#comment:0_x000D_
#events:1_x000D_
#kids:1_x000D_
lived:?EN,ENCAMBSGREATWI_x000D_
issue:_x000D_
.recs:Birth,Marriage,Death_x000D_
.imm?:no_x000D_
..Spo:ELIZABETH GREEN</t>
        </r>
      </text>
    </comment>
    <comment ref="M5576" authorId="0" shapeId="0" xr:uid="{F873BA8D-F9D0-417D-8454-4AAB03E2719D}">
      <text>
        <r>
          <rPr>
            <sz val="9"/>
            <color indexed="81"/>
            <rFont val="Tahoma"/>
            <family val="2"/>
          </rPr>
          <t>JOHN GREEN_x000D_
http://yeinfo.com/family/I09002868.html_x000D_
https://www.google.com/search?q=JOHN+GREEN+1593+1658+PERSEVERANCE+GREEN_x000D_
.born: 15931014-          Cambridgeshire county England_x000D_
.died: 16580422-          Charlestown (Suffolk) Massachusetts, age:64y 6m 8d, _x000D_
.bapt: 1785GE_x000D_
.will: 2004MO_x000D_
.obit: 1890OH_x000D_
.bury: 1850IL _x000D_
.wpbt: 1826PA_x000D_
.anc#:ancestor_x000D_
citiz:immigrant_x000D_
#spos:2_x000D_
#srcs:3_x000D_
#comment:0_x000D_
#events:2_x000D_
#kids:5_x000D_
lived:ENCAMBS,MASUFFOCHAZTWN_x000D_
issue:_x000D_
.recs:Birth,Marriage,Death_x000D_
.imm?:immigrant_x000D_
..Spo:PERSEVERANCE JOHNSON</t>
        </r>
      </text>
    </comment>
    <comment ref="N5578" authorId="0" shapeId="0" xr:uid="{B994A45E-BA18-47F5-BA68-50370253CE4C}">
      <text>
        <r>
          <rPr>
            <sz val="9"/>
            <color indexed="81"/>
            <rFont val="Tahoma"/>
            <family val="2"/>
          </rPr>
          <t>Mrs. ELIZABETH GREEN_x000D_
http://yeinfo.com/family/I09005737.html_x000D_
https://www.google.com/search?q=ELIZABETH+GREEN+1570+1593+GREEN_x000D_
.born:?1570    -         ?England_x000D_
.died: 1593    -1660     ?England, age:23y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..Spo:EDWARD GREEN</t>
        </r>
      </text>
    </comment>
    <comment ref="L5580" authorId="0" shapeId="0" xr:uid="{CAF2E98D-357B-4408-A884-D3053F9025C4}">
      <text>
        <r>
          <rPr>
            <sz val="9"/>
            <color indexed="81"/>
            <rFont val="Tahoma"/>
            <family val="2"/>
          </rPr>
          <t>WILLIAM GREEN_x000D_
http://yeinfo.com/family/I09001434.html_x000D_
https://www.google.com/search?q=WILLIAM+GREEN+1625+1713+MARY_x000D_
.born:?1625    -         ?England_x000D_
.died: 17131027-          Groton (Middlesex) Massachusetts, age:88y 9m 26d, _x000D_
.bapt: 1785GE_x000D_
.will: 2004MO_x000D_
.obit: 1890OH_x000D_
.bury: 1850IL _x000D_
.wpbt: 1826PA_x000D_
.anc#:ancestor_x000D_
citiz:immigrant_x000D_
#spos:1_x000D_
#srcs:6_x000D_
#comment:1_x000D_
#events:3_x000D_
#kids:8_x000D_
lived:?EN,MAMIDDLCAMBRID,MAMIDDLGROTON_x000D_
issue:_x000D_
.recs:Birth,Marriage,Death_x000D_
.imm?:immigrant_x000D_
..Spo:MARY CRISPE</t>
        </r>
      </text>
    </comment>
    <comment ref="O5582" authorId="0" shapeId="0" xr:uid="{FBBF492A-2A7B-4397-9E7C-8C6C1A245EE9}">
      <text>
        <r>
          <rPr>
            <sz val="9"/>
            <color indexed="81"/>
            <rFont val="Tahoma"/>
            <family val="2"/>
          </rPr>
          <t>JOHN JOHNSON_x000D_
http://yeinfo.com/family/I09011476.html_x000D_
https://www.google.com/search?q=JOHN+JOHNSON+1540+1562+FRANCES_x000D_
.born:c1540    -          England_x000D_
.died: 1562    -1630     ?England, age:22y 0m 0d, _x000D_
.bapt: 1785GE_x000D_
.will: 2004MO_x000D_
.obit: 1890OH_x000D_
.bury: 1850IL _x000D_
.wpbt: 1826PA_x000D_
.anc#:ancestor_x000D_
citiz:foreign_x000D_
#spos:1_x000D_
#srcs:2_x000D_
#comment:0_x000D_
#events:1_x000D_
#kids:1_x000D_
lived:EN_x000D_
issue:_x000D_
.recs:Birth,Marriage,Death_x000D_
.imm?:no_x000D_
..Spo:FRANCES JOHNSON</t>
        </r>
      </text>
    </comment>
    <comment ref="N5584" authorId="0" shapeId="0" xr:uid="{441F4361-97F9-45B7-9D60-3419C394393B}">
      <text>
        <r>
          <rPr>
            <sz val="9"/>
            <color indexed="81"/>
            <rFont val="Tahoma"/>
            <family val="2"/>
          </rPr>
          <t>FRANCIS JOHNSON_x000D_
http://yeinfo.com/family/I09005738.html_x000D_
https://www.google.com/search?q=FRANCIS+JOHNSON+1562+1618+THOMASINE\JOHANNA_x000D_
.born: 15620327-          Yorkshire county England_x000D_
.died: 161802  -          Amsterdam (North Holland) Netherlands, age:55y 10m 5d, _x000D_
.bapt: 1785GE_x000D_
.will: 2004MO_x000D_
.obit: 1890OH_x000D_
.bury: 1850IL _x000D_
.wpbt: 1826PA_x000D_
.anc#:ancestor_x000D_
citiz:foreign_x000D_
#spos:1_x000D_
#srcs:2_x000D_
#comment:0_x000D_
#events:1_x000D_
#kids:1_x000D_
lived:ENYORKS,NTNHOLLAMSTERD_x000D_
issue:_x000D_
.recs:Birth,Marriage,Death_x000D_
.imm?:no_x000D_
..Spo:THOMASINE\JOHANNA BOIS</t>
        </r>
      </text>
    </comment>
    <comment ref="O5586" authorId="0" shapeId="0" xr:uid="{BA4E5818-47F9-44EE-8B9B-D1B7D0DF2AC2}">
      <text>
        <r>
          <rPr>
            <sz val="9"/>
            <color indexed="81"/>
            <rFont val="Tahoma"/>
            <family val="2"/>
          </rPr>
          <t>Mrs. FRANCES JOHNSON_x000D_
http://yeinfo.com/family/I09011477.html_x000D_
https://www.google.com/search?q=FRANCES+JOHNSON+1540+1562+JOHNSON_x000D_
.born:c1540    -          England_x000D_
.died: 1562    -1630     ?England, age:22y 0m 0d, _x000D_
.bapt: 1785GE_x000D_
.will: 2004MO_x000D_
.obit: 1890OH_x000D_
.bury: 1850IL _x000D_
.wpbt: 1826PA_x000D_
.anc#:ancestor_x000D_
citiz:foreign_x000D_
#spos:1_x000D_
#srcs:2_x000D_
#comment:0_x000D_
#events:1_x000D_
#kids:1_x000D_
lived:EN_x000D_
issue:_x000D_
.recs:Birth,Marriage,Death_x000D_
.imm?:no_x000D_
..Spo:JOHN JOHNSON</t>
        </r>
      </text>
    </comment>
    <comment ref="M5588" authorId="0" shapeId="0" xr:uid="{8840BD76-100C-4AA9-9D7D-BB9B3BBDDCDB}">
      <text>
        <r>
          <rPr>
            <sz val="9"/>
            <color indexed="81"/>
            <rFont val="Tahoma"/>
            <family val="2"/>
          </rPr>
          <t>PERSEVERANCE JOHNSON_x000D_
http://yeinfo.com/family/I09002869.html_x000D_
https://www.google.com/search?q=PERSEVERANCE+JOHNSON+1593+1625+GREEN_x000D_
.born: 15931014-          Cambridgeshire county England_x000D_
.died: 1625    -1683      Charlestown (Suffolk) Massachusetts, age:31y 2m 18d, _x000D_
.bapt: 1785GE_x000D_
.will: 2004MO_x000D_
.obit: 1890OH_x000D_
.bury: 1850IL _x000D_
.wpbt: 1826PA_x000D_
.anc#:ancestor_x000D_
citiz:immigrant_x000D_
#spos:1_x000D_
#srcs:3_x000D_
#comment:0_x000D_
#events:1_x000D_
#kids:5_x000D_
lived:ENCAMBS,MASUFFOCHAZTWN_x000D_
issue:Born before Parents Married_x000D_
.recs:Birth,Marriage,Death_x000D_
.imm?:immigrant_x000D_
..Spo:JOHN GREEN</t>
        </r>
      </text>
    </comment>
    <comment ref="P5590" authorId="0" shapeId="0" xr:uid="{C3FCCFF1-247C-444C-BD63-1FF176691CD3}">
      <text>
        <r>
          <rPr>
            <sz val="9"/>
            <color indexed="81"/>
            <rFont val="Tahoma"/>
            <family val="2"/>
          </rPr>
          <t>RICHARD BOIS_x000D_
http://yeinfo.com/family/I09022956.html_x000D_
https://www.google.com/search?q=RICHARD+BOIS+1510+1536+AUDREYE_x000D_
.born:?1510    -         ?England_x000D_
.died: 1536    -1600     ?England, age:26y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..Spo:AUDREYE COLVILLE</t>
        </r>
      </text>
    </comment>
    <comment ref="O5592" authorId="0" shapeId="0" xr:uid="{B45CEF2B-F0A4-4C8D-A60C-3A5EB892E682}">
      <text>
        <r>
          <rPr>
            <sz val="9"/>
            <color indexed="81"/>
            <rFont val="Tahoma"/>
            <family val="2"/>
          </rPr>
          <t>WILLIAM BOIS_x000D_
http://yeinfo.com/family/I09011478.html_x000D_
https://www.google.com/search?q=WILLIAM+BOIS+1536+1574+ALICE_x000D_
.born:c1536    -         ?England_x000D_
.died: 1574    -1626     ?England, age:38y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..Spo:ALICE BULWER</t>
        </r>
      </text>
    </comment>
    <comment ref="P5594" authorId="0" shapeId="0" xr:uid="{0E662618-EA8B-443B-AA2F-F751EC8A432A}">
      <text>
        <r>
          <rPr>
            <sz val="9"/>
            <color indexed="81"/>
            <rFont val="Tahoma"/>
            <family val="2"/>
          </rPr>
          <t>AUDREYE COLVILLE_x000D_
http://yeinfo.com/family/I09022957.html_x000D_
https://www.google.com/search?q=AUDREYE+COLVILLE+1510+1536+BOIS_x000D_
.born:?1510    -         ?England_x000D_
.died: 1536    -1600     ?England, age:26y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..Spo:RICHARD BOIS</t>
        </r>
      </text>
    </comment>
    <comment ref="N5596" authorId="0" shapeId="0" xr:uid="{06F9BE17-1FAB-4BB1-A171-8A1B28CEA5CC}">
      <text>
        <r>
          <rPr>
            <sz val="9"/>
            <color indexed="81"/>
            <rFont val="Tahoma"/>
            <family val="2"/>
          </rPr>
          <t>THOMASINE\JOHANNA BOIS_x000D_
http://yeinfo.com/family/I09005739.html_x000D_
https://www.google.com/search?q=THOMASINE\JOHANNA+BOIS+1574+1594+JOHNSON_x000D_
.born: 1574    -          Norfolk county England_x000D_
.died: 1594    -1664      Charlestown (Suffolk) Massachusetts, age:20y 0m 0d, _x000D_
.bapt: 1785GE_x000D_
.will: 2004MO_x000D_
.obit: 1890OH_x000D_
.bury: 1850IL _x000D_
.wpbt: 1826PA_x000D_
.anc#:ancestor_x000D_
citiz:immigrant_x000D_
#spos:1_x000D_
#srcs:2_x000D_
#comment:0_x000D_
#events:1_x000D_
#kids:1_x000D_
lived:?ENYORKS,ENNORFO,MASUFFOCHAZTWN_x000D_
issue:Died before Birth_x000D_
.recs:Birth,Marriage,Death_x000D_
.imm?:immigrant_x000D_
..Spo:FRANCIS JOHNSON</t>
        </r>
      </text>
    </comment>
    <comment ref="P5598" authorId="0" shapeId="0" xr:uid="{D1F8DFF1-AAFF-46BE-A877-73B3E4CC8107}">
      <text>
        <r>
          <rPr>
            <sz val="9"/>
            <color indexed="81"/>
            <rFont val="Tahoma"/>
            <family val="2"/>
          </rPr>
          <t>SIMON BULWER_x000D_
http://yeinfo.com/family/I09022958.html_x000D_
https://www.google.com/search?q=SIMON+BULWER+1525+1546+JOAN_x000D_
.born:?1525    -         ?England_x000D_
.died: 1546    -1615     ?England, age:21y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..Spo:JOAN ELWYN</t>
        </r>
      </text>
    </comment>
    <comment ref="O5600" authorId="0" shapeId="0" xr:uid="{D7F476DE-612E-40DC-876B-77A632765102}">
      <text>
        <r>
          <rPr>
            <sz val="9"/>
            <color indexed="81"/>
            <rFont val="Tahoma"/>
            <family val="2"/>
          </rPr>
          <t>ALICE BULWER_x000D_
http://yeinfo.com/family/I09011479.html_x000D_
https://www.google.com/search?q=ALICE+BULWER+1546+1574+BOIS_x000D_
.born:c1546    -         ?England_x000D_
.died: 1574    -1636     ?England, age:28y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..Spo:WILLIAM BOIS</t>
        </r>
      </text>
    </comment>
    <comment ref="P5602" authorId="0" shapeId="0" xr:uid="{B63F3263-AA5E-4341-9D6F-E3A9D3C28CF6}">
      <text>
        <r>
          <rPr>
            <sz val="9"/>
            <color indexed="81"/>
            <rFont val="Tahoma"/>
            <family val="2"/>
          </rPr>
          <t>JOAN ELWYN_x000D_
http://yeinfo.com/family/I09022959.html_x000D_
https://www.google.com/search?q=JOAN+ELWYN+1525+1546+BULWER_x000D_
.born:?1525    -         ?England_x000D_
.died: 1546    -1615     ?England, age:21y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..Spo:SIMON BULWER</t>
        </r>
      </text>
    </comment>
    <comment ref="K5604" authorId="0" shapeId="0" xr:uid="{2E77AF10-D61A-4121-822D-24A5F6FD3951}">
      <text>
        <r>
          <rPr>
            <sz val="9"/>
            <color indexed="81"/>
            <rFont val="Tahoma"/>
            <family val="2"/>
          </rPr>
          <t>HANNAH GREEN_x000D_
http://yeinfo.com/family/I09000717.html_x000D_
https://www.google.com/search?q=HANNAH+GREEN+1683+1761+WHITCOMB_x000D_
.born: 16830410-          Groton (Middlesex) Massachusetts_x000D_
.died: 1761    -          , age:77y 8m 22d, _x000D_
.bapt: 1785GE_x000D_
.will: 2004MO_x000D_
.obit: 1890OH_x000D_
.bury: 1850IL _x000D_
.wpbt: 1826PA_x000D_
.anc#:ancestor_x000D_
citiz:US born_x000D_
#spos:1_x000D_
#srcs:6_x000D_
#comment:1_x000D_
#events:1_x000D_
#kids:8_x000D_
lived:MAMIDDLGROTON,MAWORCEBOLTON_x000D_
issue:_x000D_
.recs:Birth,Marriage,Death_x000D_
.imm?:no_x000D_
..Spo:HEZEKIAH WHITCOMB</t>
        </r>
      </text>
    </comment>
    <comment ref="M5606" authorId="0" shapeId="0" xr:uid="{BE54607C-AE93-4232-919D-12E07C0FCEF2}">
      <text>
        <r>
          <rPr>
            <sz val="9"/>
            <color indexed="81"/>
            <rFont val="Tahoma"/>
            <family val="2"/>
          </rPr>
          <t>BENJAMIN CRISPE_x000D_
http://yeinfo.com/family/I09002870.html_x000D_
https://www.google.com/search?q=BENJAMIN+CRISPE+1610+1683+MARY+BRIDGET+CRISPE_x000D_
.born:?1610    -         ?England_x000D_
.died: 1683    -          Waterton (Middlesex) Massachusetts, age:73y 0m 0d, _x000D_
.bapt: 1785GE_x000D_
.will: 2004MO_x000D_
.obit: 1890OH_x000D_
.bury: 1850IL _x000D_
.wpbt: 1826PA_x000D_
.anc#:double ancestor_x000D_
citiz:immigrant_x000D_
#spos:2_x000D_
#srcs:3_x000D_
#comment:0_x000D_
#events:7_x000D_
#kids:8_x000D_
lived:?EN,MAMIDDLGROTON,MAMIDDLWATERTO_x000D_
issue:_x000D_
.recs:Birth,Marriage,Death,Freeman_x000D_
.imm?:immigrant_x000D_
..Spo:MARY BRIDGET HARRIS</t>
        </r>
      </text>
    </comment>
    <comment ref="L5608" authorId="0" shapeId="0" xr:uid="{42042819-0954-4637-88EA-3EE38DCE6423}">
      <text>
        <r>
          <rPr>
            <sz val="9"/>
            <color indexed="81"/>
            <rFont val="Tahoma"/>
            <family val="2"/>
          </rPr>
          <t>MARY CRISPE_x000D_
http://yeinfo.com/family/I09001435.html_x000D_
https://www.google.com/search?q=MARY+CRISPE+1638+1708+GREEN_x000D_
.born: 16380520-          Waterton (Middlesex) Massachusetts_x000D_
.died: 17080321-          , age:69y 10m 1d, _x000D_
.bapt: 1785GE_x000D_
.will: 2004MO_x000D_
.obit: 1890OH_x000D_
.bury: 1850IL _x000D_
.wpbt: 1826PA_x000D_
.anc#:ancestor_x000D_
citiz:US born_x000D_
#spos:1_x000D_
#srcs:8_x000D_
#comment:0_x000D_
#events:1_x000D_
#kids:8_x000D_
lived:MAMIDDLDUNSTAB,MAMIDDLWATERTO_x000D_
issue:_x000D_
.recs:Birth,Marriage,Death_x000D_
.imm?:no_x000D_
..Spo:WILLIAM GREEN</t>
        </r>
      </text>
    </comment>
    <comment ref="M5610" authorId="0" shapeId="0" xr:uid="{65679E16-952B-4388-8060-B4581ABD8CC6}">
      <text>
        <r>
          <rPr>
            <sz val="9"/>
            <color indexed="81"/>
            <rFont val="Tahoma"/>
            <family val="2"/>
          </rPr>
          <t>MARY BRIDGET HARRIS_x000D_
http://yeinfo.com/family/I09002871.html_x000D_
https://www.google.com/search?q=MARY+BRIDGET+HARRIS+1613+1675+CRISPE_x000D_
.born:c1613    -          Firsby (Lincolnshire) England_x000D_
.died: 16750313-          Groton (Middlesex) Massachusetts, age:62y 2m 12d, _x000D_
.bapt: 1785GE_x000D_
.will: 2004MO_x000D_
.obit: 1890OH_x000D_
.bury: 1850IL _x000D_
.wpbt: 1826PA_x000D_
.anc#:double ancestor_x000D_
citiz:immigrant_x000D_
#spos:1_x000D_
#srcs:6_x000D_
#comment:0_x000D_
#events:1_x000D_
#kids:8_x000D_
lived:ENLINCSFIRSBY,MAMIDDLGROTON_x000D_
issue:_x000D_
.recs:Birth,Marriage,Death_x000D_
.imm?:immigrant_x000D_
..Spo:BENJAMIN CRISPE</t>
        </r>
      </text>
    </comment>
    <comment ref="I5612" authorId="0" shapeId="0" xr:uid="{564EB160-2DE8-4B68-B5CF-1071A281D559}">
      <text>
        <r>
          <rPr>
            <sz val="9"/>
            <color indexed="81"/>
            <rFont val="Tahoma"/>
            <family val="2"/>
          </rPr>
          <t>ELIZABETH WHITCOMB_x000D_
http://yeinfo.com/family/I09000179.html_x000D_
https://www.google.com/search?q=ELIZABETH+WHITCOMB+1744+1768+MOORE_x000D_
.born: 17440920-          Lancaster (Worcester) Massachusetts_x000D_
.died: 1768    -1834      , age:23y 3m 12d, _x000D_
.bapt: 1785GE_x000D_
.will: 2004MO_x000D_
.obit: 1890OH_x000D_
.bury: 1850IL _x000D_
.wpbt: 1826PA_x000D_
.anc#:ancestor_x000D_
citiz:US born_x000D_
#spos:1_x000D_
#srcs:6_x000D_
#comment:1_x000D_
#events:5_x000D_
#kids:7_x000D_
lived:MAWORCELANCAST,VTWINDHPUTNEY_x000D_
issue:_x000D_
.recs:Birth,Baptism,Marriage Intention/Bonds,Death_x000D_
.imm?:no_x000D_
..Spo:DAVID MOORE</t>
        </r>
      </text>
    </comment>
    <comment ref="N5614" authorId="0" shapeId="0" xr:uid="{87BED374-D645-47B0-80FD-CE11C64168B8}">
      <text>
        <r>
          <rPr>
            <sz val="9"/>
            <color indexed="81"/>
            <rFont val="Tahoma"/>
            <family val="2"/>
          </rPr>
          <t>JAMES PRIEST_x000D_
http://yeinfo.com/family/I09005744.html_x000D_
https://www.google.com/search?q=JAMES+PRIEST+1605+1676+{_?_}+PRIEST_x000D_
.born:?1605    -         ?England_x000D_
.died:a16760411-          Boston (Suffolk) Massachusetts, age:71y 3m 10d, _x000D_
.bapt: 1785GE_x000D_
.will: 2004MO_x000D_
.obit: 1890OH_x000D_
.bury: 1850IL _x000D_
.wpbt: 1826PA_x000D_
.anc#:ancestor_x000D_
citiz:immigrant_x000D_
#spos:2_x000D_
#srcs:4_x000D_
#comment:0_x000D_
#events:6_x000D_
#kids:4_x000D_
lived:?EN,MAESSEXSALEM,MANORFOWEYMOUT,MASUFFOBOSTON,MASUFFODORCHES_x000D_
issue:_x000D_
.recs:Birth,Marriage,Death,Freeman_x000D_
.imm?:immigrant_x000D_
..Spo:{_?_} PRIEST</t>
        </r>
      </text>
    </comment>
    <comment ref="M5616" authorId="0" shapeId="0" xr:uid="{CEC93975-28FA-41E1-9301-D9D8CC6FB27B}">
      <text>
        <r>
          <rPr>
            <sz val="9"/>
            <color indexed="81"/>
            <rFont val="Tahoma"/>
            <family val="2"/>
          </rPr>
          <t>JOHN PRIEST_x000D_
http://yeinfo.com/family/I09002872.html_x000D_
https://www.google.com/search?q=JOHN+PRIEST+1628+1704+SARAH_x000D_
.born:?1628    -         ?England_x000D_
.died: 1704    -          Lancaster (Worcester) Massachusetts, age:76y 0m 0d, _x000D_
.bapt: 1785GE_x000D_
.will: 2004MO_x000D_
.obit: 1890OH_x000D_
.bury: 1850IL _x000D_
.wpbt: 1826PA_x000D_
.anc#:ancestor_x000D_
citiz:immigrant_x000D_
#spos:1_x000D_
#srcs:8_x000D_
#comment:0_x000D_
#events:4_x000D_
#kids:1_x000D_
lived:?EN,MAMIDDL,MANORFOWEYMOUT,MASUFFOCHAZTWN,MAWORCELANCAST_x000D_
issue:_x000D_
.recs:Birth,Marriage,Death,Land Transaction_x000D_
.imm?:immigrant_x000D_
..Spo:SARAH ALLERTON</t>
        </r>
      </text>
    </comment>
    <comment ref="N5618" authorId="0" shapeId="0" xr:uid="{FB17C43D-BC05-44C0-A087-4EDBBFF37C5F}">
      <text>
        <r>
          <rPr>
            <sz val="9"/>
            <color indexed="81"/>
            <rFont val="Tahoma"/>
            <family val="2"/>
          </rPr>
          <t>Mrs. {_?_} PRIEST_x000D_
http://yeinfo.com/family/I09005745.html_x000D_
https://www.google.com/search?q={_?_}+PRIEST+1605+1628+PRIEST_x000D_
.born:?1605    -         ?England_x000D_
.died: 1628    -1695     ?Massachusetts, age:23y 0m 0d, _x000D_
.bapt: 1785GE_x000D_
.will: 2004MO_x000D_
.obit: 1890OH_x000D_
.bury: 1850IL _x000D_
.wpbt: 1826PA_x000D_
.anc#:ancestor_x000D_
citiz:immigrant_x000D_
#spos:1_x000D_
#srcs:0_x000D_
#comment:0_x000D_
#events:1_x000D_
#kids:2_x000D_
lived:?EN,?MA_x000D_
issue:_x000D_
.recs:Birth,Marriage,Death_x000D_
.imm?:immigrant_x000D_
..Spo:JAMES PRIEST</t>
        </r>
      </text>
    </comment>
    <comment ref="L5620" authorId="0" shapeId="0" xr:uid="{A660DA6E-FFD2-45E3-B6AE-CE79E14C0429}">
      <text>
        <r>
          <rPr>
            <sz val="9"/>
            <color indexed="81"/>
            <rFont val="Tahoma"/>
            <family val="2"/>
          </rPr>
          <t>JOHN PRIEST_x000D_
http://yeinfo.com/family/I09001436.html_x000D_
https://www.google.com/search?q=JOHN+PRIEST+1650+1704+RACHEL+PRIEST_x000D_
.born:c1650    -          Massachusetts_x000D_
.died: 1704    -         ?Lancaster (Worcester) Massachusetts, age:54y 0m 0d, _x000D_
.bapt: 1785GE_x000D_
.will: 2004MO_x000D_
.obit: 1890OH_x000D_
.bury: 1850IL _x000D_
.wpbt: 1826PA_x000D_
.anc#:ancestor_x000D_
citiz:US born_x000D_
#spos:2_x000D_
#srcs:6_x000D_
#comment:0_x000D_
#events:6_x000D_
#kids:7_x000D_
lived:?MAWORCELANCAST,MAMIDDLWOBURN_x000D_
issue:_x000D_
.recs:Birth,Military,Marriage,Death_x000D_
.imm?:no_x000D_
..Spo:RACHEL GARFIELD</t>
        </r>
      </text>
    </comment>
    <comment ref="M5622" authorId="0" shapeId="0" xr:uid="{91DDA089-C98A-41C4-A460-26B81A2C1527}">
      <text>
        <r>
          <rPr>
            <sz val="9"/>
            <color indexed="81"/>
            <rFont val="Tahoma"/>
            <family val="2"/>
          </rPr>
          <t>SARAH ALLERTON_x000D_
http://yeinfo.com/family/I09002873.html_x000D_
https://www.google.com/search?q=SARAH+ALLERTON+1628+1650+PRIEST_x000D_
.born:?1628    -          England_x000D_
.died: 1650    -1718      , age:22y 0m 0d, _x000D_
.bapt: 1785GE_x000D_
.will: 2004MO_x000D_
.obit: 1890OH_x000D_
.bury: 1850IL _x000D_
.wpbt: 1826PA_x000D_
.anc#:ancestor_x000D_
citiz:US born_x000D_
#spos:1_x000D_
#srcs:1_x000D_
#comment:0_x000D_
#events:1_x000D_
#kids:1_x000D_
lived:?MA,EN_x000D_
issue:_x000D_
.recs:Birth,Marriage,Death_x000D_
.imm?:no_x000D_
..Spo:JOHN PRIEST</t>
        </r>
      </text>
    </comment>
    <comment ref="K5624" authorId="0" shapeId="0" xr:uid="{5B218659-AC9F-4649-8F63-868AB424D2C3}">
      <text>
        <r>
          <rPr>
            <sz val="9"/>
            <color indexed="81"/>
            <rFont val="Tahoma"/>
            <family val="2"/>
          </rPr>
          <t>JOHN PRIEST_x000D_
http://yeinfo.com/family/I09000718.html_x000D_
https://www.google.com/search?q=JOHN+PRIEST+1681+1756+ANNA_x000D_
.born: 16811101-          Woburn (Middlesex) Massachusetts_x000D_
.died: 17560929-          Bolton (Worcester) Massachusetts, age:74y 10m 28d, _x000D_
.bapt: 1785GE_x000D_
.will: 2004MO_x000D_
.obit: 1890OH_x000D_
.bury: 1850IL _x000D_
.wpbt: 1826PA_x000D_
.anc#:ancestor_x000D_
citiz:US born_x000D_
#spos:1_x000D_
#srcs:3_x000D_
#comment:0_x000D_
#events:3_x000D_
#kids:9_x000D_
lived:MAMIDDLWOBURN,MAWORCEBOLTON,MAWORCEHARVARD_x000D_
issue:_x000D_
.recs:Birth,Marriage,Death,Land Transaction_x000D_
.imm?:no_x000D_
..Spo:ANNA HOUGHTON</t>
        </r>
      </text>
    </comment>
    <comment ref="O5626" authorId="0" shapeId="0" xr:uid="{C66A3979-0168-4038-BC1F-EE075B9BAA0B}">
      <text>
        <r>
          <rPr>
            <sz val="9"/>
            <color indexed="81"/>
            <rFont val="Tahoma"/>
            <family val="2"/>
          </rPr>
          <t>EDWARD GARFIELD_x000D_
http://yeinfo.com/family/I09011496.html_x000D_
https://www.google.com/search?q=EDWARD+GARFIELD+1575+1672+AGNES\SARAH_x000D_
.born:c1575    -         ?England_x000D_
.died: 16720614-          Waterton (Middlesex) Massachusetts, age:97y 5m 13d, _x000D_
.bapt: 1785GE_x000D_
.will: 2004MO_x000D_
.obit: 1890OH_x000D_
.bury: 1850IL _x000D_
.wpbt: 1826PA_x000D_
.anc#:  quadruple ancestor_x000D_
citiz:immigrant_x000D_
#spos:1_x000D_
#srcs:11_x000D_
#comment:1_x000D_
#events:8_x000D_
#kids:1_x000D_
lived:?EN,?MAMIDDLWATERTO,MA_x000D_
issue:_x000D_
.recs:Birth,Marriage,Job/Occupation,Death,Freeman_x000D_
.imm?:immigrant_x000D_
..Spo:AGNES\SARAH GARFIELD</t>
        </r>
      </text>
    </comment>
    <comment ref="N5628" authorId="0" shapeId="0" xr:uid="{1DC8AC61-8ECC-4055-9BBA-F006F0ABF66E}">
      <text>
        <r>
          <rPr>
            <sz val="9"/>
            <color indexed="81"/>
            <rFont val="Tahoma"/>
            <family val="2"/>
          </rPr>
          <t>EDWARD GARFIELD_x000D_
http://yeinfo.com/family/I09005748.html_x000D_
https://www.google.com/search?q=EDWARD+GARFIELD+1605+1672+REBECCA+GARFIELD_x000D_
.born: 1605    -         ?England_x000D_
.died: 16720604-          , age:67y 5m 3d, _x000D_
.bapt: 1785GE_x000D_
.will: 2004MO_x000D_
.obit: 1890OH_x000D_
.bury: 1850IL _x000D_
.wpbt: 1826PA_x000D_
.anc#:  quadruple ancestor_x000D_
citiz:US born_x000D_
#spos:2_x000D_
#srcs:10_x000D_
#comment:0_x000D_
#events:8_x000D_
#kids:6_x000D_
lived:?EN,MAMIDDLWATERTO_x000D_
issue:_x000D_
.recs:Birth,Marriage,Job/Occupation,Will Written,Death_x000D_
.imm?:no_x000D_
..Spo:REBECCA JOHNSON</t>
        </r>
      </text>
    </comment>
    <comment ref="O5630" authorId="0" shapeId="0" xr:uid="{C30E3DBF-F234-4B61-AB48-CDCC26074267}">
      <text>
        <r>
          <rPr>
            <sz val="9"/>
            <color indexed="81"/>
            <rFont val="Tahoma"/>
            <family val="2"/>
          </rPr>
          <t>Mrs. AGNES\SARAH GARFIELD_x000D_
http://yeinfo.com/family/I09011497.html_x000D_
https://www.google.com/search?q=AGNES\SARAH+GARFIELD+1575+1605+GARFIELD_x000D_
.born:?1575    -         ?England_x000D_
.died: 1605    -1665      , age:30y 0m 0d, _x000D_
.bapt: 1785GE_x000D_
.will: 2004MO_x000D_
.obit: 1890OH_x000D_
.bury: 1850IL _x000D_
.wpbt: 1826PA_x000D_
.anc#:  quadruple ancestor_x000D_
citiz:US born_x000D_
#spos:1_x000D_
#srcs:2_x000D_
#comment:0_x000D_
#events:1_x000D_
#kids:1_x000D_
lived:?EN_x000D_
issue:_x000D_
.recs:Birth,Marriage,Death_x000D_
.imm?:no_x000D_
..Spo:EDWARD GARFIELD</t>
        </r>
      </text>
    </comment>
    <comment ref="M5632" authorId="0" shapeId="0" xr:uid="{06ADD84E-08A7-478B-88F8-7B45DC3DA42E}">
      <text>
        <r>
          <rPr>
            <sz val="9"/>
            <color indexed="81"/>
            <rFont val="Tahoma"/>
            <family val="2"/>
          </rPr>
          <t>SAMUEL GARFIELD_x000D_
http://yeinfo.com/family/I09002874.html_x000D_
https://www.google.com/search?q=SAMUEL+GARFIELD+1624+1684+Susanna+BENFIELD_x000D_
.born:?1624    -         ?Waterton (Middlesex) Massachusetts_x000D_
.died: 1684    -         ?Waterton (Middlesex) Massachusetts, age:60y 0m 0d, _x000D_
.bapt: 1785GE_x000D_
.will: 2004MO_x000D_
.obit: 1890OH_x000D_
.bury: 1850IL _x000D_
.wpbt: 1826PA_x000D_
.anc#:double ancestor_x000D_
citiz:US born_x000D_
#spos:2_x000D_
#srcs:7_x000D_
#comment:0_x000D_
#events:6_x000D_
#kids:15_x000D_
lived:?MAMIDDLWATERTO_x000D_
issue:_x000D_
.recs:Birth,Marriage,Job/Occupation,Will Written,Death_x000D_
.imm?:no_x000D_
..Spo:Susanna GARFIELD</t>
        </r>
      </text>
    </comment>
    <comment ref="O5634" authorId="0" shapeId="0" xr:uid="{81596196-0BD4-4681-8C4E-BAA550055E2A}">
      <text>
        <r>
          <rPr>
            <sz val="9"/>
            <color indexed="81"/>
            <rFont val="Tahoma"/>
            <family val="2"/>
          </rPr>
          <t>EDWARD JOHNSON_x000D_
http://yeinfo.com/family/I09011498.html_x000D_
https://www.google.com/search?q=EDWARD+JOHNSON+1580+1672+KATHERINE_x000D_
.born: 1580    -          Wareham (Dorset) England_x000D_
.died: 16720614-          Waterton (Middlesex) Massachusetts, age:92y 5m 13d, _x000D_
.bapt: 1785GE_x000D_
.will: 2004MO_x000D_
.obit: 1890OH_x000D_
.bury: 1850IL _x000D_
.wpbt: 1826PA_x000D_
.anc#:  quadruple ancestor_x000D_
citiz:immigrant_x000D_
#spos:1_x000D_
#srcs:1_x000D_
#comment:0_x000D_
#events:1_x000D_
#kids:1_x000D_
lived:ENDORSEWAREHAM,MAMIDDLWATERTO_x000D_
issue:_x000D_
.recs:Birth,Marriage,Death_x000D_
.imm?:immigrant_x000D_
..Spo:KATHERINE FISHER</t>
        </r>
      </text>
    </comment>
    <comment ref="N5636" authorId="0" shapeId="0" xr:uid="{1CA84BD7-03C0-441C-93BB-A16BCB72355C}">
      <text>
        <r>
          <rPr>
            <sz val="9"/>
            <color indexed="81"/>
            <rFont val="Tahoma"/>
            <family val="2"/>
          </rPr>
          <t>REBECCA JOHNSON_x000D_
http://yeinfo.com/family/I09005749.html_x000D_
https://www.google.com/search?q=REBECCA+JOHNSON+1609+1661+GARFIELD_x000D_
.born: 16090824-          Kendal (Westmorland) England_x000D_
.died: 16610416-          Waterton (Middlesex) Massachusetts, age:51y 7m 23d, _x000D_
.bapt: 1785GE_x000D_
.will: 2004MO_x000D_
.obit: 1890OH_x000D_
.bury: 1850IL _x000D_
.wpbt: 1826PA_x000D_
.anc#:  quadruple ancestor_x000D_
citiz:immigrant_x000D_
#spos:1_x000D_
#srcs:12_x000D_
#comment:0_x000D_
#events:1_x000D_
#kids:6_x000D_
lived:?MAMIDDLWATERTO,ENWMOREKENDAL_x000D_
issue:Died after Age 100_x000D_
.recs:Birth,Marriage,Death_x000D_
.imm?:immigrant_x000D_
..Spo:EDWARD GARFIELD</t>
        </r>
      </text>
    </comment>
    <comment ref="O5638" authorId="0" shapeId="0" xr:uid="{A5ADF331-EAA4-4D6A-985E-15A13B5F21E2}">
      <text>
        <r>
          <rPr>
            <sz val="9"/>
            <color indexed="81"/>
            <rFont val="Tahoma"/>
            <family val="2"/>
          </rPr>
          <t>KATHERINE FISHER_x000D_
http://yeinfo.com/family/I09011499.html_x000D_
https://www.google.com/search?q=KATHERINE+FISHER+1580+1609+JOHNSON_x000D_
.born:?1580    -         ?Dorset county England_x000D_
.died: 1609    -1670     ?Massachusetts, age:29y 0m 0d, _x000D_
.bapt: 1785GE_x000D_
.will: 2004MO_x000D_
.obit: 1890OH_x000D_
.bury: 1850IL _x000D_
.wpbt: 1826PA_x000D_
.anc#:  quadruple ancestor_x000D_
citiz:immigrant_x000D_
#spos:1_x000D_
#srcs:1_x000D_
#comment:0_x000D_
#events:1_x000D_
#kids:1_x000D_
lived:?ENDORSE,?MA,EN_x000D_
issue:_x000D_
.recs:Birth,Marriage,Death_x000D_
.imm?:immigrant_x000D_
..Spo:EDWARD JOHNSON</t>
        </r>
      </text>
    </comment>
    <comment ref="L5640" authorId="0" shapeId="0" xr:uid="{76D9E215-C94D-4CA2-B1C8-C2709CB99340}">
      <text>
        <r>
          <rPr>
            <sz val="9"/>
            <color indexed="81"/>
            <rFont val="Tahoma"/>
            <family val="2"/>
          </rPr>
          <t>RACHEL GARFIELD_x000D_
http://yeinfo.com/family/I09001437.html_x000D_
https://www.google.com/search?q=RACHEL+GARFIELD+1656+1737+PRIEST_x000D_
.born: 16561123-         ?Waterton (Middlesex) Massachusetts_x000D_
.died: 17370517-         ?Lancaster (Worcester) Massachusetts, age:80y 5m 24d, _x000D_
.bapt: 1785GE_x000D_
.will: 2004MO_x000D_
.obit: 1890OH_x000D_
.bury: 1850IL _x000D_
.wpbt: 1826PA_x000D_
.anc#:ancestor_x000D_
citiz:US born_x000D_
#spos:1_x000D_
#srcs:3_x000D_
#comment:0_x000D_
#events:1_x000D_
#kids:7_x000D_
lived:?MAMIDDLWATERTO,?MAMIDDLWOBURN,?MAWORCELANCAST_x000D_
issue:_x000D_
.recs:Birth,Marriage,Death_x000D_
.imm?:no_x000D_
..Spo:JOHN PRIEST</t>
        </r>
      </text>
    </comment>
    <comment ref="M5642" authorId="0" shapeId="0" xr:uid="{8C2A8124-A0D1-4E3C-9C99-010B13DD6E72}">
      <text>
        <r>
          <rPr>
            <sz val="9"/>
            <color indexed="81"/>
            <rFont val="Tahoma"/>
            <family val="2"/>
          </rPr>
          <t>MARY BENFIELD_x000D_
http://yeinfo.com/family/I09002875.html_x000D_
https://www.google.com/search?q=MARY+BENFIELD+1633+1709+GARFIELD_x000D_
.born:?1633    -         ?England_x000D_
.died: 1709    -          Lancaster (Worcester) Massachusetts, age:76y 0m 0d, _x000D_
.bapt: 1785GE_x000D_
.will: 2004MO_x000D_
.obit: 1890OH_x000D_
.bury: 1850IL _x000D_
.wpbt: 1826PA_x000D_
.anc#:double ancestor_x000D_
citiz:immigrant_x000D_
#spos:1_x000D_
#srcs:3_x000D_
#comment:0_x000D_
#events:2_x000D_
#kids:13_x000D_
lived:?EN,MAMIDDLWATERTO,MAWORCELANCAST_x000D_
issue:_x000D_
.recs:Birth,Marriage,Will Written,Death_x000D_
.imm?:immigrant_x000D_
..Spo:SAMUEL GARFIELD</t>
        </r>
      </text>
    </comment>
    <comment ref="J5644" authorId="0" shapeId="0" xr:uid="{09C388C2-2111-4DC2-B251-FB583BBDBFF3}">
      <text>
        <r>
          <rPr>
            <sz val="9"/>
            <color indexed="81"/>
            <rFont val="Tahoma"/>
            <family val="2"/>
          </rPr>
          <t>RACHEL PRIEST_x000D_
http://yeinfo.com/family/I09000359.html_x000D_
https://www.google.com/search?q=RACHEL+PRIEST+1713+1744+WHITCOMB_x000D_
.born: 1713    -         ?Lancaster (Worcester) Massachusetts_x000D_
.died: 1744    -1803      , age:31y 0m 0d, _x000D_
.bapt: 1785GE_x000D_
.will: 2004MO_x000D_
.obit: 1890OH_x000D_
.bury: 1850IL _x000D_
.wpbt: 1826PA_x000D_
.anc#:ancestor_x000D_
citiz:US born_x000D_
#spos:1_x000D_
#srcs:7_x000D_
#comment:0_x000D_
#events:2_x000D_
#kids:4_x000D_
lived:?MAWORCELANCAST_x000D_
issue:_x000D_
.recs:Birth,Baptism,Marriage,Death_x000D_
.imm?:no_x000D_
..Spo:HEZEKIAH WILLIAM WHITCOMB</t>
        </r>
      </text>
    </comment>
    <comment ref="O5646" authorId="0" shapeId="0" xr:uid="{55EC0E5C-0DFC-4360-97E8-4DAEDB38BC79}">
      <text>
        <r>
          <rPr>
            <sz val="9"/>
            <color indexed="81"/>
            <rFont val="Tahoma"/>
            <family val="2"/>
          </rPr>
          <t>JOHN HOUGHTON_x000D_
http://yeinfo.com/family/I09005664.html_x000D_
https://www.google.com/search?q=JOHN+HOUGHTON+1573+1618+KATHERINE_x000D_
.born: 1573    -          England_x000D_
.died: 1618    -          Eaton Bray (Bedfordshire) England, age:45y 0m 0d, _x000D_
.bapt: 1785GE_x000D_
.will: 2004MO_x000D_
.obit: 1890OH_x000D_
.bury: 1850IL _x000D_
.wpbt: 1826PA_x000D_
.anc#:double ancestor_x000D_
citiz:foreign_x000D_
#spos:1_x000D_
#srcs:3_x000D_
#comment:0_x000D_
#events:2_x000D_
#kids:1_x000D_
lived:ENBEDFOEATON B_x000D_
issue:_x000D_
.recs:Birth,Marriage,Death_x000D_
.imm?:no_x000D_
..Spo:KATHERINE HOUGHTON</t>
        </r>
      </text>
    </comment>
    <comment ref="N5648" authorId="0" shapeId="0" xr:uid="{3B695FA7-010B-436E-8948-F51CEA901804}">
      <text>
        <r>
          <rPr>
            <sz val="9"/>
            <color indexed="81"/>
            <rFont val="Tahoma"/>
            <family val="2"/>
          </rPr>
          <t>JOHN HOUGHTON_x000D_
http://yeinfo.com/family/I09002832.html_x000D_
https://www.google.com/search?q=JOHN+HOUGHTON+1593+1629+DAMARIS_x000D_
.born: 1593    -          Eaton Bray (Bedfordshire) England_x000D_
.died: 1629    -1683     ?Bedfordshire county England, age:36y 0m 0d, _x000D_
.bapt: 1785GE_x000D_
.will: 2004MO_x000D_
.obit: 1890OH_x000D_
.bury: 1850IL _x000D_
.wpbt: 1826PA_x000D_
.anc#:double ancestor_x000D_
citiz:foreign_x000D_
#spos:1_x000D_
#srcs:7_x000D_
#comment:0_x000D_
#events:3_x000D_
#kids:1_x000D_
lived:ENBEDFOEATON B_x000D_
issue:_x000D_
.recs:Birth,Baptism,Marriage,Death_x000D_
.imm?:no_x000D_
..Spo:DAMARIS BUCKMASTER</t>
        </r>
      </text>
    </comment>
    <comment ref="O5650" authorId="0" shapeId="0" xr:uid="{C8D824B7-6AAF-4417-821B-ED3E9CCD6C7E}">
      <text>
        <r>
          <rPr>
            <sz val="9"/>
            <color indexed="81"/>
            <rFont val="Tahoma"/>
            <family val="2"/>
          </rPr>
          <t>Mrs. KATHERINE HOUGHTON_x000D_
http://yeinfo.com/family/I09005665.html_x000D_
https://www.google.com/search?q=KATHERINE+HOUGHTON+1575+1595+HOUGHTON_x000D_
.born:?1575    -          Pendleton (Lancashire) England_x000D_
.died: 1595    -1665     ?England, age:20y 0m 0d, _x000D_
.bapt: 1785GE_x000D_
.will: 2004MO_x000D_
.obit: 1890OH_x000D_
.bury: 1850IL _x000D_
.wpbt: 1826PA_x000D_
.anc#:double ancestor_x000D_
citiz:foreign_x000D_
#spos:1_x000D_
#srcs:2_x000D_
#comment:0_x000D_
#events:1_x000D_
#kids:1_x000D_
lived:ENLANCSPENDLET_x000D_
issue:_x000D_
.recs:Birth,Marriage,Death_x000D_
.imm?:no_x000D_
..Spo:JOHN HOUGHTON</t>
        </r>
      </text>
    </comment>
    <comment ref="M5652" authorId="0" shapeId="0" xr:uid="{32DD61D1-ADED-4E8B-97DB-BCD1166B25A4}">
      <text>
        <r>
          <rPr>
            <sz val="9"/>
            <color indexed="81"/>
            <rFont val="Tahoma"/>
            <family val="2"/>
          </rPr>
          <t>JOHN HOUGHTON_x000D_
http://yeinfo.com/family/I09001416.html_x000D_
https://www.google.com/search?q=JOHN+HOUGHTON+1624+1684+BEATRIX_x000D_
.born: 16241224-          Eaton Bray (Bedfordshire) England_x000D_
.died: 16840429-          Lancaster (Worcester) Massachusetts, age:59y 4m 5d, _x000D_
.bapt: 1785GE_x000D_
.will: 2004MO_x000D_
.obit: 1890OH_x000D_
.bury: 1850IL Old Granary burying ground_x000D_
.wpbt: 1826PA_x000D_
.anc#:double ancestor_x000D_
citiz:immigrant_x000D_
#spos:1_x000D_
#srcs:16_x000D_
#comment:1_x000D_
#events:13_x000D_
#kids:7_x000D_
lived:?ENLANCS,ENBEDFOEATON B,ENYORKSELLAND,MAMIDDLCONCORD,MANORFODEDHAM,MASUFFOCHAZTWN,MAWORCELANCAST_x000D_
issue:_x000D_
.recs:Birth,Will Written,Death,Land Transaction,Immigrate_x000D_
.imm?:immigrant_x000D_
..Spo:BEATRIX WALKER</t>
        </r>
      </text>
    </comment>
    <comment ref="O5654" authorId="0" shapeId="0" xr:uid="{E4B0823F-C7EE-436E-BAD9-9FDF9A06B101}">
      <text>
        <r>
          <rPr>
            <sz val="9"/>
            <color indexed="81"/>
            <rFont val="Tahoma"/>
            <family val="2"/>
          </rPr>
          <t>ANDREW BUCKMASTER_x000D_
http://yeinfo.com/family/I09005666.html_x000D_
https://www.google.com/search?q=ANDREW+BUCKMASTER+1567+1598+MARY\MARIE_x000D_
.born:a15671130-         ?England_x000D_
.died:a15980410-         ?Eaton Bray (Bedfordshire) England, age:30y 4m 11d, _x000D_
.bapt: 1785GE_x000D_
.will: 2004MO_x000D_
.obit: 1890OH_x000D_
.bury: 1850IL _x000D_
.wpbt: 1826PA_x000D_
.anc#:double ancestor_x000D_
citiz:foreign_x000D_
#spos:1_x000D_
#srcs:3_x000D_
#comment:0_x000D_
#events:1_x000D_
#kids:1_x000D_
lived:?ENBEDFOEATON B_x000D_
issue:_x000D_
.recs:Birth,Marriage,Death_x000D_
.imm?:no_x000D_
..Spo:MARY\MARIE ROBERTS</t>
        </r>
      </text>
    </comment>
    <comment ref="N5656" authorId="0" shapeId="0" xr:uid="{B8E45D3A-550D-4A85-A45F-D4A179625CEA}">
      <text>
        <r>
          <rPr>
            <sz val="9"/>
            <color indexed="81"/>
            <rFont val="Tahoma"/>
            <family val="2"/>
          </rPr>
          <t>DAMARIS BUCKMASTER_x000D_
http://yeinfo.com/family/I09002833.html_x000D_
https://www.google.com/search?q=DAMARIS+BUCKMASTER+1593+1666+HOUGHTON_x000D_
.born: 15930308-          Eaton Bray (Bedfordshire) England_x000D_
.died:?1666    -          Eaton Bray (Bedfordshire) England, age:72y 9m 24d, _x000D_
.bapt: 1785GE_x000D_
.will: 2004MO_x000D_
.obit: 1890OH_x000D_
.bury: 1850IL _x000D_
.wpbt: 1826PA_x000D_
.anc#:double ancestor_x000D_
citiz:foreign_x000D_
#spos:1_x000D_
#srcs:7_x000D_
#comment:0_x000D_
#events:1_x000D_
#kids:1_x000D_
lived:ENBEDFOEATON B_x000D_
issue:_x000D_
.recs:Birth,Marriage,Death_x000D_
.imm?:no_x000D_
..Spo:JOHN HOUGHTON</t>
        </r>
      </text>
    </comment>
    <comment ref="O5658" authorId="0" shapeId="0" xr:uid="{D1C4324B-97C8-46C6-8140-1BC9234CFFAC}">
      <text>
        <r>
          <rPr>
            <sz val="9"/>
            <color indexed="81"/>
            <rFont val="Tahoma"/>
            <family val="2"/>
          </rPr>
          <t>MARY\MARIE ROBERTS_x000D_
http://yeinfo.com/family/I09005667.html_x000D_
https://www.google.com/search?q=MARY\MARIE+ROBERTS+1575+1595+BUCKMASTER_x000D_
.born:?1575    -         ?England_x000D_
.died: 1595    -1665     ?, age:20y 0m 0d, _x000D_
.bapt: 1785GE_x000D_
.will: 2004MO_x000D_
.obit: 1890OH_x000D_
.bury: 1850IL _x000D_
.wpbt: 1826PA_x000D_
.anc#:double ancestor_x000D_
citiz:foreign_x000D_
#spos:1_x000D_
#srcs:2_x000D_
#comment:0_x000D_
#events:1_x000D_
#kids:1_x000D_
lived:?EN_x000D_
issue:Died after Age 100_x000D_
.recs:Birth,Marriage,Death_x000D_
.imm?:no_x000D_
..Spo:ANDREW BUCKMASTER</t>
        </r>
      </text>
    </comment>
    <comment ref="L5660" authorId="0" shapeId="0" xr:uid="{9139520A-F397-435F-9947-563E6CF2B12D}">
      <text>
        <r>
          <rPr>
            <sz val="9"/>
            <color indexed="81"/>
            <rFont val="Tahoma"/>
            <family val="2"/>
          </rPr>
          <t>JOHN HOUGHTON_x000D_
http://yeinfo.com/family/I09000708.html_x000D_
https://www.google.com/search?q=JOHN+HOUGHTON+1650+1737+MARY+Atherton_x000D_
.born: 16500426-          Dedham (Norfolk) Massachusetts_x000D_
.died: 17370208-          , age:86y 9m 13d, _x000D_
.bapt: 1785GE_x000D_
.will: 2004MO_x000D_
.obit: 1890OH_x000D_
.bury: 1850IL _x000D_
.wpbt: 1826PA_x000D_
.anc#:double ancestor_x000D_
citiz:US born_x000D_
#spos:2_x000D_
#srcs:11_x000D_
#comment:1_x000D_
#events:9_x000D_
#kids:11_x000D_
lived:MAMIDDLWOBURN,MANORFODEDHAM,MASUFFOBOSTON,MAWORCELANCAST_x000D_
issue:Married before Age 16_x000D_
.recs:Birth,Military,Marriage,Will Written,Death,Obituary_x000D_
.imm?:no_x000D_
..Spo:MARY FARRAR</t>
        </r>
      </text>
    </comment>
    <comment ref="M5662" authorId="0" shapeId="0" xr:uid="{0E5992CB-F8BD-4496-9FF6-16B6912B77E4}">
      <text>
        <r>
          <rPr>
            <sz val="9"/>
            <color indexed="81"/>
            <rFont val="Tahoma"/>
            <family val="2"/>
          </rPr>
          <t>BEATRIX WALKER_x000D_
http://yeinfo.com/family/I09001417.html_x000D_
https://www.google.com/search?q=BEATRIX+WALKER+1625+1711+HOUGHTON_x000D_
.born:?1625    -         ?Hingham (Norfolk) England_x000D_
.died: 17110608-          Lancaster (Worcester) Massachusetts, age:86y 5m 7d, _x000D_
.bapt: 1785GE_x000D_
.will: 2004MO_x000D_
.obit: 1890OH_x000D_
.bury: 1850IL _x000D_
.wpbt: 1826PA_x000D_
.anc#:double ancestor_x000D_
citiz:immigrant_x000D_
#spos:1_x000D_
#srcs:11_x000D_
#comment:0_x000D_
#events:2_x000D_
#kids:7_x000D_
lived:?ENNORFOHINGHAM,ENYORKSELLAND,MAWORCELANCAST_x000D_
issue:_x000D_
.recs:Birth,Marriage,Death_x000D_
.imm?:immigrant_x000D_
..Spo:JOHN HOUGHTON</t>
        </r>
      </text>
    </comment>
    <comment ref="K5664" authorId="0" shapeId="0" xr:uid="{97E3648B-56D8-406F-B737-4A40D59E542E}">
      <text>
        <r>
          <rPr>
            <sz val="9"/>
            <color indexed="81"/>
            <rFont val="Tahoma"/>
            <family val="2"/>
          </rPr>
          <t>ANNA HOUGHTON_x000D_
http://yeinfo.com/family/I09000719.html_x000D_
https://www.google.com/search?q=ANNA+HOUGHTON+1684+1751+PRIEST_x000D_
.born: 16840508-          Lancaster (Worcester) Massachusetts_x000D_
.died: 17510403-         ?Lancaster (Worcester) Massachusetts, age:66y 10m 26d, _x000D_
.bapt: 1785GE_x000D_
.will: 2004MO_x000D_
.obit: 1890OH_x000D_
.bury: 1850IL _x000D_
.wpbt: 1826PA_x000D_
.anc#:ancestor_x000D_
citiz:US born_x000D_
#spos:1_x000D_
#srcs:4_x000D_
#comment:0_x000D_
#events:2_x000D_
#kids:9_x000D_
lived:?MAMIDDLWOBURN,MAWORCELANCAST_x000D_
issue:_x000D_
.recs:Birth,Marriage,Death_x000D_
.imm?:no_x000D_
..Spo:JOHN PRIEST</t>
        </r>
      </text>
    </comment>
    <comment ref="Q5666" authorId="0" shapeId="0" xr:uid="{6D87334B-7BCC-4070-8F11-476297E13B41}">
      <text>
        <r>
          <rPr>
            <sz val="9"/>
            <color indexed="81"/>
            <rFont val="Tahoma"/>
            <family val="2"/>
          </rPr>
          <t>HENRY FARRAR_x000D_
http://yeinfo.com/family/I09022688.html_x000D_
https://www.google.com/search?q=HENRY+FARRAR+1492+1549+AGNES+ANN_x000D_
.born:c1492    -          Halifax (Yorkshire) England_x000D_
.died: 1549    -          Yorkshire county England, age:57y 0m 0d, _x000D_
.bapt: 1785GE_x000D_
.will: 2004MO_x000D_
.obit: 1890OH_x000D_
.bury: 1850IL _x000D_
.wpbt: 1826PA_x000D_
.anc#:double ancestor_x000D_
citiz:foreign_x000D_
#spos:1_x000D_
#srcs:2_x000D_
#comment:0_x000D_
#events:6_x000D_
#kids:5_x000D_
lived:ENYORKSHALIFAX,ENYORKSSOWERBY_x000D_
issue:_x000D_
.recs:Birth,Marriage,Will Written,Death,Land Transaction_x000D_
.imm?:no_x000D_
..Spo:AGNES ANN HORSFALL</t>
        </r>
      </text>
    </comment>
    <comment ref="P5668" authorId="0" shapeId="0" xr:uid="{2D0A7BE5-331E-493C-97A1-309DCD1040CB}">
      <text>
        <r>
          <rPr>
            <sz val="9"/>
            <color indexed="81"/>
            <rFont val="Tahoma"/>
            <family val="2"/>
          </rPr>
          <t>HENRY FARRAR_x000D_
http://yeinfo.com/family/I09011344.html_x000D_
https://www.google.com/search?q=HENRY+FARRAR+1520+1575+MARY\ISABELLA\ANN_x000D_
.born: 1520    -          Yorkshire county England_x000D_
.died: 1575    -1610      Yorkshire county England, age:55y 0m 0d, _x000D_
.bapt: 1785GE_x000D_
.will: 2004MO_x000D_
.obit: 1890OH_x000D_
.bury: 1850IL _x000D_
.wpbt: 1826PA_x000D_
.anc#:double ancestor_x000D_
citiz:foreign_x000D_
#spos:1_x000D_
#srcs:2_x000D_
#comment:0_x000D_
#events:5_x000D_
#kids:2_x000D_
lived:?ENYORKSSOWERBY,EN_x000D_
issue:_x000D_
.recs:Birth,Marriage,Deed,Will Inclusion_x000D_
.imm?:no_x000D_
..Spo:MARY\ISABELLA\ANN THOMPSON</t>
        </r>
      </text>
    </comment>
    <comment ref="T5670" authorId="0" shapeId="0" xr:uid="{9903B1F8-4009-4A77-8EDA-172C90E33349}">
      <text>
        <r>
          <rPr>
            <sz val="9"/>
            <color indexed="81"/>
            <rFont val="Tahoma"/>
            <family val="2"/>
          </rPr>
          <t>THOMAS HORSFAL_x000D_
http://yeinfo.com/family/I09065783.html_x000D_
https://www.google.com/search?q=THOMAS+HORSFAL+1420+1480+JANETT_x000D_
.born:c1420    -          Yorkshire county England_x000D_
.died: 1480    -          Hepstonstall (Yorkshire) England, age:60y 0m 0d, _x000D_
.bapt: 1785GE_x000D_
.will: 2004MO_x000D_
.obit: 1890OH_x000D_
.bury: 1850IL _x000D_
.wpbt: 1826PA_x000D_
.anc#:double ancestor_x000D_
citiz:foreign_x000D_
#spos:1_x000D_
#srcs:2_x000D_
#comment:0_x000D_
#events:1_x000D_
#kids:1_x000D_
lived:ENYORKSHEPSTON_x000D_
issue:_x000D_
.recs:Birth,Marriage,Death_x000D_
.imm?:no_x000D_
..Spo:JANETT DRYVER</t>
        </r>
      </text>
    </comment>
    <comment ref="S5672" authorId="0" shapeId="0" xr:uid="{08B68FCA-90DE-4AC3-8F31-AE2320E7F437}">
      <text>
        <r>
          <rPr>
            <sz val="9"/>
            <color indexed="81"/>
            <rFont val="Tahoma"/>
            <family val="2"/>
          </rPr>
          <t>JOHN FRANK HORSFAL_x000D_
http://yeinfo.com/family/I09065653.html_x000D_
https://www.google.com/search?q=JOHN+FRANK+HORSFAL+1441+1547+AGNES_x000D_
.born: 1441    -          Yorkshire county England_x000D_
.died: 1547    -          Yorkshire county England, age:106y 0m 0d, _x000D_
.bapt: 1785GE_x000D_
.will: 2004MO_x000D_
.obit: 1890OH_x000D_
.bury: 1850IL _x000D_
.wpbt: 1826PA_x000D_
.anc#:double ancestor_x000D_
citiz:foreign_x000D_
#spos:1_x000D_
#srcs:1_x000D_
#comment:0_x000D_
#events:1_x000D_
#kids:1_x000D_
lived:ENYORKS_x000D_
issue:Married after Age 60_x000D_
.recs:Birth,Marriage,Death_x000D_
.imm?:no_x000D_
..Spo:AGNES BARCROFT</t>
        </r>
      </text>
    </comment>
    <comment ref="T5674" authorId="0" shapeId="0" xr:uid="{83C8EE10-0882-4870-AD7E-AC12AB990A86}">
      <text>
        <r>
          <rPr>
            <sz val="9"/>
            <color indexed="81"/>
            <rFont val="Tahoma"/>
            <family val="2"/>
          </rPr>
          <t>JANETT DRYVER_x000D_
http://yeinfo.com/family/I09065777.html_x000D_
https://www.google.com/search?q=JANETT+DRYVER+1420+1490+HORSFAL_x000D_
.born: 1420    -          Yorkshire county England_x000D_
.died: 1490    -          Hepstonstall (Yorkshire) England, age:70y 0m 0d, _x000D_
.bapt: 1785GE_x000D_
.will: 2004MO_x000D_
.obit: 1890OH_x000D_
.bury: 1850IL _x000D_
.wpbt: 1826PA_x000D_
.anc#:double ancestor_x000D_
citiz:foreign_x000D_
#spos:1_x000D_
#srcs:2_x000D_
#comment:0_x000D_
#events:1_x000D_
#kids:1_x000D_
lived:ENYORKSHEPSTON_x000D_
issue:_x000D_
.recs:Birth,Marriage,Death_x000D_
.imm?:no_x000D_
..Spo:THOMAS HORSFAL</t>
        </r>
      </text>
    </comment>
    <comment ref="R5676" authorId="0" shapeId="0" xr:uid="{15BBEA8E-E657-4F4C-A926-39A7CB955CDD}">
      <text>
        <r>
          <rPr>
            <sz val="9"/>
            <color indexed="81"/>
            <rFont val="Tahoma"/>
            <family val="2"/>
          </rPr>
          <t>WILLIAM JOHN HORSFAL_x000D_
http://yeinfo.com/family/I09045378.html_x000D_
https://www.google.com/search?q=WILLIAM+JOHN+HORSFAL+1462+1548+AGNES_x000D_
.born: 1462    -          Stokesley (Yorkshire) England_x000D_
.died: 15481119-          Stokesley (Yorkshire) England, age:86y 10m 18d, _x000D_
.bapt: 1785GE_x000D_
.will: 2004MO_x000D_
.obit: 1890OH_x000D_
.bury: 1850IL _x000D_
.wpbt: 1826PA_x000D_
.anc#:double ancestor_x000D_
citiz:foreign_x000D_
#spos:1_x000D_
#srcs:2_x000D_
#comment:0_x000D_
#events:1_x000D_
#kids:1_x000D_
lived:ENYORKSSTOKESL_x000D_
issue:Born before Parents Married_x000D_
.recs:Birth,Marriage,Death_x000D_
.imm?:no_x000D_
..Spo:AGNES SAVILLE</t>
        </r>
      </text>
    </comment>
    <comment ref="Y5678" authorId="0" shapeId="0" xr:uid="{124B73D2-6E06-4A0E-BF2D-5E89DDEE3604}">
      <text>
        <r>
          <rPr>
            <sz val="9"/>
            <color indexed="81"/>
            <rFont val="Tahoma"/>
            <family val="2"/>
          </rPr>
          <t>MATTHEW BARCROFT_x000D_
http://yeinfo.com/family/I09066776.html_x000D_
https://www.google.com/search?q=MATTHEW+BARCROFT+1291+1322+{_?_}_x000D_
.born: 1291    -          Burnley (Lancashire) England_x000D_
.died: 1322    -1387      Lancashire county England, age:31y 0m 0d, _x000D_
.bapt: 1785GE_x000D_
.will: 2004MO_x000D_
.obit: 1890OH_x000D_
.bury: 1850IL _x000D_
.wpbt: 1826PA_x000D_
.anc#:double ancestor_x000D_
citiz:foreign_x000D_
#spos:1_x000D_
#srcs:1_x000D_
#comment:1_x000D_
#events:1_x000D_
#kids:1_x000D_
lived:ENLANCSBURNLEY_x000D_
issue:_x000D_
.recs:Birth,Marriage,Death_x000D_
.imm?:no_x000D_
..Spo:{_?_} BARCROFT</t>
        </r>
      </text>
    </comment>
    <comment ref="X5680" authorId="0" shapeId="0" xr:uid="{3D43811C-EE16-48F8-B378-4C32381E92B7}">
      <text>
        <r>
          <rPr>
            <sz val="9"/>
            <color indexed="81"/>
            <rFont val="Tahoma"/>
            <family val="2"/>
          </rPr>
          <t>RICHARD BARCROFT_x000D_
http://yeinfo.com/family/I09066440.html_x000D_
https://www.google.com/search?q=RICHARD+BARCROFT+1322+1348+{_?_}_x000D_
.born:c1322    -          Whalley (Lancashire) England_x000D_
.died: 1348    -          Whalley (Lancashire) England, age:26y 0m 0d, _x000D_
.bapt: 1785GE_x000D_
.will: 2004MO_x000D_
.obit: 1890OH_x000D_
.bury: 1850IL _x000D_
.wpbt: 1826PA_x000D_
.anc#:double ancestor_x000D_
citiz:foreign_x000D_
#spos:1_x000D_
#srcs:1_x000D_
#comment:1_x000D_
#events:1_x000D_
#kids:1_x000D_
lived:ENLANCSBURNLEY,ENLANCSWHALLEY_x000D_
issue:_x000D_
.recs:Birth,Marriage,Death_x000D_
.imm?:no_x000D_
..Spo:{_?_} BARCROFT</t>
        </r>
      </text>
    </comment>
    <comment ref="Y5682" authorId="0" shapeId="0" xr:uid="{8C2CA412-B7F7-405D-8292-537FE5B470E8}">
      <text>
        <r>
          <rPr>
            <sz val="9"/>
            <color indexed="81"/>
            <rFont val="Tahoma"/>
            <family val="2"/>
          </rPr>
          <t>Mrs. {_?_} BARCROFT_x000D_
http://yeinfo.com/family/I09066775.html_x000D_
https://www.google.com/search?q={_?_}+BARCROFT+1295+1348+BARCROFT_x000D_
.born:?1295    -         ?England_x000D_
.died:?1348    -1380      Lancashire county England, age:53y 0m 0d, _x000D_
.bapt: 1785GE_x000D_
.will: 2004MO_x000D_
.obit: 1890OH_x000D_
.bury: 1850IL _x000D_
.wpbt: 1826PA_x000D_
.anc#:double ancestor_x000D_
citiz:foreign_x000D_
#spos:1_x000D_
#srcs:1_x000D_
#comment:0_x000D_
#events:1_x000D_
#kids:1_x000D_
lived:?ENLANCSBURNLEY,ENLANCS_x000D_
issue:_x000D_
.recs:Birth,Marriage,Death_x000D_
.imm?:no_x000D_
..Spo:MATTHEW BARCROFT</t>
        </r>
      </text>
    </comment>
    <comment ref="W5684" authorId="0" shapeId="0" xr:uid="{1F2B66FB-C8B0-4EEE-BEE8-DA025225B080}">
      <text>
        <r>
          <rPr>
            <sz val="9"/>
            <color indexed="81"/>
            <rFont val="Tahoma"/>
            <family val="2"/>
          </rPr>
          <t>MATTHEW BARCROFT_x000D_
http://yeinfo.com/family/I09066278.html_x000D_
https://www.google.com/search?q=MATTHEW+BARCROFT+1348+1382+ELEANOR_x000D_
.born:c1348    -          Whalley (Lancashire) England_x000D_
.died: 1382    -1438     ?Lancashire county England, age:34y 0m 0d, _x000D_
.bapt: 1785GE_x000D_
.will: 2004MO_x000D_
.obit: 1890OH_x000D_
.bury: 1850IL _x000D_
.wpbt: 1826PA_x000D_
.anc#:double ancestor_x000D_
citiz:foreign_x000D_
#spos:1_x000D_
#srcs:1_x000D_
#comment:0_x000D_
#events:1_x000D_
#kids:1_x000D_
lived:ENLANCSBURNLEY,ENLANCSWHALLEY_x000D_
issue:_x000D_
.recs:Birth,Marriage,Death_x000D_
.imm?:no_x000D_
..Spo:ELEANOR BARCROFT</t>
        </r>
      </text>
    </comment>
    <comment ref="X5686" authorId="0" shapeId="0" xr:uid="{E803B357-C198-466B-A453-C83DF6CA64A7}">
      <text>
        <r>
          <rPr>
            <sz val="9"/>
            <color indexed="81"/>
            <rFont val="Tahoma"/>
            <family val="2"/>
          </rPr>
          <t>Mrs. {_?_} BARCROFT_x000D_
http://yeinfo.com/family/I09066439.html_x000D_
https://www.google.com/search?q={_?_}+BARCROFT+1326+1348+BARCROFT_x000D_
.born:c1326    -         ?England_x000D_
.died: 1348    -1416     ?England, age:22y 0m 0d, _x000D_
.bapt: 1785GE_x000D_
.will: 2004MO_x000D_
.obit: 1890OH_x000D_
.bury: 1850IL _x000D_
.wpbt: 1826PA_x000D_
.anc#:double ancestor_x000D_
citiz:foreign_x000D_
#spos:1_x000D_
#srcs:1_x000D_
#comment:0_x000D_
#events:1_x000D_
#kids:1_x000D_
lived:?EN,ENLANCSBURNLEY_x000D_
issue:_x000D_
.recs:Birth,Marriage,Death_x000D_
.imm?:no_x000D_
..Spo:RICHARD BARCROFT</t>
        </r>
      </text>
    </comment>
    <comment ref="V5688" authorId="0" shapeId="0" xr:uid="{24485A52-8D7E-4499-923E-7EF7C044A29A}">
      <text>
        <r>
          <rPr>
            <sz val="9"/>
            <color indexed="81"/>
            <rFont val="Tahoma"/>
            <family val="2"/>
          </rPr>
          <t>WILLIAM BARCROFT_x000D_
http://yeinfo.com/family/I09066078.html_x000D_
https://www.google.com/search?q=WILLIAM+BARCROFT+1382+1426+{_?_}_x000D_
.born: 1382    -          Whalley (Lancashire) England_x000D_
.died: 1426    -          Whalley (Lancashire) England, age:44y 0m 0d, _x000D_
.bapt: 1785GE_x000D_
.will: 2004MO_x000D_
.obit: 1890OH_x000D_
.bury: 1850IL _x000D_
.wpbt: 1826PA_x000D_
.anc#:double ancestor_x000D_
citiz:foreign_x000D_
#spos:1_x000D_
#srcs:1_x000D_
#comment:0_x000D_
#events:1_x000D_
#kids:1_x000D_
lived:ENLANCSBURNLEY,ENLANCSWHALLEY_x000D_
issue:_x000D_
.recs:Birth,Marriage,Death_x000D_
.imm?:no_x000D_
..Spo:{_?_} BARCROFT</t>
        </r>
      </text>
    </comment>
    <comment ref="W5690" authorId="0" shapeId="0" xr:uid="{D55593EB-9383-4615-97B8-C55D2B77067E}">
      <text>
        <r>
          <rPr>
            <sz val="9"/>
            <color indexed="81"/>
            <rFont val="Tahoma"/>
            <family val="2"/>
          </rPr>
          <t>Mrs. ELEANOR BARCROFT_x000D_
http://yeinfo.com/family/I09066277.html_x000D_
https://www.google.com/search?q=ELEANOR+BARCROFT+1350+1382+BARCROFT_x000D_
.born: 1350    -          Whalley (Lancashire) England_x000D_
.died: 1382    -1440     ?Lancashire county England, age:32y 0m 0d, _x000D_
.bapt: 1785GE_x000D_
.will: 2004MO_x000D_
.obit: 1890OH_x000D_
.bury: 1850IL _x000D_
.wpbt: 1826PA_x000D_
.anc#:double ancestor_x000D_
citiz:foreign_x000D_
#spos:1_x000D_
#srcs:1_x000D_
#comment:0_x000D_
#events:1_x000D_
#kids:1_x000D_
lived:ENLANCSBURNLEY,ENLANCSWHALLEY_x000D_
issue:_x000D_
.recs:Birth,Marriage,Death_x000D_
.imm?:no_x000D_
..Spo:MATTHEW BARCROFT</t>
        </r>
      </text>
    </comment>
    <comment ref="U5692" authorId="0" shapeId="0" xr:uid="{05282F12-FC6F-47AD-ADDF-430483F60328}">
      <text>
        <r>
          <rPr>
            <sz val="9"/>
            <color indexed="81"/>
            <rFont val="Tahoma"/>
            <family val="2"/>
          </rPr>
          <t>THOMAS BARCROFT_x000D_
http://yeinfo.com/family/I09065914.html_x000D_
https://www.google.com/search?q=THOMAS+BARCROFT+1406+1458+{_?_}_x000D_
.born: 1406    -         ?Yorkshire county England_x000D_
.died: 1458    -         ?England, age:52y 0m 0d, _x000D_
.bapt: 1785GE_x000D_
.will: 2004MO_x000D_
.obit: 1890OH_x000D_
.bury: 1850IL _x000D_
.wpbt: 1826PA_x000D_
.anc#:double ancestor_x000D_
citiz:foreign_x000D_
#spos:1_x000D_
#srcs:1_x000D_
#comment:0_x000D_
#events:1_x000D_
#kids:1_x000D_
lived:?ENYORKS_x000D_
issue:_x000D_
.recs:Birth,Marriage,Death_x000D_
.imm?:no_x000D_
..Spo:{_?_} BARCROFT</t>
        </r>
      </text>
    </comment>
    <comment ref="V5694" authorId="0" shapeId="0" xr:uid="{DA2E810F-CC58-4C47-B259-3A5A1A6444DF}">
      <text>
        <r>
          <rPr>
            <sz val="9"/>
            <color indexed="81"/>
            <rFont val="Tahoma"/>
            <family val="2"/>
          </rPr>
          <t>Mrs. {_?_} BARCROFT_x000D_
http://yeinfo.com/family/I09066077.html_x000D_
https://www.google.com/search?q={_?_}+BARCROFT+1378+1406+BARCROFT_x000D_
.born: 1378    -         ?Whalley (Lancashire) England_x000D_
.died: 1406    -         ?Whalley (Lancashire) England, age:28y 0m 0d, _x000D_
.bapt: 1785GE_x000D_
.will: 2004MO_x000D_
.obit: 1890OH_x000D_
.bury: 1850IL _x000D_
.wpbt: 1826PA_x000D_
.anc#:double ancestor_x000D_
citiz:foreign_x000D_
#spos:1_x000D_
#srcs:1_x000D_
#comment:0_x000D_
#events:1_x000D_
#kids:1_x000D_
lived:?ENLANCSWHALLEY,ENLANCSBURNLEY_x000D_
issue:_x000D_
.recs:Birth,Marriage,Death_x000D_
.imm?:no_x000D_
..Spo:WILLIAM BARCROFT</t>
        </r>
      </text>
    </comment>
    <comment ref="T5696" authorId="0" shapeId="0" xr:uid="{CC66960D-4C4D-4F66-9B44-28DC3064F39A}">
      <text>
        <r>
          <rPr>
            <sz val="9"/>
            <color indexed="81"/>
            <rFont val="Tahoma"/>
            <family val="2"/>
          </rPr>
          <t>WILLIAM BARCROFT_x000D_
http://yeinfo.com/family/I09065770.html_x000D_
https://www.google.com/search?q=WILLIAM+BARCROFT+1426+1446+{_?_}_x000D_
.born: 1426    -          Yorkshire county England_x000D_
.died: 1446    -1516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lived:ENYORKS_x000D_
issue:Died after Age 100_x000D_
.recs:Birth,Marriage,Death_x000D_
.imm?:no_x000D_
..Spo:{_?_} BARCROFT</t>
        </r>
      </text>
    </comment>
    <comment ref="U5698" authorId="0" shapeId="0" xr:uid="{23432E3C-748F-4FD1-9FC2-EB1952096D6A}">
      <text>
        <r>
          <rPr>
            <sz val="9"/>
            <color indexed="81"/>
            <rFont val="Tahoma"/>
            <family val="2"/>
          </rPr>
          <t>Mrs. {_?_} BARCROFT_x000D_
http://yeinfo.com/family/I09065913.html_x000D_
https://www.google.com/search?q={_?_}+BARCROFT+1406+1426+BARCROFT_x000D_
.born:?1406    -         ?England_x000D_
.died: 1426    -1496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..Spo:THOMAS BARCROFT</t>
        </r>
      </text>
    </comment>
    <comment ref="S5700" authorId="0" shapeId="0" xr:uid="{6537026A-B60A-4086-9816-2682FA9F9D9D}">
      <text>
        <r>
          <rPr>
            <sz val="9"/>
            <color indexed="81"/>
            <rFont val="Tahoma"/>
            <family val="2"/>
          </rPr>
          <t>AGNES BARCROFT_x000D_
http://yeinfo.com/family/I09065638.html_x000D_
https://www.google.com/search?q=AGNES+BARCROFT+1444+1464+HORSFAL_x000D_
.born: 1444    -          Yorkshire county England_x000D_
.died: 1464    -1534      Halifax (Yorkshire) England, age:20y 0m 0d, _x000D_
.bapt: 1785GE_x000D_
.will: 2004MO_x000D_
.obit: 1890OH_x000D_
.bury: 1850IL _x000D_
.wpbt: 1826PA_x000D_
.anc#:double ancestor_x000D_
citiz:foreign_x000D_
#spos:1_x000D_
#srcs:1_x000D_
#comment:0_x000D_
#events:1_x000D_
#kids:1_x000D_
lived:ENYORKSHALIFAX_x000D_
issue:Died before Birth_x000D_
.recs:Birth,Marriage,Death_x000D_
.imm?:no_x000D_
..Spo:JOHN FRANK HORSFAL</t>
        </r>
      </text>
    </comment>
    <comment ref="T5702" authorId="0" shapeId="0" xr:uid="{066DEC33-7DB1-4583-91F9-B05FA089920B}">
      <text>
        <r>
          <rPr>
            <sz val="9"/>
            <color indexed="81"/>
            <rFont val="Tahoma"/>
            <family val="2"/>
          </rPr>
          <t>Mrs. {_?_} BARCROFT_x000D_
http://yeinfo.com/family/I09065769.html_x000D_
https://www.google.com/search?q={_?_}+BARCROFT+1426+1446+BARCROFT_x000D_
.born:?1426    -         ?England_x000D_
.died: 1446    -1516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lived:?ENYORKS_x000D_
issue:_x000D_
.recs:Birth,Marriage,Death_x000D_
.imm?:no_x000D_
..Spo:WILLIAM BARCROFT</t>
        </r>
      </text>
    </comment>
    <comment ref="Q5704" authorId="0" shapeId="0" xr:uid="{92F8CE69-6404-4B33-8E86-822F2A23ACF6}">
      <text>
        <r>
          <rPr>
            <sz val="9"/>
            <color indexed="81"/>
            <rFont val="Tahoma"/>
            <family val="2"/>
          </rPr>
          <t>AGNES ANN HORSFALL_x000D_
http://yeinfo.com/family/I09022689.html_x000D_
https://www.google.com/search?q=AGNES+ANN+HORSFALL+1495+1522+FARRAR_x000D_
.born:?1495    -         ?England_x000D_
.died: 1522    -1585     ?England, age:27y 0m 0d, _x000D_
.bapt: 1785GE_x000D_
.will: 2004MO_x000D_
.obit: 1890OH_x000D_
.bury: 1850IL _x000D_
.wpbt: 1826PA_x000D_
.anc#:double ancestor_x000D_
citiz:foreign_x000D_
#spos:1_x000D_
#srcs:2_x000D_
#comment:0_x000D_
#events:1_x000D_
#kids:5_x000D_
lived:?EN,ENYORKSSOWERBY_x000D_
issue:_x000D_
.recs:Birth,Marriage,Death_x000D_
.imm?:no_x000D_
..Spo:HENRY FARRAR</t>
        </r>
      </text>
    </comment>
    <comment ref="X5706" authorId="0" shapeId="0" xr:uid="{08BB9FD8-FD94-42E0-81E1-870003E5F461}">
      <text>
        <r>
          <rPr>
            <sz val="9"/>
            <color indexed="81"/>
            <rFont val="Tahoma"/>
            <family val="2"/>
          </rPr>
          <t>JOHN SAVILLE II_x000D_
http://yeinfo.com/family/I09066476.html_x000D_
https://www.google.com/search?q=JOHN+SAVILLE+1300+1343+MARGERY_x000D_
.born: 1300    -          Tankersley (Yorkshire) England_x000D_
.died: 1343    -         ?England, age:43y 0m 0d, _x000D_
.bapt: 1785GE_x000D_
.will: 2004MO_x000D_
.obit: 1890OH_x000D_
.bury: 1850IL _x000D_
.wpbt: 1826PA_x000D_
.anc#:double ancestor_x000D_
citiz:foreign_x000D_
#spos:1_x000D_
#srcs:1_x000D_
#comment:1_x000D_
#events:1_x000D_
#kids:1_x000D_
lived:ENYORKSTANKERS_x000D_
issue:_x000D_
.recs:Birth,Marriage,Death_x000D_
.imm?:no_x000D_
..Spo:MARGERY BOSCO</t>
        </r>
      </text>
    </comment>
    <comment ref="W5708" authorId="0" shapeId="0" xr:uid="{CFA14BE1-EEAC-45A2-A508-18EC422506BC}">
      <text>
        <r>
          <rPr>
            <sz val="9"/>
            <color indexed="81"/>
            <rFont val="Tahoma"/>
            <family val="2"/>
          </rPr>
          <t>JOHN SAVILLE III_x000D_
http://yeinfo.com/family/I09066305.html_x000D_
https://www.google.com/search?q=JOHN+SAVILLE+1329+1399+ISOBEL_x000D_
.born:c1329    -         ?England_x000D_
.died:c1399    -         ?England, age:70y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..Spo:ISOBEL ELAND</t>
        </r>
      </text>
    </comment>
    <comment ref="X5710" authorId="0" shapeId="0" xr:uid="{E5A9DF88-9F3E-4603-9DF1-25FD9C226882}">
      <text>
        <r>
          <rPr>
            <sz val="9"/>
            <color indexed="81"/>
            <rFont val="Tahoma"/>
            <family val="2"/>
          </rPr>
          <t>MARGERY BOSCO_x000D_
http://yeinfo.com/family/I09066444.html_x000D_
https://www.google.com/search?q=MARGERY+BOSCO+1312+1343+SAVILLE_x000D_
.born: 1312    -          Tankersley (Yorkshire) England_x000D_
.died: 1343    -         ?England, age:31y 0m 0d, _x000D_
.bapt: 1785GE_x000D_
.will: 2004MO_x000D_
.obit: 1890OH_x000D_
.bury: 1850IL _x000D_
.wpbt: 1826PA_x000D_
.anc#:double ancestor_x000D_
citiz:foreign_x000D_
#spos:1_x000D_
#srcs:1_x000D_
#comment:0_x000D_
#events:1_x000D_
#kids:1_x000D_
lived:ENYORKSTANKERS_x000D_
issue:Died after Age 100_x000D_
.recs:Birth,Marriage,Death_x000D_
.imm?:no_x000D_
..Spo:JOHN SAVILLE</t>
        </r>
      </text>
    </comment>
    <comment ref="V5712" authorId="0" shapeId="0" xr:uid="{F3C55385-63F4-4CB4-840D-5F1A02AB3BA1}">
      <text>
        <r>
          <rPr>
            <sz val="9"/>
            <color indexed="81"/>
            <rFont val="Tahoma"/>
            <family val="2"/>
          </rPr>
          <t>HENRY SAVILLE II_x000D_
http://yeinfo.com/family/I09066111.html_x000D_
https://www.google.com/search?q=HENRY+SAVILLE+1355+1437+ELIZABETH_x000D_
.born: 1355    -          Thornhill (Yorkshire) England_x000D_
.died: 14371118-          England, age:82y 10m 17d, _x000D_
.bapt: 1785GE_x000D_
.will: 2004MO_x000D_
.obit: 1890OH_x000D_
.bury: 1850IL _x000D_
.wpbt: 1826PA_x000D_
.anc#:double ancestor_x000D_
citiz:foreign_x000D_
#spos:1_x000D_
#srcs:1_x000D_
#comment:0_x000D_
#events:1_x000D_
#kids:1_x000D_
lived:ENYORKSTHORNHI_x000D_
issue:_x000D_
.recs:Birth,Marriage,Death_x000D_
.imm?:no_x000D_
..Spo:ELIZABETH THORNHILL</t>
        </r>
      </text>
    </comment>
    <comment ref="W5714" authorId="0" shapeId="0" xr:uid="{3D628837-9C36-49C4-87C2-FDFD46BFE323}">
      <text>
        <r>
          <rPr>
            <sz val="9"/>
            <color indexed="81"/>
            <rFont val="Tahoma"/>
            <family val="2"/>
          </rPr>
          <t>ISOBEL ELAND_x000D_
http://yeinfo.com/family/I09066285.html_x000D_
https://www.google.com/search?q=ISOBEL+ELAND+1335+1355+SAVILLE_x000D_
.born: 1335    -          Halifax (Yorkshire) England_x000D_
.died: 1355    -1425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lived:ENYORKSHALIFAX_x000D_
issue:Died after Age 100_x000D_
.recs:Birth,Marriage,Death_x000D_
.imm?:no_x000D_
..Spo:JOHN SAVILLE</t>
        </r>
      </text>
    </comment>
    <comment ref="U5716" authorId="0" shapeId="0" xr:uid="{C5924EBB-C7C5-40CF-9D2D-5E57B155E804}">
      <text>
        <r>
          <rPr>
            <sz val="9"/>
            <color indexed="81"/>
            <rFont val="Tahoma"/>
            <family val="2"/>
          </rPr>
          <t>THOMAS SAVILLE_x000D_
http://yeinfo.com/family/I09065941.html_x000D_
https://www.google.com/search?q=THOMAS+SAVILLE+1381+1406+MARGARET_x000D_
.born: 1381    -          Thornhill (Yorkshire) England_x000D_
.died: 1406    -1471      Thornhill (Yorkshire) England, age:25y 0m 0d, _x000D_
.bapt: 1785GE_x000D_
.will: 2004MO_x000D_
.obit: 1890OH_x000D_
.bury: 1850IL _x000D_
.wpbt: 1826PA_x000D_
.anc#:double ancestor_x000D_
citiz:foreign_x000D_
#spos:1_x000D_
#srcs:1_x000D_
#comment:0_x000D_
#events:1_x000D_
#kids:1_x000D_
lived:ENYORKSTHORNHI_x000D_
issue:_x000D_
.recs:Birth,Marriage,Death_x000D_
.imm?:no_x000D_
..Spo:MARGARET PILKINGTON</t>
        </r>
      </text>
    </comment>
    <comment ref="X5718" authorId="0" shapeId="0" xr:uid="{AF42E060-CAEB-4F80-ADAC-96659924F311}">
      <text>
        <r>
          <rPr>
            <sz val="9"/>
            <color indexed="81"/>
            <rFont val="Tahoma"/>
            <family val="2"/>
          </rPr>
          <t>BRYAN THORNHILL_x000D_
http://yeinfo.com/family/I09066481.html_x000D_
https://www.google.com/search?q=BRYAN+THORNHILL+1300+1369+JOAN_x000D_
.born:c1300    -          Thornhill (Yorkshire) England_x000D_
.died: 13691003-         ?, age:69y 9m 2d, _x000D_
.bapt: 1785GE_x000D_
.will: 2004MO_x000D_
.obit: 1890OH_x000D_
.bury: 1850IL _x000D_
.wpbt: 1826PA_x000D_
.anc#:double ancestor_x000D_
citiz:foreign_x000D_
#spos:1_x000D_
#srcs:1_x000D_
#comment:1_x000D_
#events:1_x000D_
#kids:1_x000D_
lived:ENYORKSTHORNHI_x000D_
issue:_x000D_
.recs:Birth,Marriage,Death_x000D_
.imm?:no_x000D_
..Spo:JOAN WILLIAM</t>
        </r>
      </text>
    </comment>
    <comment ref="W5720" authorId="0" shapeId="0" xr:uid="{7265E978-3746-4DF3-B894-10E315091392}">
      <text>
        <r>
          <rPr>
            <sz val="9"/>
            <color indexed="81"/>
            <rFont val="Tahoma"/>
            <family val="2"/>
          </rPr>
          <t>SIMON THORNHILL_x000D_
http://yeinfo.com/family/I09066310.html_x000D_
https://www.google.com/search?q=SIMON+THORNHILL+1330+1378+ELIZABETH_x000D_
.born: 1330    -          Thornhill (Yorkshire) England_x000D_
.died:c1378    -         ?England, age:48y 0m 0d, _x000D_
.bapt: 1785GE_x000D_
.will: 2004MO_x000D_
.obit: 1890OH_x000D_
.bury: 1850IL _x000D_
.wpbt: 1826PA_x000D_
.anc#:double ancestor_x000D_
citiz:foreign_x000D_
#spos:1_x000D_
#srcs:1_x000D_
#comment:0_x000D_
#events:1_x000D_
#kids:1_x000D_
lived:ENYORKSTHORNHI_x000D_
issue:_x000D_
.recs:Birth,Marriage,Death_x000D_
.imm?:no_x000D_
..Spo:ELIZABETH BABTHORPE</t>
        </r>
      </text>
    </comment>
    <comment ref="X5722" authorId="0" shapeId="0" xr:uid="{40077D8B-1DE9-4578-93A7-BEEE021486FA}">
      <text>
        <r>
          <rPr>
            <sz val="9"/>
            <color indexed="81"/>
            <rFont val="Tahoma"/>
            <family val="2"/>
          </rPr>
          <t>JOAN WILLIAM_x000D_
http://yeinfo.com/family/I09066487.html_x000D_
https://www.google.com/search?q=JOAN+WILLIAM+1317+1384+THORNHILL_x000D_
.born:c1317    -          Sprotborough (Yorkshire) England_x000D_
.died: 13840222-          Howden (Yorkshire) England, age:67y 1m 21d, _x000D_
.bapt: 1785GE_x000D_
.will: 2004MO_x000D_
.obit: 1890OH_x000D_
.bury: 1850IL _x000D_
.wpbt: 1826PA_x000D_
.anc#:double ancestor_x000D_
citiz:foreign_x000D_
#spos:1_x000D_
#srcs:1_x000D_
#comment:1_x000D_
#events:1_x000D_
#kids:1_x000D_
lived:ENYORKSHOWDEN,ENYORKSSPROTBO_x000D_
issue:Died after Age 100_x000D_
.recs:Birth,Marriage,Death_x000D_
.imm?:no_x000D_
..Spo:BRYAN THORNHILL</t>
        </r>
      </text>
    </comment>
    <comment ref="V5724" authorId="0" shapeId="0" xr:uid="{CD3B3041-1DC7-408C-8794-3A57CE88A01E}">
      <text>
        <r>
          <rPr>
            <sz val="9"/>
            <color indexed="81"/>
            <rFont val="Tahoma"/>
            <family val="2"/>
          </rPr>
          <t>ELIZABETH THORNHILL_x000D_
http://yeinfo.com/family/I09066116.html_x000D_
https://www.google.com/search?q=ELIZABETH+THORNHILL+1360+1437+SAVILLE_x000D_
.born: 1360    -          Thornhill (Yorkshire) England_x000D_
.died: 1437    -          England, age:77y 0m 0d, _x000D_
.bapt: 1785GE_x000D_
.will: 2004MO_x000D_
.obit: 1890OH_x000D_
.bury: 1850IL _x000D_
.wpbt: 1826PA_x000D_
.anc#:double ancestor_x000D_
citiz:foreign_x000D_
#spos:1_x000D_
#srcs:1_x000D_
#comment:0_x000D_
#events:1_x000D_
#kids:1_x000D_
lived:ENYORKSTHORNHI_x000D_
issue:_x000D_
.recs:Birth,Marriage,Death_x000D_
.imm?:no_x000D_
..Spo:HENRY SAVILLE</t>
        </r>
      </text>
    </comment>
    <comment ref="Y5726" authorId="0" shapeId="0" xr:uid="{6A4596B0-17BE-4BA2-AE55-F173542833A0}">
      <text>
        <r>
          <rPr>
            <sz val="9"/>
            <color indexed="81"/>
            <rFont val="Tahoma"/>
            <family val="2"/>
          </rPr>
          <t>THOMAS BABTHORPE_x000D_
http://yeinfo.com/family/I09066743.html_x000D_
https://www.google.com/search?q=THOMAS+BABTHORPE+1290+1310+ANSWITH_x000D_
.born:?1290    -         ?England_x000D_
.died: 1310    -1375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..Spo:ANSWITH HAYE</t>
        </r>
      </text>
    </comment>
    <comment ref="X5728" authorId="0" shapeId="0" xr:uid="{A5AF2071-115B-4F89-8A58-49E316A91ED3}">
      <text>
        <r>
          <rPr>
            <sz val="9"/>
            <color indexed="81"/>
            <rFont val="Tahoma"/>
            <family val="2"/>
          </rPr>
          <t>EDWARD BABTHORPE_x000D_
http://yeinfo.com/family/I09066437.html_x000D_
https://www.google.com/search?q=EDWARD+BABTHORPE+1315+1340+JULIANNE_x000D_
.born:c1315    -          Yorkshire county England_x000D_
.died: 1340    -1405     ?England, age:25y 0m 0d, _x000D_
.bapt: 1785GE_x000D_
.will: 2004MO_x000D_
.obit: 1890OH_x000D_
.bury: 1850IL _x000D_
.wpbt: 1826PA_x000D_
.anc#:double ancestor_x000D_
citiz:foreign_x000D_
#spos:1_x000D_
#srcs:1_x000D_
#comment:1_x000D_
#events:1_x000D_
#kids:1_x000D_
lived:ENYORKS_x000D_
issue:Born after Parent Died_x000D_
.recs:Birth,Marriage,Death_x000D_
.imm?:no_x000D_
..Spo:JULIANNE SALVAIN</t>
        </r>
      </text>
    </comment>
    <comment ref="Y5730" authorId="0" shapeId="0" xr:uid="{3D2B90E4-583C-4FEC-8386-99581919D2D8}">
      <text>
        <r>
          <rPr>
            <sz val="9"/>
            <color indexed="81"/>
            <rFont val="Tahoma"/>
            <family val="2"/>
          </rPr>
          <t>ANSWITH HAYE_x000D_
http://yeinfo.com/family/I09066744.html_x000D_
https://www.google.com/search?q=ANSWITH+HAYE+1290+1310+BABTHORPE_x000D_
.born:?1290    -         ?England_x000D_
.died: 1310    -1375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..Spo:THOMAS BABTHORPE</t>
        </r>
      </text>
    </comment>
    <comment ref="W5732" authorId="0" shapeId="0" xr:uid="{6001FD24-989B-4E02-B4BD-E2FCF6FFF6B5}">
      <text>
        <r>
          <rPr>
            <sz val="9"/>
            <color indexed="81"/>
            <rFont val="Tahoma"/>
            <family val="2"/>
          </rPr>
          <t>ELIZABETH BABTHORPE_x000D_
http://yeinfo.com/family/I09066275.html_x000D_
https://www.google.com/search?q=ELIZABETH+BABTHORPE+1340+1385+THORNHILL_x000D_
.born:c1340    -          Yorkshire county England_x000D_
.died:c1385    -         ?England, age:45y 0m 0d, _x000D_
.bapt: 1785GE_x000D_
.will: 2004MO_x000D_
.obit: 1890OH_x000D_
.bury: 1850IL _x000D_
.wpbt: 1826PA_x000D_
.anc#:double ancestor_x000D_
citiz:foreign_x000D_
#spos:1_x000D_
#srcs:1_x000D_
#comment:0_x000D_
#events:1_x000D_
#kids:1_x000D_
lived:ENYORKS_x000D_
issue:_x000D_
.recs:Birth,Marriage,Death_x000D_
.imm?:no_x000D_
..Spo:SIMON THORNHILL</t>
        </r>
      </text>
    </comment>
    <comment ref="X5734" authorId="0" shapeId="0" xr:uid="{12740CA3-0EB4-453B-9ECD-D34D9847B538}">
      <text>
        <r>
          <rPr>
            <sz val="9"/>
            <color indexed="81"/>
            <rFont val="Tahoma"/>
            <family val="2"/>
          </rPr>
          <t>JULIANNE SALVAIN_x000D_
http://yeinfo.com/family/I09066474.html_x000D_
https://www.google.com/search?q=JULIANNE+SALVAIN+1310+1340+BABTHORPE_x000D_
.born: 1310    -         ?England_x000D_
.died: 1340    -1400     ?England, age:30y 0m 0d, _x000D_
.bapt: 1785GE_x000D_
.will: 2004MO_x000D_
.obit: 1890OH_x000D_
.bury: 1850IL _x000D_
.wpbt: 1826PA_x000D_
.anc#:double ancestor_x000D_
citiz:foreign_x000D_
#spos:1_x000D_
#srcs:1_x000D_
#comment:0_x000D_
#events:1_x000D_
#kids:1_x000D_
lived:?ENYORKS_x000D_
issue:_x000D_
.recs:Birth,Marriage,Death_x000D_
.imm?:no_x000D_
..Spo:EDWARD BABTHORPE</t>
        </r>
      </text>
    </comment>
    <comment ref="T5736" authorId="0" shapeId="0" xr:uid="{ECA15474-0339-4990-8D92-317766565681}">
      <text>
        <r>
          <rPr>
            <sz val="9"/>
            <color indexed="81"/>
            <rFont val="Tahoma"/>
            <family val="2"/>
          </rPr>
          <t>JOHN SAVILLE_x000D_
http://yeinfo.com/family/I09065793.html_x000D_
https://www.google.com/search?q=JOHN+SAVILLE+1406+1482+ALICE_x000D_
.born:c1406    -          Thornhill (Yorkshire) England_x000D_
.died: 14820615-          Wakefield (Yorkshire) England, age:76y 5m 14d, _x000D_
.bapt: 1785GE_x000D_
.will: 2004MO_x000D_
.obit: 1890OH_x000D_
.bury: 1850IL _x000D_
.wpbt: 1826PA_x000D_
.anc#:double ancestor_x000D_
citiz:foreign_x000D_
#spos:1_x000D_
#srcs:1_x000D_
#comment:0_x000D_
#events:1_x000D_
#kids:1_x000D_
lived:ENYORKSTHORNHI,ENYORKSWAKEFIE_x000D_
issue:_x000D_
.recs:Birth,Marriage,Death_x000D_
.imm?:no_x000D_
..Spo:ALICE GASCOIGNE</t>
        </r>
      </text>
    </comment>
    <comment ref="X5738" authorId="0" shapeId="0" xr:uid="{0273025F-6C3B-4C83-B86B-1945F763F269}">
      <text>
        <r>
          <rPr>
            <sz val="9"/>
            <color indexed="81"/>
            <rFont val="Tahoma"/>
            <family val="2"/>
          </rPr>
          <t>ROGER PILKINGTON IV_x000D_
http://yeinfo.com/family/I09066473.html_x000D_
https://www.google.com/search?q=ROGER+PILKINGTON+1291+1347+ALICE_x000D_
.born: 1291    -          Pilkington (Lancashire) England_x000D_
.died: 1347    -          Pilkington (Lancashire) England, age:56y 0m 0d, _x000D_
.bapt: 1785GE_x000D_
.will: 2004MO_x000D_
.obit: 1890OH_x000D_
.bury: 1850IL _x000D_
.wpbt: 1826PA_x000D_
.anc#:double ancestor_x000D_
citiz:foreign_x000D_
#spos:1_x000D_
#srcs:1_x000D_
#comment:1_x000D_
#events:1_x000D_
#kids:1_x000D_
lived:ENLANCSPILKING_x000D_
issue:_x000D_
.recs:Birth,Marriage,Death_x000D_
.imm?:no_x000D_
..Spo:ALICE BURY</t>
        </r>
      </text>
    </comment>
    <comment ref="W5740" authorId="0" shapeId="0" xr:uid="{462B0821-F10A-4E93-82B1-EB1346CFEA75}">
      <text>
        <r>
          <rPr>
            <sz val="9"/>
            <color indexed="81"/>
            <rFont val="Tahoma"/>
            <family val="2"/>
          </rPr>
          <t>ROGER PILKINGTON V_x000D_
http://yeinfo.com/family/I09066301.html_x000D_
https://www.google.com/search?q=ROGER+PILKINGTON+1323+1406+ANNE_x000D_
.born: 13230921-          Chellesworth (Suffolk) England_x000D_
.died: 14060102-          Pilkington (Lancashire) England, age:82y 3m 12d, _x000D_
.bapt: 1785GE_x000D_
.will: 2004MO_x000D_
.obit: 1890OH_x000D_
.bury: 1850IL _x000D_
.wpbt: 1826PA_x000D_
.anc#:double ancestor_x000D_
citiz:foreign_x000D_
#spos:1_x000D_
#srcs:1_x000D_
#comment:0_x000D_
#events:1_x000D_
#kids:1_x000D_
lived:ENLANCSPILKING,ENSUFFOCHELLES_x000D_
issue:_x000D_
.recs:Birth,Marriage,Death_x000D_
.imm?:no_x000D_
..Spo:ANNE SAVAGE</t>
        </r>
      </text>
    </comment>
    <comment ref="X5742" authorId="0" shapeId="0" xr:uid="{E696DE86-D0D5-42BA-B9BF-285D051EA8ED}">
      <text>
        <r>
          <rPr>
            <sz val="9"/>
            <color indexed="81"/>
            <rFont val="Tahoma"/>
            <family val="2"/>
          </rPr>
          <t>ALICE BURY_x000D_
http://yeinfo.com/family/I09066446.html_x000D_
https://www.google.com/search?q=ALICE+BURY+1300+1347+PILKINGTON_x000D_
.born: 1300    -          Bury (Lancashire) England_x000D_
.died: 1347    -          Pilkington (Lancashire) England, age:47y 0m 0d, _x000D_
.bapt: 1785GE_x000D_
.will: 2004MO_x000D_
.obit: 1890OH_x000D_
.bury: 1850IL _x000D_
.wpbt: 1826PA_x000D_
.anc#:double ancestor_x000D_
citiz:foreign_x000D_
#spos:1_x000D_
#srcs:1_x000D_
#comment:1_x000D_
#events:1_x000D_
#kids:1_x000D_
lived:ENLANCSBURY,ENLANCSPILKING_x000D_
issue:_x000D_
.recs:Birth,Marriage,Death_x000D_
.imm?:no_x000D_
..Spo:ROGER PILKINGTON</t>
        </r>
      </text>
    </comment>
    <comment ref="V5744" authorId="0" shapeId="0" xr:uid="{0CC15985-E1C5-415E-9523-52C97C25CA72}">
      <text>
        <r>
          <rPr>
            <sz val="9"/>
            <color indexed="81"/>
            <rFont val="Tahoma"/>
            <family val="2"/>
          </rPr>
          <t>JOHN PILKINGTON_x000D_
http://yeinfo.com/family/I09066106.html_x000D_
https://www.google.com/search?q=JOHN+PILKINGTON+1365+1421+MARGARET_x000D_
.born:c1365    -          Pilkington (Lancashire) England_x000D_
.died: 14210308-          Pilkington (Lancashire) England, age:56y 2m 7d, _x000D_
.bapt: 1785GE_x000D_
.will: 2004MO_x000D_
.obit: 1890OH_x000D_
.bury: 1850IL _x000D_
.wpbt: 1826PA_x000D_
.anc#:double ancestor_x000D_
citiz:foreign_x000D_
#spos:1_x000D_
#srcs:1_x000D_
#comment:0_x000D_
#events:1_x000D_
#kids:1_x000D_
lived:ENLANCSPILKING_x000D_
issue:Died after Age 100_x000D_
.recs:Birth,Marriage,Death_x000D_
.imm?:no_x000D_
..Spo:MARGARET VERDUN</t>
        </r>
      </text>
    </comment>
    <comment ref="X5746" authorId="0" shapeId="0" xr:uid="{52CCCFA9-A9D7-4F8A-A4E1-E582DE0D05A3}">
      <text>
        <r>
          <rPr>
            <sz val="9"/>
            <color indexed="81"/>
            <rFont val="Tahoma"/>
            <family val="2"/>
          </rPr>
          <t>JOHN SAVAGE_x000D_
http://yeinfo.com/family/I09066475.html_x000D_
https://www.google.com/search?q=JOHN+SAVAGE+1311+1336+ELIZABETH_x000D_
.born: 1311    -          Derbyshire county England_x000D_
.died: 1336    -1401     ?England, age:25y 0m 0d, _x000D_
.bapt: 1785GE_x000D_
.will: 2004MO_x000D_
.obit: 1890OH_x000D_
.bury: 1850IL _x000D_
.wpbt: 1826PA_x000D_
.anc#:double ancestor_x000D_
citiz:foreign_x000D_
#spos:1_x000D_
#srcs:1_x000D_
#comment:0_x000D_
#events:1_x000D_
#kids:1_x000D_
lived:ENDERBS_x000D_
issue:_x000D_
.recs:Birth,Marriage,Death_x000D_
.imm?:no_x000D_
..Spo:ELIZABETH BRERTON</t>
        </r>
      </text>
    </comment>
    <comment ref="W5748" authorId="0" shapeId="0" xr:uid="{E2221581-C011-420B-9A76-642A33C80B8D}">
      <text>
        <r>
          <rPr>
            <sz val="9"/>
            <color indexed="81"/>
            <rFont val="Tahoma"/>
            <family val="2"/>
          </rPr>
          <t>ANNE SAVAGE_x000D_
http://yeinfo.com/family/I09066304.html_x000D_
https://www.google.com/search?q=ANNE+SAVAGE+1336+1398+PILKINGTON_x000D_
.born: 1336    -          Derbyshire county England_x000D_
.died: 1398    -          Pilkington (Lancashire) England, age:62y 0m 0d, _x000D_
.bapt: 1785GE_x000D_
.will: 2004MO_x000D_
.obit: 1890OH_x000D_
.bury: 1850IL _x000D_
.wpbt: 1826PA_x000D_
.anc#:double ancestor_x000D_
citiz:foreign_x000D_
#spos:1_x000D_
#srcs:1_x000D_
#comment:0_x000D_
#events:1_x000D_
#kids:1_x000D_
lived:ENDERBS,ENLANCSPILKING_x000D_
issue:Died after Age 100_x000D_
.recs:Birth,Marriage,Death_x000D_
.imm?:no_x000D_
..Spo:ROGER PILKINGTON</t>
        </r>
      </text>
    </comment>
    <comment ref="X5750" authorId="0" shapeId="0" xr:uid="{D82C342F-D228-44DD-9D82-5B0EE7B310E1}">
      <text>
        <r>
          <rPr>
            <sz val="9"/>
            <color indexed="81"/>
            <rFont val="Tahoma"/>
            <family val="2"/>
          </rPr>
          <t>ELIZABETH BRERTON_x000D_
http://yeinfo.com/family/I09066445.html_x000D_
https://www.google.com/search?q=ELIZABETH+BRERTON+1316+1336+SAVAGE_x000D_
.born: 1316    -          England_x000D_
.died: 1336    -1406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lived:EN_x000D_
issue:Died after Age 100_x000D_
.recs:Birth,Marriage,Death_x000D_
.imm?:no_x000D_
..Spo:JOHN SAVAGE</t>
        </r>
      </text>
    </comment>
    <comment ref="U5752" authorId="0" shapeId="0" xr:uid="{928E4897-005B-4E2D-916B-239A122B9814}">
      <text>
        <r>
          <rPr>
            <sz val="9"/>
            <color indexed="81"/>
            <rFont val="Tahoma"/>
            <family val="2"/>
          </rPr>
          <t>MARGARET PILKINGTON_x000D_
http://yeinfo.com/family/I09065938.html_x000D_
https://www.google.com/search?q=MARGARET+PILKINGTON+1383+1445+SAVILLE_x000D_
.born: 1383    -          Yorkshire county England_x000D_
.died: 1445    -          Brixworth (Northamptonshire) England, age:62y 0m 0d, _x000D_
.bapt: 1785GE_x000D_
.will: 2004MO_x000D_
.obit: 1890OH_x000D_
.bury: 1850IL _x000D_
.wpbt: 1826PA_x000D_
.anc#:double ancestor_x000D_
citiz:foreign_x000D_
#spos:1_x000D_
#srcs:1_x000D_
#comment:0_x000D_
#events:1_x000D_
#kids:1_x000D_
lived:ENNORTABRIXWOR,ENYORKS_x000D_
issue:Died after Age 100_x000D_
.recs:Birth,Marriage,Death_x000D_
.imm?:no_x000D_
..Spo:THOMAS SAVILLE</t>
        </r>
      </text>
    </comment>
    <comment ref="X5754" authorId="0" shapeId="0" xr:uid="{4BE825BB-B806-4590-B5DD-557A9D9FFA37}">
      <text>
        <r>
          <rPr>
            <sz val="9"/>
            <color indexed="81"/>
            <rFont val="Tahoma"/>
            <family val="2"/>
          </rPr>
          <t>JOHN VERDUN_x000D_
http://yeinfo.com/family/I09066483.html_x000D_
https://www.google.com/search?q=JOHN+VERDUN+1299+1376+AGNES_x000D_
.born: 12990624-          Brixworth (Northamptonshire) England_x000D_
.died: 13761023-          Bressingham (Norfolk) England, age:77y 3m 29d, _x000D_
.bapt: 1785GE_x000D_
.will: 2004MO_x000D_
.obit: 1890OH_x000D_
.bury: 1850IL _x000D_
.wpbt: 1826PA_x000D_
.anc#:double ancestor_x000D_
citiz:foreign_x000D_
#spos:1_x000D_
#srcs:1_x000D_
#comment:1_x000D_
#events:1_x000D_
#kids:1_x000D_
lived:ENNORFOBRESSIN,ENNORTABRIXWOR_x000D_
issue:_x000D_
.recs:Birth,Marriage,Death_x000D_
.imm?:no_x000D_
..Spo:AGNES VERDUN</t>
        </r>
      </text>
    </comment>
    <comment ref="W5756" authorId="0" shapeId="0" xr:uid="{01D55897-E025-4AE4-932D-F097E8FE7B64}">
      <text>
        <r>
          <rPr>
            <sz val="9"/>
            <color indexed="81"/>
            <rFont val="Tahoma"/>
            <family val="2"/>
          </rPr>
          <t>EDMUND VERDUN_x000D_
http://yeinfo.com/family/I09066313.html_x000D_
https://www.google.com/search?q=EDMUND+VERDUN+1325+1376+JOAN_x000D_
.born:c1325    -          Saint Pauls Walden (Hertfordshire) England_x000D_
.died: 1376    -          England, age:51y 0m 0d, _x000D_
.bapt: 1785GE_x000D_
.will: 2004MO_x000D_
.obit: 1890OH_x000D_
.bury: 1850IL _x000D_
.wpbt: 1826PA_x000D_
.anc#:double ancestor_x000D_
citiz:foreign_x000D_
#spos:1_x000D_
#srcs:1_x000D_
#comment:0_x000D_
#events:1_x000D_
#kids:1_x000D_
lived:ENHERTFSTPWALD_x000D_
issue:_x000D_
.recs:Birth,Marriage,Death_x000D_
.imm?:no_x000D_
..Spo:JOAN VERDUN</t>
        </r>
      </text>
    </comment>
    <comment ref="X5758" authorId="0" shapeId="0" xr:uid="{01242696-042B-4A6A-B0A3-F77084DBAA55}">
      <text>
        <r>
          <rPr>
            <sz val="9"/>
            <color indexed="81"/>
            <rFont val="Tahoma"/>
            <family val="2"/>
          </rPr>
          <t>Mrs. AGNES VERDUN_x000D_
http://yeinfo.com/family/I09066482.html_x000D_
https://www.google.com/search?q=AGNES+VERDUN+1308+1328+VERDUN_x000D_
.born:c1308    -          Bressingham (Norfolk) England_x000D_
.died: 1328    -1398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lived:ENNORFOBRESSIN_x000D_
issue:_x000D_
.recs:Birth,Marriage,Death_x000D_
.imm?:no_x000D_
..Spo:JOHN VERDUN</t>
        </r>
      </text>
    </comment>
    <comment ref="V5760" authorId="0" shapeId="0" xr:uid="{0802244A-15ED-4337-A895-F67155F7A2AA}">
      <text>
        <r>
          <rPr>
            <sz val="9"/>
            <color indexed="81"/>
            <rFont val="Tahoma"/>
            <family val="2"/>
          </rPr>
          <t>MARGARET VERDUN_x000D_
http://yeinfo.com/family/I09066121.html_x000D_
https://www.google.com/search?q=MARGARET+VERDUN+1356+1436+PILKINGTON_x000D_
.born: 1356    -          Brixworth (Northamptonshire) England_x000D_
.died: 14361124-          Pilkington (Lancashire) England, age:80y 10m 23d, _x000D_
.bapt: 1785GE_x000D_
.will: 2004MO_x000D_
.obit: 1890OH_x000D_
.bury: 1850IL _x000D_
.wpbt: 1826PA_x000D_
.anc#:double ancestor_x000D_
citiz:foreign_x000D_
#spos:1_x000D_
#srcs:1_x000D_
#comment:0_x000D_
#events:1_x000D_
#kids:1_x000D_
lived:ENLANCSPILKING,ENNORTABRIXWOR_x000D_
issue:_x000D_
.recs:Birth,Marriage,Death_x000D_
.imm?:no_x000D_
..Spo:JOHN PILKINGTON</t>
        </r>
      </text>
    </comment>
    <comment ref="W5762" authorId="0" shapeId="0" xr:uid="{3DD8C57C-C14F-4B70-A3F2-4432744C08D5}">
      <text>
        <r>
          <rPr>
            <sz val="9"/>
            <color indexed="81"/>
            <rFont val="Tahoma"/>
            <family val="2"/>
          </rPr>
          <t>Mrs. JOAN VERDUN_x000D_
http://yeinfo.com/family/I09066312.html_x000D_
https://www.google.com/search?q=JOAN+VERDUN+1330+1356+VERDUN_x000D_
.born:?1330    -         ?England_x000D_
.died: 1356    -1420     ?England, age:26y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..Spo:EDMUND VERDUN</t>
        </r>
      </text>
    </comment>
    <comment ref="S5764" authorId="0" shapeId="0" xr:uid="{08FCE681-D152-4D1B-AAF0-78CBD314E5BA}">
      <text>
        <r>
          <rPr>
            <sz val="9"/>
            <color indexed="81"/>
            <rFont val="Tahoma"/>
            <family val="2"/>
          </rPr>
          <t>NICHOLAS SAVILLE_x000D_
http://yeinfo.com/family/I09065666.html_x000D_
https://www.google.com/search?q=NICHOLAS+SAVILLE+1440+1481+ANN_x000D_
.born: 1440    -          Newhall (Yorkshire) England_x000D_
.died: 1481    -          Newhall (Yorkshire) England, age:41y 0m 0d, _x000D_
.bapt: 1785GE_x000D_
.will: 2004MO_x000D_
.obit: 1890OH_x000D_
.bury: 1850IL _x000D_
.wpbt: 1826PA_x000D_
.anc#:double ancestor_x000D_
citiz:foreign_x000D_
#spos:1_x000D_
#srcs:1_x000D_
#comment:0_x000D_
#events:1_x000D_
#kids:1_x000D_
lived:ENYORKSNEWHALL_x000D_
issue:_x000D_
.recs:Birth,Marriage,Death_x000D_
.imm?:no_x000D_
..Spo:ANN STANDISFIELD</t>
        </r>
      </text>
    </comment>
    <comment ref="X5766" authorId="0" shapeId="0" xr:uid="{69896A10-E8CC-4205-A919-3A3BD29DE0B0}">
      <text>
        <r>
          <rPr>
            <sz val="9"/>
            <color indexed="81"/>
            <rFont val="Tahoma"/>
            <family val="2"/>
          </rPr>
          <t>WILLIAM GASCOIGNE_x000D_
http://yeinfo.com/family/I09066464.html_x000D_
https://www.google.com/search?q=WILLIAM+GASCOIGNE+1250+1330+MATILDA_x000D_
.born:?1250    -          Harewood (Yorkshire) England_x000D_
.died: 1330    -          Harewood (Yorkshire) England, age:80y 0m 0d, _x000D_
.bapt: 1785GE_x000D_
.will: 2004MO_x000D_
.obit: 1890OH_x000D_
.bury: 1850IL _x000D_
.wpbt: 1826PA_x000D_
.anc#:double ancestor_x000D_
citiz:foreign_x000D_
#spos:1_x000D_
#srcs:1_x000D_
#comment:1_x000D_
#events:1_x000D_
#kids:1_x000D_
lived:ENYORKSHAREWOO_x000D_
issue:_x000D_
.recs:Birth,Marriage,Death_x000D_
.imm?:no_x000D_
..Spo:MATILDA GASCOIGNE</t>
        </r>
      </text>
    </comment>
    <comment ref="W5768" authorId="0" shapeId="0" xr:uid="{6D7702A1-604F-4B97-BC34-DF0171BBA0C8}">
      <text>
        <r>
          <rPr>
            <sz val="9"/>
            <color indexed="81"/>
            <rFont val="Tahoma"/>
            <family val="2"/>
          </rPr>
          <t>WILLIAM GASCOIGNE Sr._x000D_
http://yeinfo.com/family/I09066291.html_x000D_
https://www.google.com/search?q=WILLIAM+GASCOIGNE+1293+1378+AGNES_x000D_
.born: 12930909-          Harewood (Yorkshire) England_x000D_
.died: 1378    -          Gawthorpe (Yorkshire) England, age:84y 3m 23d, _x000D_
.bapt: 1785GE_x000D_
.will: 2004MO_x000D_
.obit: 1890OH_x000D_
.bury: 1850IL _x000D_
.wpbt: 1826PA_x000D_
.anc#:double ancestor_x000D_
citiz:foreign_x000D_
#spos:1_x000D_
#srcs:1_x000D_
#comment:0_x000D_
#events:1_x000D_
#kids:1_x000D_
lived:ENYORKSGAWTHOR,ENYORKSHAREWOO_x000D_
issue:_x000D_
.recs:Birth,Marriage,Death_x000D_
.imm?:no_x000D_
..Spo:AGNES FRANKE</t>
        </r>
      </text>
    </comment>
    <comment ref="X5770" authorId="0" shapeId="0" xr:uid="{A4EAB7EA-2392-4BE1-A4B7-B9DB6778957B}">
      <text>
        <r>
          <rPr>
            <sz val="9"/>
            <color indexed="81"/>
            <rFont val="Tahoma"/>
            <family val="2"/>
          </rPr>
          <t>Mrs. MATILDA GASCOIGNE_x000D_
http://yeinfo.com/family/I09066463.html_x000D_
https://www.google.com/search?q=MATILDA+GASCOIGNE+1264+1317+GASCOIGNE_x000D_
.born: 1264    -          Gawthorpe (Yorkshire) England_x000D_
.died:c1317    -          Gawthorpe (Yorkshire) England, age:53y 0m 0d, _x000D_
.bapt: 1785GE_x000D_
.will: 2004MO_x000D_
.obit: 1890OH_x000D_
.bury: 1850IL _x000D_
.wpbt: 1826PA_x000D_
.anc#:double ancestor_x000D_
citiz:foreign_x000D_
#spos:1_x000D_
#srcs:1_x000D_
#comment:0_x000D_
#events:1_x000D_
#kids:1_x000D_
lived:ENYORKSGAWTHOR_x000D_
issue:_x000D_
.recs:Birth,Marriage,Death_x000D_
.imm?:no_x000D_
..Spo:WILLIAM GASCOIGNE</t>
        </r>
      </text>
    </comment>
    <comment ref="V5772" authorId="0" shapeId="0" xr:uid="{B7635FDD-AA43-4379-B822-5B1B2AA15934}">
      <text>
        <r>
          <rPr>
            <sz val="9"/>
            <color indexed="81"/>
            <rFont val="Tahoma"/>
            <family val="2"/>
          </rPr>
          <t>WILLIAM GASCOIGNE_x000D_
http://yeinfo.com/family/I09066090.html_x000D_
https://www.google.com/search?q=WILLIAM+GASCOIGNE+1350+1419+ELIZABETH_x000D_
.born:c1350    -          Yorkshire county England_x000D_
.died: 14191217-          Harewood (Yorkshire) England, age:69y 11m 16d, _x000D_
.bapt: 1785GE_x000D_
.will: 2004MO_x000D_
.obit: 1890OH_x000D_
.bury: 1850IL _x000D_
.wpbt: 1826PA_x000D_
.anc#:double ancestor_x000D_
citiz:foreign_x000D_
#spos:2_x000D_
#srcs:1_x000D_
#comment:0_x000D_
#events:2_x000D_
#kids:1_x000D_
lived:ENYORKSHAREWOO_x000D_
issue:_x000D_
.recs:Birth,Marriage,Death_x000D_
.imm?:no_x000D_
..Spo:ELIZABETH MOWBRAY</t>
        </r>
      </text>
    </comment>
    <comment ref="X5774" authorId="0" shapeId="0" xr:uid="{19010D13-D3D0-4817-9718-3F576A35D2CD}">
      <text>
        <r>
          <rPr>
            <sz val="9"/>
            <color indexed="81"/>
            <rFont val="Tahoma"/>
            <family val="2"/>
          </rPr>
          <t>NICHOLAS FRANKE_x000D_
http://yeinfo.com/family/I09066459.html_x000D_
https://www.google.com/search?q=NICHOLAS+FRANKE+1285+1377+KATHERINE_x000D_
.born:c1285    -          Alwoodley (Yorkshire) England_x000D_
.died: 1377    -          Alwoodley (Yorkshire) England, age:92y 0m 0d, _x000D_
.bapt: 1785GE_x000D_
.will: 2004MO_x000D_
.obit: 1890OH_x000D_
.bury: 1850IL _x000D_
.wpbt: 1826PA_x000D_
.anc#:double ancestor_x000D_
citiz:foreign_x000D_
#spos:1_x000D_
#srcs:1_x000D_
#comment:1_x000D_
#events:1_x000D_
#kids:1_x000D_
lived:ENYORKSALWOODL_x000D_
issue:_x000D_
.recs:Birth,Marriage,Death_x000D_
.imm?:no_x000D_
..Spo:KATHERINE ELLIS</t>
        </r>
      </text>
    </comment>
    <comment ref="W5776" authorId="0" shapeId="0" xr:uid="{F482FB73-C070-489F-9CB6-54B4216D70E8}">
      <text>
        <r>
          <rPr>
            <sz val="9"/>
            <color indexed="81"/>
            <rFont val="Tahoma"/>
            <family val="2"/>
          </rPr>
          <t>AGNES FRANKE_x000D_
http://yeinfo.com/family/I09066289.html_x000D_
https://www.google.com/search?q=AGNES+FRANKE+1312+1389+GASCOIGNE_x000D_
.born:c1312    -          Alwoodley (Yorkshire) England_x000D_
.died: 1389    -          Yorkshire county England, age:77y 0m 0d, _x000D_
.bapt: 1785GE_x000D_
.will: 2004MO_x000D_
.obit: 1890OH_x000D_
.bury: 1850IL _x000D_
.wpbt: 1826PA_x000D_
.anc#:double ancestor_x000D_
citiz:foreign_x000D_
#spos:1_x000D_
#srcs:1_x000D_
#comment:0_x000D_
#events:1_x000D_
#kids:1_x000D_
lived:ENYORKSALWOODL_x000D_
issue:_x000D_
.recs:Birth,Marriage,Death_x000D_
.imm?:no_x000D_
..Spo:WILLIAM GASCOIGNE</t>
        </r>
      </text>
    </comment>
    <comment ref="X5778" authorId="0" shapeId="0" xr:uid="{7E26C129-939F-4BB5-9DDA-40D68CC521E8}">
      <text>
        <r>
          <rPr>
            <sz val="9"/>
            <color indexed="81"/>
            <rFont val="Tahoma"/>
            <family val="2"/>
          </rPr>
          <t>KATHERINE ELLIS_x000D_
http://yeinfo.com/family/I09066450.html_x000D_
https://www.google.com/search?q=KATHERINE+ELLIS+1288+1377+FRANKE_x000D_
.born: 1288    -          Alwoodley (Yorkshire) England_x000D_
.died: 1377    -          Yorkshire county England, age:89y 0m 0d, _x000D_
.bapt: 1785GE_x000D_
.will: 2004MO_x000D_
.obit: 1890OH_x000D_
.bury: 1850IL _x000D_
.wpbt: 1826PA_x000D_
.anc#:double ancestor_x000D_
citiz:foreign_x000D_
#spos:1_x000D_
#srcs:1_x000D_
#comment:1_x000D_
#events:1_x000D_
#kids:1_x000D_
lived:ENYORKSALWOODL_x000D_
issue:_x000D_
.recs:Birth,Marriage,Death_x000D_
.imm?:no_x000D_
..Spo:NICHOLAS FRANKE</t>
        </r>
      </text>
    </comment>
    <comment ref="U5780" authorId="0" shapeId="0" xr:uid="{E0EE079C-A9DE-497F-ACED-E6C22B783A84}">
      <text>
        <r>
          <rPr>
            <sz val="9"/>
            <color indexed="81"/>
            <rFont val="Tahoma"/>
            <family val="2"/>
          </rPr>
          <t>WILLIAM GASCOIGNE II_x000D_
http://yeinfo.com/family/I09065925.html_x000D_
https://www.google.com/search?q=WILLIAM+GASCOIGNE+1387+1422+JOAN_x000D_
.born: 1387    -          Harewood (Yorkshire) England_x000D_
.died: 14220328-          Dewsbury (Yorkshire) England, age:35y 2m 27d, _x000D_
.bapt: 1785GE_x000D_
.will: 2004MO_x000D_
.obit: 1890OH_x000D_
.bury: 1850IL Meaux Abbey, Wawne_x000D_
.wpbt: 1826PA_x000D_
.anc#:double ancestor_x000D_
citiz:foreign_x000D_
#spos:1_x000D_
#srcs:1_x000D_
#comment:0_x000D_
#events:3_x000D_
#kids:1_x000D_
lived:ENYORKSDEWSBUR,ENYORKSHAREWOO_x000D_
issue:Born before Parents Married,Died after Age 100_x000D_
.recs:Birth,Marriage,Death,Interment/Burial_x000D_
.imm?:no_x000D_
..Spo:JOAN WYMAN</t>
        </r>
      </text>
    </comment>
    <comment ref="V5782" authorId="0" shapeId="0" xr:uid="{C7B85C72-EA4E-4F52-96EC-0EF6EF9234D8}">
      <text>
        <r>
          <rPr>
            <sz val="9"/>
            <color indexed="81"/>
            <rFont val="Tahoma"/>
            <family val="2"/>
          </rPr>
          <t>ELIZABETH MOWBRAY_x000D_
http://yeinfo.com/family/I09066104.html_x000D_
https://www.google.com/search?q=ELIZABETH+MOWBRAY+1340+1403+GASCOIGNE_x000D_
.born:c1340    -          Kirkton (Yorkshire) England_x000D_
.died: 14030922-          Yorkshire county England, age:63y 8m 21d, _x000D_
.bapt: 1785GE_x000D_
.will: 2004MO_x000D_
.obit: 1890OH_x000D_
.bury: 1850IL _x000D_
.wpbt: 1826PA_x000D_
.anc#:double ancestor_x000D_
citiz:foreign_x000D_
#spos:1_x000D_
#srcs:1_x000D_
#comment:0_x000D_
#events:2_x000D_
#kids:1_x000D_
lived:ENYORKSHAREWOO,ENYORKSKIRKTON_x000D_
issue:_x000D_
.recs:Birth,Marriage,Death_x000D_
.imm?:no_x000D_
..Spo:WILLIAM GASCOIGNE</t>
        </r>
      </text>
    </comment>
    <comment ref="T5784" authorId="0" shapeId="0" xr:uid="{1A3B0F02-0DD4-4C8B-BB66-6BF8461BD551}">
      <text>
        <r>
          <rPr>
            <sz val="9"/>
            <color indexed="81"/>
            <rFont val="Tahoma"/>
            <family val="2"/>
          </rPr>
          <t>ALICE GASCOIGNE_x000D_
http://yeinfo.com/family/I09065778.html_x000D_
https://www.google.com/search?q=ALICE+GASCOIGNE+1415+1482+SAVILLE_x000D_
.born: 14151101-          Yorkshire county England_x000D_
.died: 14820703-          Thornhill (Yorkshire) England, age:66y 8m 2d, _x000D_
.bapt: 1785GE_x000D_
.will: 2004MO_x000D_
.obit: 1890OH_x000D_
.bury: 1850IL _x000D_
.wpbt: 1826PA_x000D_
.anc#:double ancestor_x000D_
citiz:foreign_x000D_
#spos:1_x000D_
#srcs:1_x000D_
#comment:0_x000D_
#events:1_x000D_
#kids:1_x000D_
lived:ENYORKSTHORNHI_x000D_
issue:Died after Age 100_x000D_
.recs:Birth,Marriage,Death_x000D_
.imm?:no_x000D_
..Spo:JOHN SAVILLE</t>
        </r>
      </text>
    </comment>
    <comment ref="V5786" authorId="0" shapeId="0" xr:uid="{5D25F783-4BCE-476E-B999-22E93749C46B}">
      <text>
        <r>
          <rPr>
            <sz val="9"/>
            <color indexed="81"/>
            <rFont val="Tahoma"/>
            <family val="2"/>
          </rPr>
          <t>HENRY WYMAN_x000D_
http://yeinfo.com/family/I09066123.html_x000D_
https://www.google.com/search?q=HENRY+WYMAN+1344+1411+AGNES_x000D_
.born: 1344    -          York (Yorkshire) England_x000D_
.died: 14110705-          York (Yorkshire) England, age:67y 6m 4d, _x000D_
.bapt: 1785GE_x000D_
.will: 2004MO_x000D_
.obit: 1890OH_x000D_
.bury: 1850IL St. Crux Churchyard_x000D_
.wpbt: 1826PA_x000D_
.anc#:double ancestor_x000D_
citiz:foreign_x000D_
#spos:1_x000D_
#srcs:1_x000D_
#comment:0_x000D_
#events:2_x000D_
#kids:1_x000D_
lived:ENYORKSYORK_x000D_
issue:_x000D_
.recs:Birth,Marriage,Death,Interment/Burial_x000D_
.imm?:no_x000D_
..Spo:AGNES BARDEN</t>
        </r>
      </text>
    </comment>
    <comment ref="U5788" authorId="0" shapeId="0" xr:uid="{10E262BF-CFE7-47E7-A4C9-CBFAA1F895A6}">
      <text>
        <r>
          <rPr>
            <sz val="9"/>
            <color indexed="81"/>
            <rFont val="Tahoma"/>
            <family val="2"/>
          </rPr>
          <t>JOAN WYMAN_x000D_
http://yeinfo.com/family/I09065952.html_x000D_
https://www.google.com/search?q=JOAN+WYMAN+1370+1432+GASCOIGNE_x000D_
.born: 13700701-          Harewood (Yorkshire) England_x000D_
.died: 1432    -          Harewood (Yorkshire) England, age:61y 6m 0d, _x000D_
.bapt: 1785GE_x000D_
.will: 2004MO_x000D_
.obit: 1890OH_x000D_
.bury: 1850IL _x000D_
.wpbt: 1826PA_x000D_
.anc#:double ancestor_x000D_
citiz:foreign_x000D_
#spos:1_x000D_
#srcs:1_x000D_
#comment:0_x000D_
#events:1_x000D_
#kids:1_x000D_
lived:ENYORKSHAREWOO_x000D_
issue:_x000D_
.recs:Birth,Marriage,Death_x000D_
.imm?:no_x000D_
..Spo:WILLIAM GASCOIGNE</t>
        </r>
      </text>
    </comment>
    <comment ref="V5790" authorId="0" shapeId="0" xr:uid="{36AB0F71-2E3F-4878-BDAB-8437A7E440E6}">
      <text>
        <r>
          <rPr>
            <sz val="9"/>
            <color indexed="81"/>
            <rFont val="Tahoma"/>
            <family val="2"/>
          </rPr>
          <t>AGNES BARDEN_x000D_
http://yeinfo.com/family/I09066079.html_x000D_
https://www.google.com/search?q=AGNES+BARDEN+1346+1403+WYMAN_x000D_
.born:c1346    -          Yorkshire county England_x000D_
.died: 14030922-          Yorkshire county England, age:57y 8m 21d, _x000D_
.bapt: 1785GE_x000D_
.will: 2004MO_x000D_
.obit: 1890OH_x000D_
.bury: 1850IL St. Crux Churchyard_x000D_
.wpbt: 1826PA_x000D_
.anc#:double ancestor_x000D_
citiz:foreign_x000D_
#spos:1_x000D_
#srcs:1_x000D_
#comment:0_x000D_
#events:2_x000D_
#kids:1_x000D_
lived:ENYORKS_x000D_
issue:_x000D_
.recs:Birth,Marriage,Death,Interment/Burial_x000D_
.imm?:no_x000D_
..Spo:HENRY WYMAN</t>
        </r>
      </text>
    </comment>
    <comment ref="R5792" authorId="0" shapeId="0" xr:uid="{FBFC76A5-6F58-4C4C-AC2C-92F8B531B555}">
      <text>
        <r>
          <rPr>
            <sz val="9"/>
            <color indexed="81"/>
            <rFont val="Tahoma"/>
            <family val="2"/>
          </rPr>
          <t>AGNES SAVILLE_x000D_
http://yeinfo.com/family/I09045379.html_x000D_
https://www.google.com/search?q=AGNES+SAVILLE+1478+1554+HORSFAL_x000D_
.born: 1478    -          Elland (Yorkshire) England_x000D_
.died: 1554    -          Bishops Stortford (Yorkshire) England, age:76y 0m 0d, _x000D_
.bapt: 1785GE_x000D_
.will: 2004MO_x000D_
.obit: 1890OH_x000D_
.bury: 1850IL _x000D_
.wpbt: 1826PA_x000D_
.anc#:double ancestor_x000D_
citiz:foreign_x000D_
#spos:1_x000D_
#srcs:1_x000D_
#comment:0_x000D_
#events:1_x000D_
#kids:1_x000D_
lived:ENYORKSBISHOST,ENYORKSELLAND_x000D_
issue:Born after Parent Died,Died after Age 100_x000D_
.recs:Birth,Marriage,Death_x000D_
.imm?:no_x000D_
..Spo:WILLIAM JOHN HORSFAL</t>
        </r>
      </text>
    </comment>
    <comment ref="V5794" authorId="0" shapeId="0" xr:uid="{7F00E433-5FEF-4D89-84E8-D44CD43339D0}">
      <text>
        <r>
          <rPr>
            <sz val="9"/>
            <color indexed="81"/>
            <rFont val="Tahoma"/>
            <family val="2"/>
          </rPr>
          <t>THOMAS STANDISFIELD_x000D_
http://yeinfo.com/family/I09066114.html_x000D_
https://www.google.com/search?q=THOMAS+STANDISFIELD+1350+1380+BARBARA_x000D_
.born:c1350    -          Stansfield (Yorkshire) England_x000D_
.died: 1380    -1440      Stansfield (Yorkshire) England, age:30y 0m 0d, _x000D_
.bapt: 1785GE_x000D_
.will: 2004MO_x000D_
.obit: 1890OH_x000D_
.bury: 1850IL _x000D_
.wpbt: 1826PA_x000D_
.anc#:double ancestor_x000D_
citiz:foreign_x000D_
#spos:1_x000D_
#srcs:1_x000D_
#comment:0_x000D_
#events:1_x000D_
#kids:1_x000D_
lived:ENYORKSSTANSFI_x000D_
issue:_x000D_
.recs:Birth,Marriage,Death_x000D_
.imm?:no_x000D_
..Spo:BARBARA LASCELLES</t>
        </r>
      </text>
    </comment>
    <comment ref="U5796" authorId="0" shapeId="0" xr:uid="{8115802E-ECAB-425A-9C97-6173A0BED6DC}">
      <text>
        <r>
          <rPr>
            <sz val="9"/>
            <color indexed="81"/>
            <rFont val="Tahoma"/>
            <family val="2"/>
          </rPr>
          <t>JOHN STANDISFIELD_x000D_
http://yeinfo.com/family/I09065945.html_x000D_
https://www.google.com/search?q=JOHN+STANDISFIELD+1380+1457+MARY_x000D_
.born: 1380    -          Halifax (Yorkshire) England_x000D_
.died: 1457    -          Stansfield (Yorkshire) England, age:77y 0m 0d, _x000D_
.bapt: 1785GE_x000D_
.will: 2004MO_x000D_
.obit: 1890OH_x000D_
.bury: 1850IL _x000D_
.wpbt: 1826PA_x000D_
.anc#:double ancestor_x000D_
citiz:foreign_x000D_
#spos:1_x000D_
#srcs:1_x000D_
#comment:0_x000D_
#events:1_x000D_
#kids:1_x000D_
lived:ENYORKSHALIFAX,ENYORKSSTANSFI_x000D_
issue:_x000D_
.recs:Birth,Marriage,Death_x000D_
.imm?:no_x000D_
..Spo:MARY FLEMING</t>
        </r>
      </text>
    </comment>
    <comment ref="X5798" authorId="0" shapeId="0" xr:uid="{F5154C5C-A7F8-45F3-B306-32E71C9A174C}">
      <text>
        <r>
          <rPr>
            <sz val="9"/>
            <color indexed="81"/>
            <rFont val="Tahoma"/>
            <family val="2"/>
          </rPr>
          <t>RANULPH RALPH LASCELLES_x000D_
http://yeinfo.com/family/I09066470.html_x000D_
https://www.google.com/search?q=RANULPH+RALPH+LASCELLES+1300+1343+ISABEL_x000D_
.born: 1300    -          Spennithorne (Yorkshire) England_x000D_
.died: 1343    -          Spennithorne (Yorkshire) England, age:43y 0m 0d, _x000D_
.bapt: 1785GE_x000D_
.will: 2004MO_x000D_
.obit: 1890OH_x000D_
.bury: 1850IL Richmondshire district_x000D_
.wpbt: 1826PA_x000D_
.anc#:double ancestor_x000D_
citiz:foreign_x000D_
#spos:1_x000D_
#srcs:1_x000D_
#comment:1_x000D_
#events:2_x000D_
#kids:1_x000D_
lived:ENYORKSSPENNIT_x000D_
issue:_x000D_
.recs:Birth,Marriage,Death,Interment/Burial_x000D_
.imm?:no_x000D_
..Spo:ISABEL FITZRALPH</t>
        </r>
      </text>
    </comment>
    <comment ref="W5800" authorId="0" shapeId="0" xr:uid="{E3420208-A0B5-4643-8900-E1940EEB3F0E}">
      <text>
        <r>
          <rPr>
            <sz val="9"/>
            <color indexed="81"/>
            <rFont val="Tahoma"/>
            <family val="2"/>
          </rPr>
          <t>JOHN LASCELLES_x000D_
http://yeinfo.com/family/I09066298.html_x000D_
https://www.google.com/search?q=JOHN+LASCELLES+1330+1352+{_?_}_x000D_
.born:?1330    -         ?England_x000D_
.died: 1352    -1420     ?England, age:22y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..Spo:{_?_} LASCELLES</t>
        </r>
      </text>
    </comment>
    <comment ref="X5802" authorId="0" shapeId="0" xr:uid="{DC3B2EDA-6D91-47B8-9B67-B6B4ECF139A4}">
      <text>
        <r>
          <rPr>
            <sz val="9"/>
            <color indexed="81"/>
            <rFont val="Tahoma"/>
            <family val="2"/>
          </rPr>
          <t>ISABEL FITZRALPH_x000D_
http://yeinfo.com/family/I09066454.html_x000D_
https://www.google.com/search?q=ISABEL+FITZRALPH+1304+1388+LASCELLES_x000D_
.born: 13040306-         ?Ellerton Abbey (Yorkshire) England_x000D_
.died: 1388    -          Spennithorne (Yorkshire) England, age:83y 9m 26d, _x000D_
.bapt: 1785GE_x000D_
.will: 2004MO_x000D_
.obit: 1890OH_x000D_
.bury: 1850IL _x000D_
.wpbt: 1826PA_x000D_
.anc#:double ancestor_x000D_
citiz:foreign_x000D_
#spos:1_x000D_
#srcs:1_x000D_
#comment:0_x000D_
#events:1_x000D_
#kids:1_x000D_
lived:?ENYORKSELLEABB,ENYORKSSPENNIT_x000D_
issue:_x000D_
.recs:Birth,Marriage,Death_x000D_
.imm?:no_x000D_
..Spo:RANULPH RALPH LASCELLES</t>
        </r>
      </text>
    </comment>
    <comment ref="V5804" authorId="0" shapeId="0" xr:uid="{01A14E17-9E9E-42F4-BC74-F6AAF284BC10}">
      <text>
        <r>
          <rPr>
            <sz val="9"/>
            <color indexed="81"/>
            <rFont val="Tahoma"/>
            <family val="2"/>
          </rPr>
          <t>BARBARA LASCELLES_x000D_
http://yeinfo.com/family/I09066100.html_x000D_
https://www.google.com/search?q=BARBARA+LASCELLES+1352+1380+STANDISFIELD_x000D_
.born: 1352    -          Yorkshire county England_x000D_
.died: 1380    -1442      Stansfield (Yorkshire) England, age:28y 0m 0d, _x000D_
.bapt: 1785GE_x000D_
.will: 2004MO_x000D_
.obit: 1890OH_x000D_
.bury: 1850IL _x000D_
.wpbt: 1826PA_x000D_
.anc#:double ancestor_x000D_
citiz:foreign_x000D_
#spos:1_x000D_
#srcs:1_x000D_
#comment:0_x000D_
#events:1_x000D_
#kids:1_x000D_
lived:ENYORKSSTANSFI_x000D_
issue:_x000D_
.recs:Birth,Marriage,Death_x000D_
.imm?:no_x000D_
..Spo:THOMAS STANDISFIELD</t>
        </r>
      </text>
    </comment>
    <comment ref="W5806" authorId="0" shapeId="0" xr:uid="{1B24F75E-A4DE-4D35-BE6E-1BEF90E7B64E}">
      <text>
        <r>
          <rPr>
            <sz val="9"/>
            <color indexed="81"/>
            <rFont val="Tahoma"/>
            <family val="2"/>
          </rPr>
          <t>Mrs. {_?_} LASCELLES_x000D_
http://yeinfo.com/family/I09066297.html_x000D_
https://www.google.com/search?q={_?_}+LASCELLES+1330+1352+LASCELLES_x000D_
.born:?1330    -         ?England_x000D_
.died: 1352    -1420     ?England, age:22y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..Spo:JOHN LASCELLES</t>
        </r>
      </text>
    </comment>
    <comment ref="T5808" authorId="0" shapeId="0" xr:uid="{40F8DB73-137F-46EA-9D46-9E1526D08E5D}">
      <text>
        <r>
          <rPr>
            <sz val="9"/>
            <color indexed="81"/>
            <rFont val="Tahoma"/>
            <family val="2"/>
          </rPr>
          <t>THOMAS STANDISFIELD_x000D_
http://yeinfo.com/family/I09065800.html_x000D_
https://www.google.com/search?q=THOMAS+STANDISFIELD+1400+1450+ALICE_x000D_
.born:?1400    -         ?Yorkshire county England_x000D_
.died: 1450    -1490     ?England, age:50y 0m 0d, _x000D_
.bapt: 1785GE_x000D_
.will: 2004MO_x000D_
.obit: 1890OH_x000D_
.bury: 1850IL _x000D_
.wpbt: 1826PA_x000D_
.anc#:double ancestor_x000D_
citiz:foreign_x000D_
#spos:1_x000D_
#srcs:1_x000D_
#comment:0_x000D_
#events:1_x000D_
#kids:1_x000D_
lived:?ENYORKS_x000D_
issue:Born before Parents Married_x000D_
.recs:Birth,Marriage,Death_x000D_
.imm?:no_x000D_
..Spo:ALICE SAVILLE</t>
        </r>
      </text>
    </comment>
    <comment ref="X5810" authorId="0" shapeId="0" xr:uid="{342C32C7-B512-4241-8E3B-F2EFB9A2A6E1}">
      <text>
        <r>
          <rPr>
            <sz val="9"/>
            <color indexed="81"/>
            <rFont val="Tahoma"/>
            <family val="2"/>
          </rPr>
          <t>THOMAS FLEMING_x000D_
http://yeinfo.com/family/I09066457.html_x000D_
https://www.google.com/search?q=THOMAS+FLEMING+1300+1360+{_?_}_x000D_
.born:c1300    -          Wath upon Dearne (Yorkshire) England_x000D_
.died: 1360    -          Wath upon Dearne (Yorkshire) England, age:60y 0m 0d, _x000D_
.bapt: 1785GE_x000D_
.will: 2004MO_x000D_
.obit: 1890OH_x000D_
.bury: 1850IL _x000D_
.wpbt: 1826PA_x000D_
.anc#:double ancestor_x000D_
citiz:foreign_x000D_
#spos:1_x000D_
#srcs:1_x000D_
#comment:1_x000D_
#events:1_x000D_
#kids:1_x000D_
lived:ENYORKSWATH UP_x000D_
issue:_x000D_
.recs:Birth,Marriage,Death_x000D_
.imm?:no_x000D_
..Spo:{_?_} FLEMING</t>
        </r>
      </text>
    </comment>
    <comment ref="W5812" authorId="0" shapeId="0" xr:uid="{9C9FC67E-461D-424A-8125-78D4AB751E7A}">
      <text>
        <r>
          <rPr>
            <sz val="9"/>
            <color indexed="81"/>
            <rFont val="Tahoma"/>
            <family val="2"/>
          </rPr>
          <t>THOMAS FLEMING II_x000D_
http://yeinfo.com/family/I09066288.html_x000D_
https://www.google.com/search?q=THOMAS+FLEMING+1332+1412+{_?_}_x000D_
.born:c1332    -          Wath upon Dearne (Yorkshire) England_x000D_
.died:c1412    -          Croston (Lancashire) England, age:80y 0m 0d, _x000D_
.bapt: 1785GE_x000D_
.will: 2004MO_x000D_
.obit: 1890OH_x000D_
.bury: 1850IL _x000D_
.wpbt: 1826PA_x000D_
.anc#:double ancestor_x000D_
citiz:foreign_x000D_
#spos:1_x000D_
#srcs:1_x000D_
#comment:0_x000D_
#events:1_x000D_
#kids:1_x000D_
lived:ENLANCSCROSTON,ENYORKSWATH UP_x000D_
issue:_x000D_
.recs:Birth,Marriage,Death_x000D_
.imm?:no_x000D_
..Spo:{_?_} FLEMING</t>
        </r>
      </text>
    </comment>
    <comment ref="X5814" authorId="0" shapeId="0" xr:uid="{D5448179-A021-4C97-A94B-73123E3CB066}">
      <text>
        <r>
          <rPr>
            <sz val="9"/>
            <color indexed="81"/>
            <rFont val="Tahoma"/>
            <family val="2"/>
          </rPr>
          <t>Mrs. {_?_} FLEMING_x000D_
http://yeinfo.com/family/I09066456.html_x000D_
https://www.google.com/search?q={_?_}+FLEMING+1300+1332+FLEMING_x000D_
.born:?1300    -         ?Yorkshire county England_x000D_
.died: 1332    -1390     ?England, age:32y 0m 0d, _x000D_
.bapt: 1785GE_x000D_
.will: 2004MO_x000D_
.obit: 1890OH_x000D_
.bury: 1850IL _x000D_
.wpbt: 1826PA_x000D_
.anc#:double ancestor_x000D_
citiz:foreign_x000D_
#spos:1_x000D_
#srcs:1_x000D_
#comment:0_x000D_
#events:1_x000D_
#kids:1_x000D_
lived:?ENYORKS,EN_x000D_
issue:_x000D_
.recs:Birth,Marriage,Death_x000D_
.imm?:no_x000D_
..Spo:THOMAS FLEMING</t>
        </r>
      </text>
    </comment>
    <comment ref="V5816" authorId="0" shapeId="0" xr:uid="{852F9D12-1306-4461-9E65-9DAEEBEDE60A}">
      <text>
        <r>
          <rPr>
            <sz val="9"/>
            <color indexed="81"/>
            <rFont val="Tahoma"/>
            <family val="2"/>
          </rPr>
          <t>JOHN FLEMING_x000D_
http://yeinfo.com/family/I09066088.html_x000D_
https://www.google.com/search?q=JOHN+FLEMING+1358+1432+ALICE_x000D_
.born:c1358    -          Croston (Lancashire) England_x000D_
.died: 1432    -          Croston (Lancashire) England, age:74y 0m 0d, _x000D_
.bapt: 1785GE_x000D_
.will: 2004MO_x000D_
.obit: 1890OH_x000D_
.bury: 1850IL _x000D_
.wpbt: 1826PA_x000D_
.anc#:double ancestor_x000D_
citiz:foreign_x000D_
#spos:1_x000D_
#srcs:1_x000D_
#comment:0_x000D_
#events:1_x000D_
#kids:1_x000D_
lived:ENLANCSCROSTON_x000D_
issue:_x000D_
.recs:Birth,Marriage,Death_x000D_
.imm?:no_x000D_
..Spo:ALICE LEA</t>
        </r>
      </text>
    </comment>
    <comment ref="W5818" authorId="0" shapeId="0" xr:uid="{F82E84AC-A59A-4EEE-9F1F-92FD5E30BBB2}">
      <text>
        <r>
          <rPr>
            <sz val="9"/>
            <color indexed="81"/>
            <rFont val="Tahoma"/>
            <family val="2"/>
          </rPr>
          <t>Mrs. {_?_} FLEMING_x000D_
http://yeinfo.com/family/I09066287.html_x000D_
https://www.google.com/search?q={_?_}+FLEMING+1335+1358+FLEMING_x000D_
.born:?1335    -         ?Yorkshire county England_x000D_
.died: 1358    -1425     ?England, age:23y 0m 0d, _x000D_
.bapt: 1785GE_x000D_
.will: 2004MO_x000D_
.obit: 1890OH_x000D_
.bury: 1850IL _x000D_
.wpbt: 1826PA_x000D_
.anc#:double ancestor_x000D_
citiz:foreign_x000D_
#spos:1_x000D_
#srcs:1_x000D_
#comment:0_x000D_
#events:1_x000D_
#kids:1_x000D_
lived:?ENYORKS,EN_x000D_
issue:_x000D_
.recs:Birth,Marriage,Death_x000D_
.imm?:no_x000D_
..Spo:THOMAS FLEMING</t>
        </r>
      </text>
    </comment>
    <comment ref="U5820" authorId="0" shapeId="0" xr:uid="{F4868FBE-93E7-4D33-80CA-801EBCDB8943}">
      <text>
        <r>
          <rPr>
            <sz val="9"/>
            <color indexed="81"/>
            <rFont val="Tahoma"/>
            <family val="2"/>
          </rPr>
          <t>MARY FLEMING_x000D_
http://yeinfo.com/family/I09065924.html_x000D_
https://www.google.com/search?q=MARY+FLEMING+1382+1482+STANDISFIELD_x000D_
.born: 1382    -          Yorkshire county England_x000D_
.died: 1482    -          Stansfield (Yorkshire) England, age:100y 0m 0d, _x000D_
.bapt: 1785GE_x000D_
.will: 2004MO_x000D_
.obit: 1890OH_x000D_
.bury: 1850IL _x000D_
.wpbt: 1826PA_x000D_
.anc#:double ancestor_x000D_
citiz:foreign_x000D_
#spos:1_x000D_
#srcs:1_x000D_
#comment:0_x000D_
#events:1_x000D_
#kids:1_x000D_
lived:ENYORKSSTANSFI_x000D_
issue:_x000D_
.recs:Birth,Marriage,Death_x000D_
.imm?:no_x000D_
..Spo:JOHN STANDISFIELD</t>
        </r>
      </text>
    </comment>
    <comment ref="V5822" authorId="0" shapeId="0" xr:uid="{90CCE784-B14D-46C7-BEA7-743AD407F6C8}">
      <text>
        <r>
          <rPr>
            <sz val="9"/>
            <color indexed="81"/>
            <rFont val="Tahoma"/>
            <family val="2"/>
          </rPr>
          <t>ALICE LEA_x000D_
http://yeinfo.com/family/I09066101.html_x000D_
https://www.google.com/search?q=ALICE+LEA+1362+1382+FLEMING_x000D_
.born: 1362    -          Crosstone (Yorkshire) England_x000D_
.died: 1382    -1452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lived:?ENLANCS,ENYORKSCROSSTO_x000D_
issue:_x000D_
.recs:Birth,Marriage,Death_x000D_
.imm?:no_x000D_
..Spo:JOHN FLEMING</t>
        </r>
      </text>
    </comment>
    <comment ref="S5824" authorId="0" shapeId="0" xr:uid="{D992DB7B-2304-4519-898C-D10FF0EC2732}">
      <text>
        <r>
          <rPr>
            <sz val="9"/>
            <color indexed="81"/>
            <rFont val="Tahoma"/>
            <family val="2"/>
          </rPr>
          <t>ANN STANDISFIELD_x000D_
http://yeinfo.com/family/I09065670.html_x000D_
https://www.google.com/search?q=ANN+STANDISFIELD+1450+1470+SAVILLE_x000D_
.born:c1450    -         ?England_x000D_
.died: 1470    -1540     ?Yorkshire county England, age:20y 0m 0d, _x000D_
.bapt: 1785GE_x000D_
.will: 2004MO_x000D_
.obit: 1890OH_x000D_
.bury: 1850IL St.Mary Magdalen_x000D_
.wpbt: 1826PA_x000D_
.anc#:double ancestor_x000D_
citiz:foreign_x000D_
#spos:1_x000D_
#srcs:1_x000D_
#comment:0_x000D_
#events:2_x000D_
#kids:1_x000D_
lived:?EN,ENYORKSRICHMON_x000D_
issue:Died after Age 100_x000D_
.recs:Birth,Marriage,Death,Interment/Burial_x000D_
.imm?:no_x000D_
..Spo:NICHOLAS SAVILLE</t>
        </r>
      </text>
    </comment>
    <comment ref="W5826" authorId="0" shapeId="0" xr:uid="{03DA3721-0574-467B-B0EB-8113418A6129}">
      <text>
        <r>
          <rPr>
            <sz val="9"/>
            <color indexed="81"/>
            <rFont val="Tahoma"/>
            <family val="2"/>
          </rPr>
          <t>HENRY SAVILLE_x000D_
http://yeinfo.com/family/I09066315.html_x000D_
https://www.google.com/search?q=HENRY+SAVILLE+1341+1365+ELLEN_x000D_
.born:?1341    -         ?England_x000D_
.died: 1365    -1431     ?England, age:24y 0m 0d, _x000D_
.bapt: 1785GE_x000D_
.will: 2004MO_x000D_
.obit: 1890OH_x000D_
.bury: 1850IL _x000D_
.wpbt: 1826PA_x000D_
.anc#:double ancestor_x000D_
citiz:foreign_x000D_
#spos:1_x000D_
#srcs:1_x000D_
#comment:0_x000D_
#events:1_x000D_
#kids:1_x000D_
lived:?EN,ENYORKS_x000D_
issue:_x000D_
.recs:Birth,Marriage,Death_x000D_
.imm?:no_x000D_
..Spo:ELLEN COPLEY</t>
        </r>
      </text>
    </comment>
    <comment ref="V5828" authorId="0" shapeId="0" xr:uid="{8A429D6A-009D-42B5-BB4D-F1722CC8A51E}">
      <text>
        <r>
          <rPr>
            <sz val="9"/>
            <color indexed="81"/>
            <rFont val="Tahoma"/>
            <family val="2"/>
          </rPr>
          <t>HENRY SAVILLE_x000D_
http://yeinfo.com/family/I09066124.html_x000D_
https://www.google.com/search?q=HENRY+SAVILLE+1365+1390+HELEN_x000D_
.born:c1365    -         ?England_x000D_
.died: 1390    -1455     ?England, age:25y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..Spo:HELEN COPLEY</t>
        </r>
      </text>
    </comment>
    <comment ref="W5830" authorId="0" shapeId="0" xr:uid="{DDD4E9D7-69A0-4F08-9C21-6AE9FBA061D0}">
      <text>
        <r>
          <rPr>
            <sz val="9"/>
            <color indexed="81"/>
            <rFont val="Tahoma"/>
            <family val="2"/>
          </rPr>
          <t>ELLEN COPLEY_x000D_
http://yeinfo.com/family/I09066316.html_x000D_
https://www.google.com/search?q=ELLEN+COPLEY+1347+1367+SAVILLE_x000D_
.born:?1347    -          Yorkshire county England_x000D_
.died: 1367    -1437      Dewsbury (Yorkshire) England, age:20y 0m 0d, _x000D_
.bapt: 1785GE_x000D_
.will: 2004MO_x000D_
.obit: 1890OH_x000D_
.bury: 1850IL _x000D_
.wpbt: 1826PA_x000D_
.anc#:double ancestor_x000D_
citiz:foreign_x000D_
#spos:1_x000D_
#srcs:1_x000D_
#comment:0_x000D_
#events:1_x000D_
#kids:1_x000D_
lived:ENYORKSDEWSBUR_x000D_
issue:_x000D_
.recs:Birth,Marriage,Death_x000D_
.imm?:no_x000D_
..Spo:HENRY SAVILLE</t>
        </r>
      </text>
    </comment>
    <comment ref="U5832" authorId="0" shapeId="0" xr:uid="{A423191C-558B-46E4-AF66-EB91270FA778}">
      <text>
        <r>
          <rPr>
            <sz val="9"/>
            <color indexed="81"/>
            <rFont val="Tahoma"/>
            <family val="2"/>
          </rPr>
          <t>JOHN SAVILLE IV_x000D_
http://yeinfo.com/family/I09065954.html_x000D_
https://www.google.com/search?q=JOHN+SAVILLE+1390+1459+MAUD_x000D_
.born:c1390    -          Yorkshire county England_x000D_
.died: 14590420-          Yorkshire county England, age:69y 3m 19d, _x000D_
.bapt: 1785GE_x000D_
.will: 2004MO_x000D_
.obit: 1890OH_x000D_
.bury: 1850IL _x000D_
.wpbt: 1826PA_x000D_
.anc#:double ancestor_x000D_
citiz:foreign_x000D_
#spos:1_x000D_
#srcs:1_x000D_
#comment:0_x000D_
#events:1_x000D_
#kids:1_x000D_
lived:ENYORKS_x000D_
issue:Died after Age 100_x000D_
.recs:Birth,Marriage,Death_x000D_
.imm?:no_x000D_
..Spo:MAUD TRAFFORD</t>
        </r>
      </text>
    </comment>
    <comment ref="V5834" authorId="0" shapeId="0" xr:uid="{4D92D0CD-4908-49BD-AD2D-FB2648700D69}">
      <text>
        <r>
          <rPr>
            <sz val="9"/>
            <color indexed="81"/>
            <rFont val="Tahoma"/>
            <family val="2"/>
          </rPr>
          <t>HELEN COPLEY_x000D_
http://yeinfo.com/family/I09066125.html_x000D_
https://www.google.com/search?q=HELEN+COPLEY+1370+1390+SAVILLE_x000D_
.born:?1370    -         ?England_x000D_
.died: 1390    -1460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..Spo:HENRY SAVILLE</t>
        </r>
      </text>
    </comment>
    <comment ref="T5836" authorId="0" shapeId="0" xr:uid="{8398D74A-F8E7-4159-9688-A8BB2DA7E1BD}">
      <text>
        <r>
          <rPr>
            <sz val="9"/>
            <color indexed="81"/>
            <rFont val="Tahoma"/>
            <family val="2"/>
          </rPr>
          <t>ALICE SAVILLE_x000D_
http://yeinfo.com/family/I09065804.html_x000D_
https://www.google.com/search?q=ALICE+SAVILLE+1405+1451+STANDISFIELD_x000D_
.born:c1405    -          Thornhill (Yorkshire) England_x000D_
.died: 14511217-          Suffolk county England, age:46y 11m 16d, _x000D_
.bapt: 1785GE_x000D_
.will: 2004MO_x000D_
.obit: 1890OH_x000D_
.bury: 1850IL _x000D_
.wpbt: 1826PA_x000D_
.anc#:double ancestor_x000D_
citiz:foreign_x000D_
#spos:1_x000D_
#srcs:1_x000D_
#comment:0_x000D_
#events:1_x000D_
#kids:1_x000D_
lived:ENSUFFO,ENYORKSTHORNHI_x000D_
issue:_x000D_
.recs:Birth,Marriage,Death_x000D_
.imm?:no_x000D_
..Spo:THOMAS STANDISFIELD</t>
        </r>
      </text>
    </comment>
    <comment ref="Y5838" authorId="0" shapeId="0" xr:uid="{2CC58AFA-9255-42C1-A918-D21AC161BB5E}">
      <text>
        <r>
          <rPr>
            <sz val="9"/>
            <color indexed="81"/>
            <rFont val="Tahoma"/>
            <family val="2"/>
          </rPr>
          <t>HENRY TRAFFORD_x000D_
http://yeinfo.com/family/I09066981.html_x000D_
https://www.google.com/search?q=HENRY+TRAFFORD+1225+1264+MARGARET_x000D_
.born:?1225    -          Lancashire county England_x000D_
.died:?1264    -1310      Lancashire county England, age:39y 0m 0d, _x000D_
.bapt: 1785GE_x000D_
.will: 2004MO_x000D_
.obit: 1890OH_x000D_
.bury: 1850IL _x000D_
.wpbt: 1826PA_x000D_
.anc#:  nontuple ancestor_x000D_
citiz:foreign_x000D_
#spos:1_x000D_
#srcs:1_x000D_
#comment:1_x000D_
#events:1_x000D_
#kids:1_x000D_
lived:ENLANCS_x000D_
issue:_x000D_
.recs:Birth,Marriage,Death_x000D_
.imm?:no_x000D_
..Spo:MARGARET TRAFFORD</t>
        </r>
      </text>
    </comment>
    <comment ref="X5840" authorId="0" shapeId="0" xr:uid="{79668DEB-449E-4080-8E44-4C73A04DC037}">
      <text>
        <r>
          <rPr>
            <sz val="9"/>
            <color indexed="81"/>
            <rFont val="Tahoma"/>
            <family val="2"/>
          </rPr>
          <t>JOHN TRAFFORD_x000D_
http://yeinfo.com/family/I09066434.html_x000D_
https://www.google.com/search?q=JOHN+TRAFFORD+1264+1340+ELIZABETH_x000D_
.born: 1264    -          Lancashire county England_x000D_
.died: 1340    -1350      Lancashire county England, age:76y 0m 0d, _x000D_
.bapt: 1785GE_x000D_
.will: 2004MO_x000D_
.obit: 1890OH_x000D_
.bury: 1850IL _x000D_
.wpbt: 1826PA_x000D_
.anc#:  nontuple ancestor_x000D_
citiz:foreign_x000D_
#spos:1_x000D_
#srcs:7_x000D_
#comment:1_x000D_
#events:1_x000D_
#kids:2_x000D_
lived:ENLANCS_x000D_
issue:_x000D_
.recs:Birth,Marriage,Death_x000D_
.imm?:no_x000D_
..Spo:ELIZABETH ASHTON</t>
        </r>
      </text>
    </comment>
    <comment ref="Y5842" authorId="0" shapeId="0" xr:uid="{32BACB0E-4C13-4BAA-8D84-12F8B012124D}">
      <text>
        <r>
          <rPr>
            <sz val="9"/>
            <color indexed="81"/>
            <rFont val="Tahoma"/>
            <family val="2"/>
          </rPr>
          <t>Mrs. MARGARET TRAFFORD_x000D_
http://yeinfo.com/family/I09066980.html_x000D_
https://www.google.com/search?q=MARGARET+TRAFFORD+1236+1334+TRAFFORD_x000D_
.born: 1236    -          Lancashire county England_x000D_
.died: 1334    -          Lancashire county England, age:98y 0m 0d, _x000D_
.bapt: 1785GE_x000D_
.will: 2004MO_x000D_
.obit: 1890OH_x000D_
.bury: 1850IL _x000D_
.wpbt: 1826PA_x000D_
.anc#:  nontuple ancestor_x000D_
citiz:foreign_x000D_
#spos:1_x000D_
#srcs:1_x000D_
#comment:0_x000D_
#events:1_x000D_
#kids:1_x000D_
lived:ENLANCS_x000D_
issue:_x000D_
.recs:Birth,Marriage,Death_x000D_
.imm?:no_x000D_
..Spo:HENRY TRAFFORD</t>
        </r>
      </text>
    </comment>
    <comment ref="W5844" authorId="0" shapeId="0" xr:uid="{10800564-63A5-4CDF-BB59-ECC54A3D3866}">
      <text>
        <r>
          <rPr>
            <sz val="9"/>
            <color indexed="81"/>
            <rFont val="Tahoma"/>
            <family val="2"/>
          </rPr>
          <t>HENRY TRAFFORD_x000D_
http://yeinfo.com/family/I09066317.html_x000D_
https://www.google.com/search?q=HENRY+TRAFFORD+1292+1370+AGNES_x000D_
.born: 1292    -          Lancashire county England_x000D_
.died: 1370    -          Lancashire county England, age:78y 0m 0d, _x000D_
.bapt: 1785GE_x000D_
.will: 2004MO_x000D_
.obit: 1890OH_x000D_
.bury: 1850IL _x000D_
.wpbt: 1826PA_x000D_
.anc#:  nontuple ancestor_x000D_
citiz:foreign_x000D_
#spos:1_x000D_
#srcs:1_x000D_
#comment:0_x000D_
#events:1_x000D_
#kids:3_x000D_
lived:ENLANCS_x000D_
issue:_x000D_
.recs:Birth,Marriage,Death_x000D_
.imm?:no_x000D_
..Spo:AGNES DOTERINDE</t>
        </r>
      </text>
    </comment>
    <comment ref="X5846" authorId="0" shapeId="0" xr:uid="{F8E71A63-7D53-4402-B0BC-1B4B45B919B8}">
      <text>
        <r>
          <rPr>
            <sz val="9"/>
            <color indexed="81"/>
            <rFont val="Tahoma"/>
            <family val="2"/>
          </rPr>
          <t>ELIZABETH ASHTON_x000D_
http://yeinfo.com/family/I09066433.html_x000D_
https://www.google.com/search?q=ELIZABETH+ASHTON+1268+1340+TRAFFORD_x000D_
.born: 1268    -          Lancashire county England_x000D_
.died: 1340    -1350      Lancashire county England, age:72y 0m 0d, _x000D_
.bapt: 1785GE_x000D_
.will: 2004MO_x000D_
.obit: 1890OH_x000D_
.bury: 1850IL _x000D_
.wpbt: 1826PA_x000D_
.anc#:  nontuple ancestor_x000D_
citiz:foreign_x000D_
#spos:1_x000D_
#srcs:1_x000D_
#comment:1_x000D_
#events:1_x000D_
#kids:2_x000D_
lived:ENLANCS_x000D_
issue:_x000D_
.recs:Birth,Marriage,Death_x000D_
.imm?:no_x000D_
..Spo:JOHN TRAFFORD</t>
        </r>
      </text>
    </comment>
    <comment ref="V5848" authorId="0" shapeId="0" xr:uid="{5ED14268-30D8-40BD-B9A8-5EED4D218D85}">
      <text>
        <r>
          <rPr>
            <sz val="9"/>
            <color indexed="81"/>
            <rFont val="Tahoma"/>
            <family val="2"/>
          </rPr>
          <t>THOMAS TRAFFORD_x000D_
http://yeinfo.com/family/I09066126.html_x000D_
https://www.google.com/search?q=THOMAS+TRAFFORD+1336+1410+{_?_}_x000D_
.born: 1336    -          Lancashire county England_x000D_
.died: 1410    -          Lancashire county England, age:74y 0m 0d, _x000D_
.bapt: 1785GE_x000D_
.will: 2004MO_x000D_
.obit: 1890OH_x000D_
.bury: 1850IL _x000D_
.wpbt: 1826PA_x000D_
.anc#:double ancestor_x000D_
citiz:foreign_x000D_
#spos:1_x000D_
#srcs:1_x000D_
#comment:0_x000D_
#events:1_x000D_
#kids:1_x000D_
lived:ENLANCS_x000D_
issue:_x000D_
.recs:Birth,Marriage,Death_x000D_
.imm?:no_x000D_
..Spo:{_?_} TRAFFORD</t>
        </r>
      </text>
    </comment>
    <comment ref="X5850" authorId="0" shapeId="0" xr:uid="{CC472CDD-00CF-438E-8337-DD47EA946550}">
      <text>
        <r>
          <rPr>
            <sz val="9"/>
            <color indexed="81"/>
            <rFont val="Tahoma"/>
            <family val="2"/>
          </rPr>
          <t>RICHARD DOTERINDE_x000D_
http://yeinfo.com/family/I09066492.html_x000D_
https://www.google.com/search?q=RICHARD+DOTERINDE+1280+1345+{_?_}_x000D_
.born:?1280    -          Norfolk county England_x000D_
.died: 1345    -         ?England, age:65y 0m 0d, _x000D_
.bapt: 1785GE_x000D_
.will: 2004MO_x000D_
.obit: 1890OH_x000D_
.bury: 1850IL _x000D_
.wpbt: 1826PA_x000D_
.anc#:  nontuple ancestor_x000D_
citiz:foreign_x000D_
#spos:1_x000D_
#srcs:1_x000D_
#comment:0_x000D_
#events:1_x000D_
#kids:1_x000D_
lived:ENNORFO_x000D_
issue:_x000D_
.recs:Birth,Marriage,Death_x000D_
.imm?:no_x000D_
..Spo:{_?_} DOTERINDE</t>
        </r>
      </text>
    </comment>
    <comment ref="W5852" authorId="0" shapeId="0" xr:uid="{3CDF1945-6FEF-49A2-A7BD-8C6F011B282D}">
      <text>
        <r>
          <rPr>
            <sz val="9"/>
            <color indexed="81"/>
            <rFont val="Tahoma"/>
            <family val="2"/>
          </rPr>
          <t>AGNES DOTERINDE_x000D_
http://yeinfo.com/family/I09066318.html_x000D_
https://www.google.com/search?q=AGNES+DOTERINDE+1302+1360+TRAFFORD_x000D_
.born: 1302    -          Birch (Lancashire) England_x000D_
.died: 1360    -          Lancashire county England, age:58y 0m 0d, _x000D_
.bapt: 1785GE_x000D_
.will: 2004MO_x000D_
.obit: 1890OH_x000D_
.bury: 1850IL _x000D_
.wpbt: 1826PA_x000D_
.anc#:  nontuple ancestor_x000D_
citiz:foreign_x000D_
#spos:1_x000D_
#srcs:1_x000D_
#comment:0_x000D_
#events:1_x000D_
#kids:3_x000D_
lived:ENLANCSBIRCH_x000D_
issue:_x000D_
.recs:Birth,Marriage,Death_x000D_
.imm?:no_x000D_
..Spo:HENRY TRAFFORD</t>
        </r>
      </text>
    </comment>
    <comment ref="X5854" authorId="0" shapeId="0" xr:uid="{E216F8A7-3437-4BDC-AFF0-C83F6B25BE52}">
      <text>
        <r>
          <rPr>
            <sz val="9"/>
            <color indexed="81"/>
            <rFont val="Tahoma"/>
            <family val="2"/>
          </rPr>
          <t>Mrs. {_?_} DOTERINDE_x000D_
http://yeinfo.com/family/I09066493.html_x000D_
https://www.google.com/search?q={_?_}+DOTERINDE+1280+1302+DOTERINDE_x000D_
.born:?1280    -         ?England_x000D_
.died: 1302    -1370     ?England, age:22y 0m 0d, _x000D_
.bapt: 1785GE_x000D_
.will: 2004MO_x000D_
.obit: 1890OH_x000D_
.bury: 1850IL _x000D_
.wpbt: 1826PA_x000D_
.anc#:  nontuple ancestor_x000D_
citiz:foreign_x000D_
#spos:1_x000D_
#srcs:1_x000D_
#comment:0_x000D_
#events:1_x000D_
#kids:1_x000D_
lived:?EN_x000D_
issue:_x000D_
.recs:Birth,Marriage,Death_x000D_
.imm?:no_x000D_
..Spo:RICHARD DOTERINDE</t>
        </r>
      </text>
    </comment>
    <comment ref="U5856" authorId="0" shapeId="0" xr:uid="{37E657CA-A5EB-4362-BD34-C41C54DAF8A3}">
      <text>
        <r>
          <rPr>
            <sz val="9"/>
            <color indexed="81"/>
            <rFont val="Tahoma"/>
            <family val="2"/>
          </rPr>
          <t>MAUD TRAFFORD_x000D_
http://yeinfo.com/family/I09065953.html_x000D_
https://www.google.com/search?q=MAUD+TRAFFORD+1386+1450+SAVILLE_x000D_
.born: 1386    -          Lancashire county England_x000D_
.died: 1450    -          Lancashire county England, age:64y 0m 0d, _x000D_
.bapt: 1785GE_x000D_
.will: 2004MO_x000D_
.obit: 1890OH_x000D_
.bury: 1850IL _x000D_
.wpbt: 1826PA_x000D_
.anc#:double ancestor_x000D_
citiz:foreign_x000D_
#spos:1_x000D_
#srcs:1_x000D_
#comment:0_x000D_
#events:1_x000D_
#kids:1_x000D_
lived:?ENYORKS,ENLANCS_x000D_
issue:_x000D_
.recs:Birth,Marriage,Death_x000D_
.imm?:no_x000D_
..Spo:JOHN SAVILLE</t>
        </r>
      </text>
    </comment>
    <comment ref="V5858" authorId="0" shapeId="0" xr:uid="{6A1138AA-B0E1-4980-90BD-1C378CBC62D2}">
      <text>
        <r>
          <rPr>
            <sz val="9"/>
            <color indexed="81"/>
            <rFont val="Tahoma"/>
            <family val="2"/>
          </rPr>
          <t>Mrs. {_?_} TRAFFORD_x000D_
http://yeinfo.com/family/I09066127.html_x000D_
https://www.google.com/search?q={_?_}+TRAFFORD+1340+1386+TRAFFORD_x000D_
.born:?1340    -         ?England_x000D_
.died: 1386    -1430     ?England, age:46y 0m 0d, _x000D_
.bapt: 1785GE_x000D_
.will: 2004MO_x000D_
.obit: 1890OH_x000D_
.bury: 1850IL _x000D_
.wpbt: 1826PA_x000D_
.anc#:double ancestor_x000D_
citiz:foreign_x000D_
#spos:1_x000D_
#srcs:1_x000D_
#comment:0_x000D_
#events:1_x000D_
#kids:1_x000D_
lived:?ENLANCS_x000D_
issue:_x000D_
.recs:Birth,Marriage,Death_x000D_
.imm?:no_x000D_
..Spo:THOMAS TRAFFORD</t>
        </r>
      </text>
    </comment>
    <comment ref="O5860" authorId="0" shapeId="0" xr:uid="{78171B38-BE24-499C-AF44-C32A22507ABA}">
      <text>
        <r>
          <rPr>
            <sz val="9"/>
            <color indexed="81"/>
            <rFont val="Tahoma"/>
            <family val="2"/>
          </rPr>
          <t>WILLIAM FARRAR_x000D_
http://yeinfo.com/family/I09005672.html_x000D_
https://www.google.com/search?q=WILLIAM+FARRAR+1550+1605+MARGARET_x000D_
.born: 1550    -          England_x000D_
.died: 1605    -          Yorkshire county England, age:55y 0m 0d, _x000D_
.bapt: 1785GE_x000D_
.will: 2004MO_x000D_
.obit: 1890OH_x000D_
.bury: 1850IL Heptonstall_x000D_
.wpbt: 1826PA_x000D_
.anc#:double ancestor_x000D_
citiz:foreign_x000D_
#spos:1_x000D_
#srcs:2_x000D_
#comment:0_x000D_
#events:6_x000D_
#kids:3_x000D_
lived:?ENYORKSSOWERBY,ENYORKSERRINGD,ENYORKSHALIFAX_x000D_
issue:_x000D_
.recs:Birth,Marriage,Deed,Will Written,Interment/Burial_x000D_
.imm?:no_x000D_
..Spo:MARGARET BANNISTER</t>
        </r>
      </text>
    </comment>
    <comment ref="P5862" authorId="0" shapeId="0" xr:uid="{330E839E-A7F5-480F-9285-802FFAF4D603}">
      <text>
        <r>
          <rPr>
            <sz val="9"/>
            <color indexed="81"/>
            <rFont val="Tahoma"/>
            <family val="2"/>
          </rPr>
          <t>MARY\ISABELLA\ANN THOMPSON_x000D_
http://yeinfo.com/family/I09011345.html_x000D_
https://www.google.com/search?q=MARY\ISABELLA\ANN+THOMPSON+1525+1550+FARRAR_x000D_
.born:?1525    -         ?England_x000D_
.died: 1550    -1615     ?England, age:25y 0m 0d, _x000D_
.bapt: 1785GE_x000D_
.will: 2004MO_x000D_
.obit: 1890OH_x000D_
.bury: 1850IL _x000D_
.wpbt: 1826PA_x000D_
.anc#:double ancestor_x000D_
citiz:foreign_x000D_
#spos:1_x000D_
#srcs:2_x000D_
#comment:0_x000D_
#events:1_x000D_
#kids:2_x000D_
lived:?ENYORKSSOWERBY_x000D_
issue:_x000D_
.recs:Birth,Marriage,Death_x000D_
.imm?:no_x000D_
..Spo:HENRY FARRAR</t>
        </r>
      </text>
    </comment>
    <comment ref="N5864" authorId="0" shapeId="0" xr:uid="{C73E5115-4C9E-458E-AC7E-DB4B3F51D5AC}">
      <text>
        <r>
          <rPr>
            <sz val="9"/>
            <color indexed="81"/>
            <rFont val="Tahoma"/>
            <family val="2"/>
          </rPr>
          <t>JACOB FARRAR_x000D_
http://yeinfo.com/family/I09002836.html_x000D_
https://www.google.com/search?q=JACOB+FARRAR+1584+1639+MARY_x000D_
.born: 1584    -          Yorkshire county England_x000D_
.died: 1639    -         ?, age:55y 0m 0d, _x000D_
.bapt: 1785GE_x000D_
.will: 2004MO_x000D_
.obit: 1890OH_x000D_
.bury: 1850IL _x000D_
.wpbt: 1826PA_x000D_
.anc#:double ancestor_x000D_
citiz:US born_x000D_
#spos:1_x000D_
#srcs:3_x000D_
#comment:0_x000D_
#events:1_x000D_
#kids:2_x000D_
lived:ENYORKSSOWERBY_x000D_
issue:_x000D_
.recs:Birth,Marriage,Death_x000D_
.imm?:no_x000D_
..Spo:MARY HAUGHTON</t>
        </r>
      </text>
    </comment>
    <comment ref="Q5866" authorId="0" shapeId="0" xr:uid="{CCACA982-8680-4031-82AF-32484288377E}">
      <text>
        <r>
          <rPr>
            <sz val="9"/>
            <color indexed="81"/>
            <rFont val="Tahoma"/>
            <family val="2"/>
          </rPr>
          <t>GEORGE BANNISTER_x000D_
http://yeinfo.com/family/I09022692.html_x000D_
https://www.google.com/search?q=GEORGE+BANNISTER+1500+1538+{_?_}_x000D_
.born:?1500    -          Yorkshire county England_x000D_
.died: 15380709-          Yorkshire county England, age:38y 6m 8d, _x000D_
.bapt: 1785GE_x000D_
.will: 2004MO_x000D_
.obit: 1890OH_x000D_
.bury: 1850IL _x000D_
.wpbt: 1826PA_x000D_
.anc#:double ancestor_x000D_
citiz:foreign_x000D_
#spos:1_x000D_
#srcs:1_x000D_
#comment:0_x000D_
#events:1_x000D_
#kids:1_x000D_
lived:ENYORKS_x000D_
issue:_x000D_
.recs:Birth,Marriage,Death_x000D_
.imm?:no_x000D_
..Spo:{_?_} BANNISTER</t>
        </r>
      </text>
    </comment>
    <comment ref="P5868" authorId="0" shapeId="0" xr:uid="{26C86AF1-6384-4959-96A5-E1E0A8AC669F}">
      <text>
        <r>
          <rPr>
            <sz val="9"/>
            <color indexed="81"/>
            <rFont val="Tahoma"/>
            <family val="2"/>
          </rPr>
          <t>GEORGE BANNISTER_x000D_
http://yeinfo.com/family/I09011346.html_x000D_
https://www.google.com/search?q=GEORGE+BANNISTER+1520+1572+MARGARET_x000D_
.born:?1520    -          England_x000D_
.died: 15720823-          Halifax (Yorkshire) England, age:52y 7m 22d, _x000D_
.bapt: 1785GE_x000D_
.will: 2004MO_x000D_
.obit: 1890OH_x000D_
.bury: 1850IL _x000D_
.wpbt: 1826PA_x000D_
.anc#:double ancestor_x000D_
citiz:foreign_x000D_
#spos:1_x000D_
#srcs:2_x000D_
#comment:0_x000D_
#events:2_x000D_
#kids:1_x000D_
lived:ENYORKSHALIFAX,ENYORKSSOWERBY_x000D_
issue:_x000D_
.recs:Birth,Marriage,Death_x000D_
.imm?:no_x000D_
..Spo:MARGARET CROWTHER</t>
        </r>
      </text>
    </comment>
    <comment ref="Q5870" authorId="0" shapeId="0" xr:uid="{95BF7FF9-5F31-41A7-8896-DF1DC78E4308}">
      <text>
        <r>
          <rPr>
            <sz val="9"/>
            <color indexed="81"/>
            <rFont val="Tahoma"/>
            <family val="2"/>
          </rPr>
          <t>Mrs. {_?_} BANNISTER_x000D_
http://yeinfo.com/family/I09022693.html_x000D_
https://www.google.com/search?q={_?_}+BANNISTER+1500+1520+BANNISTER_x000D_
.born:?1500    -         ?Yorkshire county England_x000D_
.died: 1520    -1585     ?Yorkshire county England, age:20y 0m 0d, _x000D_
.bapt: 1785GE_x000D_
.will: 2004MO_x000D_
.obit: 1890OH_x000D_
.bury: 1850IL _x000D_
.wpbt: 1826PA_x000D_
.anc#:double ancestor_x000D_
citiz:foreign_x000D_
#spos:1_x000D_
#srcs:1_x000D_
#comment:0_x000D_
#events:1_x000D_
#kids:1_x000D_
lived:?ENYORKS_x000D_
issue:_x000D_
.recs:Birth,Marriage,Death_x000D_
.imm?:no_x000D_
..Spo:GEORGE BANNISTER</t>
        </r>
      </text>
    </comment>
    <comment ref="O5872" authorId="0" shapeId="0" xr:uid="{847B3C89-F344-48DD-813D-43B13071B1F1}">
      <text>
        <r>
          <rPr>
            <sz val="9"/>
            <color indexed="81"/>
            <rFont val="Tahoma"/>
            <family val="2"/>
          </rPr>
          <t>MARGARET BANNISTER_x000D_
http://yeinfo.com/family/I09005673.html_x000D_
https://www.google.com/search?q=MARGARET+BANNISTER+1546+1624+FARRAR_x000D_
.born:?1546    -         ?Halifax (Yorkshire) England_x000D_
.died: 16240902-          Halifax (Yorkshire) England, age:78y 8m 1d, _x000D_
.bapt: 1785GE_x000D_
.will: 2004MO_x000D_
.obit: 1890OH_x000D_
.bury: 1850IL _x000D_
.wpbt: 1826PA_x000D_
.anc#:double ancestor_x000D_
citiz:foreign_x000D_
#spos:1_x000D_
#srcs:3_x000D_
#comment:0_x000D_
#events:3_x000D_
#kids:3_x000D_
lived:?ENYORKSHALIFAX,ENYORKSSOWERBY_x000D_
issue:_x000D_
.recs:Birth,Marriage,Will Written,Death_x000D_
.imm?:no_x000D_
..Spo:WILLIAM FARRAR</t>
        </r>
      </text>
    </comment>
    <comment ref="P5874" authorId="0" shapeId="0" xr:uid="{6D1AFDE4-C980-4F1E-8B63-CA1F5306F99C}">
      <text>
        <r>
          <rPr>
            <sz val="9"/>
            <color indexed="81"/>
            <rFont val="Tahoma"/>
            <family val="2"/>
          </rPr>
          <t>MARGARET CROWTHER_x000D_
http://yeinfo.com/family/I09011347.html_x000D_
https://www.google.com/search?q=MARGARET+CROWTHER+1520+1546+BANNISTER_x000D_
.born:?1520    -          England_x000D_
.died: 1546    -1610      , age:26y 0m 0d, _x000D_
.bapt: 1785GE_x000D_
.will: 2004MO_x000D_
.obit: 1890OH_x000D_
.bury: 1850IL _x000D_
.wpbt: 1826PA_x000D_
.anc#:double ancestor_x000D_
citiz:foreign_x000D_
#spos:1_x000D_
#srcs:2_x000D_
#comment:0_x000D_
#events:1_x000D_
#kids:1_x000D_
lived:?ENYORKS,EN_x000D_
issue:_x000D_
.recs:Birth,Marriage,Death_x000D_
.imm?:no_x000D_
..Spo:GEORGE BANNISTER</t>
        </r>
      </text>
    </comment>
    <comment ref="M5876" authorId="0" shapeId="0" xr:uid="{40CCAFEE-A3C6-4BAC-A8F7-72B40E774CF2}">
      <text>
        <r>
          <rPr>
            <sz val="9"/>
            <color indexed="81"/>
            <rFont val="Tahoma"/>
            <family val="2"/>
          </rPr>
          <t>JACOB FARRAR_x000D_
http://yeinfo.com/family/I09001418.html_x000D_
https://www.google.com/search?q=JACOB+FARRAR+1614+1677+Grace+FARRAR_x000D_
.born: 1614    -          Yorkshire county England_x000D_
.died: 16770814-          Woburn (Middlesex) Massachusetts, age:63y 7m 13d, _x000D_
.bapt: 1785GE_x000D_
.will: 2004MO_x000D_
.obit: 1890OH_x000D_
.bury: 1850IL _x000D_
.wpbt: 1826PA_x000D_
.anc#:double ancestor_x000D_
citiz:immigrant_x000D_
#spos:2_x000D_
#srcs:15_x000D_
#comment:0_x000D_
#events:11_x000D_
#kids:5_x000D_
lived:ENDERBSHATHERS,ENLANCS,ENYORKSHALIFAX,MAMIDDLWOBURN,MANORFODEDHAM,MAWORCELANCAST_x000D_
issue:_x000D_
.recs:Birth,Baptism,Marriage,Job/Occupation,Death_x000D_
.imm?:immigrant_x000D_
..Spo:Grace Dean</t>
        </r>
      </text>
    </comment>
    <comment ref="N5878" authorId="0" shapeId="0" xr:uid="{E2FB56E6-CDDD-4BD8-AF20-82BDDD29184C}">
      <text>
        <r>
          <rPr>
            <sz val="9"/>
            <color indexed="81"/>
            <rFont val="Tahoma"/>
            <family val="2"/>
          </rPr>
          <t>MARY HAUGHTON_x000D_
http://yeinfo.com/family/I09002837.html_x000D_
https://www.google.com/search?q=MARY+HAUGHTON+1585+1639+FARRAR_x000D_
.born:?1585    -         ?England_x000D_
.died: 1639    -         ?, age:54y 0m 0d, _x000D_
.bapt: 1785GE_x000D_
.will: 2004MO_x000D_
.obit: 1890OH_x000D_
.bury: 1850IL _x000D_
.wpbt: 1826PA_x000D_
.anc#:double ancestor_x000D_
citiz:US born_x000D_
#spos:1_x000D_
#srcs:2_x000D_
#comment:0_x000D_
#events:1_x000D_
#kids:2_x000D_
lived:?EN,ENYORKSSOWERBY_x000D_
issue:_x000D_
.recs:Birth,Marriage,Death_x000D_
.imm?:no_x000D_
..Spo:JACOB FARRAR</t>
        </r>
      </text>
    </comment>
    <comment ref="L5880" authorId="0" shapeId="0" xr:uid="{79A71D70-9732-492E-B020-7DE65F34D946}">
      <text>
        <r>
          <rPr>
            <sz val="9"/>
            <color indexed="81"/>
            <rFont val="Tahoma"/>
            <family val="2"/>
          </rPr>
          <t>MARY FARRAR_x000D_
http://yeinfo.com/family/I09000709.html_x000D_
https://www.google.com/search?q=MARY+FARRAR+1648+1696+HOUGHTON_x000D_
.born: 1648    -          Lancaster (Worcester) Massachusetts_x000D_
.died: 1696    -1738     ?, age:48y 0m 0d, _x000D_
.bapt: 1785GE_x000D_
.will: 2004MO_x000D_
.obit: 1890OH_x000D_
.bury: 1850IL _x000D_
.wpbt: 1826PA_x000D_
.anc#:double ancestor_x000D_
citiz:US born_x000D_
#spos:1_x000D_
#srcs:8_x000D_
#comment:1_x000D_
#events:1_x000D_
#kids:11_x000D_
lived:MAWORCELANCAST_x000D_
issue:_x000D_
.recs:Birth,Marriage,Death_x000D_
.imm?:no_x000D_
..Spo:JOHN HOUGHTON</t>
        </r>
      </text>
    </comment>
    <comment ref="M5882" authorId="0" shapeId="0" xr:uid="{E4348928-9138-48C5-A48E-41A65DC27ACC}">
      <text>
        <r>
          <rPr>
            <sz val="9"/>
            <color indexed="81"/>
            <rFont val="Tahoma"/>
            <family val="2"/>
          </rPr>
          <t>Mrs. ANN FARRAR_x000D_
http://yeinfo.com/family/I09001419.html_x000D_
https://www.google.com/search?q=ANN+FARRAR+1620+1660+FARRAR+Jacob_x000D_
.born:?1620    -         ?England_x000D_
.died: 1660    -1710     ?Massachusetts, age:40y 0m 0d, _x000D_
.bapt: 1785GE_x000D_
.will: 2004MO_x000D_
.obit: 1890OH_x000D_
.bury: 1850IL _x000D_
.wpbt: 1826PA_x000D_
.anc#:double ancestor_x000D_
citiz:immigrant_x000D_
#spos:2_x000D_
#srcs:4_x000D_
#comment:0_x000D_
#events:2_x000D_
#kids:4_x000D_
lived:?ENYORKSHALIFAX,?MA_x000D_
issue:_x000D_
.recs:Birth,Marriage,Death_x000D_
.imm?:immigrant_x000D_
..Spo:JACOB FARRAR</t>
        </r>
      </text>
    </comment>
    <comment ref="F5884" authorId="0" shapeId="0" xr:uid="{FC4911ED-67E5-4527-9B88-91952B0D0D69}">
      <text>
        <r>
          <rPr>
            <sz val="9"/>
            <color indexed="81"/>
            <rFont val="Tahoma"/>
            <family val="2"/>
          </rPr>
          <t>NEWELL SIDNEY MOORE_x000D_
http://yeinfo.com/family/I09000022.html_x000D_
https://www.google.com/search?q=NEWELL+SIDNEY+MOORE+1842+1925+MAVERETTE+ANN_x000D_
.born: 18420903-          Dummerston (Windham) Vermont_x000D_
.died: 19250323-          Akron (Plymouth) Iowa, age:82y 6m 20d, arteriosclerosis_x000D_
.bapt: 1785GE_x000D_
.will: 2004MO_x000D_
.obit: 1890OH_x000D_
.bury: 1850IL Riverside Cemetery_x000D_
.wpbt: 1826PA_x000D_
.anc#:ancestor_x000D_
citiz:US born_x000D_
#spos:1_x000D_
#srcs:19_x000D_
#comment:2_x000D_
#events:22_x000D_
#kids:11_x000D_
lived:IADUBUQDUBUQUE,IAPLYMOAKRON,VTWINDHBRATTLB,VTWINDHDUMMERS_x000D_
issue:_x000D_
.recs:Birth,Marriage,Job/Occupation,Will Written,Death,Interment/Burial,Obituary,Image_x000D_
.imm?:no_x000D_
..Spo:MAVERETTE ANN MILLER</t>
        </r>
      </text>
    </comment>
    <comment ref="M5886" authorId="0" shapeId="0" xr:uid="{06B4F798-9A01-461B-893D-9F83263B13A6}">
      <text>
        <r>
          <rPr>
            <sz val="9"/>
            <color indexed="81"/>
            <rFont val="Tahoma"/>
            <family val="2"/>
          </rPr>
          <t>JOHN DEAN II_x000D_
http://yeinfo.com/family/I09002880.html_x000D_
https://www.google.com/search?q=JOHN+DEAN+1602+1660+ALICE_x000D_
.born: 1602    -          South Chard (Somerset) England_x000D_
.died: 16600425-          Taunton (Bristol) Massachusetts, age:58y 3m 24d, _x000D_
.bapt: 1785GE_x000D_
.will: 2004MO_x000D_
.obit: 1890OH_x000D_
.bury: 1850IL _x000D_
.wpbt: 1826PA_x000D_
.anc#:ancestor_x000D_
citiz:immigrant_x000D_
#spos:1_x000D_
#srcs:1_x000D_
#comment:0_x000D_
#events:1_x000D_
#kids:1_x000D_
lived:ENSOMESSOUTH C,MABRISTTAUNTON_x000D_
issue:_x000D_
.recs:Birth,Marriage,Death_x000D_
.imm?:immigrant_x000D_
..Spo:ALICE STRONG</t>
        </r>
      </text>
    </comment>
    <comment ref="L5888" authorId="0" shapeId="0" xr:uid="{5964B449-B8FC-4BCE-A1F2-A3C4092C54B0}">
      <text>
        <r>
          <rPr>
            <sz val="9"/>
            <color indexed="81"/>
            <rFont val="Tahoma"/>
            <family val="2"/>
          </rPr>
          <t>JOHN DEAN II_x000D_
http://yeinfo.com/family/I09001440.html_x000D_
https://www.google.com/search?q=JOHN+DEAN+1639+1717+SARAH_x000D_
.born:c1639    -          Taunton (Bristol) Massachusetts_x000D_
.died: 17170218-          Taunton (Bristol) Massachusetts, age:78y 1m 17d, _x000D_
.bapt: 1785GE_x000D_
.will: 2004MO_x000D_
.obit: 1890OH_x000D_
.bury: 1850IL _x000D_
.wpbt: 1826PA_x000D_
.anc#:ancestor_x000D_
citiz:US born_x000D_
#spos:1_x000D_
#srcs:2_x000D_
#comment:0_x000D_
#events:1_x000D_
#kids:10_x000D_
lived:MABRISTTAUNTON_x000D_
issue:_x000D_
.recs:Birth,Marriage,Death_x000D_
.imm?:no_x000D_
..Spo:SARAH EDSON</t>
        </r>
      </text>
    </comment>
    <comment ref="M5890" authorId="0" shapeId="0" xr:uid="{2198E350-5521-43BA-9FF6-1A1F2994F277}">
      <text>
        <r>
          <rPr>
            <sz val="9"/>
            <color indexed="81"/>
            <rFont val="Tahoma"/>
            <family val="2"/>
          </rPr>
          <t>ALICE STRONG_x000D_
http://yeinfo.com/family/I09002881.html_x000D_
https://www.google.com/search?q=ALICE+STRONG+1616+1669+DEAN_x000D_
.born:c1616    -          Somerset county England_x000D_
.died: 1669    -          Taunton (Bristol) Massachusetts, age:53y 0m 0d, _x000D_
.bapt: 1785GE_x000D_
.will: 2004MO_x000D_
.obit: 1890OH_x000D_
.bury: 1850IL _x000D_
.wpbt: 1826PA_x000D_
.anc#:ancestor_x000D_
citiz:immigrant_x000D_
#spos:1_x000D_
#srcs:1_x000D_
#comment:1_x000D_
#events:1_x000D_
#kids:1_x000D_
lived:ENSOMES,MABRISTTAUNTON_x000D_
issue:_x000D_
.recs:Birth,Marriage,Death_x000D_
.imm?:immigrant_x000D_
..Spo:JOHN DEAN</t>
        </r>
      </text>
    </comment>
    <comment ref="K5892" authorId="0" shapeId="0" xr:uid="{B6225F95-F307-4EF7-96A6-775519F254B5}">
      <text>
        <r>
          <rPr>
            <sz val="9"/>
            <color indexed="81"/>
            <rFont val="Tahoma"/>
            <family val="2"/>
          </rPr>
          <t>SAMUEL DEAN_x000D_
http://yeinfo.com/family/I09000720.html_x000D_
https://www.google.com/search?q=SAMUEL+DEAN+1667+1731+SARAH_x000D_
.born: 16670124-          Taunton (Bristol) Massachusetts_x000D_
.died: 17311001-          Taunton (Bristol) Massachusetts, age:64y 8m 7d, _x000D_
.bapt: 1785GE_x000D_
.will: 2004MO_x000D_
.obit: 1890OH_x000D_
.bury: 1850IL _x000D_
.wpbt: 1826PA_x000D_
.anc#:ancestor_x000D_
citiz:US born_x000D_
#spos:1_x000D_
#srcs:3_x000D_
#comment:0_x000D_
#events:1_x000D_
#kids:1_x000D_
lived:MABRISTTAUNTON_x000D_
issue:_x000D_
.recs:Birth,Marriage,Death_x000D_
.imm?:no_x000D_
..Spo:SARAH ROBINSON</t>
        </r>
      </text>
    </comment>
    <comment ref="M5894" authorId="0" shapeId="0" xr:uid="{5BC6B169-3547-4FBA-9C14-9FE3BCA90904}">
      <text>
        <r>
          <rPr>
            <sz val="9"/>
            <color indexed="81"/>
            <rFont val="Tahoma"/>
            <family val="2"/>
          </rPr>
          <t>SAMUEL EDSON Sr._x000D_
http://yeinfo.com/family/I09002882.html_x000D_
https://www.google.com/search?q=SAMUEL+EDSON+1613+1692+SUSANNAH_x000D_
.born:c16130905-          Fillongley (Warwickshire) England_x000D_
.died: 16920719-          Westbridge (Plymouth) Massachusetts, age:78y 10m 14d, _x000D_
.bapt: 1785GE_x000D_
.will: 2004MO_x000D_
.obit: 1890OH_x000D_
.bury: 1850IL _x000D_
.wpbt: 1826PA_x000D_
.anc#:ancestor_x000D_
citiz:immigrant_x000D_
#spos:1_x000D_
#srcs:1_x000D_
#comment:1_x000D_
#events:1_x000D_
#kids:1_x000D_
lived:ENWARWEFILLONG,ENWARWESUTTONC,MAPLYMOWESTBRI_x000D_
issue:_x000D_
.recs:Birth,Marriage,Death_x000D_
.imm?:immigrant_x000D_
..Spo:SUSANNAH BICKLEY</t>
        </r>
      </text>
    </comment>
    <comment ref="L5896" authorId="0" shapeId="0" xr:uid="{25816442-3B5D-4D5E-8930-EF43FDF66495}">
      <text>
        <r>
          <rPr>
            <sz val="9"/>
            <color indexed="81"/>
            <rFont val="Tahoma"/>
            <family val="2"/>
          </rPr>
          <t>SARAH EDSON_x000D_
http://yeinfo.com/family/I09001441.html_x000D_
https://www.google.com/search?q=SARAH+EDSON+1642+1717+DEAN_x000D_
.born: 1642    -          Salem (Essex) Massachusetts_x000D_
.died: 17170218-          Taunton (Bristol) Massachusetts, age:75y 1m 17d, _x000D_
.bapt: 1785GE_x000D_
.will: 2004MO_x000D_
.obit: 1890OH_x000D_
.bury: 1850IL _x000D_
.wpbt: 1826PA_x000D_
.anc#:ancestor_x000D_
citiz:US born_x000D_
#spos:1_x000D_
#srcs:2_x000D_
#comment:0_x000D_
#events:1_x000D_
#kids:10_x000D_
lived:MABRISTTAUNTON,MAESSEXSALEM_x000D_
issue:_x000D_
.recs:Birth,Marriage,Death_x000D_
.imm?:no_x000D_
..Spo:JOHN DEAN</t>
        </r>
      </text>
    </comment>
    <comment ref="M5898" authorId="0" shapeId="0" xr:uid="{7D559639-21E0-4431-94AB-F2D1281AE5B4}">
      <text>
        <r>
          <rPr>
            <sz val="9"/>
            <color indexed="81"/>
            <rFont val="Tahoma"/>
            <family val="2"/>
          </rPr>
          <t>SUSANNAH BICKLEY_x000D_
http://yeinfo.com/family/I09002883.html_x000D_
https://www.google.com/search?q=SUSANNAH+BICKLEY+1618+1699+EDSON_x000D_
.born: 16180220-          Fillongley (Warwickshire) England_x000D_
.died: 16990218-          Bridgewater (Plymouth) Massachusetts, age:80y 11m 29d, _x000D_
.bapt: 1785GE_x000D_
.will: 2004MO_x000D_
.obit: 1890OH_x000D_
.bury: 1850IL _x000D_
.wpbt: 1826PA_x000D_
.anc#:ancestor_x000D_
citiz:immigrant_x000D_
#spos:1_x000D_
#srcs:1_x000D_
#comment:1_x000D_
#events:1_x000D_
#kids:1_x000D_
lived:ENWARWEFILLONG,ENWARWESUTTONC,MAPLYMOBRIDGEW_x000D_
issue:_x000D_
.recs:Birth,Marriage,Death_x000D_
.imm?:immigrant_x000D_
..Spo:SAMUEL EDSON</t>
        </r>
      </text>
    </comment>
    <comment ref="J5900" authorId="0" shapeId="0" xr:uid="{BCA780CB-3568-40E0-93E6-0AA54C45CBCE}">
      <text>
        <r>
          <rPr>
            <sz val="9"/>
            <color indexed="81"/>
            <rFont val="Tahoma"/>
            <family val="2"/>
          </rPr>
          <t>SAMUEL DEAN_x000D_
http://yeinfo.com/family/I09000360.html_x000D_
https://www.google.com/search?q=SAMUEL+DEAN+1700+1775+RACHAEL_x000D_
.born: 17001017-          Taunton (Bristol) Massachusetts_x000D_
.died: 17750330-          Norton (Bristol) Massachusetts, age:74y 5m 13d, _x000D_
.bapt: 1785GE_x000D_
.will: 2004MO_x000D_
.obit: 1890OH_x000D_
.bury: 1850IL _x000D_
.wpbt: 1826PA_x000D_
.anc#:ancestor_x000D_
citiz:US born_x000D_
#spos:1_x000D_
#srcs:2_x000D_
#comment:0_x000D_
#events:1_x000D_
#kids:7_x000D_
lived:MABRISTNORTON,MABRISTTAUNTON,MANORFODEDHAM_x000D_
issue:_x000D_
.recs:Birth,Marriage,Death_x000D_
.imm?:no_x000D_
..Spo:RACHAEL DWIGHT</t>
        </r>
      </text>
    </comment>
    <comment ref="M5902" authorId="0" shapeId="0" xr:uid="{23010E94-735F-4CFD-A5FA-AAD4F4A82632}">
      <text>
        <r>
          <rPr>
            <sz val="9"/>
            <color indexed="81"/>
            <rFont val="Tahoma"/>
            <family val="2"/>
          </rPr>
          <t>WILLIAM ROBINSON Sr._x000D_
http://yeinfo.com/family/I09002884.html_x000D_
https://www.google.com/search?q=WILLIAM+ROBINSON+1615+1668+MARGARET_x000D_
.born: 16150109-          Canterbury (Kent) England_x000D_
.died: 16680706-          Dorchester (Suffolk) Massachusetts, age:53y 5m 27d, _x000D_
.bapt: 1785GE_x000D_
.will: 2004MO_x000D_
.obit: 1890OH_x000D_
.bury: 1850IL _x000D_
.wpbt: 1826PA_x000D_
.anc#:ancestor_x000D_
citiz:immigrant_x000D_
#spos:1_x000D_
#srcs:1_x000D_
#comment:1_x000D_
#events:1_x000D_
#kids:1_x000D_
lived:ENKENT CANTERB,MASUFFODORCHES_x000D_
issue:_x000D_
.recs:Birth,Marriage,Death_x000D_
.imm?:immigrant_x000D_
..Spo:MARGARET BEACH</t>
        </r>
      </text>
    </comment>
    <comment ref="L5904" authorId="0" shapeId="0" xr:uid="{E3BFA21A-ACC4-487D-8A19-24E547FC1B0C}">
      <text>
        <r>
          <rPr>
            <sz val="9"/>
            <color indexed="81"/>
            <rFont val="Tahoma"/>
            <family val="2"/>
          </rPr>
          <t>INCREASE ROBINSON Sr._x000D_
http://yeinfo.com/family/I09001442.html_x000D_
https://www.google.com/search?q=INCREASE+ROBINSON+1642+1699+SARAH_x000D_
.born: 16420313-          Dorchester (Suffolk) Massachusetts_x000D_
.died: 16990110-          Taunton (Bristol) Massachusetts, age:56y 9m 28d, _x000D_
.bapt: 1785GE_x000D_
.will: 2004MO_x000D_
.obit: 1890OH_x000D_
.bury: 1850IL _x000D_
.wpbt: 1826PA_x000D_
.anc#:ancestor_x000D_
citiz:US born_x000D_
#spos:1_x000D_
#srcs:1_x000D_
#comment:0_x000D_
#events:1_x000D_
#kids:1_x000D_
lived:MABRISTTAUNTON,MASUFFODORCHES_x000D_
issue:_x000D_
.recs:Birth,Marriage,Death_x000D_
.imm?:no_x000D_
..Spo:SARAH PENNIMAN</t>
        </r>
      </text>
    </comment>
    <comment ref="M5906" authorId="0" shapeId="0" xr:uid="{E29D37CF-2840-4AC7-BD2B-D1B840570611}">
      <text>
        <r>
          <rPr>
            <sz val="9"/>
            <color indexed="81"/>
            <rFont val="Tahoma"/>
            <family val="2"/>
          </rPr>
          <t>MARGARET BEACH_x000D_
http://yeinfo.com/family/I09002885.html_x000D_
https://www.google.com/search?q=MARGARET+BEACH+1616+1665+ROBINSON_x000D_
.born: 1616    -          Patrixbourne (Kent) England_x000D_
.died: 1665    -          Dorchester (Suffolk) Massachusetts, age:49y 0m 0d, _x000D_
.bapt: 1785GE_x000D_
.will: 2004MO_x000D_
.obit: 1890OH_x000D_
.bury: 1850IL _x000D_
.wpbt: 1826PA_x000D_
.anc#:ancestor_x000D_
citiz:immigrant_x000D_
#spos:1_x000D_
#srcs:1_x000D_
#comment:1_x000D_
#events:1_x000D_
#kids:1_x000D_
lived:ENKENT PATRIXB,MASUFFODORCHES_x000D_
issue:_x000D_
.recs:Birth,Marriage,Death_x000D_
.imm?:immigrant_x000D_
..Spo:WILLIAM ROBINSON</t>
        </r>
      </text>
    </comment>
    <comment ref="K5908" authorId="0" shapeId="0" xr:uid="{3E61E9D7-9474-467A-904C-B54F3E18DA3F}">
      <text>
        <r>
          <rPr>
            <sz val="9"/>
            <color indexed="81"/>
            <rFont val="Tahoma"/>
            <family val="2"/>
          </rPr>
          <t>SARAH ROBINSON_x000D_
http://yeinfo.com/family/I09000721.html_x000D_
https://www.google.com/search?q=SARAH+ROBINSON+1667+1741+DEAN_x000D_
.born: 1667    -          Taunton (Bristol) Massachusetts_x000D_
.died: 17411015-          Norton (Bristol) Massachusetts, age:74y 9m 14d, _x000D_
.bapt: 1785GE_x000D_
.will: 2004MO_x000D_
.obit: 1890OH_x000D_
.bury: 1850IL _x000D_
.wpbt: 1826PA_x000D_
.anc#:ancestor_x000D_
citiz:US born_x000D_
#spos:1_x000D_
#srcs:3_x000D_
#comment:0_x000D_
#events:1_x000D_
#kids:1_x000D_
lived:MABRISTNORTON,MABRISTTAUNTON_x000D_
issue:_x000D_
.recs:Birth,Marriage,Death_x000D_
.imm?:no_x000D_
..Spo:SAMUEL DEAN</t>
        </r>
      </text>
    </comment>
    <comment ref="M5910" authorId="0" shapeId="0" xr:uid="{ECA2A61F-0D1B-4B45-BF87-A28A741A8B26}">
      <text>
        <r>
          <rPr>
            <sz val="9"/>
            <color indexed="81"/>
            <rFont val="Tahoma"/>
            <family val="2"/>
          </rPr>
          <t>JAMES PENNIMAN_x000D_
http://yeinfo.com/family/I09002886.html_x000D_
https://www.google.com/search?q=JAMES+PENNIMAN+1599+1664+LYDIA_x000D_
.born: 15990714-          Chipping Ongar (Essex) England_x000D_
.died: 16641226-          Braintree (Norfolk) Massachusetts, age:65y 5m 12d, _x000D_
.bapt: 1785GE_x000D_
.will: 2004MO_x000D_
.obit: 1890OH_x000D_
.bury: 1850IL _x000D_
.wpbt: 1826PA_x000D_
.anc#:ancestor_x000D_
citiz:immigrant_x000D_
#spos:1_x000D_
#srcs:1_x000D_
#comment:1_x000D_
#events:1_x000D_
#kids:1_x000D_
lived:ENESSEXCHIPONG,ENESSEXHIGH LA,MANORFOBRAINTR_x000D_
issue:_x000D_
.recs:Birth,Marriage,Death_x000D_
.imm?:immigrant_x000D_
..Spo:LYDIA ELLIOTTT</t>
        </r>
      </text>
    </comment>
    <comment ref="L5912" authorId="0" shapeId="0" xr:uid="{604916E3-695A-461A-9646-C875C4A36C44}">
      <text>
        <r>
          <rPr>
            <sz val="9"/>
            <color indexed="81"/>
            <rFont val="Tahoma"/>
            <family val="2"/>
          </rPr>
          <t>SARAH PENNIMAN_x000D_
http://yeinfo.com/family/I09001443.html_x000D_
https://www.google.com/search?q=SARAH+PENNIMAN+1641+1701+ROBINSON_x000D_
.born: 16410506-          Braintree (Norfolk) Massachusetts_x000D_
.died: 17010605-          Taunton (Bristol) Massachusetts, age:60y 0m 30d, _x000D_
.bapt: 1785GE_x000D_
.will: 2004MO_x000D_
.obit: 1890OH_x000D_
.bury: 1850IL _x000D_
.wpbt: 1826PA_x000D_
.anc#:ancestor_x000D_
citiz:US born_x000D_
#spos:1_x000D_
#srcs:1_x000D_
#comment:0_x000D_
#events:1_x000D_
#kids:1_x000D_
lived:MABRISTTAUNTON,MANORFOBRAINTR,MASUFFODORCHES_x000D_
issue:_x000D_
.recs:Birth,Marriage,Death_x000D_
.imm?:no_x000D_
..Spo:INCREASE ROBINSON</t>
        </r>
      </text>
    </comment>
    <comment ref="Q5914" authorId="0" shapeId="0" xr:uid="{65174F69-8880-4C93-AF32-719C66CF0922}">
      <text>
        <r>
          <rPr>
            <sz val="9"/>
            <color indexed="81"/>
            <rFont val="Tahoma"/>
            <family val="2"/>
          </rPr>
          <t>WILLIAM ELLIOTT_x000D_
http://yeinfo.com/family/I09065543.html_x000D_
https://www.google.com/search?q=WILLIAM+ELLIOTT+1450+1528+{_?_}_x000D_
.born:c1450    -          Cottered (Hertfordshire) England_x000D_
.died:c1528    -          Cottered (Hertfordshire) England, age:78y 0m 0d, _x000D_
.bapt: 1785GE_x000D_
.will: 2004MO_x000D_
.obit: 1890OH_x000D_
.bury: 1850IL _x000D_
.wpbt: 1826PA_x000D_
.anc#:  quadruple ancestor_x000D_
citiz:foreign_x000D_
#spos:1_x000D_
#srcs:1_x000D_
#comment:0_x000D_
#events:1_x000D_
#kids:1_x000D_
lived:ENHERTFCOTTERE_x000D_
issue:_x000D_
.recs:Birth,Marriage,Death_x000D_
.imm?:no_x000D_
..Spo:{_?_} ELLIOTT</t>
        </r>
      </text>
    </comment>
    <comment ref="P5916" authorId="0" shapeId="0" xr:uid="{5D736376-2726-450C-BB48-80657435F45A}">
      <text>
        <r>
          <rPr>
            <sz val="9"/>
            <color indexed="81"/>
            <rFont val="Tahoma"/>
            <family val="2"/>
          </rPr>
          <t>THOMAS ELLIOTT_x000D_
http://yeinfo.com/family/I09043368.html_x000D_
https://www.google.com/search?q=THOMAS+ELLIOTT+1480+1520+MARGARET+ELIZABETH_x000D_
.born:?1480    -          Cottered (Hertfordshire) England_x000D_
.died: 1520    -1570      Bishops Bourne (Kent) England, age:40y 0m 0d, _x000D_
.bapt: 1785GE_x000D_
.will: 2004MO_x000D_
.obit: 1890OH_x000D_
.bury: 1850IL _x000D_
.wpbt: 1826PA_x000D_
.anc#:  quadruple ancestor_x000D_
citiz:foreign_x000D_
#spos:1_x000D_
#srcs:1_x000D_
#comment:0_x000D_
#events:1_x000D_
#kids:1_x000D_
lived:ENHERTFCOTTERE,ENKENT BISHOPB_x000D_
issue:_x000D_
.recs:Birth,Marriage,Death_x000D_
.imm?:no_x000D_
..Spo:MARGARET ELIZABETH WILSON</t>
        </r>
      </text>
    </comment>
    <comment ref="Q5918" authorId="0" shapeId="0" xr:uid="{07BAE219-8147-4D1A-80C0-45B7E9A4B18B}">
      <text>
        <r>
          <rPr>
            <sz val="9"/>
            <color indexed="81"/>
            <rFont val="Tahoma"/>
            <family val="2"/>
          </rPr>
          <t>Mrs. {_?_} ELLIOTT_x000D_
http://yeinfo.com/family/I09065544.html_x000D_
https://www.google.com/search?q={_?_}+ELLIOTT+1450+1480+ELLIOTT_x000D_
.born:?1450    -          _x000D_
.died: 1480    -1540     ?England, age:30y 0m 0d, _x000D_
.bapt: 1785GE_x000D_
.will: 2004MO_x000D_
.obit: 1890OH_x000D_
.bury: 1850IL _x000D_
.wpbt: 1826PA_x000D_
.anc#:  quadruple ancestor_x000D_
citiz:foreign_x000D_
#spos:1_x000D_
#srcs:0_x000D_
#comment:0_x000D_
#events:1_x000D_
#kids:1_x000D_
lived:?EN_x000D_
issue:_x000D_
.recs:Birth,Marriage,Death_x000D_
.imm?:no_x000D_
..Spo:WILLIAM ELLIOTT</t>
        </r>
      </text>
    </comment>
    <comment ref="O5920" authorId="0" shapeId="0" xr:uid="{BC0DFBEC-A3B2-47AB-B8B7-4C6BA8F34162}">
      <text>
        <r>
          <rPr>
            <sz val="9"/>
            <color indexed="81"/>
            <rFont val="Tahoma"/>
            <family val="2"/>
          </rPr>
          <t>SIMON\EDWARD ELLIOTT_x000D_
http://yeinfo.com/family/I09021684.html_x000D_
https://www.google.com/search?q=SIMON\EDWARD+ELLIOTT+1520+1573+JANE_x000D_
.born:c1520    -          Hertfordshire county England_x000D_
.died: 1573    -1610      Hertfordshire county England, age:53y 0m 0d, _x000D_
.bapt: 1785GE_x000D_
.will: 2004MO_x000D_
.obit: 1890OH_x000D_
.bury: 1850IL _x000D_
.wpbt: 1826PA_x000D_
.anc#:  quadruple ancestor_x000D_
citiz:foreign_x000D_
#spos:1_x000D_
#srcs:1_x000D_
#comment:1_x000D_
#events:1_x000D_
#kids:1_x000D_
lived:ENHERTF_x000D_
issue:_x000D_
.recs:Birth,Marriage,Death_x000D_
.imm?:no_x000D_
..Spo:JANE GEDGE</t>
        </r>
      </text>
    </comment>
    <comment ref="P5922" authorId="0" shapeId="0" xr:uid="{B46A0EBA-D3F6-4552-BC15-1B5CBBD7041B}">
      <text>
        <r>
          <rPr>
            <sz val="9"/>
            <color indexed="81"/>
            <rFont val="Tahoma"/>
            <family val="2"/>
          </rPr>
          <t>MARGARET ELIZABETH WILSON_x000D_
http://yeinfo.com/family/I09043369.html_x000D_
https://www.google.com/search?q=MARGARET+ELIZABETH+WILSON+1488+1560+ELLIOTT_x000D_
.born:c1488    -          Bishops Bourne (Kent) England_x000D_
.died:c1560    -          Bishops Bourne (Kent) England, age:72y 0m 0d, _x000D_
.bapt: 1785GE_x000D_
.will: 2004MO_x000D_
.obit: 1890OH_x000D_
.bury: 1850IL _x000D_
.wpbt: 1826PA_x000D_
.anc#:  quadruple ancestor_x000D_
citiz:foreign_x000D_
#spos:1_x000D_
#srcs:1_x000D_
#comment:0_x000D_
#events:1_x000D_
#kids:1_x000D_
lived:ENKENT BISHOPB_x000D_
issue:Died after Age 100_x000D_
.recs:Birth,Marriage,Death_x000D_
.imm?:no_x000D_
..Spo:THOMAS ELLIOTT</t>
        </r>
      </text>
    </comment>
    <comment ref="N5924" authorId="0" shapeId="0" xr:uid="{E46B2987-1C6F-4166-85CA-1C946C208BC3}">
      <text>
        <r>
          <rPr>
            <sz val="9"/>
            <color indexed="81"/>
            <rFont val="Tahoma"/>
            <family val="2"/>
          </rPr>
          <t>BENNETT\PHILIP ELLIOTT_x000D_
http://yeinfo.com/family/I09010842.html_x000D_
https://www.google.com/search?q=BENNETT\PHILIP+ELLIOTT+1573+1621+LETTEYE\LETTICE_x000D_
.born: 15731030-          _x000D_
.died: 16211120-          Nazeing (Essex) England, age:48y 0m 21d, _x000D_
.bapt: 1785GE_x000D_
.will: 2004MO_x000D_
.obit: 1890OH_x000D_
.bury: 1850IL _x000D_
.wpbt: 1826PA_x000D_
.anc#:  quadruple ancestor_x000D_
citiz:US born_x000D_
#spos:1_x000D_
#srcs:3_x000D_
#comment:2_x000D_
#events:1_x000D_
#kids:4_x000D_
lived:ENESSEXNAZEING_x000D_
issue:_x000D_
.recs:Birth,Marriage,Death_x000D_
.imm?:no_x000D_
..Spo:LETTEYE\LETTICE AGGAR</t>
        </r>
      </text>
    </comment>
    <comment ref="O5926" authorId="0" shapeId="0" xr:uid="{8710925E-2A2A-4E82-AF70-9C9FAC523436}">
      <text>
        <r>
          <rPr>
            <sz val="9"/>
            <color indexed="81"/>
            <rFont val="Tahoma"/>
            <family val="2"/>
          </rPr>
          <t>JANE GEDGE_x000D_
http://yeinfo.com/family/I09021685.html_x000D_
https://www.google.com/search?q=JANE+GEDGE+1535+1573+ELLIOTT_x000D_
.born: 1535    -          Hunsdon (Hertfordshire) England_x000D_
.died: 1573    -1625      Hertfordshire county England, age:38y 0m 0d, _x000D_
.bapt: 1785GE_x000D_
.will: 2004MO_x000D_
.obit: 1890OH_x000D_
.bury: 1850IL _x000D_
.wpbt: 1826PA_x000D_
.anc#:  quadruple ancestor_x000D_
citiz:foreign_x000D_
#spos:1_x000D_
#srcs:1_x000D_
#comment:1_x000D_
#events:1_x000D_
#kids:1_x000D_
lived:ENHERTFHUNSDON_x000D_
issue:_x000D_
.recs:Birth,Marriage,Death_x000D_
.imm?:no_x000D_
..Spo:SIMON\EDWARD ELLIOTT</t>
        </r>
      </text>
    </comment>
    <comment ref="M5928" authorId="0" shapeId="0" xr:uid="{C8DC199B-1C5F-42B4-9B4F-210C04601744}">
      <text>
        <r>
          <rPr>
            <sz val="9"/>
            <color indexed="81"/>
            <rFont val="Tahoma"/>
            <family val="2"/>
          </rPr>
          <t>LYDIA ELLIOTTT_x000D_
http://yeinfo.com/family/I09002887.html_x000D_
https://www.google.com/search?q=LYDIA+ELLIOTTT+1610+1676+PENNIMAN_x000D_
.born: 16100701-          Nazeing (Essex) England_x000D_
.died: 1676    -          Medfield (Norfolk) Massachusetts, age:65y 6m 0d, _x000D_
.bapt: 1785GE_x000D_
.will: 2004MO_x000D_
.obit: 1890OH_x000D_
.bury: 1850IL _x000D_
.wpbt: 1826PA_x000D_
.anc#:ancestor_x000D_
citiz:immigrant_x000D_
#spos:1_x000D_
#srcs:1_x000D_
#comment:1_x000D_
#events:1_x000D_
#kids:1_x000D_
lived:ENESSEXHIGH LA,ENESSEXNAZEING,MANORFOMEDFIEL_x000D_
issue:_x000D_
.recs:Birth,Marriage,Death_x000D_
.imm?:immigrant_x000D_
..Spo:JAMES PENNIMAN</t>
        </r>
      </text>
    </comment>
    <comment ref="P5930" authorId="0" shapeId="0" xr:uid="{41E22A72-FAD1-4542-87D3-006BCD27E2FD}">
      <text>
        <r>
          <rPr>
            <sz val="9"/>
            <color indexed="81"/>
            <rFont val="Tahoma"/>
            <family val="2"/>
          </rPr>
          <t>ROBERT AGGAR_x000D_
http://yeinfo.com/family/I09043372.html_x000D_
https://www.google.com/search?q=ROBERT+AGGAR+1525+1557+JOANE_x000D_
.born: 1525    -          Nazeing (Essex) England_x000D_
.died: 1557    -          Nazeing (Essex) England, age:32y 0m 0d, _x000D_
.bapt: 1785GE_x000D_
.will: 2004MO_x000D_
.obit: 1890OH_x000D_
.bury: 1850IL _x000D_
.wpbt: 1826PA_x000D_
.anc#:  quadruple ancestor_x000D_
citiz:foreign_x000D_
#spos:1_x000D_
#srcs:2_x000D_
#comment:0_x000D_
#events:1_x000D_
#kids:1_x000D_
lived:ENESSEXNAZEING_x000D_
issue:_x000D_
.recs:Birth,Marriage,Death_x000D_
.imm?:no_x000D_
..Spo:JOANE FYNCH</t>
        </r>
      </text>
    </comment>
    <comment ref="O5932" authorId="0" shapeId="0" xr:uid="{A6FC993C-2204-4699-8600-3375A8B5EA00}">
      <text>
        <r>
          <rPr>
            <sz val="9"/>
            <color indexed="81"/>
            <rFont val="Tahoma"/>
            <family val="2"/>
          </rPr>
          <t>FRANCIS AGGAR_x000D_
http://yeinfo.com/family/I09021686.html_x000D_
https://www.google.com/search?q=FRANCIS+AGGAR+1544+1582+LETTICE\ELNOR+LETTICE_x000D_
.born:c1544    -          England_x000D_
.died: 1582    -          England, age:38y 0m 0d, _x000D_
.bapt: 1785GE_x000D_
.will: 2004MO_x000D_
.obit: 1890OH_x000D_
.bury: 1850IL _x000D_
.wpbt: 1826PA_x000D_
.anc#:  quadruple ancestor_x000D_
citiz:foreign_x000D_
#spos:1_x000D_
#srcs:3_x000D_
#comment:0_x000D_
#events:1_x000D_
#kids:1_x000D_
lived:ENESSEX_x000D_
issue:_x000D_
.recs:Birth,Marriage,Death_x000D_
.imm?:no_x000D_
..Spo:LETTICE\ELNOR LETTICE PEACOCK</t>
        </r>
      </text>
    </comment>
    <comment ref="P5934" authorId="0" shapeId="0" xr:uid="{9ED782DF-18EC-4EE3-B57F-8EC13F82EFF0}">
      <text>
        <r>
          <rPr>
            <sz val="9"/>
            <color indexed="81"/>
            <rFont val="Tahoma"/>
            <family val="2"/>
          </rPr>
          <t>Mrs. JOANE FYNCH_x000D_
http://yeinfo.com/family/I09043373.html_x000D_
https://www.google.com/search?q=JOANE+FYNCH+1525+1560+AGGAR_x000D_
.born: 1525    -          Nazeing (Essex) England_x000D_
.died: 1560    -          Nazeing (Essex) England, age:35y 0m 0d, _x000D_
.bapt: 1785GE_x000D_
.will: 2004MO_x000D_
.obit: 1890OH_x000D_
.bury: 1850IL Stanford Rivers_x000D_
.wpbt: 1826PA_x000D_
.anc#:  quadruple ancestor_x000D_
citiz:foreign_x000D_
#spos:1_x000D_
#srcs:2_x000D_
#comment:0_x000D_
#events:2_x000D_
#kids:1_x000D_
lived:ENESSEXKELVKEL,ENESSEXNAZEING_x000D_
issue:_x000D_
.recs:Birth,Marriage,Death,Interment/Burial_x000D_
.imm?:no_x000D_
..Spo:ROBERT AGGAR</t>
        </r>
      </text>
    </comment>
    <comment ref="N5936" authorId="0" shapeId="0" xr:uid="{F3FBDB8A-5081-4ED2-81A8-E63E12A452B9}">
      <text>
        <r>
          <rPr>
            <sz val="9"/>
            <color indexed="81"/>
            <rFont val="Tahoma"/>
            <family val="2"/>
          </rPr>
          <t>LETTEYE\LETTICE AGGAR_x000D_
http://yeinfo.com/family/I09010843.html_x000D_
https://www.google.com/search?q=LETTEYE\LETTICE+AGGAR+1577+1621+ELLIOTT_x000D_
.born: 1577    -          Nazeing (Essex) England_x000D_
.died: 16210316-          Nazeing (Essex) England, age:44y 2m 15d, _x000D_
.bapt: 1785GE_x000D_
.will: 2004MO_x000D_
.obit: 1890OH_x000D_
.bury: 1850IL _x000D_
.wpbt: 1826PA_x000D_
.anc#:  quadruple ancestor_x000D_
citiz:foreign_x000D_
#spos:1_x000D_
#srcs:6_x000D_
#comment:2_x000D_
#events:1_x000D_
#kids:4_x000D_
lived:ENESSEXNAZEING_x000D_
issue:_x000D_
.recs:Birth,Marriage,Death_x000D_
.imm?:no_x000D_
..Spo:BENNETT\PHILIP ELLIOTT</t>
        </r>
      </text>
    </comment>
    <comment ref="P5938" authorId="0" shapeId="0" xr:uid="{08D802A5-1FE9-4AAF-A5FB-797752DFE769}">
      <text>
        <r>
          <rPr>
            <sz val="9"/>
            <color indexed="81"/>
            <rFont val="Tahoma"/>
            <family val="2"/>
          </rPr>
          <t>THOMAS HENRY PEACOCK_x000D_
http://yeinfo.com/family/I09043374.html_x000D_
https://www.google.com/search?q=THOMAS+HENRY+PEACOCK+1500+1583+ELEANOR_x000D_
.born: 1500    -          Waltham Abbey (Essex) England_x000D_
.died: 1583    -          England, age:83y 0m 0d, _x000D_
.bapt: 1785GE_x000D_
.will: 2004MO_x000D_
.obit: 1890OH_x000D_
.bury: 1850IL _x000D_
.wpbt: 1826PA_x000D_
.anc#:  quadruple ancestor_x000D_
citiz:foreign_x000D_
#spos:1_x000D_
#srcs:2_x000D_
#comment:0_x000D_
#events:1_x000D_
#kids:1_x000D_
lived:ENESSEXWALTHAA_x000D_
issue:_x000D_
.recs:Birth,Marriage,Death_x000D_
.imm?:no_x000D_
..Spo:ELEANOR WRIGHT</t>
        </r>
      </text>
    </comment>
    <comment ref="O5940" authorId="0" shapeId="0" xr:uid="{A4929C2C-C97E-42B0-9A29-3D5336C7DA8F}">
      <text>
        <r>
          <rPr>
            <sz val="9"/>
            <color indexed="81"/>
            <rFont val="Tahoma"/>
            <family val="2"/>
          </rPr>
          <t>LETTICE\ELNOR LETTICE PEACOCK_x000D_
http://yeinfo.com/family/I09021687.html_x000D_
https://www.google.com/search?q=LETTICE\ELNOR+LETTICE+PEACOCK+1551+1621+AGGAR_x000D_
.born: 1551    -          Coggeshall (Essex) England_x000D_
.died: 162103  -          London (Middlesex) England, age:70y 2m 0d, _x000D_
.bapt: 1785GE_x000D_
.will: 2004MO_x000D_
.obit: 1890OH_x000D_
.bury: 1850IL _x000D_
.wpbt: 1826PA_x000D_
.anc#:  quadruple ancestor_x000D_
citiz:foreign_x000D_
#spos:1_x000D_
#srcs:2_x000D_
#comment:0_x000D_
#events:1_x000D_
#kids:1_x000D_
lived:ENESSEXCOGGESH,ENMIDDLLONDON_x000D_
issue:_x000D_
.recs:Birth,Marriage,Death_x000D_
.imm?:no_x000D_
..Spo:FRANCIS AGGAR</t>
        </r>
      </text>
    </comment>
    <comment ref="P5942" authorId="0" shapeId="0" xr:uid="{EEDCF986-91A2-43C2-98A8-6941FABC3B93}">
      <text>
        <r>
          <rPr>
            <sz val="9"/>
            <color indexed="81"/>
            <rFont val="Tahoma"/>
            <family val="2"/>
          </rPr>
          <t>ELEANOR WRIGHT_x000D_
http://yeinfo.com/family/I09043375.html_x000D_
https://www.google.com/search?q=ELEANOR+WRIGHT+1530+1551+PEACOCK_x000D_
.born: 1530    -          Waltham Abbey (Essex) England_x000D_
.died: 1551    -1620      Nazeing (Essex) England, age:21y 0m 0d, _x000D_
.bapt: 1785GE_x000D_
.will: 2004MO_x000D_
.obit: 1890OH_x000D_
.bury: 1850IL _x000D_
.wpbt: 1826PA_x000D_
.anc#:  quadruple ancestor_x000D_
citiz:foreign_x000D_
#spos:1_x000D_
#srcs:1_x000D_
#comment:0_x000D_
#events:1_x000D_
#kids:1_x000D_
lived:ENESSEXNAZEING,ENESSEXWALTHAA_x000D_
issue:Died after Age 100_x000D_
.recs:Birth,Marriage,Death_x000D_
.imm?:no_x000D_
..Spo:THOMAS HENRY PEACOCK</t>
        </r>
      </text>
    </comment>
    <comment ref="I5944" authorId="0" shapeId="0" xr:uid="{73C07AEF-C6C1-4587-89F6-AE581915EE65}">
      <text>
        <r>
          <rPr>
            <sz val="9"/>
            <color indexed="81"/>
            <rFont val="Tahoma"/>
            <family val="2"/>
          </rPr>
          <t>JOSIAH DEAN_x000D_
http://yeinfo.com/family/I09000180.html_x000D_
https://www.google.com/search?q=JOSIAH+DEAN+1736+1801+ABIGAIL_x000D_
.born: 17360121-          Dedham (Norfolk) Massachusetts_x000D_
.died: 1801    -          Upton (Worcester) Massachusetts, age:64y 11m 11d, _x000D_
.bapt: 1785GE_x000D_
.will: 2004MO_x000D_
.obit: 1890OH_x000D_
.bury: 1850IL _x000D_
.wpbt: 1826PA_x000D_
.anc#:ancestor_x000D_
citiz:US born_x000D_
#spos:1_x000D_
#srcs:2_x000D_
#comment:1_x000D_
#events:4_x000D_
#kids:9_x000D_
lived:MANORFODEDHAM,MASUFFODEDHAM,MAWORCEUPTON_x000D_
issue:_x000D_
.recs:Birth,Baptism,Marriage Intention/Bonds,Death_x000D_
.imm?:no_x000D_
..Spo:ABIGAIL RICHARDS</t>
        </r>
      </text>
    </comment>
    <comment ref="M5946" authorId="0" shapeId="0" xr:uid="{6C9EDF20-57DA-4F92-8E45-90464CC61107}">
      <text>
        <r>
          <rPr>
            <sz val="9"/>
            <color indexed="81"/>
            <rFont val="Tahoma"/>
            <family val="2"/>
          </rPr>
          <t>JOHN DWIGHT_x000D_
http://yeinfo.com/family/I09002888.html_x000D_
https://www.google.com/search?q=JOHN+DWIGHT+1603+1660+HANNAH_x000D_
.born:c1603    -          Suffolk county England_x000D_
.died: 16600124-          Dedham (Norfolk) Massachusetts, age:57y 0m 23d, _x000D_
.bapt: 1785GE_x000D_
.will: 2004MO_x000D_
.obit: 1890OH_x000D_
.bury: 1850IL _x000D_
.wpbt: 1826PA_x000D_
.anc#:ancestor_x000D_
citiz:immigrant_x000D_
#spos:1_x000D_
#srcs:1_x000D_
#comment:1_x000D_
#events:1_x000D_
#kids:1_x000D_
lived:ENSUFFO,MANORFODEDHAM_x000D_
issue:_x000D_
.recs:Birth,Marriage,Death_x000D_
.imm?:immigrant_x000D_
..Spo:HANNAH CLOVES</t>
        </r>
      </text>
    </comment>
    <comment ref="L5948" authorId="0" shapeId="0" xr:uid="{9DB24952-DCFE-4188-A202-E2EEF289B037}">
      <text>
        <r>
          <rPr>
            <sz val="9"/>
            <color indexed="81"/>
            <rFont val="Tahoma"/>
            <family val="2"/>
          </rPr>
          <t>TIMOTHY DWIGHT_x000D_
http://yeinfo.com/family/I09001444.html_x000D_
https://www.google.com/search?q=TIMOTHY+DWIGHT+1631+1717+ANNA_x000D_
.born: 1631    -          Woolverstone (Suffolk) England_x000D_
.died: 17170131-          Dedham (Norfolk) Massachusetts, age:86y 0m 30d, _x000D_
.bapt: 1785GE_x000D_
.will: 2004MO_x000D_
.obit: 1890OH_x000D_
.bury: 1850IL _x000D_
.wpbt: 1826PA_x000D_
.anc#:ancestor_x000D_
citiz:immigrant_x000D_
#spos:1_x000D_
#srcs:1_x000D_
#comment:0_x000D_
#events:1_x000D_
#kids:1_x000D_
lived:ENSUFFOWOOLVER,MANORFODEDHAM_x000D_
issue:_x000D_
.recs:Birth,Marriage,Death_x000D_
.imm?:immigrant_x000D_
..Spo:ANNA FLINT</t>
        </r>
      </text>
    </comment>
    <comment ref="M5950" authorId="0" shapeId="0" xr:uid="{03A70F3E-455C-4003-8E39-3B6914FFFE32}">
      <text>
        <r>
          <rPr>
            <sz val="9"/>
            <color indexed="81"/>
            <rFont val="Tahoma"/>
            <family val="2"/>
          </rPr>
          <t>HANNAH CLOVES_x000D_
http://yeinfo.com/family/I09002889.html_x000D_
https://www.google.com/search?q=HANNAH+CLOVES+1604+1656+DWIGHT_x000D_
.born: 1604    -          Woolverstone (Suffolk) England_x000D_
.died: 16560905-          Dedham (Norfolk) Massachusetts, age:52y 8m 4d, _x000D_
.bapt: 1785GE_x000D_
.will: 2004MO_x000D_
.obit: 1890OH_x000D_
.bury: 1850IL _x000D_
.wpbt: 1826PA_x000D_
.anc#:ancestor_x000D_
citiz:immigrant_x000D_
#spos:1_x000D_
#srcs:1_x000D_
#comment:2_x000D_
#events:1_x000D_
#kids:1_x000D_
lived:ENSUFFOWOOLVER,MANORFODEDHAM_x000D_
issue:_x000D_
.recs:Birth,Marriage,Death_x000D_
.imm?:immigrant_x000D_
..Spo:JOHN DWIGHT</t>
        </r>
      </text>
    </comment>
    <comment ref="K5952" authorId="0" shapeId="0" xr:uid="{820EB206-B16E-4240-BF22-D17F479CEA6A}">
      <text>
        <r>
          <rPr>
            <sz val="9"/>
            <color indexed="81"/>
            <rFont val="Tahoma"/>
            <family val="2"/>
          </rPr>
          <t>MICHAEL DWIGHT_x000D_
http://yeinfo.com/family/I09000722.html_x000D_
https://www.google.com/search?q=MICHAEL+DWIGHT+1679+1760+RACHEL_x000D_
.born: 16790110-          Dedham (Norfolk) Massachusetts_x000D_
.died: 17600923-          Norton (Bristol) Massachusetts, age:81y 8m 13d, _x000D_
.bapt: 1785GE_x000D_
.will: 2004MO_x000D_
.obit: 1890OH_x000D_
.bury: 1850IL _x000D_
.wpbt: 1826PA_x000D_
.anc#:ancestor_x000D_
citiz:US born_x000D_
#spos:1_x000D_
#srcs:3_x000D_
#comment:0_x000D_
#events:1_x000D_
#kids:6_x000D_
lived:MABRISTNORTON,MANORFODEDHAM_x000D_
issue:_x000D_
.recs:Birth,Marriage,Death_x000D_
.imm?:no_x000D_
..Spo:RACHEL AVERY</t>
        </r>
      </text>
    </comment>
    <comment ref="M5954" authorId="0" shapeId="0" xr:uid="{60DCB31D-63DA-4E7A-AE50-5DDEC8A96D88}">
      <text>
        <r>
          <rPr>
            <sz val="9"/>
            <color indexed="81"/>
            <rFont val="Tahoma"/>
            <family val="2"/>
          </rPr>
          <t>HENRY FLINT_x000D_
http://yeinfo.com/family/I09002890.html_x000D_
https://www.google.com/search?q=HENRY+FLINT+1606+1668+MARGARY_x000D_
.born: 1606    -          Matlock (Derbyshire) England_x000D_
.died: 16680427-          Braintree (Norfolk) Massachusetts, age:62y 3m 26d, _x000D_
.bapt: 1785GE_x000D_
.will: 2004MO_x000D_
.obit: 1890OH_x000D_
.bury: 1850IL _x000D_
.wpbt: 1826PA_x000D_
.anc#:ancestor_x000D_
citiz:immigrant_x000D_
#spos:1_x000D_
#srcs:3_x000D_
#comment:1_x000D_
#events:1_x000D_
#kids:1_x000D_
lived:ENDERBSMATLOCK,MANORFOBRAINTR_x000D_
issue:Died after Age 100_x000D_
.recs:Birth,Marriage,Death_x000D_
.imm?:immigrant_x000D_
..Spo:MARGARY HOAR</t>
        </r>
      </text>
    </comment>
    <comment ref="L5956" authorId="0" shapeId="0" xr:uid="{66904B9A-7B82-42AE-BBA7-AA4E286356F2}">
      <text>
        <r>
          <rPr>
            <sz val="9"/>
            <color indexed="81"/>
            <rFont val="Tahoma"/>
            <family val="2"/>
          </rPr>
          <t>ANNA FLINT_x000D_
http://yeinfo.com/family/I09001445.html_x000D_
https://www.google.com/search?q=ANNA+FLINT+1643+1686+DWIGHT_x000D_
.born: 16430107-          Braintree (Norfolk) Massachusetts_x000D_
.died: 16860129-          Dedham (Norfolk) Massachusetts, age:43y 0m 22d, _x000D_
.bapt: 1785GE_x000D_
.will: 2004MO_x000D_
.obit: 1890OH_x000D_
.bury: 1850IL _x000D_
.wpbt: 1826PA_x000D_
.anc#:ancestor_x000D_
citiz:US born_x000D_
#spos:1_x000D_
#srcs:1_x000D_
#comment:0_x000D_
#events:1_x000D_
#kids:1_x000D_
lived:MANORFOBRAINTR,MANORFODEDHAM_x000D_
issue:_x000D_
.recs:Birth,Marriage,Death_x000D_
.imm?:no_x000D_
..Spo:TIMOTHY DWIGHT</t>
        </r>
      </text>
    </comment>
    <comment ref="O5958" authorId="0" shapeId="0" xr:uid="{446D178D-FCA8-4AF1-A369-31ABD89F1834}">
      <text>
        <r>
          <rPr>
            <sz val="9"/>
            <color indexed="81"/>
            <rFont val="Tahoma"/>
            <family val="2"/>
          </rPr>
          <t>CHARLES HOAR_x000D_
http://yeinfo.com/family/I09011452.html_x000D_
https://www.google.com/search?q=CHARLES+HOAR+1568+1632+MARGERY_x000D_
.born:?1568    -         ?Gloucester (Gloucestershire) England_x000D_
.died:?1632    -          Gloucester (Gloucestershire) England, age:64y 0m 0d, _x000D_
.bapt: 1785GE_x000D_
.will: 2004MO_x000D_
.obit: 1890OH_x000D_
.bury: 1850IL _x000D_
.wpbt: 1826PA_x000D_
.anc#:double ancestor_x000D_
citiz:foreign_x000D_
#spos:1_x000D_
#srcs:3_x000D_
#comment:1_x000D_
#events:3_x000D_
#kids:4_x000D_
lived:?ENGLOUSGLOUCES,EN_x000D_
issue:_x000D_
.recs:Birth,Marriage,Job/Occupation,Will Written,Death_x000D_
.imm?:no_x000D_
..Spo:MARGERY HOAR</t>
        </r>
      </text>
    </comment>
    <comment ref="N5960" authorId="0" shapeId="0" xr:uid="{BA08ED1F-89C3-411F-BC54-2A5B64495615}">
      <text>
        <r>
          <rPr>
            <sz val="9"/>
            <color indexed="81"/>
            <rFont val="Tahoma"/>
            <family val="2"/>
          </rPr>
          <t>CHARLES HOAR_x000D_
http://yeinfo.com/family/I09005726.html_x000D_
https://www.google.com/search?q=CHARLES+HOAR+1592+1638+JOANNA_x000D_
.born:?1592    -          Gloucester (Gloucestershire) England_x000D_
.died: 1638    -          Gloucester (Gloucestershire) England, age:46y 0m 0d, _x000D_
.bapt: 1785GE_x000D_
.will: 2004MO_x000D_
.obit: 1890OH_x000D_
.bury: 1850IL _x000D_
.wpbt: 1826PA_x000D_
.anc#:double ancestor_x000D_
citiz:foreign_x000D_
#spos:1_x000D_
#srcs:4_x000D_
#comment:2_x000D_
#events:7_x000D_
#kids:6_x000D_
lived:ENGLOUSGLOUCES_x000D_
issue:_x000D_
.recs:Birth,Marriage,Job/Occupation,Will Written,Death_x000D_
.imm?:no_x000D_
..Spo:JOANNA HINCKSMAN</t>
        </r>
      </text>
    </comment>
    <comment ref="O5962" authorId="0" shapeId="0" xr:uid="{2BB5D226-1157-4FD3-9539-DA97509CA6CA}">
      <text>
        <r>
          <rPr>
            <sz val="9"/>
            <color indexed="81"/>
            <rFont val="Tahoma"/>
            <family val="2"/>
          </rPr>
          <t>Mrs. MARGERY HOAR_x000D_
http://yeinfo.com/family/I09011453.html_x000D_
https://www.google.com/search?q=MARGERY+HOAR+1570+1594+HOAR_x000D_
.born:?1570    -         ?Gloucester (Gloucestershire) England_x000D_
.died: 1594    -1660     ?Gloucester (Gloucestershire) England, age:24y 0m 0d, _x000D_
.bapt: 1785GE_x000D_
.will: 2004MO_x000D_
.obit: 1890OH_x000D_
.bury: 1850IL _x000D_
.wpbt: 1826PA_x000D_
.anc#:double ancestor_x000D_
citiz:foreign_x000D_
#spos:1_x000D_
#srcs:2_x000D_
#comment:0_x000D_
#events:1_x000D_
#kids:4_x000D_
lived:?ENGLOUSGLOUCES_x000D_
issue:_x000D_
.recs:Birth,Marriage,Death_x000D_
.imm?:no_x000D_
..Spo:CHARLES HOAR</t>
        </r>
      </text>
    </comment>
    <comment ref="M5964" authorId="0" shapeId="0" xr:uid="{D10B0B3C-820A-4161-B29B-C8AA174CAAD1}">
      <text>
        <r>
          <rPr>
            <sz val="9"/>
            <color indexed="81"/>
            <rFont val="Tahoma"/>
            <family val="2"/>
          </rPr>
          <t>MARGARY HOAR_x000D_
http://yeinfo.com/family/I09002891.html_x000D_
https://www.google.com/search?q=MARGARY+HOAR+1614+1686+Matthews+HENRY_x000D_
.born: 1614    -          Gloucester (Gloucestershire) England_x000D_
.died: 16860310-          Braintree (Norfolk) Massachusetts, age:72y 2m 9d, _x000D_
.bapt: 1785GE_x000D_
.will: 2004MO_x000D_
.obit: 1890OH_x000D_
.bury: 1850IL _x000D_
.wpbt: 1826PA_x000D_
.anc#:ancestor_x000D_
citiz:immigrant_x000D_
#spos:2_x000D_
#srcs:3_x000D_
#comment:1_x000D_
#events:2_x000D_
#kids:1_x000D_
lived:ENDERBS,ENGLOUSGLOUCES,MANORFOBRAINTR_x000D_
issue:Born before Parents Married_x000D_
.recs:Birth,Marriage,Death_x000D_
.imm?:immigrant_x000D_
..Spo:John Matthews</t>
        </r>
      </text>
    </comment>
    <comment ref="N5966" authorId="0" shapeId="0" xr:uid="{C5F867B3-7708-4F5A-BE3B-D863ADAFC242}">
      <text>
        <r>
          <rPr>
            <sz val="9"/>
            <color indexed="81"/>
            <rFont val="Tahoma"/>
            <family val="2"/>
          </rPr>
          <t>JOANNA HINCKSMAN_x000D_
http://yeinfo.com/family/I09005727.html_x000D_
https://www.google.com/search?q=JOANNA+HINCKSMAN+1592+1651+HOAR_x000D_
.born:?1592    -         ?Gloucester (Gloucestershire) England_x000D_
.died: 16510921-          Braintree (Norfolk) Massachusetts, age:59y 8m 20d, _x000D_
.bapt: 1785GE_x000D_
.will: 2004MO_x000D_
.obit: 1890OH_x000D_
.bury: 1850IL Quincy Burying Ground_x000D_
.wpbt: 1826PA_x000D_
.anc#:double ancestor_x000D_
citiz:immigrant_x000D_
#spos:1_x000D_
#srcs:6_x000D_
#comment:1_x000D_
#events:3_x000D_
#kids:6_x000D_
lived:?ENGLOUSGLOUCES,EN,MANORFOBRAINTR_x000D_
issue:_x000D_
.recs:Birth,Death,Immigrate_x000D_
.imm?:immigrant_x000D_
..Spo:CHARLES HOAR</t>
        </r>
      </text>
    </comment>
    <comment ref="J5968" authorId="0" shapeId="0" xr:uid="{064E9726-9BB5-4C18-A931-E839E130BD89}">
      <text>
        <r>
          <rPr>
            <sz val="9"/>
            <color indexed="81"/>
            <rFont val="Tahoma"/>
            <family val="2"/>
          </rPr>
          <t>RACHAEL DWIGHT_x000D_
http://yeinfo.com/family/I09000361.html_x000D_
https://www.google.com/search?q=RACHAEL+DWIGHT+1705+1760+DEAN_x000D_
.born: 17050617-          Dedham (Norfolk) Massachusetts_x000D_
.died: 17600923-          Norton (Bristol) Massachusetts, age:55y 3m 6d, _x000D_
.bapt: 1785GE_x000D_
.will: 2004MO_x000D_
.obit: 1890OH_x000D_
.bury: 1850IL _x000D_
.wpbt: 1826PA_x000D_
.anc#:ancestor_x000D_
citiz:US born_x000D_
#spos:1_x000D_
#srcs:2_x000D_
#comment:0_x000D_
#events:1_x000D_
#kids:7_x000D_
lived:MABRISTNORTON,MANORFODEDHAM_x000D_
issue:_x000D_
.recs:Birth,Marriage,Death_x000D_
.imm?:no_x000D_
..Spo:SAMUEL DEAN</t>
        </r>
      </text>
    </comment>
    <comment ref="M5970" authorId="0" shapeId="0" xr:uid="{A89A67AA-31BA-45A4-8932-D822AF877E65}">
      <text>
        <r>
          <rPr>
            <sz val="9"/>
            <color indexed="81"/>
            <rFont val="Tahoma"/>
            <family val="2"/>
          </rPr>
          <t>WILLIAM AVERY_x000D_
http://yeinfo.com/family/I09002892.html_x000D_
https://www.google.com/search?q=WILLIAM+AVERY+1622+1686+MARGARET+Workmansee_x000D_
.born: 16220724-          Warwickshire county England_x000D_
.died: 16860318-          Boston (Suffolk) Massachusetts, age:63y 7m 22d, _x000D_
.bapt: 1785GE_x000D_
.will: 2004MO_x000D_
.obit: 1890OH_x000D_
.bury: 1850IL _x000D_
.wpbt: 1826PA_x000D_
.anc#:ancestor_x000D_
citiz:immigrant_x000D_
#spos:2_x000D_
#srcs:1_x000D_
#comment:1_x000D_
#events:2_x000D_
#kids:1_x000D_
lived:ENNORFO,ENWARWE,MASUFFOBOSTON_x000D_
issue:_x000D_
.recs:Birth,Marriage,Death_x000D_
.imm?:immigrant_x000D_
..Spo:MARGARET ALBRIGHT</t>
        </r>
      </text>
    </comment>
    <comment ref="L5972" authorId="0" shapeId="0" xr:uid="{FDACE296-0882-4660-A47D-8FAAF7D3B85B}">
      <text>
        <r>
          <rPr>
            <sz val="9"/>
            <color indexed="81"/>
            <rFont val="Tahoma"/>
            <family val="2"/>
          </rPr>
          <t>ROBERT AVERY_x000D_
http://yeinfo.com/family/I09001446.html_x000D_
https://www.google.com/search?q=ROBERT+AVERY+1649+1722+ELIZABETH_x000D_
.born: 16491207-          Barkham (Berkshire) England_x000D_
.died: 17221004-          Dedham (Norfolk) Massachusetts, age:72y 9m 27d, _x000D_
.bapt: 1785GE_x000D_
.will: 2004MO_x000D_
.obit: 1890OH_x000D_
.bury: 1850IL _x000D_
.wpbt: 1826PA_x000D_
.anc#:ancestor_x000D_
citiz:immigrant_x000D_
#spos:1_x000D_
#srcs:1_x000D_
#comment:0_x000D_
#events:1_x000D_
#kids:1_x000D_
lived:?MANORFODEDHAM,ENBERKIBARKHAM_x000D_
issue:_x000D_
.recs:Birth,Marriage,Death_x000D_
.imm?:immigrant_x000D_
..Spo:ELIZABETH LANE</t>
        </r>
      </text>
    </comment>
    <comment ref="O5974" authorId="0" shapeId="0" xr:uid="{FBE8D317-7BC2-4A1E-89CC-20D0FAD28629}">
      <text>
        <r>
          <rPr>
            <sz val="9"/>
            <color indexed="81"/>
            <rFont val="Tahoma"/>
            <family val="2"/>
          </rPr>
          <t>WILLIAM ALBRIGHT Sr._x000D_
http://yeinfo.com/family/I09011572.html_x000D_
https://www.google.com/search?q=WILLIAM+ALBRIGHT+1562+1599+MARGERY_x000D_
.born:?1562    -         ?England_x000D_
.died: 1599    -1650     ?England, age:37y 0m 0d, _x000D_
.bapt: 1785GE_x000D_
.will: 2004MO_x000D_
.obit: 1890OH_x000D_
.bury: 1850IL _x000D_
.wpbt: 1826PA_x000D_
.anc#:ancestor_x000D_
citiz:foreign_x000D_
#spos:1_x000D_
#srcs:1_x000D_
#comment:0_x000D_
#events:1_x000D_
#kids:1_x000D_
lived:?EN,ENBERKIHURST_x000D_
issue:_x000D_
.recs:Birth,Marriage,Death_x000D_
.imm?:no_x000D_
..Spo:MARGERY NETHERCLIFTE</t>
        </r>
      </text>
    </comment>
    <comment ref="N5976" authorId="0" shapeId="0" xr:uid="{49F372C5-8C48-4F3C-B45C-9801E6F0F86F}">
      <text>
        <r>
          <rPr>
            <sz val="9"/>
            <color indexed="81"/>
            <rFont val="Tahoma"/>
            <family val="2"/>
          </rPr>
          <t>WILLIAM ALBRIGHT Jr._x000D_
http://yeinfo.com/family/I09005786.html_x000D_
https://www.google.com/search?q=WILLIAM+ALBRIGHT+1598+1665+JOAN_x000D_
.born: 1598    -          Hurst (Berkshire) England_x000D_
.died: 166508  -          Arborfield (Berkshire) England, age:67y 7m 0d, _x000D_
.bapt: 1785GE_x000D_
.will: 2004MO_x000D_
.obit: 1890OH_x000D_
.bury: 1850IL East Whitechapel_x000D_
.wpbt: 1826PA_x000D_
.anc#:ancestor_x000D_
citiz:foreign_x000D_
#spos:1_x000D_
#srcs:2_x000D_
#comment:0_x000D_
#events:3_x000D_
#kids:1_x000D_
lived:ENBERKIARBORFI,ENBERKIHURST,ENMIDDLLONDON_x000D_
issue:Died after Age 100_x000D_
.recs:Birth,Marriage,Will Written,Death,Interment/Burial_x000D_
.imm?:no_x000D_
..Spo:JOAN WRIGHT</t>
        </r>
      </text>
    </comment>
    <comment ref="O5978" authorId="0" shapeId="0" xr:uid="{DF94FCD1-F880-413B-A01C-4125C7129B66}">
      <text>
        <r>
          <rPr>
            <sz val="9"/>
            <color indexed="81"/>
            <rFont val="Tahoma"/>
            <family val="2"/>
          </rPr>
          <t>MARGERY NETHERCLIFTE_x000D_
http://yeinfo.com/family/I09011573.html_x000D_
https://www.google.com/search?q=MARGERY+NETHERCLIFTE+1564+1599+ALBRIGHT_x000D_
.born:?1564    -         ?England_x000D_
.died: 1599    -1650     ?England, age:35y 0m 0d, _x000D_
.bapt: 1785GE_x000D_
.will: 2004MO_x000D_
.obit: 1890OH_x000D_
.bury: 1850IL _x000D_
.wpbt: 1826PA_x000D_
.anc#:ancestor_x000D_
citiz:foreign_x000D_
#spos:1_x000D_
#srcs:1_x000D_
#comment:0_x000D_
#events:1_x000D_
#kids:1_x000D_
lived:?EN,ENBERKIHURST_x000D_
issue:_x000D_
.recs:Birth,Marriage,Death_x000D_
.imm?:no_x000D_
..Spo:WILLIAM ALBRIGHT</t>
        </r>
      </text>
    </comment>
    <comment ref="M5980" authorId="0" shapeId="0" xr:uid="{0BC049DF-99F9-4F38-AA63-ABC53B0E6337}">
      <text>
        <r>
          <rPr>
            <sz val="9"/>
            <color indexed="81"/>
            <rFont val="Tahoma"/>
            <family val="2"/>
          </rPr>
          <t>MARGARET ALBRIGHT_x000D_
http://yeinfo.com/family/I09002893.html_x000D_
https://www.google.com/search?q=MARGARET+ALBRIGHT+1624+1678+AVERY_x000D_
.born: 1624    -          Barkham (Berkshire) England_x000D_
.died: 16780928-          Dedham (Suffolk) Massachusetts, age:54y 8m 27d, _x000D_
.bapt: 1785GE_x000D_
.will: 2004MO_x000D_
.obit: 1890OH_x000D_
.bury: 1850IL _x000D_
.wpbt: 1826PA_x000D_
.anc#:ancestor_x000D_
citiz:immigrant_x000D_
#spos:1_x000D_
#srcs:6_x000D_
#comment:1_x000D_
#events:2_x000D_
#kids:1_x000D_
lived:ENBERKIBARKHAM,ENNORFO,MANORFO,MASUFFODEDHAM_x000D_
issue:_x000D_
.recs:Birth,Marriage,Death_x000D_
.imm?:immigrant_x000D_
..Spo:WILLIAM AVERY</t>
        </r>
      </text>
    </comment>
    <comment ref="O5982" authorId="0" shapeId="0" xr:uid="{25889096-8BA9-431A-9006-D512F4B0553E}">
      <text>
        <r>
          <rPr>
            <sz val="9"/>
            <color indexed="81"/>
            <rFont val="Tahoma"/>
            <family val="2"/>
          </rPr>
          <t>GEORGE WRIGHT_x000D_
http://yeinfo.com/family/I09011574.html_x000D_
https://www.google.com/search?q=GEORGE+WRIGHT+1586+1606+FORTUNA_x000D_
.born:?1586    -         ?England_x000D_
.died: 1606    -1671     ?England, age:20y 0m 0d, _x000D_
.bapt: 1785GE_x000D_
.will: 2004MO_x000D_
.obit: 1890OH_x000D_
.bury: 1850IL _x000D_
.wpbt: 1826PA_x000D_
.anc#:ancestor_x000D_
citiz:foreign_x000D_
#spos:1_x000D_
#srcs:2_x000D_
#comment:0_x000D_
#events:1_x000D_
#kids:1_x000D_
lived:?EN_x000D_
issue:_x000D_
.recs:Birth,Marriage,Death_x000D_
.imm?:no_x000D_
..Spo:FORTUNA GARRAWAY</t>
        </r>
      </text>
    </comment>
    <comment ref="N5984" authorId="0" shapeId="0" xr:uid="{2E6368A1-4367-4146-B423-7EBB05FA1129}">
      <text>
        <r>
          <rPr>
            <sz val="9"/>
            <color indexed="81"/>
            <rFont val="Tahoma"/>
            <family val="2"/>
          </rPr>
          <t>JOAN WRIGHT_x000D_
http://yeinfo.com/family/I09005787.html_x000D_
https://www.google.com/search?q=JOAN+WRIGHT+1606+1672+ALBRIGHT_x000D_
.born: 1606    -         ?Arborfield (Berkshire) England_x000D_
.died: 167208  -          Arborfield (Berkshire) England, age:66y 7m 0d, _x000D_
.bapt: 1785GE_x000D_
.will: 2004MO_x000D_
.obit: 1890OH_x000D_
.bury: 1850IL _x000D_
.wpbt: 1826PA_x000D_
.anc#:ancestor_x000D_
citiz:foreign_x000D_
#spos:1_x000D_
#srcs:2_x000D_
#comment:0_x000D_
#events:1_x000D_
#kids:1_x000D_
lived:?ENBERKIARBORFI,EN_x000D_
issue:_x000D_
.recs:Birth,Marriage,Death_x000D_
.imm?:no_x000D_
..Spo:WILLIAM ALBRIGHT</t>
        </r>
      </text>
    </comment>
    <comment ref="O5986" authorId="0" shapeId="0" xr:uid="{6C044EAA-E763-4BE1-B0D9-6ABFFBDCB400}">
      <text>
        <r>
          <rPr>
            <sz val="9"/>
            <color indexed="81"/>
            <rFont val="Tahoma"/>
            <family val="2"/>
          </rPr>
          <t>FORTUNA GARRAWAY_x000D_
http://yeinfo.com/family/I09011575.html_x000D_
https://www.google.com/search?q=FORTUNA+GARRAWAY+1586+1606+WRIGHT_x000D_
.born:?1586    -         ?England_x000D_
.died: 1606    -1671     ?England, age:20y 0m 0d, _x000D_
.bapt: 1785GE_x000D_
.will: 2004MO_x000D_
.obit: 1890OH_x000D_
.bury: 1850IL _x000D_
.wpbt: 1826PA_x000D_
.anc#:ancestor_x000D_
citiz:foreign_x000D_
#spos:1_x000D_
#srcs:2_x000D_
#comment:0_x000D_
#events:1_x000D_
#kids:1_x000D_
lived:?EN_x000D_
issue:_x000D_
.recs:Birth,Marriage,Death_x000D_
.imm?:no_x000D_
..Spo:GEORGE WRIGHT</t>
        </r>
      </text>
    </comment>
    <comment ref="K5988" authorId="0" shapeId="0" xr:uid="{9D00DC73-C1F1-4EDA-B5E4-072B9555C1A9}">
      <text>
        <r>
          <rPr>
            <sz val="9"/>
            <color indexed="81"/>
            <rFont val="Tahoma"/>
            <family val="2"/>
          </rPr>
          <t>RACHEL AVERY_x000D_
http://yeinfo.com/family/I09000723.html_x000D_
https://www.google.com/search?q=RACHEL+AVERY+1679+1775+DWIGHT_x000D_
.born: 16790901-          Dedham (Norfolk) Massachusetts_x000D_
.died: 17750914-          Dedham (Norfolk) Massachusetts, age:96y 0m 13d, _x000D_
.bapt: 1785GE_x000D_
.will: 2004MO_x000D_
.obit: 1890OH_x000D_
.bury: 1850IL _x000D_
.wpbt: 1826PA_x000D_
.anc#:ancestor_x000D_
citiz:US born_x000D_
#spos:1_x000D_
#srcs:3_x000D_
#comment:0_x000D_
#events:1_x000D_
#kids:6_x000D_
lived:MANORFODEDHAM_x000D_
issue:_x000D_
.recs:Birth,Marriage,Death_x000D_
.imm?:no_x000D_
..Spo:MICHAEL DWIGHT</t>
        </r>
      </text>
    </comment>
    <comment ref="M5990" authorId="0" shapeId="0" xr:uid="{487F3304-952D-4C5A-9337-DB90585919B2}">
      <text>
        <r>
          <rPr>
            <sz val="9"/>
            <color indexed="81"/>
            <rFont val="Tahoma"/>
            <family val="2"/>
          </rPr>
          <t>JOB LANE_x000D_
http://yeinfo.com/family/I09002894.html_x000D_
https://www.google.com/search?q=JOB+LANE+1620+1697+SARAH+Reyner_x000D_
.born:c1620    -          Rickmansworth (Hertfordshire) England_x000D_
.died: 16970823-          Malden (Middlesex) Massachusetts, age:77y 7m 22d, _x000D_
.bapt: 1785GE_x000D_
.will: 2004MO_x000D_
.obit: 1890OH_x000D_
.bury: 1850IL _x000D_
.wpbt: 1826PA_x000D_
.anc#:ancestor_x000D_
citiz:immigrant_x000D_
#spos:2_x000D_
#srcs:1_x000D_
#comment:0_x000D_
#events:2_x000D_
#kids:1_x000D_
lived:ENHERTFRICKWOR,MAMIDDLMALDEN_x000D_
issue:_x000D_
.recs:Birth,Marriage,Death_x000D_
.imm?:immigrant_x000D_
..Spo:SARAH BOYCE</t>
        </r>
      </text>
    </comment>
    <comment ref="L5992" authorId="0" shapeId="0" xr:uid="{95236A46-3AFF-496C-8C07-CD6191F0B573}">
      <text>
        <r>
          <rPr>
            <sz val="9"/>
            <color indexed="81"/>
            <rFont val="Tahoma"/>
            <family val="2"/>
          </rPr>
          <t>ELIZABETH LANE_x000D_
http://yeinfo.com/family/I09001447.html_x000D_
https://www.google.com/search?q=ELIZABETH+LANE+1655+1746+AVERY_x000D_
.born: 16550316-          Dorchester (Dorset) England_x000D_
.died: 17461021-          Dedham (Norfolk) Massachusetts, age:91y 7m 5d, _x000D_
.bapt: 1785GE_x000D_
.will: 2004MO_x000D_
.obit: 1890OH_x000D_
.bury: 1850IL _x000D_
.wpbt: 1826PA_x000D_
.anc#:ancestor_x000D_
citiz:immigrant_x000D_
#spos:1_x000D_
#srcs:1_x000D_
#comment:0_x000D_
#events:1_x000D_
#kids:1_x000D_
lived:?MANORFODEDHAM,ENDORSEDORCHES_x000D_
issue:_x000D_
.recs:Birth,Marriage,Death_x000D_
.imm?:immigrant_x000D_
..Spo:ROBERT AVERY</t>
        </r>
      </text>
    </comment>
    <comment ref="M5994" authorId="0" shapeId="0" xr:uid="{4DA9D661-9F36-4948-8E4D-B588C722A80A}">
      <text>
        <r>
          <rPr>
            <sz val="9"/>
            <color indexed="81"/>
            <rFont val="Tahoma"/>
            <family val="2"/>
          </rPr>
          <t>SARAH BOYCE_x000D_
http://yeinfo.com/family/I09002895.html_x000D_
https://www.google.com/search?q=SARAH+BOYCE+1628+1659+LANE_x000D_
.born:c1628    -          Egton (Yorkshire) England_x000D_
.died: 16590519-          Malden (Middlesex) Massachusetts, age:31y 4m 18d, _x000D_
.bapt: 1785GE_x000D_
.will: 2004MO_x000D_
.obit: 1890OH_x000D_
.bury: 1850IL _x000D_
.wpbt: 1826PA_x000D_
.anc#:ancestor_x000D_
citiz:immigrant_x000D_
#spos:1_x000D_
#srcs:1_x000D_
#comment:1_x000D_
#events:1_x000D_
#kids:1_x000D_
lived:ENYORKSEGTON,MAMIDDLMALDEN_x000D_
issue:_x000D_
.recs:Birth,Marriage,Death_x000D_
.imm?:immigrant_x000D_
..Spo:JOB LANE</t>
        </r>
      </text>
    </comment>
    <comment ref="H5996" authorId="0" shapeId="0" xr:uid="{58A934EF-6A6F-4B6D-863C-520BAAD6FB13}">
      <text>
        <r>
          <rPr>
            <sz val="9"/>
            <color indexed="81"/>
            <rFont val="Tahoma"/>
            <family val="2"/>
          </rPr>
          <t>RICHARD DEAN_x000D_
http://yeinfo.com/family/I09000090.html_x000D_
https://www.google.com/search?q=RICHARD+DEAN+1772+1847+HANNAH_x000D_
.born: 17720524-          Upton (Worcester) Massachusetts_x000D_
.died: 18470828-          Dummerston (Windham) Vermont, age:75y 3m 4d, _x000D_
.bapt: 1785GE_x000D_
.will: 2004MO_x000D_
.obit: 1890OH_x000D_
.bury: 1850IL _x000D_
.wpbt: 1826PA_x000D_
.anc#:ancestor_x000D_
citiz:US born_x000D_
#spos:2_x000D_
#srcs:16_x000D_
#comment:1_x000D_
#events:11_x000D_
#kids:5_x000D_
lived:MAWORCEMENDON,MAWORCEUPTON,VTWINDHDUMMERS_x000D_
issue:_x000D_
.recs:Birth,Baptism,Marriage Intention/Bonds,Death_x000D_
.imm?:no_x000D_
..Spo:HANNAH GOSS</t>
        </r>
      </text>
    </comment>
    <comment ref="M5998" authorId="0" shapeId="0" xr:uid="{40168FB8-5510-4157-8DE6-D6E295FC76EF}">
      <text>
        <r>
          <rPr>
            <sz val="9"/>
            <color indexed="81"/>
            <rFont val="Tahoma"/>
            <family val="2"/>
          </rPr>
          <t>EDWARD RICHARDS III_x000D_
http://yeinfo.com/family/I09002896.html_x000D_
https://www.google.com/search?q=EDWARD+RICHARDS+1609+1684+SUSANNA_x000D_
.born: 1609    -          Southampton (Hampshire) England_x000D_
.died: 16840825-          Dedham (Norfolk) Massachusetts, age:75y 7m 24d, _x000D_
.bapt: 1785GE_x000D_
.will: 2004MO_x000D_
.obit: 1890OH_x000D_
.bury: 1850IL _x000D_
.wpbt: 1826PA_x000D_
.anc#:ancestor_x000D_
citiz:immigrant_x000D_
#spos:1_x000D_
#srcs:1_x000D_
#comment:1_x000D_
#events:1_x000D_
#kids:1_x000D_
lived:ENHAMPSSOUTHMP,MANORFODEDHAM_x000D_
issue:_x000D_
.recs:Birth,Marriage,Death_x000D_
.imm?:immigrant_x000D_
..Spo:SUSANNA HUNTING</t>
        </r>
      </text>
    </comment>
    <comment ref="L6000" authorId="0" shapeId="0" xr:uid="{E346F098-E146-4160-B587-7A6E3DB3B22C}">
      <text>
        <r>
          <rPr>
            <sz val="9"/>
            <color indexed="81"/>
            <rFont val="Tahoma"/>
            <family val="2"/>
          </rPr>
          <t>NATHANIEL RICHARDS_x000D_
http://yeinfo.com/family/I09001448.html_x000D_
https://www.google.com/search?q=NATHANIEL+RICHARDS+1649+1726+MARY_x000D_
.born: 16490125-          Dedham (Norfolk) Massachusetts_x000D_
.died: 17260215-          Dedham (Norfolk) Massachusetts, age:77y 0m 21d, _x000D_
.bapt: 1785GE_x000D_
.will: 2004MO_x000D_
.obit: 1890OH_x000D_
.bury: 1850IL _x000D_
.wpbt: 1826PA_x000D_
.anc#:ancestor_x000D_
citiz:US born_x000D_
#spos:1_x000D_
#srcs:1_x000D_
#comment:0_x000D_
#events:1_x000D_
#kids:1_x000D_
lived:MANORFODEDHAM_x000D_
issue:_x000D_
.recs:Birth,Marriage,Death_x000D_
.imm?:no_x000D_
..Spo:MARY ALDIS</t>
        </r>
      </text>
    </comment>
    <comment ref="M6002" authorId="0" shapeId="0" xr:uid="{89E06D3C-B412-4778-8396-A6BB62CC8DDA}">
      <text>
        <r>
          <rPr>
            <sz val="9"/>
            <color indexed="81"/>
            <rFont val="Tahoma"/>
            <family val="2"/>
          </rPr>
          <t>SUSANNA HUNTING_x000D_
http://yeinfo.com/family/I09002897.html_x000D_
https://www.google.com/search?q=SUSANNA+HUNTING+1610+1684+RICHARDS_x000D_
.born:?1610    -          Thrandeston (Suffolk) England_x000D_
.died: 16840909-          Dedham (Norfolk) Massachusetts, age:74y 8m 8d, _x000D_
.bapt: 1785GE_x000D_
.will: 2004MO_x000D_
.obit: 1890OH_x000D_
.bury: 1850IL _x000D_
.wpbt: 1826PA_x000D_
.anc#:ancestor_x000D_
citiz:immigrant_x000D_
#spos:1_x000D_
#srcs:1_x000D_
#comment:1_x000D_
#events:1_x000D_
#kids:1_x000D_
lived:ENSUFFOTHRANDE,MANORFODEDHAM_x000D_
issue:_x000D_
.recs:Birth,Marriage,Death_x000D_
.imm?:immigrant_x000D_
..Spo:EDWARD RICHARDS</t>
        </r>
      </text>
    </comment>
    <comment ref="K6004" authorId="0" shapeId="0" xr:uid="{96AA3B93-4423-4917-8187-D3B3E69C79FF}">
      <text>
        <r>
          <rPr>
            <sz val="9"/>
            <color indexed="81"/>
            <rFont val="Tahoma"/>
            <family val="2"/>
          </rPr>
          <t>JAMES RICHARDS II_x000D_
http://yeinfo.com/family/I09000724.html_x000D_
https://www.google.com/search?q=JAMES+RICHARDS+1683+1760+HANNAH_x000D_
.born: 16830424-          Dedham (Norfolk) Massachusetts_x000D_
.died: 17600522-          Dedham (Norfolk) Massachusetts, age:77y 0m 28d, _x000D_
.bapt: 1785GE_x000D_
.will: 2004MO_x000D_
.obit: 1890OH_x000D_
.bury: 1850IL _x000D_
.wpbt: 1826PA_x000D_
.anc#:ancestor_x000D_
citiz:US born_x000D_
#spos:1_x000D_
#srcs:1_x000D_
#comment:0_x000D_
#events:1_x000D_
#kids:15_x000D_
lived:MANORFODEDHAM_x000D_
issue:_x000D_
.recs:Birth,Marriage,Death_x000D_
.imm?:no_x000D_
..Spo:HANNAH METCALF</t>
        </r>
      </text>
    </comment>
    <comment ref="P6006" authorId="0" shapeId="0" xr:uid="{E1E7C36B-439A-43CE-A736-9E68B425F3F1}">
      <text>
        <r>
          <rPr>
            <sz val="9"/>
            <color indexed="81"/>
            <rFont val="Tahoma"/>
            <family val="2"/>
          </rPr>
          <t>THOMAS ALDIS_x000D_
http://yeinfo.com/family/I09023184.html_x000D_
https://www.google.com/search?q=THOMAS+ALDIS+1534+1601+FRANCES_x000D_
.born: 1534    -          Fressingfield (Suffolk) England_x000D_
.died: 160109  -          Fressingfield (Suffolk) England, age:67y 8m 0d, _x000D_
.bapt: 1785GE_x000D_
.will: 2004MO_x000D_
.obit: 1890OH_x000D_
.bury: 1850IL Churchyard_x000D_
.wpbt: 1826PA_x000D_
.anc#:ancestor_x000D_
citiz:foreign_x000D_
#spos:1_x000D_
#srcs:7_x000D_
#comment:1_x000D_
#events:2_x000D_
#kids:1_x000D_
lived:ENSUFFOFRESSIN_x000D_
issue:_x000D_
.recs:Birth,Marriage,Death,Interment/Burial_x000D_
.imm?:no_x000D_
..Spo:FRANCES ALDIS</t>
        </r>
      </text>
    </comment>
    <comment ref="O6008" authorId="0" shapeId="0" xr:uid="{79FE699E-3BD9-4ACF-B342-C223508F6ECE}">
      <text>
        <r>
          <rPr>
            <sz val="9"/>
            <color indexed="81"/>
            <rFont val="Tahoma"/>
            <family val="2"/>
          </rPr>
          <t>FRANCIS ALDIS_x000D_
http://yeinfo.com/family/I09011592.html_x000D_
https://www.google.com/search?q=FRANCIS+ALDIS+1560+1625+SARAH+ALDIS_x000D_
.born: 156004  -          Fressingfield (Suffolk) England_x000D_
.died: 16251102-          Toft Monks (Norfolk) England, age:65y 7m 1d, _x000D_
.bapt: 1785GE_x000D_
.will: 2004MO_x000D_
.obit: 1890OH_x000D_
.bury: 1850IL _x000D_
.wpbt: 1826PA_x000D_
.anc#:ancestor_x000D_
citiz:foreign_x000D_
#spos:2_x000D_
#srcs:6_x000D_
#comment:0_x000D_
#events:3_x000D_
#kids:7_x000D_
lived:ENNORFOTOFT MO,ENSUFFOFRESSIN_x000D_
issue:Married before Age 16_x000D_
.recs:Birth,Marriage,Death_x000D_
.imm?:no_x000D_
..Spo:SARAH GOOCHE</t>
        </r>
      </text>
    </comment>
    <comment ref="P6010" authorId="0" shapeId="0" xr:uid="{B98EF398-A479-406F-B4A7-DE787D552DBE}">
      <text>
        <r>
          <rPr>
            <sz val="9"/>
            <color indexed="81"/>
            <rFont val="Tahoma"/>
            <family val="2"/>
          </rPr>
          <t>Mrs. FRANCES ALDIS_x000D_
http://yeinfo.com/family/I09023185.html_x000D_
https://www.google.com/search?q=FRANCES+ALDIS+1535+1601+ALDIS_x000D_
.born:c1535    -         ?Fressingfield (Suffolk) England_x000D_
.died: 160110  -          Fressingfield (Suffolk) England, age:66y 9m 0d, _x000D_
.bapt: 1785GE_x000D_
.will: 2004MO_x000D_
.obit: 1890OH_x000D_
.bury: 1850IL Churchyard_x000D_
.wpbt: 1826PA_x000D_
.anc#:ancestor_x000D_
citiz:foreign_x000D_
#spos:1_x000D_
#srcs:7_x000D_
#comment:1_x000D_
#events:2_x000D_
#kids:1_x000D_
lived:?ENSUFFOFRESSIN_x000D_
issue:_x000D_
.recs:Birth,Marriage,Death,Interment/Burial_x000D_
.imm?:no_x000D_
..Spo:THOMAS ALDIS</t>
        </r>
      </text>
    </comment>
    <comment ref="N6012" authorId="0" shapeId="0" xr:uid="{43B31C93-7D6D-4885-8055-A9575698DD48}">
      <text>
        <r>
          <rPr>
            <sz val="9"/>
            <color indexed="81"/>
            <rFont val="Tahoma"/>
            <family val="2"/>
          </rPr>
          <t>NATHAN ALDIS_x000D_
http://yeinfo.com/family/I09005796.html_x000D_
https://www.google.com/search?q=NATHAN+ALDIS+1584+1676+MARY_x000D_
.born: 15840830-         ?Dennington (Suffolk) England_x000D_
.died: 16760315-          Dedham (Norfolk) Massachusetts, age:91y 6m 13d, _x000D_
.bapt: 1785GE_x000D_
.will: 2004MO_x000D_
.obit: 1890OH_x000D_
.bury: 1850IL _x000D_
.wpbt: 1826PA_x000D_
.anc#:ancestor_x000D_
citiz:immigrant_x000D_
#spos:1_x000D_
#srcs:6_x000D_
#comment:0_x000D_
#events:2_x000D_
#kids:5_x000D_
lived:?ENSUFFODENNTON,MANORFODEDHAM_x000D_
issue:_x000D_
.recs:Birth,Baptism,Marriage,Death_x000D_
.imm?:immigrant_x000D_
..Spo:MARY FISHER</t>
        </r>
      </text>
    </comment>
    <comment ref="P6014" authorId="0" shapeId="0" xr:uid="{4915513E-5ACB-4E98-A705-D67F6B73E748}">
      <text>
        <r>
          <rPr>
            <sz val="9"/>
            <color indexed="81"/>
            <rFont val="Tahoma"/>
            <family val="2"/>
          </rPr>
          <t>ROBERT BUNGAY GOOCHE_x000D_
http://yeinfo.com/family/I09023186.html_x000D_
https://www.google.com/search?q=ROBERT+BUNGAY+GOOCHE+1540+1589+EMME_x000D_
.born: 1540    -          Bungay (Suffolk) England_x000D_
.died: 15890401-          Mettingham (Suffolk) England, age:49y 3m 0d, _x000D_
.bapt: 1785GE_x000D_
.will: 2004MO_x000D_
.obit: 1890OH_x000D_
.bury: 1850IL Churchyard_x000D_
.wpbt: 1826PA_x000D_
.anc#:ancestor_x000D_
citiz:foreign_x000D_
#spos:1_x000D_
#srcs:6_x000D_
#comment:0_x000D_
#events:2_x000D_
#kids:1_x000D_
lived:ENSUFFOBUNGAY,ENSUFFOFRESSIN,ENSUFFOMETTING_x000D_
issue:_x000D_
.recs:Birth,Marriage,Death,Interment/Burial_x000D_
.imm?:no_x000D_
..Spo:EMME GOOCHE</t>
        </r>
      </text>
    </comment>
    <comment ref="O6016" authorId="0" shapeId="0" xr:uid="{DF4329F0-AB38-4DA2-B575-C041D22185ED}">
      <text>
        <r>
          <rPr>
            <sz val="9"/>
            <color indexed="81"/>
            <rFont val="Tahoma"/>
            <family val="2"/>
          </rPr>
          <t>SARAH GOOCHE_x000D_
http://yeinfo.com/family/I09011593.html_x000D_
https://www.google.com/search?q=SARAH+GOOCHE+1565+1597+ALDIS_x000D_
.born: 156505  -          England_x000D_
.died: 1597    -1655      Toft Monks (Norfolk) England, age:31y 8m 0d, _x000D_
.bapt: 1785GE_x000D_
.will: 2004MO_x000D_
.obit: 1890OH_x000D_
.bury: 1850IL _x000D_
.wpbt: 1826PA_x000D_
.anc#:ancestor_x000D_
citiz:foreign_x000D_
#spos:1_x000D_
#srcs:6_x000D_
#comment:0_x000D_
#events:1_x000D_
#kids:7_x000D_
lived:ENNORFOTOFT MO_x000D_
issue:_x000D_
.recs:Birth,Marriage,Death_x000D_
.imm?:no_x000D_
..Spo:FRANCIS ALDIS</t>
        </r>
      </text>
    </comment>
    <comment ref="P6018" authorId="0" shapeId="0" xr:uid="{0BFC7F5A-C03D-4015-8CD1-FE41DF0F61D0}">
      <text>
        <r>
          <rPr>
            <sz val="9"/>
            <color indexed="81"/>
            <rFont val="Tahoma"/>
            <family val="2"/>
          </rPr>
          <t>Mrs. EMME GOOCHE_x000D_
http://yeinfo.com/family/I09023187.html_x000D_
https://www.google.com/search?q=EMME+GOOCHE+1537+1591+GOOCHE_x000D_
.born: 1537    -          England_x000D_
.died: 1591    -          Fressingfield (Suffolk) England, age:54y 0m 0d, _x000D_
.bapt: 1785GE_x000D_
.will: 2004MO_x000D_
.obit: 1890OH_x000D_
.bury: 1850IL _x000D_
.wpbt: 1826PA_x000D_
.anc#:ancestor_x000D_
citiz:foreign_x000D_
#spos:1_x000D_
#srcs:7_x000D_
#comment:1_x000D_
#events:1_x000D_
#kids:1_x000D_
lived:ENSUFFOFRESSIN_x000D_
issue:_x000D_
.recs:Birth,Marriage,Death_x000D_
.imm?:no_x000D_
..Spo:ROBERT BUNGAY GOOCHE</t>
        </r>
      </text>
    </comment>
    <comment ref="M6020" authorId="0" shapeId="0" xr:uid="{BEB98B73-BD04-4867-8368-EC2037891F30}">
      <text>
        <r>
          <rPr>
            <sz val="9"/>
            <color indexed="81"/>
            <rFont val="Tahoma"/>
            <family val="2"/>
          </rPr>
          <t>JOHN ALDIS_x000D_
http://yeinfo.com/family/I09002898.html_x000D_
https://www.google.com/search?q=JOHN+ALDIS+1627+1700+SARAH_x000D_
.born: 1627    -          Fressingfield (Suffolk) England_x000D_
.died: 17001221-          Dedham (Norfolk) Massachusetts, age:73y 11m 20d, _x000D_
.bapt: 1785GE_x000D_
.will: 2004MO_x000D_
.obit: 1890OH_x000D_
.bury: 1850IL _x000D_
.wpbt: 1826PA_x000D_
.anc#:ancestor_x000D_
citiz:immigrant_x000D_
#spos:1_x000D_
#srcs:2_x000D_
#comment:0_x000D_
#events:1_x000D_
#kids:7_x000D_
lived:ENSUFFOFRESSIN,MANORFODEDHAM_x000D_
issue:_x000D_
.recs:Birth,Marriage,Death_x000D_
.imm?:immigrant_x000D_
..Spo:SARAH ELLIOTT</t>
        </r>
      </text>
    </comment>
    <comment ref="N6022" authorId="0" shapeId="0" xr:uid="{9BE39CC3-DABA-4114-A303-A50B6F0BE78A}">
      <text>
        <r>
          <rPr>
            <sz val="9"/>
            <color indexed="81"/>
            <rFont val="Tahoma"/>
            <family val="2"/>
          </rPr>
          <t>MARY FISHER_x000D_
http://yeinfo.com/family/I09005797.html_x000D_
https://www.google.com/search?q=MARY+FISHER+1597+1677+ALDIS_x000D_
.born: 1597    -          Fressingfield (Suffolk) England_x000D_
.died: 16770101-          Dedham (Norfolk) Massachusetts, age:80y 0m 0d, _x000D_
.bapt: 1785GE_x000D_
.will: 2004MO_x000D_
.obit: 1890OH_x000D_
.bury: 1850IL _x000D_
.wpbt: 1826PA_x000D_
.anc#:ancestor_x000D_
citiz:immigrant_x000D_
#spos:1_x000D_
#srcs:6_x000D_
#comment:0_x000D_
#events:1_x000D_
#kids:5_x000D_
lived:ENSUFFOFRESSIN,MANORFODEDHAM_x000D_
issue:_x000D_
.recs:Birth,Marriage,Death_x000D_
.imm?:immigrant_x000D_
..Spo:NATHAN ALDIS</t>
        </r>
      </text>
    </comment>
    <comment ref="L6024" authorId="0" shapeId="0" xr:uid="{B68A5229-1B01-4E52-9EC2-4CD98E544980}">
      <text>
        <r>
          <rPr>
            <sz val="9"/>
            <color indexed="81"/>
            <rFont val="Tahoma"/>
            <family val="2"/>
          </rPr>
          <t>MARY ALDIS_x000D_
http://yeinfo.com/family/I09001449.html_x000D_
https://www.google.com/search?q=MARY+ALDIS+1657+1727+RICHARDS_x000D_
.born: 16571129-          Dedham (Norfolk) Massachusetts_x000D_
.died: 1727    -          Dedham (Norfolk) Massachusetts, age:69y 1m 3d, _x000D_
.bapt: 1785GE_x000D_
.will: 2004MO_x000D_
.obit: 1890OH_x000D_
.bury: 1850IL _x000D_
.wpbt: 1826PA_x000D_
.anc#:ancestor_x000D_
citiz:US born_x000D_
#spos:1_x000D_
#srcs:1_x000D_
#comment:0_x000D_
#events:1_x000D_
#kids:1_x000D_
lived:MANORFODEDHAM_x000D_
issue:_x000D_
.recs:Birth,Marriage,Death_x000D_
.imm?:no_x000D_
..Spo:NATHANIEL RICHARDS</t>
        </r>
      </text>
    </comment>
    <comment ref="R6026" authorId="0" shapeId="0" xr:uid="{09FE5F22-D2B0-4C34-800F-FDAA98658C7F}">
      <text>
        <r>
          <rPr>
            <sz val="9"/>
            <color indexed="81"/>
            <rFont val="Tahoma"/>
            <family val="2"/>
          </rPr>
          <t>WILLIAM ELLIOTT_x000D_
http://yeinfo.com/family/I09065543.html_x000D_
https://www.google.com/search?q=WILLIAM+ELLIOTT+1450+1528+{_?_}_x000D_
.born:c1450    -          Cottered (Hertfordshire) England_x000D_
.died:c1528    -          Cottered (Hertfordshire) England, age:78y 0m 0d, _x000D_
.bapt: 1785GE_x000D_
.will: 2004MO_x000D_
.obit: 1890OH_x000D_
.bury: 1850IL _x000D_
.wpbt: 1826PA_x000D_
.anc#:  quadruple ancestor_x000D_
citiz:foreign_x000D_
#spos:1_x000D_
#srcs:1_x000D_
#comment:0_x000D_
#events:1_x000D_
#kids:1_x000D_
lived:ENHERTFCOTTERE_x000D_
issue:_x000D_
.recs:Birth,Marriage,Death_x000D_
.imm?:no_x000D_
..Spo:{_?_} ELLIOTT</t>
        </r>
      </text>
    </comment>
    <comment ref="Q6028" authorId="0" shapeId="0" xr:uid="{307728FF-D69F-46AD-8744-601708F44091}">
      <text>
        <r>
          <rPr>
            <sz val="9"/>
            <color indexed="81"/>
            <rFont val="Tahoma"/>
            <family val="2"/>
          </rPr>
          <t>THOMAS ELLIOTT_x000D_
http://yeinfo.com/family/I09043368.html_x000D_
https://www.google.com/search?q=THOMAS+ELLIOTT+1480+1520+MARGARET+ELIZABETH_x000D_
.born:?1480    -          Cottered (Hertfordshire) England_x000D_
.died: 1520    -1570      Bishops Bourne (Kent) England, age:40y 0m 0d, _x000D_
.bapt: 1785GE_x000D_
.will: 2004MO_x000D_
.obit: 1890OH_x000D_
.bury: 1850IL _x000D_
.wpbt: 1826PA_x000D_
.anc#:  quadruple ancestor_x000D_
citiz:foreign_x000D_
#spos:1_x000D_
#srcs:1_x000D_
#comment:0_x000D_
#events:1_x000D_
#kids:1_x000D_
lived:ENHERTFCOTTERE,ENKENT BISHOPB_x000D_
issue:_x000D_
.recs:Birth,Marriage,Death_x000D_
.imm?:no_x000D_
..Spo:MARGARET ELIZABETH WILSON</t>
        </r>
      </text>
    </comment>
    <comment ref="R6030" authorId="0" shapeId="0" xr:uid="{D7B0B113-206E-46EA-9041-463C73E80939}">
      <text>
        <r>
          <rPr>
            <sz val="9"/>
            <color indexed="81"/>
            <rFont val="Tahoma"/>
            <family val="2"/>
          </rPr>
          <t>Mrs. {_?_} ELLIOTT_x000D_
http://yeinfo.com/family/I09065544.html_x000D_
https://www.google.com/search?q={_?_}+ELLIOTT+1450+1480+ELLIOTT_x000D_
.born:?1450    -          _x000D_
.died: 1480    -1540     ?England, age:30y 0m 0d, _x000D_
.bapt: 1785GE_x000D_
.will: 2004MO_x000D_
.obit: 1890OH_x000D_
.bury: 1850IL _x000D_
.wpbt: 1826PA_x000D_
.anc#:  quadruple ancestor_x000D_
citiz:foreign_x000D_
#spos:1_x000D_
#srcs:0_x000D_
#comment:0_x000D_
#events:1_x000D_
#kids:1_x000D_
lived:?EN_x000D_
issue:_x000D_
.recs:Birth,Marriage,Death_x000D_
.imm?:no_x000D_
..Spo:WILLIAM ELLIOTT</t>
        </r>
      </text>
    </comment>
    <comment ref="P6032" authorId="0" shapeId="0" xr:uid="{A2F0868A-AADC-4E6A-9D6C-45F46794F72C}">
      <text>
        <r>
          <rPr>
            <sz val="9"/>
            <color indexed="81"/>
            <rFont val="Tahoma"/>
            <family val="2"/>
          </rPr>
          <t>SIMON\EDWARD ELLIOTT_x000D_
http://yeinfo.com/family/I09021684.html_x000D_
https://www.google.com/search?q=SIMON\EDWARD+ELLIOTT+1520+1573+JANE_x000D_
.born:c1520    -          Hertfordshire county England_x000D_
.died: 1573    -1610      Hertfordshire county England, age:53y 0m 0d, _x000D_
.bapt: 1785GE_x000D_
.will: 2004MO_x000D_
.obit: 1890OH_x000D_
.bury: 1850IL _x000D_
.wpbt: 1826PA_x000D_
.anc#:  quadruple ancestor_x000D_
citiz:foreign_x000D_
#spos:1_x000D_
#srcs:1_x000D_
#comment:1_x000D_
#events:1_x000D_
#kids:1_x000D_
lived:ENHERTF_x000D_
issue:_x000D_
.recs:Birth,Marriage,Death_x000D_
.imm?:no_x000D_
..Spo:JANE GEDGE</t>
        </r>
      </text>
    </comment>
    <comment ref="Q6034" authorId="0" shapeId="0" xr:uid="{B18E6D38-E911-40E4-B704-85DF66018F94}">
      <text>
        <r>
          <rPr>
            <sz val="9"/>
            <color indexed="81"/>
            <rFont val="Tahoma"/>
            <family val="2"/>
          </rPr>
          <t>MARGARET ELIZABETH WILSON_x000D_
http://yeinfo.com/family/I09043369.html_x000D_
https://www.google.com/search?q=MARGARET+ELIZABETH+WILSON+1488+1560+ELLIOTT_x000D_
.born:c1488    -          Bishops Bourne (Kent) England_x000D_
.died:c1560    -          Bishops Bourne (Kent) England, age:72y 0m 0d, _x000D_
.bapt: 1785GE_x000D_
.will: 2004MO_x000D_
.obit: 1890OH_x000D_
.bury: 1850IL _x000D_
.wpbt: 1826PA_x000D_
.anc#:  quadruple ancestor_x000D_
citiz:foreign_x000D_
#spos:1_x000D_
#srcs:1_x000D_
#comment:0_x000D_
#events:1_x000D_
#kids:1_x000D_
lived:ENKENT BISHOPB_x000D_
issue:Died after Age 100_x000D_
.recs:Birth,Marriage,Death_x000D_
.imm?:no_x000D_
..Spo:THOMAS ELLIOTT</t>
        </r>
      </text>
    </comment>
    <comment ref="O6036" authorId="0" shapeId="0" xr:uid="{39E30DDB-3FC7-4090-BAEE-710EB2E679BF}">
      <text>
        <r>
          <rPr>
            <sz val="9"/>
            <color indexed="81"/>
            <rFont val="Tahoma"/>
            <family val="2"/>
          </rPr>
          <t>BENNETT\PHILIP ELLIOTT_x000D_
http://yeinfo.com/family/I09010842.html_x000D_
https://www.google.com/search?q=BENNETT\PHILIP+ELLIOTT+1573+1621+LETTEYE\LETTICE_x000D_
.born: 15731030-          _x000D_
.died: 16211120-          Nazeing (Essex) England, age:48y 0m 21d, _x000D_
.bapt: 1785GE_x000D_
.will: 2004MO_x000D_
.obit: 1890OH_x000D_
.bury: 1850IL _x000D_
.wpbt: 1826PA_x000D_
.anc#:  quadruple ancestor_x000D_
citiz:US born_x000D_
#spos:1_x000D_
#srcs:3_x000D_
#comment:2_x000D_
#events:1_x000D_
#kids:4_x000D_
lived:ENESSEXNAZEING_x000D_
issue:_x000D_
.recs:Birth,Marriage,Death_x000D_
.imm?:no_x000D_
..Spo:LETTEYE\LETTICE AGGAR</t>
        </r>
      </text>
    </comment>
    <comment ref="P6038" authorId="0" shapeId="0" xr:uid="{F5436EA4-B376-410B-A67A-A4DE3B930C0B}">
      <text>
        <r>
          <rPr>
            <sz val="9"/>
            <color indexed="81"/>
            <rFont val="Tahoma"/>
            <family val="2"/>
          </rPr>
          <t>JANE GEDGE_x000D_
http://yeinfo.com/family/I09021685.html_x000D_
https://www.google.com/search?q=JANE+GEDGE+1535+1573+ELLIOTT_x000D_
.born: 1535    -          Hunsdon (Hertfordshire) England_x000D_
.died: 1573    -1625      Hertfordshire county England, age:38y 0m 0d, _x000D_
.bapt: 1785GE_x000D_
.will: 2004MO_x000D_
.obit: 1890OH_x000D_
.bury: 1850IL _x000D_
.wpbt: 1826PA_x000D_
.anc#:  quadruple ancestor_x000D_
citiz:foreign_x000D_
#spos:1_x000D_
#srcs:1_x000D_
#comment:1_x000D_
#events:1_x000D_
#kids:1_x000D_
lived:ENHERTFHUNSDON_x000D_
issue:_x000D_
.recs:Birth,Marriage,Death_x000D_
.imm?:no_x000D_
..Spo:SIMON\EDWARD ELLIOTT</t>
        </r>
      </text>
    </comment>
    <comment ref="N6040" authorId="0" shapeId="0" xr:uid="{4DCFDC15-E895-4E72-AD7D-97856F97E1C3}">
      <text>
        <r>
          <rPr>
            <sz val="9"/>
            <color indexed="81"/>
            <rFont val="Tahoma"/>
            <family val="2"/>
          </rPr>
          <t>PHILIP BENNETT ELLIOTT_x000D_
http://yeinfo.com/family/I09005798.html_x000D_
https://www.google.com/search?q=PHILIP+BENNETT+ELLIOTT+1602+1657+ELIZABETH_x000D_
.born: 160204  -          Ware (Hertfordshire) England_x000D_
.died: 16571022-          Boston (Suffolk) Massachusetts, age:55y 6m 21d, _x000D_
.bapt: 1785GE_x000D_
.will: 2004MO_x000D_
.obit: 1890OH_x000D_
.bury: 1850IL _x000D_
.wpbt: 1826PA_x000D_
.anc#:ancestor_x000D_
citiz:immigrant_x000D_
#spos:1_x000D_
#srcs:1_x000D_
#comment:0_x000D_
#events:1_x000D_
#kids:1_x000D_
lived:ENHERTFWARE,MASUFFOBOSTON_x000D_
issue:Died after Age 100_x000D_
.recs:Birth,Marriage,Death_x000D_
.imm?:immigrant_x000D_
..Spo:ELIZABETH SYBTHORP</t>
        </r>
      </text>
    </comment>
    <comment ref="Q6042" authorId="0" shapeId="0" xr:uid="{11309C6D-98B0-41E7-BBBB-4C6E6AE3E1B6}">
      <text>
        <r>
          <rPr>
            <sz val="9"/>
            <color indexed="81"/>
            <rFont val="Tahoma"/>
            <family val="2"/>
          </rPr>
          <t>ROBERT AGGAR_x000D_
http://yeinfo.com/family/I09043372.html_x000D_
https://www.google.com/search?q=ROBERT+AGGAR+1525+1557+JOANE_x000D_
.born: 1525    -          Nazeing (Essex) England_x000D_
.died: 1557    -          Nazeing (Essex) England, age:32y 0m 0d, _x000D_
.bapt: 1785GE_x000D_
.will: 2004MO_x000D_
.obit: 1890OH_x000D_
.bury: 1850IL _x000D_
.wpbt: 1826PA_x000D_
.anc#:  quadruple ancestor_x000D_
citiz:foreign_x000D_
#spos:1_x000D_
#srcs:2_x000D_
#comment:0_x000D_
#events:1_x000D_
#kids:1_x000D_
lived:ENESSEXNAZEING_x000D_
issue:_x000D_
.recs:Birth,Marriage,Death_x000D_
.imm?:no_x000D_
..Spo:JOANE FYNCH</t>
        </r>
      </text>
    </comment>
    <comment ref="P6044" authorId="0" shapeId="0" xr:uid="{64D955F2-C904-4C1D-BE1D-54AF089E6397}">
      <text>
        <r>
          <rPr>
            <sz val="9"/>
            <color indexed="81"/>
            <rFont val="Tahoma"/>
            <family val="2"/>
          </rPr>
          <t>FRANCIS AGGAR_x000D_
http://yeinfo.com/family/I09021686.html_x000D_
https://www.google.com/search?q=FRANCIS+AGGAR+1544+1582+LETTICE\ELNOR+LETTICE_x000D_
.born:c1544    -          England_x000D_
.died: 1582    -          England, age:38y 0m 0d, _x000D_
.bapt: 1785GE_x000D_
.will: 2004MO_x000D_
.obit: 1890OH_x000D_
.bury: 1850IL _x000D_
.wpbt: 1826PA_x000D_
.anc#:  quadruple ancestor_x000D_
citiz:foreign_x000D_
#spos:1_x000D_
#srcs:3_x000D_
#comment:0_x000D_
#events:1_x000D_
#kids:1_x000D_
lived:ENESSEX_x000D_
issue:_x000D_
.recs:Birth,Marriage,Death_x000D_
.imm?:no_x000D_
..Spo:LETTICE\ELNOR LETTICE PEACOCK</t>
        </r>
      </text>
    </comment>
    <comment ref="Q6046" authorId="0" shapeId="0" xr:uid="{E20F3545-46A7-4487-B450-6FE47FE993EA}">
      <text>
        <r>
          <rPr>
            <sz val="9"/>
            <color indexed="81"/>
            <rFont val="Tahoma"/>
            <family val="2"/>
          </rPr>
          <t>Mrs. JOANE FYNCH_x000D_
http://yeinfo.com/family/I09043373.html_x000D_
https://www.google.com/search?q=JOANE+FYNCH+1525+1560+AGGAR_x000D_
.born: 1525    -          Nazeing (Essex) England_x000D_
.died: 1560    -          Nazeing (Essex) England, age:35y 0m 0d, _x000D_
.bapt: 1785GE_x000D_
.will: 2004MO_x000D_
.obit: 1890OH_x000D_
.bury: 1850IL Stanford Rivers_x000D_
.wpbt: 1826PA_x000D_
.anc#:  quadruple ancestor_x000D_
citiz:foreign_x000D_
#spos:1_x000D_
#srcs:2_x000D_
#comment:0_x000D_
#events:2_x000D_
#kids:1_x000D_
lived:ENESSEXKELVKEL,ENESSEXNAZEING_x000D_
issue:_x000D_
.recs:Birth,Marriage,Death,Interment/Burial_x000D_
.imm?:no_x000D_
..Spo:ROBERT AGGAR</t>
        </r>
      </text>
    </comment>
    <comment ref="O6048" authorId="0" shapeId="0" xr:uid="{3F89C51A-1B55-454C-A9A1-D4C1D8C0DC23}">
      <text>
        <r>
          <rPr>
            <sz val="9"/>
            <color indexed="81"/>
            <rFont val="Tahoma"/>
            <family val="2"/>
          </rPr>
          <t>LETTEYE\LETTICE AGGAR_x000D_
http://yeinfo.com/family/I09010843.html_x000D_
https://www.google.com/search?q=LETTEYE\LETTICE+AGGAR+1577+1621+ELLIOTT_x000D_
.born: 1577    -          Nazeing (Essex) England_x000D_
.died: 16210316-          Nazeing (Essex) England, age:44y 2m 15d, _x000D_
.bapt: 1785GE_x000D_
.will: 2004MO_x000D_
.obit: 1890OH_x000D_
.bury: 1850IL _x000D_
.wpbt: 1826PA_x000D_
.anc#:  quadruple ancestor_x000D_
citiz:foreign_x000D_
#spos:1_x000D_
#srcs:6_x000D_
#comment:2_x000D_
#events:1_x000D_
#kids:4_x000D_
lived:ENESSEXNAZEING_x000D_
issue:_x000D_
.recs:Birth,Marriage,Death_x000D_
.imm?:no_x000D_
..Spo:BENNETT\PHILIP ELLIOTT</t>
        </r>
      </text>
    </comment>
    <comment ref="Q6050" authorId="0" shapeId="0" xr:uid="{080511C2-2A8B-462E-8675-5B4C0EF88F92}">
      <text>
        <r>
          <rPr>
            <sz val="9"/>
            <color indexed="81"/>
            <rFont val="Tahoma"/>
            <family val="2"/>
          </rPr>
          <t>THOMAS HENRY PEACOCK_x000D_
http://yeinfo.com/family/I09043374.html_x000D_
https://www.google.com/search?q=THOMAS+HENRY+PEACOCK+1500+1583+ELEANOR_x000D_
.born: 1500    -          Waltham Abbey (Essex) England_x000D_
.died: 1583    -          England, age:83y 0m 0d, _x000D_
.bapt: 1785GE_x000D_
.will: 2004MO_x000D_
.obit: 1890OH_x000D_
.bury: 1850IL _x000D_
.wpbt: 1826PA_x000D_
.anc#:  quadruple ancestor_x000D_
citiz:foreign_x000D_
#spos:1_x000D_
#srcs:2_x000D_
#comment:0_x000D_
#events:1_x000D_
#kids:1_x000D_
lived:ENESSEXWALTHAA_x000D_
issue:_x000D_
.recs:Birth,Marriage,Death_x000D_
.imm?:no_x000D_
..Spo:ELEANOR WRIGHT</t>
        </r>
      </text>
    </comment>
    <comment ref="P6052" authorId="0" shapeId="0" xr:uid="{0F12B721-34EC-40E0-9CBA-80FCDAAF98E6}">
      <text>
        <r>
          <rPr>
            <sz val="9"/>
            <color indexed="81"/>
            <rFont val="Tahoma"/>
            <family val="2"/>
          </rPr>
          <t>LETTICE\ELNOR LETTICE PEACOCK_x000D_
http://yeinfo.com/family/I09021687.html_x000D_
https://www.google.com/search?q=LETTICE\ELNOR+LETTICE+PEACOCK+1551+1621+AGGAR_x000D_
.born: 1551    -          Coggeshall (Essex) England_x000D_
.died: 162103  -          London (Middlesex) England, age:70y 2m 0d, _x000D_
.bapt: 1785GE_x000D_
.will: 2004MO_x000D_
.obit: 1890OH_x000D_
.bury: 1850IL _x000D_
.wpbt: 1826PA_x000D_
.anc#:  quadruple ancestor_x000D_
citiz:foreign_x000D_
#spos:1_x000D_
#srcs:2_x000D_
#comment:0_x000D_
#events:1_x000D_
#kids:1_x000D_
lived:ENESSEXCOGGESH,ENMIDDLLONDON_x000D_
issue:_x000D_
.recs:Birth,Marriage,Death_x000D_
.imm?:no_x000D_
..Spo:FRANCIS AGGAR</t>
        </r>
      </text>
    </comment>
    <comment ref="Q6054" authorId="0" shapeId="0" xr:uid="{48DAACCF-99DC-4501-B6A4-76ABA0B16220}">
      <text>
        <r>
          <rPr>
            <sz val="9"/>
            <color indexed="81"/>
            <rFont val="Tahoma"/>
            <family val="2"/>
          </rPr>
          <t>ELEANOR WRIGHT_x000D_
http://yeinfo.com/family/I09043375.html_x000D_
https://www.google.com/search?q=ELEANOR+WRIGHT+1530+1551+PEACOCK_x000D_
.born: 1530    -          Waltham Abbey (Essex) England_x000D_
.died: 1551    -1620      Nazeing (Essex) England, age:21y 0m 0d, _x000D_
.bapt: 1785GE_x000D_
.will: 2004MO_x000D_
.obit: 1890OH_x000D_
.bury: 1850IL _x000D_
.wpbt: 1826PA_x000D_
.anc#:  quadruple ancestor_x000D_
citiz:foreign_x000D_
#spos:1_x000D_
#srcs:1_x000D_
#comment:0_x000D_
#events:1_x000D_
#kids:1_x000D_
lived:ENESSEXNAZEING,ENESSEXWALTHAA_x000D_
issue:Died after Age 100_x000D_
.recs:Birth,Marriage,Death_x000D_
.imm?:no_x000D_
..Spo:THOMAS HENRY PEACOCK</t>
        </r>
      </text>
    </comment>
    <comment ref="M6056" authorId="0" shapeId="0" xr:uid="{C6A48796-A43D-44E8-ACD8-2FC51084FE31}">
      <text>
        <r>
          <rPr>
            <sz val="9"/>
            <color indexed="81"/>
            <rFont val="Tahoma"/>
            <family val="2"/>
          </rPr>
          <t>SARAH ELLIOTT_x000D_
http://yeinfo.com/family/I09002899.html_x000D_
https://www.google.com/search?q=SARAH+ELLIOTT+1629+1686+ALDIS_x000D_
.born: 16290125-          Nazeing (Essex) England_x000D_
.died: 16861112-          Dedham (Norfolk) Massachusetts, age:57y 9m 18d, _x000D_
.bapt: 1785GE_x000D_
.will: 2004MO_x000D_
.obit: 1890OH_x000D_
.bury: 1850IL _x000D_
.wpbt: 1826PA_x000D_
.anc#:ancestor_x000D_
citiz:immigrant_x000D_
#spos:1_x000D_
#srcs:2_x000D_
#comment:1_x000D_
#events:1_x000D_
#kids:7_x000D_
lived:ENESSEXNAZEING,MANORFODEDHAM_x000D_
issue:_x000D_
.recs:Birth,Marriage,Death_x000D_
.imm?:immigrant_x000D_
..Spo:JOHN ALDIS</t>
        </r>
      </text>
    </comment>
    <comment ref="O6058" authorId="0" shapeId="0" xr:uid="{BD8BF9D6-0441-4DF1-9AAD-BEC339A06E35}">
      <text>
        <r>
          <rPr>
            <sz val="9"/>
            <color indexed="81"/>
            <rFont val="Tahoma"/>
            <family val="2"/>
          </rPr>
          <t>ROBERT SYBTHORPE_x000D_
http://yeinfo.com/family/I09011598.html_x000D_
https://www.google.com/search?q=ROBERT+SYBTHORPE+1572+1624+ANNE_x000D_
.born:c1572    -          Halling (Essex) England_x000D_
.died:a16241020-          Halling (Essex) England, age:52y 9m 19d, _x000D_
.bapt: 1785GE_x000D_
.will: 2004MO_x000D_
.obit: 1890OH_x000D_
.bury: 1850IL _x000D_
.wpbt: 1826PA_x000D_
.anc#:ancestor_x000D_
citiz:foreign_x000D_
#spos:1_x000D_
#srcs:6_x000D_
#comment:0_x000D_
#events:1_x000D_
#kids:1_x000D_
lived:ENESSEXHALLING_x000D_
issue:_x000D_
.recs:Birth,Marriage,Death_x000D_
.imm?:no_x000D_
..Spo:ANNE AVERELL</t>
        </r>
      </text>
    </comment>
    <comment ref="N6060" authorId="0" shapeId="0" xr:uid="{AA50D02E-9049-48FF-9CBA-20E9CA6EAB23}">
      <text>
        <r>
          <rPr>
            <sz val="9"/>
            <color indexed="81"/>
            <rFont val="Tahoma"/>
            <family val="2"/>
          </rPr>
          <t>ELIZABETH SYBTHORP_x000D_
http://yeinfo.com/family/I09005799.html_x000D_
https://www.google.com/search?q=ELIZABETH+SYBTHORP+1601+1660+ELLIOTT_x000D_
.born: 1601    -          Little Hallingbury (Essex) England_x000D_
.died: 16600108-          Dedham (Norfolk) Massachusetts, age:59y 0m 7d, _x000D_
.bapt: 1785GE_x000D_
.will: 2004MO_x000D_
.obit: 1890OH_x000D_
.bury: 1850IL _x000D_
.wpbt: 1826PA_x000D_
.anc#:ancestor_x000D_
citiz:immigrant_x000D_
#spos:1_x000D_
#srcs:1_x000D_
#comment:0_x000D_
#events:1_x000D_
#kids:1_x000D_
lived:ENESSEXLITTLEH,MANORFODEDHAM_x000D_
issue:Died after Age 100_x000D_
.recs:Birth,Marriage,Death_x000D_
.imm?:immigrant_x000D_
..Spo:PHILIP BENNETT ELLIOTT</t>
        </r>
      </text>
    </comment>
    <comment ref="R6062" authorId="0" shapeId="0" xr:uid="{CBFEE806-737D-491C-B1E9-457B6853C711}">
      <text>
        <r>
          <rPr>
            <sz val="9"/>
            <color indexed="81"/>
            <rFont val="Tahoma"/>
            <family val="2"/>
          </rPr>
          <t>PHILIP AVERELL_x000D_
http://yeinfo.com/family/I09066769.html_x000D_
https://www.google.com/search?q=PHILIP+AVERELL+1460+1480+{_?_}_x000D_
.born:?1460    -         ?England_x000D_
.died: 1480    -1550     ?England, age:20y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..Spo:{_?_} AVERELL</t>
        </r>
      </text>
    </comment>
    <comment ref="Q6064" authorId="0" shapeId="0" xr:uid="{43B8BA3E-824D-464D-B8BF-905F3FE5FD69}">
      <text>
        <r>
          <rPr>
            <sz val="9"/>
            <color indexed="81"/>
            <rFont val="Tahoma"/>
            <family val="2"/>
          </rPr>
          <t>WILLIAM AVERELL_x000D_
http://yeinfo.com/family/I09046396.html_x000D_
https://www.google.com/search?q=WILLIAM+AVERELL+1480+1526+ANNIS_x000D_
.born:?1480    -         ?England_x000D_
.died: 1526    -1532     ?England, age:46y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..Spo:ANNIS AVERELL</t>
        </r>
      </text>
    </comment>
    <comment ref="R6066" authorId="0" shapeId="0" xr:uid="{4867F3F9-2FD5-48BE-9CFC-6CA863B3ADD0}">
      <text>
        <r>
          <rPr>
            <sz val="9"/>
            <color indexed="81"/>
            <rFont val="Tahoma"/>
            <family val="2"/>
          </rPr>
          <t>Mrs. {_?_} AVERELL_x000D_
http://yeinfo.com/family/I09066770.html_x000D_
https://www.google.com/search?q={_?_}+AVERELL+1460+1480+AVERELL_x000D_
.born:?1460    -         ?England_x000D_
.died: 1480    -1550     ?England, age:20y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..Spo:PHILIP AVERELL</t>
        </r>
      </text>
    </comment>
    <comment ref="P6068" authorId="0" shapeId="0" xr:uid="{66447293-B59F-4768-AE85-07C61EBEB5D3}">
      <text>
        <r>
          <rPr>
            <sz val="9"/>
            <color indexed="81"/>
            <rFont val="Tahoma"/>
            <family val="2"/>
          </rPr>
          <t>BENNET AVERELL_x000D_
http://yeinfo.com/family/I09023198.html_x000D_
https://www.google.com/search?q=BENNET+AVERELL+1526+1572+AGNES_x000D_
.born: 1526    -          Sawbridgeworth (Hertfordshire) England_x000D_
.died: 1572    -1620     ?England, age:46y 0m 0d, _x000D_
.bapt: 1785GE_x000D_
.will: 2004MO_x000D_
.obit: 1890OH_x000D_
.bury: 1850IL _x000D_
.wpbt: 1826PA_x000D_
.anc#:ancestor_x000D_
citiz:foreign_x000D_
#spos:1_x000D_
#srcs:1_x000D_
#comment:0_x000D_
#events:2_x000D_
#kids:1_x000D_
lived:ENHERTFSAWBRID_x000D_
issue:_x000D_
.recs:Birth,Marriage,Death_x000D_
.imm?:no_x000D_
..Spo:AGNES AVERELL</t>
        </r>
      </text>
    </comment>
    <comment ref="Q6070" authorId="0" shapeId="0" xr:uid="{EB8B9E24-D983-45AB-9FCF-E6C8C2BD09CB}">
      <text>
        <r>
          <rPr>
            <sz val="9"/>
            <color indexed="81"/>
            <rFont val="Tahoma"/>
            <family val="2"/>
          </rPr>
          <t>Mrs. ANNIS AVERELL_x000D_
http://yeinfo.com/family/I09046397.html_x000D_
https://www.google.com/search?q=ANNIS+AVERELL+1505+1526+AVERELL_x000D_
.born:?1505    -         ?England_x000D_
.died: 1526    -1596     ?England, age:21y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..Spo:WILLIAM AVERELL</t>
        </r>
      </text>
    </comment>
    <comment ref="O6072" authorId="0" shapeId="0" xr:uid="{C70E8676-4CB9-43F3-B0FB-D0B6D5BCE049}">
      <text>
        <r>
          <rPr>
            <sz val="9"/>
            <color indexed="81"/>
            <rFont val="Tahoma"/>
            <family val="2"/>
          </rPr>
          <t>ANNE AVERELL_x000D_
http://yeinfo.com/family/I09011599.html_x000D_
https://www.google.com/search?q=ANNE+AVERELL+1572+1624+SYBTHORPE_x000D_
.born:c1572    -         ?England_x000D_
.died:p16241020-          Halling (Essex) England, age:52y 9m 19d, _x000D_
.bapt: 1785GE_x000D_
.will: 2004MO_x000D_
.obit: 1890OH_x000D_
.bury: 1850IL _x000D_
.wpbt: 1826PA_x000D_
.anc#:ancestor_x000D_
citiz:foreign_x000D_
#spos:1_x000D_
#srcs:6_x000D_
#comment:0_x000D_
#events:1_x000D_
#kids:1_x000D_
lived:?EN,ENESSEXHALLING_x000D_
issue:_x000D_
.recs:Birth,Marriage,Death_x000D_
.imm?:no_x000D_
..Spo:ROBERT SYBTHORPE</t>
        </r>
      </text>
    </comment>
    <comment ref="P6074" authorId="0" shapeId="0" xr:uid="{09870CF8-E09C-4667-9AC8-B004C8E9828B}">
      <text>
        <r>
          <rPr>
            <sz val="9"/>
            <color indexed="81"/>
            <rFont val="Tahoma"/>
            <family val="2"/>
          </rPr>
          <t>Mrs. AGNES AVERELL_x000D_
http://yeinfo.com/family/I09023199.html_x000D_
https://www.google.com/search?q=AGNES+AVERELL+1535+1572+AVERELL_x000D_
.born:?1535    -         ?England_x000D_
.died: 1572    -1642     ?England, age:37y 0m 0d, _x000D_
.bapt: 1785GE_x000D_
.will: 2004MO_x000D_
.obit: 1890OH_x000D_
.bury: 1850IL _x000D_
.wpbt: 1826PA_x000D_
.anc#:ancestor_x000D_
citiz:foreign_x000D_
#spos:1_x000D_
#srcs:1_x000D_
#comment:0_x000D_
#events:2_x000D_
#kids:1_x000D_
lived:?EN,ENHERTFSAWBRID_x000D_
issue:_x000D_
.recs:Birth,Marriage,Death_x000D_
.imm?:no_x000D_
..Spo:BENNET AVERELL</t>
        </r>
      </text>
    </comment>
    <comment ref="J6076" authorId="0" shapeId="0" xr:uid="{36A1CB7A-9655-4242-8939-F83EA7CB579C}">
      <text>
        <r>
          <rPr>
            <sz val="9"/>
            <color indexed="81"/>
            <rFont val="Tahoma"/>
            <family val="2"/>
          </rPr>
          <t>EBENEZER RICHARDS Sr._x000D_
http://yeinfo.com/family/I09000362.html_x000D_
https://www.google.com/search?q=EBENEZER+RICHARDS+1718+1799+THANKFUL_x000D_
.born: 17180112-          Dedham (Norfolk) Massachusetts_x000D_
.died: 17990227-          Hardwick (Worcester) Massachusetts, age:81y 1m 15d, _x000D_
.bapt: 1785GE_x000D_
.will: 2004MO_x000D_
.obit: 1890OH_x000D_
.bury: 1850IL _x000D_
.wpbt: 1826PA_x000D_
.anc#:ancestor_x000D_
citiz:US born_x000D_
#spos:1_x000D_
#srcs:1_x000D_
#comment:0_x000D_
#events:1_x000D_
#kids:10_x000D_
lived:MANORFODEDHAM,MAWORCEHARDWIC_x000D_
issue:_x000D_
.recs:Birth,Marriage,Death_x000D_
.imm?:no_x000D_
..Spo:THANKFUL STRATTON</t>
        </r>
      </text>
    </comment>
    <comment ref="N6078" authorId="0" shapeId="0" xr:uid="{DAF3A191-4F0B-4477-B2F1-A7BED03F7D86}">
      <text>
        <r>
          <rPr>
            <sz val="9"/>
            <color indexed="81"/>
            <rFont val="Tahoma"/>
            <family val="2"/>
          </rPr>
          <t>MICHAEL METCALF Sr._x000D_
http://yeinfo.com/family/I09005800.html_x000D_
https://www.google.com/search?q=MICHAEL+METCALF+1591+1664+SARAH+Sothy_x000D_
.born:c1591    -          Tatterford (Norfolk) England_x000D_
.died: 16641224-          Dedham (Norfolk) Massachusetts, age:73y 11m 23d, _x000D_
.bapt: 1785GE_x000D_
.will: 2004MO_x000D_
.obit: 1890OH_x000D_
.bury: 1850IL _x000D_
.wpbt: 1826PA_x000D_
.anc#:ancestor_x000D_
citiz:immigrant_x000D_
#spos:2_x000D_
#srcs:3_x000D_
#comment:1_x000D_
#events:2_x000D_
#kids:1_x000D_
lived:ENNORFOPOTTHEI,ENNORFOTATTERF,MANORFODEDHAM_x000D_
issue:_x000D_
.recs:Birth,Marriage,Death_x000D_
.imm?:immigrant_x000D_
..Spo:SARAH ELLWYN</t>
        </r>
      </text>
    </comment>
    <comment ref="M6080" authorId="0" shapeId="0" xr:uid="{E545D44A-158E-4630-8980-ABC9F3BFB00C}">
      <text>
        <r>
          <rPr>
            <sz val="9"/>
            <color indexed="81"/>
            <rFont val="Tahoma"/>
            <family val="2"/>
          </rPr>
          <t>MICHAEL METCALF Jr._x000D_
http://yeinfo.com/family/I09002900.html_x000D_
https://www.google.com/search?q=MICHAEL+METCALF+1620+1653+MARY+NANCY_x000D_
.born: 16200829-          Norfolk county England_x000D_
.died: 16530325-          Dedham (Norfolk) Massachusetts, age:32y 6m 24d, _x000D_
.bapt: 1785GE_x000D_
.will: 2004MO_x000D_
.obit: 1890OH_x000D_
.bury: 1850IL _x000D_
.wpbt: 1826PA_x000D_
.anc#:ancestor_x000D_
citiz:immigrant_x000D_
#spos:1_x000D_
#srcs:2_x000D_
#comment:1_x000D_
#events:1_x000D_
#kids:5_x000D_
lived:ENNORFO,MANORFODEDHAM_x000D_
issue:_x000D_
.recs:Birth,Marriage,Death_x000D_
.imm?:immigrant_x000D_
..Spo:MARY NANCY FAIRBANK</t>
        </r>
      </text>
    </comment>
    <comment ref="N6082" authorId="0" shapeId="0" xr:uid="{409DB1F3-4465-4D39-A118-54CA161135CF}">
      <text>
        <r>
          <rPr>
            <sz val="9"/>
            <color indexed="81"/>
            <rFont val="Tahoma"/>
            <family val="2"/>
          </rPr>
          <t>SARAH ELLWYN_x000D_
http://yeinfo.com/family/I09005801.html_x000D_
https://www.google.com/search?q=SARAH+ELLWYN+1593+1644+METCALF_x000D_
.born:a15930617-          Hingham (Norfolk) England_x000D_
.died: 16441130-          Dedham (Norfolk) Massachusetts, age:51y 5m 13d, _x000D_
.bapt: 1785GE_x000D_
.will: 2004MO_x000D_
.obit: 1890OH_x000D_
.bury: 1850IL _x000D_
.wpbt: 1826PA_x000D_
.anc#:ancestor_x000D_
citiz:immigrant_x000D_
#spos:1_x000D_
#srcs:3_x000D_
#comment:1_x000D_
#events:1_x000D_
#kids:1_x000D_
lived:ENNORFOHINGHAM,ENNORFOPOTTHEI,MANORFODEDHAM_x000D_
issue:_x000D_
.recs:Birth,Marriage,Death_x000D_
.imm?:immigrant_x000D_
..Spo:MICHAEL METCALF</t>
        </r>
      </text>
    </comment>
    <comment ref="L6084" authorId="0" shapeId="0" xr:uid="{D23B9F68-8E8D-4431-A3CB-04FA409C8459}">
      <text>
        <r>
          <rPr>
            <sz val="9"/>
            <color indexed="81"/>
            <rFont val="Tahoma"/>
            <family val="2"/>
          </rPr>
          <t>JONATHAN METCALF_x000D_
http://yeinfo.com/family/I09001450.html_x000D_
https://www.google.com/search?q=JONATHAN+METCALF+1650+1701+HANNAH_x000D_
.born: 16500921-          Dedham (Norfolk) Massachusetts_x000D_
.died: 1701    -1740      , age:50y 3m 11d, _x000D_
.bapt: 1785GE_x000D_
.will: 2004MO_x000D_
.obit: 1890OH_x000D_
.bury: 1850IL _x000D_
.wpbt: 1826PA_x000D_
.anc#:ancestor_x000D_
citiz:US born_x000D_
#spos:1_x000D_
#srcs:2_x000D_
#comment:0_x000D_
#events:1_x000D_
#kids:16_x000D_
lived:MANORFODEDHAM_x000D_
issue:_x000D_
.recs:Birth,Marriage,Death_x000D_
.imm?:no_x000D_
..Spo:HANNAH KENDRICH</t>
        </r>
      </text>
    </comment>
    <comment ref="R6086" authorId="0" shapeId="0" xr:uid="{B8289450-F819-439B-B9CC-E8FFBFAF33EE}">
      <text>
        <r>
          <rPr>
            <sz val="9"/>
            <color indexed="81"/>
            <rFont val="Tahoma"/>
            <family val="2"/>
          </rPr>
          <t>WILLIAM FAIRBANK_x000D_
http://yeinfo.com/family/I09045120.html_x000D_
https://www.google.com/search?q=WILLIAM+FAIRBANK+1455+1518+{_?_}_x000D_
.born: 1455    -          England_x000D_
.died: 1518    -          England, age:63y 0m 0d, _x000D_
.bapt: 1785GE_x000D_
.will: 2004MO_x000D_
.obit: 1890OH_x000D_
.bury: 1850IL _x000D_
.wpbt: 1826PA_x000D_
.anc#:double ancestor_x000D_
citiz:foreign_x000D_
#spos:1_x000D_
#srcs:1_x000D_
#comment:0_x000D_
#events:3_x000D_
#kids:1_x000D_
lived:ENYORKSSOWERBY_x000D_
issue:_x000D_
.recs:Birth,Marriage,Death,Land Transaction_x000D_
.imm?:no_x000D_
..Spo:{_?_} FAIRBANK</t>
        </r>
      </text>
    </comment>
    <comment ref="Q6088" authorId="0" shapeId="0" xr:uid="{3E961BDC-0D7A-41CD-8B0E-3A22359BC8DA}">
      <text>
        <r>
          <rPr>
            <sz val="9"/>
            <color indexed="81"/>
            <rFont val="Tahoma"/>
            <family val="2"/>
          </rPr>
          <t>JOHN FAIRBANK_x000D_
http://yeinfo.com/family/I09022560.html_x000D_
https://www.google.com/search?q=JOHN+FAIRBANK+1480+1551+MARGARET_x000D_
.born: 1480    -          England_x000D_
.died: 1551    -          England, age:71y 0m 0d, _x000D_
.bapt: 1785GE_x000D_
.will: 2004MO_x000D_
.obit: 1890OH_x000D_
.bury: 1850IL _x000D_
.wpbt: 1826PA_x000D_
.anc#:double ancestor_x000D_
citiz:foreign_x000D_
#spos:1_x000D_
#srcs:1_x000D_
#comment:0_x000D_
#events:2_x000D_
#kids:1_x000D_
lived:EN_x000D_
issue:_x000D_
.recs:Birth,Marriage,Deed_x000D_
.imm?:no_x000D_
..Spo:MARGARET FAIRBANK</t>
        </r>
      </text>
    </comment>
    <comment ref="R6090" authorId="0" shapeId="0" xr:uid="{AF6A0E26-AD3E-463A-9E3F-DADD55E1E2BA}">
      <text>
        <r>
          <rPr>
            <sz val="9"/>
            <color indexed="81"/>
            <rFont val="Tahoma"/>
            <family val="2"/>
          </rPr>
          <t>Mrs. {_?_} FAIRBANK_x000D_
http://yeinfo.com/family/I09045121.html_x000D_
https://www.google.com/search?q={_?_}+FAIRBANK+1455+1480+FAIRBANK_x000D_
.born:?1455    -          England_x000D_
.died: 1480    -1545      , age:25y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..Spo:WILLIAM FAIRBANK</t>
        </r>
      </text>
    </comment>
    <comment ref="P6092" authorId="0" shapeId="0" xr:uid="{A72F7A7E-08AA-46C6-A9A2-67F0B3D1AD42}">
      <text>
        <r>
          <rPr>
            <sz val="9"/>
            <color indexed="81"/>
            <rFont val="Tahoma"/>
            <family val="2"/>
          </rPr>
          <t>GILBERT FAIRBANK_x000D_
http://yeinfo.com/family/I09011280.html_x000D_
https://www.google.com/search?q=GILBERT+FAIRBANK+1505+1578+CIBELLA+FAIRBANK_x000D_
.born:c1505    -          England_x000D_
.died: 15780303-          England, age:73y 2m 2d, _x000D_
.bapt: 1785GE_x000D_
.will: 2004MO_x000D_
.obit: 1890OH_x000D_
.bury: 1850IL _x000D_
.wpbt: 1826PA_x000D_
.anc#:double ancestor_x000D_
citiz:foreign_x000D_
#spos:2_x000D_
#srcs:1_x000D_
#comment:0_x000D_
#events:3_x000D_
#kids:8_x000D_
lived:EN_x000D_
issue:Married before Age 16,Spouse Age more than 30-Year Difference_x000D_
.recs:Birth,Marriage,Death_x000D_
.imm?:no_x000D_
..Spo:CIBELLA WAIDE</t>
        </r>
      </text>
    </comment>
    <comment ref="Q6094" authorId="0" shapeId="0" xr:uid="{706A275D-BDEE-4350-8E33-5811B567EF13}">
      <text>
        <r>
          <rPr>
            <sz val="9"/>
            <color indexed="81"/>
            <rFont val="Tahoma"/>
            <family val="2"/>
          </rPr>
          <t>Mrs. MARGARET FAIRBANK_x000D_
http://yeinfo.com/family/I09022561.html_x000D_
https://www.google.com/search?q=MARGARET+FAIRBANK+1480+1505+FAIRBANK_x000D_
.born:?1480    -          England_x000D_
.died: 1505    -1570      , age:25y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..Spo:JOHN FAIRBANK</t>
        </r>
      </text>
    </comment>
    <comment ref="O6096" authorId="0" shapeId="0" xr:uid="{C2BAFABF-3C4E-4F14-B7F6-67B9FD4ABAC4}">
      <text>
        <r>
          <rPr>
            <sz val="9"/>
            <color indexed="81"/>
            <rFont val="Tahoma"/>
            <family val="2"/>
          </rPr>
          <t>JOHN FAIRBANK_x000D_
http://yeinfo.com/family/I09005640.html_x000D_
https://www.google.com/search?q=JOHN+FAIRBANK+1565+1625+ISABEL+Parker_x000D_
.born:?1565    -          England_x000D_
.died: 1625    -          England, age:60y 0m 0d, _x000D_
.bapt: 1785GE_x000D_
.will: 2004MO_x000D_
.obit: 1890OH_x000D_
.bury: 1850IL _x000D_
.wpbt: 1826PA_x000D_
.anc#:double ancestor_x000D_
citiz:foreign_x000D_
#spos:2_x000D_
#srcs:1_x000D_
#comment:0_x000D_
#events:7_x000D_
#kids:8_x000D_
lived:ENYORKS_x000D_
issue:_x000D_
.recs:Birth,Marriage,Job/Occupation,Death_x000D_
.imm?:no_x000D_
..Spo:ISABEL STANCLIFFE</t>
        </r>
      </text>
    </comment>
    <comment ref="P6098" authorId="0" shapeId="0" xr:uid="{A11C2E35-1676-4B01-9B20-2654168C3C05}">
      <text>
        <r>
          <rPr>
            <sz val="9"/>
            <color indexed="81"/>
            <rFont val="Tahoma"/>
            <family val="2"/>
          </rPr>
          <t>CIBELLA WAIDE_x000D_
http://yeinfo.com/family/I09011281.html_x000D_
https://www.google.com/search?q=CIBELLA+WAIDE+1540+1576+FAIRBANK_x000D_
.born:?1540    -          England_x000D_
.died:?1576    -          England, age:36y 0m 0d, _x000D_
.bapt: 1785GE_x000D_
.will: 2004MO_x000D_
.obit: 1890OH_x000D_
.bury: 1850IL _x000D_
.wpbt: 1826PA_x000D_
.anc#:double ancestor_x000D_
citiz:foreign_x000D_
#spos:1_x000D_
#srcs:1_x000D_
#comment:0_x000D_
#events:1_x000D_
#kids:4_x000D_
lived:EN_x000D_
issue:Spouse Age more than 30-Year Difference_x000D_
.recs:Birth,Marriage,Death_x000D_
.imm?:no_x000D_
..Spo:GILBERT FAIRBANK</t>
        </r>
      </text>
    </comment>
    <comment ref="N6100" authorId="0" shapeId="0" xr:uid="{8F77A00B-6871-40A7-B9BB-C3E149D7E31B}">
      <text>
        <r>
          <rPr>
            <sz val="9"/>
            <color indexed="81"/>
            <rFont val="Tahoma"/>
            <family val="2"/>
          </rPr>
          <t>JONATHAN FAIRBANK_x000D_
http://yeinfo.com/family/I09002820.html_x000D_
https://www.google.com/search?q=JONATHAN+FAIRBANK+1595+1668+GRACE_x000D_
.born:c1595    -          Yorkshire county England_x000D_
.died: 16681205-          Dedham (Norfolk) Massachusetts, age:73y 11m 4d, _x000D_
.bapt: 1785GE_x000D_
.will: 2004MO_x000D_
.obit: 1890OH_x000D_
.bury: 1850IL _x000D_
.wpbt: 1826PA_x000D_
.anc#:double ancestor_x000D_
citiz:immigrant_x000D_
#spos:1_x000D_
#srcs:17_x000D_
#comment:1_x000D_
#events:9_x000D_
#kids:8_x000D_
lived:ENYORKSHALIFAX,ENYORKSSOWERBY,MANORFODEDHAM,MASUFFOBOSTON_x000D_
issue:_x000D_
.recs:Birth,Marriage,Ship Passenger List,Will Written,Death,Freeman,Church_x000D_
.imm?:immigrant_x000D_
..Spo:GRACE SMITH</t>
        </r>
      </text>
    </comment>
    <comment ref="O6102" authorId="0" shapeId="0" xr:uid="{A332C060-355F-47D9-BCA2-517E48C13D23}">
      <text>
        <r>
          <rPr>
            <sz val="9"/>
            <color indexed="81"/>
            <rFont val="Tahoma"/>
            <family val="2"/>
          </rPr>
          <t>ISABEL STANCLIFFE_x000D_
http://yeinfo.com/family/I09005641.html_x000D_
https://www.google.com/search?q=ISABEL+STANCLIFFE+1565+1597+FAIRBANK_x000D_
.born:?1565    -          England_x000D_
.died: 15970709-          England, age:32y 6m 8d,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..Spo:JOHN FAIRBANK</t>
        </r>
      </text>
    </comment>
    <comment ref="M6104" authorId="0" shapeId="0" xr:uid="{79C0931F-FFDB-4E8E-916F-E88E5D5CADD9}">
      <text>
        <r>
          <rPr>
            <sz val="9"/>
            <color indexed="81"/>
            <rFont val="Tahoma"/>
            <family val="2"/>
          </rPr>
          <t>MARY NANCY FAIRBANK_x000D_
http://yeinfo.com/family/I09002901.html_x000D_
https://www.google.com/search?q=MARY+NANCY+FAIRBANK+1622+1684+METCALF+Christopher_x000D_
.born: 1622    -          _x000D_
.died: 1684    -          Dedham (Norfolk) Massachusetts, age:62y 0m 0d, _x000D_
.bapt: 1785GE_x000D_
.will: 2004MO_x000D_
.obit: 1890OH_x000D_
.bury: 1850IL _x000D_
.wpbt: 1826PA_x000D_
.anc#:ancestor_x000D_
citiz:US born_x000D_
#spos:2_x000D_
#srcs:4_x000D_
#comment:0_x000D_
#events:3_x000D_
#kids:5_x000D_
lived:ENYORKS,MANORFODEDHAM_x000D_
issue:_x000D_
.recs:Birth,Baptism,Marriage,Death_x000D_
.imm?:no_x000D_
..Spo:MICHAEL METCALF</t>
        </r>
      </text>
    </comment>
    <comment ref="N6106" authorId="0" shapeId="0" xr:uid="{5B4AF5C3-4E8D-455A-9321-99BDF96AE044}">
      <text>
        <r>
          <rPr>
            <sz val="9"/>
            <color indexed="81"/>
            <rFont val="Tahoma"/>
            <family val="2"/>
          </rPr>
          <t>GRACE SMITH_x000D_
http://yeinfo.com/family/I09002821.html_x000D_
https://www.google.com/search?q=GRACE+SMITH+1600+1673+FAIRBANK_x000D_
.born:?1600    -          England_x000D_
.died: 16731028-         ?Lancaster (Worcester) Massachusetts, age:73y 9m 27d, _x000D_
.bapt: 1785GE_x000D_
.will: 2004MO_x000D_
.obit: 1890OH_x000D_
.bury: 1850IL _x000D_
.wpbt: 1826PA_x000D_
.anc#:double ancestor_x000D_
citiz:immigrant_x000D_
#spos:1_x000D_
#srcs:10_x000D_
#comment:0_x000D_
#events:2_x000D_
#kids:8_x000D_
lived:?MAWORCELANCAST,ENYORKSHALIFAX,ENYORKSWARLEY_x000D_
issue:_x000D_
.recs:Birth,Marriage,Death_x000D_
.imm?:immigrant_x000D_
..Spo:JONATHAN FAIRBANK</t>
        </r>
      </text>
    </comment>
    <comment ref="K6108" authorId="0" shapeId="0" xr:uid="{3C51D1A4-4781-4191-A2C4-2830BD197CC9}">
      <text>
        <r>
          <rPr>
            <sz val="9"/>
            <color indexed="81"/>
            <rFont val="Tahoma"/>
            <family val="2"/>
          </rPr>
          <t>HANNAH METCALF_x000D_
http://yeinfo.com/family/I09000725.html_x000D_
https://www.google.com/search?q=HANNAH+METCALF+1687+1770+RICHARDS_x000D_
.born: 16870310-          Dedham (Norfolk) Massachusetts_x000D_
.died: 17700208-          Dedham (Norfolk) Massachusetts, age:82y 10m 29d, _x000D_
.bapt: 1785GE_x000D_
.will: 2004MO_x000D_
.obit: 1890OH_x000D_
.bury: 1850IL _x000D_
.wpbt: 1826PA_x000D_
.anc#:ancestor_x000D_
citiz:US born_x000D_
#spos:1_x000D_
#srcs:1_x000D_
#comment:0_x000D_
#events:1_x000D_
#kids:15_x000D_
lived:MANORFODEDHAM_x000D_
issue:_x000D_
.recs:Birth,Marriage,Death_x000D_
.imm?:no_x000D_
..Spo:JAMES RICHARDS</t>
        </r>
      </text>
    </comment>
    <comment ref="M6110" authorId="0" shapeId="0" xr:uid="{7F896E0E-F568-457B-A5F4-51AE9B59DBD8}">
      <text>
        <r>
          <rPr>
            <sz val="9"/>
            <color indexed="81"/>
            <rFont val="Tahoma"/>
            <family val="2"/>
          </rPr>
          <t>JOHN KENDRICK_x000D_
http://yeinfo.com/family/I09002902.html_x000D_
https://www.google.com/search?q=JOHN+KENDRICK+1604+1686+ANNA_x000D_
.born: 1604    -          Yorkshire county England_x000D_
.died: 16860829-          Boston (Suffolk) Massachusetts, age:82y 7m 28d, _x000D_
.bapt: 1785GE_x000D_
.will: 2004MO_x000D_
.obit: 1890OH_x000D_
.bury: 1850IL _x000D_
.wpbt: 1826PA_x000D_
.anc#:ancestor_x000D_
citiz:immigrant_x000D_
#spos:1_x000D_
#srcs:2_x000D_
#comment:1_x000D_
#events:1_x000D_
#kids:6_x000D_
lived:ENYORKS,MASUFFOBOSTON_x000D_
issue:_x000D_
.recs:Birth,Marriage,Death_x000D_
.imm?:immigrant_x000D_
..Spo:ANNA SMITH</t>
        </r>
      </text>
    </comment>
    <comment ref="L6112" authorId="0" shapeId="0" xr:uid="{EB8E130C-9C96-4E75-A2EE-237EBE67AD5A}">
      <text>
        <r>
          <rPr>
            <sz val="9"/>
            <color indexed="81"/>
            <rFont val="Tahoma"/>
            <family val="2"/>
          </rPr>
          <t>HANNAH KENDRICH_x000D_
http://yeinfo.com/family/I09001451.html_x000D_
https://www.google.com/search?q=HANNAH+KENDRICH+1651+1731+METCALF_x000D_
.born: 16510320-         ?Massachusetts_x000D_
.died: 17311223-         ?Massachusetts, age:80y 9m 3d, _x000D_
.bapt: 1785GE_x000D_
.will: 2004MO_x000D_
.obit: 1890OH_x000D_
.bury: 1850IL _x000D_
.wpbt: 1826PA_x000D_
.anc#:ancestor_x000D_
citiz:US born_x000D_
#spos:1_x000D_
#srcs:2_x000D_
#comment:0_x000D_
#events:1_x000D_
#kids:16_x000D_
lived:?MA,MANORFODEDHAM,MASUFFOBOSTON_x000D_
issue:_x000D_
.recs:Birth,Marriage,Death_x000D_
.imm?:no_x000D_
..Spo:JONATHAN METCALF</t>
        </r>
      </text>
    </comment>
    <comment ref="M6114" authorId="0" shapeId="0" xr:uid="{827EAE45-80F1-4277-9AA2-6563A813649D}">
      <text>
        <r>
          <rPr>
            <sz val="9"/>
            <color indexed="81"/>
            <rFont val="Tahoma"/>
            <family val="2"/>
          </rPr>
          <t>ANNA SMITH_x000D_
http://yeinfo.com/family/I09002903.html_x000D_
https://www.google.com/search?q=ANNA+SMITH+1613+1656+KENDRICK_x000D_
.born: 1613    -          Shropshire county England_x000D_
.died: 1656    -          Boston (Suffolk) Massachusetts, age:43y 0m 0d, _x000D_
.bapt: 1785GE_x000D_
.will: 2004MO_x000D_
.obit: 1890OH_x000D_
.bury: 1850IL _x000D_
.wpbt: 1826PA_x000D_
.anc#:ancestor_x000D_
citiz:immigrant_x000D_
#spos:1_x000D_
#srcs:2_x000D_
#comment:1_x000D_
#events:1_x000D_
#kids:6_x000D_
lived:ENSHROP,MASUFFOBOSTON_x000D_
issue:_x000D_
.recs:Birth,Marriage,Death_x000D_
.imm?:immigrant_x000D_
..Spo:JOHN KENDRICK</t>
        </r>
      </text>
    </comment>
    <comment ref="I6116" authorId="0" shapeId="0" xr:uid="{A96C74AE-59E2-4040-84C0-3DC459C82147}">
      <text>
        <r>
          <rPr>
            <sz val="9"/>
            <color indexed="81"/>
            <rFont val="Tahoma"/>
            <family val="2"/>
          </rPr>
          <t>ABIGAIL RICHARDS_x000D_
http://yeinfo.com/family/I09000181.html_x000D_
https://www.google.com/search?q=ABIGAIL+RICHARDS+1742+1781+DEAN_x000D_
.born: 17421010-          Dedham (Norfolk) Massachusetts_x000D_
.died: 17810706-          Dover (Norfolk) Massachusetts, age:38y 8m 26d, _x000D_
.bapt: 1785GE_x000D_
.will: 2004MO_x000D_
.obit: 1890OH_x000D_
.bury: 1850IL _x000D_
.wpbt: 1826PA_x000D_
.anc#:ancestor_x000D_
citiz:US born_x000D_
#spos:1_x000D_
#srcs:2_x000D_
#comment:1_x000D_
#events:2_x000D_
#kids:9_x000D_
lived:MANORFODEDHAM,MANORFODOVER,MASUFFODEDHAM,MAWORCEUPTON_x000D_
issue:_x000D_
.recs:Birth,Marriage Intention/Bonds,Death_x000D_
.imm?:no_x000D_
..Spo:JOSIAH DEAN</t>
        </r>
      </text>
    </comment>
    <comment ref="M6118" authorId="0" shapeId="0" xr:uid="{92B69912-1C84-45BD-B433-B468BFA971D8}">
      <text>
        <r>
          <rPr>
            <sz val="9"/>
            <color indexed="81"/>
            <rFont val="Tahoma"/>
            <family val="2"/>
          </rPr>
          <t>JOHN STRATTON Sr._x000D_
http://yeinfo.com/family/I09002904.html_x000D_
https://www.google.com/search?q=JOHN+STRATTON+1632+1718+ELIZABETH_x000D_
.born: 16321014-          Podington (Bedfordshire) England_x000D_
.died: 1718    -          Waterton (Middlesex) Massachusetts, age:85y 2m 18d, _x000D_
.bapt: 1785GE_x000D_
.will: 2004MO_x000D_
.obit: 1890OH_x000D_
.bury: 1850IL _x000D_
.wpbt: 1826PA_x000D_
.anc#:ancestor_x000D_
citiz:immigrant_x000D_
#spos:1_x000D_
#srcs:1_x000D_
#comment:1_x000D_
#events:1_x000D_
#kids:1_x000D_
lived:ENBEDFOPODINGT,MAMIDDLWATERTO_x000D_
issue:_x000D_
.recs:Birth,Marriage,Death_x000D_
.imm?:immigrant_x000D_
..Spo:ELIZABETH TRAINE</t>
        </r>
      </text>
    </comment>
    <comment ref="L6120" authorId="0" shapeId="0" xr:uid="{EAC9ACA4-B44F-46F6-B718-C1A179A063D8}">
      <text>
        <r>
          <rPr>
            <sz val="9"/>
            <color indexed="81"/>
            <rFont val="Tahoma"/>
            <family val="2"/>
          </rPr>
          <t>JOHN STRATTON Jr._x000D_
http://yeinfo.com/family/I09001452.html_x000D_
https://www.google.com/search?q=JOHN+STRATTON+1661+1718+ABIGAIL_x000D_
.born: 16610824-          Waterton (Middlesex) Massachusetts_x000D_
.died: 17180226-          Waterton (Middlesex) Massachusetts, age:56y 6m 2d, _x000D_
.bapt: 1785GE_x000D_
.will: 2004MO_x000D_
.obit: 1890OH_x000D_
.bury: 1850IL _x000D_
.wpbt: 1826PA_x000D_
.anc#:ancestor_x000D_
citiz:US born_x000D_
#spos:1_x000D_
#srcs:2_x000D_
#comment:0_x000D_
#events:1_x000D_
#kids:1_x000D_
lived:MAMIDDLWATERTO_x000D_
issue:_x000D_
.recs:Birth,Marriage,Death_x000D_
.imm?:no_x000D_
..Spo:ABIGAIL BLANCHARD</t>
        </r>
      </text>
    </comment>
    <comment ref="Q6122" authorId="0" shapeId="0" xr:uid="{0E47EBAD-8A0F-4E36-ADA8-82DAA48F86E4}">
      <text>
        <r>
          <rPr>
            <sz val="9"/>
            <color indexed="81"/>
            <rFont val="Tahoma"/>
            <family val="2"/>
          </rPr>
          <t>STEVEN TRAINE_x000D_
http://yeinfo.com/family/I09046480.html_x000D_
https://www.google.com/search?q=STEVEN+TRAINE+1530+1583+MARGARET_x000D_
.born:?1530    -          Aryshire county Scotland_x000D_
.died: 1583    -          Aryshire county Scotland, age:53y 0m 0d, _x000D_
.bapt: 1785GE_x000D_
.will: 2004MO_x000D_
.obit: 1890OH_x000D_
.bury: 1850IL _x000D_
.wpbt: 1826PA_x000D_
.anc#:ancestor_x000D_
citiz:foreign_x000D_
#spos:1_x000D_
#srcs:1_x000D_
#comment:0_x000D_
#events:1_x000D_
#kids:1_x000D_
lived:STAYRSH_x000D_
issue:_x000D_
.recs:Birth,Marriage,Death_x000D_
.imm?:no_x000D_
..Spo:MARGARET BROWN</t>
        </r>
      </text>
    </comment>
    <comment ref="P6124" authorId="0" shapeId="0" xr:uid="{329A6DCD-005B-4EB9-ADA9-555D3317B1AD}">
      <text>
        <r>
          <rPr>
            <sz val="9"/>
            <color indexed="81"/>
            <rFont val="Tahoma"/>
            <family val="2"/>
          </rPr>
          <t>PATRICK TRAINE_x000D_
http://yeinfo.com/family/I09023240.html_x000D_
https://www.google.com/search?q=PATRICK+TRAINE+1560+1602+MARGARET_x000D_
.born: 1560    -          Scotland_x000D_
.died: 1602    -          Scotland, age:42y 0m 0d, _x000D_
.bapt: 1785GE_x000D_
.will: 2004MO_x000D_
.obit: 1890OH_x000D_
.bury: 1850IL _x000D_
.wpbt: 1826PA_x000D_
.anc#:ancestor_x000D_
citiz:foreign_x000D_
#spos:1_x000D_
#srcs:1_x000D_
#comment:0_x000D_
#events:1_x000D_
#kids:1_x000D_
lived:ST_x000D_
issue:_x000D_
.recs:Birth,Marriage,Death_x000D_
.imm?:no_x000D_
..Spo:MARGARET BAILLE</t>
        </r>
      </text>
    </comment>
    <comment ref="Q6126" authorId="0" shapeId="0" xr:uid="{F2D420EB-3D07-41ED-853F-2C57B31B3239}">
      <text>
        <r>
          <rPr>
            <sz val="9"/>
            <color indexed="81"/>
            <rFont val="Tahoma"/>
            <family val="2"/>
          </rPr>
          <t>MARGARET BROWN_x000D_
http://yeinfo.com/family/I09046481.html_x000D_
https://www.google.com/search?q=MARGARET+BROWN+1530+1560+TRAINE_x000D_
.born:?1530    -          Aryshire county Scotland_x000D_
.died: 1560    -1600      Aryshire county Scotland, age:30y 0m 0d, _x000D_
.bapt: 1785GE_x000D_
.will: 2004MO_x000D_
.obit: 1890OH_x000D_
.bury: 1850IL _x000D_
.wpbt: 1826PA_x000D_
.anc#:ancestor_x000D_
citiz:foreign_x000D_
#spos:1_x000D_
#srcs:1_x000D_
#comment:0_x000D_
#events:1_x000D_
#kids:1_x000D_
lived:STAYRSH_x000D_
issue:_x000D_
.recs:Birth,Marriage,Death_x000D_
.imm?:no_x000D_
..Spo:STEVEN TRAINE</t>
        </r>
      </text>
    </comment>
    <comment ref="O6128" authorId="0" shapeId="0" xr:uid="{07B95E31-6ADB-4DE3-82F3-D1E3DBD7D750}">
      <text>
        <r>
          <rPr>
            <sz val="9"/>
            <color indexed="81"/>
            <rFont val="Tahoma"/>
            <family val="2"/>
          </rPr>
          <t>JAMES TRAINE_x000D_
http://yeinfo.com/family/I09011620.html_x000D_
https://www.google.com/search?q=JAMES+TRAINE+1580+1657+ISABELLA_x000D_
.born: 1580    -          Irvine (Aryshire) Scotland_x000D_
.died: 1657    -          Glasgow (Glasgow) Scotland, age:77y 0m 0d, _x000D_
.bapt: 1785GE_x000D_
.will: 2004MO_x000D_
.obit: 1890OH_x000D_
.bury: 1850IL _x000D_
.wpbt: 1826PA_x000D_
.anc#:ancestor_x000D_
citiz:foreign_x000D_
#spos:1_x000D_
#srcs:1_x000D_
#comment:0_x000D_
#events:1_x000D_
#kids:1_x000D_
lived:STAYRSHIRVINE,STGLASGGLASGOW_x000D_
issue:_x000D_
.recs:Birth,Marriage,Death_x000D_
.imm?:no_x000D_
..Spo:ISABELLA ORR</t>
        </r>
      </text>
    </comment>
    <comment ref="R6130" authorId="0" shapeId="0" xr:uid="{50F702BC-60E2-4608-A7D7-A7104DE076B0}">
      <text>
        <r>
          <rPr>
            <sz val="9"/>
            <color indexed="81"/>
            <rFont val="Tahoma"/>
            <family val="2"/>
          </rPr>
          <t>WILLIAM BAILLE_x000D_
http://yeinfo.com/family/I09066765.html_x000D_
https://www.google.com/search?q=WILLIAM+BAILLE+1507+1527+JANET+JOHANNA_x000D_
.born:?1507    -         ?Scotland_x000D_
.died: 1527    -1592     ?Scotland, age:20y 0m 0d, _x000D_
.bapt: 1785GE_x000D_
.will: 2004MO_x000D_
.obit: 1890OH_x000D_
.bury: 1850IL _x000D_
.wpbt: 1826PA_x000D_
.anc#:ancestor_x000D_
citiz:foreign_x000D_
#spos:1_x000D_
#srcs:2_x000D_
#comment:1_x000D_
#events:2_x000D_
#kids:1_x000D_
lived:?ST_x000D_
issue:_x000D_
.recs:Birth,Marriage,Death_x000D_
.imm?:no_x000D_
..Spo:JANET JOHANNA HAMILTON</t>
        </r>
      </text>
    </comment>
    <comment ref="Q6132" authorId="0" shapeId="0" xr:uid="{98E06DE4-734F-4B74-8A6D-02BD40196E07}">
      <text>
        <r>
          <rPr>
            <sz val="9"/>
            <color indexed="81"/>
            <rFont val="Tahoma"/>
            <family val="2"/>
          </rPr>
          <t>WILLIAM BAILLE_x000D_
http://yeinfo.com/family/I09046482.html_x000D_
https://www.google.com/search?q=WILLIAM+BAILLE+1527+1587+MARGARET_x000D_
.born: 1527    -          Scotland_x000D_
.died: 1587    -          Lamington (Lanarkshire) Scotland, age:60y 0m 0d, _x000D_
.bapt: 1785GE_x000D_
.will: 2004MO_x000D_
.obit: 1890OH_x000D_
.bury: 1850IL _x000D_
.wpbt: 1826PA_x000D_
.anc#:ancestor_x000D_
citiz:foreign_x000D_
#spos:1_x000D_
#srcs:1_x000D_
#comment:0_x000D_
#events:1_x000D_
#kids:1_x000D_
lived:STLANARLAMINGT_x000D_
issue:_x000D_
.recs:Birth,Marriage,Death_x000D_
.imm?:no_x000D_
..Spo:MARGARET MAXWELL</t>
        </r>
      </text>
    </comment>
    <comment ref="R6134" authorId="0" shapeId="0" xr:uid="{45FB93E1-B309-4F5F-B17C-DCD6ECC80AE4}">
      <text>
        <r>
          <rPr>
            <sz val="9"/>
            <color indexed="81"/>
            <rFont val="Tahoma"/>
            <family val="2"/>
          </rPr>
          <t>JANET JOHANNA HAMILTON_x000D_
http://yeinfo.com/family/I09066766.html_x000D_
https://www.google.com/search?q=JANET+JOHANNA+HAMILTON+1507+1527+BAILLE_x000D_
.born:?1507    -         ?Scotland_x000D_
.died: 1527    -1592     ?Scotland, age:20y 0m 0d, _x000D_
.bapt: 1785GE_x000D_
.will: 2004MO_x000D_
.obit: 1890OH_x000D_
.bury: 1850IL _x000D_
.wpbt: 1826PA_x000D_
.anc#:ancestor_x000D_
citiz:foreign_x000D_
#spos:1_x000D_
#srcs:1_x000D_
#comment:0_x000D_
#events:1_x000D_
#kids:1_x000D_
lived:?ST_x000D_
issue:_x000D_
.recs:Birth,Marriage,Death_x000D_
.imm?:no_x000D_
..Spo:WILLIAM BAILLE</t>
        </r>
      </text>
    </comment>
    <comment ref="P6136" authorId="0" shapeId="0" xr:uid="{35800216-84DB-4BD8-BAEA-D19FF86FCB1B}">
      <text>
        <r>
          <rPr>
            <sz val="9"/>
            <color indexed="81"/>
            <rFont val="Tahoma"/>
            <family val="2"/>
          </rPr>
          <t>MARGARET BAILLE_x000D_
http://yeinfo.com/family/I09023241.html_x000D_
https://www.google.com/search?q=MARGARET+BAILLE+1557+1611+TRAINE_x000D_
.born: 1557    -         ?Scotland_x000D_
.died: 1611    -          , age:54y 0m 0d, _x000D_
.bapt: 1785GE_x000D_
.will: 2004MO_x000D_
.obit: 1890OH_x000D_
.bury: 1850IL _x000D_
.wpbt: 1826PA_x000D_
.anc#:ancestor_x000D_
citiz:US born_x000D_
#spos:1_x000D_
#srcs:1_x000D_
#comment:0_x000D_
#events:1_x000D_
#kids:1_x000D_
lived:?ST_x000D_
issue:_x000D_
.recs:Birth,Marriage,Death_x000D_
.imm?:no_x000D_
..Spo:PATRICK TRAINE</t>
        </r>
      </text>
    </comment>
    <comment ref="R6138" authorId="0" shapeId="0" xr:uid="{0F81FBBB-A434-408C-BA8D-FCC2ED3D431D}">
      <text>
        <r>
          <rPr>
            <sz val="9"/>
            <color indexed="81"/>
            <rFont val="Tahoma"/>
            <family val="2"/>
          </rPr>
          <t>ROBERT MAXWELL_x000D_
http://yeinfo.com/family/I09066767.html_x000D_
https://www.google.com/search?q=ROBERT+MAXWELL+1505+1525+JANET_x000D_
.born:?1505    -         ?_x000D_
.died: 1525    -1590     ?, age:20y 0m 0d, _x000D_
.bapt: 1785GE_x000D_
.will: 2004MO_x000D_
.obit: 1890OH_x000D_
.bury: 1850IL _x000D_
.wpbt: 1826PA_x000D_
.anc#:ancestor_x000D_
citiz:foreign_x000D_
#spos:1_x000D_
#srcs:1_x000D_
#comment:0_x000D_
#events:1_x000D_
#kids:1_x000D_
lived:_x000D_
issue:_x000D_
.recs:Birth,Marriage,Death_x000D_
.imm?:no_x000D_
..Spo:JANET DOUGLAS</t>
        </r>
      </text>
    </comment>
    <comment ref="Q6140" authorId="0" shapeId="0" xr:uid="{4CA6ADE2-837E-4E35-ADD6-32A79F400EC2}">
      <text>
        <r>
          <rPr>
            <sz val="9"/>
            <color indexed="81"/>
            <rFont val="Tahoma"/>
            <family val="2"/>
          </rPr>
          <t>MARGARET MAXWELL_x000D_
http://yeinfo.com/family/I09046483.html_x000D_
https://www.google.com/search?q=MARGARET+MAXWELL+1525+1593+BAILLE_x000D_
.born:?1525    -          Dumfries county Scotland_x000D_
.died: 15930131-          Lanarkshire county Scotland, age:68y 0m 30d, _x000D_
.bapt: 1785GE_x000D_
.will: 2004MO_x000D_
.obit: 1890OH_x000D_
.bury: 1850IL _x000D_
.wpbt: 1826PA_x000D_
.anc#:ancestor_x000D_
citiz:foreign_x000D_
#spos:1_x000D_
#srcs:1_x000D_
#comment:0_x000D_
#events:1_x000D_
#kids:1_x000D_
lived:STDUMFR,STLANARLAMINGT_x000D_
issue:_x000D_
.recs:Birth,Marriage,Death_x000D_
.imm?:no_x000D_
..Spo:WILLIAM BAILLE</t>
        </r>
      </text>
    </comment>
    <comment ref="R6142" authorId="0" shapeId="0" xr:uid="{99D041FC-91E0-4DAA-8EFE-3399524522E1}">
      <text>
        <r>
          <rPr>
            <sz val="9"/>
            <color indexed="81"/>
            <rFont val="Tahoma"/>
            <family val="2"/>
          </rPr>
          <t>JANET DOUGLAS_x000D_
http://yeinfo.com/family/I09066768.html_x000D_
https://www.google.com/search?q=JANET+DOUGLAS+1505+1525+MAXWELL_x000D_
.born:?1505    -         ?_x000D_
.died: 1525    -1590     ?, age:20y 0m 0d, _x000D_
.bapt: 1785GE_x000D_
.will: 2004MO_x000D_
.obit: 1890OH_x000D_
.bury: 1850IL _x000D_
.wpbt: 1826PA_x000D_
.anc#:ancestor_x000D_
citiz:foreign_x000D_
#spos:1_x000D_
#srcs:1_x000D_
#comment:0_x000D_
#events:1_x000D_
#kids:1_x000D_
lived:_x000D_
issue:_x000D_
.recs:Birth,Marriage,Death_x000D_
.imm?:no_x000D_
..Spo:ROBERT MAXWELL</t>
        </r>
      </text>
    </comment>
    <comment ref="N6144" authorId="0" shapeId="0" xr:uid="{F91FB64D-4D16-4EE4-BECB-376D869ECFB2}">
      <text>
        <r>
          <rPr>
            <sz val="9"/>
            <color indexed="81"/>
            <rFont val="Tahoma"/>
            <family val="2"/>
          </rPr>
          <t>JOHN TRAINE Sr._x000D_
http://yeinfo.com/family/I09005810.html_x000D_
https://www.google.com/search?q=JOHN+TRAINE+1610+1680+MARGARET+Lorne_x000D_
.born:?1610    -         ?Scotland_x000D_
.died: 16800129-          Waterton (Middlesex) Massachusetts, age:70y 0m 28d, _x000D_
.bapt: 1785GE_x000D_
.will: 2004MO_x000D_
.obit: 1890OH_x000D_
.bury: 1850IL _x000D_
.wpbt: 1826PA_x000D_
.anc#:ancestor_x000D_
citiz:immigrant_x000D_
#spos:3_x000D_
#srcs:6_x000D_
#comment:0_x000D_
#events:3_x000D_
#kids:1_x000D_
lived:?ST,MAMIDDLWATERTO_x000D_
issue:_x000D_
.recs:Birth,Marriage,Death_x000D_
.imm?:immigrant_x000D_
..Spo:MARGARET DIX</t>
        </r>
      </text>
    </comment>
    <comment ref="O6146" authorId="0" shapeId="0" xr:uid="{D096A18E-8962-4C49-9779-E9D01CF0ABBF}">
      <text>
        <r>
          <rPr>
            <sz val="9"/>
            <color indexed="81"/>
            <rFont val="Tahoma"/>
            <family val="2"/>
          </rPr>
          <t>ISABELLA ORR_x000D_
http://yeinfo.com/family/I09011621.html_x000D_
https://www.google.com/search?q=ISABELLA+ORR+1586+1646+TRAINE_x000D_
.born: 1586    -          Glasgow (Glasgow) Scotland_x000D_
.died: 1646    -          Glasgow (Glasgow) Scotland, age:60y 0m 0d, _x000D_
.bapt: 1785GE_x000D_
.will: 2004MO_x000D_
.obit: 1890OH_x000D_
.bury: 1850IL _x000D_
.wpbt: 1826PA_x000D_
.anc#:ancestor_x000D_
citiz:foreign_x000D_
#spos:1_x000D_
#srcs:1_x000D_
#comment:0_x000D_
#events:1_x000D_
#kids:1_x000D_
lived:STGLASGGLASGOW_x000D_
issue:_x000D_
.recs:Birth,Marriage,Death_x000D_
.imm?:no_x000D_
..Spo:JAMES TRAINE</t>
        </r>
      </text>
    </comment>
    <comment ref="M6148" authorId="0" shapeId="0" xr:uid="{B03FDDEA-B6F1-4B66-B883-F5CAC4610F5C}">
      <text>
        <r>
          <rPr>
            <sz val="9"/>
            <color indexed="81"/>
            <rFont val="Tahoma"/>
            <family val="2"/>
          </rPr>
          <t>ELIZABETH TRAINE_x000D_
http://yeinfo.com/family/I09002905.html_x000D_
https://www.google.com/search?q=ELIZABETH+TRAINE+1640+1708+STRATTON_x000D_
.born: 16400730-          Waterton (Middlesex) Massachusetts_x000D_
.died: 17080507-          , age:67y 9m 7d, _x000D_
.bapt: 1785GE_x000D_
.will: 2004MO_x000D_
.obit: 1890OH_x000D_
.bury: 1850IL Spring Hill Cemetery_x000D_
.wpbt: 1826PA_x000D_
.anc#:ancestor_x000D_
citiz:US born_x000D_
#spos:1_x000D_
#srcs:3_x000D_
#comment:1_x000D_
#events:2_x000D_
#kids:1_x000D_
lived:MAMIDDLMARLBOR,MAMIDDLWATERTO_x000D_
issue:_x000D_
.recs:Birth,Marriage,Death,Interment/Burial_x000D_
.imm?:no_x000D_
..Spo:JOHN STRATTON</t>
        </r>
      </text>
    </comment>
    <comment ref="O6150" authorId="0" shapeId="0" xr:uid="{4F5FC5B2-C0D7-4899-A528-17F5422DC9B1}">
      <text>
        <r>
          <rPr>
            <sz val="9"/>
            <color indexed="81"/>
            <rFont val="Tahoma"/>
            <family val="2"/>
          </rPr>
          <t>EDWARD DIX_x000D_
http://yeinfo.com/family/I09011622.html_x000D_
https://www.google.com/search?q=EDWARD+DIX+1574+1617+MARY+JANE_x000D_
.born: 1574    -         ?England_x000D_
.died: 1617    -1664      , age:43y 0m 0d, _x000D_
.bapt: 1785GE_x000D_
.will: 2004MO_x000D_
.obit: 1890OH_x000D_
.bury: 1850IL _x000D_
.wpbt: 1826PA_x000D_
.anc#:ancestor_x000D_
citiz:US born_x000D_
#spos:1_x000D_
#srcs:2_x000D_
#comment:0_x000D_
#events:1_x000D_
#kids:1_x000D_
lived:?EN_x000D_
issue:_x000D_
.recs:Birth,Marriage,Death_x000D_
.imm?:no_x000D_
..Spo:MARY JANE WILKINSON</t>
        </r>
      </text>
    </comment>
    <comment ref="N6152" authorId="0" shapeId="0" xr:uid="{EE9EF2B2-6502-42E7-99C7-6B5FC839C2F8}">
      <text>
        <r>
          <rPr>
            <sz val="9"/>
            <color indexed="81"/>
            <rFont val="Tahoma"/>
            <family val="2"/>
          </rPr>
          <t>MARGARET DIX_x000D_
http://yeinfo.com/family/I09005811.html_x000D_
https://www.google.com/search?q=MARGARET+DIX+1617+1660+TRAINE_x000D_
.born: 16170511-          _x000D_
.died: 16601218-          Waterton (Middlesex) Massachusetts, age:43y 7m 7d, _x000D_
.bapt: 1785GE_x000D_
.will: 2004MO_x000D_
.obit: 1890OH_x000D_
.bury: 1850IL _x000D_
.wpbt: 1826PA_x000D_
.anc#:ancestor_x000D_
citiz:US born_x000D_
#spos:1_x000D_
#srcs:6_x000D_
#comment:0_x000D_
#events:1_x000D_
#kids:1_x000D_
lived:MAMIDDLWATERTO_x000D_
issue:_x000D_
.recs:Birth,Marriage,Death_x000D_
.imm?:no_x000D_
..Spo:JOHN TRAINE</t>
        </r>
      </text>
    </comment>
    <comment ref="O6154" authorId="0" shapeId="0" xr:uid="{0608D099-53D0-43FB-AD71-7824ABF0074D}">
      <text>
        <r>
          <rPr>
            <sz val="9"/>
            <color indexed="81"/>
            <rFont val="Tahoma"/>
            <family val="2"/>
          </rPr>
          <t>MARY JANE WILKINSON_x000D_
http://yeinfo.com/family/I09011623.html_x000D_
https://www.google.com/search?q=MARY+JANE+WILKINSON+1578+1642+DIX_x000D_
.born:c1578    -          England_x000D_
.died: 16420218-          , age:64y 1m 17d, _x000D_
.bapt: 1785GE_x000D_
.will: 2004MO_x000D_
.obit: 1890OH_x000D_
.bury: 1850IL _x000D_
.wpbt: 1826PA_x000D_
.anc#:ancestor_x000D_
citiz:US born_x000D_
#spos:1_x000D_
#srcs:2_x000D_
#comment:0_x000D_
#events:1_x000D_
#kids:1_x000D_
lived:EN_x000D_
issue:_x000D_
.recs:Birth,Marriage,Death_x000D_
.imm?:no_x000D_
..Spo:EDWARD DIX</t>
        </r>
      </text>
    </comment>
    <comment ref="K6156" authorId="0" shapeId="0" xr:uid="{4D3ADAFE-728C-4D2E-9FCB-3AF78F175234}">
      <text>
        <r>
          <rPr>
            <sz val="9"/>
            <color indexed="81"/>
            <rFont val="Tahoma"/>
            <family val="2"/>
          </rPr>
          <t>EBENEZER STRATTON Sr._x000D_
http://yeinfo.com/family/I09000726.html_x000D_
https://www.google.com/search?q=EBENEZER+STRATTON+1692+1735+LYDIA_x000D_
.born: 16921201-          Waterton (Middlesex) Massachusetts_x000D_
.died: 17351204-          Cambridge (Middlesex) Massachusetts, age:43y 0m 3d, _x000D_
.bapt: 1785GE_x000D_
.will: 2004MO_x000D_
.obit: 1890OH_x000D_
.bury: 1850IL _x000D_
.wpbt: 1826PA_x000D_
.anc#:ancestor_x000D_
citiz:US born_x000D_
#spos:1_x000D_
#srcs:2_x000D_
#comment:1_x000D_
#events:1_x000D_
#kids:1_x000D_
lived:MAMIDDLCAMBRID,MAMIDDLWATERTO_x000D_
issue:_x000D_
.recs:Birth,Marriage,Death_x000D_
.imm?:no_x000D_
..Spo:LYDIA FULLER</t>
        </r>
      </text>
    </comment>
    <comment ref="N6158" authorId="0" shapeId="0" xr:uid="{78BE2740-2C4F-4428-B58D-263D108F3AC3}">
      <text>
        <r>
          <rPr>
            <sz val="9"/>
            <color indexed="81"/>
            <rFont val="Tahoma"/>
            <family val="2"/>
          </rPr>
          <t>THOMAS BLANCHARD_x000D_
http://yeinfo.com/family/I09005812.html_x000D_
https://www.google.com/search?q=THOMAS+BLANCHARD+1605+1629+ELIZABETH_x000D_
.born:?1605    -         ?England_x000D_
.died: 1629    -1695      , age:24y 0m 0d, _x000D_
.bapt: 1785GE_x000D_
.will: 2004MO_x000D_
.obit: 1890OH_x000D_
.bury: 1850IL _x000D_
.wpbt: 1826PA_x000D_
.anc#:ancestor_x000D_
citiz:US born_x000D_
#spos:1_x000D_
#srcs:2_x000D_
#comment:0_x000D_
#events:2_x000D_
#kids:1_x000D_
lived:?ENHAMPS_x000D_
issue:_x000D_
.recs:Birth,Marriage,Ship Passenger List,Death_x000D_
.imm?:no_x000D_
..Spo:ELIZABETH BLANCHARD</t>
        </r>
      </text>
    </comment>
    <comment ref="M6160" authorId="0" shapeId="0" xr:uid="{9586AE46-2519-4780-B422-CADB91963047}">
      <text>
        <r>
          <rPr>
            <sz val="9"/>
            <color indexed="81"/>
            <rFont val="Tahoma"/>
            <family val="2"/>
          </rPr>
          <t>SAMUEL BLANCHARD_x000D_
http://yeinfo.com/family/I09002906.html_x000D_
https://www.google.com/search?q=SAMUEL+BLANCHARD+1629+1707+MARY_x000D_
.born: 16290806-          Goodworth Clatford (Hampshire) England_x000D_
.died: 17070422-          Andover (Essex) Massachusetts, age:77y 8m 16d, _x000D_
.bapt: 1785GE_x000D_
.will: 2004MO_x000D_
.obit: 1890OH_x000D_
.bury: 1850IL West Parish Garden Cemetery_x000D_
.wpbt: 1826PA_x000D_
.anc#:ancestor_x000D_
citiz:immigrant_x000D_
#spos:1_x000D_
#srcs:2_x000D_
#comment:1_x000D_
#events:4_x000D_
#kids:1_x000D_
lived:ENHAMPSGOODWOR,MAESSEXANDOVER_x000D_
issue:_x000D_
.recs:Birth,Baptism,Marriage,Ship Passenger List,Death,Interment/Burial_x000D_
.imm?:immigrant_x000D_
..Spo:MARY SWEETSER</t>
        </r>
      </text>
    </comment>
    <comment ref="N6162" authorId="0" shapeId="0" xr:uid="{F3372BAD-8A40-49F7-A7C8-25D727D0057D}">
      <text>
        <r>
          <rPr>
            <sz val="9"/>
            <color indexed="81"/>
            <rFont val="Tahoma"/>
            <family val="2"/>
          </rPr>
          <t>Mrs. ELIZABETH BLANCHARD_x000D_
http://yeinfo.com/family/I09005813.html_x000D_
https://www.google.com/search?q=ELIZABETH+BLANCHARD+1592+1636+BLANCHARD_x000D_
.born: 15920409-          Yorkshire county England_x000D_
.died: 1636    -          England, age:43y 8m 23d, _x000D_
.bapt: 1785GE_x000D_
.will: 2004MO_x000D_
.obit: 1890OH_x000D_
.bury: 1850IL _x000D_
.wpbt: 1826PA_x000D_
.anc#:ancestor_x000D_
citiz:foreign_x000D_
#spos:1_x000D_
#srcs:3_x000D_
#comment:0_x000D_
#events:1_x000D_
#kids:1_x000D_
lived:?ENHAMPS,ENYORKS_x000D_
issue:_x000D_
.recs:Birth,Marriage,Death_x000D_
.imm?:no_x000D_
..Spo:THOMAS BLANCHARD</t>
        </r>
      </text>
    </comment>
    <comment ref="L6164" authorId="0" shapeId="0" xr:uid="{33340B89-63BD-44E3-A49D-F54DFD1E68E2}">
      <text>
        <r>
          <rPr>
            <sz val="9"/>
            <color indexed="81"/>
            <rFont val="Tahoma"/>
            <family val="2"/>
          </rPr>
          <t>ABIGAIL BLANCHARD_x000D_
http://yeinfo.com/family/I09001453.html_x000D_
https://www.google.com/search?q=ABIGAIL+BLANCHARD+1668+1732+STRATTON_x000D_
.born: 16680305-          Charlestown (Suffolk) Massachusetts_x000D_
.died: 17321025-          Waterton (Middlesex) Massachusetts, age:64y 7m 20d, _x000D_
.bapt: 1785GE_x000D_
.will: 2004MO_x000D_
.obit: 1890OH_x000D_
.bury: 1850IL _x000D_
.wpbt: 1826PA_x000D_
.anc#:ancestor_x000D_
citiz:US born_x000D_
#spos:1_x000D_
#srcs:1_x000D_
#comment:0_x000D_
#events:1_x000D_
#kids:1_x000D_
lived:MAMIDDLWATERTO,MASUFFOCHAZTWN_x000D_
issue:_x000D_
.recs:Birth,Marriage,Death_x000D_
.imm?:no_x000D_
..Spo:JOHN STRATTON</t>
        </r>
      </text>
    </comment>
    <comment ref="O6166" authorId="0" shapeId="0" xr:uid="{2CB6A4CB-5152-45A7-A597-BBF177A9F47D}">
      <text>
        <r>
          <rPr>
            <sz val="9"/>
            <color indexed="81"/>
            <rFont val="Tahoma"/>
            <family val="2"/>
          </rPr>
          <t>JAMES SWEETSER_x000D_
http://yeinfo.com/family/I09011628.html_x000D_
https://www.google.com/search?q=JAMES+SWEETSER+1562+1626+JOAN_x000D_
.born: 1562    -          Hertfordshire county England_x000D_
.died: 16260110-          Hertfordshire county England, age:64y 0m 9d, _x000D_
.bapt: 1785GE_x000D_
.will: 2004MO_x000D_
.obit: 1890OH_x000D_
.bury: 1850IL _x000D_
.wpbt: 1826PA_x000D_
.anc#:ancestor_x000D_
citiz:foreign_x000D_
#spos:1_x000D_
#srcs:2_x000D_
#comment:0_x000D_
#events:1_x000D_
#kids:1_x000D_
lived:ENHERTF_x000D_
issue:_x000D_
.recs:Birth,Marriage,Death_x000D_
.imm?:no_x000D_
..Spo:JOAN STOWELL</t>
        </r>
      </text>
    </comment>
    <comment ref="N6168" authorId="0" shapeId="0" xr:uid="{88076B62-B309-4004-8153-65CABA8DF5C0}">
      <text>
        <r>
          <rPr>
            <sz val="9"/>
            <color indexed="81"/>
            <rFont val="Tahoma"/>
            <family val="2"/>
          </rPr>
          <t>SETH SWEETSER_x000D_
http://yeinfo.com/family/I09005814.html_x000D_
https://www.google.com/search?q=SETH+SWEETSER+1606+1662+BETHIA+SWEETSER_x000D_
.born: 16060518-          Hertfordshire county England_x000D_
.died: 16620521-          Charlestown (Suffolk) Massachusetts, age:56y 0m 3d, _x000D_
.bapt: 1785GE_x000D_
.will: 2004MO_x000D_
.obit: 1890OH_x000D_
.bury: 1850IL Phipps Street Burying Ground_x000D_
.wpbt: 1826PA_x000D_
.anc#:ancestor_x000D_
citiz:immigrant_x000D_
#spos:2_x000D_
#srcs:4_x000D_
#comment:0_x000D_
#events:4_x000D_
#kids:1_x000D_
lived:ENHERTFTRING,MASUFFOCAMBRID,MASUFFOCHAZTWN_x000D_
issue:_x000D_
.recs:Birth,Baptism,Marriage,Death,Interment/Burial_x000D_
.imm?:immigrant_x000D_
..Spo:BETHIA COOKE</t>
        </r>
      </text>
    </comment>
    <comment ref="O6170" authorId="0" shapeId="0" xr:uid="{09B89C4A-D875-4A1F-96DE-CB7EFA043AC6}">
      <text>
        <r>
          <rPr>
            <sz val="9"/>
            <color indexed="81"/>
            <rFont val="Tahoma"/>
            <family val="2"/>
          </rPr>
          <t>JOAN STOWELL_x000D_
http://yeinfo.com/family/I09011629.html_x000D_
https://www.google.com/search?q=JOAN+STOWELL+1577+1607+SWEETSER_x000D_
.born: 1577    -          Hertfordshire county England_x000D_
.died: 160701  -          Hertfordshire county England, age:30y 0m 0d, _x000D_
.bapt: 1785GE_x000D_
.will: 2004MO_x000D_
.obit: 1890OH_x000D_
.bury: 1850IL _x000D_
.wpbt: 1826PA_x000D_
.anc#:ancestor_x000D_
citiz:foreign_x000D_
#spos:1_x000D_
#srcs:2_x000D_
#comment:0_x000D_
#events:1_x000D_
#kids:1_x000D_
lived:ENHERTF_x000D_
issue:_x000D_
.recs:Birth,Marriage,Death_x000D_
.imm?:no_x000D_
..Spo:JAMES SWEETSER</t>
        </r>
      </text>
    </comment>
    <comment ref="M6172" authorId="0" shapeId="0" xr:uid="{596CC7C0-CC04-4C2F-970D-B3EFE05C3658}">
      <text>
        <r>
          <rPr>
            <sz val="9"/>
            <color indexed="81"/>
            <rFont val="Tahoma"/>
            <family val="2"/>
          </rPr>
          <t>MARY SWEETSER_x000D_
http://yeinfo.com/family/I09002907.html_x000D_
https://www.google.com/search?q=MARY+SWEETSER+1637+1669+BLANCHARD_x000D_
.born: 1637    -          Charlestown (Suffolk) Massachusetts_x000D_
.died: 16690220-          Charlestown (Suffolk) Massachusetts, age:32y 1m 19d, _x000D_
.bapt: 1785GE_x000D_
.will: 2004MO_x000D_
.obit: 1890OH_x000D_
.bury: 1850IL _x000D_
.wpbt: 1826PA_x000D_
.anc#:ancestor_x000D_
citiz:US born_x000D_
#spos:1_x000D_
#srcs:1_x000D_
#comment:1_x000D_
#events:1_x000D_
#kids:1_x000D_
lived:MASUFFOCHAZTWN_x000D_
issue:_x000D_
.recs:Birth,Marriage,Death_x000D_
.imm?:no_x000D_
..Spo:SAMUEL BLANCHARD</t>
        </r>
      </text>
    </comment>
    <comment ref="N6174" authorId="0" shapeId="0" xr:uid="{35098F37-95F5-4CFF-98EA-2D1C176073EF}">
      <text>
        <r>
          <rPr>
            <sz val="9"/>
            <color indexed="81"/>
            <rFont val="Tahoma"/>
            <family val="2"/>
          </rPr>
          <t>BETHIA COOKE_x000D_
http://yeinfo.com/family/I09005815.html_x000D_
https://www.google.com/search?q=BETHIA+COOKE+1610+1661+SWEETSER_x000D_
.born: 1610    -          Tring (Hertfordshire) England_x000D_
.died: 16610415-          Charlestown (Suffolk) Massachusetts, age:51y 3m 14d, _x000D_
.bapt: 1785GE_x000D_
.will: 2004MO_x000D_
.obit: 1890OH_x000D_
.bury: 1850IL _x000D_
.wpbt: 1826PA_x000D_
.anc#:ancestor_x000D_
citiz:immigrant_x000D_
#spos:1_x000D_
#srcs:4_x000D_
#comment:0_x000D_
#events:1_x000D_
#kids:1_x000D_
lived:ENHERTFTRING,MASUFFOCHAZTWN_x000D_
issue:_x000D_
.recs:Birth,Marriage,Death_x000D_
.imm?:immigrant_x000D_
..Spo:SETH SWEETSER</t>
        </r>
      </text>
    </comment>
    <comment ref="J6176" authorId="0" shapeId="0" xr:uid="{8B2B9208-8EA8-48BA-849D-8D11418023B0}">
      <text>
        <r>
          <rPr>
            <sz val="9"/>
            <color indexed="81"/>
            <rFont val="Tahoma"/>
            <family val="2"/>
          </rPr>
          <t>THANKFUL STRATTON_x000D_
http://yeinfo.com/family/I09000363.html_x000D_
https://www.google.com/search?q=THANKFUL+STRATTON+1721+1796+RICHARDS_x000D_
.born: 17211217-          Cambridge (Cambridgeshire) England_x000D_
.died: 17960601-          Dedham (Norfolk) Massachusetts, age:74y 5m 15d, _x000D_
.bapt: 1785GE_x000D_
.will: 2004MO_x000D_
.obit: 1890OH_x000D_
.bury: 1850IL _x000D_
.wpbt: 1826PA_x000D_
.anc#:ancestor_x000D_
citiz:immigrant_x000D_
#spos:1_x000D_
#srcs:1_x000D_
#comment:0_x000D_
#events:1_x000D_
#kids:10_x000D_
lived:ENCAMBSCAMBRID,MANORFODEDHAM_x000D_
issue:_x000D_
.recs:Birth,Marriage,Death_x000D_
.imm?:immigrant_x000D_
..Spo:EBENEZER RICHARDS</t>
        </r>
      </text>
    </comment>
    <comment ref="N6178" authorId="0" shapeId="0" xr:uid="{52E98346-BCF3-4BCD-95CA-7213F718773C}">
      <text>
        <r>
          <rPr>
            <sz val="9"/>
            <color indexed="81"/>
            <rFont val="Tahoma"/>
            <family val="2"/>
          </rPr>
          <t>RODGER FULLER_x000D_
http://yeinfo.com/family/I09005816.html_x000D_
https://www.google.com/search?q=RODGER+FULLER+1572+1644+JANE_x000D_
.born: 15721019-          Topcroft (Norfolk) England_x000D_
.died: 16440430-          Topcroft (Norfolk) England, age:71y 6m 11d, _x000D_
.bapt: 1785GE_x000D_
.will: 2004MO_x000D_
.obit: 1890OH_x000D_
.bury: 1850IL _x000D_
.wpbt: 1826PA_x000D_
.anc#:ancestor_x000D_
citiz:foreign_x000D_
#spos:1_x000D_
#srcs:1_x000D_
#comment:0_x000D_
#events:1_x000D_
#kids:1_x000D_
lived:ENNORFOTOPCROF_x000D_
issue:_x000D_
.recs:Birth,Marriage,Death_x000D_
.imm?:no_x000D_
..Spo:JANE GOWAN</t>
        </r>
      </text>
    </comment>
    <comment ref="M6180" authorId="0" shapeId="0" xr:uid="{3C6D387E-662F-4222-BF96-E42F72C58A2C}">
      <text>
        <r>
          <rPr>
            <sz val="9"/>
            <color indexed="81"/>
            <rFont val="Tahoma"/>
            <family val="2"/>
          </rPr>
          <t>JOHN FULLER Sr._x000D_
http://yeinfo.com/family/I09002908.html_x000D_
https://www.google.com/search?q=JOHN+FULLER+1611+1698+ELIZABETH_x000D_
.born: 1611    -          _x000D_
.died: 16980207-          Newton (Middlesex) Massachusetts, age:87y 1m 6d, _x000D_
.bapt: 1785GE_x000D_
.will: 2004MO_x000D_
.obit: 1890OH_x000D_
.bury: 1850IL _x000D_
.wpbt: 1826PA_x000D_
.anc#:ancestor_x000D_
citiz:US born_x000D_
#spos:1_x000D_
#srcs:3_x000D_
#comment:1_x000D_
#events:1_x000D_
#kids:8_x000D_
lived:?MAMIDDLCAMBRID,MAMIDDLNEWTON_x000D_
issue:_x000D_
.recs:Birth,Marriage,Death_x000D_
.imm?:no_x000D_
..Spo:ELIZABETH COLE</t>
        </r>
      </text>
    </comment>
    <comment ref="N6182" authorId="0" shapeId="0" xr:uid="{3D3FFDDA-5639-4EAF-8FB6-2A5DB7D4F096}">
      <text>
        <r>
          <rPr>
            <sz val="9"/>
            <color indexed="81"/>
            <rFont val="Tahoma"/>
            <family val="2"/>
          </rPr>
          <t>JANE GOWAN_x000D_
http://yeinfo.com/family/I09005817.html_x000D_
https://www.google.com/search?q=JANE+GOWAN+1580+1611+FULLER_x000D_
.born: 1580    -          Topcroft (Norfolk) England_x000D_
.died: 1611    -1670     ?England, age:31y 0m 0d, _x000D_
.bapt: 1785GE_x000D_
.will: 2004MO_x000D_
.obit: 1890OH_x000D_
.bury: 1850IL _x000D_
.wpbt: 1826PA_x000D_
.anc#:ancestor_x000D_
citiz:foreign_x000D_
#spos:1_x000D_
#srcs:1_x000D_
#comment:0_x000D_
#events:1_x000D_
#kids:1_x000D_
lived:ENNORFOTOPCROF_x000D_
issue:_x000D_
.recs:Birth,Marriage,Death_x000D_
.imm?:no_x000D_
..Spo:RODGER FULLER</t>
        </r>
      </text>
    </comment>
    <comment ref="L6184" authorId="0" shapeId="0" xr:uid="{BE76E0D0-2689-4F10-88B1-D3466F5B1065}">
      <text>
        <r>
          <rPr>
            <sz val="9"/>
            <color indexed="81"/>
            <rFont val="Tahoma"/>
            <family val="2"/>
          </rPr>
          <t>JOSEPH FULLER_x000D_
http://yeinfo.com/family/I09001454.html_x000D_
https://www.google.com/search?q=JOSEPH+FULLER+1652+1691+LYDIA_x000D_
.born: 16520210-          Newton (Middlesex) Massachusetts_x000D_
.died: 1691    -1742      Newton (Middlesex) Massachusetts, age:38y 10m 22d, _x000D_
.bapt: 1785GE_x000D_
.will: 2004MO_x000D_
.obit: 1890OH_x000D_
.bury: 1850IL _x000D_
.wpbt: 1826PA_x000D_
.anc#:ancestor_x000D_
citiz:US born_x000D_
#spos:1_x000D_
#srcs:3_x000D_
#comment:0_x000D_
#events:1_x000D_
#kids:1_x000D_
lived:MAMIDDLCAMBRID,MAMIDDLNEWTON_x000D_
issue:_x000D_
.recs:Birth,Marriage,Death_x000D_
.imm?:no_x000D_
..Spo:LYDIA JACKSON</t>
        </r>
      </text>
    </comment>
    <comment ref="N6186" authorId="0" shapeId="0" xr:uid="{CE3159C4-AB1B-4309-9356-424AF8334967}">
      <text>
        <r>
          <rPr>
            <sz val="9"/>
            <color indexed="81"/>
            <rFont val="Tahoma"/>
            <family val="2"/>
          </rPr>
          <t>WALTER COLE_x000D_
http://yeinfo.com/family/I09005818.html_x000D_
https://www.google.com/search?q=WALTER+COLE+1585+1652+SUSAN_x000D_
.born: 1585    -          Lavenham (Suffolk) England_x000D_
.died: 16520813-          Lavenham (Suffolk) England, age:67y 7m 12d, _x000D_
.bapt: 1785GE_x000D_
.will: 2004MO_x000D_
.obit: 1890OH_x000D_
.bury: 1850IL _x000D_
.wpbt: 1826PA_x000D_
.anc#:ancestor_x000D_
citiz:foreign_x000D_
#spos:1_x000D_
#srcs:1_x000D_
#comment:0_x000D_
#events:1_x000D_
#kids:1_x000D_
lived:ENSUFFOLAVENHA_x000D_
issue:_x000D_
.recs:Birth,Marriage,Death_x000D_
.imm?:no_x000D_
..Spo:SUSAN COLE</t>
        </r>
      </text>
    </comment>
    <comment ref="M6188" authorId="0" shapeId="0" xr:uid="{7130C95A-8BC5-4753-B963-36D9366E7DF5}">
      <text>
        <r>
          <rPr>
            <sz val="9"/>
            <color indexed="81"/>
            <rFont val="Tahoma"/>
            <family val="2"/>
          </rPr>
          <t>ELIZABETH COLE_x000D_
http://yeinfo.com/family/I09002909.html_x000D_
https://www.google.com/search?q=ELIZABETH+COLE+1617+1700+FULLER_x000D_
.born:c1617    -         ?England_x000D_
.died: 17000413-          Newton (Middlesex) Massachusetts, age:83y 3m 12d, _x000D_
.bapt: 1785GE_x000D_
.will: 2004MO_x000D_
.obit: 1890OH_x000D_
.bury: 1850IL _x000D_
.wpbt: 1826PA_x000D_
.anc#:ancestor_x000D_
citiz:immigrant_x000D_
#spos:1_x000D_
#srcs:2_x000D_
#comment:1_x000D_
#events:1_x000D_
#kids:8_x000D_
lived:?EN,?MAMIDDLCAMBRID,MAMIDDLNEWTON_x000D_
issue:_x000D_
.recs:Birth,Marriage,Death_x000D_
.imm?:immigrant_x000D_
..Spo:JOHN FULLER</t>
        </r>
      </text>
    </comment>
    <comment ref="N6190" authorId="0" shapeId="0" xr:uid="{583FB068-D557-4BF2-8FEA-3629B3C2F0E6}">
      <text>
        <r>
          <rPr>
            <sz val="9"/>
            <color indexed="81"/>
            <rFont val="Tahoma"/>
            <family val="2"/>
          </rPr>
          <t>Mrs. SUSAN COLE_x000D_
http://yeinfo.com/family/I09005819.html_x000D_
https://www.google.com/search?q=SUSAN+COLE+1590+1617+COLE_x000D_
.born:?1590    -         ?England_x000D_
.died: 1617    -1680     ?England, age:27y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..Spo:WALTER COLE</t>
        </r>
      </text>
    </comment>
    <comment ref="K6192" authorId="0" shapeId="0" xr:uid="{C9946A17-DF72-4C3B-AFCF-10B74DEE729C}">
      <text>
        <r>
          <rPr>
            <sz val="9"/>
            <color indexed="81"/>
            <rFont val="Tahoma"/>
            <family val="2"/>
          </rPr>
          <t>LYDIA FULLER_x000D_
http://yeinfo.com/family/I09000727.html_x000D_
https://www.google.com/search?q=LYDIA+FULLER+1691+1774+STRATTON_x000D_
.born: 16910215-          Newton (Middlesex) Massachusetts_x000D_
.died: 17741109-          Cambridge (Middlesex) Massachusetts, age:83y 8m 25d, _x000D_
.bapt: 1785GE_x000D_
.will: 2004MO_x000D_
.obit: 1890OH_x000D_
.bury: 1850IL _x000D_
.wpbt: 1826PA_x000D_
.anc#:ancestor_x000D_
citiz:US born_x000D_
#spos:1_x000D_
#srcs:2_x000D_
#comment:0_x000D_
#events:1_x000D_
#kids:1_x000D_
lived:MAMIDDLCAMBRID,MAMIDDLNEWTON_x000D_
issue:_x000D_
.recs:Birth,Marriage,Death_x000D_
.imm?:no_x000D_
..Spo:EBENEZER STRATTON</t>
        </r>
      </text>
    </comment>
    <comment ref="M6194" authorId="0" shapeId="0" xr:uid="{DC9B7643-5F5B-494C-9015-93396B89BE78}">
      <text>
        <r>
          <rPr>
            <sz val="9"/>
            <color indexed="81"/>
            <rFont val="Tahoma"/>
            <family val="2"/>
          </rPr>
          <t>EDWARD\EDMUND JACKSON_x000D_
http://yeinfo.com/family/I09002910.html_x000D_
https://www.google.com/search?q=EDWARD\EDMUND+JACKSON+1603+1681+ELIZABETH_x000D_
.born: 160302  -          _x000D_
.died: 16810717-         ?Boston (Lincolnshire) England, age:78y 5m 16d, _x000D_
.bapt: 1785GE_x000D_
.will: 2004MO_x000D_
.obit: 1890OH_x000D_
.bury: 1850IL _x000D_
.wpbt: 1826PA_x000D_
.anc#:ancestor_x000D_
citiz:US born_x000D_
#spos:1_x000D_
#srcs:2_x000D_
#comment:1_x000D_
#events:1_x000D_
#kids:1_x000D_
lived:?ENLINCSBOSTON,MAMIDDLNEWTON_x000D_
issue:_x000D_
.recs:Birth,Marriage,Death_x000D_
.imm?:no_x000D_
..Spo:ELIZABETH NEWGATE</t>
        </r>
      </text>
    </comment>
    <comment ref="L6196" authorId="0" shapeId="0" xr:uid="{151FBC7F-FE20-4742-B604-5972B47462DF}">
      <text>
        <r>
          <rPr>
            <sz val="9"/>
            <color indexed="81"/>
            <rFont val="Tahoma"/>
            <family val="2"/>
          </rPr>
          <t>LYDIA JACKSON_x000D_
http://yeinfo.com/family/I09001455.html_x000D_
https://www.google.com/search?q=LYDIA+JACKSON+1656+1726+FULLER_x000D_
.born: 1656    -          Newton (Middlesex) Massachusetts_x000D_
.died: 17260112-         ?Newton (Middlesex) Massachusetts, age:70y 0m 11d, _x000D_
.bapt: 1785GE_x000D_
.will: 2004MO_x000D_
.obit: 1890OH_x000D_
.bury: 1850IL _x000D_
.wpbt: 1826PA_x000D_
.anc#:ancestor_x000D_
citiz:US born_x000D_
#spos:1_x000D_
#srcs:2_x000D_
#comment:0_x000D_
#events:1_x000D_
#kids:1_x000D_
lived:MAMIDDLCAMBRID,MAMIDDLNEWTON_x000D_
issue:_x000D_
.recs:Birth,Marriage,Death_x000D_
.imm?:no_x000D_
..Spo:JOSEPH FULLER</t>
        </r>
      </text>
    </comment>
    <comment ref="M6198" authorId="0" shapeId="0" xr:uid="{84E4FD2D-2C2A-4C9A-AD6F-CB84B95D6A3E}">
      <text>
        <r>
          <rPr>
            <sz val="9"/>
            <color indexed="81"/>
            <rFont val="Tahoma"/>
            <family val="2"/>
          </rPr>
          <t>ELIZABETH NEWGATE_x000D_
http://yeinfo.com/family/I09002911.html_x000D_
https://www.google.com/search?q=ELIZABETH+NEWGATE+1617+1709+JACKSON_x000D_
.born: 16170115-          Southwark (Surrey) England_x000D_
.died: 17090930-          Newton (Middlesex) Massachusetts, age:92y 8m 15d, _x000D_
.bapt: 1785GE_x000D_
.will: 2004MO_x000D_
.obit: 1890OH_x000D_
.bury: 1850IL _x000D_
.wpbt: 1826PA_x000D_
.anc#:ancestor_x000D_
citiz:immigrant_x000D_
#spos:1_x000D_
#srcs:1_x000D_
#comment:1_x000D_
#events:1_x000D_
#kids:1_x000D_
lived:ENSURRESOUTHWA,MAMIDDLNEWTON_x000D_
issue:_x000D_
.recs:Birth,Marriage,Death_x000D_
.imm?:immigrant_x000D_
..Spo:EDWARD\EDMUND JACKSON</t>
        </r>
      </text>
    </comment>
    <comment ref="G6200" authorId="0" shapeId="0" xr:uid="{1DDC3080-7ED3-4A39-AA93-0681DC09DDBC}">
      <text>
        <r>
          <rPr>
            <sz val="9"/>
            <color indexed="81"/>
            <rFont val="Tahoma"/>
            <family val="2"/>
          </rPr>
          <t>DOLLY DEAN_x000D_
http://yeinfo.com/family/I09000045.html_x000D_
https://www.google.com/search?q=DOLLY+DEAN+1803+1863+MOORE_x000D_
.born: 18030517-          Dummerston (Windham) Vermont_x000D_
.died: 18630823-          Brattleboro (Windham) Vermont, age:60y 3m 6d, consumption_x000D_
.bapt: 1785GE_x000D_
.will: 2004MO_x000D_
.obit: 1890OH_x000D_
.bury: 1850IL _x000D_
.wpbt: 1826PA_x000D_
.anc#:ancestor_x000D_
citiz:US born_x000D_
#spos:1_x000D_
#srcs:12_x000D_
#comment:1_x000D_
#events:5_x000D_
#kids:6_x000D_
lived:VTWINDHBRATTLB,VTWINDHDUMMERS_x000D_
issue:_x000D_
.recs:Birth,Marriage,Death_x000D_
.imm?:no_x000D_
..Spo:MARTIN MOORE</t>
        </r>
      </text>
    </comment>
    <comment ref="L6202" authorId="0" shapeId="0" xr:uid="{83AA1219-0C7F-4F96-81D6-FC562AA53F3C}">
      <text>
        <r>
          <rPr>
            <sz val="9"/>
            <color indexed="81"/>
            <rFont val="Tahoma"/>
            <family val="2"/>
          </rPr>
          <t>EDWARD GOSS_x000D_
http://yeinfo.com/family/I09001456.html_x000D_
https://www.google.com/search?q=EDWARD+GOSS+1636+1668+{_?_}_x000D_
.born: 1636    -         ?Marblehill (Essex) Massachusetts_x000D_
.died: 1668    -          Marblehill (Essex) Massachusetts, age:32y 0m 0d, _x000D_
.bapt: 1785GE_x000D_
.will: 2004MO_x000D_
.obit: 1890OH_x000D_
.bury: 1850IL _x000D_
.wpbt: 1826PA_x000D_
.anc#:ancestor_x000D_
citiz:US born_x000D_
#spos:1_x000D_
#srcs:8_x000D_
#comment:1_x000D_
#events:2_x000D_
#kids:1_x000D_
lived:?MAESSEXMARBLEH_x000D_
issue:_x000D_
.recs:Birth,Marriage,Death_x000D_
.imm?:no_x000D_
..Spo:{_?_} GOSS</t>
        </r>
      </text>
    </comment>
    <comment ref="K6204" authorId="0" shapeId="0" xr:uid="{53719F50-9D1C-436A-A991-2F06CB6AAECE}">
      <text>
        <r>
          <rPr>
            <sz val="9"/>
            <color indexed="81"/>
            <rFont val="Tahoma"/>
            <family val="2"/>
          </rPr>
          <t>RICHARD GOSS Sr._x000D_
http://yeinfo.com/family/I09000728.html_x000D_
https://www.google.com/search?q=RICHARD+GOSS+1662+1715+MARTHA_x000D_
.born: 1662    -          Marblehill (Essex) Massachusetts_x000D_
.died: 17150124-         ?Marblehill (Essex) Massachusetts, age:53y 0m 23d, _x000D_
.bapt: 1785GE_x000D_
.will: 2004MO_x000D_
.obit: 1890OH_x000D_
.bury: 1850IL _x000D_
.wpbt: 1826PA_x000D_
.anc#:ancestor_x000D_
citiz:US born_x000D_
#spos:1_x000D_
#srcs:1_x000D_
#comment:1_x000D_
#events:1_x000D_
#kids:5_x000D_
lived:?MAESSEXGLOUCES,MAESSEXMARBLEH_x000D_
issue:_x000D_
.recs:Birth,Marriage,Death_x000D_
.imm?:no_x000D_
..Spo:MARTHA FOSS</t>
        </r>
      </text>
    </comment>
    <comment ref="L6206" authorId="0" shapeId="0" xr:uid="{3AD25143-F0BC-43EC-8C81-B725DEB47D5A}">
      <text>
        <r>
          <rPr>
            <sz val="9"/>
            <color indexed="81"/>
            <rFont val="Tahoma"/>
            <family val="2"/>
          </rPr>
          <t>Mrs. {_?_} GOSS_x000D_
http://yeinfo.com/family/I09001457.html_x000D_
https://www.google.com/search?q={_?_}+GOSS+1640+1662+GOSS_x000D_
.born:?1640    -         ?Massachusetts_x000D_
.died: 1662    -1730     ?Massachusetts, age:22y 0m 0d, _x000D_
.bapt: 1785GE_x000D_
.will: 2004MO_x000D_
.obit: 1890OH_x000D_
.bury: 1850IL _x000D_
.wpbt: 1826PA_x000D_
.anc#:ancestor_x000D_
citiz:US born_x000D_
#spos:1_x000D_
#srcs:1_x000D_
#comment:0_x000D_
#events:1_x000D_
#kids:1_x000D_
lived:?MAESSEX_x000D_
issue:_x000D_
.recs:Birth,Marriage,Death_x000D_
.imm?:no_x000D_
..Spo:EDWARD GOSS</t>
        </r>
      </text>
    </comment>
    <comment ref="J6208" authorId="0" shapeId="0" xr:uid="{8B4667E7-6DE0-4963-9B6B-B9E7088828FD}">
      <text>
        <r>
          <rPr>
            <sz val="9"/>
            <color indexed="81"/>
            <rFont val="Tahoma"/>
            <family val="2"/>
          </rPr>
          <t>JOHN GOSS_x000D_
http://yeinfo.com/family/I09000364.html_x000D_
https://www.google.com/search?q=JOHN+GOSS+1700+1779+SARAH_x000D_
.born:c1700    -          Ipswich (Essex) Massachusetts_x000D_
.died: 17790907-          Albany (Albany) New York, age:79y 8m 6d, _x000D_
.bapt: 1785GE_x000D_
.will: 2004MO_x000D_
.obit: 1890OH_x000D_
.bury: 1850IL _x000D_
.wpbt: 1826PA_x000D_
.anc#:ancestor_x000D_
citiz:US born_x000D_
#spos:1_x000D_
#srcs:1_x000D_
#comment:1_x000D_
#events:4_x000D_
#kids:8_x000D_
lived:MAESSEXIPSWICH,NYALBAYALBANY_x000D_
issue:_x000D_
.recs:Birth,Marriage Intention/Bonds,Death_x000D_
.imm?:no_x000D_
..Spo:SARAH PHILIP</t>
        </r>
      </text>
    </comment>
    <comment ref="L6210" authorId="0" shapeId="0" xr:uid="{EBA98A3E-86F5-4345-8F4F-5815480DAA34}">
      <text>
        <r>
          <rPr>
            <sz val="9"/>
            <color indexed="81"/>
            <rFont val="Tahoma"/>
            <family val="2"/>
          </rPr>
          <t>JOHN FOSS_x000D_
http://yeinfo.com/family/I09001458.html_x000D_
https://www.google.com/search?q=JOHN+FOSS+1638+1710+MARY_x000D_
.born: 16380103-         ?Denmark_x000D_
.died:a17100913-          New Castle (Rockingham) New Hampshire, age:72y 8m 10d, _x000D_
.bapt: 1785GE_x000D_
.will: 2004MO_x000D_
.obit: 1890OH_x000D_
.bury: 1850IL _x000D_
.wpbt: 1826PA_x000D_
.anc#:ancestor_x000D_
citiz:immigrant_x000D_
#spos:1_x000D_
#srcs:4_x000D_
#comment:1_x000D_
#events:11_x000D_
#kids:10_x000D_
lived:?DN,MAWORCESHREWSB,NHROCKINEW CAS_x000D_
issue:_x000D_
.recs:Birth,Marriage,Will Written,Death,Land Transaction,Gov't Court_x000D_
.imm?:immigrant_x000D_
..Spo:MARY BERRY</t>
        </r>
      </text>
    </comment>
    <comment ref="K6212" authorId="0" shapeId="0" xr:uid="{F16B3FB0-DD5D-45DD-A3BD-C73BDF12A379}">
      <text>
        <r>
          <rPr>
            <sz val="9"/>
            <color indexed="81"/>
            <rFont val="Tahoma"/>
            <family val="2"/>
          </rPr>
          <t>MARTHA FOSS_x000D_
http://yeinfo.com/family/I09000729.html_x000D_
https://www.google.com/search?q=MARTHA+FOSS+1672+1714+GOSS_x000D_
.born:?1672    -         ?Massachusetts_x000D_
.died: 1714    -1762     ?Massachusetts, age:42y 0m 0d, _x000D_
.bapt: 1785GE_x000D_
.will: 2004MO_x000D_
.obit: 1890OH_x000D_
.bury: 1850IL _x000D_
.wpbt: 1826PA_x000D_
.anc#:ancestor_x000D_
citiz:US born_x000D_
#spos:1_x000D_
#srcs:2_x000D_
#comment:0_x000D_
#events:1_x000D_
#kids:5_x000D_
lived:?MAESSEXGLOUCES_x000D_
issue:_x000D_
.recs:Birth,Marriage,Death_x000D_
.imm?:no_x000D_
..Spo:RICHARD GOSS</t>
        </r>
      </text>
    </comment>
    <comment ref="M6214" authorId="0" shapeId="0" xr:uid="{39CB3E10-C110-4E72-BD44-B283A9398C68}">
      <text>
        <r>
          <rPr>
            <sz val="9"/>
            <color indexed="81"/>
            <rFont val="Tahoma"/>
            <family val="2"/>
          </rPr>
          <t>WILLIAM BERRY_x000D_
http://yeinfo.com/family/I09002918.html_x000D_
https://www.google.com/search?q=WILLIAM+BERRY+1612+1654+JANE_x000D_
.born:?1612    -         ?England_x000D_
.died: 16540628-          Rockingham county New Hampshire, age:42y 5m 27d, _x000D_
.bapt: 1785GE_x000D_
.will: 2004MO_x000D_
.obit: 1890OH_x000D_
.bury: 1850IL _x000D_
.wpbt: 1826PA_x000D_
.anc#:ancestor_x000D_
citiz:immigrant_x000D_
#spos:1_x000D_
#srcs:1_x000D_
#comment:0_x000D_
#events:1_x000D_
#kids:7_x000D_
lived:?EN,NHROCKI_x000D_
issue:_x000D_
.recs:Birth,Marriage,Death_x000D_
.imm?:immigrant_x000D_
..Spo:JANE HERMINS</t>
        </r>
      </text>
    </comment>
    <comment ref="L6216" authorId="0" shapeId="0" xr:uid="{33FAA673-5486-4F6A-B75E-93FD5948B76A}">
      <text>
        <r>
          <rPr>
            <sz val="9"/>
            <color indexed="81"/>
            <rFont val="Tahoma"/>
            <family val="2"/>
          </rPr>
          <t>MARY BERRY_x000D_
http://yeinfo.com/family/I09001459.html_x000D_
https://www.google.com/search?q=MARY+BERRY+1644+1707+FOSS_x000D_
.born: 1644    -          Portsmouth (Rockingham) New Hampshire_x000D_
.died: 1707    -          Rye (Rockingham) New Hampshire, age:63y 0m 0d, _x000D_
.bapt: 1785GE_x000D_
.will: 2004MO_x000D_
.obit: 1890OH_x000D_
.bury: 1850IL _x000D_
.wpbt: 1826PA_x000D_
.anc#:ancestor_x000D_
citiz:US born_x000D_
#spos:1_x000D_
#srcs:1_x000D_
#comment:0_x000D_
#events:1_x000D_
#kids:10_x000D_
lived:?MA,NHROCKIPORTSMO,NHROCKIRYE_x000D_
issue:_x000D_
.recs:Birth,Marriage,Death_x000D_
.imm?:no_x000D_
..Spo:JOHN FOSS</t>
        </r>
      </text>
    </comment>
    <comment ref="M6218" authorId="0" shapeId="0" xr:uid="{199829D7-6B39-42D8-913E-A11C13AFD46F}">
      <text>
        <r>
          <rPr>
            <sz val="9"/>
            <color indexed="81"/>
            <rFont val="Tahoma"/>
            <family val="2"/>
          </rPr>
          <t>JANE HERMINS_x000D_
http://yeinfo.com/family/I09002919.html_x000D_
https://www.google.com/search?q=JANE+HERMINS+1619+1686+BERRY_x000D_
.born:?1619    -         ?England_x000D_
.died: 1686    -         ?Massachusetts, age:67y 0m 0d, _x000D_
.bapt: 1785GE_x000D_
.will: 2004MO_x000D_
.obit: 1890OH_x000D_
.bury: 1850IL _x000D_
.wpbt: 1826PA_x000D_
.anc#:ancestor_x000D_
citiz:immigrant_x000D_
#spos:1_x000D_
#srcs:2_x000D_
#comment:1_x000D_
#events:1_x000D_
#kids:7_x000D_
lived:?EN,?MA_x000D_
issue:_x000D_
.recs:Birth,Marriage,Death_x000D_
.imm?:immigrant_x000D_
..Spo:WILLIAM BERRY</t>
        </r>
      </text>
    </comment>
    <comment ref="I6220" authorId="0" shapeId="0" xr:uid="{3F64270A-3DAE-409A-B257-1558C68BEBB2}">
      <text>
        <r>
          <rPr>
            <sz val="9"/>
            <color indexed="81"/>
            <rFont val="Tahoma"/>
            <family val="2"/>
          </rPr>
          <t>ZEBULON GOSS_x000D_
http://yeinfo.com/family/I09000182.html_x000D_
https://www.google.com/search?q=ZEBULON+GOSS+1737+1821+MARY_x000D_
.born: 1737    -          Ipswich (Essex) Massachusetts_x000D_
.died: 18210511-          Mendon (Worcester) Massachusetts, age:84y 4m 10d, _x000D_
.bapt: 1785GE_x000D_
.will: 2004MO_x000D_
.obit: 1890OH_x000D_
.bury: 1850IL Old Cemetery_x000D_
.wpbt: 1826PA_x000D_
.anc#:ancestor_x000D_
citiz:US born_x000D_
#spos:1_x000D_
#srcs:3_x000D_
#comment:1_x000D_
#events:14_x000D_
#kids:11_x000D_
lived:MAESSEXIPSWICH,MAWORCEMENDON,RI_x000D_
issue:_x000D_
.recs:Birth,Baptism,Military,Marriage Intention/Bonds,Will Written,Death,Church_x000D_
.imm?:no_x000D_
..Spo:MARY WOOD</t>
        </r>
      </text>
    </comment>
    <comment ref="L6222" authorId="0" shapeId="0" xr:uid="{59C453F7-3C41-406F-A0F8-ABA6FA2F3C29}">
      <text>
        <r>
          <rPr>
            <sz val="9"/>
            <color indexed="81"/>
            <rFont val="Tahoma"/>
            <family val="2"/>
          </rPr>
          <t>WALTER PHILIP_x000D_
http://yeinfo.com/family/I09001460.html_x000D_
https://www.google.com/search?q=WALTER+PHILIP+1619+1704+MARGARET_x000D_
.born:?1619    -          England_x000D_
.died: 17041021-         ?Salem (Essex) Massachusetts, age:85y 9m 20d, _x000D_
.bapt: 1785GE_x000D_
.will: 2004MO_x000D_
.obit: 1890OH_x000D_
.bury: 1850IL _x000D_
.wpbt: 1826PA_x000D_
.anc#:ancestor_x000D_
citiz:immigrant_x000D_
#spos:1_x000D_
#srcs:1_x000D_
#comment:0_x000D_
#events:1_x000D_
#kids:1_x000D_
lived:?MAESSEXSALEM,?ME,EN_x000D_
issue:_x000D_
.recs:Birth,Marriage,Death_x000D_
.imm?:immigrant_x000D_
..Spo:MARGARET PHILIP</t>
        </r>
      </text>
    </comment>
    <comment ref="K6224" authorId="0" shapeId="0" xr:uid="{31C05D42-CB9E-4FE0-90DD-DDB9F0A34E93}">
      <text>
        <r>
          <rPr>
            <sz val="9"/>
            <color indexed="81"/>
            <rFont val="Tahoma"/>
            <family val="2"/>
          </rPr>
          <t>JAMES PHILIP_x000D_
http://yeinfo.com/family/I09000730.html_x000D_
https://www.google.com/search?q=JAMES+PHILIP+1672+1742+SARAH_x000D_
.born: 1672    -          Salem (Essex) Massachusetts_x000D_
.died:a17420204-          Salem (Essex) Massachusetts, age:70y 1m 3d, _x000D_
.bapt: 1785GE_x000D_
.will: 2004MO_x000D_
.obit: 1890OH_x000D_
.bury: 1850IL _x000D_
.wpbt: 1826PA_x000D_
.anc#:ancestor_x000D_
citiz:US born_x000D_
#spos:1_x000D_
#srcs:1_x000D_
#comment:0_x000D_
#events:1_x000D_
#kids:1_x000D_
lived:MAESSEXSALEM_x000D_
issue:Born after Dad Age 60,Born after Mom Age 50_x000D_
.recs:Birth,Marriage,Death_x000D_
.imm?:no_x000D_
..Spo:SARAH STEVENS</t>
        </r>
      </text>
    </comment>
    <comment ref="L6226" authorId="0" shapeId="0" xr:uid="{80C45F79-B6EE-4DDD-8B7D-4027897C1622}">
      <text>
        <r>
          <rPr>
            <sz val="9"/>
            <color indexed="81"/>
            <rFont val="Tahoma"/>
            <family val="2"/>
          </rPr>
          <t>Mrs. MARGARET PHILIP_x000D_
http://yeinfo.com/family/I09001461.html_x000D_
https://www.google.com/search?q=MARGARET+PHILIP+1611+1708+PHILIP_x000D_
.born: 16110313-          Boston (Lincolnshire) England_x000D_
.died: 17081108-         ?Salem (Essex) Massachusetts, age:97y 7m 26d, _x000D_
.bapt: 1785GE_x000D_
.will: 2004MO_x000D_
.obit: 1890OH_x000D_
.bury: 1850IL _x000D_
.wpbt: 1826PA_x000D_
.anc#:ancestor_x000D_
citiz:immigrant_x000D_
#spos:1_x000D_
#srcs:1_x000D_
#comment:1_x000D_
#events:1_x000D_
#kids:1_x000D_
lived:?MAESSEXSALEM,?ME,ENLINCSBOSTON_x000D_
issue:_x000D_
.recs:Birth,Marriage,Death_x000D_
.imm?:immigrant_x000D_
..Spo:WALTER PHILIP</t>
        </r>
      </text>
    </comment>
    <comment ref="J6228" authorId="0" shapeId="0" xr:uid="{6978EBD1-495B-4F2E-A3B3-2A939B5AD8B7}">
      <text>
        <r>
          <rPr>
            <sz val="9"/>
            <color indexed="81"/>
            <rFont val="Tahoma"/>
            <family val="2"/>
          </rPr>
          <t>SARAH PHILIP_x000D_
http://yeinfo.com/family/I09000365.html_x000D_
https://www.google.com/search?q=SARAH+PHILIP+1700+1749+GOSS_x000D_
.born:c1700    -          Essex county Massachusetts_x000D_
.died: 17490806-          Marblehill (Essex) Massachusetts, age:49y 7m 5d, _x000D_
.bapt: 1785GE_x000D_
.will: 2004MO_x000D_
.obit: 1890OH_x000D_
.bury: 1850IL _x000D_
.wpbt: 1826PA_x000D_
.anc#:ancestor_x000D_
citiz:US born_x000D_
#spos:1_x000D_
#srcs:4_x000D_
#comment:1_x000D_
#events:2_x000D_
#kids:8_x000D_
lived:MAESSEXIPSWICH,MAESSEXMARBLEH_x000D_
issue:_x000D_
.recs:Birth,Marriage Intention/Bonds,Death_x000D_
.imm?:no_x000D_
..Spo:JOHN GOSS</t>
        </r>
      </text>
    </comment>
    <comment ref="M6230" authorId="0" shapeId="0" xr:uid="{266FA66D-FACD-49EF-B7B0-55B37706C779}">
      <text>
        <r>
          <rPr>
            <sz val="9"/>
            <color indexed="81"/>
            <rFont val="Tahoma"/>
            <family val="2"/>
          </rPr>
          <t>WILLIAM STEVENS_x000D_
http://yeinfo.com/family/I09002924.html_x000D_
https://www.google.com/search?q=WILLIAM+STEVENS+1616+1653+ELIZABETH_x000D_
.born: 16160901-          Caversham (Oxford) England_x000D_
.died: 16530519-          Newbury (Essex) Massachusetts, age:36y 8m 18d, _x000D_
.bapt: 1785GE_x000D_
.will: 2004MO_x000D_
.obit: 1890OH_x000D_
.bury: 1850IL _x000D_
.wpbt: 1826PA_x000D_
.anc#:ancestor_x000D_
citiz:immigrant_x000D_
#spos:1_x000D_
#srcs:1_x000D_
#comment:1_x000D_
#events:5_x000D_
#kids:1_x000D_
lived:ENHAMPSSOUTHMP,ENOXFORCAVERSH,MAESSEXNEWBURY_x000D_
issue:_x000D_
.recs:Birth,Will Written,Death,Immigrate_x000D_
.imm?:immigrant_x000D_
..Spo:ELIZABETH BITFIELD</t>
        </r>
      </text>
    </comment>
    <comment ref="L6232" authorId="0" shapeId="0" xr:uid="{C7B29958-6707-4B0A-9EE2-87A1F8621CCD}">
      <text>
        <r>
          <rPr>
            <sz val="9"/>
            <color indexed="81"/>
            <rFont val="Tahoma"/>
            <family val="2"/>
          </rPr>
          <t>SAMUEL STEVENS Sr._x000D_
http://yeinfo.com/family/I09001462.html_x000D_
https://www.google.com/search?q=SAMUEL+STEVENS+1652+1675+REBECCA_x000D_
.born: 16521118-          Newbury (Essex) Massachusetts_x000D_
.died: 16750918-          Deerfield (Hampshire) Massachusetts, age:22y 10m 0d, killed in battle_x000D_
.bapt: 1785GE_x000D_
.will: 2004MO_x000D_
.obit: 1890OH_x000D_
.bury: 1850IL _x000D_
.wpbt: 1826PA_x000D_
.anc#:ancestor_x000D_
citiz:US born_x000D_
#spos:1_x000D_
#srcs:1_x000D_
#comment:0_x000D_
#events:2_x000D_
#kids:1_x000D_
lived:MAESSEXNEWBURY,MAESSEXSALEM,MAHAMPSDEERFIE_x000D_
issue:_x000D_
.recs:Birth,Military,Marriage,Death_x000D_
.imm?:no_x000D_
..Spo:REBECCA RAY</t>
        </r>
      </text>
    </comment>
    <comment ref="M6234" authorId="0" shapeId="0" xr:uid="{373A30A3-2CC7-44B4-AA65-306F8E6F855B}">
      <text>
        <r>
          <rPr>
            <sz val="9"/>
            <color indexed="81"/>
            <rFont val="Tahoma"/>
            <family val="2"/>
          </rPr>
          <t>ELIZABETH BITFIELD_x000D_
http://yeinfo.com/family/I09002925.html_x000D_
https://www.google.com/search?q=ELIZABETH+BITFIELD+1628+1676+STEVENS_x000D_
.born: 1628    -          Bristol county England_x000D_
.died:a16760918-          Newbury (Essex) Massachusetts, age:48y 8m 17d, _x000D_
.bapt: 1785GE_x000D_
.will: 2004MO_x000D_
.obit: 1890OH_x000D_
.bury: 1850IL _x000D_
.wpbt: 1826PA_x000D_
.anc#:ancestor_x000D_
citiz:immigrant_x000D_
#spos:1_x000D_
#srcs:1_x000D_
#comment:1_x000D_
#events:1_x000D_
#kids:1_x000D_
lived:ENBRIST,MAESSEXNEWBURY_x000D_
issue:_x000D_
.recs:Birth,Marriage,Death_x000D_
.imm?:immigrant_x000D_
..Spo:WILLIAM STEVENS</t>
        </r>
      </text>
    </comment>
    <comment ref="K6236" authorId="0" shapeId="0" xr:uid="{29389461-7416-4929-B0F6-8427A5519BE3}">
      <text>
        <r>
          <rPr>
            <sz val="9"/>
            <color indexed="81"/>
            <rFont val="Tahoma"/>
            <family val="2"/>
          </rPr>
          <t>SARAH STEVENS_x000D_
http://yeinfo.com/family/I09000731.html_x000D_
https://www.google.com/search?q=SARAH+STEVENS+1674+1700+PHILIP_x000D_
.born: 16741108-          Salem (Essex) Massachusetts_x000D_
.died: 1700    -1765     ?Salem (Essex) Massachusetts, age:25y 1m 24d, _x000D_
.bapt: 1785GE_x000D_
.will: 2004MO_x000D_
.obit: 1890OH_x000D_
.bury: 1850IL _x000D_
.wpbt: 1826PA_x000D_
.anc#:ancestor_x000D_
citiz:US born_x000D_
#spos:1_x000D_
#srcs:1_x000D_
#comment:0_x000D_
#events:1_x000D_
#kids:1_x000D_
lived:MAESSEXSALEM_x000D_
issue:_x000D_
.recs:Birth,Marriage,Death_x000D_
.imm?:no_x000D_
..Spo:JAMES PHILIP</t>
        </r>
      </text>
    </comment>
    <comment ref="M6238" authorId="0" shapeId="0" xr:uid="{40D891AA-92E2-473E-BEF0-91A2A155D3EF}">
      <text>
        <r>
          <rPr>
            <sz val="9"/>
            <color indexed="81"/>
            <rFont val="Tahoma"/>
            <family val="2"/>
          </rPr>
          <t>JOSHUA RAY_x000D_
http://yeinfo.com/family/I09002926.html_x000D_
https://www.google.com/search?q=JOSHUA+RAY+1628+1710+SARAH_x000D_
.born: 1628    -          Suffolk county England_x000D_
.died: 17100120-          Danvers (Essex) Massachusetts, age:82y 0m 19d, _x000D_
.bapt: 1785GE_x000D_
.will: 2004MO_x000D_
.obit: 1890OH_x000D_
.bury: 1850IL _x000D_
.wpbt: 1826PA_x000D_
.anc#:ancestor_x000D_
citiz:immigrant_x000D_
#spos:1_x000D_
#srcs:1_x000D_
#comment:1_x000D_
#events:1_x000D_
#kids:1_x000D_
lived:ENSUFFO,MAESSEXDANVERS,MAESSEXSALEM_x000D_
issue:_x000D_
.recs:Birth,Marriage,Death_x000D_
.imm?:immigrant_x000D_
..Spo:SARAH WATERS</t>
        </r>
      </text>
    </comment>
    <comment ref="L6240" authorId="0" shapeId="0" xr:uid="{D620B2A5-53B2-4145-95E3-BC34784E5249}">
      <text>
        <r>
          <rPr>
            <sz val="9"/>
            <color indexed="81"/>
            <rFont val="Tahoma"/>
            <family val="2"/>
          </rPr>
          <t>REBECCA RAY_x000D_
http://yeinfo.com/family/I09001463.html_x000D_
https://www.google.com/search?q=REBECCA+RAY+1656+1740+STEVENS_x000D_
.born: 16560904-          Salem (Essex) Massachusetts_x000D_
.died: 17400211-          Andover (Essex) Massachusetts, age:83y 5m 7d, _x000D_
.bapt: 1785GE_x000D_
.will: 2004MO_x000D_
.obit: 1890OH_x000D_
.bury: 1850IL _x000D_
.wpbt: 1826PA_x000D_
.anc#:ancestor_x000D_
citiz:US born_x000D_
#spos:1_x000D_
#srcs:1_x000D_
#comment:0_x000D_
#events:1_x000D_
#kids:1_x000D_
lived:MAESSEXANDOVER,MAESSEXSALEM_x000D_
issue:_x000D_
.recs:Birth,Marriage,Death_x000D_
.imm?:no_x000D_
..Spo:SAMUEL STEVENS</t>
        </r>
      </text>
    </comment>
    <comment ref="O6242" authorId="0" shapeId="0" xr:uid="{C9AC4BF1-04BA-4446-BA80-B9046BC7416E}">
      <text>
        <r>
          <rPr>
            <sz val="9"/>
            <color indexed="81"/>
            <rFont val="Tahoma"/>
            <family val="2"/>
          </rPr>
          <t>JAMES WATERS_x000D_
http://yeinfo.com/family/I09005732.html_x000D_
https://www.google.com/search?q=JAMES+WATERS+1568+1617+PHEBE_x000D_
.born: 15680829-          London (Middlesex) England_x000D_
.died: 16170202-          London (Middlesex) England, age:48y 5m 4d, _x000D_
.bapt: 1785GE_x000D_
.will: 2004MO_x000D_
.obit: 1890OH_x000D_
.bury: 1850IL _x000D_
.wpbt: 1826PA_x000D_
.anc#:double ancestor_x000D_
citiz:foreign_x000D_
#spos:1_x000D_
#srcs:1_x000D_
#comment:1_x000D_
#events:1_x000D_
#kids:2_x000D_
lived:ENMIDDLLONDON_x000D_
issue:_x000D_
.recs:Birth,Marriage,Death_x000D_
.imm?:no_x000D_
..Spo:PHEBE MANNING</t>
        </r>
      </text>
    </comment>
    <comment ref="N6244" authorId="0" shapeId="0" xr:uid="{2939829F-F1BB-4339-A3FB-7FE94ED3E45A}">
      <text>
        <r>
          <rPr>
            <sz val="9"/>
            <color indexed="81"/>
            <rFont val="Tahoma"/>
            <family val="2"/>
          </rPr>
          <t>RICHARD WATERS_x000D_
http://yeinfo.com/family/I09005854.html_x000D_
https://www.google.com/search?q=RICHARD+WATERS+1604+1676+REJOICE_x000D_
.born:a16040303-          Middlesex county England_x000D_
.died: 16760716-         ?Salem (Essex) Massachusetts, age:72y 4m 13d, _x000D_
.bapt: 1785GE_x000D_
.will: 2004MO_x000D_
.obit: 1890OH_x000D_
.bury: 1850IL _x000D_
.wpbt: 1826PA_x000D_
.anc#:ancestor_x000D_
citiz:immigrant_x000D_
#spos:1_x000D_
#srcs:1_x000D_
#comment:0_x000D_
#events:1_x000D_
#kids:1_x000D_
lived:?MAESSEXSALEM,ENMIDDLLONDON_x000D_
issue:_x000D_
.recs:Birth,Marriage,Death_x000D_
.imm?:immigrant_x000D_
..Spo:REJOICE PLASSE</t>
        </r>
      </text>
    </comment>
    <comment ref="O6246" authorId="0" shapeId="0" xr:uid="{819EF7F9-EE47-409C-AA9E-C25733ACACDC}">
      <text>
        <r>
          <rPr>
            <sz val="9"/>
            <color indexed="81"/>
            <rFont val="Tahoma"/>
            <family val="2"/>
          </rPr>
          <t>PHEBE MANNING_x000D_
http://yeinfo.com/family/I09005733.html_x000D_
https://www.google.com/search?q=PHEBE+MANNING+1572+1642+WATERS_x000D_
.born:a15720309-         ?England_x000D_
.died:?1642    -         ?Salem (Essex) Massachusetts, age:69y 9m 23d, _x000D_
.bapt: 1785GE_x000D_
.will: 2004MO_x000D_
.obit: 1890OH_x000D_
.bury: 1850IL _x000D_
.wpbt: 1826PA_x000D_
.anc#:double ancestor_x000D_
citiz:immigrant_x000D_
#spos:1_x000D_
#srcs:1_x000D_
#comment:1_x000D_
#events:2_x000D_
#kids:2_x000D_
lived:?EN,ENESSEXSALEM,ENMIDDLLONDON_x000D_
issue:_x000D_
.recs:Birth,Death,Immigrate_x000D_
.imm?:immigrant_x000D_
..Spo:JAMES WATERS</t>
        </r>
      </text>
    </comment>
    <comment ref="M6248" authorId="0" shapeId="0" xr:uid="{F5D7E40E-1F6F-4AA5-B5E1-748AA7BB5FFE}">
      <text>
        <r>
          <rPr>
            <sz val="9"/>
            <color indexed="81"/>
            <rFont val="Tahoma"/>
            <family val="2"/>
          </rPr>
          <t>SARAH WATERS_x000D_
http://yeinfo.com/family/I09002927.html_x000D_
https://www.google.com/search?q=SARAH+WATERS+1630+1700+RAY_x000D_
.born: 16300630-          London (Middlesex) England_x000D_
.died: 17000519-         ?Salem (Essex) Massachusetts, age:69y 10m 19d, _x000D_
.bapt: 1785GE_x000D_
.will: 2004MO_x000D_
.obit: 1890OH_x000D_
.bury: 1850IL _x000D_
.wpbt: 1826PA_x000D_
.anc#:ancestor_x000D_
citiz:immigrant_x000D_
#spos:1_x000D_
#srcs:1_x000D_
#comment:0_x000D_
#events:1_x000D_
#kids:1_x000D_
lived:ENMIDDLLONDON,MAESSEXSALEM_x000D_
issue:_x000D_
.recs:Birth,Marriage,Death_x000D_
.imm?:immigrant_x000D_
..Spo:JOSHUA RAY</t>
        </r>
      </text>
    </comment>
    <comment ref="N6250" authorId="0" shapeId="0" xr:uid="{4956002B-3B16-4B7E-B536-B22719E5A51D}">
      <text>
        <r>
          <rPr>
            <sz val="9"/>
            <color indexed="81"/>
            <rFont val="Tahoma"/>
            <family val="2"/>
          </rPr>
          <t>REJOICE PLASSE_x000D_
http://yeinfo.com/family/I09005855.html_x000D_
https://www.google.com/search?q=REJOICE+PLASSE+1604+1678+WATERS_x000D_
.born: 16040303-          London (Middlesex) England_x000D_
.died: 16781020-         ?Salem (Essex) Massachusetts, age:74y 7m 17d, _x000D_
.bapt: 1785GE_x000D_
.will: 2004MO_x000D_
.obit: 1890OH_x000D_
.bury: 1850IL _x000D_
.wpbt: 1826PA_x000D_
.anc#:ancestor_x000D_
citiz:immigrant_x000D_
#spos:1_x000D_
#srcs:1_x000D_
#comment:1_x000D_
#events:1_x000D_
#kids:1_x000D_
lived:?MAESSEXSALEM,ENMIDDLLONDON_x000D_
issue:_x000D_
.recs:Birth,Marriage,Death_x000D_
.imm?:immigrant_x000D_
..Spo:RICHARD WATERS</t>
        </r>
      </text>
    </comment>
    <comment ref="H6252" authorId="0" shapeId="0" xr:uid="{DC650160-6901-4981-870E-1C6E1C59F6C1}">
      <text>
        <r>
          <rPr>
            <sz val="9"/>
            <color indexed="81"/>
            <rFont val="Tahoma"/>
            <family val="2"/>
          </rPr>
          <t>HANNAH GOSS_x000D_
http://yeinfo.com/family/I09000091.html_x000D_
https://www.google.com/search?q=HANNAH+GOSS+1777+1849+DEAN_x000D_
.born: 17770406-          Mendon (Worcester) Massachusetts_x000D_
.died: 1849    -         ?Vermont, age:71y 8m 26d, _x000D_
.bapt: 1785GE_x000D_
.will: 2004MO_x000D_
.obit: 1890OH_x000D_
.bury: 1850IL _x000D_
.wpbt: 1826PA_x000D_
.anc#:ancestor_x000D_
citiz:US born_x000D_
#spos:2_x000D_
#srcs:6_x000D_
#comment:1_x000D_
#events:5_x000D_
#kids:5_x000D_
lived:MAWORCEMENDON,MAWORCEUPTON,VTWINDSSHARON_x000D_
issue:_x000D_
.recs:Birth,Marriage Intention/Bonds,Death_x000D_
.imm?:no_x000D_
..Spo:RICHARD DEAN</t>
        </r>
      </text>
    </comment>
    <comment ref="N6254" authorId="0" shapeId="0" xr:uid="{0384A3A1-68F5-4FF6-93D0-117E3A3BD994}">
      <text>
        <r>
          <rPr>
            <sz val="9"/>
            <color indexed="81"/>
            <rFont val="Tahoma"/>
            <family val="2"/>
          </rPr>
          <t>LEWIS WOOD_x000D_
http://yeinfo.com/family/I09005856.html_x000D_
https://www.google.com/search?q=LEWIS+WOOD+1575+1598+MARGARET_x000D_
.born:?1575    -         ?England_x000D_
.died: 1598    -1665     ?, age:23y 0m 0d, _x000D_
.bapt: 1785GE_x000D_
.will: 2004MO_x000D_
.obit: 1890OH_x000D_
.bury: 1850IL _x000D_
.wpbt: 1826PA_x000D_
.anc#:ancestor_x000D_
citiz:foreign_x000D_
#spos:1_x000D_
#srcs:1_x000D_
#comment:0_x000D_
#events:1_x000D_
#kids:1_x000D_
lived:?EN,ENWARWENUNEATO_x000D_
issue:_x000D_
.recs:Birth,Marriage,Death_x000D_
.imm?:no_x000D_
..Spo:MARGARET HOLME</t>
        </r>
      </text>
    </comment>
    <comment ref="M6256" authorId="0" shapeId="0" xr:uid="{581E9CE7-0502-4ADB-8728-C3D6AB7C8D7F}">
      <text>
        <r>
          <rPr>
            <sz val="9"/>
            <color indexed="81"/>
            <rFont val="Tahoma"/>
            <family val="2"/>
          </rPr>
          <t>EDWARD WOOD_x000D_
http://yeinfo.com/family/I09002928.html_x000D_
https://www.google.com/search?q=EDWARD+WOOD+1598+1642+RUTH_x000D_
.born: 15981029-          Nuneaton (Warwickshire) England_x000D_
.died: 1642    -          Charlestown (Suffolk) Massachusetts, age:43y 2m 3d, _x000D_
.bapt: 1785GE_x000D_
.will: 2004MO_x000D_
.obit: 1890OH_x000D_
.bury: 1850IL _x000D_
.wpbt: 1826PA_x000D_
.anc#:ancestor_x000D_
citiz:immigrant_x000D_
#spos:1_x000D_
#srcs:3_x000D_
#comment:1_x000D_
#events:1_x000D_
#kids:7_x000D_
lived:ENWARWENUNEATO,MASUFFOCHAZTWN_x000D_
issue:_x000D_
.recs:Birth,Marriage,Death_x000D_
.imm?:immigrant_x000D_
..Spo:RUTH LEE</t>
        </r>
      </text>
    </comment>
    <comment ref="N6258" authorId="0" shapeId="0" xr:uid="{6E9D9073-57D2-48EA-A262-9D0421187F63}">
      <text>
        <r>
          <rPr>
            <sz val="9"/>
            <color indexed="81"/>
            <rFont val="Tahoma"/>
            <family val="2"/>
          </rPr>
          <t>MARGARET HOLME_x000D_
http://yeinfo.com/family/I09005857.html_x000D_
https://www.google.com/search?q=MARGARET+HOLME+1580+1600+WOOD_x000D_
.born:?1580    -         ?England_x000D_
.died: 1600    -1670     ?, age:20y 0m 0d, _x000D_
.bapt: 1785GE_x000D_
.will: 2004MO_x000D_
.obit: 1890OH_x000D_
.bury: 1850IL _x000D_
.wpbt: 1826PA_x000D_
.anc#:ancestor_x000D_
citiz:US born_x000D_
#spos:1_x000D_
#srcs:1_x000D_
#comment:0_x000D_
#events:1_x000D_
#kids:1_x000D_
lived:?EN,ENWARWENUNEATO_x000D_
issue:Died after Age 100_x000D_
.recs:Birth,Marriage,Death_x000D_
.imm?:no_x000D_
..Spo:LEWIS WOOD</t>
        </r>
      </text>
    </comment>
    <comment ref="L6260" authorId="0" shapeId="0" xr:uid="{10DFB8BF-4B8F-4E68-BAA4-9B93CE870788}">
      <text>
        <r>
          <rPr>
            <sz val="9"/>
            <color indexed="81"/>
            <rFont val="Tahoma"/>
            <family val="2"/>
          </rPr>
          <t>THOMAS WOOD_x000D_
http://yeinfo.com/family/I09001464.html_x000D_
https://www.google.com/search?q=THOMAS+WOOD+1633+1687+ANN_x000D_
.born: 1633    -          Nuneaton (Warwickshire) England_x000D_
.died: 1687    -          , age:54y 0m 0d, _x000D_
.bapt: 1785GE_x000D_
.will: 2004MO_x000D_
.obit: 1890OH_x000D_
.bury: 1850IL _x000D_
.wpbt: 1826PA_x000D_
.anc#:ancestor_x000D_
citiz:US born_x000D_
#spos:1_x000D_
#srcs:6_x000D_
#comment:1_x000D_
#events:4_x000D_
#kids:11_x000D_
lived:ENWARWENUNEATO,MAESSEXROWLEY_x000D_
issue:_x000D_
.recs:Birth,Marriage,Will Written,Death_x000D_
.imm?:no_x000D_
..Spo:ANN HUNT</t>
        </r>
      </text>
    </comment>
    <comment ref="N6262" authorId="0" shapeId="0" xr:uid="{98D37EBD-B85F-4F8A-9059-A301A4DB07FE}">
      <text>
        <r>
          <rPr>
            <sz val="9"/>
            <color indexed="81"/>
            <rFont val="Tahoma"/>
            <family val="2"/>
          </rPr>
          <t>MICHAEL LEE_x000D_
http://yeinfo.com/family/I09005858.html_x000D_
https://www.google.com/search?q=MICHAEL+LEE+1570+1599+{_?_}_x000D_
.born:?1570    -         ?England_x000D_
.died: 1599    -1660     ?, age:29y 0m 0d, _x000D_
.bapt: 1785GE_x000D_
.will: 2004MO_x000D_
.obit: 1890OH_x000D_
.bury: 1850IL _x000D_
.wpbt: 1826PA_x000D_
.anc#:ancestor_x000D_
citiz:foreign_x000D_
#spos:1_x000D_
#srcs:1_x000D_
#comment:0_x000D_
#events:1_x000D_
#kids:1_x000D_
lived:?ENWARWE_x000D_
issue:_x000D_
.recs:Birth,Marriage,Death_x000D_
.imm?:no_x000D_
..Spo:{_?_} LEE</t>
        </r>
      </text>
    </comment>
    <comment ref="M6264" authorId="0" shapeId="0" xr:uid="{002AAD19-F2C1-4A55-A91A-11C8FA899DD0}">
      <text>
        <r>
          <rPr>
            <sz val="9"/>
            <color indexed="81"/>
            <rFont val="Tahoma"/>
            <family val="2"/>
          </rPr>
          <t>RUTH LEE_x000D_
http://yeinfo.com/family/I09002929.html_x000D_
https://www.google.com/search?q=RUTH+LEE+1599+1642+WOOD_x000D_
.born: 159911  -          Nuneaton (Warwickshire) England_x000D_
.died: 1642    -          Charlestown (Suffolk) Massachusetts, age:42y 2m 0d, _x000D_
.bapt: 1785GE_x000D_
.will: 2004MO_x000D_
.obit: 1890OH_x000D_
.bury: 1850IL _x000D_
.wpbt: 1826PA_x000D_
.anc#:ancestor_x000D_
citiz:immigrant_x000D_
#spos:1_x000D_
#srcs:3_x000D_
#comment:1_x000D_
#events:1_x000D_
#kids:7_x000D_
lived:ENWARWENUNEATO,MASUFFOCHAZTWN_x000D_
issue:_x000D_
.recs:Birth,Marriage,Death_x000D_
.imm?:immigrant_x000D_
..Spo:EDWARD WOOD</t>
        </r>
      </text>
    </comment>
    <comment ref="N6266" authorId="0" shapeId="0" xr:uid="{732DB714-C92F-4A4C-A138-6AB3283D8077}">
      <text>
        <r>
          <rPr>
            <sz val="9"/>
            <color indexed="81"/>
            <rFont val="Tahoma"/>
            <family val="2"/>
          </rPr>
          <t>Mrs. {_?_} LEE_x000D_
http://yeinfo.com/family/I09005859.html_x000D_
https://www.google.com/search?q={_?_}+LEE+1570+1599+LEE_x000D_
.born:?1570    -         ?England_x000D_
.died: 1599    -1660     ?, age:29y 0m 0d, _x000D_
.bapt: 1785GE_x000D_
.will: 2004MO_x000D_
.obit: 1890OH_x000D_
.bury: 1850IL _x000D_
.wpbt: 1826PA_x000D_
.anc#:ancestor_x000D_
citiz:foreign_x000D_
#spos:1_x000D_
#srcs:1_x000D_
#comment:0_x000D_
#events:1_x000D_
#kids:1_x000D_
lived:?ENWARWE_x000D_
issue:_x000D_
.recs:Birth,Marriage,Death_x000D_
.imm?:no_x000D_
..Spo:MICHAEL LEE</t>
        </r>
      </text>
    </comment>
    <comment ref="K6268" authorId="0" shapeId="0" xr:uid="{500EBE78-AC26-4843-AFC8-FC8B43B9A3A0}">
      <text>
        <r>
          <rPr>
            <sz val="9"/>
            <color indexed="81"/>
            <rFont val="Tahoma"/>
            <family val="2"/>
          </rPr>
          <t>EBENEZER WOOD_x000D_
http://yeinfo.com/family/I09000732.html_x000D_
https://www.google.com/search?q=EBENEZER+WOOD+1671+1737+RACHEL+Gage_x000D_
.born: 16711229-          _x000D_
.died: 1737    -          , age:65y 0m 3d, _x000D_
.bapt: 1785GE_x000D_
.will: 2004MO_x000D_
.obit: 1890OH_x000D_
.bury: 1850IL _x000D_
.wpbt: 1826PA_x000D_
.anc#:ancestor_x000D_
citiz:US born_x000D_
#spos:2_x000D_
#srcs:6_x000D_
#comment:1_x000D_
#events:7_x000D_
#kids:9_x000D_
lived:MAESSEXROWLEY,MAMIDDLLITTLET,MAWORCEMENDON_x000D_
issue:_x000D_
.recs:Birth,Military,Marriage,Will Written,Death_x000D_
.imm?:no_x000D_
..Spo:RACHEL NICHOLS</t>
        </r>
      </text>
    </comment>
    <comment ref="L6270" authorId="0" shapeId="0" xr:uid="{87863B97-574D-47B6-90E5-4A1CEB97205D}">
      <text>
        <r>
          <rPr>
            <sz val="9"/>
            <color indexed="81"/>
            <rFont val="Tahoma"/>
            <family val="2"/>
          </rPr>
          <t>ANN HUNT_x000D_
http://yeinfo.com/family/I09001465.html_x000D_
https://www.google.com/search?q=ANN+HUNT+1633+1714+WOOD_x000D_
.born:c1633    -          Nuneaton (Warwickshire) England_x000D_
.died: 17141229-          , age:81y 11m 28d, _x000D_
.bapt: 1785GE_x000D_
.will: 2004MO_x000D_
.obit: 1890OH_x000D_
.bury: 1850IL _x000D_
.wpbt: 1826PA_x000D_
.anc#:ancestor_x000D_
citiz:US born_x000D_
#spos:1_x000D_
#srcs:4_x000D_
#comment:1_x000D_
#events:1_x000D_
#kids:11_x000D_
lived:ENWARWENUNEATO,MAESSEXROWLEY_x000D_
issue:_x000D_
.recs:Birth,Marriage,Death_x000D_
.imm?:no_x000D_
..Spo:THOMAS WOOD</t>
        </r>
      </text>
    </comment>
    <comment ref="J6272" authorId="0" shapeId="0" xr:uid="{B6D7BADE-E83B-4B0B-85DF-B87D4CFD67F5}">
      <text>
        <r>
          <rPr>
            <sz val="9"/>
            <color indexed="81"/>
            <rFont val="Tahoma"/>
            <family val="2"/>
          </rPr>
          <t>MOSES WOOD_x000D_
http://yeinfo.com/family/I09000366.html_x000D_
https://www.google.com/search?q=MOSES+WOOD+1712+1780+PRISCILLA_x000D_
.born: 17120403-          Rowley (Essex) Massachusetts_x000D_
.died: 1780    -          Mendon (Worcester) Massachusetts, age:67y 8m 29d, _x000D_
.bapt: 1785GE_x000D_
.will: 2004MO_x000D_
.obit: 1890OH_x000D_
.bury: 1850IL _x000D_
.wpbt: 1826PA_x000D_
.anc#:ancestor_x000D_
citiz:US born_x000D_
#spos:1_x000D_
#srcs:3_x000D_
#comment:0_x000D_
#events:6_x000D_
#kids:9_x000D_
lived:MAESSEXROWLEY,MAWORCEMENDON,MAWORCEUPTON_x000D_
issue:_x000D_
.recs:Birth,Baptism,Marriage Intention/Bonds,Death_x000D_
.imm?:no_x000D_
..Spo:PRISCILLA TAFT</t>
        </r>
      </text>
    </comment>
    <comment ref="N6274" authorId="0" shapeId="0" xr:uid="{DC484F8F-1220-4DDB-BE76-D87A6B1BA411}">
      <text>
        <r>
          <rPr>
            <sz val="9"/>
            <color indexed="81"/>
            <rFont val="Tahoma"/>
            <family val="2"/>
          </rPr>
          <t>WALTER NICHOLS_x000D_
http://yeinfo.com/family/I09005712.html_x000D_
https://www.google.com/search?q=WALTER+NICHOLS+1582+1624+ELIZABETH_x000D_
.born: 15821108-          Coggeshall (Essex) England_x000D_
.died: 1624    -1672      Harwich (Essex) England, age:41y 1m 24d, _x000D_
.bapt: 1785GE_x000D_
.will: 2004MO_x000D_
.obit: 1890OH_x000D_
.bury: 1850IL _x000D_
.wpbt: 1826PA_x000D_
.anc#:double ancestor_x000D_
citiz:foreign_x000D_
#spos:1_x000D_
#srcs:1_x000D_
#comment:1_x000D_
#events:1_x000D_
#kids:9_x000D_
lived:ENESSEXCOGGESH,ENESSEXHARWICH,ENESSEXHIGH RO_x000D_
issue:_x000D_
.recs:Birth,Marriage,Death_x000D_
.imm?:no_x000D_
..Spo:ELIZABETH CATTLYN</t>
        </r>
      </text>
    </comment>
    <comment ref="M6276" authorId="0" shapeId="0" xr:uid="{644C3C37-DEF5-4460-8854-A0EECCDDA182}">
      <text>
        <r>
          <rPr>
            <sz val="9"/>
            <color indexed="81"/>
            <rFont val="Tahoma"/>
            <family val="2"/>
          </rPr>
          <t>WALTER NICHOLS_x000D_
http://yeinfo.com/family/I09002932.html_x000D_
https://www.google.com/search?q=WALTER+NICHOLS+1610+1640+MARGARET_x000D_
.born: 1610    -          Coggeshall (Essex) England_x000D_
.died: 16400303-          Coggeshall (Essex) England, age:30y 2m 2d, _x000D_
.bapt: 1785GE_x000D_
.will: 2004MO_x000D_
.obit: 1890OH_x000D_
.bury: 1850IL _x000D_
.wpbt: 1826PA_x000D_
.anc#:ancestor_x000D_
citiz:foreign_x000D_
#spos:1_x000D_
#srcs:2_x000D_
#comment:0_x000D_
#events:1_x000D_
#kids:2_x000D_
lived:ENESSEXCOGGESH_x000D_
issue:_x000D_
.recs:Birth,Marriage,Death_x000D_
.imm?:no_x000D_
..Spo:MARGARET HARRIS</t>
        </r>
      </text>
    </comment>
    <comment ref="N6278" authorId="0" shapeId="0" xr:uid="{1F280882-8E60-4165-9CE9-70749380B9F8}">
      <text>
        <r>
          <rPr>
            <sz val="9"/>
            <color indexed="81"/>
            <rFont val="Tahoma"/>
            <family val="2"/>
          </rPr>
          <t>ELIZABETH CATTLYN_x000D_
http://yeinfo.com/family/I09005713.html_x000D_
https://www.google.com/search?q=ELIZABETH+CATTLYN+1585+1628+NICHOLS_x000D_
.born:?1585    -          Coggeshall (Essex) England_x000D_
.died: 16280111-          Coggeshall (Essex) England, age:43y 0m 10d, _x000D_
.bapt: 1785GE_x000D_
.will: 2004MO_x000D_
.obit: 1890OH_x000D_
.bury: 1850IL _x000D_
.wpbt: 1826PA_x000D_
.anc#:double ancestor_x000D_
citiz:foreign_x000D_
#spos:1_x000D_
#srcs:1_x000D_
#comment:0_x000D_
#events:1_x000D_
#kids:9_x000D_
lived:ENESSEXCOGGESH,ENESSEXHIGH RO_x000D_
issue:_x000D_
.recs:Birth,Marriage,Death_x000D_
.imm?:no_x000D_
..Spo:WALTER NICHOLS</t>
        </r>
      </text>
    </comment>
    <comment ref="L6280" authorId="0" shapeId="0" xr:uid="{0769BB5D-928E-4CE0-A9E3-11AFCD1FE455}">
      <text>
        <r>
          <rPr>
            <sz val="9"/>
            <color indexed="81"/>
            <rFont val="Tahoma"/>
            <family val="2"/>
          </rPr>
          <t>THOMAS NICHOLS_x000D_
http://yeinfo.com/family/I09001466.html_x000D_
https://www.google.com/search?q=THOMAS+NICHOLS+1630+1720+MARY_x000D_
.born:c1630    -         ?Coggeshall (Essex) England_x000D_
.died: 172009  -          Amesbury (Essex) Massachusetts, age:90y 8m 0d, _x000D_
.bapt: 1785GE_x000D_
.will: 2004MO_x000D_
.obit: 1890OH_x000D_
.bury: 1850IL _x000D_
.wpbt: 1826PA_x000D_
.anc#:ancestor_x000D_
citiz:immigrant_x000D_
#spos:1_x000D_
#srcs:1_x000D_
#comment:0_x000D_
#events:1_x000D_
#kids:1_x000D_
lived:?ENESSEXCOGGESH,MAESSEXAMESBUR,MAMIDDLMALDEN_x000D_
issue:_x000D_
.recs:Birth,Marriage,Death_x000D_
.imm?:immigrant_x000D_
..Spo:MARY MOULTON</t>
        </r>
      </text>
    </comment>
    <comment ref="M6282" authorId="0" shapeId="0" xr:uid="{FA56BD6F-39FE-4DF6-9C39-45445498414D}">
      <text>
        <r>
          <rPr>
            <sz val="9"/>
            <color indexed="81"/>
            <rFont val="Tahoma"/>
            <family val="2"/>
          </rPr>
          <t>MARGARET HARRIS_x000D_
http://yeinfo.com/family/I09002933.html_x000D_
https://www.google.com/search?q=MARGARET+HARRIS+1610+1670+NICHOLS_x000D_
.born:c16100310-          Droitwich (Worcestershire) England_x000D_
.died:c1670    -         ?England, age:59y 9m 22d, _x000D_
.bapt: 1785GE_x000D_
.will: 2004MO_x000D_
.obit: 1890OH_x000D_
.bury: 1850IL _x000D_
.wpbt: 1826PA_x000D_
.anc#:ancestor_x000D_
citiz:foreign_x000D_
#spos:1_x000D_
#srcs:2_x000D_
#comment:0_x000D_
#events:1_x000D_
#kids:2_x000D_
lived:?ENESSEX,ENWORCSDROITWI_x000D_
issue:_x000D_
.recs:Birth,Marriage,Death_x000D_
.imm?:no_x000D_
..Spo:WALTER NICHOLS</t>
        </r>
      </text>
    </comment>
    <comment ref="K6284" authorId="0" shapeId="0" xr:uid="{B9C863A1-7428-4638-A512-1133B383C061}">
      <text>
        <r>
          <rPr>
            <sz val="9"/>
            <color indexed="81"/>
            <rFont val="Tahoma"/>
            <family val="2"/>
          </rPr>
          <t>RACHEL NICHOLS_x000D_
http://yeinfo.com/family/I09000733.html_x000D_
https://www.google.com/search?q=RACHEL+NICHOLS+1675+1717+WOOD_x000D_
.born: 16750225-          Rowley (Essex) Massachusetts_x000D_
.died: 1717    -1765      Mendon (Worcester) Massachusetts, age:41y 10m 7d, _x000D_
.bapt: 1785GE_x000D_
.will: 2004MO_x000D_
.obit: 1890OH_x000D_
.bury: 1850IL _x000D_
.wpbt: 1826PA_x000D_
.anc#:ancestor_x000D_
citiz:US born_x000D_
#spos:1_x000D_
#srcs:4_x000D_
#comment:0_x000D_
#events:3_x000D_
#kids:9_x000D_
lived:MAESSEXROWLEY,MAWORCEMENDON_x000D_
issue:_x000D_
.recs:Birth,Marriage,Death_x000D_
.imm?:no_x000D_
..Spo:EBENEZER WOOD</t>
        </r>
      </text>
    </comment>
    <comment ref="M6286" authorId="0" shapeId="0" xr:uid="{DED6939B-6623-4816-8081-45DDA4698914}">
      <text>
        <r>
          <rPr>
            <sz val="9"/>
            <color indexed="81"/>
            <rFont val="Tahoma"/>
            <family val="2"/>
          </rPr>
          <t>THOMAS MOULTON_x000D_
http://yeinfo.com/family/I09002934.html_x000D_
https://www.google.com/search?q=THOMAS+MOULTON+1615+1712+JANE_x000D_
.born: 1615    -          _x000D_
.died: 1712    -1715      Malden (Middlesex) Massachusetts, age:97y 0m 0d, _x000D_
.bapt: 1785GE_x000D_
.will: 2004MO_x000D_
.obit: 1890OH_x000D_
.bury: 1850IL _x000D_
.wpbt: 1826PA_x000D_
.anc#:ancestor_x000D_
citiz:US born_x000D_
#spos:1_x000D_
#srcs:2_x000D_
#comment:0_x000D_
#events:1_x000D_
#kids:7_x000D_
lived:MAMIDDLMALDEN,MASUFFOCHAZTWN_x000D_
issue:_x000D_
.recs:Birth,Marriage,Death_x000D_
.imm?:no_x000D_
..Spo:JANE MOULTON</t>
        </r>
      </text>
    </comment>
    <comment ref="L6288" authorId="0" shapeId="0" xr:uid="{921BF76E-DC97-4B2B-945F-76589B9B42CF}">
      <text>
        <r>
          <rPr>
            <sz val="9"/>
            <color indexed="81"/>
            <rFont val="Tahoma"/>
            <family val="2"/>
          </rPr>
          <t>MARY MOULTON_x000D_
http://yeinfo.com/family/I09001467.html_x000D_
https://www.google.com/search?q=MARY+MOULTON+1635+1711+NICHOLS_x000D_
.born: 16350524-          _x000D_
.died: 17110607-          Malden (Middlesex) Massachusetts, age:76y 0m 14d, _x000D_
.bapt: 1785GE_x000D_
.will: 2004MO_x000D_
.obit: 1890OH_x000D_
.bury: 1850IL _x000D_
.wpbt: 1826PA_x000D_
.anc#:ancestor_x000D_
citiz:US born_x000D_
#spos:1_x000D_
#srcs:2_x000D_
#comment:0_x000D_
#events:1_x000D_
#kids:1_x000D_
lived:MAMIDDLMALDEN_x000D_
issue:_x000D_
.recs:Birth,Marriage,Death_x000D_
.imm?:no_x000D_
..Spo:THOMAS NICHOLS</t>
        </r>
      </text>
    </comment>
    <comment ref="M6290" authorId="0" shapeId="0" xr:uid="{AEE1DA30-FBEB-4A9D-8EA8-378D147B68AC}">
      <text>
        <r>
          <rPr>
            <sz val="9"/>
            <color indexed="81"/>
            <rFont val="Tahoma"/>
            <family val="2"/>
          </rPr>
          <t>Mrs. JANE MOULTON_x000D_
http://yeinfo.com/family/I09002935.html_x000D_
https://www.google.com/search?q=JANE+MOULTON+1610+1657+MOULTON_x000D_
.born: 1610    -          Suffolk county England_x000D_
.died: 16571024-          Haverhill (Essex) Massachusetts, age:47y 9m 23d, _x000D_
.bapt: 1785GE_x000D_
.will: 2004MO_x000D_
.obit: 1890OH_x000D_
.bury: 1850IL _x000D_
.wpbt: 1826PA_x000D_
.anc#:ancestor_x000D_
citiz:immigrant_x000D_
#spos:1_x000D_
#srcs:2_x000D_
#comment:0_x000D_
#events:1_x000D_
#kids:7_x000D_
lived:ENSUFFO,MAESSEXHAVERHI,MASUFFOCHAZTWN_x000D_
issue:_x000D_
.recs:Birth,Marriage,Death_x000D_
.imm?:immigrant_x000D_
..Spo:THOMAS MOULTON</t>
        </r>
      </text>
    </comment>
    <comment ref="I6292" authorId="0" shapeId="0" xr:uid="{B1E99D52-52E8-4B4D-A4D7-C663EDD69958}">
      <text>
        <r>
          <rPr>
            <sz val="9"/>
            <color indexed="81"/>
            <rFont val="Tahoma"/>
            <family val="2"/>
          </rPr>
          <t>MARY WOOD_x000D_
http://yeinfo.com/family/I09000183.html_x000D_
https://www.google.com/search?q=MARY+WOOD+1741+1818+GOSS_x000D_
.born: 17410303-          Upton (Worcester) Massachusetts_x000D_
.died: 18180406-          Mendon (Worcester) Massachusetts, age:77y 1m 3d, _x000D_
.bapt: 1785GE_x000D_
.will: 2004MO_x000D_
.obit: 1890OH_x000D_
.bury: 1850IL Old Cemetery_x000D_
.wpbt: 1826PA_x000D_
.anc#:ancestor_x000D_
citiz:US born_x000D_
#spos:1_x000D_
#srcs:2_x000D_
#comment:0_x000D_
#events:4_x000D_
#kids:11_x000D_
lived:MAWORCEMENDON,MAWORCEUPTON_x000D_
issue:_x000D_
.recs:Birth,Marriage Intention/Bonds,Death_x000D_
.imm?:no_x000D_
..Spo:ZEBULON GOSS</t>
        </r>
      </text>
    </comment>
    <comment ref="N6294" authorId="0" shapeId="0" xr:uid="{71AA115D-A0AC-4BF4-8786-5C4F3DE93788}">
      <text>
        <r>
          <rPr>
            <sz val="9"/>
            <color indexed="81"/>
            <rFont val="Tahoma"/>
            <family val="2"/>
          </rPr>
          <t>RICHARD ROBERT TAFT_x000D_
http://yeinfo.com/family/I09005872.html_x000D_
https://www.google.com/search?q=RICHARD+ROBERT+TAFT+1614+1640+MARGARET_x000D_
.born: 1614    -          London county England_x000D_
.died: 1640    -1704      , age:26y 0m 0d, _x000D_
.bapt: 1785GE_x000D_
.will: 2004MO_x000D_
.obit: 1890OH_x000D_
.bury: 1850IL _x000D_
.wpbt: 1826PA_x000D_
.anc#:ancestor_x000D_
citiz:US born_x000D_
#spos:1_x000D_
#srcs:1_x000D_
#comment:0_x000D_
#events:1_x000D_
#kids:1_x000D_
lived:ENLONDO_x000D_
issue:Died before Birth_x000D_
.recs:Birth,Marriage,Death_x000D_
.imm?:no_x000D_
..Spo:MARGARET FAUN</t>
        </r>
      </text>
    </comment>
    <comment ref="M6296" authorId="0" shapeId="0" xr:uid="{53EE860F-16ED-4666-B12F-B1909F9C8B46}">
      <text>
        <r>
          <rPr>
            <sz val="9"/>
            <color indexed="81"/>
            <rFont val="Tahoma"/>
            <family val="2"/>
          </rPr>
          <t>ROBERT TAFT_x000D_
http://yeinfo.com/family/I09002936.html_x000D_
https://www.google.com/search?q=ROBERT+TAFT+1640+1725+SARAH_x000D_
.born: 1640    -          _x000D_
.died: 17250208-          , age:85y 1m 7d, _x000D_
.bapt: 1785GE_x000D_
.will: 2004MO_x000D_
.obit: 1890OH_x000D_
.bury: 1850IL _x000D_
.wpbt: 1826PA_x000D_
.anc#:ancestor_x000D_
citiz:US born_x000D_
#spos:1_x000D_
#srcs:7_x000D_
#comment:3_x000D_
#events:8_x000D_
#kids:2_x000D_
lived:IR,MABRIST,MANORFOBRAINTR,MAWORCEMENDON,RIBRISTBRISTOL_x000D_
issue:Born before Parents Married_x000D_
.recs:Birth,Marriage,Death,Land Transaction_x000D_
.imm?:no_x000D_
..Spo:SARAH SIMPSON</t>
        </r>
      </text>
    </comment>
    <comment ref="N6298" authorId="0" shapeId="0" xr:uid="{0176F8FD-160E-486B-AFCB-553428C172AE}">
      <text>
        <r>
          <rPr>
            <sz val="9"/>
            <color indexed="81"/>
            <rFont val="Tahoma"/>
            <family val="2"/>
          </rPr>
          <t>MARGARET FAUN_x000D_
http://yeinfo.com/family/I09005873.html_x000D_
https://www.google.com/search?q=MARGARET+FAUN+1615+1640+TAFT_x000D_
.born:c1615    -         ?England_x000D_
.died: 1640    -1705      , age:25y 0m 0d, _x000D_
.bapt: 1785GE_x000D_
.will: 2004MO_x000D_
.obit: 1890OH_x000D_
.bury: 1850IL _x000D_
.wpbt: 1826PA_x000D_
.anc#:ancestor_x000D_
citiz:US born_x000D_
#spos:1_x000D_
#srcs:1_x000D_
#comment:0_x000D_
#events:1_x000D_
#kids:1_x000D_
lived:?EN,ENLONDO_x000D_
issue:Died before Birth_x000D_
.recs:Birth,Marriage,Death_x000D_
.imm?:no_x000D_
..Spo:RICHARD ROBERT TAFT</t>
        </r>
      </text>
    </comment>
    <comment ref="L6300" authorId="0" shapeId="0" xr:uid="{F6F86BA2-09D3-430C-90C4-1B65084B2A89}">
      <text>
        <r>
          <rPr>
            <sz val="9"/>
            <color indexed="81"/>
            <rFont val="Tahoma"/>
            <family val="2"/>
          </rPr>
          <t>ROBERT TAFT_x000D_
http://yeinfo.com/family/I09001468.html_x000D_
https://www.google.com/search?q=ROBERT+TAFT+1664+1748+ELIZABETH_x000D_
.born:?1664    -         ?Mendon (Worcester) Massachusetts_x000D_
.died: 1748    -         ?Mendon (Worcester) Massachusetts, age:84y 0m 0d, _x000D_
.bapt: 1785GE_x000D_
.will: 2004MO_x000D_
.obit: 1890OH_x000D_
.bury: 1850IL _x000D_
.wpbt: 1826PA_x000D_
.anc#:ancestor_x000D_
citiz:US born_x000D_
#spos:1_x000D_
#srcs:3_x000D_
#comment:0_x000D_
#events:2_x000D_
#kids:1_x000D_
lived:?MAWORCEMENDON,MANORFOBRAINTR,MAWORCEUXBRIDG_x000D_
issue:Born before Parents Married_x000D_
.recs:Birth,Marriage,Death_x000D_
.imm?:no_x000D_
..Spo:ELIZABETH WOODWARD</t>
        </r>
      </text>
    </comment>
    <comment ref="P6302" authorId="0" shapeId="0" xr:uid="{6B3FD45B-F617-41DA-8CCE-045BAD4A8B66}">
      <text>
        <r>
          <rPr>
            <sz val="9"/>
            <color indexed="81"/>
            <rFont val="Tahoma"/>
            <family val="2"/>
          </rPr>
          <t>THOMAS SIMPSON_x000D_
http://yeinfo.com/family/I09023496.html_x000D_
https://www.google.com/search?q=THOMAS+SIMPSON+1530+1573+{_?_}_x000D_
.born: 1530    -          England_x000D_
.died: 1573    -1620     ?England, age:43y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..Spo:{_?_} SIMPSON</t>
        </r>
      </text>
    </comment>
    <comment ref="O6304" authorId="0" shapeId="0" xr:uid="{AD953B0D-541A-4753-A882-4863F6E67850}">
      <text>
        <r>
          <rPr>
            <sz val="9"/>
            <color indexed="81"/>
            <rFont val="Tahoma"/>
            <family val="2"/>
          </rPr>
          <t>WILLIAM SIMPSON_x000D_
http://yeinfo.com/family/I09011748.html_x000D_
https://www.google.com/search?q=WILLIAM+SIMPSON+1573+1593+MARGERY_x000D_
.born: 1573    -          England_x000D_
.died: 1593    -1663      , age:20y 0m 0d, _x000D_
.bapt: 1785GE_x000D_
.will: 2004MO_x000D_
.obit: 1890OH_x000D_
.bury: 1850IL _x000D_
.wpbt: 1826PA_x000D_
.anc#:ancestor_x000D_
citiz:foreign_x000D_
#spos:1_x000D_
#srcs:2_x000D_
#comment:0_x000D_
#events:1_x000D_
#kids:1_x000D_
lived:EN_x000D_
issue:_x000D_
.recs:Birth,Marriage,Death_x000D_
.imm?:no_x000D_
..Spo:MARGERY PEGRAM</t>
        </r>
      </text>
    </comment>
    <comment ref="P6306" authorId="0" shapeId="0" xr:uid="{EBA95CC5-202F-4A6C-A7B5-4DB3045EFD5F}">
      <text>
        <r>
          <rPr>
            <sz val="9"/>
            <color indexed="81"/>
            <rFont val="Tahoma"/>
            <family val="2"/>
          </rPr>
          <t>Mrs. {_?_} SIMPSON_x000D_
http://yeinfo.com/family/I09023497.html_x000D_
https://www.google.com/search?q={_?_}+SIMPSON+1530+1573+SIMPSON_x000D_
.born:?1530    -         ?England_x000D_
.died: 1573    -1620     ?England, age:43y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..Spo:THOMAS SIMPSON</t>
        </r>
      </text>
    </comment>
    <comment ref="N6308" authorId="0" shapeId="0" xr:uid="{4C98435C-B20E-4C32-9683-50E3500B75B4}">
      <text>
        <r>
          <rPr>
            <sz val="9"/>
            <color indexed="81"/>
            <rFont val="Tahoma"/>
            <family val="2"/>
          </rPr>
          <t>WILLIAM SIMPSON_x000D_
http://yeinfo.com/family/I09005874.html_x000D_
https://www.google.com/search?q=WILLIAM+SIMPSON+1592+1639+GERTRUDE_x000D_
.born: 15921006-          London (Middlesex) England_x000D_
.died: 1639    -1682      , age:46y 2m 26d, _x000D_
.bapt: 1785GE_x000D_
.will: 2004MO_x000D_
.obit: 1890OH_x000D_
.bury: 1850IL _x000D_
.wpbt: 1826PA_x000D_
.anc#:ancestor_x000D_
citiz:US born_x000D_
#spos:1_x000D_
#srcs:2_x000D_
#comment:0_x000D_
#events:1_x000D_
#kids:1_x000D_
lived:ENMIDDLLONDON_x000D_
issue:_x000D_
.recs:Birth,Marriage,Death_x000D_
.imm?:no_x000D_
..Spo:GERTRUDE ALDERS</t>
        </r>
      </text>
    </comment>
    <comment ref="O6310" authorId="0" shapeId="0" xr:uid="{9A63CCB9-76D9-4DCB-A591-15EF063D7867}">
      <text>
        <r>
          <rPr>
            <sz val="9"/>
            <color indexed="81"/>
            <rFont val="Tahoma"/>
            <family val="2"/>
          </rPr>
          <t>MARGERY PEGRAM_x000D_
http://yeinfo.com/family/I09011749.html_x000D_
https://www.google.com/search?q=MARGERY+PEGRAM+1572+1592+SIMPSON_x000D_
.born: 1572    -          London (Middlesex) England_x000D_
.died: 1592    -1662      , age:20y 0m 0d, _x000D_
.bapt: 1785GE_x000D_
.will: 2004MO_x000D_
.obit: 1890OH_x000D_
.bury: 1850IL _x000D_
.wpbt: 1826PA_x000D_
.anc#:ancestor_x000D_
citiz:foreign_x000D_
#spos:1_x000D_
#srcs:2_x000D_
#comment:0_x000D_
#events:1_x000D_
#kids:1_x000D_
lived:ENMIDDLLONDON_x000D_
issue:_x000D_
.recs:Birth,Marriage,Death_x000D_
.imm?:no_x000D_
..Spo:WILLIAM SIMPSON</t>
        </r>
      </text>
    </comment>
    <comment ref="M6312" authorId="0" shapeId="0" xr:uid="{A8790209-C010-414C-BEFA-206BD1DBD741}">
      <text>
        <r>
          <rPr>
            <sz val="9"/>
            <color indexed="81"/>
            <rFont val="Tahoma"/>
            <family val="2"/>
          </rPr>
          <t>SARAH SIMPSON_x000D_
http://yeinfo.com/family/I09002937.html_x000D_
https://www.google.com/search?q=SARAH+SIMPSON+1639+1725+TAFT_x000D_
.born:c1639    -         ?_x000D_
.died: 17251111-          , age:86y 10m 10d, _x000D_
.bapt: 1785GE_x000D_
.will: 2004MO_x000D_
.obit: 1890OH_x000D_
.bury: 1850IL _x000D_
.wpbt: 1826PA_x000D_
.anc#:ancestor_x000D_
citiz:US born_x000D_
#spos:1_x000D_
#srcs:6_x000D_
#comment:1_x000D_
#events:1_x000D_
#kids:2_x000D_
lived:?MANORFOBRAINTR,MAWORCEMENDON_x000D_
issue:_x000D_
.recs:Birth,Marriage,Death_x000D_
.imm?:no_x000D_
..Spo:ROBERT TAFT</t>
        </r>
      </text>
    </comment>
    <comment ref="O6314" authorId="0" shapeId="0" xr:uid="{39D7EB40-EA3E-48DA-920F-8761C9690105}">
      <text>
        <r>
          <rPr>
            <sz val="9"/>
            <color indexed="81"/>
            <rFont val="Tahoma"/>
            <family val="2"/>
          </rPr>
          <t>WILLIAM ALDERS_x000D_
http://yeinfo.com/family/I09011750.html_x000D_
https://www.google.com/search?q=WILLIAM+ALDERS+1590+1610+MARION_x000D_
.born: 1590    -          Denchworth (Berkshire) England_x000D_
.died: 1610    -1680      , age:20y 0m 0d, _x000D_
.bapt: 1785GE_x000D_
.will: 2004MO_x000D_
.obit: 1890OH_x000D_
.bury: 1850IL _x000D_
.wpbt: 1826PA_x000D_
.anc#:ancestor_x000D_
citiz:US born_x000D_
#spos:1_x000D_
#srcs:2_x000D_
#comment:0_x000D_
#events:1_x000D_
#kids:1_x000D_
lived:ENBERKIDENCHWO_x000D_
issue:_x000D_
.recs:Birth,Marriage,Death_x000D_
.imm?:no_x000D_
..Spo:MARION BRUCE</t>
        </r>
      </text>
    </comment>
    <comment ref="N6316" authorId="0" shapeId="0" xr:uid="{E9313D42-0A33-4462-8E45-59644FAB1FEE}">
      <text>
        <r>
          <rPr>
            <sz val="9"/>
            <color indexed="81"/>
            <rFont val="Tahoma"/>
            <family val="2"/>
          </rPr>
          <t>GERTRUDE ALDERS_x000D_
http://yeinfo.com/family/I09005875.html_x000D_
https://www.google.com/search?q=GERTRUDE+ALDERS+1609+1649+SIMPSON_x000D_
.born: 16090430-          London (Middlesex) England_x000D_
.died: 16490509-          England, age:40y 0m 9d, _x000D_
.bapt: 1785GE_x000D_
.will: 2004MO_x000D_
.obit: 1890OH_x000D_
.bury: 1850IL _x000D_
.wpbt: 1826PA_x000D_
.anc#:ancestor_x000D_
citiz:foreign_x000D_
#spos:1_x000D_
#srcs:2_x000D_
#comment:0_x000D_
#events:1_x000D_
#kids:1_x000D_
lived:ENMIDDLLONDON_x000D_
issue:_x000D_
.recs:Birth,Marriage,Death_x000D_
.imm?:no_x000D_
..Spo:WILLIAM SIMPSON</t>
        </r>
      </text>
    </comment>
    <comment ref="P6318" authorId="0" shapeId="0" xr:uid="{7D4CFAED-E9E6-4BBC-85AE-B6D07E63BD86}">
      <text>
        <r>
          <rPr>
            <sz val="9"/>
            <color indexed="81"/>
            <rFont val="Tahoma"/>
            <family val="2"/>
          </rPr>
          <t>WILLIAM BRUCE_x000D_
http://yeinfo.com/family/I09023502.html_x000D_
https://www.google.com/search?q=WILLIAM+BRUCE+1540+1579+ISOBELL_x000D_
.born:c1540    -          Aberdeen (Aberdeenshire) Scotland_x000D_
.died: 1579    -1630      , age:39y 0m 0d, _x000D_
.bapt: 1785GE_x000D_
.will: 2004MO_x000D_
.obit: 1890OH_x000D_
.bury: 1850IL _x000D_
.wpbt: 1826PA_x000D_
.anc#:ancestor_x000D_
citiz:foreign_x000D_
#spos:1_x000D_
#srcs:2_x000D_
#comment:0_x000D_
#events:1_x000D_
#kids:1_x000D_
lived:STABERDABERDEE_x000D_
issue:_x000D_
.recs:Birth,Marriage,Death_x000D_
.imm?:no_x000D_
..Spo:ISOBELL FORBES</t>
        </r>
      </text>
    </comment>
    <comment ref="O6320" authorId="0" shapeId="0" xr:uid="{24CBD515-0398-42B2-B758-1473005FF921}">
      <text>
        <r>
          <rPr>
            <sz val="9"/>
            <color indexed="81"/>
            <rFont val="Tahoma"/>
            <family val="2"/>
          </rPr>
          <t>MARION BRUCE_x000D_
http://yeinfo.com/family/I09011751.html_x000D_
https://www.google.com/search?q=MARION+BRUCE+1579+1630+ALDERS+Andrew_x000D_
.born: 15791011-          Aberdeen (Aberdeenshire) Scotland_x000D_
.died: 1630    -          , age:50y 2m 21d, _x000D_
.bapt: 1785GE_x000D_
.will: 2004MO_x000D_
.obit: 1890OH_x000D_
.bury: 1850IL _x000D_
.wpbt: 1826PA_x000D_
.anc#:ancestor_x000D_
citiz:US born_x000D_
#spos:2_x000D_
#srcs:2_x000D_
#comment:0_x000D_
#events:2_x000D_
#kids:1_x000D_
lived:?EN,STABERDABERDEE_x000D_
issue:_x000D_
.recs:Birth,Marriage,Death_x000D_
.imm?:no_x000D_
..Spo:WILLIAM ALDERS</t>
        </r>
      </text>
    </comment>
    <comment ref="P6322" authorId="0" shapeId="0" xr:uid="{1310B1A3-94AE-4B17-BC6D-E5180252797F}">
      <text>
        <r>
          <rPr>
            <sz val="9"/>
            <color indexed="81"/>
            <rFont val="Tahoma"/>
            <family val="2"/>
          </rPr>
          <t>ISOBELL FORBES_x000D_
http://yeinfo.com/family/I09023503.html_x000D_
https://www.google.com/search?q=ISOBELL+FORBES+1545+1611+BRUCE_x000D_
.born: 15451110-          Aberdeen (Aberdeenshire) Scotland_x000D_
.died: 16111130-          Inverness (Inverness) Scotland, age:66y 0m 20d, _x000D_
.bapt: 1785GE_x000D_
.will: 2004MO_x000D_
.obit: 1890OH_x000D_
.bury: 1850IL _x000D_
.wpbt: 1826PA_x000D_
.anc#:ancestor_x000D_
citiz:foreign_x000D_
#spos:1_x000D_
#srcs:2_x000D_
#comment:1_x000D_
#events:1_x000D_
#kids:1_x000D_
lived:STABERDABERDEE,STINVERINVERNE_x000D_
issue:_x000D_
.recs:Birth,Marriage,Death_x000D_
.imm?:no_x000D_
..Spo:WILLIAM BRUCE</t>
        </r>
      </text>
    </comment>
    <comment ref="K6324" authorId="0" shapeId="0" xr:uid="{01B2C314-C6D7-4E24-8EA1-A838116D6DC5}">
      <text>
        <r>
          <rPr>
            <sz val="9"/>
            <color indexed="81"/>
            <rFont val="Tahoma"/>
            <family val="2"/>
          </rPr>
          <t>ISRAEL TAFT_x000D_
http://yeinfo.com/family/I09000734.html_x000D_
https://www.google.com/search?q=ISRAEL+TAFT+1699+1753+MERCY_x000D_
.born: 16990426-         ?Mendon (Worcester) Massachusetts_x000D_
.died:?1753    -         ?Mendon (Worcester) Massachusetts, age:53y 8m 6d, _x000D_
.bapt: 1785GE_x000D_
.will: 2004MO_x000D_
.obit: 1890OH_x000D_
.bury: 1850IL _x000D_
.wpbt: 1826PA_x000D_
.anc#:ancestor_x000D_
citiz:US born_x000D_
#spos:1_x000D_
#srcs:4_x000D_
#comment:0_x000D_
#events:1_x000D_
#kids:19_x000D_
lived:?MAWORCEMENDON_x000D_
issue:_x000D_
.recs:Birth,Marriage,Death_x000D_
.imm?:no_x000D_
..Spo:MERCY ALDRICH</t>
        </r>
      </text>
    </comment>
    <comment ref="O6326" authorId="0" shapeId="0" xr:uid="{F66089D7-B446-47F2-BB39-07EB3DBF81E3}">
      <text>
        <r>
          <rPr>
            <sz val="9"/>
            <color indexed="81"/>
            <rFont val="Tahoma"/>
            <family val="2"/>
          </rPr>
          <t>NATHANIEL WOODWARD_x000D_
http://yeinfo.com/family/I09011752.html_x000D_
https://www.google.com/search?q=NATHANIEL+WOODWARD+1585+1661+MARGARET+Jackson_x000D_
.born:?1585    -          England_x000D_
.died:p16610718-         ?Boston (Suffolk) Massachusetts, age:76y 6m 17d, _x000D_
.bapt: 1785GE_x000D_
.will: 2004MO_x000D_
.obit: 1890OH_x000D_
.bury: 1850IL _x000D_
.wpbt: 1826PA_x000D_
.anc#:ancestor_x000D_
citiz:immigrant_x000D_
#spos:2_x000D_
#srcs:12_x000D_
#comment:0_x000D_
#events:16_x000D_
#kids:5_x000D_
lived:?ENBEDFOPUDDING,EN,MABRISTTAUNTON,MANORFOBROOKLI,MASUFFOBOSTON_x000D_
issue:_x000D_
.recs:Birth,Marriage,Job/Occupation,Death,Land Transaction,Freeman,Church_x000D_
.imm?:immigrant_x000D_
..Spo:MARGARET WOODWARD</t>
        </r>
      </text>
    </comment>
    <comment ref="N6328" authorId="0" shapeId="0" xr:uid="{A5481D26-A021-44D9-B098-754E749AE0C7}">
      <text>
        <r>
          <rPr>
            <sz val="9"/>
            <color indexed="81"/>
            <rFont val="Tahoma"/>
            <family val="2"/>
          </rPr>
          <t>NATHANIEL WOODWARD_x000D_
http://yeinfo.com/family/I09005876.html_x000D_
https://www.google.com/search?q=NATHANIEL+WOODWARD+1613+1694+MARY+WOODWARD_x000D_
.born: 1613    -          _x000D_
.died: 16940206-          , age:81y 1m 5d, _x000D_
.bapt: 1785GE_x000D_
.will: 2004MO_x000D_
.obit: 1890OH_x000D_
.bury: 1850IL _x000D_
.wpbt: 1826PA_x000D_
.anc#:ancestor_x000D_
citiz:US born_x000D_
#spos:2_x000D_
#srcs:8_x000D_
#comment:1_x000D_
#events:11_x000D_
#kids:6_x000D_
lived:ENBEDFO,MABRISTTAUNTON,MASUFFOBOSTON_x000D_
issue:_x000D_
.recs:Birth,Marriage,Job/Occupation,Death,Land Transaction_x000D_
.imm?:no_x000D_
..Spo:MARY JACKSON</t>
        </r>
      </text>
    </comment>
    <comment ref="O6330" authorId="0" shapeId="0" xr:uid="{95274311-EC6B-4109-85B1-E62500B6B138}">
      <text>
        <r>
          <rPr>
            <sz val="9"/>
            <color indexed="81"/>
            <rFont val="Tahoma"/>
            <family val="2"/>
          </rPr>
          <t>Mrs. MARGARET WOODWARD_x000D_
http://yeinfo.com/family/I09011753.html_x000D_
https://www.google.com/search?q=MARGARET+WOODWARD+1585+1613+WOODWARD_x000D_
.born:?1585    -          England_x000D_
.died: 1613    -1675     ?England, age:28y 0m 0d, _x000D_
.bapt: 1785GE_x000D_
.will: 2004MO_x000D_
.obit: 1890OH_x000D_
.bury: 1850IL _x000D_
.wpbt: 1826PA_x000D_
.anc#:ancestor_x000D_
citiz:foreign_x000D_
#spos:1_x000D_
#srcs:3_x000D_
#comment:0_x000D_
#events:1_x000D_
#kids:4_x000D_
lived:?ENBEDFOPUDDING,EN_x000D_
issue:_x000D_
.recs:Birth,Marriage,Death_x000D_
.imm?:no_x000D_
..Spo:NATHANIEL WOODWARD</t>
        </r>
      </text>
    </comment>
    <comment ref="M6332" authorId="0" shapeId="0" xr:uid="{2B7BBD13-A392-4079-9F4E-9C5559EB3A19}">
      <text>
        <r>
          <rPr>
            <sz val="9"/>
            <color indexed="81"/>
            <rFont val="Tahoma"/>
            <family val="2"/>
          </rPr>
          <t>ISRAEL WOODWARD_x000D_
http://yeinfo.com/family/I09002938.html_x000D_
https://www.google.com/search?q=ISRAEL+WOODWARD+1648+1674+JANE_x000D_
.born:?1648    -          Boston (Suffolk) Massachusetts_x000D_
.died: 16740615-          Taunton (Bristol) Massachusetts, age:26y 5m 14d, _x000D_
.bapt: 1785GE_x000D_
.will: 2004MO_x000D_
.obit: 1890OH_x000D_
.bury: 1850IL _x000D_
.wpbt: 1826PA_x000D_
.anc#:ancestor_x000D_
citiz:US born_x000D_
#spos:1_x000D_
#srcs:7_x000D_
#comment:1_x000D_
#events:3_x000D_
#kids:2_x000D_
lived:?MAWORCEMENDON,MABRISTTAUNTON,MASUFFOBOSTON_x000D_
issue:Born before Parents Married_x000D_
.recs:Birth,Marriage,Death_x000D_
.imm?:no_x000D_
..Spo:JANE GODFREY</t>
        </r>
      </text>
    </comment>
    <comment ref="O6334" authorId="0" shapeId="0" xr:uid="{60492210-00A6-4705-87EC-2C5383EC3FA1}">
      <text>
        <r>
          <rPr>
            <sz val="9"/>
            <color indexed="81"/>
            <rFont val="Tahoma"/>
            <family val="2"/>
          </rPr>
          <t>EDMUND JACKSON_x000D_
http://yeinfo.com/family/I09011754.html_x000D_
https://www.google.com/search?q=EDMUND+JACKSON+1595+1637+BRIDGET\BARBARA\MARTHA_x000D_
.born: 1595    -          Boston (Lincolnshire) England_x000D_
.died: 1637    -          Boston (Lincolnshire) England, age:42y 0m 0d, _x000D_
.bapt: 1785GE_x000D_
.will: 2004MO_x000D_
.obit: 1890OH_x000D_
.bury: 1850IL _x000D_
.wpbt: 1826PA_x000D_
.anc#:ancestor_x000D_
citiz:foreign_x000D_
#spos:1_x000D_
#srcs:4_x000D_
#comment:0_x000D_
#events:1_x000D_
#kids:1_x000D_
lived:ENCAMBSFEN DIT,ENLINCSBOSTON_x000D_
issue:_x000D_
.recs:Birth,Marriage,Death_x000D_
.imm?:no_x000D_
..Spo:BRIDGET\BARBARA\MARTHA STORY</t>
        </r>
      </text>
    </comment>
    <comment ref="N6336" authorId="0" shapeId="0" xr:uid="{A8F27D2C-C5B6-4599-A377-FACEABAECD44}">
      <text>
        <r>
          <rPr>
            <sz val="9"/>
            <color indexed="81"/>
            <rFont val="Tahoma"/>
            <family val="2"/>
          </rPr>
          <t>MARY JACKSON_x000D_
http://yeinfo.com/family/I09005877.html_x000D_
https://www.google.com/search?q=MARY+JACKSON+1618+1653+WOODWARD_x000D_
.born: 16181126-          Boston (Lincolnshire) England_x000D_
.died: 1653    -1708      , age:34y 1m 6d, _x000D_
.bapt: 1785GE_x000D_
.will: 2004MO_x000D_
.obit: 1890OH_x000D_
.bury: 1850IL _x000D_
.wpbt: 1826PA_x000D_
.anc#:ancestor_x000D_
citiz:US born_x000D_
#spos:1_x000D_
#srcs:3_x000D_
#comment:0_x000D_
#events:2_x000D_
#kids:5_x000D_
lived:?MASUFFOBOSTON,ENLINCSBOSTON_x000D_
issue:_x000D_
.recs:Birth,Baptism,Marriage,Death_x000D_
.imm?:no_x000D_
..Spo:NATHANIEL WOODWARD</t>
        </r>
      </text>
    </comment>
    <comment ref="O6338" authorId="0" shapeId="0" xr:uid="{DAEE51D7-7B2B-4ACA-ADDC-A2D36E2C8021}">
      <text>
        <r>
          <rPr>
            <sz val="9"/>
            <color indexed="81"/>
            <rFont val="Tahoma"/>
            <family val="2"/>
          </rPr>
          <t>BRIDGET\BARBARA\MARTHA STORY_x000D_
http://yeinfo.com/family/I09011755.html_x000D_
https://www.google.com/search?q=BRIDGET\BARBARA\MARTHA+STORY+1592+1618+JACKSON_x000D_
.born: 15920504-          Bicester (Oxfordshire) England_x000D_
.died: 1618    -1682      Boston (Lincolnshire) England, age:25y 7m 28d, _x000D_
.bapt: 1785GE_x000D_
.will: 2004MO_x000D_
.obit: 1890OH_x000D_
.bury: 1850IL _x000D_
.wpbt: 1826PA_x000D_
.anc#:ancestor_x000D_
citiz:foreign_x000D_
#spos:1_x000D_
#srcs:3_x000D_
#comment:0_x000D_
#events:1_x000D_
#kids:1_x000D_
lived:ENCAMBSFEN DIT,ENLINCSBOSTON,ENOXFOSBICESTE_x000D_
issue:_x000D_
.recs:Birth,Marriage,Death_x000D_
.imm?:no_x000D_
..Spo:EDMUND JACKSON</t>
        </r>
      </text>
    </comment>
    <comment ref="L6340" authorId="0" shapeId="0" xr:uid="{8D2177B6-0353-43E4-AE16-30E651C3E46A}">
      <text>
        <r>
          <rPr>
            <sz val="9"/>
            <color indexed="81"/>
            <rFont val="Tahoma"/>
            <family val="2"/>
          </rPr>
          <t>ELIZABETH WOODWARD_x000D_
http://yeinfo.com/family/I09001469.html_x000D_
https://www.google.com/search?q=ELIZABETH+WOODWARD+1671+1699+TAFT_x000D_
.born: 16710615-          _x000D_
.died: 1699    -1761      London (Middlesex) England, age:27y 6m 17d, _x000D_
.bapt: 1785GE_x000D_
.will: 2004MO_x000D_
.obit: 1890OH_x000D_
.bury: 1850IL _x000D_
.wpbt: 1826PA_x000D_
.anc#:ancestor_x000D_
citiz:US born_x000D_
#spos:1_x000D_
#srcs:6_x000D_
#comment:0_x000D_
#events:1_x000D_
#kids:1_x000D_
lived:?MAWORCEMENDON,ENMIDDLLONDON_x000D_
issue:_x000D_
.recs:Birth,Marriage,Death_x000D_
.imm?:no_x000D_
..Spo:ROBERT TAFT</t>
        </r>
      </text>
    </comment>
    <comment ref="N6342" authorId="0" shapeId="0" xr:uid="{A4FD09F0-F37A-42B9-AEF9-78B289A39C0F}">
      <text>
        <r>
          <rPr>
            <sz val="9"/>
            <color indexed="81"/>
            <rFont val="Tahoma"/>
            <family val="2"/>
          </rPr>
          <t>RICHARD GODFREY_x000D_
http://yeinfo.com/family/I09005878.html_x000D_
https://www.google.com/search?q=RICHARD+GODFREY+1631+1691+JANE_x000D_
.born: 1631    -         ?England_x000D_
.died: 1691    -         ?Taunton (Bristol) Massachusetts, age:60y 0m 0d, _x000D_
.bapt: 1785GE_x000D_
.will: 2004MO_x000D_
.obit: 1890OH_x000D_
.bury: 1850IL _x000D_
.wpbt: 1826PA_x000D_
.anc#:ancestor_x000D_
citiz:immigrant_x000D_
#spos:1_x000D_
#srcs:4_x000D_
#comment:0_x000D_
#events:2_x000D_
#kids:6_x000D_
lived:?EN,MABRISTTAUNTON_x000D_
issue:_x000D_
.recs:Birth,Marriage,Will Written,Death_x000D_
.imm?:immigrant_x000D_
..Spo:JANE TURNER</t>
        </r>
      </text>
    </comment>
    <comment ref="M6344" authorId="0" shapeId="0" xr:uid="{29C22D6B-4B62-4773-9D97-F28C10D1D89E}">
      <text>
        <r>
          <rPr>
            <sz val="9"/>
            <color indexed="81"/>
            <rFont val="Tahoma"/>
            <family val="2"/>
          </rPr>
          <t>JANE GODFREY_x000D_
http://yeinfo.com/family/I09002939.html_x000D_
https://www.google.com/search?q=JANE+GODFREY+1652+1736+WOODWARD+John_x000D_
.born: 1652    -          Taunton (Bristol) Massachusetts_x000D_
.died: 17360319-          , age:84y 2m 18d, _x000D_
.bapt: 1785GE_x000D_
.will: 2004MO_x000D_
.obit: 1890OH_x000D_
.bury: 1850IL _x000D_
.wpbt: 1826PA_x000D_
.anc#:ancestor_x000D_
citiz:US born_x000D_
#spos:2_x000D_
#srcs:3_x000D_
#comment:0_x000D_
#events:2_x000D_
#kids:4_x000D_
lived:?MAPLYMOPLYMOUT,MABRISTTAUNTON_x000D_
issue:_x000D_
.recs:Birth,Marriage,Death_x000D_
.imm?:no_x000D_
..Spo:ISRAEL WOODWARD</t>
        </r>
      </text>
    </comment>
    <comment ref="P6346" authorId="0" shapeId="0" xr:uid="{B2324B90-A136-4FDB-8BED-FB59FC1EB427}">
      <text>
        <r>
          <rPr>
            <sz val="9"/>
            <color indexed="81"/>
            <rFont val="Tahoma"/>
            <family val="2"/>
          </rPr>
          <t>JOHN TURNER_x000D_
http://yeinfo.com/family/I09023516.html_x000D_
https://www.google.com/search?q=JOHN+TURNER+1585+1643+{_?_}_x000D_
.born:?1585    -         ?England_x000D_
.died: 1643    -1675     ?Massachusetts, age:58y 0m 0d, _x000D_
.bapt: 1785GE_x000D_
.will: 2004MO_x000D_
.obit: 1890OH_x000D_
.bury: 1850IL _x000D_
.wpbt: 1826PA_x000D_
.anc#:ancestor_x000D_
citiz:immigrant_x000D_
#spos:1_x000D_
#srcs:1_x000D_
#comment:0_x000D_
#events:2_x000D_
#kids:2_x000D_
lived:?EN,MAESSEXLYNN_x000D_
issue:_x000D_
.recs:Birth,Marriage,Death_x000D_
.imm?:immigrant_x000D_
..Spo:{_?_} TURNER</t>
        </r>
      </text>
    </comment>
    <comment ref="O6348" authorId="0" shapeId="0" xr:uid="{0A1A9988-639D-4C91-ACF7-6CBB5956BABB}">
      <text>
        <r>
          <rPr>
            <sz val="9"/>
            <color indexed="81"/>
            <rFont val="Tahoma"/>
            <family val="2"/>
          </rPr>
          <t>JOHN TURNER_x000D_
http://yeinfo.com/family/I09011758.html_x000D_
https://www.google.com/search?q=JOHN+TURNER+1612+1689+JANE_x000D_
.born:?1612    -         ?London (Middlesex) England_x000D_
.died: 1689    -1702     ?Massachusetts, age:77y 0m 0d, _x000D_
.bapt: 1785GE_x000D_
.will: 2004MO_x000D_
.obit: 1890OH_x000D_
.bury: 1850IL _x000D_
.wpbt: 1826PA_x000D_
.anc#:ancestor_x000D_
citiz:immigrant_x000D_
#spos:1_x000D_
#srcs:1_x000D_
#comment:0_x000D_
#events:11_x000D_
#kids:2_x000D_
lived:?ENMIDDLLONDON,MABRISTTAUNTON,MAESSEXLYNN_x000D_
issue:_x000D_
.recs:Birth,Marriage,Deed,Land Transaction,Gov't Court_x000D_
.imm?:immigrant_x000D_
..Spo:JANE CURTIS</t>
        </r>
      </text>
    </comment>
    <comment ref="P6350" authorId="0" shapeId="0" xr:uid="{1EC9DE46-3FE4-4D6D-9A82-DF12B0CC2F73}">
      <text>
        <r>
          <rPr>
            <sz val="9"/>
            <color indexed="81"/>
            <rFont val="Tahoma"/>
            <family val="2"/>
          </rPr>
          <t>Mrs. {_?_} TURNER_x000D_
http://yeinfo.com/family/I09023517.html_x000D_
https://www.google.com/search?q={_?_}+TURNER+1585+1612+TURNER_x000D_
.born:?1585    -         ?England_x000D_
.died: 1612    -1675     ?England, age:27y 0m 0d, _x000D_
.bapt: 1785GE_x000D_
.will: 2004MO_x000D_
.obit: 1890OH_x000D_
.bury: 1850IL _x000D_
.wpbt: 1826PA_x000D_
.anc#:ancestor_x000D_
citiz:foreign_x000D_
#spos:1_x000D_
#srcs:1_x000D_
#comment:1_x000D_
#events:1_x000D_
#kids:2_x000D_
lived:?EN_x000D_
issue:_x000D_
.recs:Birth,Marriage,Death_x000D_
.imm?:no_x000D_
..Spo:JOHN TURNER</t>
        </r>
      </text>
    </comment>
    <comment ref="N6352" authorId="0" shapeId="0" xr:uid="{9B38CEFC-FEAB-4404-ADF5-34089A1874D6}">
      <text>
        <r>
          <rPr>
            <sz val="9"/>
            <color indexed="81"/>
            <rFont val="Tahoma"/>
            <family val="2"/>
          </rPr>
          <t>JANE TURNER_x000D_
http://yeinfo.com/family/I09005879.html_x000D_
https://www.google.com/search?q=JANE+TURNER+1632+1652+GODFREY_x000D_
.born:?1632    -         ?England_x000D_
.died: 1652    -1722     ?Massachusetts, age:20y 0m 0d, _x000D_
.bapt: 1785GE_x000D_
.will: 2004MO_x000D_
.obit: 1890OH_x000D_
.bury: 1850IL _x000D_
.wpbt: 1826PA_x000D_
.anc#:ancestor_x000D_
citiz:immigrant_x000D_
#spos:1_x000D_
#srcs:1_x000D_
#comment:0_x000D_
#events:1_x000D_
#kids:6_x000D_
lived:?EN,?MA_x000D_
issue:_x000D_
.recs:Birth,Marriage,Death_x000D_
.imm?:immigrant_x000D_
..Spo:RICHARD GODFREY</t>
        </r>
      </text>
    </comment>
    <comment ref="O6354" authorId="0" shapeId="0" xr:uid="{9C455AE0-F1B7-4247-B32E-FD49D7DF9885}">
      <text>
        <r>
          <rPr>
            <sz val="9"/>
            <color indexed="81"/>
            <rFont val="Tahoma"/>
            <family val="2"/>
          </rPr>
          <t>JANE CURTIS_x000D_
http://yeinfo.com/family/I09011759.html_x000D_
https://www.google.com/search?q=JANE+CURTIS+1610+1640+TURNER_x000D_
.born:?1610    -         ?England_x000D_
.died: 1640    -1700      Taunton (Bristol) Massachusetts, age:30y 0m 0d, _x000D_
.bapt: 1785GE_x000D_
.will: 2004MO_x000D_
.obit: 1890OH_x000D_
.bury: 1850IL _x000D_
.wpbt: 1826PA_x000D_
.anc#:ancestor_x000D_
citiz:immigrant_x000D_
#spos:1_x000D_
#srcs:2_x000D_
#comment:0_x000D_
#events:1_x000D_
#kids:2_x000D_
lived:?EN,MABRISTTAUNTON_x000D_
issue:_x000D_
.recs:Birth,Marriage,Death_x000D_
.imm?:immigrant_x000D_
..Spo:JOHN TURNER</t>
        </r>
      </text>
    </comment>
    <comment ref="J6356" authorId="0" shapeId="0" xr:uid="{27FD2EF0-BAE6-4C90-8316-E9AF3AB13F1C}">
      <text>
        <r>
          <rPr>
            <sz val="9"/>
            <color indexed="81"/>
            <rFont val="Tahoma"/>
            <family val="2"/>
          </rPr>
          <t>PRISCILLA TAFT_x000D_
http://yeinfo.com/family/I09000367.html_x000D_
https://www.google.com/search?q=PRISCILLA+TAFT+1721+1760+WOOD_x000D_
.born: 17210815-          Mendon (Worcester) Massachusetts_x000D_
.died: 176001  -          Upton (Worcester) Massachusetts, age:38y 4m 17d, _x000D_
.bapt: 1785GE_x000D_
.will: 2004MO_x000D_
.obit: 1890OH_x000D_
.bury: 1850IL _x000D_
.wpbt: 1826PA_x000D_
.anc#:ancestor_x000D_
citiz:US born_x000D_
#spos:1_x000D_
#srcs:3_x000D_
#comment:0_x000D_
#events:2_x000D_
#kids:9_x000D_
lived:MAWORCEMENDON,MAWORCEUPTON_x000D_
issue:_x000D_
.recs:Birth,Marriage Intention/Bonds,Death_x000D_
.imm?:no_x000D_
..Spo:MOSES WOOD</t>
        </r>
      </text>
    </comment>
    <comment ref="U6358" authorId="0" shapeId="0" xr:uid="{D49C6DB4-C45B-4068-967C-814C483610AC}">
      <text>
        <r>
          <rPr>
            <sz val="9"/>
            <color indexed="81"/>
            <rFont val="Tahoma"/>
            <family val="2"/>
          </rPr>
          <t>WILLIAM ALDRICH_x000D_
http://yeinfo.com/family/I09066045.html_x000D_
https://www.google.com/search?q=WILLIAM+ALDRICH+1421+1446+MARY_x000D_
.born: 1421    -          Great Yarmouth (Norfolk) England_x000D_
.died: 1446    -1511      Great Yarmouth (Norfolk) England, age:25y 0m 0d, _x000D_
.bapt: 1785GE_x000D_
.will: 2004MO_x000D_
.obit: 1890OH_x000D_
.bury: 1850IL _x000D_
.wpbt: 1826PA_x000D_
.anc#:ancestor_x000D_
citiz:foreign_x000D_
#spos:1_x000D_
#srcs:1_x000D_
#comment:0_x000D_
#events:1_x000D_
#kids:1_x000D_
lived:ENNORFOGREAT Y_x000D_
issue:_x000D_
.recs:Birth,Marriage,Death_x000D_
.imm?:no_x000D_
..Spo:MARY ALDRICH</t>
        </r>
      </text>
    </comment>
    <comment ref="T6360" authorId="0" shapeId="0" xr:uid="{C7C9B666-A6B9-4A48-A30B-E16800C5FDB8}">
      <text>
        <r>
          <rPr>
            <sz val="9"/>
            <color indexed="81"/>
            <rFont val="Tahoma"/>
            <family val="2"/>
          </rPr>
          <t>WILLIAM ALDRICH II_x000D_
http://yeinfo.com/family/I09065871.html_x000D_
https://www.google.com/search?q=WILLIAM+ALDRICH+1446+1473+ALICE_x000D_
.born: 1446    -          Great Yarmouth (Norfolk) England_x000D_
.died: 1473    -1536      Great Yarmouth (Norfolk) England, age:27y 0m 0d, _x000D_
.bapt: 1785GE_x000D_
.will: 2004MO_x000D_
.obit: 1890OH_x000D_
.bury: 1850IL _x000D_
.wpbt: 1826PA_x000D_
.anc#:ancestor_x000D_
citiz:foreign_x000D_
#spos:1_x000D_
#srcs:1_x000D_
#comment:0_x000D_
#events:1_x000D_
#kids:1_x000D_
lived:ENNORFOGREAT Y_x000D_
issue:_x000D_
.recs:Birth,Marriage,Death_x000D_
.imm?:no_x000D_
..Spo:ALICE ALDRICH</t>
        </r>
      </text>
    </comment>
    <comment ref="U6362" authorId="0" shapeId="0" xr:uid="{6493261F-894F-4013-8414-82909AC1A0CC}">
      <text>
        <r>
          <rPr>
            <sz val="9"/>
            <color indexed="81"/>
            <rFont val="Tahoma"/>
            <family val="2"/>
          </rPr>
          <t>Mrs. MARY ALDRICH_x000D_
http://yeinfo.com/family/I09066046.html_x000D_
https://www.google.com/search?q=MARY+ALDRICH+1421+1487+ALDRICH_x000D_
.born: 1421    -          London (Middlesex) England_x000D_
.died: 1487    -          Great Yarmouth (Norfolk) England, age:66y 0m 0d, _x000D_
.bapt: 1785GE_x000D_
.will: 2004MO_x000D_
.obit: 1890OH_x000D_
.bury: 1850IL _x000D_
.wpbt: 1826PA_x000D_
.anc#:ancestor_x000D_
citiz:foreign_x000D_
#spos:1_x000D_
#srcs:1_x000D_
#comment:0_x000D_
#events:1_x000D_
#kids:1_x000D_
lived:ENMIDDLLONDON,ENNORFOGREAT Y_x000D_
issue:_x000D_
.recs:Birth,Marriage,Death_x000D_
.imm?:no_x000D_
..Spo:WILLIAM ALDRICH</t>
        </r>
      </text>
    </comment>
    <comment ref="S6364" authorId="0" shapeId="0" xr:uid="{11A2B9D6-2E0A-4B00-ABD7-2BFD0E045F0C}">
      <text>
        <r>
          <rPr>
            <sz val="9"/>
            <color indexed="81"/>
            <rFont val="Tahoma"/>
            <family val="2"/>
          </rPr>
          <t>THOMAS ALDRICH_x000D_
http://yeinfo.com/family/I09065726.html_x000D_
https://www.google.com/search?q=THOMAS+ALDRICH+1473+1529+ELIZABETH_x000D_
.born: 1473    -          Great Yarmouth (Norfolk) England_x000D_
.died: 15290717-          Norwich (Norfolk) England, age:56y 6m 16d, _x000D_
.bapt: 1785GE_x000D_
.will: 2004MO_x000D_
.obit: 1890OH_x000D_
.bury: 1850IL _x000D_
.wpbt: 1826PA_x000D_
.anc#:ancestor_x000D_
citiz:foreign_x000D_
#spos:1_x000D_
#srcs:1_x000D_
#comment:0_x000D_
#events:1_x000D_
#kids:11_x000D_
lived:ENNORFOGREAT Y,ENNORFONORWICH_x000D_
issue:_x000D_
.recs:Birth,Marriage,Death_x000D_
.imm?:no_x000D_
..Spo:ELIZABETH WOOD</t>
        </r>
      </text>
    </comment>
    <comment ref="T6366" authorId="0" shapeId="0" xr:uid="{0066A1FB-0524-4998-9ACE-2F3224340FCB}">
      <text>
        <r>
          <rPr>
            <sz val="9"/>
            <color indexed="81"/>
            <rFont val="Tahoma"/>
            <family val="2"/>
          </rPr>
          <t>Mrs. ALICE ALDRICH_x000D_
http://yeinfo.com/family/I09065872.html_x000D_
https://www.google.com/search?q=ALICE+ALDRICH+1450+1510+ALDRICH_x000D_
.born: 1450    -          Great Yarmouth (Norfolk) England_x000D_
.died: 1510    -          Great Yarmouth (Norfolk) England, age:60y 0m 0d, _x000D_
.bapt: 1785GE_x000D_
.will: 2004MO_x000D_
.obit: 1890OH_x000D_
.bury: 1850IL _x000D_
.wpbt: 1826PA_x000D_
.anc#:ancestor_x000D_
citiz:foreign_x000D_
#spos:1_x000D_
#srcs:1_x000D_
#comment:0_x000D_
#events:1_x000D_
#kids:1_x000D_
lived:ENNORFOGREAT Y_x000D_
issue:_x000D_
.recs:Birth,Marriage,Death_x000D_
.imm?:no_x000D_
..Spo:WILLIAM ALDRICH</t>
        </r>
      </text>
    </comment>
    <comment ref="R6368" authorId="0" shapeId="0" xr:uid="{DD4F77E6-6EEF-4620-B833-071B13E5D17C}">
      <text>
        <r>
          <rPr>
            <sz val="9"/>
            <color indexed="81"/>
            <rFont val="Tahoma"/>
            <family val="2"/>
          </rPr>
          <t>JOHN ALDRICH_x000D_
http://yeinfo.com/family/I09065595.html_x000D_
https://www.google.com/search?q=JOHN+ALDRICH+1510+1555+ELIZABETH_x000D_
.born:?1510    -          Norfolk county England_x000D_
.died: 1555    -1600      Norwich (Norfolk) England, age:45y 0m 0d, _x000D_
.bapt: 1785GE_x000D_
.will: 2004MO_x000D_
.obit: 1890OH_x000D_
.bury: 1850IL _x000D_
.wpbt: 1826PA_x000D_
.anc#:ancestor_x000D_
citiz:foreign_x000D_
#spos:1_x000D_
#srcs:1_x000D_
#comment:0_x000D_
#events:1_x000D_
#kids:12_x000D_
lived:ENNORFONORWICH_x000D_
issue:Died after Age 100_x000D_
.recs:Birth,Marriage,Death_x000D_
.imm?:no_x000D_
..Spo:ELIZABETH SOTHERON</t>
        </r>
      </text>
    </comment>
    <comment ref="S6370" authorId="0" shapeId="0" xr:uid="{8EAAAE46-AF6F-4EC2-8B05-4A09F8685B2B}">
      <text>
        <r>
          <rPr>
            <sz val="9"/>
            <color indexed="81"/>
            <rFont val="Tahoma"/>
            <family val="2"/>
          </rPr>
          <t>ELIZABETH WOOD_x000D_
http://yeinfo.com/family/I09065727.html_x000D_
https://www.google.com/search?q=ELIZABETH+WOOD+1477+1530+ALDRICH_x000D_
.born: 1477    -          Fulbourn (Cambridgeshire) England_x000D_
.died: 1530    -          Norwich (Norfolk) England, age:53y 0m 0d, _x000D_
.bapt: 1785GE_x000D_
.will: 2004MO_x000D_
.obit: 1890OH_x000D_
.bury: 1850IL _x000D_
.wpbt: 1826PA_x000D_
.anc#:ancestor_x000D_
citiz:foreign_x000D_
#spos:1_x000D_
#srcs:1_x000D_
#comment:0_x000D_
#events:1_x000D_
#kids:11_x000D_
lived:ENCAMBSFULBOUR,ENNORFONORWICH_x000D_
issue:_x000D_
.recs:Birth,Marriage,Death_x000D_
.imm?:no_x000D_
..Spo:THOMAS ALDRICH</t>
        </r>
      </text>
    </comment>
    <comment ref="Q6372" authorId="0" shapeId="0" xr:uid="{B3D2A69F-29B7-4BEB-A3CE-04A385BF82FD}">
      <text>
        <r>
          <rPr>
            <sz val="9"/>
            <color indexed="81"/>
            <rFont val="Tahoma"/>
            <family val="2"/>
          </rPr>
          <t>HENRY JOHN ALDRICH_x000D_
http://yeinfo.com/family/I09047040.html_x000D_
https://www.google.com/search?q=HENRY+JOHN+ALDRICH+1529+1612+ELIZABETH+LOVETT_x000D_
.born:?1529    -          Norwich (Norfolk) England_x000D_
.died: 16121103-          Worstead (Norfolk) England, age:83y 10m 2d, _x000D_
.bapt: 1785GE_x000D_
.will: 2004MO_x000D_
.obit: 1890OH_x000D_
.bury: 1850IL _x000D_
.wpbt: 1826PA_x000D_
.anc#:ancestor_x000D_
citiz:foreign_x000D_
#spos:1_x000D_
#srcs:1_x000D_
#comment:0_x000D_
#events:1_x000D_
#kids:2_x000D_
lived:ENNORFONORWICH,ENNORFOWORSTEA_x000D_
issue:Died after Age 100_x000D_
.recs:Birth,Marriage,Death_x000D_
.imm?:no_x000D_
..Spo:ELIZABETH LOVETT BROWN</t>
        </r>
      </text>
    </comment>
    <comment ref="W6374" authorId="0" shapeId="0" xr:uid="{5B811511-E920-43D1-890E-63A517CC4709}">
      <text>
        <r>
          <rPr>
            <sz val="9"/>
            <color indexed="81"/>
            <rFont val="Tahoma"/>
            <family val="2"/>
          </rPr>
          <t>JOHN SOTHERON_x000D_
http://yeinfo.com/family/I09066391.html_x000D_
https://www.google.com/search?q=JOHN+SOTHERON+1395+1452+JOHANNA_x000D_
.born: 1395    -          Holme upon Spalding Moor (Yorkshire) England_x000D_
.died: 14521213-          , age:57y 11m 12d, _x000D_
.bapt: 1785GE_x000D_
.will: 2004MO_x000D_
.obit: 1890OH_x000D_
.bury: 1850IL _x000D_
.wpbt: 1826PA_x000D_
.anc#:ancestor_x000D_
citiz:foreign_x000D_
#spos:1_x000D_
#srcs:2_x000D_
#comment:1_x000D_
#events:1_x000D_
#kids:2_x000D_
lived:ENYORKSHOLME U_x000D_
issue:Died after Age 100_x000D_
.recs:Birth,Marriage,Death_x000D_
.imm?:no_x000D_
..Spo:JOHANNA CUSACK</t>
        </r>
      </text>
    </comment>
    <comment ref="V6376" authorId="0" shapeId="0" xr:uid="{C8283FB4-FC7E-4CC6-A585-A1B2D72313A6}">
      <text>
        <r>
          <rPr>
            <sz val="9"/>
            <color indexed="81"/>
            <rFont val="Tahoma"/>
            <family val="2"/>
          </rPr>
          <t>CHRISTOPHER SOTHERON_x000D_
http://yeinfo.com/family/I09066241.html_x000D_
https://www.google.com/search?q=CHRISTOPHER+SOTHERON+1415+1438+CONSTANCE_x000D_
.born: 1415    -          Yorkshire county England_x000D_
.died: 1438    -1505      , age:23y 0m 0d, _x000D_
.bapt: 1785GE_x000D_
.will: 2004MO_x000D_
.obit: 1890OH_x000D_
.bury: 1850IL _x000D_
.wpbt: 1826PA_x000D_
.anc#:ancestor_x000D_
citiz:foreign_x000D_
#spos:1_x000D_
#srcs:2_x000D_
#comment:0_x000D_
#events:1_x000D_
#kids:1_x000D_
lived:ENYORKS_x000D_
issue:_x000D_
.recs:Birth,Marriage,Death_x000D_
.imm?:no_x000D_
..Spo:CONSTANCE LAMBERT</t>
        </r>
      </text>
    </comment>
    <comment ref="W6378" authorId="0" shapeId="0" xr:uid="{A64C4A8A-DC3E-4DDB-97F1-B0B5E34117AA}">
      <text>
        <r>
          <rPr>
            <sz val="9"/>
            <color indexed="81"/>
            <rFont val="Tahoma"/>
            <family val="2"/>
          </rPr>
          <t>JOHANNA CUSACK_x000D_
http://yeinfo.com/family/I09066392.html_x000D_
https://www.google.com/search?q=JOHANNA+CUSACK+1396+1416+SOTHERON_x000D_
.born:c1396    -          Holme upon Spalding Moor (Yorkshire) England_x000D_
.died: 1416    -1486     ?England, age:20y 0m 0d, _x000D_
.bapt: 1785GE_x000D_
.will: 2004MO_x000D_
.obit: 1890OH_x000D_
.bury: 1850IL _x000D_
.wpbt: 1826PA_x000D_
.anc#:ancestor_x000D_
citiz:foreign_x000D_
#spos:1_x000D_
#srcs:2_x000D_
#comment:1_x000D_
#events:1_x000D_
#kids:2_x000D_
lived:ENYORKSHOLME U_x000D_
issue:Died after Age 100_x000D_
.recs:Birth,Marriage,Death_x000D_
.imm?:no_x000D_
..Spo:JOHN SOTHERON</t>
        </r>
      </text>
    </comment>
    <comment ref="U6380" authorId="0" shapeId="0" xr:uid="{F98520CE-F4E7-4D61-A501-71447724DE7A}">
      <text>
        <r>
          <rPr>
            <sz val="9"/>
            <color indexed="81"/>
            <rFont val="Tahoma"/>
            <family val="2"/>
          </rPr>
          <t>WILLIAM SOTHERON_x000D_
http://yeinfo.com/family/I09066047.html_x000D_
https://www.google.com/search?q=WILLIAM+SOTHERON+1438+1509+ALICE_x000D_
.born:c1438    -          Holme upon Spalding Moor (Yorkshire) England_x000D_
.died: 15090511-          Holme upon Spalding Moor (Yorkshire) England, age:71y 4m 10d, _x000D_
.bapt: 1785GE_x000D_
.will: 2004MO_x000D_
.obit: 1890OH_x000D_
.bury: 1850IL _x000D_
.wpbt: 1826PA_x000D_
.anc#:ancestor_x000D_
citiz:foreign_x000D_
#spos:1_x000D_
#srcs:1_x000D_
#comment:0_x000D_
#events:1_x000D_
#kids:6_x000D_
lived:ENYORKSHOLME U_x000D_
issue:_x000D_
.recs:Birth,Marriage,Death_x000D_
.imm?:no_x000D_
..Spo:ALICE SOTHERON</t>
        </r>
      </text>
    </comment>
    <comment ref="W6382" authorId="0" shapeId="0" xr:uid="{F422CA36-7981-4E0D-80CA-6A2F7F3D7DEC}">
      <text>
        <r>
          <rPr>
            <sz val="9"/>
            <color indexed="81"/>
            <rFont val="Tahoma"/>
            <family val="2"/>
          </rPr>
          <t>THOMAS WILLIAM LAMBERT_x000D_
http://yeinfo.com/family/I09066393.html_x000D_
https://www.google.com/search?q=THOMAS+WILLIAM+LAMBERT+1387+1446+JOAN_x000D_
.born:c1387    -          Hipswell (Yorkshire) England_x000D_
.died:c1446    -          Durham county England, age:59y 0m 0d, _x000D_
.bapt: 1785GE_x000D_
.will: 2004MO_x000D_
.obit: 1890OH_x000D_
.bury: 1850IL _x000D_
.wpbt: 1826PA_x000D_
.anc#:ancestor_x000D_
citiz:foreign_x000D_
#spos:1_x000D_
#srcs:1_x000D_
#comment:1_x000D_
#events:1_x000D_
#kids:1_x000D_
lived:ENDURHA,ENYORKSHIPSWEL_x000D_
issue:_x000D_
.recs:Birth,Marriage,Death_x000D_
.imm?:no_x000D_
..Spo:JOAN UMFREVILLE</t>
        </r>
      </text>
    </comment>
    <comment ref="V6384" authorId="0" shapeId="0" xr:uid="{E17CD9F5-FB41-4DF6-AE51-FE0D9882732B}">
      <text>
        <r>
          <rPr>
            <sz val="9"/>
            <color indexed="81"/>
            <rFont val="Tahoma"/>
            <family val="2"/>
          </rPr>
          <t>CONSTANCE LAMBERT_x000D_
http://yeinfo.com/family/I09066242.html_x000D_
https://www.google.com/search?q=CONSTANCE+LAMBERT+1419+1439+SOTHERON_x000D_
.born: 1419    -          Yorkshire county England_x000D_
.died: 1439    -1509      , age:20y 0m 0d, _x000D_
.bapt: 1785GE_x000D_
.will: 2004MO_x000D_
.obit: 1890OH_x000D_
.bury: 1850IL _x000D_
.wpbt: 1826PA_x000D_
.anc#:ancestor_x000D_
citiz:foreign_x000D_
#spos:1_x000D_
#srcs:2_x000D_
#comment:0_x000D_
#events:1_x000D_
#kids:1_x000D_
lived:ENYORKS_x000D_
issue:Died after Age 100_x000D_
.recs:Birth,Marriage,Death_x000D_
.imm?:no_x000D_
..Spo:CHRISTOPHER SOTHERON</t>
        </r>
      </text>
    </comment>
    <comment ref="W6386" authorId="0" shapeId="0" xr:uid="{A0C72AC7-BC87-437B-A790-94C9CEFF2C35}">
      <text>
        <r>
          <rPr>
            <sz val="9"/>
            <color indexed="81"/>
            <rFont val="Tahoma"/>
            <family val="2"/>
          </rPr>
          <t>JOAN UMFREVILLE_x000D_
http://yeinfo.com/family/I09066394.html_x000D_
https://www.google.com/search?q=JOAN+UMFREVILLE+1387+1419+LAMBERT_x000D_
.born:c1387    -          Harbottle (Northumberland) England_x000D_
.died: 1419    -1475      Harbottle (Northumberland) England, age:32y 0m 0d, _x000D_
.bapt: 1785GE_x000D_
.will: 2004MO_x000D_
.obit: 1890OH_x000D_
.bury: 1850IL _x000D_
.wpbt: 1826PA_x000D_
.anc#:ancestor_x000D_
citiz:foreign_x000D_
#spos:1_x000D_
#srcs:1_x000D_
#comment:0_x000D_
#events:1_x000D_
#kids:1_x000D_
lived:ENNORTUHARBOTT_x000D_
issue:_x000D_
.recs:Birth,Marriage,Death_x000D_
.imm?:no_x000D_
..Spo:THOMAS WILLIAM LAMBERT</t>
        </r>
      </text>
    </comment>
    <comment ref="T6388" authorId="0" shapeId="0" xr:uid="{C2A43DC1-E76F-44EE-9B76-B7A4E210ACAA}">
      <text>
        <r>
          <rPr>
            <sz val="9"/>
            <color indexed="81"/>
            <rFont val="Tahoma"/>
            <family val="2"/>
          </rPr>
          <t>THOMAS HERMAN SOTHERON_x000D_
http://yeinfo.com/family/I09065873.html_x000D_
https://www.google.com/search?q=THOMAS+HERMAN+SOTHERON+1466+1550+ELIZABETH_x000D_
.born:c1466    -          Holme upon Spalding Moor (Yorkshire) England_x000D_
.died:c1550    -          Ludham (Norfolk) England, age:84y 0m 0d, _x000D_
.bapt: 1785GE_x000D_
.will: 2004MO_x000D_
.obit: 1890OH_x000D_
.bury: 1850IL _x000D_
.wpbt: 1826PA_x000D_
.anc#:ancestor_x000D_
citiz:foreign_x000D_
#spos:1_x000D_
#srcs:1_x000D_
#comment:0_x000D_
#events:1_x000D_
#kids:1_x000D_
lived:ENNORFOLUDHAM,ENYORKSHOLME U_x000D_
issue:Died after Age 100_x000D_
.recs:Birth,Marriage,Death_x000D_
.imm?:no_x000D_
..Spo:ELIZABETH LUDDHAM</t>
        </r>
      </text>
    </comment>
    <comment ref="U6390" authorId="0" shapeId="0" xr:uid="{F84A5F45-CFC2-4060-B8B5-695437640AF0}">
      <text>
        <r>
          <rPr>
            <sz val="9"/>
            <color indexed="81"/>
            <rFont val="Tahoma"/>
            <family val="2"/>
          </rPr>
          <t>Mrs. ALICE SOTHERON_x000D_
http://yeinfo.com/family/I09066048.html_x000D_
https://www.google.com/search?q=ALICE+SOTHERON+1445+1470+SOTHERON_x000D_
.born:c1445    -          Holme upon Spalding Moor (Yorkshire) England_x000D_
.died: 1470    -          England, age:25y 0m 0d, _x000D_
.bapt: 1785GE_x000D_
.will: 2004MO_x000D_
.obit: 1890OH_x000D_
.bury: 1850IL _x000D_
.wpbt: 1826PA_x000D_
.anc#:ancestor_x000D_
citiz:foreign_x000D_
#spos:1_x000D_
#srcs:1_x000D_
#comment:0_x000D_
#events:1_x000D_
#kids:6_x000D_
lived:ENYORKSHOLME U_x000D_
issue:_x000D_
.recs:Birth,Marriage,Death_x000D_
.imm?:no_x000D_
..Spo:WILLIAM SOTHERON</t>
        </r>
      </text>
    </comment>
    <comment ref="S6392" authorId="0" shapeId="0" xr:uid="{0409BA89-7E0D-4251-A632-B05FA6111B17}">
      <text>
        <r>
          <rPr>
            <sz val="9"/>
            <color indexed="81"/>
            <rFont val="Tahoma"/>
            <family val="2"/>
          </rPr>
          <t>NICHOLAS SOTHERON_x000D_
http://yeinfo.com/family/I09065728.html_x000D_
https://www.google.com/search?q=NICHOLAS+SOTHERON+1480+1540+MARGARET_x000D_
.born:c1480    -          Framlingham (Suffolk) England_x000D_
.died: 15400908-          Norwich (Norfolk) England, age:60y 8m 7d, _x000D_
.bapt: 1785GE_x000D_
.will: 2004MO_x000D_
.obit: 1890OH_x000D_
.bury: 1850IL _x000D_
.wpbt: 1826PA_x000D_
.anc#:ancestor_x000D_
citiz:foreign_x000D_
#spos:1_x000D_
#srcs:1_x000D_
#comment:0_x000D_
#events:1_x000D_
#kids:5_x000D_
lived:ENNORFONORWICH,ENSUFFOFRAMLIN_x000D_
issue:_x000D_
.recs:Birth,Marriage,Death_x000D_
.imm?:no_x000D_
..Spo:MARGARET BACON</t>
        </r>
      </text>
    </comment>
    <comment ref="T6394" authorId="0" shapeId="0" xr:uid="{D3D1724F-BA8C-4B1B-920C-600BB7459DFE}">
      <text>
        <r>
          <rPr>
            <sz val="9"/>
            <color indexed="81"/>
            <rFont val="Tahoma"/>
            <family val="2"/>
          </rPr>
          <t>ELIZABETH LUDDHAM_x000D_
http://yeinfo.com/family/I09065874.html_x000D_
https://www.google.com/search?q=ELIZABETH+LUDDHAM+1478+1498+SOTHERON_x000D_
.born: 1478    -          Ludham (Norfolk) England_x000D_
.died: 1498    -1568     ?England, age:20y 0m 0d, _x000D_
.bapt: 1785GE_x000D_
.will: 2004MO_x000D_
.obit: 1890OH_x000D_
.bury: 1850IL _x000D_
.wpbt: 1826PA_x000D_
.anc#:ancestor_x000D_
citiz:foreign_x000D_
#spos:1_x000D_
#srcs:1_x000D_
#comment:0_x000D_
#events:1_x000D_
#kids:1_x000D_
lived:ENNORFOLUDHAM_x000D_
issue:Died after Age 100_x000D_
.recs:Birth,Marriage,Death_x000D_
.imm?:no_x000D_
..Spo:THOMAS HERMAN SOTHERON</t>
        </r>
      </text>
    </comment>
    <comment ref="R6396" authorId="0" shapeId="0" xr:uid="{5356EFD0-3CE9-41D9-AC66-219D8F4283F1}">
      <text>
        <r>
          <rPr>
            <sz val="9"/>
            <color indexed="81"/>
            <rFont val="Tahoma"/>
            <family val="2"/>
          </rPr>
          <t>ELIZABETH SOTHERON_x000D_
http://yeinfo.com/family/I09065596.html_x000D_
https://www.google.com/search?q=ELIZABETH+SOTHERON+1506+1587+ALDRICH_x000D_
.born: 150603  -          Framlingham (Suffolk) England_x000D_
.died: 15870403-          Norwich (Norfolk) England, age:81y 1m 2d, _x000D_
.bapt: 1785GE_x000D_
.will: 2004MO_x000D_
.obit: 1890OH_x000D_
.bury: 1850IL _x000D_
.wpbt: 1826PA_x000D_
.anc#:ancestor_x000D_
citiz:foreign_x000D_
#spos:1_x000D_
#srcs:1_x000D_
#comment:0_x000D_
#events:1_x000D_
#kids:12_x000D_
lived:ENNORFONORWICH,ENSUFFOFRAMLIN_x000D_
issue:_x000D_
.recs:Birth,Marriage,Death_x000D_
.imm?:no_x000D_
..Spo:JOHN ALDRICH</t>
        </r>
      </text>
    </comment>
    <comment ref="T6398" authorId="0" shapeId="0" xr:uid="{31C52DF5-7D8F-4744-98D1-5D13B4D74D74}">
      <text>
        <r>
          <rPr>
            <sz val="9"/>
            <color indexed="81"/>
            <rFont val="Tahoma"/>
            <family val="2"/>
          </rPr>
          <t>HENRY BACON_x000D_
http://yeinfo.com/family/I09065875.html_x000D_
https://www.google.com/search?q=HENRY+BACON+1470+1573+ELIZABETH\ALICE_x000D_
.born:c1470    -          Framlingham (Suffolk) England_x000D_
.died:c1573    -          Norton (Suffolk) England, age:103y 0m 0d, _x000D_
.bapt: 1785GE_x000D_
.will: 2004MO_x000D_
.obit: 1890OH_x000D_
.bury: 1850IL _x000D_
.wpbt: 1826PA_x000D_
.anc#:ancestor_x000D_
citiz:foreign_x000D_
#spos:1_x000D_
#srcs:1_x000D_
#comment:0_x000D_
#events:1_x000D_
#kids:1_x000D_
lived:ENSUFFOFRAMLIN,ENSUFFONORTON_x000D_
issue:Married after Age 60_x000D_
.recs:Birth,Marriage,Death_x000D_
.imm?:no_x000D_
..Spo:ELIZABETH\ALICE CALLE</t>
        </r>
      </text>
    </comment>
    <comment ref="S6400" authorId="0" shapeId="0" xr:uid="{2416612E-8BAF-4721-970E-09ED78E5FEBC}">
      <text>
        <r>
          <rPr>
            <sz val="9"/>
            <color indexed="81"/>
            <rFont val="Tahoma"/>
            <family val="2"/>
          </rPr>
          <t>MARGARET BACON_x000D_
http://yeinfo.com/family/I09065729.html_x000D_
https://www.google.com/search?q=MARGARET+BACON+1495+1578+SOTHERON_x000D_
.born:c1495    -          Norton (Suffolk) England_x000D_
.died: 15780626-          England, age:83y 5m 25d, _x000D_
.bapt: 1785GE_x000D_
.will: 2004MO_x000D_
.obit: 1890OH_x000D_
.bury: 1850IL _x000D_
.wpbt: 1826PA_x000D_
.anc#:ancestor_x000D_
citiz:foreign_x000D_
#spos:1_x000D_
#srcs:1_x000D_
#comment:0_x000D_
#events:1_x000D_
#kids:5_x000D_
lived:ENSUFFONORTON_x000D_
issue:Died after Age 100_x000D_
.recs:Birth,Marriage,Death_x000D_
.imm?:no_x000D_
..Spo:NICHOLAS SOTHERON</t>
        </r>
      </text>
    </comment>
    <comment ref="U6402" authorId="0" shapeId="0" xr:uid="{30A08CA3-0FC4-4AAA-A0F7-4CE3880582D4}">
      <text>
        <r>
          <rPr>
            <sz val="9"/>
            <color indexed="81"/>
            <rFont val="Tahoma"/>
            <family val="2"/>
          </rPr>
          <t>ROBERT CALLE_x000D_
http://yeinfo.com/family/I09066049.html_x000D_
https://www.google.com/search?q=ROBERT+CALLE+1450+1470+ELIZABETH_x000D_
.born:c1450    -          Framlingham (Suffolk) England_x000D_
.died: 1470    -1540     ?England, age:20y 0m 0d, _x000D_
.bapt: 1785GE_x000D_
.will: 2004MO_x000D_
.obit: 1890OH_x000D_
.bury: 1850IL _x000D_
.wpbt: 1826PA_x000D_
.anc#:ancestor_x000D_
citiz:foreign_x000D_
#spos:1_x000D_
#srcs:1_x000D_
#comment:0_x000D_
#events:1_x000D_
#kids:1_x000D_
lived:ENSUFFOFRAMLIN_x000D_
issue:Died after Age 100_x000D_
.recs:Birth,Marriage,Death_x000D_
.imm?:no_x000D_
..Spo:ELIZABETH CALLE</t>
        </r>
      </text>
    </comment>
    <comment ref="T6404" authorId="0" shapeId="0" xr:uid="{B1BC1E54-6332-4AB9-9C0D-81FBD7261D9C}">
      <text>
        <r>
          <rPr>
            <sz val="9"/>
            <color indexed="81"/>
            <rFont val="Tahoma"/>
            <family val="2"/>
          </rPr>
          <t>ELIZABETH\ALICE CALLE_x000D_
http://yeinfo.com/family/I09065876.html_x000D_
https://www.google.com/search?q=ELIZABETH\ALICE+CALLE+1470+1573+BACON_x000D_
.born:c1470    -          England_x000D_
.died:c15730731-          England, age:103y 6m 30d, _x000D_
.bapt: 1785GE_x000D_
.will: 2004MO_x000D_
.obit: 1890OH_x000D_
.bury: 1850IL _x000D_
.wpbt: 1826PA_x000D_
.anc#:ancestor_x000D_
citiz:foreign_x000D_
#spos:1_x000D_
#srcs:1_x000D_
#comment:0_x000D_
#events:1_x000D_
#kids:1_x000D_
lived:EN_x000D_
issue:Married after Age 60_x000D_
.recs:Birth,Marriage,Death_x000D_
.imm?:no_x000D_
..Spo:HENRY BACON</t>
        </r>
      </text>
    </comment>
    <comment ref="U6406" authorId="0" shapeId="0" xr:uid="{BD36A706-59FA-4203-AAFB-1A9183D01682}">
      <text>
        <r>
          <rPr>
            <sz val="9"/>
            <color indexed="81"/>
            <rFont val="Tahoma"/>
            <family val="2"/>
          </rPr>
          <t>Mrs. ELIZABETH CALLE_x000D_
http://yeinfo.com/family/I09066050.html_x000D_
https://www.google.com/search?q=ELIZABETH+CALLE+1455+1475+CALLE_x000D_
.born: 1455    -         ?England_x000D_
.died: 1475    -1545     ?England, age:20y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..Spo:ROBERT CALLE</t>
        </r>
      </text>
    </comment>
    <comment ref="P6408" authorId="0" shapeId="0" xr:uid="{F1523373-148E-45AC-9702-BEA15AB3F061}">
      <text>
        <r>
          <rPr>
            <sz val="9"/>
            <color indexed="81"/>
            <rFont val="Tahoma"/>
            <family val="2"/>
          </rPr>
          <t>WILLIAM ALDRICH_x000D_
http://yeinfo.com/family/I09023520.html_x000D_
https://www.google.com/search?q=WILLIAM+ALDRICH+1545+1596+MARY_x000D_
.born: 1545    -          Norfolk county England_x000D_
.died: 1596    -          Derbyshire county England, age:51y 0m 0d, _x000D_
.bapt: 1785GE_x000D_
.will: 2004MO_x000D_
.obit: 1890OH_x000D_
.bury: 1850IL _x000D_
.wpbt: 1826PA_x000D_
.anc#:ancestor_x000D_
citiz:foreign_x000D_
#spos:1_x000D_
#srcs:1_x000D_
#comment:0_x000D_
#events:1_x000D_
#kids:1_x000D_
lived:ENDERBS,ENNORFO_x000D_
issue:_x000D_
.recs:Birth,Marriage,Death_x000D_
.imm?:no_x000D_
..Spo:MARY CHASE</t>
        </r>
      </text>
    </comment>
    <comment ref="Q6410" authorId="0" shapeId="0" xr:uid="{C77FCAC7-0814-4FDF-8EDD-724B1F542333}">
      <text>
        <r>
          <rPr>
            <sz val="9"/>
            <color indexed="81"/>
            <rFont val="Tahoma"/>
            <family val="2"/>
          </rPr>
          <t>ELIZABETH LOVETT BROWN_x000D_
http://yeinfo.com/family/I09047041.html_x000D_
https://www.google.com/search?q=ELIZABETH+LOVETT+BROWN+1534+1612+ALDRICH_x000D_
.born: 1534    -         ?England_x000D_
.died: 1612    -         ?England, age:78y 0m 0d, _x000D_
.bapt: 1785GE_x000D_
.will: 2004MO_x000D_
.obit: 1890OH_x000D_
.bury: 1850IL _x000D_
.wpbt: 1826PA_x000D_
.anc#:ancestor_x000D_
citiz:foreign_x000D_
#spos:1_x000D_
#srcs:2_x000D_
#comment:1_x000D_
#events:1_x000D_
#kids:2_x000D_
lived:?ENNORFO_x000D_
issue:Died after Age 100_x000D_
.recs:Birth,Marriage,Death_x000D_
.imm?:no_x000D_
..Spo:HENRY JOHN ALDRICH</t>
        </r>
      </text>
    </comment>
    <comment ref="O6412" authorId="0" shapeId="0" xr:uid="{A839B2F1-BF6A-4E18-9860-4165933A53B1}">
      <text>
        <r>
          <rPr>
            <sz val="9"/>
            <color indexed="81"/>
            <rFont val="Tahoma"/>
            <family val="2"/>
          </rPr>
          <t>GEORGE ALDRICH_x000D_
http://yeinfo.com/family/I09011760.html_x000D_
https://www.google.com/search?q=GEORGE+ALDRICH+1574+1658+JOAN_x000D_
.born: 15740913-          Norfolk county England_x000D_
.died: 16580829-          Norfolk county England, age:83y 11m 16d, _x000D_
.bapt: 1785GE_x000D_
.will: 2004MO_x000D_
.obit: 1890OH_x000D_
.bury: 1850IL _x000D_
.wpbt: 1826PA_x000D_
.anc#:ancestor_x000D_
citiz:foreign_x000D_
#spos:1_x000D_
#srcs:1_x000D_
#comment:0_x000D_
#events:1_x000D_
#kids:2_x000D_
lived:ENNORFO_x000D_
issue:_x000D_
.recs:Birth,Marriage,Death_x000D_
.imm?:no_x000D_
..Spo:JOAN THURGOOD</t>
        </r>
      </text>
    </comment>
    <comment ref="Q6414" authorId="0" shapeId="0" xr:uid="{A8D351F0-79E2-44B9-A06B-8310763CBD90}">
      <text>
        <r>
          <rPr>
            <sz val="9"/>
            <color indexed="81"/>
            <rFont val="Tahoma"/>
            <family val="2"/>
          </rPr>
          <t>EDWARD CHASE II_x000D_
http://yeinfo.com/family/I09047042.html_x000D_
https://www.google.com/search?q=EDWARD+CHASE+1529+1560+ISABELLA_x000D_
.born: 1529    -          Norfolk county England_x000D_
.died: 1560    -1619     ?England, age:31y 0m 0d, _x000D_
.bapt: 1785GE_x000D_
.will: 2004MO_x000D_
.obit: 1890OH_x000D_
.bury: 1850IL _x000D_
.wpbt: 1826PA_x000D_
.anc#:ancestor_x000D_
citiz:foreign_x000D_
#spos:1_x000D_
#srcs:1_x000D_
#comment:0_x000D_
#events:1_x000D_
#kids:1_x000D_
lived:ENNORFO_x000D_
issue:_x000D_
.recs:Birth,Marriage,Death_x000D_
.imm?:no_x000D_
..Spo:ISABELLA CHASE</t>
        </r>
      </text>
    </comment>
    <comment ref="P6416" authorId="0" shapeId="0" xr:uid="{41C1CBE9-7404-4881-8EDF-B3A0D355DCC5}">
      <text>
        <r>
          <rPr>
            <sz val="9"/>
            <color indexed="81"/>
            <rFont val="Tahoma"/>
            <family val="2"/>
          </rPr>
          <t>MARY CHASE_x000D_
http://yeinfo.com/family/I09023521.html_x000D_
https://www.google.com/search?q=MARY+CHASE+1560+1580+ALDRICH_x000D_
.born: 1560    -          Norfolk county England_x000D_
.died:c1580    -          England, age:20y 0m 0d, _x000D_
.bapt: 1785GE_x000D_
.will: 2004MO_x000D_
.obit: 1890OH_x000D_
.bury: 1850IL _x000D_
.wpbt: 1826PA_x000D_
.anc#:ancestor_x000D_
citiz:foreign_x000D_
#spos:1_x000D_
#srcs:1_x000D_
#comment:0_x000D_
#events:1_x000D_
#kids:1_x000D_
lived:ENNORFO_x000D_
issue:Died after Age 100_x000D_
.recs:Birth,Marriage,Death_x000D_
.imm?:no_x000D_
..Spo:WILLIAM ALDRICH</t>
        </r>
      </text>
    </comment>
    <comment ref="Q6418" authorId="0" shapeId="0" xr:uid="{2CFAC0ED-0E01-44A2-AB95-B46251A6BFDF}">
      <text>
        <r>
          <rPr>
            <sz val="9"/>
            <color indexed="81"/>
            <rFont val="Tahoma"/>
            <family val="2"/>
          </rPr>
          <t>Mrs. ISABELLA CHASE_x000D_
http://yeinfo.com/family/I09047043.html_x000D_
https://www.google.com/search?q=ISABELLA+CHASE+1530+1560+CHASE_x000D_
.born: 1530    -          France_x000D_
.died: 1560    -1620      , age:30y 0m 0d, _x000D_
.bapt: 1785GE_x000D_
.will: 2004MO_x000D_
.obit: 1890OH_x000D_
.bury: 1850IL _x000D_
.wpbt: 1826PA_x000D_
.anc#:ancestor_x000D_
citiz:foreign_x000D_
#spos:1_x000D_
#srcs:1_x000D_
#comment:0_x000D_
#events:1_x000D_
#kids:1_x000D_
lived:FR_x000D_
issue:_x000D_
.recs:Birth,Marriage,Death_x000D_
.imm?:no_x000D_
..Spo:EDWARD CHASE</t>
        </r>
      </text>
    </comment>
    <comment ref="N6420" authorId="0" shapeId="0" xr:uid="{AE964E0C-9242-4315-A98B-E54A87F62EE0}">
      <text>
        <r>
          <rPr>
            <sz val="9"/>
            <color indexed="81"/>
            <rFont val="Tahoma"/>
            <family val="2"/>
          </rPr>
          <t>GEORGE ALDRICH_x000D_
http://yeinfo.com/family/I09005880.html_x000D_
https://www.google.com/search?q=GEORGE+ALDRICH+1605+1682+CATHERINE_x000D_
.born: 1605    -          Derbyshire county England_x000D_
.died: 1682    -1695     ?Massachusetts, age:77y 0m 0d, _x000D_
.bapt: 1785GE_x000D_
.will: 2004MO_x000D_
.obit: 1890OH_x000D_
.bury: 1850IL _x000D_
.wpbt: 1826PA_x000D_
.anc#:ancestor_x000D_
citiz:immigrant_x000D_
#spos:1_x000D_
#srcs:15_x000D_
#comment:0_x000D_
#events:12_x000D_
#kids:12_x000D_
lived:ENDERBS,MANORFOBRAINTR,MAWORCEMENDON_x000D_
issue:_x000D_
.recs:Birth,Will Written,Death,Land Transaction,Freeman,Immigrate_x000D_
.imm?:immigrant_x000D_
..Spo:CATHERINE SEALD</t>
        </r>
      </text>
    </comment>
    <comment ref="T6422" authorId="0" shapeId="0" xr:uid="{F34CE7F9-A516-4038-9AF3-C08687E8F8B3}">
      <text>
        <r>
          <rPr>
            <sz val="9"/>
            <color indexed="81"/>
            <rFont val="Tahoma"/>
            <family val="2"/>
          </rPr>
          <t>WILLIAM THURGOOD_x000D_
http://yeinfo.com/family/I09065877.html_x000D_
https://www.google.com/search?q=WILLIAM+THURGOOD+1420+1440+{_?_}_x000D_
.born:?1420    -          England_x000D_
.died: 1440    -1510      England, age:20y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..Spo:{_?_} THURGOOD</t>
        </r>
      </text>
    </comment>
    <comment ref="S6424" authorId="0" shapeId="0" xr:uid="{A4DFA30A-5D40-4F71-8A21-1F718A2DA7DE}">
      <text>
        <r>
          <rPr>
            <sz val="9"/>
            <color indexed="81"/>
            <rFont val="Tahoma"/>
            <family val="2"/>
          </rPr>
          <t>FRANCIS ANTHONY THURGOOD_x000D_
http://yeinfo.com/family/I09065730.html_x000D_
https://www.google.com/search?q=FRANCIS+ANTHONY+THURGOOD+1440+1460+{_?_}_x000D_
.born: 1440    -          Birchanger (Essex) England_x000D_
.died: 1460    -         ?Birchanger (Essex) England, age:20y 0m 0d, _x000D_
.bapt: 1785GE_x000D_
.will: 2004MO_x000D_
.obit: 1890OH_x000D_
.bury: 1850IL _x000D_
.wpbt: 1826PA_x000D_
.anc#:ancestor_x000D_
citiz:foreign_x000D_
#spos:1_x000D_
#srcs:1_x000D_
#comment:0_x000D_
#events:1_x000D_
#kids:1_x000D_
lived:ENESSEXBIRCHAN_x000D_
issue:_x000D_
.recs:Birth,Marriage,Death_x000D_
.imm?:no_x000D_
..Spo:{_?_} THURGOOD</t>
        </r>
      </text>
    </comment>
    <comment ref="T6426" authorId="0" shapeId="0" xr:uid="{39FB3E52-C151-4A19-B521-6BAD8F077207}">
      <text>
        <r>
          <rPr>
            <sz val="9"/>
            <color indexed="81"/>
            <rFont val="Tahoma"/>
            <family val="2"/>
          </rPr>
          <t>Mrs. {_?_} THURGOOD_x000D_
http://yeinfo.com/family/I09065878.html_x000D_
https://www.google.com/search?q={_?_}+THURGOOD+1420+1440+THURGOOD_x000D_
.born:?1420    -          England_x000D_
.died: 1440    -1510      England, age:20y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..Spo:WILLIAM THURGOOD</t>
        </r>
      </text>
    </comment>
    <comment ref="R6428" authorId="0" shapeId="0" xr:uid="{4655C7EF-356D-4026-8BAE-3EF01C02324B}">
      <text>
        <r>
          <rPr>
            <sz val="9"/>
            <color indexed="81"/>
            <rFont val="Tahoma"/>
            <family val="2"/>
          </rPr>
          <t>GEOFFREY THURGOOD_x000D_
http://yeinfo.com/family/I09065597.html_x000D_
https://www.google.com/search?q=GEOFFREY+THURGOOD+1460+1538+ISABEL_x000D_
.born: 1460    -          Birchanger (Essex) England_x000D_
.died: 1538    -          Birchanger (Essex) England, age:78y 0m 0d, _x000D_
.bapt: 1785GE_x000D_
.will: 2004MO_x000D_
.obit: 1890OH_x000D_
.bury: 1850IL _x000D_
.wpbt: 1826PA_x000D_
.anc#:ancestor_x000D_
citiz:foreign_x000D_
#spos:1_x000D_
#srcs:1_x000D_
#comment:0_x000D_
#events:1_x000D_
#kids:1_x000D_
lived:ENESSEXBIRCHAN_x000D_
issue:_x000D_
.recs:Birth,Marriage,Death_x000D_
.imm?:no_x000D_
..Spo:ISABEL ARMONTE</t>
        </r>
      </text>
    </comment>
    <comment ref="S6430" authorId="0" shapeId="0" xr:uid="{02D71668-C1CF-43EA-B93F-B9935B342DD7}">
      <text>
        <r>
          <rPr>
            <sz val="9"/>
            <color indexed="81"/>
            <rFont val="Tahoma"/>
            <family val="2"/>
          </rPr>
          <t>Mrs. {_?_} THURGOOD_x000D_
http://yeinfo.com/family/I09065731.html_x000D_
https://www.google.com/search?q={_?_}+THURGOOD+1440+1460+THURGOOD_x000D_
.born:?1440    -         ?Essex county England_x000D_
.died: 1460    -1530     ?England, age:20y 0m 0d, _x000D_
.bapt: 1785GE_x000D_
.will: 2004MO_x000D_
.obit: 1890OH_x000D_
.bury: 1850IL _x000D_
.wpbt: 1826PA_x000D_
.anc#:ancestor_x000D_
citiz:foreign_x000D_
#spos:1_x000D_
#srcs:1_x000D_
#comment:0_x000D_
#events:1_x000D_
#kids:1_x000D_
lived:?ENESSEX_x000D_
issue:_x000D_
.recs:Birth,Marriage,Death_x000D_
.imm?:no_x000D_
..Spo:FRANCIS ANTHONY THURGOOD</t>
        </r>
      </text>
    </comment>
    <comment ref="Q6432" authorId="0" shapeId="0" xr:uid="{82FE8195-F29E-4222-87DC-DDB884E97AD8}">
      <text>
        <r>
          <rPr>
            <sz val="9"/>
            <color indexed="81"/>
            <rFont val="Tahoma"/>
            <family val="2"/>
          </rPr>
          <t>WILLIAM THURGOOD_x000D_
http://yeinfo.com/family/I09047044.html_x000D_
https://www.google.com/search?q=WILLIAM+THURGOOD+1492+1554+JOANNE_x000D_
.born: 1492    -          Birchanger (Essex) England_x000D_
.died: 1554    -          Birchanger (Essex) England, age:62y 0m 0d, _x000D_
.bapt: 1785GE_x000D_
.will: 2004MO_x000D_
.obit: 1890OH_x000D_
.bury: 1850IL _x000D_
.wpbt: 1826PA_x000D_
.anc#:ancestor_x000D_
citiz:foreign_x000D_
#spos:1_x000D_
#srcs:1_x000D_
#comment:0_x000D_
#events:1_x000D_
#kids:1_x000D_
lived:ENESSEXBIRCHAN_x000D_
issue:_x000D_
.recs:Birth,Marriage,Death_x000D_
.imm?:no_x000D_
..Spo:JOANNE FRYETH</t>
        </r>
      </text>
    </comment>
    <comment ref="R6434" authorId="0" shapeId="0" xr:uid="{CF2718F7-AC30-4C55-9FA1-C7DA15A65CD4}">
      <text>
        <r>
          <rPr>
            <sz val="9"/>
            <color indexed="81"/>
            <rFont val="Tahoma"/>
            <family val="2"/>
          </rPr>
          <t>ISABEL ARMONTE_x000D_
http://yeinfo.com/family/I09065598.html_x000D_
https://www.google.com/search?q=ISABEL+ARMONTE+1460+1501+THURGOOD_x000D_
.born: 1460    -          Birchanger (Essex) England_x000D_
.died: 1501    -          Manuden (Essex) England, age:41y 0m 0d, _x000D_
.bapt: 1785GE_x000D_
.will: 2004MO_x000D_
.obit: 1890OH_x000D_
.bury: 1850IL _x000D_
.wpbt: 1826PA_x000D_
.anc#:ancestor_x000D_
citiz:foreign_x000D_
#spos:1_x000D_
#srcs:2_x000D_
#comment:0_x000D_
#events:1_x000D_
#kids:1_x000D_
lived:ENESSEXBIRCHAN,ENESSEXMANUDEN_x000D_
issue:_x000D_
.recs:Birth,Marriage,Death_x000D_
.imm?:no_x000D_
..Spo:GEOFFREY THURGOOD</t>
        </r>
      </text>
    </comment>
    <comment ref="P6436" authorId="0" shapeId="0" xr:uid="{021A015F-F1F0-470E-A62C-192DB814851E}">
      <text>
        <r>
          <rPr>
            <sz val="9"/>
            <color indexed="81"/>
            <rFont val="Tahoma"/>
            <family val="2"/>
          </rPr>
          <t>NICHOLAS THURGOOD_x000D_
http://yeinfo.com/family/I09023522.html_x000D_
https://www.google.com/search?q=NICHOLAS+THURGOOD+1529+1618+ELIZABETH_x000D_
.born: 1529    -          Manuden (Essex) England_x000D_
.died: 1618    -          Elsenham (Essex) England, age:89y 0m 0d, _x000D_
.bapt: 1785GE_x000D_
.will: 2004MO_x000D_
.obit: 1890OH_x000D_
.bury: 1850IL _x000D_
.wpbt: 1826PA_x000D_
.anc#:ancestor_x000D_
citiz:foreign_x000D_
#spos:1_x000D_
#srcs:1_x000D_
#comment:0_x000D_
#events:1_x000D_
#kids:12_x000D_
lived:ENESSEXELSENHA,ENESSEXMANUDEN_x000D_
issue:_x000D_
.recs:Birth,Marriage,Death_x000D_
.imm?:no_x000D_
..Spo:ELIZABETH THURGOOD</t>
        </r>
      </text>
    </comment>
    <comment ref="Q6438" authorId="0" shapeId="0" xr:uid="{44D18FAD-36A2-4C85-85E5-546DCB8487F1}">
      <text>
        <r>
          <rPr>
            <sz val="9"/>
            <color indexed="81"/>
            <rFont val="Tahoma"/>
            <family val="2"/>
          </rPr>
          <t>JOANNE FRYETH_x000D_
http://yeinfo.com/family/I09047045.html_x000D_
https://www.google.com/search?q=JOANNE+FRYETH+1500+1578+THURGOOD+John_x000D_
.born:c1500    -          Essex county England_x000D_
.died:c15780814-          Essex county England, age:78y 7m 13d, _x000D_
.bapt: 1785GE_x000D_
.will: 2004MO_x000D_
.obit: 1890OH_x000D_
.bury: 1850IL _x000D_
.wpbt: 1826PA_x000D_
.anc#:ancestor_x000D_
citiz:foreign_x000D_
#spos:2_x000D_
#srcs:1_x000D_
#comment:0_x000D_
#events:2_x000D_
#kids:1_x000D_
lived:ENESSEX_x000D_
issue:_x000D_
.recs:Birth,Marriage,Death_x000D_
.imm?:no_x000D_
..Spo:WILLIAM THURGOOD</t>
        </r>
      </text>
    </comment>
    <comment ref="O6440" authorId="0" shapeId="0" xr:uid="{20EE9622-6CBC-4437-A1C4-0AD3A98267A7}">
      <text>
        <r>
          <rPr>
            <sz val="9"/>
            <color indexed="81"/>
            <rFont val="Tahoma"/>
            <family val="2"/>
          </rPr>
          <t>JOAN THURGOOD_x000D_
http://yeinfo.com/family/I09011761.html_x000D_
https://www.google.com/search?q=JOAN+THURGOOD+1577+1661+ALDRICH_x000D_
.born: 1577    -          Derbyshire county England_x000D_
.died: 1661    -          Norfolk county England, age:84y 0m 0d, _x000D_
.bapt: 1785GE_x000D_
.will: 2004MO_x000D_
.obit: 1890OH_x000D_
.bury: 1850IL _x000D_
.wpbt: 1826PA_x000D_
.anc#:ancestor_x000D_
citiz:foreign_x000D_
#spos:1_x000D_
#srcs:1_x000D_
#comment:0_x000D_
#events:1_x000D_
#kids:2_x000D_
lived:ENDERBS,ENNORFO_x000D_
issue:_x000D_
.recs:Birth,Marriage,Death_x000D_
.imm?:no_x000D_
..Spo:GEORGE ALDRICH</t>
        </r>
      </text>
    </comment>
    <comment ref="P6442" authorId="0" shapeId="0" xr:uid="{63019B4F-3038-4045-9EDB-2FCB75FC88EE}">
      <text>
        <r>
          <rPr>
            <sz val="9"/>
            <color indexed="81"/>
            <rFont val="Tahoma"/>
            <family val="2"/>
          </rPr>
          <t>Mrs. ELIZABETH THURGOOD_x000D_
http://yeinfo.com/family/I09023523.html_x000D_
https://www.google.com/search?q=ELIZABETH+THURGOOD+1532+1577+THURGOOD_x000D_
.born: 1532    -          Stanstead (Suffolk) England_x000D_
.died: 1577    -1620      Stanstead (Suffolk) England, age:45y 0m 0d, _x000D_
.bapt: 1785GE_x000D_
.will: 2004MO_x000D_
.obit: 1890OH_x000D_
.bury: 1850IL _x000D_
.wpbt: 1826PA_x000D_
.anc#:ancestor_x000D_
citiz:foreign_x000D_
#spos:2_x000D_
#srcs:1_x000D_
#comment:0_x000D_
#events:2_x000D_
#kids:12_x000D_
lived:ENSUFFOSTANSTE_x000D_
issue:_x000D_
.recs:Birth,Marriage,Death_x000D_
.imm?:no_x000D_
..Spo:NICHOLAS THURGOOD</t>
        </r>
      </text>
    </comment>
    <comment ref="M6444" authorId="0" shapeId="0" xr:uid="{FDCBBFFC-078F-4A62-9AD3-DAA3167A77E3}">
      <text>
        <r>
          <rPr>
            <sz val="9"/>
            <color indexed="81"/>
            <rFont val="Tahoma"/>
            <family val="2"/>
          </rPr>
          <t>JACOB ALDRICH_x000D_
http://yeinfo.com/family/I09002940.html_x000D_
https://www.google.com/search?q=JACOB+ALDRICH+1653+1695+HULDAH_x000D_
.born: 16530228-          Braintree (Norfolk) Massachusetts_x000D_
.died: 16951022-          Mendon (Worcester) Massachusetts, age:42y 7m 24d, _x000D_
.bapt: 1785GE_x000D_
.will: 2004MO_x000D_
.obit: 1890OH_x000D_
.bury: 1850IL _x000D_
.wpbt: 1826PA_x000D_
.anc#:ancestor_x000D_
citiz:US born_x000D_
#spos:1_x000D_
#srcs:11_x000D_
#comment:0_x000D_
#events:2_x000D_
#kids:12_x000D_
lived:?MAWORCEMENDON,MANORFOBRAINTR_x000D_
issue:_x000D_
.recs:Birth,Marriage,Death_x000D_
.imm?:no_x000D_
..Spo:HULDAH THAYER</t>
        </r>
      </text>
    </comment>
    <comment ref="N6446" authorId="0" shapeId="0" xr:uid="{C59ABAE0-3EE4-47C1-8E54-BC2C72DC398F}">
      <text>
        <r>
          <rPr>
            <sz val="9"/>
            <color indexed="81"/>
            <rFont val="Tahoma"/>
            <family val="2"/>
          </rPr>
          <t>CATHERINE SEALD_x000D_
http://yeinfo.com/family/I09005881.html_x000D_
https://www.google.com/search?q=CATHERINE+SEALD+1610+1691+ALDRICH_x000D_
.born: 1610    -         ?England_x000D_
.died: 16910111-         ?Massachusetts, age:81y 0m 10d, _x000D_
.bapt: 1785GE_x000D_
.will: 2004MO_x000D_
.obit: 1890OH_x000D_
.bury: 1850IL _x000D_
.wpbt: 1826PA_x000D_
.anc#:ancestor_x000D_
citiz:immigrant_x000D_
#spos:1_x000D_
#srcs:8_x000D_
#comment:1_x000D_
#events:1_x000D_
#kids:12_x000D_
lived:?ENDERBS,?MA_x000D_
issue:_x000D_
.recs:Birth,Marriage,Death_x000D_
.imm?:immigrant_x000D_
..Spo:GEORGE ALDRICH</t>
        </r>
      </text>
    </comment>
    <comment ref="L6448" authorId="0" shapeId="0" xr:uid="{76881DEC-9EC3-411B-8FAE-920A9CFB5E53}">
      <text>
        <r>
          <rPr>
            <sz val="9"/>
            <color indexed="81"/>
            <rFont val="Tahoma"/>
            <family val="2"/>
          </rPr>
          <t>JACOB\PETER ALDRICH_x000D_
http://yeinfo.com/family/I09001470.html_x000D_
https://www.google.com/search?q=JACOB\PETER+ALDRICH+1676+1750+MARGERY_x000D_
.born: 16760508-         ?Massachusetts_x000D_
.died: 1750    -1766     ?Massachusetts, age:73y 7m 24d, _x000D_
.bapt: 1785GE_x000D_
.will: 2004MO_x000D_
.obit: 1890OH_x000D_
.bury: 1850IL _x000D_
.wpbt: 1826PA_x000D_
.anc#:ancestor_x000D_
citiz:US born_x000D_
#spos:1_x000D_
#srcs:4_x000D_
#comment:1_x000D_
#events:6_x000D_
#kids:10_x000D_
lived:?MA,MAWORCEMENDON_x000D_
issue:_x000D_
.recs:Birth,Marriage,Death,Land Transaction_x000D_
.imm?:no_x000D_
..Spo:MARGERY HAYWARD</t>
        </r>
      </text>
    </comment>
    <comment ref="O6450" authorId="0" shapeId="0" xr:uid="{80408BB8-F9EC-43D3-9C26-C0D1422389D8}">
      <text>
        <r>
          <rPr>
            <sz val="9"/>
            <color indexed="81"/>
            <rFont val="Tahoma"/>
            <family val="2"/>
          </rPr>
          <t>THOMAS THAYER_x000D_
http://yeinfo.com/family/I09011764.html_x000D_
https://www.google.com/search?q=THOMAS+THAYER+1596+1665+MARGERY_x000D_
.born: 15960816-          Thornbury (Gloucestershire) England_x000D_
.died: 16650602-          , age:68y 9m 17d, _x000D_
.bapt: 1785GE_x000D_
.will: 2004MO_x000D_
.obit: 1890OH_x000D_
.bury: 1850IL _x000D_
.wpbt: 1826PA_x000D_
.anc#:ancestor_x000D_
citiz:US born_x000D_
#spos:1_x000D_
#srcs:12_x000D_
#comment:2_x000D_
#events:11_x000D_
#kids:5_x000D_
lived:ENGLOUSTHORNBU,MANORFOBRAINTR,MASUFFOBOSTON_x000D_
issue:_x000D_
.recs:Birth,Baptism,Will Written,Death,Land Transaction,Freeman,Immigrate_x000D_
.imm?:no_x000D_
..Spo:MARGERY WHEELER</t>
        </r>
      </text>
    </comment>
    <comment ref="N6452" authorId="0" shapeId="0" xr:uid="{3B8ACE94-BE7E-4467-ACF1-747B8FA070F3}">
      <text>
        <r>
          <rPr>
            <sz val="9"/>
            <color indexed="81"/>
            <rFont val="Tahoma"/>
            <family val="2"/>
          </rPr>
          <t>FERDINANDO THAYER_x000D_
http://yeinfo.com/family/I09005882.html_x000D_
https://www.google.com/search?q=FERDINANDO+THAYER+1625+1713+HULDAH+Freeburg_x000D_
.born:a16250418-          Thornbury (Gloucestershire) England_x000D_
.died: 17130328-          Mendon (Worcester) Massachusetts, age:87y 11m 10d, _x000D_
.bapt: 1785GE_x000D_
.will: 2004MO_x000D_
.obit: 1890OH_x000D_
.bury: 1850IL _x000D_
.wpbt: 1826PA_x000D_
.anc#:ancestor_x000D_
citiz:immigrant_x000D_
#spos:2_x000D_
#srcs:11_x000D_
#comment:1_x000D_
#events:5_x000D_
#kids:13_x000D_
lived:ENGLOUSTHORNBU,MANORFOBRAINTR,MAWORCEMENDON_x000D_
issue:Married before Age 16_x000D_
.recs:Birth,Baptism,Marriage,Death_x000D_
.imm?:immigrant_x000D_
..Spo:HULDAH HAYWARD</t>
        </r>
      </text>
    </comment>
    <comment ref="P6454" authorId="0" shapeId="0" xr:uid="{D2FF531D-D3B0-4CDA-905F-350F3B8076E4}">
      <text>
        <r>
          <rPr>
            <sz val="9"/>
            <color indexed="81"/>
            <rFont val="Tahoma"/>
            <family val="2"/>
          </rPr>
          <t>WILLIAM\ABIEL\ABEL WHEELER_x000D_
http://yeinfo.com/family/I09023530.html_x000D_
https://www.google.com/search?q=WILLIAM\ABIEL\ABEL+WHEELER+1568+1614+JANE\MARY_x000D_
.born:?1568    -         ?Thornbury (Gloucestershire) England_x000D_
.died:c1614    -         ?Thornbury (Gloucestershire) England, age:46y 0m 0d, _x000D_
.bapt: 1785GE_x000D_
.will: 2004MO_x000D_
.obit: 1890OH_x000D_
.bury: 1850IL _x000D_
.wpbt: 1826PA_x000D_
.anc#:ancestor_x000D_
citiz:foreign_x000D_
#spos:1_x000D_
#srcs:3_x000D_
#comment:0_x000D_
#events:5_x000D_
#kids:4_x000D_
lived:?ENGLOUSTHORNBU_x000D_
issue:_x000D_
.recs:Birth,Marriage,Will Written,Death_x000D_
.imm?:no_x000D_
..Spo:JANE\MARY SHEPHERD</t>
        </r>
      </text>
    </comment>
    <comment ref="O6456" authorId="0" shapeId="0" xr:uid="{DEEFAE8D-E1CD-4AB2-A6FA-545D24EFCA8F}">
      <text>
        <r>
          <rPr>
            <sz val="9"/>
            <color indexed="81"/>
            <rFont val="Tahoma"/>
            <family val="2"/>
          </rPr>
          <t>MARGERY WHEELER_x000D_
http://yeinfo.com/family/I09011765.html_x000D_
https://www.google.com/search?q=MARGERY+WHEELER+1600+1673+THAYER_x000D_
.born: 16000425-          Thornbury (Gloucestershire) England_x000D_
.died: 16730211-          , age:72y 9m 17d, _x000D_
.bapt: 1785GE_x000D_
.will: 2004MO_x000D_
.obit: 1890OH_x000D_
.bury: 1850IL _x000D_
.wpbt: 1826PA_x000D_
.anc#:ancestor_x000D_
citiz:US born_x000D_
#spos:1_x000D_
#srcs:6_x000D_
#comment:0_x000D_
#events:1_x000D_
#kids:5_x000D_
lived:ENGLOUSTHORNBU,MANORFOBRAINTR_x000D_
issue:_x000D_
.recs:Birth,Marriage,Death_x000D_
.imm?:no_x000D_
..Spo:THOMAS THAYER</t>
        </r>
      </text>
    </comment>
    <comment ref="P6458" authorId="0" shapeId="0" xr:uid="{3B6E4B00-1F16-453F-B070-22A61D7BAA56}">
      <text>
        <r>
          <rPr>
            <sz val="9"/>
            <color indexed="81"/>
            <rFont val="Tahoma"/>
            <family val="2"/>
          </rPr>
          <t>JANE\MARY SHEPHERD_x000D_
http://yeinfo.com/family/I09023531.html_x000D_
https://www.google.com/search?q=JANE\MARY+SHEPHERD+1568+1629+WHEELER_x000D_
.born:?1568    -         ?Thornbury (Gloucestershire) England_x000D_
.died: 1629    -         ?Thornbury (Gloucestershire) England, age:61y 0m 0d, _x000D_
.bapt: 1785GE_x000D_
.will: 2004MO_x000D_
.obit: 1890OH_x000D_
.bury: 1850IL _x000D_
.wpbt: 1826PA_x000D_
.anc#:ancestor_x000D_
citiz:foreign_x000D_
#spos:1_x000D_
#srcs:2_x000D_
#comment:0_x000D_
#events:3_x000D_
#kids:4_x000D_
lived:?ENGLOUSTHORNBU_x000D_
issue:_x000D_
.recs:Birth,Marriage,Will Written,Death_x000D_
.imm?:no_x000D_
..Spo:WILLIAM\ABIEL\ABEL WHEELER</t>
        </r>
      </text>
    </comment>
    <comment ref="M6460" authorId="0" shapeId="0" xr:uid="{69F59AC1-B675-46E5-914E-D30C24057A23}">
      <text>
        <r>
          <rPr>
            <sz val="9"/>
            <color indexed="81"/>
            <rFont val="Tahoma"/>
            <family val="2"/>
          </rPr>
          <t>HULDAH THAYER_x000D_
http://yeinfo.com/family/I09002941.html_x000D_
https://www.google.com/search?q=HULDAH+THAYER+1657+1680+ALDRICH+Samuel_x000D_
.born: 16570616-          Braintree (Norfolk) Massachusetts_x000D_
.died: 1680    -1747      Mendon (Worcester) Massachusetts, age:22y 6m 16d, _x000D_
.bapt: 1785GE_x000D_
.will: 2004MO_x000D_
.obit: 1890OH_x000D_
.bury: 1850IL _x000D_
.wpbt: 1826PA_x000D_
.anc#:ancestor_x000D_
citiz:US born_x000D_
#spos:2_x000D_
#srcs:7_x000D_
#comment:0_x000D_
#events:2_x000D_
#kids:12_x000D_
lived:?MAWORCEMENDON,MANORFOBRAINTR_x000D_
issue:Died before Birth_x000D_
.recs:Birth,Marriage,Death_x000D_
.imm?:no_x000D_
..Spo:JACOB ALDRICH</t>
        </r>
      </text>
    </comment>
    <comment ref="Q6462" authorId="0" shapeId="0" xr:uid="{940B83CB-A09C-461D-8B0E-26AD0ACD4E3A}">
      <text>
        <r>
          <rPr>
            <sz val="9"/>
            <color indexed="81"/>
            <rFont val="Tahoma"/>
            <family val="2"/>
          </rPr>
          <t>WILLIAM HAYWARD_x000D_
http://yeinfo.com/family/I09011470.html_x000D_
https://www.google.com/search?q=WILLIAM+HAYWARD+1550+1640+MARGERY_x000D_
.born: 1550    -          London (Middlesex) England_x000D_
.died: 16401007-          Aylesford (Kent) England, age:90y 9m 6d, _x000D_
.bapt: 1785GE_x000D_
.will: 2004MO_x000D_
.obit: 1890OH_x000D_
.bury: 1850IL _x000D_
.wpbt: 1826PA_x000D_
.anc#:  triple ancestor_x000D_
citiz:foreign_x000D_
#spos:1_x000D_
#srcs:2_x000D_
#comment:0_x000D_
#events:2_x000D_
#kids:8_x000D_
lived:ENCUMBRGREYSTO,ENKENT AYLESFO,ENMIDDLLONDON_x000D_
issue:_x000D_
.recs:Birth,Marriage,Death_x000D_
.imm?:no_x000D_
..Spo:MARGERY THAYER</t>
        </r>
      </text>
    </comment>
    <comment ref="P6464" authorId="0" shapeId="0" xr:uid="{ADD887E2-DE9E-4F0A-BDD0-61005A4BF432}">
      <text>
        <r>
          <rPr>
            <sz val="9"/>
            <color indexed="81"/>
            <rFont val="Tahoma"/>
            <family val="2"/>
          </rPr>
          <t>WILLIAM HAYWARD_x000D_
http://yeinfo.com/family/I09023532.html_x000D_
https://www.google.com/search?q=WILLIAM+HAYWARD+1583+1639+{_?_}_x000D_
.born: 1583    -          London (Middlesex) England_x000D_
.died: 1639    -          England, age:56y 0m 0d, _x000D_
.bapt: 1785GE_x000D_
.will: 2004MO_x000D_
.obit: 1890OH_x000D_
.bury: 1850IL _x000D_
.wpbt: 1826PA_x000D_
.anc#:double ancestor_x000D_
citiz:foreign_x000D_
#spos:1_x000D_
#srcs:2_x000D_
#comment:0_x000D_
#events:1_x000D_
#kids:1_x000D_
lived:ENMIDDLLONDON_x000D_
issue:_x000D_
.recs:Birth,Marriage,Death_x000D_
.imm?:no_x000D_
..Spo:{_?_} HAYWARD</t>
        </r>
      </text>
    </comment>
    <comment ref="Q6466" authorId="0" shapeId="0" xr:uid="{EA11B229-4646-403E-AED8-A4CB90CA4D3D}">
      <text>
        <r>
          <rPr>
            <sz val="9"/>
            <color indexed="81"/>
            <rFont val="Tahoma"/>
            <family val="2"/>
          </rPr>
          <t>MARGERY THAYER_x000D_
http://yeinfo.com/family/I09011471.html_x000D_
https://www.google.com/search?q=MARGERY+THAYER+1543+1588+HAYWARD_x000D_
.born: 1543    -          London (Middlesex) England_x000D_
.died: 1588    -          Thornbury (Gloucestershire) England, age:45y 0m 0d, _x000D_
.bapt: 1785GE_x000D_
.will: 2004MO_x000D_
.obit: 1890OH_x000D_
.bury: 1850IL _x000D_
.wpbt: 1826PA_x000D_
.anc#:  triple ancestor_x000D_
citiz:foreign_x000D_
#spos:1_x000D_
#srcs:2_x000D_
#comment:0_x000D_
#events:2_x000D_
#kids:8_x000D_
lived:ENGLOUSTHORNBU,ENMIDDLLONDON,ENMIDDLSTEPNEY_x000D_
issue:_x000D_
.recs:Birth,Marriage,Death_x000D_
.imm?:no_x000D_
..Spo:WILLIAM HAYWARD</t>
        </r>
      </text>
    </comment>
    <comment ref="O6468" authorId="0" shapeId="0" xr:uid="{14804FC2-B7C2-4668-9E06-E2ED05014142}">
      <text>
        <r>
          <rPr>
            <sz val="9"/>
            <color indexed="81"/>
            <rFont val="Tahoma"/>
            <family val="2"/>
          </rPr>
          <t>WILLIAM HAYWARD_x000D_
http://yeinfo.com/family/I09011766.html_x000D_
https://www.google.com/search?q=WILLIAM+HAYWARD+1604+1659+MARGERY_x000D_
.born: 1604    -          England_x000D_
.died: 16590510-          Braintree (Norfolk) Massachusetts, age:55y 4m 9d, _x000D_
.bapt: 1785GE_x000D_
.will: 2004MO_x000D_
.obit: 1890OH_x000D_
.bury: 1850IL _x000D_
.wpbt: 1826PA_x000D_
.anc#:double ancestor_x000D_
citiz:immigrant_x000D_
#spos:1_x000D_
#srcs:14_x000D_
#comment:0_x000D_
#events:17_x000D_
#kids:7_x000D_
lived:?ENMIDDLSTEPNEY,?MANORFOWEYMOUT,?MAWORCEMENDON,ENMIDDLLONDON,MANORFOBRAINTR,MASUFFOCHAZTWN_x000D_
issue:_x000D_
.recs:Birth,Will Written,Death,Land Transaction,Gov't Court,Freeman,Immigrate,Inventory_x000D_
.imm?:immigrant_x000D_
..Spo:MARGERY KNIGHT</t>
        </r>
      </text>
    </comment>
    <comment ref="P6470" authorId="0" shapeId="0" xr:uid="{A4B8EF28-144C-4D9D-A658-A161508F3320}">
      <text>
        <r>
          <rPr>
            <sz val="9"/>
            <color indexed="81"/>
            <rFont val="Tahoma"/>
            <family val="2"/>
          </rPr>
          <t>Mrs. {_?_} HAYWARD_x000D_
http://yeinfo.com/family/I09023533.html_x000D_
https://www.google.com/search?q={_?_}+HAYWARD+1583+1639+HAYWARD_x000D_
.born: 1583    -          England_x000D_
.died: 1639    -          England, age:56y 0m 0d, _x000D_
.bapt: 1785GE_x000D_
.will: 2004MO_x000D_
.obit: 1890OH_x000D_
.bury: 1850IL _x000D_
.wpbt: 1826PA_x000D_
.anc#:double ancestor_x000D_
citiz:foreign_x000D_
#spos:1_x000D_
#srcs:0_x000D_
#comment:0_x000D_
#events:1_x000D_
#kids:1_x000D_
lived:EN_x000D_
issue:_x000D_
.recs:Birth,Marriage,Death_x000D_
.imm?:no_x000D_
..Spo:WILLIAM HAYWARD</t>
        </r>
      </text>
    </comment>
    <comment ref="N6472" authorId="0" shapeId="0" xr:uid="{3D409B0B-894A-4CDC-9F21-C97617535CB1}">
      <text>
        <r>
          <rPr>
            <sz val="9"/>
            <color indexed="81"/>
            <rFont val="Tahoma"/>
            <family val="2"/>
          </rPr>
          <t>HULDAH HAYWARD_x000D_
http://yeinfo.com/family/I09005883.html_x000D_
https://www.google.com/search?q=HULDAH+HAYWARD+1636+1690+THAYER_x000D_
.born: 16361007-          London (Middlesex) England_x000D_
.died: 16900901-          , age:53y 10m 25d, _x000D_
.bapt: 1785GE_x000D_
.will: 2004MO_x000D_
.obit: 1890OH_x000D_
.bury: 1850IL _x000D_
.wpbt: 1826PA_x000D_
.anc#:ancestor_x000D_
citiz:US born_x000D_
#spos:1_x000D_
#srcs:8_x000D_
#comment:0_x000D_
#events:3_x000D_
#kids:13_x000D_
lived:ENMIDDLLONDON,MANORFOBRAINTR,MAWORCEMENDON_x000D_
issue:_x000D_
.recs:Birth,Marriage,Death_x000D_
.imm?:no_x000D_
..Spo:FERDINANDO THAYER</t>
        </r>
      </text>
    </comment>
    <comment ref="P6474" authorId="0" shapeId="0" xr:uid="{648ADF56-1961-4408-BCD2-6659EBBB51C9}">
      <text>
        <r>
          <rPr>
            <sz val="9"/>
            <color indexed="81"/>
            <rFont val="Tahoma"/>
            <family val="2"/>
          </rPr>
          <t>THOMAS KNIGHT_x000D_
http://yeinfo.com/family/I09023534.html_x000D_
https://www.google.com/search?q=THOMAS+KNIGHT+1584+1604+MARGERY_x000D_
.born:c1584    -         ?Middlesex county England_x000D_
.died: 1604    -1674     ?, age:20y 0m 0d, _x000D_
.bapt: 1785GE_x000D_
.will: 2004MO_x000D_
.obit: 1890OH_x000D_
.bury: 1850IL _x000D_
.wpbt: 1826PA_x000D_
.anc#:double ancestor_x000D_
citiz:US born_x000D_
#spos:1_x000D_
#srcs:7_x000D_
#comment:0_x000D_
#events:1_x000D_
#kids:1_x000D_
lived:?ENMIDDL_x000D_
issue:_x000D_
.recs:Birth,Marriage,Death_x000D_
.imm?:no_x000D_
..Spo:MARGERY THAYER</t>
        </r>
      </text>
    </comment>
    <comment ref="O6476" authorId="0" shapeId="0" xr:uid="{B1ECD6B0-17ED-497E-B611-E6E5EE0EA438}">
      <text>
        <r>
          <rPr>
            <sz val="9"/>
            <color indexed="81"/>
            <rFont val="Tahoma"/>
            <family val="2"/>
          </rPr>
          <t>MARGERY KNIGHT_x000D_
http://yeinfo.com/family/I09011767.html_x000D_
https://www.google.com/search?q=MARGERY+KNIGHT+1604+1676+HAYWARD_x000D_
.born: 1604    -          _x000D_
.died: 16760718-          Braintree (Norfolk) Massachusetts, age:72y 6m 17d, _x000D_
.bapt: 1785GE_x000D_
.will: 2004MO_x000D_
.obit: 1890OH_x000D_
.bury: 1850IL _x000D_
.wpbt: 1826PA_x000D_
.anc#:double ancestor_x000D_
citiz:US born_x000D_
#spos:1_x000D_
#srcs:10_x000D_
#comment:0_x000D_
#events:4_x000D_
#kids:7_x000D_
lived:ENMIDDLLONDON,MANORFOBRAINTR,MASUFFOBOSTON_x000D_
issue:_x000D_
.recs:Birth,Marriage,Death,Land Transaction,Estate_x000D_
.imm?:no_x000D_
..Spo:WILLIAM HAYWARD</t>
        </r>
      </text>
    </comment>
    <comment ref="P6478" authorId="0" shapeId="0" xr:uid="{3445E313-B388-4BD4-8C09-0BF13C1FDC89}">
      <text>
        <r>
          <rPr>
            <sz val="9"/>
            <color indexed="81"/>
            <rFont val="Tahoma"/>
            <family val="2"/>
          </rPr>
          <t>MARGERY THAYER_x000D_
http://yeinfo.com/family/I09023535.html_x000D_
https://www.google.com/search?q=MARGERY+THAYER+1584+1604+KNIGHT_x000D_
.born:c1584    -          Middlesex county England_x000D_
.died: 1604    -1674      , age:20y 0m 0d, _x000D_
.bapt: 1785GE_x000D_
.will: 2004MO_x000D_
.obit: 1890OH_x000D_
.bury: 1850IL _x000D_
.wpbt: 1826PA_x000D_
.anc#:double ancestor_x000D_
citiz:US born_x000D_
#spos:1_x000D_
#srcs:1_x000D_
#comment:0_x000D_
#events:1_x000D_
#kids:1_x000D_
lived:ENMIDDL_x000D_
issue:_x000D_
.recs:Birth,Marriage,Death_x000D_
.imm?:no_x000D_
..Spo:THOMAS KNIGHT</t>
        </r>
      </text>
    </comment>
    <comment ref="K6480" authorId="0" shapeId="0" xr:uid="{AA579D53-D081-4753-B4B5-8D64628EB563}">
      <text>
        <r>
          <rPr>
            <sz val="9"/>
            <color indexed="81"/>
            <rFont val="Tahoma"/>
            <family val="2"/>
          </rPr>
          <t>MERCY ALDRICH_x000D_
http://yeinfo.com/family/I09000735.html_x000D_
https://www.google.com/search?q=MERCY+ALDRICH+1700+1752+TAFT_x000D_
.born: 17000621-          Mendon (Worcester) Massachusetts_x000D_
.died: 1752    -          Mendon (Worcester) Massachusetts, age:51y 6m 11d, _x000D_
.bapt: 1785GE_x000D_
.will: 2004MO_x000D_
.obit: 1890OH_x000D_
.bury: 1850IL _x000D_
.wpbt: 1826PA_x000D_
.anc#:ancestor_x000D_
citiz:US born_x000D_
#spos:1_x000D_
#srcs:6_x000D_
#comment:0_x000D_
#events:1_x000D_
#kids:19_x000D_
lived:MAWORCEMENDON_x000D_
issue:_x000D_
.recs:Birth,Marriage,Death_x000D_
.imm?:no_x000D_
..Spo:ISRAEL TAFT</t>
        </r>
      </text>
    </comment>
    <comment ref="P6482" authorId="0" shapeId="0" xr:uid="{F511971E-396A-40F0-A976-2C04DF59584D}">
      <text>
        <r>
          <rPr>
            <sz val="9"/>
            <color indexed="81"/>
            <rFont val="Tahoma"/>
            <family val="2"/>
          </rPr>
          <t>WILLIAM HAYWARD_x000D_
http://yeinfo.com/family/I09011470.html_x000D_
https://www.google.com/search?q=WILLIAM+HAYWARD+1550+1640+MARGERY_x000D_
.born: 1550    -          London (Middlesex) England_x000D_
.died: 16401007-          Aylesford (Kent) England, age:90y 9m 6d, _x000D_
.bapt: 1785GE_x000D_
.will: 2004MO_x000D_
.obit: 1890OH_x000D_
.bury: 1850IL _x000D_
.wpbt: 1826PA_x000D_
.anc#:  triple ancestor_x000D_
citiz:foreign_x000D_
#spos:1_x000D_
#srcs:2_x000D_
#comment:0_x000D_
#events:2_x000D_
#kids:8_x000D_
lived:ENCUMBRGREYSTO,ENKENT AYLESFO,ENMIDDLLONDON_x000D_
issue:_x000D_
.recs:Birth,Marriage,Death_x000D_
.imm?:no_x000D_
..Spo:MARGERY THAYER</t>
        </r>
      </text>
    </comment>
    <comment ref="O6484" authorId="0" shapeId="0" xr:uid="{7F27D507-55D6-4155-A4B5-37E39601E5FD}">
      <text>
        <r>
          <rPr>
            <sz val="9"/>
            <color indexed="81"/>
            <rFont val="Tahoma"/>
            <family val="2"/>
          </rPr>
          <t>WILLIAM HAYWARD_x000D_
http://yeinfo.com/family/I09023532.html_x000D_
https://www.google.com/search?q=WILLIAM+HAYWARD+1583+1639+{_?_}_x000D_
.born: 1583    -          London (Middlesex) England_x000D_
.died: 1639    -          England, age:56y 0m 0d, _x000D_
.bapt: 1785GE_x000D_
.will: 2004MO_x000D_
.obit: 1890OH_x000D_
.bury: 1850IL _x000D_
.wpbt: 1826PA_x000D_
.anc#:double ancestor_x000D_
citiz:foreign_x000D_
#spos:1_x000D_
#srcs:2_x000D_
#comment:0_x000D_
#events:1_x000D_
#kids:1_x000D_
lived:ENMIDDLLONDON_x000D_
issue:_x000D_
.recs:Birth,Marriage,Death_x000D_
.imm?:no_x000D_
..Spo:{_?_} HAYWARD</t>
        </r>
      </text>
    </comment>
    <comment ref="P6486" authorId="0" shapeId="0" xr:uid="{5DA8DC0D-6598-4B23-832E-938EB6AC9130}">
      <text>
        <r>
          <rPr>
            <sz val="9"/>
            <color indexed="81"/>
            <rFont val="Tahoma"/>
            <family val="2"/>
          </rPr>
          <t>MARGERY THAYER_x000D_
http://yeinfo.com/family/I09011471.html_x000D_
https://www.google.com/search?q=MARGERY+THAYER+1543+1588+HAYWARD_x000D_
.born: 1543    -          London (Middlesex) England_x000D_
.died: 1588    -          Thornbury (Gloucestershire) England, age:45y 0m 0d, _x000D_
.bapt: 1785GE_x000D_
.will: 2004MO_x000D_
.obit: 1890OH_x000D_
.bury: 1850IL _x000D_
.wpbt: 1826PA_x000D_
.anc#:  triple ancestor_x000D_
citiz:foreign_x000D_
#spos:1_x000D_
#srcs:2_x000D_
#comment:0_x000D_
#events:2_x000D_
#kids:8_x000D_
lived:ENGLOUSTHORNBU,ENMIDDLLONDON,ENMIDDLSTEPNEY_x000D_
issue:_x000D_
.recs:Birth,Marriage,Death_x000D_
.imm?:no_x000D_
..Spo:WILLIAM HAYWARD</t>
        </r>
      </text>
    </comment>
    <comment ref="N6488" authorId="0" shapeId="0" xr:uid="{69D483D3-BE40-4814-89FA-41419F282EE4}">
      <text>
        <r>
          <rPr>
            <sz val="9"/>
            <color indexed="81"/>
            <rFont val="Tahoma"/>
            <family val="2"/>
          </rPr>
          <t>WILLIAM HAYWARD_x000D_
http://yeinfo.com/family/I09011766.html_x000D_
https://www.google.com/search?q=WILLIAM+HAYWARD+1604+1659+MARGERY_x000D_
.born: 1604    -          England_x000D_
.died: 16590510-          Braintree (Norfolk) Massachusetts, age:55y 4m 9d, _x000D_
.bapt: 1785GE_x000D_
.will: 2004MO_x000D_
.obit: 1890OH_x000D_
.bury: 1850IL _x000D_
.wpbt: 1826PA_x000D_
.anc#:double ancestor_x000D_
citiz:immigrant_x000D_
#spos:1_x000D_
#srcs:14_x000D_
#comment:0_x000D_
#events:17_x000D_
#kids:7_x000D_
lived:?ENMIDDLSTEPNEY,?MANORFOWEYMOUT,?MAWORCEMENDON,ENMIDDLLONDON,MANORFOBRAINTR,MASUFFOCHAZTWN_x000D_
issue:_x000D_
.recs:Birth,Will Written,Death,Land Transaction,Gov't Court,Freeman,Immigrate,Inventory_x000D_
.imm?:immigrant_x000D_
..Spo:MARGERY KNIGHT</t>
        </r>
      </text>
    </comment>
    <comment ref="O6490" authorId="0" shapeId="0" xr:uid="{1BA1BF1A-5F89-4854-8888-4C06BC6A802C}">
      <text>
        <r>
          <rPr>
            <sz val="9"/>
            <color indexed="81"/>
            <rFont val="Tahoma"/>
            <family val="2"/>
          </rPr>
          <t>Mrs. {_?_} HAYWARD_x000D_
http://yeinfo.com/family/I09023533.html_x000D_
https://www.google.com/search?q={_?_}+HAYWARD+1583+1639+HAYWARD_x000D_
.born: 1583    -          England_x000D_
.died: 1639    -          England, age:56y 0m 0d, _x000D_
.bapt: 1785GE_x000D_
.will: 2004MO_x000D_
.obit: 1890OH_x000D_
.bury: 1850IL _x000D_
.wpbt: 1826PA_x000D_
.anc#:double ancestor_x000D_
citiz:foreign_x000D_
#spos:1_x000D_
#srcs:0_x000D_
#comment:0_x000D_
#events:1_x000D_
#kids:1_x000D_
lived:EN_x000D_
issue:_x000D_
.recs:Birth,Marriage,Death_x000D_
.imm?:no_x000D_
..Spo:WILLIAM HAYWARD</t>
        </r>
      </text>
    </comment>
    <comment ref="M6492" authorId="0" shapeId="0" xr:uid="{F6C6CCEF-9422-4129-8A96-CC6F2D07D765}">
      <text>
        <r>
          <rPr>
            <sz val="9"/>
            <color indexed="81"/>
            <rFont val="Tahoma"/>
            <family val="2"/>
          </rPr>
          <t>SAMUEL\JONATHAN HAYWARD_x000D_
http://yeinfo.com/family/I09002942.html_x000D_
https://www.google.com/search?q=SAMUEL\JONATHAN+HAYWARD+1643+1713+MEHITABEL+Sabin_x000D_
.born: 16430104-          Braintree (Norfolk) Massachusetts_x000D_
.died: 17130729-          Milford (Worcester) Massachusetts, age:70y 6m 25d, _x000D_
.bapt: 1785GE_x000D_
.will: 2004MO_x000D_
.obit: 1890OH_x000D_
.bury: 1850IL _x000D_
.wpbt: 1826PA_x000D_
.anc#:ancestor_x000D_
citiz:US born_x000D_
#spos:2_x000D_
#srcs:8_x000D_
#comment:1_x000D_
#events:6_x000D_
#kids:13_x000D_
lived:?MASUFFOCHAZTWN,MANORFOBRAINTR,MANORFOMEDFIEL,MAWORCEMENDON,MAWORCEMILFORD_x000D_
issue:_x000D_
.recs:Birth,Marriage,Death,Freeman_x000D_
.imm?:no_x000D_
..Spo:MEHITABEL THOMPSON</t>
        </r>
      </text>
    </comment>
    <comment ref="O6494" authorId="0" shapeId="0" xr:uid="{E5C36ABC-E481-44C3-864B-2ED78AF7EF8E}">
      <text>
        <r>
          <rPr>
            <sz val="9"/>
            <color indexed="81"/>
            <rFont val="Tahoma"/>
            <family val="2"/>
          </rPr>
          <t>THOMAS KNIGHT_x000D_
http://yeinfo.com/family/I09023534.html_x000D_
https://www.google.com/search?q=THOMAS+KNIGHT+1584+1604+MARGERY_x000D_
.born:c1584    -         ?Middlesex county England_x000D_
.died: 1604    -1674     ?, age:20y 0m 0d, _x000D_
.bapt: 1785GE_x000D_
.will: 2004MO_x000D_
.obit: 1890OH_x000D_
.bury: 1850IL _x000D_
.wpbt: 1826PA_x000D_
.anc#:double ancestor_x000D_
citiz:US born_x000D_
#spos:1_x000D_
#srcs:7_x000D_
#comment:0_x000D_
#events:1_x000D_
#kids:1_x000D_
lived:?ENMIDDL_x000D_
issue:_x000D_
.recs:Birth,Marriage,Death_x000D_
.imm?:no_x000D_
..Spo:MARGERY THAYER</t>
        </r>
      </text>
    </comment>
    <comment ref="N6496" authorId="0" shapeId="0" xr:uid="{29FDBF1D-BB1C-4CD4-AE32-D6A7BD685238}">
      <text>
        <r>
          <rPr>
            <sz val="9"/>
            <color indexed="81"/>
            <rFont val="Tahoma"/>
            <family val="2"/>
          </rPr>
          <t>MARGERY KNIGHT_x000D_
http://yeinfo.com/family/I09011767.html_x000D_
https://www.google.com/search?q=MARGERY+KNIGHT+1604+1676+HAYWARD_x000D_
.born: 1604    -          _x000D_
.died: 16760718-          Braintree (Norfolk) Massachusetts, age:72y 6m 17d, _x000D_
.bapt: 1785GE_x000D_
.will: 2004MO_x000D_
.obit: 1890OH_x000D_
.bury: 1850IL _x000D_
.wpbt: 1826PA_x000D_
.anc#:double ancestor_x000D_
citiz:US born_x000D_
#spos:1_x000D_
#srcs:10_x000D_
#comment:0_x000D_
#events:4_x000D_
#kids:7_x000D_
lived:ENMIDDLLONDON,MANORFOBRAINTR,MASUFFOBOSTON_x000D_
issue:_x000D_
.recs:Birth,Marriage,Death,Land Transaction,Estate_x000D_
.imm?:no_x000D_
..Spo:WILLIAM HAYWARD</t>
        </r>
      </text>
    </comment>
    <comment ref="O6498" authorId="0" shapeId="0" xr:uid="{8DDD23D1-4C20-4AB2-A665-DB18B58F4325}">
      <text>
        <r>
          <rPr>
            <sz val="9"/>
            <color indexed="81"/>
            <rFont val="Tahoma"/>
            <family val="2"/>
          </rPr>
          <t>MARGERY THAYER_x000D_
http://yeinfo.com/family/I09023535.html_x000D_
https://www.google.com/search?q=MARGERY+THAYER+1584+1604+KNIGHT_x000D_
.born:c1584    -          Middlesex county England_x000D_
.died: 1604    -1674      , age:20y 0m 0d, _x000D_
.bapt: 1785GE_x000D_
.will: 2004MO_x000D_
.obit: 1890OH_x000D_
.bury: 1850IL _x000D_
.wpbt: 1826PA_x000D_
.anc#:double ancestor_x000D_
citiz:US born_x000D_
#spos:1_x000D_
#srcs:1_x000D_
#comment:0_x000D_
#events:1_x000D_
#kids:1_x000D_
lived:ENMIDDL_x000D_
issue:_x000D_
.recs:Birth,Marriage,Death_x000D_
.imm?:no_x000D_
..Spo:THOMAS KNIGHT</t>
        </r>
      </text>
    </comment>
    <comment ref="L6500" authorId="0" shapeId="0" xr:uid="{93983121-2128-4905-89ED-BC1F51738BB8}">
      <text>
        <r>
          <rPr>
            <sz val="9"/>
            <color indexed="81"/>
            <rFont val="Tahoma"/>
            <family val="2"/>
          </rPr>
          <t>MARGERY HAYWARD_x000D_
http://yeinfo.com/family/I09001471.html_x000D_
https://www.google.com/search?q=MARGERY+HAYWARD+1682+1717+ALDRICH_x000D_
.born: 16821109-          _x000D_
.died: 1717    -1772      Mendon (Worcester) Massachusetts, age:34y 1m 23d, _x000D_
.bapt: 1785GE_x000D_
.will: 2004MO_x000D_
.obit: 1890OH_x000D_
.bury: 1850IL _x000D_
.wpbt: 1826PA_x000D_
.anc#:ancestor_x000D_
citiz:US born_x000D_
#spos:1_x000D_
#srcs:4_x000D_
#comment:1_x000D_
#events:2_x000D_
#kids:10_x000D_
lived:MANORFOBRAINTR,MAWORCEMENDON_x000D_
issue:_x000D_
.recs:Birth,Marriage,Death_x000D_
.imm?:no_x000D_
..Spo:JACOB\PETER ALDRICH</t>
        </r>
      </text>
    </comment>
    <comment ref="N6502" authorId="0" shapeId="0" xr:uid="{9FCFD647-9834-4A3B-B13D-B45D3F9FAC66}">
      <text>
        <r>
          <rPr>
            <sz val="9"/>
            <color indexed="81"/>
            <rFont val="Tahoma"/>
            <family val="2"/>
          </rPr>
          <t>JOHN THOMPSON_x000D_
http://yeinfo.com/family/I09005886.html_x000D_
https://www.google.com/search?q=JOHN+THOMPSON+1619+1685+SARAH_x000D_
.born: 1619    -         ?England_x000D_
.died: 1685    -         ?Massachusetts, age:66y 0m 0d, _x000D_
.bapt: 1785GE_x000D_
.will: 2004MO_x000D_
.obit: 1890OH_x000D_
.bury: 1850IL _x000D_
.wpbt: 1826PA_x000D_
.anc#:ancestor_x000D_
citiz:immigrant_x000D_
#spos:1_x000D_
#srcs:3_x000D_
#comment:0_x000D_
#events:4_x000D_
#kids:1_x000D_
lived:?EN,MAMIDDLCONCORD,MAWORCEMENDON_x000D_
issue:_x000D_
.recs:Birth,Marriage,Death,Freeman_x000D_
.imm?:immigrant_x000D_
..Spo:SARAH WOODMAN</t>
        </r>
      </text>
    </comment>
    <comment ref="M6504" authorId="0" shapeId="0" xr:uid="{A6CE2B05-5B3B-47E6-9AC4-714A0E6162CB}">
      <text>
        <r>
          <rPr>
            <sz val="9"/>
            <color indexed="81"/>
            <rFont val="Tahoma"/>
            <family val="2"/>
          </rPr>
          <t>MEHITABEL THOMPSON_x000D_
http://yeinfo.com/family/I09002943.html_x000D_
https://www.google.com/search?q=MEHITABEL+THOMPSON+1644+1682+HAYWARD_x000D_
.born: 1644    -          Massachusetts_x000D_
.died: 1682    -1734      Rehoboth (Bristol) Massachusetts, age:38y 0m 0d, _x000D_
.bapt: 1785GE_x000D_
.will: 2004MO_x000D_
.obit: 1890OH_x000D_
.bury: 1850IL _x000D_
.wpbt: 1826PA_x000D_
.anc#:ancestor_x000D_
citiz:US born_x000D_
#spos:1_x000D_
#srcs:6_x000D_
#comment:1_x000D_
#events:1_x000D_
#kids:13_x000D_
lived:MABRISTREHOBOT,MANORFOMEDFIEL_x000D_
issue:_x000D_
.recs:Birth,Marriage,Death_x000D_
.imm?:no_x000D_
..Spo:SAMUEL\JONATHAN HAYWARD</t>
        </r>
      </text>
    </comment>
    <comment ref="N6506" authorId="0" shapeId="0" xr:uid="{D6B21165-6C3B-41B6-8F41-C69D18580C24}">
      <text>
        <r>
          <rPr>
            <sz val="9"/>
            <color indexed="81"/>
            <rFont val="Tahoma"/>
            <family val="2"/>
          </rPr>
          <t>SARAH WOODMAN_x000D_
http://yeinfo.com/family/I09005887.html_x000D_
https://www.google.com/search?q=SARAH+WOODMAN+1620+1644+THOMPSON_x000D_
.born:?1620    -         ?England_x000D_
.died: 1644    -1710     ?Massachusetts, age:24y 0m 0d, _x000D_
.bapt: 1785GE_x000D_
.will: 2004MO_x000D_
.obit: 1890OH_x000D_
.bury: 1850IL _x000D_
.wpbt: 1826PA_x000D_
.anc#:ancestor_x000D_
citiz:immigrant_x000D_
#spos:1_x000D_
#srcs:2_x000D_
#comment:0_x000D_
#events:1_x000D_
#kids:1_x000D_
lived:?EN,MA_x000D_
issue:_x000D_
.recs:Birth,Marriage,Death_x000D_
.imm?:immigrant_x000D_
..Spo:JOHN THOMPSON</t>
        </r>
      </text>
    </comment>
    <comment ref="E6508" authorId="0" shapeId="0" xr:uid="{5B226D82-E573-4228-9CDD-AA384A84BD6F}">
      <text>
        <r>
          <rPr>
            <sz val="9"/>
            <color indexed="81"/>
            <rFont val="Tahoma"/>
            <family val="2"/>
          </rPr>
          <t>MAE FRANCES MOORE_x000D_
http://yeinfo.com/family/I09000011.html_x000D_
https://www.google.com/search?q=MAE+FRANCES+MOORE+1878+1963+SEARLS_x000D_
.born: 18780506-          Dubuque (Dubuque) Iowa_x000D_
.died: 19630316-          Minneapolis (Hennepin) Minnesota, age:84y 10m 10d, cerebral thrombosis_x000D_
.bapt: 1785GE_x000D_
.will: 2004MO_x000D_
.obit: 1890OH_x000D_
.bury: 1850IL Riverside Cemetery_x000D_
.wpbt: 1826PA_x000D_
.anc#:ancestor_x000D_
citiz:US born_x000D_
#spos:1_x000D_
#srcs:10_x000D_
#comment:2_x000D_
#events:7_x000D_
#kids:3_x000D_
lived:IADUBUQDUBUQUE,IAPLYMOAKRON,IAWOODBSIOUX C,MNHENNEMINNEAP,MOCLAY EXCELSI,SDMINNEDELL RA_x000D_
issue:_x000D_
.recs:Birth,Marriage,Death,Interment/Burial,Obituary,Image_x000D_
.imm?:no_x000D_
..Spo:BURTON ORSON SEARLS</t>
        </r>
      </text>
    </comment>
    <comment ref="N6510" authorId="0" shapeId="0" xr:uid="{8B819557-5321-4F35-934B-C8A616288E2D}">
      <text>
        <r>
          <rPr>
            <sz val="9"/>
            <color indexed="81"/>
            <rFont val="Tahoma"/>
            <family val="2"/>
          </rPr>
          <t>ROBERT MILLER_x000D_
http://yeinfo.com/family/I09005888.html_x000D_
https://www.google.com/search?q=ROBERT+MILLER+1600+1624+ELIZABETH+ETHEL_x000D_
.born:?1600    -         ?England_x000D_
.died: 1624    -1690     ?Massachusetts, age:24y 0m 0d, _x000D_
.bapt: 1785GE_x000D_
.will: 2004MO_x000D_
.obit: 1890OH_x000D_
.bury: 1850IL _x000D_
.wpbt: 1826PA_x000D_
.anc#:double ancestor_x000D_
citiz:immigrant_x000D_
#spos:1_x000D_
#srcs:1_x000D_
#comment:0_x000D_
#events:1_x000D_
#kids:2_x000D_
lived:?EN,?MA_x000D_
issue:_x000D_
.recs:Birth,Marriage,Death_x000D_
.imm?:immigrant_x000D_
..Spo:ELIZABETH ETHEL NICHOLSON</t>
        </r>
      </text>
    </comment>
    <comment ref="M6512" authorId="0" shapeId="0" xr:uid="{6D9A90CB-DA8F-4E53-B98C-169103C42D28}">
      <text>
        <r>
          <rPr>
            <sz val="9"/>
            <color indexed="81"/>
            <rFont val="Tahoma"/>
            <family val="2"/>
          </rPr>
          <t>THOMAS MILLER_x000D_
http://yeinfo.com/family/I09002944.html_x000D_
https://www.google.com/search?q=THOMAS+MILLER+1624+1675+SARAH_x000D_
.born:c1624    -         ?England_x000D_
.died: 16751005-         ?Springfield (Hampden) Massachusetts, age:51y 9m 4d, _x000D_
.bapt: 1785GE_x000D_
.will: 2004MO_x000D_
.obit: 1890OH_x000D_
.bury: 1850IL _x000D_
.wpbt: 1826PA_x000D_
.anc#:double ancestor_x000D_
citiz:immigrant_x000D_
#spos:1_x000D_
#srcs:7_x000D_
#comment:1_x000D_
#events:2_x000D_
#kids:1_x000D_
lived:?EN,MAHAMPDSPRINGF_x000D_
issue:_x000D_
.recs:Birth,Marriage,Death_x000D_
.imm?:immigrant_x000D_
..Spo:SARAH MARSHFIELD</t>
        </r>
      </text>
    </comment>
    <comment ref="N6514" authorId="0" shapeId="0" xr:uid="{FA58817B-C397-43F4-B39F-C8A78B185318}">
      <text>
        <r>
          <rPr>
            <sz val="9"/>
            <color indexed="81"/>
            <rFont val="Tahoma"/>
            <family val="2"/>
          </rPr>
          <t>ELIZABETH ETHEL NICHOLSON_x000D_
http://yeinfo.com/family/I09005889.html_x000D_
https://www.google.com/search?q=ELIZABETH+ETHEL+NICHOLSON+1600+1624+MILLER_x000D_
.born:?1600    -         ?England_x000D_
.died: 1624    -1690     ?Massachusetts, age:24y 0m 0d, _x000D_
.bapt: 1785GE_x000D_
.will: 2004MO_x000D_
.obit: 1890OH_x000D_
.bury: 1850IL _x000D_
.wpbt: 1826PA_x000D_
.anc#:double ancestor_x000D_
citiz:immigrant_x000D_
#spos:1_x000D_
#srcs:1_x000D_
#comment:0_x000D_
#events:1_x000D_
#kids:2_x000D_
lived:?EN,?MA_x000D_
issue:_x000D_
.recs:Birth,Marriage,Death_x000D_
.imm?:immigrant_x000D_
..Spo:ROBERT MILLER</t>
        </r>
      </text>
    </comment>
    <comment ref="L6516" authorId="0" shapeId="0" xr:uid="{41077F60-A514-46A6-A388-07E296BB2A70}">
      <text>
        <r>
          <rPr>
            <sz val="9"/>
            <color indexed="81"/>
            <rFont val="Tahoma"/>
            <family val="2"/>
          </rPr>
          <t>SAMUEL MILLER Sr._x000D_
http://yeinfo.com/family/I09001472.html_x000D_
https://www.google.com/search?q=SAMUEL+MILLER+1655+1727+RUTH_x000D_
.born: 16550420-         ?Massachusetts_x000D_
.died: 17270211-         ?Springfield (Hampden) Massachusetts, age:71y 9m 22d, _x000D_
.bapt: 1785GE_x000D_
.will: 2004MO_x000D_
.obit: 1890OH_x000D_
.bury: 1850IL _x000D_
.wpbt: 1826PA_x000D_
.anc#:double ancestor_x000D_
citiz:US born_x000D_
#spos:1_x000D_
#srcs:6_x000D_
#comment:0_x000D_
#events:2_x000D_
#kids:1_x000D_
lived:?MA,MAHAMPDSPRINGF_x000D_
issue:_x000D_
.recs:Birth,Marriage,Death,Freeman_x000D_
.imm?:no_x000D_
..Spo:RUTH BEAMOND</t>
        </r>
      </text>
    </comment>
    <comment ref="N6518" authorId="0" shapeId="0" xr:uid="{7D8B81A6-5594-436B-9840-FF33EF98AF01}">
      <text>
        <r>
          <rPr>
            <sz val="9"/>
            <color indexed="81"/>
            <rFont val="Tahoma"/>
            <family val="2"/>
          </rPr>
          <t>THOMAS MARSHFIELD_x000D_
http://yeinfo.com/family/I09005890.html_x000D_
https://www.google.com/search?q=THOMAS+MARSHFIELD+1600+1641+MERCY+PRISCILLA_x000D_
.born:?1600    -         ?England_x000D_
.died: 1641    -1690      , age:41y 0m 0d, _x000D_
.bapt: 1785GE_x000D_
.will: 2004MO_x000D_
.obit: 1890OH_x000D_
.bury: 1850IL _x000D_
.wpbt: 1826PA_x000D_
.anc#:double ancestor_x000D_
citiz:US born_x000D_
#spos:1_x000D_
#srcs:6_x000D_
#comment:1_x000D_
#events:4_x000D_
#kids:3_x000D_
lived:?EN,?MA,CTHARTFWINDSOR_x000D_
issue:_x000D_
.recs:Birth,Marriage,Letter Written,Death,Estate_x000D_
.imm?:no_x000D_
..Spo:MERCY PRISCILLA GOODY</t>
        </r>
      </text>
    </comment>
    <comment ref="M6520" authorId="0" shapeId="0" xr:uid="{669830C1-5CF9-40E2-8902-406C53582829}">
      <text>
        <r>
          <rPr>
            <sz val="9"/>
            <color indexed="81"/>
            <rFont val="Tahoma"/>
            <family val="2"/>
          </rPr>
          <t>SARAH MARSHFIELD_x000D_
http://yeinfo.com/family/I09002945.html_x000D_
https://www.google.com/search?q=SARAH+MARSHFIELD+1621+1709+MILLER+Edward_x000D_
.born: 1621    -          Northumberland county England_x000D_
.died: 1709    -          Springfield (Hampden) Massachusetts, age:88y 0m 0d, _x000D_
.bapt: 1785GE_x000D_
.will: 2004MO_x000D_
.obit: 1890OH_x000D_
.bury: 1850IL _x000D_
.wpbt: 1826PA_x000D_
.anc#:double ancestor_x000D_
citiz:immigrant_x000D_
#spos:2_x000D_
#srcs:6_x000D_
#comment:0_x000D_
#events:2_x000D_
#kids:1_x000D_
lived:ENNORTU,MAHAMPDSPRINGF_x000D_
issue:Born before Parents Married,Married before Age 16_x000D_
.recs:Birth,Marriage,Death_x000D_
.imm?:immigrant_x000D_
..Spo:THOMAS MILLER</t>
        </r>
      </text>
    </comment>
    <comment ref="P6522" authorId="0" shapeId="0" xr:uid="{30A16BD8-703C-46A1-A7C0-9A7DF1EE24F5}">
      <text>
        <r>
          <rPr>
            <sz val="9"/>
            <color indexed="81"/>
            <rFont val="Tahoma"/>
            <family val="2"/>
          </rPr>
          <t>ANDREW GOODY_x000D_
http://yeinfo.com/family/I09023564.html_x000D_
https://www.google.com/search?q=ANDREW+GOODY+1543+1617+JONE_x000D_
.born:c1543    -          Brenchley (Kent) England_x000D_
.died:c1617    -         ?Brenchley (Kent) England, age:74y 0m 0d, _x000D_
.bapt: 1785GE_x000D_
.will: 2004MO_x000D_
.obit: 1890OH_x000D_
.bury: 1850IL _x000D_
.wpbt: 1826PA_x000D_
.anc#:double ancestor_x000D_
citiz:foreign_x000D_
#spos:1_x000D_
#srcs:2_x000D_
#comment:0_x000D_
#events:2_x000D_
#kids:1_x000D_
lived:ENKENT BRENCHL_x000D_
issue:_x000D_
.recs:Birth,Marriage,Death_x000D_
.imm?:no_x000D_
..Spo:JONE DOWKE</t>
        </r>
      </text>
    </comment>
    <comment ref="O6524" authorId="0" shapeId="0" xr:uid="{5FB649C3-AC81-4182-9689-C216ED71490B}">
      <text>
        <r>
          <rPr>
            <sz val="9"/>
            <color indexed="81"/>
            <rFont val="Tahoma"/>
            <family val="2"/>
          </rPr>
          <t>GEORGE GOODY_x000D_
http://yeinfo.com/family/I09011782.html_x000D_
https://www.google.com/search?q=GEORGE+GOODY+1577+1641+SARAH+CUTTER_x000D_
.born: 15770428-          Ormesby (Norfolk) England_x000D_
.died: 1641    -          Stratford (Fairfield) Connecticut, age:63y 8m 4d, _x000D_
.bapt: 1785GE_x000D_
.will: 2004MO_x000D_
.obit: 1890OH_x000D_
.bury: 1850IL _x000D_
.wpbt: 1826PA_x000D_
.anc#:double ancestor_x000D_
citiz:immigrant_x000D_
#spos:1_x000D_
#srcs:2_x000D_
#comment:0_x000D_
#events:2_x000D_
#kids:1_x000D_
lived:CTFAIRDFAIRFIE,CTFAIRDSTRATFO,ENNORFOORMESBY_x000D_
issue:Died after Age 100_x000D_
.recs:Birth,Marriage,Death_x000D_
.imm?:immigrant_x000D_
..Spo:SARAH CUTTER LOCKE</t>
        </r>
      </text>
    </comment>
    <comment ref="P6526" authorId="0" shapeId="0" xr:uid="{5A290645-22F1-421D-94A5-E2B52112ED71}">
      <text>
        <r>
          <rPr>
            <sz val="9"/>
            <color indexed="81"/>
            <rFont val="Tahoma"/>
            <family val="2"/>
          </rPr>
          <t>JONE DOWKE_x000D_
http://yeinfo.com/family/I09023565.html_x000D_
https://www.google.com/search?q=JONE+DOWKE+1549+1595+GOODY_x000D_
.born:c1549    -          Brenchley (Kent) England_x000D_
.died:c1595    -          Kent county England, age:46y 0m 0d, _x000D_
.bapt: 1785GE_x000D_
.will: 2004MO_x000D_
.obit: 1890OH_x000D_
.bury: 1850IL _x000D_
.wpbt: 1826PA_x000D_
.anc#:double ancestor_x000D_
citiz:foreign_x000D_
#spos:1_x000D_
#srcs:2_x000D_
#comment:0_x000D_
#events:1_x000D_
#kids:1_x000D_
lived:ENKENT BRENCHL_x000D_
issue:_x000D_
.recs:Birth,Marriage,Death_x000D_
.imm?:no_x000D_
..Spo:ANDREW GOODY</t>
        </r>
      </text>
    </comment>
    <comment ref="N6528" authorId="0" shapeId="0" xr:uid="{3CE8E66F-8006-4085-B735-0EA0F0B2390C}">
      <text>
        <r>
          <rPr>
            <sz val="9"/>
            <color indexed="81"/>
            <rFont val="Tahoma"/>
            <family val="2"/>
          </rPr>
          <t>MERCY PRISCILLA GOODY_x000D_
http://yeinfo.com/family/I09005891.html_x000D_
https://www.google.com/search?q=MERCY+PRISCILLA+GOODY+1604+1654+MARSHFIELD_x000D_
.born: 1604    -          Exeter (Devon) England_x000D_
.died: 16540730-          Springfield (Hampden) Massachusetts, age:50y 6m 29d, _x000D_
.bapt: 1785GE_x000D_
.will: 2004MO_x000D_
.obit: 1890OH_x000D_
.bury: 1850IL _x000D_
.wpbt: 1826PA_x000D_
.anc#:double ancestor_x000D_
citiz:immigrant_x000D_
#spos:1_x000D_
#srcs:6_x000D_
#comment:0_x000D_
#events:1_x000D_
#kids:3_x000D_
lived:ENDEVONEXETER,MAHAMPDSPRINGF_x000D_
issue:_x000D_
.recs:Birth,Marriage,Death_x000D_
.imm?:immigrant_x000D_
..Spo:THOMAS MARSHFIELD</t>
        </r>
      </text>
    </comment>
    <comment ref="R6530" authorId="0" shapeId="0" xr:uid="{C5D263B1-9E1C-4773-A405-CE925EF9966F}">
      <text>
        <r>
          <rPr>
            <sz val="9"/>
            <color indexed="81"/>
            <rFont val="Tahoma"/>
            <family val="2"/>
          </rPr>
          <t>THOMAS LOCKE_x000D_
http://yeinfo.com/family/I09065658.html_x000D_
https://www.google.com/search?q=THOMAS+LOCKE+1434+1507+JOAN_x000D_
.born: 1434    -          Wiltshire county England_x000D_
.died: 1507    -          London (Middlesex) England, age:73y 0m 0d, _x000D_
.bapt: 1785GE_x000D_
.will: 2004MO_x000D_
.obit: 1890OH_x000D_
.bury: 1850IL _x000D_
.wpbt: 1826PA_x000D_
.anc#:double ancestor_x000D_
citiz:foreign_x000D_
#spos:1_x000D_
#srcs:2_x000D_
#comment:0_x000D_
#events:1_x000D_
#kids:1_x000D_
lived:ENMIDDLLONDON,ENWILTS_x000D_
issue:_x000D_
.recs:Birth,Marriage,Death_x000D_
.imm?:no_x000D_
..Spo:JOAN WILCOCKS</t>
        </r>
      </text>
    </comment>
    <comment ref="Q6532" authorId="0" shapeId="0" xr:uid="{2432F2CA-6EF9-433A-A3B7-540E97FC97F9}">
      <text>
        <r>
          <rPr>
            <sz val="9"/>
            <color indexed="81"/>
            <rFont val="Tahoma"/>
            <family val="2"/>
          </rPr>
          <t>WILLIAM LOCKE_x000D_
http://yeinfo.com/family/I09047132.html_x000D_
https://www.google.com/search?q=WILLIAM+LOCKE+1480+1550+ELIZABETH+ALICE_x000D_
.born: 14800824-          London (Middlesex) England_x000D_
.died: 15500824-          London (Middlesex) England, age:70y 0m 0d, _x000D_
.bapt: 1785GE_x000D_
.will: 2004MO_x000D_
.obit: 1890OH_x000D_
.bury: 1850IL Mercers Chapel, St.Thomas, Acres Nook_x000D_
.wpbt: 1826PA_x000D_
.anc#:double ancestor_x000D_
citiz:foreign_x000D_
#spos:1_x000D_
#srcs:2_x000D_
#comment:0_x000D_
#events:2_x000D_
#kids:1_x000D_
lived:ENMIDDLLONDON,ENSTAFS_x000D_
issue:_x000D_
.recs:Birth,Marriage,Death,Interment/Burial_x000D_
.imm?:no_x000D_
..Spo:ELIZABETH ALICE SPENCER</t>
        </r>
      </text>
    </comment>
    <comment ref="R6534" authorId="0" shapeId="0" xr:uid="{249AA97D-4D9B-41E9-80BC-25DACEAF8672}">
      <text>
        <r>
          <rPr>
            <sz val="9"/>
            <color indexed="81"/>
            <rFont val="Tahoma"/>
            <family val="2"/>
          </rPr>
          <t>JOAN WILCOCKS_x000D_
http://yeinfo.com/family/I09065673.html_x000D_
https://www.google.com/search?q=JOAN+WILCOCKS+1440+1512+LOCKE_x000D_
.born: 1440    -         ?England_x000D_
.died: 1512    -          England, age:72y 0m 0d, _x000D_
.bapt: 1785GE_x000D_
.will: 2004MO_x000D_
.obit: 1890OH_x000D_
.bury: 1850IL _x000D_
.wpbt: 1826PA_x000D_
.anc#:double ancestor_x000D_
citiz:foreign_x000D_
#spos:1_x000D_
#srcs:2_x000D_
#comment:0_x000D_
#events:1_x000D_
#kids:1_x000D_
lived:?EN,ENMIDDLLONDON_x000D_
issue:_x000D_
.recs:Birth,Marriage,Death_x000D_
.imm?:no_x000D_
..Spo:THOMAS LOCKE</t>
        </r>
      </text>
    </comment>
    <comment ref="P6536" authorId="0" shapeId="0" xr:uid="{98AD554A-CA18-45D9-9102-B3BC5B7BC868}">
      <text>
        <r>
          <rPr>
            <sz val="9"/>
            <color indexed="81"/>
            <rFont val="Tahoma"/>
            <family val="2"/>
          </rPr>
          <t>MICHAEL WILLIAM LOCKE_x000D_
http://yeinfo.com/family/I09023566.html_x000D_
https://www.google.com/search?q=MICHAEL+WILLIAM+LOCKE+1532+1621+JANE_x000D_
.born: 1532    -          London (Middlesex) England_x000D_
.died: 16210824-          London (Middlesex) England, age:89y 7m 23d, _x000D_
.bapt: 1785GE_x000D_
.will: 2004MO_x000D_
.obit: 1890OH_x000D_
.bury: 1850IL _x000D_
.wpbt: 1826PA_x000D_
.anc#:double ancestor_x000D_
citiz:foreign_x000D_
#spos:1_x000D_
#srcs:2_x000D_
#comment:0_x000D_
#events:1_x000D_
#kids:1_x000D_
lived:ENMIDDLLONDON_x000D_
issue:Born after Parent Died,Died after Age 100_x000D_
.recs:Birth,Marriage,Death_x000D_
.imm?:no_x000D_
..Spo:JANE WILKINSON</t>
        </r>
      </text>
    </comment>
    <comment ref="R6538" authorId="0" shapeId="0" xr:uid="{547DCB3F-FC17-4F53-817F-9011A7038215}">
      <text>
        <r>
          <rPr>
            <sz val="9"/>
            <color indexed="81"/>
            <rFont val="Tahoma"/>
            <family val="2"/>
          </rPr>
          <t>WILLIAM SPENCER III_x000D_
http://yeinfo.com/family/I09065669.html_x000D_
https://www.google.com/search?q=WILLIAM+SPENCER+1470+1532+AGNES_x000D_
.born: 1470    -          Northamptonshire county England_x000D_
.died: 15320522-          Northamptonshire county England, age:62y 4m 21d, _x000D_
.bapt: 1785GE_x000D_
.will: 2004MO_x000D_
.obit: 1890OH_x000D_
.bury: 1850IL _x000D_
.wpbt: 1826PA_x000D_
.anc#:double ancestor_x000D_
citiz:foreign_x000D_
#spos:1_x000D_
#srcs:2_x000D_
#comment:0_x000D_
#events:1_x000D_
#kids:1_x000D_
lived:ENNORTA,ENWARWEBURTOND_x000D_
issue:_x000D_
.recs:Birth,Marriage,Death_x000D_
.imm?:no_x000D_
..Spo:AGNES HERITAGE</t>
        </r>
      </text>
    </comment>
    <comment ref="Q6540" authorId="0" shapeId="0" xr:uid="{1D4E8C73-7B39-4392-B799-70739C8E2B92}">
      <text>
        <r>
          <rPr>
            <sz val="9"/>
            <color indexed="81"/>
            <rFont val="Tahoma"/>
            <family val="2"/>
          </rPr>
          <t>ELIZABETH ALICE SPENCER_x000D_
http://yeinfo.com/family/I09047133.html_x000D_
https://www.google.com/search?q=ELIZABETH+ALICE+SPENCER+1490+1522+LOCKE_x000D_
.born:?1490    -          London (Middlesex) England_x000D_
.died: 1522    -          London (Middlesex) England, age:32y 0m 0d, _x000D_
.bapt: 1785GE_x000D_
.will: 2004MO_x000D_
.obit: 1890OH_x000D_
.bury: 1850IL _x000D_
.wpbt: 1826PA_x000D_
.anc#:double ancestor_x000D_
citiz:foreign_x000D_
#spos:1_x000D_
#srcs:2_x000D_
#comment:0_x000D_
#events:1_x000D_
#kids:1_x000D_
lived:ENMIDDLLONDON_x000D_
issue:Born before Parents Married_x000D_
.recs:Birth,Marriage,Death_x000D_
.imm?:no_x000D_
..Spo:WILLIAM LOCKE</t>
        </r>
      </text>
    </comment>
    <comment ref="U6542" authorId="0" shapeId="0" xr:uid="{96397605-DAFC-4E3D-93A8-EF6515E8CEED}">
      <text>
        <r>
          <rPr>
            <sz val="9"/>
            <color indexed="81"/>
            <rFont val="Tahoma"/>
            <family val="2"/>
          </rPr>
          <t>JOHN HERITAGE_x000D_
http://yeinfo.com/family/I09066096.html_x000D_
https://www.google.com/search?q=JOHN+HERITAGE+1378+1443+{_?_}_x000D_
.born: 1378    -          Bishops Itchington (Warwickshire) England_x000D_
.died: 1443    -          Bishops Itchington (Warwickshire) England, age:65y 0m 0d, _x000D_
.bapt: 1785GE_x000D_
.will: 2004MO_x000D_
.obit: 1890OH_x000D_
.bury: 1850IL _x000D_
.wpbt: 1826PA_x000D_
.anc#:double ancestor_x000D_
citiz:foreign_x000D_
#spos:1_x000D_
#srcs:2_x000D_
#comment:0_x000D_
#events:1_x000D_
#kids:1_x000D_
lived:ENWARWEBISHITC_x000D_
issue:_x000D_
.recs:Birth,Marriage,Death_x000D_
.imm?:no_x000D_
..Spo:{_?_} HERITAGE</t>
        </r>
      </text>
    </comment>
    <comment ref="T6544" authorId="0" shapeId="0" xr:uid="{422EABD9-A7F8-4938-8D29-CBDAB0590DDA}">
      <text>
        <r>
          <rPr>
            <sz val="9"/>
            <color indexed="81"/>
            <rFont val="Tahoma"/>
            <family val="2"/>
          </rPr>
          <t>THOMAS HERITAGE_x000D_
http://yeinfo.com/family/I09065928.html_x000D_
https://www.google.com/search?q=THOMAS+HERITAGE+1400+1482+MARY_x000D_
.born:c1400    -          Burton Dassett (Warwickshire) England_x000D_
.died: 1482    -          Berwick upon Tweed (Northumberland) England, age:82y 0m 0d, _x000D_
.bapt: 1785GE_x000D_
.will: 2004MO_x000D_
.obit: 1890OH_x000D_
.bury: 1850IL _x000D_
.wpbt: 1826PA_x000D_
.anc#:double ancestor_x000D_
citiz:foreign_x000D_
#spos:1_x000D_
#srcs:2_x000D_
#comment:0_x000D_
#events:1_x000D_
#kids:1_x000D_
lived:ENNORTUBERWICT,ENWARWEAVON DA,ENWARWEBURTOND_x000D_
issue:_x000D_
.recs:Birth,Marriage,Death_x000D_
.imm?:no_x000D_
..Spo:MARY TIMMS</t>
        </r>
      </text>
    </comment>
    <comment ref="U6546" authorId="0" shapeId="0" xr:uid="{A2141D1D-C53D-42C2-9D96-AFAF3378AB29}">
      <text>
        <r>
          <rPr>
            <sz val="9"/>
            <color indexed="81"/>
            <rFont val="Tahoma"/>
            <family val="2"/>
          </rPr>
          <t>Mrs. {_?_} HERITAGE_x000D_
http://yeinfo.com/family/I09066095.html_x000D_
https://www.google.com/search?q={_?_}+HERITAGE+1380+1400+HERITAGE_x000D_
.born:?1380    -         ?Bishops Itchington (Warwickshire) England_x000D_
.died: 1400    -1470     ?Bishops Itchington (Warwickshire) England, age:20y 0m 0d, _x000D_
.bapt: 1785GE_x000D_
.will: 2004MO_x000D_
.obit: 1890OH_x000D_
.bury: 1850IL _x000D_
.wpbt: 1826PA_x000D_
.anc#:double ancestor_x000D_
citiz:foreign_x000D_
#spos:1_x000D_
#srcs:2_x000D_
#comment:0_x000D_
#events:1_x000D_
#kids:1_x000D_
lived:?ENWARWEBISHITC_x000D_
issue:_x000D_
.recs:Birth,Marriage,Death_x000D_
.imm?:no_x000D_
..Spo:JOHN HERITAGE</t>
        </r>
      </text>
    </comment>
    <comment ref="S6548" authorId="0" shapeId="0" xr:uid="{12105392-A251-410A-B390-B92FC6CCCF7C}">
      <text>
        <r>
          <rPr>
            <sz val="9"/>
            <color indexed="81"/>
            <rFont val="Tahoma"/>
            <family val="2"/>
          </rPr>
          <t>THOMAS HERITAGE_x000D_
http://yeinfo.com/family/I09065781.html_x000D_
https://www.google.com/search?q=THOMAS+HERITAGE+1452+1495+DOROTHY_x000D_
.born: 1452    -          Burton Dassett (Warwickshire) England_x000D_
.died: 1495    -          Berwick upon Tweed (Northumberland) England, age:43y 0m 0d, _x000D_
.bapt: 1785GE_x000D_
.will: 2004MO_x000D_
.obit: 1890OH_x000D_
.bury: 1850IL _x000D_
.wpbt: 1826PA_x000D_
.anc#:double ancestor_x000D_
citiz:foreign_x000D_
#spos:1_x000D_
#srcs:2_x000D_
#comment:0_x000D_
#events:1_x000D_
#kids:1_x000D_
lived:ENNORTUBERWICT,ENWARWEBURTOND_x000D_
issue:_x000D_
.recs:Birth,Marriage,Death_x000D_
.imm?:no_x000D_
..Spo:DOROTHY SPENCER</t>
        </r>
      </text>
    </comment>
    <comment ref="T6550" authorId="0" shapeId="0" xr:uid="{A5C032A1-8C04-4296-808A-AB73DCBFC710}">
      <text>
        <r>
          <rPr>
            <sz val="9"/>
            <color indexed="81"/>
            <rFont val="Tahoma"/>
            <family val="2"/>
          </rPr>
          <t>MARY TIMMS_x000D_
http://yeinfo.com/family/I09065948.html_x000D_
https://www.google.com/search?q=MARY+TIMMS+1410+1505+HERITAGE_x000D_
.born:c1410    -          Burton Dassett (Warwickshire) England_x000D_
.died: 1505    -          Burton Dassett (Warwickshire) England, age:95y 0m 0d, _x000D_
.bapt: 1785GE_x000D_
.will: 2004MO_x000D_
.obit: 1890OH_x000D_
.bury: 1850IL _x000D_
.wpbt: 1826PA_x000D_
.anc#:double ancestor_x000D_
citiz:foreign_x000D_
#spos:1_x000D_
#srcs:2_x000D_
#comment:0_x000D_
#events:1_x000D_
#kids:1_x000D_
lived:ENWARWEAVON DA,ENWARWEBURTOND_x000D_
issue:_x000D_
.recs:Birth,Marriage,Death_x000D_
.imm?:no_x000D_
..Spo:THOMAS HERITAGE</t>
        </r>
      </text>
    </comment>
    <comment ref="R6552" authorId="0" shapeId="0" xr:uid="{EFA4E53A-8864-44C0-871A-6A78FD7925CA}">
      <text>
        <r>
          <rPr>
            <sz val="9"/>
            <color indexed="81"/>
            <rFont val="Tahoma"/>
            <family val="2"/>
          </rPr>
          <t>AGNES HERITAGE_x000D_
http://yeinfo.com/family/I09065651.html_x000D_
https://www.google.com/search?q=AGNES+HERITAGE+1478+1510+SPENCER_x000D_
.born: 14780101-          Burton Dassett (Warwickshire) England_x000D_
.died: 1510    -          Kington (Worcestershire) England, age:32y 0m 0d, _x000D_
.bapt: 1785GE_x000D_
.will: 2004MO_x000D_
.obit: 1890OH_x000D_
.bury: 1850IL _x000D_
.wpbt: 1826PA_x000D_
.anc#:double ancestor_x000D_
citiz:foreign_x000D_
#spos:1_x000D_
#srcs:2_x000D_
#comment:0_x000D_
#events:1_x000D_
#kids:1_x000D_
lived:ENWARWEBURTOND,ENWORCSKINGTON_x000D_
issue:_x000D_
.recs:Birth,Marriage,Death_x000D_
.imm?:no_x000D_
..Spo:WILLIAM SPENCER</t>
        </r>
      </text>
    </comment>
    <comment ref="V6554" authorId="0" shapeId="0" xr:uid="{00481D75-DA68-4839-B29B-FABE8FD1372E}">
      <text>
        <r>
          <rPr>
            <sz val="9"/>
            <color indexed="81"/>
            <rFont val="Tahoma"/>
            <family val="2"/>
          </rPr>
          <t>JOHN SPENCER_x000D_
http://yeinfo.com/family/I09066308.html_x000D_
https://www.google.com/search?q=JOHN+SPENCER+1370+1406+JONE_x000D_
.born: 1370    -         ?Bedfordshire county England_x000D_
.died: 1406    -1460     ?Bedfordshire county England, age:36y 0m 0d, _x000D_
.bapt: 1785GE_x000D_
.will: 2004MO_x000D_
.obit: 1890OH_x000D_
.bury: 1850IL _x000D_
.wpbt: 1826PA_x000D_
.anc#:double ancestor_x000D_
citiz:foreign_x000D_
#spos:1_x000D_
#srcs:2_x000D_
#comment:0_x000D_
#events:1_x000D_
#kids:1_x000D_
lived:?ENBEDFO_x000D_
issue:_x000D_
.recs:Birth,Marriage,Death_x000D_
.imm?:no_x000D_
..Spo:JONE SPENCER</t>
        </r>
      </text>
    </comment>
    <comment ref="U6556" authorId="0" shapeId="0" xr:uid="{C73B078C-5EF2-4E11-802E-062555C39FE6}">
      <text>
        <r>
          <rPr>
            <sz val="9"/>
            <color indexed="81"/>
            <rFont val="Tahoma"/>
            <family val="2"/>
          </rPr>
          <t>ROBERT SPENCER_x000D_
http://yeinfo.com/family/I09066113.html_x000D_
https://www.google.com/search?q=ROBERT+SPENCER+1406+1477+ANNE+FOCKE_x000D_
.born: 1406    -          Colmworth (Bedfordshire) England_x000D_
.died: 1477    -         ?Bedfordshire county England, age:71y 0m 0d, _x000D_
.bapt: 1785GE_x000D_
.will: 2004MO_x000D_
.obit: 1890OH_x000D_
.bury: 1850IL _x000D_
.wpbt: 1826PA_x000D_
.anc#:double ancestor_x000D_
citiz:foreign_x000D_
#spos:1_x000D_
#srcs:2_x000D_
#comment:0_x000D_
#events:1_x000D_
#kids:1_x000D_
lived:ENBEDFOCOLMWOR,ENNORTABADBY_x000D_
issue:_x000D_
.recs:Birth,Marriage,Death_x000D_
.imm?:no_x000D_
..Spo:ANNE FOCKE SMYTHE</t>
        </r>
      </text>
    </comment>
    <comment ref="V6558" authorId="0" shapeId="0" xr:uid="{C77054DA-C38A-4FA8-BF20-9B5036837013}">
      <text>
        <r>
          <rPr>
            <sz val="9"/>
            <color indexed="81"/>
            <rFont val="Tahoma"/>
            <family val="2"/>
          </rPr>
          <t>Mrs. JONE SPENCER_x000D_
http://yeinfo.com/family/I09066307.html_x000D_
https://www.google.com/search?q=JONE+SPENCER+1370+1406+SPENCER_x000D_
.born: 1370    -         ?Bedfordshire county England_x000D_
.died: 1406    -1460     ?Bedfordshire county England, age:36y 0m 0d, _x000D_
.bapt: 1785GE_x000D_
.will: 2004MO_x000D_
.obit: 1890OH_x000D_
.bury: 1850IL _x000D_
.wpbt: 1826PA_x000D_
.anc#:double ancestor_x000D_
citiz:foreign_x000D_
#spos:1_x000D_
#srcs:2_x000D_
#comment:0_x000D_
#events:1_x000D_
#kids:1_x000D_
lived:?ENBEDFO_x000D_
issue:_x000D_
.recs:Birth,Marriage,Death_x000D_
.imm?:no_x000D_
..Spo:JOHN SPENCER</t>
        </r>
      </text>
    </comment>
    <comment ref="T6560" authorId="0" shapeId="0" xr:uid="{CAB1FB9D-DD17-4F19-8624-43454B3678A0}">
      <text>
        <r>
          <rPr>
            <sz val="9"/>
            <color indexed="81"/>
            <rFont val="Tahoma"/>
            <family val="2"/>
          </rPr>
          <t>JOHN SPENCER_x000D_
http://yeinfo.com/family/I09065944.html_x000D_
https://www.google.com/search?q=JOHN+SPENCER+1434+1475+ISABEL_x000D_
.born: 1434    -          Southill (Bedfordshire) England_x000D_
.died:c1475    -          Bedfordshire county England, age:41y 0m 0d, _x000D_
.bapt: 1785GE_x000D_
.will: 2004MO_x000D_
.obit: 1890OH_x000D_
.bury: 1850IL _x000D_
.wpbt: 1826PA_x000D_
.anc#:double ancestor_x000D_
citiz:foreign_x000D_
#spos:1_x000D_
#srcs:2_x000D_
#comment:0_x000D_
#events:1_x000D_
#kids:1_x000D_
lived:ENBEDFOSOUTHIL_x000D_
issue:_x000D_
.recs:Birth,Marriage,Death_x000D_
.imm?:no_x000D_
..Spo:ISABEL LINCOLN</t>
        </r>
      </text>
    </comment>
    <comment ref="W6562" authorId="0" shapeId="0" xr:uid="{AF4A13B8-649D-4509-806C-13FB3475E76C}">
      <text>
        <r>
          <rPr>
            <sz val="9"/>
            <color indexed="81"/>
            <rFont val="Tahoma"/>
            <family val="2"/>
          </rPr>
          <t>JOHN JARVIS SMYTHE_x000D_
http://yeinfo.com/family/I09066477.html_x000D_
https://www.google.com/search?q=JOHN+JARVIS+SMYTHE+1350+1387+ANNE_x000D_
.born: 1350    -          Brierscliffe (Lancashire) England_x000D_
.died: 1387    -1430      Berkeley (Gloucestershire) England, age:37y 0m 0d, _x000D_
.bapt: 1785GE_x000D_
.will: 2004MO_x000D_
.obit: 1890OH_x000D_
.bury: 1850IL _x000D_
.wpbt: 1826PA_x000D_
.anc#:double ancestor_x000D_
citiz:foreign_x000D_
#spos:1_x000D_
#srcs:2_x000D_
#comment:0_x000D_
#events:1_x000D_
#kids:1_x000D_
lived:ENGLOUSBERKELE,ENLANCSBRIERSC,ENNOTTI_x000D_
issue:_x000D_
.recs:Birth,Marriage,Death_x000D_
.imm?:no_x000D_
..Spo:ANNE GARVAYS</t>
        </r>
      </text>
    </comment>
    <comment ref="V6564" authorId="0" shapeId="0" xr:uid="{03E2DB5A-7806-4788-BDBE-85877E3D4034}">
      <text>
        <r>
          <rPr>
            <sz val="9"/>
            <color indexed="81"/>
            <rFont val="Tahoma"/>
            <family val="2"/>
          </rPr>
          <t>JOHN SMYTHE_x000D_
http://yeinfo.com/family/I09066306.html_x000D_
https://www.google.com/search?q=JOHN+SMYTHE+1387+1423+JOAN_x000D_
.born: 1387    -          Lincolnshire county England_x000D_
.died: 1423    -          Gloucestershire county England, age:36y 0m 0d, _x000D_
.bapt: 1785GE_x000D_
.will: 2004MO_x000D_
.obit: 1890OH_x000D_
.bury: 1850IL _x000D_
.wpbt: 1826PA_x000D_
.anc#:double ancestor_x000D_
citiz:foreign_x000D_
#spos:1_x000D_
#srcs:2_x000D_
#comment:0_x000D_
#events:2_x000D_
#kids:1_x000D_
lived:ENGLOUS,ENLINCS,ENNORTACLAY CO,ENNOTTINORWELL_x000D_
issue:_x000D_
.recs:Birth,Marriage,Death_x000D_
.imm?:no_x000D_
..Spo:JOAN BINN</t>
        </r>
      </text>
    </comment>
    <comment ref="W6566" authorId="0" shapeId="0" xr:uid="{D58B9CD5-9831-410A-961A-FCF86911CD67}">
      <text>
        <r>
          <rPr>
            <sz val="9"/>
            <color indexed="81"/>
            <rFont val="Tahoma"/>
            <family val="2"/>
          </rPr>
          <t>ANNE GARVAYS_x000D_
http://yeinfo.com/family/I09066462.html_x000D_
https://www.google.com/search?q=ANNE+GARVAYS+1350+1387+SMYTHE_x000D_
.born: 1350    -          England_x000D_
.died: 1387    -1440      Berkeley (Gloucestershire) England, age:37y 0m 0d, _x000D_
.bapt: 1785GE_x000D_
.will: 2004MO_x000D_
.obit: 1890OH_x000D_
.bury: 1850IL _x000D_
.wpbt: 1826PA_x000D_
.anc#:double ancestor_x000D_
citiz:foreign_x000D_
#spos:1_x000D_
#srcs:2_x000D_
#comment:0_x000D_
#events:2_x000D_
#kids:1_x000D_
lived:ENGLOUSBERKELE,ENNORTADALLING,ENNOTTI_x000D_
issue:_x000D_
.recs:Birth,Marriage,Death_x000D_
.imm?:no_x000D_
..Spo:JOHN JARVIS SMYTHE</t>
        </r>
      </text>
    </comment>
    <comment ref="U6568" authorId="0" shapeId="0" xr:uid="{900D2A38-9B54-4088-A29A-AF12EE14D592}">
      <text>
        <r>
          <rPr>
            <sz val="9"/>
            <color indexed="81"/>
            <rFont val="Tahoma"/>
            <family val="2"/>
          </rPr>
          <t>ANNE FOCKE SMYTHE_x000D_
http://yeinfo.com/family/I09066112.html_x000D_
https://www.google.com/search?q=ANNE+FOCKE+SMYTHE+1410+1504+SPENCER_x000D_
.born: 1410    -          Bedfordshire county England_x000D_
.died: 1504    -          Bedfordshire county England, age:94y 0m 0d, _x000D_
.bapt: 1785GE_x000D_
.will: 2004MO_x000D_
.obit: 1890OH_x000D_
.bury: 1850IL _x000D_
.wpbt: 1826PA_x000D_
.anc#:double ancestor_x000D_
citiz:foreign_x000D_
#spos:1_x000D_
#srcs:2_x000D_
#comment:0_x000D_
#events:1_x000D_
#kids:1_x000D_
lived:ENBEDFO,ENNORTABADBY_x000D_
issue:_x000D_
.recs:Birth,Marriage,Death_x000D_
.imm?:no_x000D_
..Spo:ROBERT SPENCER</t>
        </r>
      </text>
    </comment>
    <comment ref="W6570" authorId="0" shapeId="0" xr:uid="{A52FF39D-3260-4DF2-8E8D-CF55AF53AC59}">
      <text>
        <r>
          <rPr>
            <sz val="9"/>
            <color indexed="81"/>
            <rFont val="Tahoma"/>
            <family val="2"/>
          </rPr>
          <t>JOHN BINN_x000D_
http://yeinfo.com/family/I09066443.html_x000D_
https://www.google.com/search?q=JOHN+BINN+1370+1433+JOELEAN_x000D_
.born: 1370    -          Nottinghamshire county England_x000D_
.died: 1433    -          Putney (Surrey) England, age:63y 0m 0d, _x000D_
.bapt: 1785GE_x000D_
.will: 2004MO_x000D_
.obit: 1890OH_x000D_
.bury: 1850IL _x000D_
.wpbt: 1826PA_x000D_
.anc#:double ancestor_x000D_
citiz:foreign_x000D_
#spos:1_x000D_
#srcs:2_x000D_
#comment:0_x000D_
#events:1_x000D_
#kids:1_x000D_
lived:ENNOTTI,ENSURREPUTNEY_x000D_
issue:_x000D_
.recs:Birth,Marriage,Death_x000D_
.imm?:no_x000D_
..Spo:JOELEAN WALTHERS</t>
        </r>
      </text>
    </comment>
    <comment ref="V6572" authorId="0" shapeId="0" xr:uid="{95CA1BEF-21CB-4937-BC87-243C55D9B9F5}">
      <text>
        <r>
          <rPr>
            <sz val="9"/>
            <color indexed="81"/>
            <rFont val="Tahoma"/>
            <family val="2"/>
          </rPr>
          <t>JOAN BINN_x000D_
http://yeinfo.com/family/I09066280.html_x000D_
https://www.google.com/search?q=JOAN+BINN+1390+1421+SMYTHE_x000D_
.born:c1390    -          Tattershall (Lincolnshire) England_x000D_
.died: 14210509-          Norwell (Nottinghamshire) England, age:31y 4m 8d, _x000D_
.bapt: 1785GE_x000D_
.will: 2004MO_x000D_
.obit: 1890OH_x000D_
.bury: 1850IL _x000D_
.wpbt: 1826PA_x000D_
.anc#:double ancestor_x000D_
citiz:foreign_x000D_
#spos:1_x000D_
#srcs:2_x000D_
#comment:0_x000D_
#events:1_x000D_
#kids:1_x000D_
lived:ENLINCSTATTERS,ENNOTTINORWELL_x000D_
issue:_x000D_
.recs:Birth,Marriage,Death_x000D_
.imm?:no_x000D_
..Spo:JOHN SMYTHE</t>
        </r>
      </text>
    </comment>
    <comment ref="W6574" authorId="0" shapeId="0" xr:uid="{9F8570BA-4AC4-453A-B82C-9BEB586235FB}">
      <text>
        <r>
          <rPr>
            <sz val="9"/>
            <color indexed="81"/>
            <rFont val="Tahoma"/>
            <family val="2"/>
          </rPr>
          <t>JOELEAN WALTHERS_x000D_
http://yeinfo.com/family/I09066484.html_x000D_
https://www.google.com/search?q=JOELEAN+WALTHERS+1372+1421+BINN_x000D_
.born: 1372    -          Putney (Surrey) England_x000D_
.died: 14210509-          Utterby (Lincolnshire) England, age:49y 4m 8d, _x000D_
.bapt: 1785GE_x000D_
.will: 2004MO_x000D_
.obit: 1890OH_x000D_
.bury: 1850IL _x000D_
.wpbt: 1826PA_x000D_
.anc#:double ancestor_x000D_
citiz:foreign_x000D_
#spos:1_x000D_
#srcs:2_x000D_
#comment:0_x000D_
#events:1_x000D_
#kids:1_x000D_
lived:ENLINCSUTTERBY,ENSURREPUTNEY_x000D_
issue:_x000D_
.recs:Birth,Marriage,Death_x000D_
.imm?:no_x000D_
..Spo:JOHN BINN</t>
        </r>
      </text>
    </comment>
    <comment ref="S6576" authorId="0" shapeId="0" xr:uid="{DAC1F1B3-A205-4E88-BDFD-991D659598B7}">
      <text>
        <r>
          <rPr>
            <sz val="9"/>
            <color indexed="81"/>
            <rFont val="Tahoma"/>
            <family val="2"/>
          </rPr>
          <t>DOROTHY SPENCER_x000D_
http://yeinfo.com/family/I09065799.html_x000D_
https://www.google.com/search?q=DOROTHY+SPENCER+1455+1505+HERITAGE_x000D_
.born: 1455    -          Burton Dassett (Warwickshire) England_x000D_
.died: 1505    -          England, age:50y 0m 0d, _x000D_
.bapt: 1785GE_x000D_
.will: 2004MO_x000D_
.obit: 1890OH_x000D_
.bury: 1850IL _x000D_
.wpbt: 1826PA_x000D_
.anc#:double ancestor_x000D_
citiz:foreign_x000D_
#spos:1_x000D_
#srcs:2_x000D_
#comment:0_x000D_
#events:1_x000D_
#kids:1_x000D_
lived:ENWARWEBURTOND_x000D_
issue:Died after Age 100_x000D_
.recs:Birth,Marriage,Death_x000D_
.imm?:no_x000D_
..Spo:THOMAS HERITAGE</t>
        </r>
      </text>
    </comment>
    <comment ref="T6578" authorId="0" shapeId="0" xr:uid="{63FBC8B3-DE50-4733-8690-C06572048189}">
      <text>
        <r>
          <rPr>
            <sz val="9"/>
            <color indexed="81"/>
            <rFont val="Tahoma"/>
            <family val="2"/>
          </rPr>
          <t>ISABEL LINCOLN_x000D_
http://yeinfo.com/family/I09065930.html_x000D_
https://www.google.com/search?q=ISABEL+LINCOLN+1434+1455+SPENCER_x000D_
.born:c1434    -          Bedfordshire county England_x000D_
.died: 1455    -1524     ?Bedfordshire county England, age:21y 0m 0d, _x000D_
.bapt: 1785GE_x000D_
.will: 2004MO_x000D_
.obit: 1890OH_x000D_
.bury: 1850IL _x000D_
.wpbt: 1826PA_x000D_
.anc#:double ancestor_x000D_
citiz:foreign_x000D_
#spos:1_x000D_
#srcs:2_x000D_
#comment:0_x000D_
#events:1_x000D_
#kids:1_x000D_
lived:ENBEDFO_x000D_
issue:_x000D_
.recs:Birth,Marriage,Death_x000D_
.imm?:no_x000D_
..Spo:JOHN SPENCER</t>
        </r>
      </text>
    </comment>
    <comment ref="O6580" authorId="0" shapeId="0" xr:uid="{CD6AAC50-A751-4C4C-9C71-04F4CF236F38}">
      <text>
        <r>
          <rPr>
            <sz val="9"/>
            <color indexed="81"/>
            <rFont val="Tahoma"/>
            <family val="2"/>
          </rPr>
          <t>SARAH CUTTER LOCKE_x000D_
http://yeinfo.com/family/I09011783.html_x000D_
https://www.google.com/search?q=SARAH+CUTTER+LOCKE+1574+1625+GOODY_x000D_
.born: 1574    -          Norfolk county England_x000D_
.died: 1625    -          Norfolk county England, age:51y 0m 0d, _x000D_
.bapt: 1785GE_x000D_
.will: 2004MO_x000D_
.obit: 1890OH_x000D_
.bury: 1850IL _x000D_
.wpbt: 1826PA_x000D_
.anc#:double ancestor_x000D_
citiz:foreign_x000D_
#spos:1_x000D_
#srcs:1_x000D_
#comment:0_x000D_
#events:2_x000D_
#kids:1_x000D_
lived:ENNORFOORMESBY_x000D_
issue:Born after Mom Age 50_x000D_
.recs:Birth,Marriage,Death_x000D_
.imm?:no_x000D_
..Spo:GEORGE GOODY</t>
        </r>
      </text>
    </comment>
    <comment ref="Q6582" authorId="0" shapeId="0" xr:uid="{0B6D4D08-8085-4D45-BB44-3011C7A20CCF}">
      <text>
        <r>
          <rPr>
            <sz val="9"/>
            <color indexed="81"/>
            <rFont val="Tahoma"/>
            <family val="2"/>
          </rPr>
          <t>WILLIAM WILKINSON_x000D_
http://yeinfo.com/family/I09047134.html_x000D_
https://www.google.com/search?q=WILLIAM+WILKINSON+1481+1530+JANE_x000D_
.born: 1481    -          London (Middlesex) England_x000D_
.died: 1530    -          Surrey county England, age:49y 0m 0d, _x000D_
.bapt: 1785GE_x000D_
.will: 2004MO_x000D_
.obit: 1890OH_x000D_
.bury: 1850IL _x000D_
.wpbt: 1826PA_x000D_
.anc#:double ancestor_x000D_
citiz:foreign_x000D_
#spos:1_x000D_
#srcs:2_x000D_
#comment:0_x000D_
#events:1_x000D_
#kids:1_x000D_
lived:ENMIDDLLONDON,ENSURRE_x000D_
issue:_x000D_
.recs:Birth,Marriage,Death_x000D_
.imm?:no_x000D_
..Spo:JANE MERCER</t>
        </r>
      </text>
    </comment>
    <comment ref="P6584" authorId="0" shapeId="0" xr:uid="{B7988F00-ED88-4C9C-BE31-EEB5AC50148F}">
      <text>
        <r>
          <rPr>
            <sz val="9"/>
            <color indexed="81"/>
            <rFont val="Tahoma"/>
            <family val="2"/>
          </rPr>
          <t>JANE WILKINSON_x000D_
http://yeinfo.com/family/I09023567.html_x000D_
https://www.google.com/search?q=JANE+WILKINSON+1520+1577+LOCKE_x000D_
.born: 1520    -          London (Middlesex) England_x000D_
.died: 15770209-          London (Middlesex) England, age:57y 1m 8d, _x000D_
.bapt: 1785GE_x000D_
.will: 2004MO_x000D_
.obit: 1890OH_x000D_
.bury: 1850IL St. Dunstan-in-the-West_x000D_
.wpbt: 1826PA_x000D_
.anc#:double ancestor_x000D_
citiz:foreign_x000D_
#spos:1_x000D_
#srcs:2_x000D_
#comment:0_x000D_
#events:2_x000D_
#kids:1_x000D_
lived:ENMIDDLLONDON_x000D_
issue:Died after Age 100_x000D_
.recs:Birth,Marriage,Death,Interment/Burial_x000D_
.imm?:no_x000D_
..Spo:MICHAEL WILLIAM LOCKE</t>
        </r>
      </text>
    </comment>
    <comment ref="Q6586" authorId="0" shapeId="0" xr:uid="{0CF2D55E-76B3-4336-95F4-1FCF340C0966}">
      <text>
        <r>
          <rPr>
            <sz val="9"/>
            <color indexed="81"/>
            <rFont val="Tahoma"/>
            <family val="2"/>
          </rPr>
          <t>JANE MERCER_x000D_
http://yeinfo.com/family/I09047135.html_x000D_
https://www.google.com/search?q=JANE+MERCER+1505+1539+WILKINSON_x000D_
.born: 1505    -          London (Middlesex) England_x000D_
.died:c1539    -          London (Middlesex) England, age:34y 0m 0d, _x000D_
.bapt: 1785GE_x000D_
.will: 2004MO_x000D_
.obit: 1890OH_x000D_
.bury: 1850IL _x000D_
.wpbt: 1826PA_x000D_
.anc#:double ancestor_x000D_
citiz:foreign_x000D_
#spos:1_x000D_
#srcs:2_x000D_
#comment:0_x000D_
#events:1_x000D_
#kids:1_x000D_
lived:ENMIDDLLONDON_x000D_
issue:Died after Age 100_x000D_
.recs:Birth,Marriage,Death_x000D_
.imm?:no_x000D_
..Spo:WILLIAM WILKINSON</t>
        </r>
      </text>
    </comment>
    <comment ref="K6588" authorId="0" shapeId="0" xr:uid="{ED1F7BB5-147C-487E-B433-CAA791BEAC9B}">
      <text>
        <r>
          <rPr>
            <sz val="9"/>
            <color indexed="81"/>
            <rFont val="Tahoma"/>
            <family val="2"/>
          </rPr>
          <t>THOMAS MILLER Jr._x000D_
http://yeinfo.com/family/I09000736.html_x000D_
https://www.google.com/search?q=THOMAS+MILLER+1693+1759+SARAH+MARY_x000D_
.born: 1693    -         ?Massachusetts_x000D_
.died: 1759    -         ?Massachusetts, age:66y 0m 0d, _x000D_
.bapt: 1785GE_x000D_
.will: 2004MO_x000D_
.obit: 1890OH_x000D_
.bury: 1850IL _x000D_
.wpbt: 1826PA_x000D_
.anc#:double ancestor_x000D_
citiz:US born_x000D_
#spos:1_x000D_
#srcs:2_x000D_
#comment:1_x000D_
#events:2_x000D_
#kids:1_x000D_
lived:?MA,MAHAMPDSPRINGF_x000D_
issue:_x000D_
.recs:Birth,Marriage Intention/Bonds,Death_x000D_
.imm?:no_x000D_
..Spo:SARAH MARY MEEKINS</t>
        </r>
      </text>
    </comment>
    <comment ref="P6590" authorId="0" shapeId="0" xr:uid="{E32D7D49-2EB1-4DDD-A9A8-524D1F600073}">
      <text>
        <r>
          <rPr>
            <sz val="9"/>
            <color indexed="81"/>
            <rFont val="Tahoma"/>
            <family val="2"/>
          </rPr>
          <t>JOHN BEAMOND II_x000D_
http://yeinfo.com/family/I09023568.html_x000D_
https://www.google.com/search?q=JOHN+BEAMOND+1520+1584+MARGARET_x000D_
.born: 1520    -          Quatt Malvern (Shropshire) England_x000D_
.died: 15840409-          Quatt Malvern (Shropshire) England, age:64y 3m 8d, _x000D_
.bapt: 1785GE_x000D_
.will: 2004MO_x000D_
.obit: 1890OH_x000D_
.bury: 1850IL _x000D_
.wpbt: 1826PA_x000D_
.anc#:double ancestor_x000D_
citiz:foreign_x000D_
#spos:1_x000D_
#srcs:1_x000D_
#comment:0_x000D_
#events:1_x000D_
#kids:1_x000D_
lived:ENSHROPQUATT M_x000D_
issue:_x000D_
.recs:Birth,Marriage,Death_x000D_
.imm?:no_x000D_
..Spo:MARGARET WHITE</t>
        </r>
      </text>
    </comment>
    <comment ref="O6592" authorId="0" shapeId="0" xr:uid="{852D1C48-B3C3-419F-9875-1B6C2707EB9A}">
      <text>
        <r>
          <rPr>
            <sz val="9"/>
            <color indexed="81"/>
            <rFont val="Tahoma"/>
            <family val="2"/>
          </rPr>
          <t>WILLIAM BEAMOND_x000D_
http://yeinfo.com/family/I09011784.html_x000D_
https://www.google.com/search?q=WILLIAM+BEAMOND+1550+1589+ISABEL_x000D_
.born: 1550    -          Quatt Malvern (Shropshire) England_x000D_
.died: 15890702-         ?Shropshire county England, age:39y 6m 1d, _x000D_
.bapt: 1785GE_x000D_
.will: 2004MO_x000D_
.obit: 1890OH_x000D_
.bury: 1850IL _x000D_
.wpbt: 1826PA_x000D_
.anc#:double ancestor_x000D_
citiz:foreign_x000D_
#spos:1_x000D_
#srcs:3_x000D_
#comment:0_x000D_
#events:1_x000D_
#kids:1_x000D_
lived:ENSHROPQUATT M_x000D_
issue:_x000D_
.recs:Birth,Marriage,Death_x000D_
.imm?:no_x000D_
..Spo:ISABEL WILINGTON</t>
        </r>
      </text>
    </comment>
    <comment ref="P6594" authorId="0" shapeId="0" xr:uid="{E90DED20-BAD0-4499-AD1D-E60517432B79}">
      <text>
        <r>
          <rPr>
            <sz val="9"/>
            <color indexed="81"/>
            <rFont val="Tahoma"/>
            <family val="2"/>
          </rPr>
          <t>MARGARET WHITE_x000D_
http://yeinfo.com/family/I09023569.html_x000D_
https://www.google.com/search?q=MARGARET+WHITE+1524+1550+BEAMOND_x000D_
.born: 1524    -          Quatt Malvern (Shropshire) England_x000D_
.died: 1550    -1614     ?Shropshire county England, age:26y 0m 0d, _x000D_
.bapt: 1785GE_x000D_
.will: 2004MO_x000D_
.obit: 1890OH_x000D_
.bury: 1850IL _x000D_
.wpbt: 1826PA_x000D_
.anc#:double ancestor_x000D_
citiz:foreign_x000D_
#spos:1_x000D_
#srcs:1_x000D_
#comment:0_x000D_
#events:1_x000D_
#kids:1_x000D_
lived:ENSHROPQUATT M_x000D_
issue:_x000D_
.recs:Birth,Marriage,Death_x000D_
.imm?:no_x000D_
..Spo:JOHN BEAMOND</t>
        </r>
      </text>
    </comment>
    <comment ref="N6596" authorId="0" shapeId="0" xr:uid="{D2DB879D-7410-4F87-B55C-DBD97AD3E805}">
      <text>
        <r>
          <rPr>
            <sz val="9"/>
            <color indexed="81"/>
            <rFont val="Tahoma"/>
            <family val="2"/>
          </rPr>
          <t>ADAM BEAMOND_x000D_
http://yeinfo.com/family/I09005892.html_x000D_
https://www.google.com/search?q=ADAM+BEAMOND+1570+1656+HELENA_x000D_
.born: 1570    -          Biddulph (Staffordshire) England_x000D_
.died: 1656    -          Staffordshire county England, age:86y 0m 0d, _x000D_
.bapt: 1785GE_x000D_
.will: 2004MO_x000D_
.obit: 1890OH_x000D_
.bury: 1850IL St.Mary Magadalene Churchyard_x000D_
.wpbt: 1826PA_x000D_
.anc#:double ancestor_x000D_
citiz:foreign_x000D_
#spos:1_x000D_
#srcs:2_x000D_
#comment:1_x000D_
#events:3_x000D_
#kids:1_x000D_
lived:ENSHROPQUATFOR,ENSTAFSBIDDULP_x000D_
issue:_x000D_
.recs:Birth,Military,Marriage,Death,Interment/Burial_x000D_
.imm?:no_x000D_
..Spo:HELENA KNIGHTSFORD</t>
        </r>
      </text>
    </comment>
    <comment ref="O6598" authorId="0" shapeId="0" xr:uid="{CE40E37A-C403-4858-B461-742EEB127F42}">
      <text>
        <r>
          <rPr>
            <sz val="9"/>
            <color indexed="81"/>
            <rFont val="Tahoma"/>
            <family val="2"/>
          </rPr>
          <t>ISABEL WILINGTON_x000D_
http://yeinfo.com/family/I09011785.html_x000D_
https://www.google.com/search?q=ISABEL+WILINGTON+1550+1570+BEAMOND_x000D_
.born:?1550    -          England_x000D_
.died: 1570    -1640      Quatt Malvern (Shropshire) England, age:20y 0m 0d, _x000D_
.bapt: 1785GE_x000D_
.will: 2004MO_x000D_
.obit: 1890OH_x000D_
.bury: 1850IL _x000D_
.wpbt: 1826PA_x000D_
.anc#:double ancestor_x000D_
citiz:foreign_x000D_
#spos:1_x000D_
#srcs:1_x000D_
#comment:0_x000D_
#events:1_x000D_
#kids:1_x000D_
lived:ENSHROPQUATT M_x000D_
issue:_x000D_
.recs:Birth,Marriage,Death_x000D_
.imm?:no_x000D_
..Spo:WILLIAM BEAMOND</t>
        </r>
      </text>
    </comment>
    <comment ref="M6600" authorId="0" shapeId="0" xr:uid="{69556B5D-6A21-424D-A269-B5BE549B9983}">
      <text>
        <r>
          <rPr>
            <sz val="9"/>
            <color indexed="81"/>
            <rFont val="Tahoma"/>
            <family val="2"/>
          </rPr>
          <t>SIMON BEAMOND_x000D_
http://yeinfo.com/family/I09002946.html_x000D_
https://www.google.com/search?q=SIMON+BEAMOND+1627+1676+ALICE_x000D_
.born:c1627    -          Shropshire county England_x000D_
.died: 16760926-          Springfield (Hampden) Massachusetts, age:49y 8m 25d, _x000D_
.bapt: 1785GE_x000D_
.will: 2004MO_x000D_
.obit: 1890OH_x000D_
.bury: 1850IL Springfield Cemetery plot 2-97_x000D_
.wpbt: 1826PA_x000D_
.anc#:double ancestor_x000D_
citiz:immigrant_x000D_
#spos:1_x000D_
#srcs:3_x000D_
#comment:0_x000D_
#events:2_x000D_
#kids:13_x000D_
lived:ENSHROP,MAHAMPDSPRINGF_x000D_
issue:Born after Mom Age 50_x000D_
.recs:Birth,Marriage,Death,Interment/Burial_x000D_
.imm?:immigrant_x000D_
..Spo:ALICE YOUNG</t>
        </r>
      </text>
    </comment>
    <comment ref="N6602" authorId="0" shapeId="0" xr:uid="{5F78E0DC-68AD-4028-8C14-E0EFCD220DDC}">
      <text>
        <r>
          <rPr>
            <sz val="9"/>
            <color indexed="81"/>
            <rFont val="Tahoma"/>
            <family val="2"/>
          </rPr>
          <t>HELENA KNIGHTSFORD_x000D_
http://yeinfo.com/family/I09005893.html_x000D_
https://www.google.com/search?q=HELENA+KNIGHTSFORD+1575+1629+BEAMOND_x000D_
.born: 15750101-          Biddulph (Staffordshire) England_x000D_
.died: 1629    -          Biddulph (Staffordshire) England, age:54y 0m 0d, _x000D_
.bapt: 1785GE_x000D_
.will: 2004MO_x000D_
.obit: 1890OH_x000D_
.bury: 1850IL _x000D_
.wpbt: 1826PA_x000D_
.anc#:double ancestor_x000D_
citiz:foreign_x000D_
#spos:1_x000D_
#srcs:2_x000D_
#comment:0_x000D_
#events:1_x000D_
#kids:1_x000D_
lived:ENSTAFSBIDDULP_x000D_
issue:_x000D_
.recs:Birth,Marriage,Death_x000D_
.imm?:no_x000D_
..Spo:ADAM BEAMOND</t>
        </r>
      </text>
    </comment>
    <comment ref="L6604" authorId="0" shapeId="0" xr:uid="{49FA3FB6-0A07-4D51-BEC5-57343A7C9CF7}">
      <text>
        <r>
          <rPr>
            <sz val="9"/>
            <color indexed="81"/>
            <rFont val="Tahoma"/>
            <family val="2"/>
          </rPr>
          <t>RUTH BEAMOND_x000D_
http://yeinfo.com/family/I09001473.html_x000D_
https://www.google.com/search?q=RUTH+BEAMOND+1660+1704+MILLER_x000D_
.born:a16601230-          Springfield (Hampden) Massachusetts_x000D_
.died: 17040508-          Springfield (Hampden) Massachusetts, age:43y 4m 8d, _x000D_
.bapt: 1785GE_x000D_
.will: 2004MO_x000D_
.obit: 1890OH_x000D_
.bury: 1850IL _x000D_
.wpbt: 1826PA_x000D_
.anc#:double ancestor_x000D_
citiz:US born_x000D_
#spos:1_x000D_
#srcs:14_x000D_
#comment:0_x000D_
#events:1_x000D_
#kids:1_x000D_
lived:MAHAMPDSPRINGF_x000D_
issue:_x000D_
.recs:Birth,Marriage,Death_x000D_
.imm?:no_x000D_
..Spo:SAMUEL MILLER</t>
        </r>
      </text>
    </comment>
    <comment ref="N6606" authorId="0" shapeId="0" xr:uid="{B128064E-A545-45E4-B364-FB5D2B03A4F9}">
      <text>
        <r>
          <rPr>
            <sz val="9"/>
            <color indexed="81"/>
            <rFont val="Tahoma"/>
            <family val="2"/>
          </rPr>
          <t>JOHN YOUNG_x000D_
http://yeinfo.com/family/I09005894.html_x000D_
https://www.google.com/search?q=JOHN+YOUNG+1600+1661+ALICE_x000D_
.born:c1600    -          England_x000D_
.died: 16610407-          Stratford (Fairfield) Connecticut, age:61y 3m 6d, _x000D_
.bapt: 1785GE_x000D_
.will: 2004MO_x000D_
.obit: 1890OH_x000D_
.bury: 1850IL _x000D_
.wpbt: 1826PA_x000D_
.anc#:double ancestor_x000D_
citiz:immigrant_x000D_
#spos:1_x000D_
#srcs:2_x000D_
#comment:0_x000D_
#events:1_x000D_
#kids:1_x000D_
lived:CTFAIRDSTRATFO,EN_x000D_
issue:_x000D_
.recs:Birth,Marriage,Death_x000D_
.imm?:immigrant_x000D_
..Spo:ALICE YOUNG</t>
        </r>
      </text>
    </comment>
    <comment ref="M6608" authorId="0" shapeId="0" xr:uid="{F244940D-7DFC-4855-9893-E8394D367D4E}">
      <text>
        <r>
          <rPr>
            <sz val="9"/>
            <color indexed="81"/>
            <rFont val="Tahoma"/>
            <family val="2"/>
          </rPr>
          <t>ALICE YOUNG_x000D_
http://yeinfo.com/family/I09002947.html_x000D_
https://www.google.com/search?q=ALICE+YOUNG+1634+1708+BEAMOND_x000D_
.born:c1634    -         ?Connecticut_x000D_
.died: 17081005-          Springfield (Hampden) Massachusetts, age:74y 9m 4d, _x000D_
.bapt: 1785GE_x000D_
.will: 2004MO_x000D_
.obit: 1890OH_x000D_
.bury: 1850IL Springfield Cemetery plot 2-97_x000D_
.wpbt: 1826PA_x000D_
.anc#:double ancestor_x000D_
citiz:US born_x000D_
#spos:1_x000D_
#srcs:3_x000D_
#comment:1_x000D_
#events:2_x000D_
#kids:13_x000D_
lived:?CT,MAHAMPDSPRINGF_x000D_
issue:Born before Parents Married_x000D_
.recs:Birth,Marriage,Death,Interment/Burial_x000D_
.imm?:no_x000D_
..Spo:SIMON BEAMOND</t>
        </r>
      </text>
    </comment>
    <comment ref="N6610" authorId="0" shapeId="0" xr:uid="{968D0E8F-7F99-42FC-B4CC-BC7D106919F9}">
      <text>
        <r>
          <rPr>
            <sz val="9"/>
            <color indexed="81"/>
            <rFont val="Tahoma"/>
            <family val="2"/>
          </rPr>
          <t>Mrs. ALICE YOUNG_x000D_
http://yeinfo.com/family/I09005895.html_x000D_
https://www.google.com/search?q=ALICE+YOUNG+1600+1647+YOUNG_x000D_
.born: 1600    -          England_x000D_
.died: 16470526-          Hartford (Hartford) Connecticut, age:47y 4m 25d, _x000D_
.bapt: 1785GE_x000D_
.will: 2004MO_x000D_
.obit: 1890OH_x000D_
.bury: 1850IL _x000D_
.wpbt: 1826PA_x000D_
.anc#:double ancestor_x000D_
citiz:immigrant_x000D_
#spos:1_x000D_
#srcs:2_x000D_
#comment:0_x000D_
#events:1_x000D_
#kids:1_x000D_
lived:CTHARTFHARTFOR,EN_x000D_
issue:_x000D_
.recs:Birth,Marriage,Death_x000D_
.imm?:immigrant_x000D_
..Spo:JOHN YOUNG</t>
        </r>
      </text>
    </comment>
    <comment ref="J6612" authorId="0" shapeId="0" xr:uid="{D78D4043-04A2-407B-BD38-A720CC1FD577}">
      <text>
        <r>
          <rPr>
            <sz val="9"/>
            <color indexed="81"/>
            <rFont val="Tahoma"/>
            <family val="2"/>
          </rPr>
          <t>DAVID MILLER Sr._x000D_
http://yeinfo.com/family/I09000368.html_x000D_
https://www.google.com/search?q=DAVID+MILLER+1736+1808+ANNAH+MIXER_x000D_
.born: 1736    -         ?West Springfield (Hampden) Massachusetts_x000D_
.died: 18080507-         ?Marlborough (Windham) Vermont, age:72y 4m 6d, _x000D_
.bapt: 1785GE_x000D_
.will: 2004MO_x000D_
.obit: 1890OH_x000D_
.bury: 1850IL Marlboro Center Cemetery_x000D_
.wpbt: 1826PA_x000D_
.anc#:double ancestor_x000D_
citiz:US born_x000D_
#spos:2_x000D_
#srcs:1_x000D_
#comment:2_x000D_
#events:7_x000D_
#kids:7_x000D_
lived:?MAHAMPDW.SPRIN,VTWINDHMARLBOR_x000D_
issue:Married before Age 16_x000D_
.recs:Birth,Baptism,Marriage,Death,Interment/Burial_x000D_
.imm?:no_x000D_
..Spo:ANNAH MILLER</t>
        </r>
      </text>
    </comment>
    <comment ref="P6614" authorId="0" shapeId="0" xr:uid="{89C0BAFA-37C4-4955-8F82-E04E7573D05F}">
      <text>
        <r>
          <rPr>
            <sz val="9"/>
            <color indexed="81"/>
            <rFont val="Tahoma"/>
            <family val="2"/>
          </rPr>
          <t>THOMAS MEEKINS_x000D_
http://yeinfo.com/family/I09023584.html_x000D_
https://www.google.com/search?q=THOMAS+MEEKINS+1550+1646+HELLEN_x000D_
.born: 1550    -          England_x000D_
.died: 16460504-          Northamptonshire county England, age:96y 4m 3d, _x000D_
.bapt: 1785GE_x000D_
.will: 2004MO_x000D_
.obit: 1890OH_x000D_
.bury: 1850IL _x000D_
.wpbt: 1826PA_x000D_
.anc#:  quadruple ancestor_x000D_
citiz:foreign_x000D_
#spos:1_x000D_
#srcs:10_x000D_
#comment:1_x000D_
#events:1_x000D_
#kids:1_x000D_
lived:ENNORTA_x000D_
issue:_x000D_
.recs:Birth,Marriage,Death_x000D_
.imm?:no_x000D_
..Spo:HELLEN GREENE</t>
        </r>
      </text>
    </comment>
    <comment ref="O6616" authorId="0" shapeId="0" xr:uid="{86DB1A16-BD64-42A5-BC8F-F71992CCCFDE}">
      <text>
        <r>
          <rPr>
            <sz val="9"/>
            <color indexed="81"/>
            <rFont val="Tahoma"/>
            <family val="2"/>
          </rPr>
          <t>THOMAS MEEKINS_x000D_
http://yeinfo.com/family/I09011792.html_x000D_
https://www.google.com/search?q=THOMAS+MEEKINS+1585+1656+KATHERINE_x000D_
.born:c1585    -          Achurch (Northamptonshire) England_x000D_
.died:c1656    -          Boston (Suffolk) Massachusetts, age:71y 0m 0d, _x000D_
.bapt: 1785GE_x000D_
.will: 2004MO_x000D_
.obit: 1890OH_x000D_
.bury: 1850IL _x000D_
.wpbt: 1826PA_x000D_
.anc#:  quadruple ancestor_x000D_
citiz:immigrant_x000D_
#spos:1_x000D_
#srcs:10_x000D_
#comment:0_x000D_
#events:1_x000D_
#kids:1_x000D_
lived:ENNORTAACHURCH,MASUFFOBOSTON_x000D_
issue:_x000D_
.recs:Birth,Marriage,Death_x000D_
.imm?:immigrant_x000D_
..Spo:KATHERINE GREENE</t>
        </r>
      </text>
    </comment>
    <comment ref="P6618" authorId="0" shapeId="0" xr:uid="{A65C177D-4A92-4627-B2C6-DA7C990569F6}">
      <text>
        <r>
          <rPr>
            <sz val="9"/>
            <color indexed="81"/>
            <rFont val="Tahoma"/>
            <family val="2"/>
          </rPr>
          <t>HELLEN GREENE_x000D_
http://yeinfo.com/family/I09023585.html_x000D_
https://www.google.com/search?q=HELLEN+GREENE+1553+1636+MEEKINS_x000D_
.born: 1553    -         ?England_x000D_
.died: 1636    -         ?Suffolk county Massachusetts, age:83y 0m 0d, _x000D_
.bapt: 1785GE_x000D_
.will: 2004MO_x000D_
.obit: 1890OH_x000D_
.bury: 1850IL _x000D_
.wpbt: 1826PA_x000D_
.anc#:  quadruple ancestor_x000D_
citiz:immigrant_x000D_
#spos:1_x000D_
#srcs:10_x000D_
#comment:0_x000D_
#events:1_x000D_
#kids:1_x000D_
lived:?EN,?MASUFFO_x000D_
issue:_x000D_
.recs:Birth,Marriage,Death_x000D_
.imm?:immigrant_x000D_
..Spo:THOMAS MEEKINS</t>
        </r>
      </text>
    </comment>
    <comment ref="N6620" authorId="0" shapeId="0" xr:uid="{B34182DB-D9B7-43C4-ACB2-0FA2CF77C934}">
      <text>
        <r>
          <rPr>
            <sz val="9"/>
            <color indexed="81"/>
            <rFont val="Tahoma"/>
            <family val="2"/>
          </rPr>
          <t>THOMAS MEEKINS_x000D_
http://yeinfo.com/family/I09005896.html_x000D_
https://www.google.com/search?q=THOMAS+MEEKINS+1609+1687+SARAH+CATHERINE_x000D_
.born:c1609    -          Achurch (Northamptonshire) England_x000D_
.died: 16871210-          Hatfield (Hampshire) Massachusetts, age:78y 11m 9d, _x000D_
.bapt: 1785GE_x000D_
.will: 2004MO_x000D_
.obit: 1890OH_x000D_
.bury: 1850IL _x000D_
.wpbt: 1826PA_x000D_
.anc#:  quadruple ancestor_x000D_
citiz:immigrant_x000D_
#spos:1_x000D_
#srcs:10_x000D_
#comment:0_x000D_
#events:1_x000D_
#kids:2_x000D_
lived:?CTHARTF,ENNORTAACHURCH,MAHAMPSHATFIEL_x000D_
issue:_x000D_
.recs:Birth,Marriage,Death_x000D_
.imm?:immigrant_x000D_
..Spo:SARAH CATHERINE BEARDSLEY</t>
        </r>
      </text>
    </comment>
    <comment ref="O6622" authorId="0" shapeId="0" xr:uid="{456E11E3-CE5B-49EB-998B-2EEA785E2819}">
      <text>
        <r>
          <rPr>
            <sz val="9"/>
            <color indexed="81"/>
            <rFont val="Tahoma"/>
            <family val="2"/>
          </rPr>
          <t>KATHERINE GREENE_x000D_
http://yeinfo.com/family/I09011793.html_x000D_
https://www.google.com/search?q=KATHERINE+GREENE+1584+1651+MEEKINS_x000D_
.born: 1584    -          Achurch (Northamptonshire) England_x000D_
.died: 16510203-          Roxbury (Suffolk) Massachusetts, age:67y 1m 2d, _x000D_
.bapt: 1785GE_x000D_
.will: 2004MO_x000D_
.obit: 1890OH_x000D_
.bury: 1850IL _x000D_
.wpbt: 1826PA_x000D_
.anc#:  quadruple ancestor_x000D_
citiz:immigrant_x000D_
#spos:1_x000D_
#srcs:10_x000D_
#comment:1_x000D_
#events:1_x000D_
#kids:1_x000D_
lived:ENNORTAACHURCH,MASUFFOROXBURY_x000D_
issue:_x000D_
.recs:Birth,Marriage,Death_x000D_
.imm?:immigrant_x000D_
..Spo:THOMAS MEEKINS</t>
        </r>
      </text>
    </comment>
    <comment ref="M6624" authorId="0" shapeId="0" xr:uid="{F048AC7D-1E97-4855-A206-603BFDBFB131}">
      <text>
        <r>
          <rPr>
            <sz val="9"/>
            <color indexed="81"/>
            <rFont val="Tahoma"/>
            <family val="2"/>
          </rPr>
          <t>THOMAS MEEKINGS_x000D_
http://yeinfo.com/family/I09002948.html_x000D_
https://www.google.com/search?q=THOMAS+MEEKINGS+1643+1675+MARY+MEEKINS_x000D_
.born: 16430608-          Braintree (Norfolk) Massachusetts_x000D_
.died: 16751019-          Hatfield (Hampshire) Massachusetts, age:32y 4m 11d, _x000D_
.bapt: 1785GE_x000D_
.will: 2004MO_x000D_
.obit: 1890OH_x000D_
.bury: 1850IL _x000D_
.wpbt: 1826PA_x000D_
.anc#:double ancestor_x000D_
citiz:US born_x000D_
#spos:2_x000D_
#srcs:10_x000D_
#comment:0_x000D_
#events:2_x000D_
#kids:1_x000D_
lived:MAHAMPSHATFIEL,MANORFOBRAINTR_x000D_
issue:_x000D_
.recs:Birth,Marriage,Death_x000D_
.imm?:no_x000D_
..Spo:MARY BUNCE</t>
        </r>
      </text>
    </comment>
    <comment ref="N6626" authorId="0" shapeId="0" xr:uid="{BEC64953-8C9E-4143-B756-30BDE3D86BB4}">
      <text>
        <r>
          <rPr>
            <sz val="9"/>
            <color indexed="81"/>
            <rFont val="Tahoma"/>
            <family val="2"/>
          </rPr>
          <t>SARAH CATHERINE BEARDSLEY_x000D_
http://yeinfo.com/family/I09005897.html_x000D_
https://www.google.com/search?q=SARAH+CATHERINE+BEARDSLEY+1613+1651+MEEKINS_x000D_
.born:a16130606-          England_x000D_
.died: 16510121-          Roxbury (Suffolk) Massachusetts, age:37y 7m 15d, _x000D_
.bapt: 1785GE_x000D_
.will: 2004MO_x000D_
.obit: 1890OH_x000D_
.bury: 1850IL _x000D_
.wpbt: 1826PA_x000D_
.anc#:  quadruple ancestor_x000D_
citiz:immigrant_x000D_
#spos:1_x000D_
#srcs:10_x000D_
#comment:1_x000D_
#events:1_x000D_
#kids:2_x000D_
lived:?CTHARTF,EN,MASUFFOROXBURY_x000D_
issue:_x000D_
.recs:Birth,Marriage,Death_x000D_
.imm?:immigrant_x000D_
..Spo:THOMAS MEEKINS</t>
        </r>
      </text>
    </comment>
    <comment ref="L6628" authorId="0" shapeId="0" xr:uid="{CEDABAA1-4331-4506-BDEE-C2298CCA4BE0}">
      <text>
        <r>
          <rPr>
            <sz val="9"/>
            <color indexed="81"/>
            <rFont val="Tahoma"/>
            <family val="2"/>
          </rPr>
          <t>JOHN MEEKINGS_x000D_
http://yeinfo.com/family/I09001474.html_x000D_
https://www.google.com/search?q=JOHN+MEEKINGS+1672+1754+RUTH_x000D_
.born: 16720112-         ?Massachusetts_x000D_
.died: 1754    -         ?Massachusetts, age:81y 11m 20d, _x000D_
.bapt: 1785GE_x000D_
.will: 2004MO_x000D_
.obit: 1890OH_x000D_
.bury: 1850IL _x000D_
.wpbt: 1826PA_x000D_
.anc#:double ancestor_x000D_
citiz:US born_x000D_
#spos:1_x000D_
#srcs:10_x000D_
#comment:0_x000D_
#events:1_x000D_
#kids:1_x000D_
lived:?MA_x000D_
issue:_x000D_
.recs:Birth,Marriage,Death_x000D_
.imm?:no_x000D_
..Spo:RUTH BELKNAP</t>
        </r>
      </text>
    </comment>
    <comment ref="N6630" authorId="0" shapeId="0" xr:uid="{50D623EF-4D99-4EC0-B353-FF0941379A2E}">
      <text>
        <r>
          <rPr>
            <sz val="9"/>
            <color indexed="81"/>
            <rFont val="Tahoma"/>
            <family val="2"/>
          </rPr>
          <t>THOMAS BUNCE_x000D_
http://yeinfo.com/family/I09005898.html_x000D_
https://www.google.com/search?q=THOMAS+BUNCE+1612+1683+SARAH_x000D_
.born: 1612    -          Westhorpe (Suffolk) England_x000D_
.died: 168308  -          Hartford (Hartford) Connecticut, age:71y 7m 0d, _x000D_
.bapt: 1785GE_x000D_
.will: 2004MO_x000D_
.obit: 1890OH_x000D_
.bury: 1850IL _x000D_
.wpbt: 1826PA_x000D_
.anc#:double ancestor_x000D_
citiz:immigrant_x000D_
#spos:1_x000D_
#srcs:10_x000D_
#comment:0_x000D_
#events:1_x000D_
#kids:5_x000D_
lived:CTHARTFHARTFOR,ENSUFFOWESTHOR_x000D_
issue:_x000D_
.recs:Birth,Marriage,Death_x000D_
.imm?:immigrant_x000D_
..Spo:SARAH BUNCE</t>
        </r>
      </text>
    </comment>
    <comment ref="M6632" authorId="0" shapeId="0" xr:uid="{C3E355F3-8DCC-4A3A-9FCD-149FA7C243F0}">
      <text>
        <r>
          <rPr>
            <sz val="9"/>
            <color indexed="81"/>
            <rFont val="Tahoma"/>
            <family val="2"/>
          </rPr>
          <t>MARY BUNCE_x000D_
http://yeinfo.com/family/I09002949.html_x000D_
https://www.google.com/search?q=MARY+BUNCE+1645+1672+MEEKINGS_x000D_
.born: 16450917-          Hartford county Connecticut_x000D_
.died: 1672    -1735      Hartford (Hartford) Connecticut, age:26y 3m 15d, _x000D_
.bapt: 1785GE_x000D_
.will: 2004MO_x000D_
.obit: 1890OH_x000D_
.bury: 1850IL _x000D_
.wpbt: 1826PA_x000D_
.anc#:double ancestor_x000D_
citiz:US born_x000D_
#spos:1_x000D_
#srcs:10_x000D_
#comment:0_x000D_
#events:1_x000D_
#kids:1_x000D_
lived:?MAHAMPS,CTHARTFHARTFOR_x000D_
issue:_x000D_
.recs:Birth,Marriage,Death_x000D_
.imm?:no_x000D_
..Spo:THOMAS MEEKINGS</t>
        </r>
      </text>
    </comment>
    <comment ref="N6634" authorId="0" shapeId="0" xr:uid="{470B1FA8-26CC-4C8A-8C84-C14BE40B1994}">
      <text>
        <r>
          <rPr>
            <sz val="9"/>
            <color indexed="81"/>
            <rFont val="Tahoma"/>
            <family val="2"/>
          </rPr>
          <t>Mrs. SARAH BUNCE_x000D_
http://yeinfo.com/family/I09005899.html_x000D_
https://www.google.com/search?q=SARAH+BUNCE+1612+1692+BUNCE_x000D_
.born:c1612    -          London (Middlesex) England_x000D_
.died: 16920102-          Hartford (Hartford) Connecticut, age:80y 0m 1d, _x000D_
.bapt: 1785GE_x000D_
.will: 2004MO_x000D_
.obit: 1890OH_x000D_
.bury: 1850IL _x000D_
.wpbt: 1826PA_x000D_
.anc#:double ancestor_x000D_
citiz:immigrant_x000D_
#spos:1_x000D_
#srcs:10_x000D_
#comment:0_x000D_
#events:1_x000D_
#kids:5_x000D_
lived:CTHARTFHARTFOR,ENMIDDLLONDON_x000D_
issue:_x000D_
.recs:Birth,Marriage,Death_x000D_
.imm?:immigrant_x000D_
..Spo:THOMAS BUNCE</t>
        </r>
      </text>
    </comment>
    <comment ref="K6636" authorId="0" shapeId="0" xr:uid="{5D94BFF4-E59C-4668-9E2C-9F78246D2A1A}">
      <text>
        <r>
          <rPr>
            <sz val="9"/>
            <color indexed="81"/>
            <rFont val="Tahoma"/>
            <family val="2"/>
          </rPr>
          <t>SARAH MARY MEEKINS_x000D_
http://yeinfo.com/family/I09000737.html_x000D_
https://www.google.com/search?q=SARAH+MARY+MEEKINS+1693+1777+MILLER_x000D_
.born: 16930514-          Hatfield (Hampshire) Massachusetts_x000D_
.died: 17770221-          Springfield (Hampden) Massachusetts, age:83y 9m 7d, _x000D_
.bapt: 1785GE_x000D_
.will: 2004MO_x000D_
.obit: 1890OH_x000D_
.bury: 1850IL _x000D_
.wpbt: 1826PA_x000D_
.anc#:double ancestor_x000D_
citiz:US born_x000D_
#spos:1_x000D_
#srcs:4_x000D_
#comment:0_x000D_
#events:2_x000D_
#kids:1_x000D_
lived:MAHAMPDSPRINGF,MAHAMPSHATFIEL_x000D_
issue:_x000D_
.recs:Birth,Marriage Intention/Bonds,Death_x000D_
.imm?:no_x000D_
..Spo:THOMAS MILLER</t>
        </r>
      </text>
    </comment>
    <comment ref="M6638" authorId="0" shapeId="0" xr:uid="{A8297002-2BA0-4249-896C-BAEAAC0EE8A5}">
      <text>
        <r>
          <rPr>
            <sz val="9"/>
            <color indexed="81"/>
            <rFont val="Tahoma"/>
            <family val="2"/>
          </rPr>
          <t>JOSEPH BELKNAP Sr._x000D_
http://yeinfo.com/family/I09002950.html_x000D_
https://www.google.com/search?q=JOSEPH+BELKNAP+1633+1712+HANNAH+Ingalls_x000D_
.born: 16330512-          Sawbridgeworth (Hertfordshire) England_x000D_
.died: 17121114-          Boston (Suffolk) Massachusetts, age:79y 6m 2d, _x000D_
.bapt: 1785GE_x000D_
.will: 2004MO_x000D_
.obit: 1890OH_x000D_
.bury: 1850IL _x000D_
.wpbt: 1826PA_x000D_
.anc#:double ancestor_x000D_
citiz:immigrant_x000D_
#spos:2_x000D_
#srcs:10_x000D_
#comment:1_x000D_
#events:2_x000D_
#kids:1_x000D_
lived:?MASUFFOBOSTON,ENHERTFSAWBRID_x000D_
issue:_x000D_
.recs:Birth,Marriage,Death_x000D_
.imm?:immigrant_x000D_
..Spo:HANNAH MEEKINS</t>
        </r>
      </text>
    </comment>
    <comment ref="L6640" authorId="0" shapeId="0" xr:uid="{97A6F37A-9827-4B64-B424-0FF689CDFFED}">
      <text>
        <r>
          <rPr>
            <sz val="9"/>
            <color indexed="81"/>
            <rFont val="Tahoma"/>
            <family val="2"/>
          </rPr>
          <t>RUTH BELKNAP_x000D_
http://yeinfo.com/family/I09001475.html_x000D_
https://www.google.com/search?q=RUTH+BELKNAP+1672+1767+MEEKINGS_x000D_
.born: 1672    -          Massachusetts_x000D_
.died:c1767    -         ?Massachusetts, age:95y 0m 0d, _x000D_
.bapt: 1785GE_x000D_
.will: 2004MO_x000D_
.obit: 1890OH_x000D_
.bury: 1850IL _x000D_
.wpbt: 1826PA_x000D_
.anc#:double ancestor_x000D_
citiz:US born_x000D_
#spos:1_x000D_
#srcs:10_x000D_
#comment:0_x000D_
#events:1_x000D_
#kids:1_x000D_
lived:MA_x000D_
issue:_x000D_
.recs:Birth,Marriage,Death_x000D_
.imm?:no_x000D_
..Spo:JOHN MEEKINGS</t>
        </r>
      </text>
    </comment>
    <comment ref="P6642" authorId="0" shapeId="0" xr:uid="{B2E258A5-98E4-4695-A61B-B24A5B2EE46E}">
      <text>
        <r>
          <rPr>
            <sz val="9"/>
            <color indexed="81"/>
            <rFont val="Tahoma"/>
            <family val="2"/>
          </rPr>
          <t>THOMAS MEEKINS_x000D_
http://yeinfo.com/family/I09023584.html_x000D_
https://www.google.com/search?q=THOMAS+MEEKINS+1550+1646+HELLEN_x000D_
.born: 1550    -          England_x000D_
.died: 16460504-          Northamptonshire county England, age:96y 4m 3d, _x000D_
.bapt: 1785GE_x000D_
.will: 2004MO_x000D_
.obit: 1890OH_x000D_
.bury: 1850IL _x000D_
.wpbt: 1826PA_x000D_
.anc#:  quadruple ancestor_x000D_
citiz:foreign_x000D_
#spos:1_x000D_
#srcs:10_x000D_
#comment:1_x000D_
#events:1_x000D_
#kids:1_x000D_
lived:ENNORTA_x000D_
issue:_x000D_
.recs:Birth,Marriage,Death_x000D_
.imm?:no_x000D_
..Spo:HELLEN GREENE</t>
        </r>
      </text>
    </comment>
    <comment ref="O6644" authorId="0" shapeId="0" xr:uid="{611CDFA4-1E6A-4F24-900C-6C28C534226D}">
      <text>
        <r>
          <rPr>
            <sz val="9"/>
            <color indexed="81"/>
            <rFont val="Tahoma"/>
            <family val="2"/>
          </rPr>
          <t>THOMAS MEEKINS_x000D_
http://yeinfo.com/family/I09011792.html_x000D_
https://www.google.com/search?q=THOMAS+MEEKINS+1585+1656+KATHERINE_x000D_
.born:c1585    -          Achurch (Northamptonshire) England_x000D_
.died:c1656    -          Boston (Suffolk) Massachusetts, age:71y 0m 0d, _x000D_
.bapt: 1785GE_x000D_
.will: 2004MO_x000D_
.obit: 1890OH_x000D_
.bury: 1850IL _x000D_
.wpbt: 1826PA_x000D_
.anc#:  quadruple ancestor_x000D_
citiz:immigrant_x000D_
#spos:1_x000D_
#srcs:10_x000D_
#comment:0_x000D_
#events:1_x000D_
#kids:1_x000D_
lived:ENNORTAACHURCH,MASUFFOBOSTON_x000D_
issue:_x000D_
.recs:Birth,Marriage,Death_x000D_
.imm?:immigrant_x000D_
..Spo:KATHERINE GREENE</t>
        </r>
      </text>
    </comment>
    <comment ref="P6646" authorId="0" shapeId="0" xr:uid="{AC9B2A67-0F9C-43D9-90B7-83B3BAA9ADD3}">
      <text>
        <r>
          <rPr>
            <sz val="9"/>
            <color indexed="81"/>
            <rFont val="Tahoma"/>
            <family val="2"/>
          </rPr>
          <t>HELLEN GREENE_x000D_
http://yeinfo.com/family/I09023585.html_x000D_
https://www.google.com/search?q=HELLEN+GREENE+1553+1636+MEEKINS_x000D_
.born: 1553    -         ?England_x000D_
.died: 1636    -         ?Suffolk county Massachusetts, age:83y 0m 0d, _x000D_
.bapt: 1785GE_x000D_
.will: 2004MO_x000D_
.obit: 1890OH_x000D_
.bury: 1850IL _x000D_
.wpbt: 1826PA_x000D_
.anc#:  quadruple ancestor_x000D_
citiz:immigrant_x000D_
#spos:1_x000D_
#srcs:10_x000D_
#comment:0_x000D_
#events:1_x000D_
#kids:1_x000D_
lived:?EN,?MASUFFO_x000D_
issue:_x000D_
.recs:Birth,Marriage,Death_x000D_
.imm?:immigrant_x000D_
..Spo:THOMAS MEEKINS</t>
        </r>
      </text>
    </comment>
    <comment ref="N6648" authorId="0" shapeId="0" xr:uid="{9D86F6BD-61CF-465D-8C0D-FDEE764F97FD}">
      <text>
        <r>
          <rPr>
            <sz val="9"/>
            <color indexed="81"/>
            <rFont val="Tahoma"/>
            <family val="2"/>
          </rPr>
          <t>THOMAS MEEKINS_x000D_
http://yeinfo.com/family/I09005896.html_x000D_
https://www.google.com/search?q=THOMAS+MEEKINS+1609+1687+SARAH+CATHERINE_x000D_
.born:c1609    -          Achurch (Northamptonshire) England_x000D_
.died: 16871210-          Hatfield (Hampshire) Massachusetts, age:78y 11m 9d, _x000D_
.bapt: 1785GE_x000D_
.will: 2004MO_x000D_
.obit: 1890OH_x000D_
.bury: 1850IL _x000D_
.wpbt: 1826PA_x000D_
.anc#:  quadruple ancestor_x000D_
citiz:immigrant_x000D_
#spos:1_x000D_
#srcs:10_x000D_
#comment:0_x000D_
#events:1_x000D_
#kids:2_x000D_
lived:?CTHARTF,ENNORTAACHURCH,MAHAMPSHATFIEL_x000D_
issue:_x000D_
.recs:Birth,Marriage,Death_x000D_
.imm?:immigrant_x000D_
..Spo:SARAH CATHERINE BEARDSLEY</t>
        </r>
      </text>
    </comment>
    <comment ref="O6650" authorId="0" shapeId="0" xr:uid="{258CC755-5D08-4438-9E4C-0EA7B643A6ED}">
      <text>
        <r>
          <rPr>
            <sz val="9"/>
            <color indexed="81"/>
            <rFont val="Tahoma"/>
            <family val="2"/>
          </rPr>
          <t>KATHERINE GREENE_x000D_
http://yeinfo.com/family/I09011793.html_x000D_
https://www.google.com/search?q=KATHERINE+GREENE+1584+1651+MEEKINS_x000D_
.born: 1584    -          Achurch (Northamptonshire) England_x000D_
.died: 16510203-          Roxbury (Suffolk) Massachusetts, age:67y 1m 2d, _x000D_
.bapt: 1785GE_x000D_
.will: 2004MO_x000D_
.obit: 1890OH_x000D_
.bury: 1850IL _x000D_
.wpbt: 1826PA_x000D_
.anc#:  quadruple ancestor_x000D_
citiz:immigrant_x000D_
#spos:1_x000D_
#srcs:10_x000D_
#comment:1_x000D_
#events:1_x000D_
#kids:1_x000D_
lived:ENNORTAACHURCH,MASUFFOROXBURY_x000D_
issue:_x000D_
.recs:Birth,Marriage,Death_x000D_
.imm?:immigrant_x000D_
..Spo:THOMAS MEEKINS</t>
        </r>
      </text>
    </comment>
    <comment ref="M6652" authorId="0" shapeId="0" xr:uid="{28149BA3-1B5F-4510-82FF-5A3769D8050F}">
      <text>
        <r>
          <rPr>
            <sz val="9"/>
            <color indexed="81"/>
            <rFont val="Tahoma"/>
            <family val="2"/>
          </rPr>
          <t>HANNAH MEEKINS_x000D_
http://yeinfo.com/family/I09002951.html_x000D_
https://www.google.com/search?q=HANNAH+MEEKINS+1647+1688+BELKNAP_x000D_
.born: 16470313-          Roxbury (Suffolk) Massachusetts_x000D_
.died: 16881226-          Roxbury (Suffolk) Massachusetts, age:41y 9m 13d, _x000D_
.bapt: 1785GE_x000D_
.will: 2004MO_x000D_
.obit: 1890OH_x000D_
.bury: 1850IL _x000D_
.wpbt: 1826PA_x000D_
.anc#:double ancestor_x000D_
citiz:US born_x000D_
#spos:1_x000D_
#srcs:10_x000D_
#comment:0_x000D_
#events:1_x000D_
#kids:1_x000D_
lived:?MASUFFOBOSTON,MASUFFOROXBURY_x000D_
issue:Died after Age 100_x000D_
.recs:Birth,Marriage,Death_x000D_
.imm?:no_x000D_
..Spo:JOSEPH BELKNAP</t>
        </r>
      </text>
    </comment>
    <comment ref="N6654" authorId="0" shapeId="0" xr:uid="{808EC6E4-8CF1-426E-8CA2-5101034FE8B9}">
      <text>
        <r>
          <rPr>
            <sz val="9"/>
            <color indexed="81"/>
            <rFont val="Tahoma"/>
            <family val="2"/>
          </rPr>
          <t>SARAH CATHERINE BEARDSLEY_x000D_
http://yeinfo.com/family/I09005897.html_x000D_
https://www.google.com/search?q=SARAH+CATHERINE+BEARDSLEY+1613+1651+MEEKINS_x000D_
.born:a16130606-          England_x000D_
.died: 16510121-          Roxbury (Suffolk) Massachusetts, age:37y 7m 15d, _x000D_
.bapt: 1785GE_x000D_
.will: 2004MO_x000D_
.obit: 1890OH_x000D_
.bury: 1850IL _x000D_
.wpbt: 1826PA_x000D_
.anc#:  quadruple ancestor_x000D_
citiz:immigrant_x000D_
#spos:1_x000D_
#srcs:10_x000D_
#comment:1_x000D_
#events:1_x000D_
#kids:2_x000D_
lived:?CTHARTF,EN,MASUFFOROXBURY_x000D_
issue:_x000D_
.recs:Birth,Marriage,Death_x000D_
.imm?:immigrant_x000D_
..Spo:THOMAS MEEKINS</t>
        </r>
      </text>
    </comment>
    <comment ref="I6656" authorId="0" shapeId="0" xr:uid="{82A51C06-DC79-4770-8026-B8FB6D1B961D}">
      <text>
        <r>
          <rPr>
            <sz val="9"/>
            <color indexed="81"/>
            <rFont val="Tahoma"/>
            <family val="2"/>
          </rPr>
          <t>THADDEUS MILLER_x000D_
http://yeinfo.com/family/I09000184.html_x000D_
https://www.google.com/search?q=THADDEUS+MILLER+1764+1842+MOLLY\MARY_x000D_
.born: 17640805-          West Springfield (Hampden) Massachusetts_x000D_
.died: 18420813-          Brattleboro (Windham) Vermont, age:78y 0m 8d, _x000D_
.bapt: 1785GE_x000D_
.will: 2004MO_x000D_
.obit: 1890OH_x000D_
.bury: 1850IL West Brattleboro Cemetery_x000D_
.wpbt: 1826PA_x000D_
.anc#:ancestor_x000D_
citiz:US born_x000D_
#spos:1_x000D_
#srcs:6_x000D_
#comment:1_x000D_
#events:13_x000D_
#kids:11_x000D_
lived:MAHAMPDW.SPRIN,VTWINDHBRATTLB,VTWINDHDUMMERS,VTWINDHMARLBOR_x000D_
issue:_x000D_
.recs:Birth,Baptism,Military,Marriage,Death,Interment/Burial_x000D_
.imm?:no_x000D_
..Spo:MOLLY\MARY PRATT</t>
        </r>
      </text>
    </comment>
    <comment ref="J6658" authorId="0" shapeId="0" xr:uid="{E29B7C23-03FD-4EDE-9749-A473CF1B4AE5}">
      <text>
        <r>
          <rPr>
            <sz val="9"/>
            <color indexed="81"/>
            <rFont val="Tahoma"/>
            <family val="2"/>
          </rPr>
          <t>Mrs. ANNAH MILLER_x000D_
http://yeinfo.com/family/I09000369.html_x000D_
https://www.google.com/search?q=ANNAH+MILLER+1733+1807+MILLER_x000D_
.born: 17330327-          Brimfield (Hampden) Massachusetts_x000D_
.died: 18070715-         ?Marlborough (Windham) Vermont, age:74y 3m 18d, _x000D_
.bapt: 1785GE_x000D_
.will: 2004MO_x000D_
.obit: 1890OH_x000D_
.bury: 1850IL Marlboro Center Cemetery_x000D_
.wpbt: 1826PA_x000D_
.anc#:double ancestor_x000D_
citiz:US born_x000D_
#spos:1_x000D_
#srcs:1_x000D_
#comment:1_x000D_
#events:3_x000D_
#kids:7_x000D_
lived:?VTWINDHMARLBOR,MAHAMPDBRIMFIE,MAHAMPDSPRINGF_x000D_
issue:_x000D_
.recs:Birth,Baptism,Marriage,Death,Interment/Burial_x000D_
.imm?:no_x000D_
..Spo:DAVID MILLER</t>
        </r>
      </text>
    </comment>
    <comment ref="H6660" authorId="0" shapeId="0" xr:uid="{E4F7EE2C-16A8-4F17-9A0D-6270E0E08440}">
      <text>
        <r>
          <rPr>
            <sz val="9"/>
            <color indexed="81"/>
            <rFont val="Tahoma"/>
            <family val="2"/>
          </rPr>
          <t>ELI MILLER_x000D_
http://yeinfo.com/family/I09000092.html_x000D_
https://www.google.com/search?q=ELI+MILLER+1790+1862+SALLY\MERCY_x000D_
.born: 17901118-          Marlborough (Windham) Vermont_x000D_
.died: 18621027-          Brattleboro (Windham) Vermont, age:71y 11m 9d, consumption_x000D_
.bapt: 1785GE_x000D_
.will: 2004MO_x000D_
.obit: 1890OH_x000D_
.bury: 1850IL _x000D_
.wpbt: 1826PA_x000D_
.anc#:ancestor_x000D_
citiz:US born_x000D_
#spos:1_x000D_
#srcs:10_x000D_
#comment:0_x000D_
#events:10_x000D_
#kids:10_x000D_
lived:VTWINDHBRATTLB,VTWINDHDUMMERS,VTWINDHMARLBOR_x000D_
issue:_x000D_
.recs:Birth,Marriage,Job/Occupation,Death_x000D_
.imm?:no_x000D_
..Spo:SALLY\MERCY CARTER</t>
        </r>
      </text>
    </comment>
    <comment ref="N6662" authorId="0" shapeId="0" xr:uid="{EDB09E69-4E37-442B-A594-933FCAE0011B}">
      <text>
        <r>
          <rPr>
            <sz val="9"/>
            <color indexed="81"/>
            <rFont val="Tahoma"/>
            <family val="2"/>
          </rPr>
          <t>THOMAS PRATT Sr._x000D_
http://yeinfo.com/family/I09005544.html_x000D_
https://www.google.com/search?q=THOMAS+PRATT+1605+1706+{_?_}_x000D_
.born:c1605    -          England_x000D_
.died: 17060208-         ?Waterton (Middlesex) Massachusetts, age:101y 1m 7d, _x000D_
.bapt: 1785GE_x000D_
.will: 2004MO_x000D_
.obit: 1890OH_x000D_
.bury: 1850IL _x000D_
.wpbt: 1826PA_x000D_
.anc#:double ancestor_x000D_
citiz:immigrant_x000D_
#spos:1_x000D_
#srcs:3_x000D_
#comment:0_x000D_
#events:1_x000D_
#kids:1_x000D_
lived:?MAMIDDLWATERTO,EN_x000D_
issue:Married after Age 60_x000D_
.recs:Birth,Marriage,Death_x000D_
.imm?:immigrant_x000D_
..Spo:{_?_} PRATT</t>
        </r>
      </text>
    </comment>
    <comment ref="M6664" authorId="0" shapeId="0" xr:uid="{9B9DCC80-B0E6-4A9D-AA1F-FDBFEF7C2BA2}">
      <text>
        <r>
          <rPr>
            <sz val="9"/>
            <color indexed="81"/>
            <rFont val="Tahoma"/>
            <family val="2"/>
          </rPr>
          <t>THOMAS PRATT Jr._x000D_
http://yeinfo.com/family/I09002772.html_x000D_
https://www.google.com/search?q=THOMAS+PRATT+1633+1692+SUSANNAH+PAGE_x000D_
.born:?1633    -         ?Framingham (Middlesex) Massachusetts_x000D_
.died: 16920926-          Sherborn (Middlesex) Massachusetts, age:59y 8m 25d, _x000D_
.bapt: 1785GE_x000D_
.will: 2004MO_x000D_
.obit: 1890OH_x000D_
.bury: 1850IL _x000D_
.wpbt: 1826PA_x000D_
.anc#:double ancestor_x000D_
citiz:US born_x000D_
#spos:1_x000D_
#srcs:12_x000D_
#comment:0_x000D_
#events:10_x000D_
#kids:11_x000D_
lived:?MAMIDDLFRAMING,?MAMIDDLWATERTO,MAMIDDLSHERBOR,MANORFOWEYMOUT_x000D_
issue:_x000D_
.recs:Birth,Marriage,Death,Land Transaction,Freeman,Oath Taken,Inventory,Estate_x000D_
.imm?:no_x000D_
..Spo:SUSANNAH PAGE GLEASON</t>
        </r>
      </text>
    </comment>
    <comment ref="N6666" authorId="0" shapeId="0" xr:uid="{8046F681-C821-4609-B825-3C840D96C19A}">
      <text>
        <r>
          <rPr>
            <sz val="9"/>
            <color indexed="81"/>
            <rFont val="Tahoma"/>
            <family val="2"/>
          </rPr>
          <t>Mrs. {_?_} PRATT_x000D_
http://yeinfo.com/family/I09005545.html_x000D_
https://www.google.com/search?q={_?_}+PRATT+1605+1633+PRATT_x000D_
.born:c1605    -          England_x000D_
.died: 1633    -1695     ?Middlesex county Massachusetts, age:28y 0m 0d, _x000D_
.bapt: 1785GE_x000D_
.will: 2004MO_x000D_
.obit: 1890OH_x000D_
.bury: 1850IL _x000D_
.wpbt: 1826PA_x000D_
.anc#:double ancestor_x000D_
citiz:immigrant_x000D_
#spos:1_x000D_
#srcs:2_x000D_
#comment:0_x000D_
#events:1_x000D_
#kids:1_x000D_
lived:?MAMIDDL,EN_x000D_
issue:_x000D_
.recs:Birth,Marriage,Death_x000D_
.imm?:immigrant_x000D_
..Spo:THOMAS PRATT</t>
        </r>
      </text>
    </comment>
    <comment ref="L6668" authorId="0" shapeId="0" xr:uid="{A9D8925E-06E3-42ED-BD8D-88C7AB745B19}">
      <text>
        <r>
          <rPr>
            <sz val="9"/>
            <color indexed="81"/>
            <rFont val="Tahoma"/>
            <family val="2"/>
          </rPr>
          <t>JOHN PRATT_x000D_
http://yeinfo.com/family/I09001480.html_x000D_
https://www.google.com/search?q=JOHN+PRATT+1665+1705+RUTH_x000D_
.born: 1665    -          Waterton (Middlesex) Massachusetts_x000D_
.died: 1705    -1755     ?Massachusetts, age:40y 0m 0d, _x000D_
.bapt: 1785GE_x000D_
.will: 2004MO_x000D_
.obit: 1890OH_x000D_
.bury: 1850IL _x000D_
.wpbt: 1826PA_x000D_
.anc#:ancestor_x000D_
citiz:US born_x000D_
#spos:1_x000D_
#srcs:2_x000D_
#comment:0_x000D_
#events:1_x000D_
#kids:7_x000D_
lived:MAMIDDLWATERTO_x000D_
issue:_x000D_
.recs:Birth,Marriage,Death_x000D_
.imm?:no_x000D_
..Spo:RUTH STIMSON</t>
        </r>
      </text>
    </comment>
    <comment ref="O6670" authorId="0" shapeId="0" xr:uid="{44E59598-2AB6-4122-B747-AACC1D9B7BFF}">
      <text>
        <r>
          <rPr>
            <sz val="9"/>
            <color indexed="81"/>
            <rFont val="Tahoma"/>
            <family val="2"/>
          </rPr>
          <t>THOMAS GLEASON_x000D_
http://yeinfo.com/family/I09011092.html_x000D_
https://www.google.com/search?q=THOMAS+GLEASON+1572+1609+ANNE_x000D_
.born: 1572    -          Cockfield (Suffolk) England_x000D_
.died: 16090322-          Cockfield (Suffolk) England, age:37y 2m 21d, _x000D_
.bapt: 1785GE_x000D_
.will: 2004MO_x000D_
.obit: 1890OH_x000D_
.bury: 1850IL _x000D_
.wpbt: 1826PA_x000D_
.anc#:double ancestor_x000D_
citiz:foreign_x000D_
#spos:1_x000D_
#srcs:2_x000D_
#comment:0_x000D_
#events:1_x000D_
#kids:1_x000D_
lived:ENSUFFOCOCKFIE_x000D_
issue:_x000D_
.recs:Birth,Marriage,Death_x000D_
.imm?:no_x000D_
..Spo:ANNE ARMESBY</t>
        </r>
      </text>
    </comment>
    <comment ref="N6672" authorId="0" shapeId="0" xr:uid="{59E744B1-5337-4D41-8781-90FC456F3921}">
      <text>
        <r>
          <rPr>
            <sz val="9"/>
            <color indexed="81"/>
            <rFont val="Tahoma"/>
            <family val="2"/>
          </rPr>
          <t>THOMAS GLEASON_x000D_
http://yeinfo.com/family/I09005546.html_x000D_
https://www.google.com/search?q=THOMAS+GLEASON+1609+1686+SUSAN_x000D_
.born:?1609    -          Sulgrave (Northamptonshire) England_x000D_
.died: 1686    -          Cambridge (Middlesex) Massachusetts, age:77y 0m 0d, _x000D_
.bapt: 1785GE_x000D_
.will: 2004MO_x000D_
.obit: 1890OH_x000D_
.bury: 1850IL _x000D_
.wpbt: 1826PA_x000D_
.anc#:double ancestor_x000D_
citiz:immigrant_x000D_
#spos:1_x000D_
#srcs:1_x000D_
#comment:0_x000D_
#events:1_x000D_
#kids:11_x000D_
lived:ENNORTASULGRAV,MAMIDDLCAMBRID_x000D_
issue:_x000D_
.recs:Birth,Marriage,Death_x000D_
.imm?:immigrant_x000D_
..Spo:SUSAN PAGE</t>
        </r>
      </text>
    </comment>
    <comment ref="P6674" authorId="0" shapeId="0" xr:uid="{1A0DB11E-037D-47C1-9AEC-98AE8B25B21F}">
      <text>
        <r>
          <rPr>
            <sz val="9"/>
            <color indexed="81"/>
            <rFont val="Tahoma"/>
            <family val="2"/>
          </rPr>
          <t>JOHN ARMESBY_x000D_
http://yeinfo.com/family/I09022186.html_x000D_
https://www.google.com/search?q=JOHN+ARMESBY+1545+1585+FRANCES+ARMESBY_x000D_
.born:c1545    -          Suffolk county England_x000D_
.died: 1585    -1635      Cockfield (Suffolk) England, age:40y 0m 0d, _x000D_
.bapt: 1785GE_x000D_
.will: 2004MO_x000D_
.obit: 1890OH_x000D_
.bury: 1850IL _x000D_
.wpbt: 1826PA_x000D_
.anc#:double ancestor_x000D_
citiz:foreign_x000D_
#spos:2_x000D_
#srcs:1_x000D_
#comment:0_x000D_
#events:2_x000D_
#kids:9_x000D_
lived:ENSUFFOCOCKFIE_x000D_
issue:Married before Age 16,Died before Birth_x000D_
.recs:Birth,Marriage,Death_x000D_
.imm?:no_x000D_
..Spo:FRANCES FROST</t>
        </r>
      </text>
    </comment>
    <comment ref="O6676" authorId="0" shapeId="0" xr:uid="{3C83CB28-ECE1-449E-8379-188A8FA614AA}">
      <text>
        <r>
          <rPr>
            <sz val="9"/>
            <color indexed="81"/>
            <rFont val="Tahoma"/>
            <family val="2"/>
          </rPr>
          <t>ANNE ARMESBY_x000D_
http://yeinfo.com/family/I09011093.html_x000D_
https://www.google.com/search?q=ANNE+ARMESBY+1572+1699+GLEASON_x000D_
.born:?1572    -          Cockfield (Suffolk) England_x000D_
.died: 1699    -1662      Cockfield (Suffolk) England, age:127y 0m 0d, _x000D_
.bapt: 1785GE_x000D_
.will: 2004MO_x000D_
.obit: 1890OH_x000D_
.bury: 1850IL _x000D_
.wpbt: 1826PA_x000D_
.anc#:double ancestor_x000D_
citiz:foreign_x000D_
#spos:1_x000D_
#srcs:1_x000D_
#comment:0_x000D_
#events:1_x000D_
#kids:1_x000D_
lived:ENSUFFOCOCKFIE_x000D_
issue:Married after Age 60_x000D_
.recs:Birth,Marriage,Death_x000D_
.imm?:no_x000D_
..Spo:THOMAS GLEASON</t>
        </r>
      </text>
    </comment>
    <comment ref="P6678" authorId="0" shapeId="0" xr:uid="{0FE193AB-5BDE-4C6D-9B7F-B184BCA0F7BA}">
      <text>
        <r>
          <rPr>
            <sz val="9"/>
            <color indexed="81"/>
            <rFont val="Tahoma"/>
            <family val="2"/>
          </rPr>
          <t>FRANCES FROST_x000D_
http://yeinfo.com/family/I09022187.html_x000D_
https://www.google.com/search?q=FRANCES+FROST+1555+1575+ARMESBY_x000D_
.born:c1555    -          Suffolk county England_x000D_
.died: 1575    -1645      Cockfield (Suffolk) England, age:20y 0m 0d, _x000D_
.bapt: 1785GE_x000D_
.will: 2004MO_x000D_
.obit: 1890OH_x000D_
.bury: 1850IL _x000D_
.wpbt: 1826PA_x000D_
.anc#:double ancestor_x000D_
citiz:foreign_x000D_
#spos:1_x000D_
#srcs:1_x000D_
#comment:0_x000D_
#events:1_x000D_
#kids:9_x000D_
lived:ENSUFFOCOCKFIE_x000D_
issue:Died after Age 100_x000D_
.recs:Birth,Marriage,Death_x000D_
.imm?:no_x000D_
..Spo:JOHN ARMESBY</t>
        </r>
      </text>
    </comment>
    <comment ref="M6680" authorId="0" shapeId="0" xr:uid="{4393C5CA-E85C-4A13-9E52-71C6A79F981A}">
      <text>
        <r>
          <rPr>
            <sz val="9"/>
            <color indexed="81"/>
            <rFont val="Tahoma"/>
            <family val="2"/>
          </rPr>
          <t>SUSANNAH PAGE GLEASON_x000D_
http://yeinfo.com/family/I09002773.html_x000D_
https://www.google.com/search?q=SUSANNAH+PAGE+GLEASON+1635+1677+PRATT_x000D_
.born:a16351013-          Cockfield (Suffolk) England_x000D_
.died: 1677    -1720      Sherborn (Middlesex) Massachusetts, age:41y 2m 19d, _x000D_
.bapt: 1785GE_x000D_
.will: 2004MO_x000D_
.obit: 1890OH_x000D_
.bury: 1850IL _x000D_
.wpbt: 1826PA_x000D_
.anc#:double ancestor_x000D_
citiz:immigrant_x000D_
#spos:1_x000D_
#srcs:6_x000D_
#comment:0_x000D_
#events:2_x000D_
#kids:11_x000D_
lived:ENSUFFOCOCKFIE,MAMIDDLSHERBOR,MAMIDDLWATERTO_x000D_
issue:_x000D_
.recs:Birth,Baptism,Marriage,Death_x000D_
.imm?:immigrant_x000D_
..Spo:THOMAS PRATT</t>
        </r>
      </text>
    </comment>
    <comment ref="N6682" authorId="0" shapeId="0" xr:uid="{512DB9D5-F566-4182-B624-6347CA92B430}">
      <text>
        <r>
          <rPr>
            <sz val="9"/>
            <color indexed="81"/>
            <rFont val="Tahoma"/>
            <family val="2"/>
          </rPr>
          <t>SUSAN PAGE_x000D_
http://yeinfo.com/family/I09005547.html_x000D_
https://www.google.com/search?q=SUSAN+PAGE+1614+1681+GLEASON_x000D_
.born:?1614    -          Ingham (Suffolk) England_x000D_
.died: 16810124-          Boston (Suffolk) Massachusetts, age:67y 0m 23d, _x000D_
.bapt: 1785GE_x000D_
.will: 2004MO_x000D_
.obit: 1890OH_x000D_
.bury: 1850IL _x000D_
.wpbt: 1826PA_x000D_
.anc#:double ancestor_x000D_
citiz:immigrant_x000D_
#spos:1_x000D_
#srcs:1_x000D_
#comment:0_x000D_
#events:1_x000D_
#kids:11_x000D_
lived:ENSUFFOINGHAM,MASUFFOBOSTON_x000D_
issue:_x000D_
.recs:Birth,Marriage,Death_x000D_
.imm?:immigrant_x000D_
..Spo:THOMAS GLEASON</t>
        </r>
      </text>
    </comment>
    <comment ref="K6684" authorId="0" shapeId="0" xr:uid="{516B8C9A-1B54-497B-B9A9-5C1156C7F18C}">
      <text>
        <r>
          <rPr>
            <sz val="9"/>
            <color indexed="81"/>
            <rFont val="Tahoma"/>
            <family val="2"/>
          </rPr>
          <t>AMOS PRATT_x000D_
http://yeinfo.com/family/I09000740.html_x000D_
https://www.google.com/search?q=AMOS+PRATT+1699+1747+ANN\MARY_x000D_
.born: 16990526-          Framingham (Middlesex) Massachusetts_x000D_
.died: 1747    -          Quebec (Quebec) Canada, age:47y 7m 6d, _x000D_
.bapt: 1785GE_x000D_
.will: 2004MO_x000D_
.obit: 1890OH_x000D_
.bury: 1850IL _x000D_
.wpbt: 1826PA_x000D_
.anc#:ancestor_x000D_
citiz:US born_x000D_
#spos:1_x000D_
#srcs:0_x000D_
#comment:1_x000D_
#events:5_x000D_
#kids:7_x000D_
lived:CNQUEBEQUEBEC,MAMIDDLFRAMING,MAMIDDLMARLBOR,MAWORCESHREWSB,MAWORCEWESTBOR_x000D_
issue:_x000D_
.recs:Birth,Marriage,Death,Church_x000D_
.imm?:no_x000D_
..Spo:ANN\MARY ALLEN</t>
        </r>
      </text>
    </comment>
    <comment ref="N6686" authorId="0" shapeId="0" xr:uid="{27A27999-05E9-4517-BF6A-712C1A5F96A1}">
      <text>
        <r>
          <rPr>
            <sz val="9"/>
            <color indexed="81"/>
            <rFont val="Tahoma"/>
            <family val="2"/>
          </rPr>
          <t>JOHN STIMSON_x000D_
http://yeinfo.com/family/I09005924.html_x000D_
https://www.google.com/search?q=JOHN+STIMSON+1605+1643+SUSANNA_x000D_
.born:c1605    -          Northumberland county England_x000D_
.died: 16430610-          Waterton (Middlesex) Massachusetts, age:38y 5m 9d, _x000D_
.bapt: 1785GE_x000D_
.will: 2004MO_x000D_
.obit: 1890OH_x000D_
.bury: 1850IL _x000D_
.wpbt: 1826PA_x000D_
.anc#:ancestor_x000D_
citiz:immigrant_x000D_
#spos:1_x000D_
#srcs:2_x000D_
#comment:0_x000D_
#events:1_x000D_
#kids:1_x000D_
lived:ENNORTU,MAESSEXIPSWICH,MAMIDDLWATERTO_x000D_
issue:_x000D_
.recs:Birth,Marriage,Death_x000D_
.imm?:immigrant_x000D_
..Spo:SUSANNA PHILLIPS</t>
        </r>
      </text>
    </comment>
    <comment ref="M6688" authorId="0" shapeId="0" xr:uid="{EE8B55F6-5F14-4F00-AA4C-E3F0BAFCB36C}">
      <text>
        <r>
          <rPr>
            <sz val="9"/>
            <color indexed="81"/>
            <rFont val="Tahoma"/>
            <family val="2"/>
          </rPr>
          <t>JAMES STIMSON_x000D_
http://yeinfo.com/family/I09002962.html_x000D_
https://www.google.com/search?q=JAMES+STIMSON+1635+1690+NAOMI_x000D_
.born: 1635    -          Reading (Middlesex) Massachusetts_x000D_
.died: 1690    -          Reading (Middlesex) Massachusetts, age:55y 0m 0d, _x000D_
.bapt: 1785GE_x000D_
.will: 2004MO_x000D_
.obit: 1890OH_x000D_
.bury: 1850IL _x000D_
.wpbt: 1826PA_x000D_
.anc#:ancestor_x000D_
citiz:US born_x000D_
#spos:1_x000D_
#srcs:2_x000D_
#comment:0_x000D_
#events:1_x000D_
#kids:1_x000D_
lived:MAMIDDLREADING_x000D_
issue:_x000D_
.recs:Birth,Marriage,Death_x000D_
.imm?:no_x000D_
..Spo:NAOMI LEPPINGWELL</t>
        </r>
      </text>
    </comment>
    <comment ref="N6690" authorId="0" shapeId="0" xr:uid="{F70222A0-0C58-4EE4-9950-A342C2577C0C}">
      <text>
        <r>
          <rPr>
            <sz val="9"/>
            <color indexed="81"/>
            <rFont val="Tahoma"/>
            <family val="2"/>
          </rPr>
          <t>SUSANNA PHILLIPS_x000D_
http://yeinfo.com/family/I09005925.html_x000D_
https://www.google.com/search?q=SUSANNA+PHILLIPS+1609+1691+STIMSON_x000D_
.born:c1609    -          England_x000D_
.died: 1691    -          , age:82y 0m 0d, _x000D_
.bapt: 1785GE_x000D_
.will: 2004MO_x000D_
.obit: 1890OH_x000D_
.bury: 1850IL _x000D_
.wpbt: 1826PA_x000D_
.anc#:ancestor_x000D_
citiz:US born_x000D_
#spos:1_x000D_
#srcs:2_x000D_
#comment:0_x000D_
#events:1_x000D_
#kids:1_x000D_
lived:EN,MAESSEXIPSWICH_x000D_
issue:_x000D_
.recs:Birth,Marriage,Death_x000D_
.imm?:no_x000D_
..Spo:JOHN STIMSON</t>
        </r>
      </text>
    </comment>
    <comment ref="L6692" authorId="0" shapeId="0" xr:uid="{33D9277A-FF89-45FE-9578-8710EEBEB089}">
      <text>
        <r>
          <rPr>
            <sz val="9"/>
            <color indexed="81"/>
            <rFont val="Tahoma"/>
            <family val="2"/>
          </rPr>
          <t>RUTH STIMSON_x000D_
http://yeinfo.com/family/I09001481.html_x000D_
https://www.google.com/search?q=RUTH+STIMSON+1665+1699+PRATT_x000D_
.born:?1665    -         ?Middlesex county Massachusetts_x000D_
.died: 1699    -1755     ?Massachusetts, age:34y 0m 0d, _x000D_
.bapt: 1785GE_x000D_
.will: 2004MO_x000D_
.obit: 1890OH_x000D_
.bury: 1850IL _x000D_
.wpbt: 1826PA_x000D_
.anc#:ancestor_x000D_
citiz:US born_x000D_
#spos:1_x000D_
#srcs:2_x000D_
#comment:0_x000D_
#events:1_x000D_
#kids:7_x000D_
lived:?MAMIDDL_x000D_
issue:_x000D_
.recs:Birth,Marriage,Death_x000D_
.imm?:no_x000D_
..Spo:JOHN PRATT</t>
        </r>
      </text>
    </comment>
    <comment ref="N6694" authorId="0" shapeId="0" xr:uid="{0795EBB5-50F2-468B-B375-4D4CA7BEDC0E}">
      <text>
        <r>
          <rPr>
            <sz val="9"/>
            <color indexed="81"/>
            <rFont val="Tahoma"/>
            <family val="2"/>
          </rPr>
          <t>MICHAEL LEPPINGWELL_x000D_
http://yeinfo.com/family/I09005926.html_x000D_
https://www.google.com/search?q=MICHAEL+LEPPINGWELL+1610+1687+ISABEL_x000D_
.born:?1610    -         ?England_x000D_
.died: 16870322-          Woburn (Middlesex) Massachusetts, age:77y 2m 21d, _x000D_
.bapt: 1785GE_x000D_
.will: 2004MO_x000D_
.obit: 1890OH_x000D_
.bury: 1850IL _x000D_
.wpbt: 1826PA_x000D_
.anc#:ancestor_x000D_
citiz:immigrant_x000D_
#spos:1_x000D_
#srcs:1_x000D_
#comment:0_x000D_
#events:1_x000D_
#kids:1_x000D_
lived:?EN,MAMIDDLWOBURN_x000D_
issue:_x000D_
.recs:Birth,Marriage,Death_x000D_
.imm?:immigrant_x000D_
..Spo:ISABEL COX</t>
        </r>
      </text>
    </comment>
    <comment ref="M6696" authorId="0" shapeId="0" xr:uid="{F8A0C828-7CD2-45CB-971F-D48ED8EE70C2}">
      <text>
        <r>
          <rPr>
            <sz val="9"/>
            <color indexed="81"/>
            <rFont val="Tahoma"/>
            <family val="2"/>
          </rPr>
          <t>NAOMI LEPPINGWELL_x000D_
http://yeinfo.com/family/I09002963.html_x000D_
https://www.google.com/search?q=NAOMI+LEPPINGWELL+1638+1665+STIMSON_x000D_
.born: 1638    -         ?Massachusetts_x000D_
.died: 1665    -1728     ?Massachusetts, age:27y 0m 0d, _x000D_
.bapt: 1785GE_x000D_
.will: 2004MO_x000D_
.obit: 1890OH_x000D_
.bury: 1850IL _x000D_
.wpbt: 1826PA_x000D_
.anc#:ancestor_x000D_
citiz:US born_x000D_
#spos:1_x000D_
#srcs:1_x000D_
#comment:0_x000D_
#events:1_x000D_
#kids:1_x000D_
lived:?MA_x000D_
issue:_x000D_
.recs:Birth,Marriage,Death_x000D_
.imm?:no_x000D_
..Spo:JAMES STIMSON</t>
        </r>
      </text>
    </comment>
    <comment ref="N6698" authorId="0" shapeId="0" xr:uid="{3AC89F84-852D-49A8-B2D3-EE338DF9FE13}">
      <text>
        <r>
          <rPr>
            <sz val="9"/>
            <color indexed="81"/>
            <rFont val="Tahoma"/>
            <family val="2"/>
          </rPr>
          <t>ISABEL COX_x000D_
http://yeinfo.com/family/I09005927.html_x000D_
https://www.google.com/search?q=ISABEL+COX+1610+1657+LEPPINGWELL_x000D_
.born:?1610    -         ?England_x000D_
.died: 16570516-          Woburn (Middlesex) Massachusetts, age:47y 4m 15d, _x000D_
.bapt: 1785GE_x000D_
.will: 2004MO_x000D_
.obit: 1890OH_x000D_
.bury: 1850IL _x000D_
.wpbt: 1826PA_x000D_
.anc#:ancestor_x000D_
citiz:immigrant_x000D_
#spos:1_x000D_
#srcs:1_x000D_
#comment:0_x000D_
#events:1_x000D_
#kids:1_x000D_
lived:?EN,MAMIDDLWOBURN_x000D_
issue:_x000D_
.recs:Birth,Marriage,Death_x000D_
.imm?:immigrant_x000D_
..Spo:MICHAEL LEPPINGWELL</t>
        </r>
      </text>
    </comment>
    <comment ref="J6700" authorId="0" shapeId="0" xr:uid="{C0C9ADDE-90FC-4FC2-81F6-5B0B02E18F3C}">
      <text>
        <r>
          <rPr>
            <sz val="9"/>
            <color indexed="81"/>
            <rFont val="Tahoma"/>
            <family val="2"/>
          </rPr>
          <t>ALPHEUS PRATT_x000D_
http://yeinfo.com/family/I09000370.html_x000D_
https://www.google.com/search?q=ALPHEUS+PRATT+1731+1806+LYDIA_x000D_
.born: 17310907-          Shrewsbury (Worcester) Massachusetts_x000D_
.died: 18061211-          Brattleboro (Windham) Vermont, age:75y 3m 4d, fell and broke his neck_x000D_
.bapt: 1785GE_x000D_
.will: 2004MO_x000D_
.obit: 1890OH_x000D_
.bury: 1850IL _x000D_
.wpbt: 1826PA_x000D_
.anc#:ancestor_x000D_
citiz:US born_x000D_
#spos:1_x000D_
#srcs:8_x000D_
#comment:2_x000D_
#events:7_x000D_
#kids:11_x000D_
lived:MAWORCESHREWSB,VTWINDHBRATTLB,VTWINDHMARLBOR_x000D_
issue:_x000D_
.recs:Birth,Marriage,Death,Freeman_x000D_
.imm?:no_x000D_
..Spo:LYDIA MIXER</t>
        </r>
      </text>
    </comment>
    <comment ref="O6702" authorId="0" shapeId="0" xr:uid="{A6E24994-5A75-44E3-8EB5-DB2D82F1E602}">
      <text>
        <r>
          <rPr>
            <sz val="9"/>
            <color indexed="81"/>
            <rFont val="Tahoma"/>
            <family val="2"/>
          </rPr>
          <t>ELNATHAN ALLEN_x000D_
http://yeinfo.com/family/I09011856.html_x000D_
https://www.google.com/search?q=ELNATHAN+ALLEN+1572+1640+ANN_x000D_
.born: 1572    -          Bury Saint Edmunds (Suffolk) England_x000D_
.died: 164009  -          Bury Saint Edmunds (Suffolk) England, age:68y 8m 0d, _x000D_
.bapt: 1785GE_x000D_
.will: 2004MO_x000D_
.obit: 1890OH_x000D_
.bury: 1850IL _x000D_
.wpbt: 1826PA_x000D_
.anc#:double ancestor_x000D_
citiz:foreign_x000D_
#spos:1_x000D_
#srcs:11_x000D_
#comment:0_x000D_
#events:2_x000D_
#kids:1_x000D_
lived:ENSUFFOBURY SE_x000D_
issue:_x000D_
.recs:Birth,Marriage,Death_x000D_
.imm?:no_x000D_
..Spo:ANN TENCH</t>
        </r>
      </text>
    </comment>
    <comment ref="N6704" authorId="0" shapeId="0" xr:uid="{C708DBCB-AAD3-45D8-A1CA-2423F42C047A}">
      <text>
        <r>
          <rPr>
            <sz val="9"/>
            <color indexed="81"/>
            <rFont val="Tahoma"/>
            <family val="2"/>
          </rPr>
          <t>WALTER ALLEN_x000D_
http://yeinfo.com/family/I09005928.html_x000D_
https://www.google.com/search?q=WALTER+ALLEN+1601+1681+REBECCA+Rogers_x000D_
.born: 1601    -          Suffolk county England_x000D_
.died: 16810708-          Suffolk county Massachusetts, age:80y 6m 7d, _x000D_
.bapt: 1785GE_x000D_
.will: 2004MO_x000D_
.obit: 1890OH_x000D_
.bury: 1850IL Phipps Street Cemetery_x000D_
.wpbt: 1826PA_x000D_
.anc#:double ancestor_x000D_
citiz:immigrant_x000D_
#spos:2_x000D_
#srcs:12_x000D_
#comment:0_x000D_
#events:16_x000D_
#kids:14_x000D_
lived:ENSUFFO,MAESSEXNEWBURY,MAMIDDLTEWKSBU,MAMIDDLWATERTO,MAMIDDLWESTON,MASUFFOCHAZTWN_x000D_
issue:Married before Age 16_x000D_
.recs:Birth,Marriage,Job/Occupation,Will Written,Death,Interment/Burial,Land Transaction_x000D_
.imm?:immigrant_x000D_
..Spo:REBECCA WARD</t>
        </r>
      </text>
    </comment>
    <comment ref="O6706" authorId="0" shapeId="0" xr:uid="{234E56B9-4657-4A56-8F8A-15586A930A93}">
      <text>
        <r>
          <rPr>
            <sz val="9"/>
            <color indexed="81"/>
            <rFont val="Tahoma"/>
            <family val="2"/>
          </rPr>
          <t>ANN TENCH_x000D_
http://yeinfo.com/family/I09011857.html_x000D_
https://www.google.com/search?q=ANN+TENCH+1572+1602+ALLEN_x000D_
.born:?1572    -          Suffolk county England_x000D_
.died: 160209  -         ?Thorncombe (Dorset) England, age:30y 8m 0d, _x000D_
.bapt: 1785GE_x000D_
.will: 2004MO_x000D_
.obit: 1890OH_x000D_
.bury: 1850IL _x000D_
.wpbt: 1826PA_x000D_
.anc#:double ancestor_x000D_
citiz:foreign_x000D_
#spos:1_x000D_
#srcs:11_x000D_
#comment:0_x000D_
#events:2_x000D_
#kids:1_x000D_
lived:?ENDORSETHORNCM,ENSUFFOBURY SE_x000D_
issue:_x000D_
.recs:Birth,Marriage,Death_x000D_
.imm?:no_x000D_
..Spo:ELNATHAN ALLEN</t>
        </r>
      </text>
    </comment>
    <comment ref="M6708" authorId="0" shapeId="0" xr:uid="{88B8221A-0116-43F8-9CBA-55B4E249BFD8}">
      <text>
        <r>
          <rPr>
            <sz val="9"/>
            <color indexed="81"/>
            <rFont val="Tahoma"/>
            <family val="2"/>
          </rPr>
          <t>DANIEL ALLEN_x000D_
http://yeinfo.com/family/I09002964.html_x000D_
https://www.google.com/search?q=DANIEL+ALLEN+1635+1735+MARY+ALLEN_x000D_
.born:c163505  -          Bury Saint Edmunds (Suffolk) England_x000D_
.died:?1735    -          Sudbury (Middlesex) Massachusetts, age:99y 8m 0d, _x000D_
.bapt: 1785GE_x000D_
.will: 2004MO_x000D_
.obit: 1890OH_x000D_
.bury: 1850IL _x000D_
.wpbt: 1826PA_x000D_
.anc#:double ancestor_x000D_
citiz:immigrant_x000D_
#spos:2_x000D_
#srcs:10_x000D_
#comment:1_x000D_
#events:7_x000D_
#kids:12_x000D_
lived:ENSUFFOBURY SE,MAESSEXNEWBURY,MAMIDDLSUDBURY,MAMIDDLWATERTO,MASUFFOCHAZTWN,MAWORCELANCAST_x000D_
issue:_x000D_
.recs:Birth,Marriage,Job/Occupation,Death_x000D_
.imm?:immigrant_x000D_
..Spo:MARY WILDER</t>
        </r>
      </text>
    </comment>
    <comment ref="T6710" authorId="0" shapeId="0" xr:uid="{3DA2D45D-6CC6-47DD-AB04-8F594EFEA1E1}">
      <text>
        <r>
          <rPr>
            <sz val="9"/>
            <color indexed="81"/>
            <rFont val="Tahoma"/>
            <family val="2"/>
          </rPr>
          <t>JOHN WARD_x000D_
http://yeinfo.com/family/I09065879.html_x000D_
https://www.google.com/search?q=JOHN+WARD+1370+1420+CATHERINE_x000D_
.born: 1370    -          Kirby Bedon (Norfolk) England_x000D_
.died: 1420    -          Yorkshire county England, age:50y 0m 0d, _x000D_
.bapt: 1785GE_x000D_
.will: 2004MO_x000D_
.obit: 1890OH_x000D_
.bury: 1850IL _x000D_
.wpbt: 1826PA_x000D_
.anc#:double ancestor_x000D_
citiz:foreign_x000D_
#spos:1_x000D_
#srcs:1_x000D_
#comment:1_x000D_
#events:1_x000D_
#kids:1_x000D_
lived:ENNORFOKIRBY B,ENYORKS_x000D_
issue:_x000D_
.recs:Birth,Marriage,Death_x000D_
.imm?:no_x000D_
..Spo:CATHERINE APPLEYARD</t>
        </r>
      </text>
    </comment>
    <comment ref="S6712" authorId="0" shapeId="0" xr:uid="{141E1B35-E20B-4DF8-9850-207C3D9960BD}">
      <text>
        <r>
          <rPr>
            <sz val="9"/>
            <color indexed="81"/>
            <rFont val="Tahoma"/>
            <family val="2"/>
          </rPr>
          <t>ROBERT WARD_x000D_
http://yeinfo.com/family/I09065732.html_x000D_
https://www.google.com/search?q=ROBERT+WARD+1410+1470+MARGARET\ALICE+ALICE_x000D_
.born:c1410    -          Gwynedd county Wales_x000D_
.died: 1470    -          Kirby Cane (Norfolk) England, age:60y 0m 0d, _x000D_
.bapt: 1785GE_x000D_
.will: 2004MO_x000D_
.obit: 1890OH_x000D_
.bury: 1850IL _x000D_
.wpbt: 1826PA_x000D_
.anc#:double ancestor_x000D_
citiz:foreign_x000D_
#spos:1_x000D_
#srcs:1_x000D_
#comment:0_x000D_
#events:1_x000D_
#kids:1_x000D_
lived:ENNORFOKIRBY C,WLGWYNE_x000D_
issue:Born after Mom Age 50_x000D_
.recs:Birth,Marriage,Death_x000D_
.imm?:no_x000D_
..Spo:MARGARET\ALICE ALICE KEMPE</t>
        </r>
      </text>
    </comment>
    <comment ref="W6714" authorId="0" shapeId="0" xr:uid="{E1AE5F9D-8F62-494C-B818-57FD17BB0239}">
      <text>
        <r>
          <rPr>
            <sz val="9"/>
            <color indexed="81"/>
            <rFont val="Tahoma"/>
            <family val="2"/>
          </rPr>
          <t>RICHARD APPLEYARD_x000D_
http://yeinfo.com/family/I09066729.html_x000D_
https://www.google.com/search?q=RICHARD+APPLEYARD+1280+1365+W._x000D_
.born: 1280    -          Norfolk county England_x000D_
.died: 1365    -          Norfolk county England, age:85y 0m 0d, _x000D_
.bapt: 1785GE_x000D_
.will: 2004MO_x000D_
.obit: 1890OH_x000D_
.bury: 1850IL _x000D_
.wpbt: 1826PA_x000D_
.anc#:double ancestor_x000D_
citiz:foreign_x000D_
#spos:1_x000D_
#srcs:3_x000D_
#comment:1_x000D_
#events:1_x000D_
#kids:1_x000D_
lived:ENNORFO_x000D_
issue:_x000D_
.recs:Birth,Marriage,Death_x000D_
.imm?:no_x000D_
..Spo:W. APPLEYARD</t>
        </r>
      </text>
    </comment>
    <comment ref="V6716" authorId="0" shapeId="0" xr:uid="{A31DE3E2-B129-4DFF-AA45-ED47756B5AA5}">
      <text>
        <r>
          <rPr>
            <sz val="9"/>
            <color indexed="81"/>
            <rFont val="Tahoma"/>
            <family val="2"/>
          </rPr>
          <t>NICHOLAS APPLEYARD_x000D_
http://yeinfo.com/family/I09066727.html_x000D_
https://www.google.com/search?q=NICHOLAS+APPLEYARD+1305+1349+{_?_}_x000D_
.born: 1305    -1310      Norfolk county England_x000D_
.died: 1349    -          Norfolk county England, age:44y 0m 0d, _x000D_
.bapt: 1785GE_x000D_
.will: 2004MO_x000D_
.obit: 1890OH_x000D_
.bury: 1850IL _x000D_
.wpbt: 1826PA_x000D_
.anc#:double ancestor_x000D_
citiz:foreign_x000D_
#spos:1_x000D_
#srcs:3_x000D_
#comment:0_x000D_
#events:1_x000D_
#kids:1_x000D_
lived:ENNORFO_x000D_
issue:_x000D_
.recs:Birth,Marriage,Death_x000D_
.imm?:no_x000D_
..Spo:{_?_} APPLEYARD</t>
        </r>
      </text>
    </comment>
    <comment ref="W6718" authorId="0" shapeId="0" xr:uid="{1D0F3CD8-E1F2-4488-8A3C-C50BB6B639D9}">
      <text>
        <r>
          <rPr>
            <sz val="9"/>
            <color indexed="81"/>
            <rFont val="Tahoma"/>
            <family val="2"/>
          </rPr>
          <t>Mrs. W. APPLEYARD_x000D_
http://yeinfo.com/family/I09066730.html_x000D_
https://www.google.com/search?q=W.+APPLEYARD+1290+1364+APPLEYARD_x000D_
.born:?1290    -         ?England_x000D_
.died: 1364    -         ?Norfolk county England, age:74y 0m 0d, _x000D_
.bapt: 1785GE_x000D_
.will: 2004MO_x000D_
.obit: 1890OH_x000D_
.bury: 1850IL _x000D_
.wpbt: 1826PA_x000D_
.anc#:double ancestor_x000D_
citiz:foreign_x000D_
#spos:1_x000D_
#srcs:3_x000D_
#comment:0_x000D_
#events:1_x000D_
#kids:1_x000D_
lived:?ENNORFO_x000D_
issue:_x000D_
.recs:Birth,Marriage,Death_x000D_
.imm?:no_x000D_
..Spo:RICHARD APPLEYARD</t>
        </r>
      </text>
    </comment>
    <comment ref="U6720" authorId="0" shapeId="0" xr:uid="{20C52237-2AC6-4028-AF14-8D7D69171836}">
      <text>
        <r>
          <rPr>
            <sz val="9"/>
            <color indexed="81"/>
            <rFont val="Tahoma"/>
            <family val="2"/>
          </rPr>
          <t>BARTHOLOMEW APPLEYARD_x000D_
http://yeinfo.com/family/I09066725.html_x000D_
https://www.google.com/search?q=BARTHOLOMEW+APPLEYARD+1335+1412+EMMA_x000D_
.born: 1335    -          Norwich (Norfolk) England_x000D_
.died: 1412    -1419      Norwich (Norfolk) England, age:77y 0m 0d, _x000D_
.bapt: 1785GE_x000D_
.will: 2004MO_x000D_
.obit: 1890OH_x000D_
.bury: 1850IL Saint Andrew Church_x000D_
.wpbt: 1826PA_x000D_
.anc#:double ancestor_x000D_
citiz:foreign_x000D_
#spos:1_x000D_
#srcs:4_x000D_
#comment:0_x000D_
#events:2_x000D_
#kids:1_x000D_
lived:ENNORFONORWICH_x000D_
issue:_x000D_
.recs:Birth,Marriage,Death,Interment/Burial_x000D_
.imm?:no_x000D_
..Spo:EMMA BURWELL</t>
        </r>
      </text>
    </comment>
    <comment ref="V6722" authorId="0" shapeId="0" xr:uid="{0D34813A-42B2-4830-972B-1C9282B56A36}">
      <text>
        <r>
          <rPr>
            <sz val="9"/>
            <color indexed="81"/>
            <rFont val="Tahoma"/>
            <family val="2"/>
          </rPr>
          <t>Mrs. {_?_} APPLEYARD_x000D_
http://yeinfo.com/family/I09066728.html_x000D_
https://www.google.com/search?q={_?_}+APPLEYARD+1310+1335+APPLEYARD_x000D_
.born:?1310    -         ?Norfolk county England_x000D_
.died: 1335    -1400     ?Norfolk county England, age:25y 0m 0d, _x000D_
.bapt: 1785GE_x000D_
.will: 2004MO_x000D_
.obit: 1890OH_x000D_
.bury: 1850IL _x000D_
.wpbt: 1826PA_x000D_
.anc#:double ancestor_x000D_
citiz:foreign_x000D_
#spos:1_x000D_
#srcs:3_x000D_
#comment:0_x000D_
#events:1_x000D_
#kids:1_x000D_
lived:?ENNORFO_x000D_
issue:_x000D_
.recs:Birth,Marriage,Death_x000D_
.imm?:no_x000D_
..Spo:NICHOLAS APPLEYARD</t>
        </r>
      </text>
    </comment>
    <comment ref="T6724" authorId="0" shapeId="0" xr:uid="{098D09AF-91E9-4024-9C70-215F88EAA941}">
      <text>
        <r>
          <rPr>
            <sz val="9"/>
            <color indexed="81"/>
            <rFont val="Tahoma"/>
            <family val="2"/>
          </rPr>
          <t>CATHERINE APPLEYARD_x000D_
http://yeinfo.com/family/I09065880.html_x000D_
https://www.google.com/search?q=CATHERINE+APPLEYARD+1352+1430+WARD_x000D_
.born: 1352    -          Yorkshire county England_x000D_
.died: 1430    -          Yorkshire county England, age:78y 0m 0d, _x000D_
.bapt: 1785GE_x000D_
.will: 2004MO_x000D_
.obit: 1890OH_x000D_
.bury: 1850IL _x000D_
.wpbt: 1826PA_x000D_
.anc#:double ancestor_x000D_
citiz:foreign_x000D_
#spos:1_x000D_
#srcs:4_x000D_
#comment:1_x000D_
#events:1_x000D_
#kids:1_x000D_
lived:ENYORKS_x000D_
issue:_x000D_
.recs:Birth,Marriage,Death_x000D_
.imm?:no_x000D_
..Spo:JOHN WARD</t>
        </r>
      </text>
    </comment>
    <comment ref="U6726" authorId="0" shapeId="0" xr:uid="{9F8FC4BC-FAF4-4B52-9611-3746349E6581}">
      <text>
        <r>
          <rPr>
            <sz val="9"/>
            <color indexed="81"/>
            <rFont val="Tahoma"/>
            <family val="2"/>
          </rPr>
          <t>EMMA BURWELL_x000D_
http://yeinfo.com/family/I09066726.html_x000D_
https://www.google.com/search?q=EMMA+BURWELL+1337+1394+APPLEYARD_x000D_
.born: 1337    -          Norfolk county England_x000D_
.died: 1394    -          Norfolk county England, age:57y 0m 0d, _x000D_
.bapt: 1785GE_x000D_
.will: 2004MO_x000D_
.obit: 1890OH_x000D_
.bury: 1850IL _x000D_
.wpbt: 1826PA_x000D_
.anc#:double ancestor_x000D_
citiz:foreign_x000D_
#spos:1_x000D_
#srcs:4_x000D_
#comment:0_x000D_
#events:1_x000D_
#kids:1_x000D_
lived:ENNORFO_x000D_
issue:Died after Age 100_x000D_
.recs:Birth,Marriage,Death_x000D_
.imm?:no_x000D_
..Spo:BARTHOLOMEW APPLEYARD</t>
        </r>
      </text>
    </comment>
    <comment ref="R6728" authorId="0" shapeId="0" xr:uid="{52767D29-FE4C-4329-A49E-E2AACD6BA699}">
      <text>
        <r>
          <rPr>
            <sz val="9"/>
            <color indexed="81"/>
            <rFont val="Tahoma"/>
            <family val="2"/>
          </rPr>
          <t>ROBERT WARD_x000D_
http://yeinfo.com/family/I09065599.html_x000D_
https://www.google.com/search?q=ROBERT+WARD+1460+1520+ANNE_x000D_
.born:c1460    -          Kirby Bedon (Norfolk) England_x000D_
.died:c1520    -          Brooke (Norfolk) England, age:60y 0m 0d, _x000D_
.bapt: 1785GE_x000D_
.will: 2004MO_x000D_
.obit: 1890OH_x000D_
.bury: 1850IL _x000D_
.wpbt: 1826PA_x000D_
.anc#:double ancestor_x000D_
citiz:foreign_x000D_
#spos:1_x000D_
#srcs:1_x000D_
#comment:0_x000D_
#events:1_x000D_
#kids:1_x000D_
lived:ENNORFOBROOKE,ENNORFOKIRBY B_x000D_
issue:Born after Mom Age 50_x000D_
.recs:Birth,Marriage,Death_x000D_
.imm?:no_x000D_
..Spo:ANNE COPPERDICK</t>
        </r>
      </text>
    </comment>
    <comment ref="T6730" authorId="0" shapeId="0" xr:uid="{05CA4939-D6E2-4E5A-9FC7-DFB1CDA58D0E}">
      <text>
        <r>
          <rPr>
            <sz val="9"/>
            <color indexed="81"/>
            <rFont val="Tahoma"/>
            <family val="2"/>
          </rPr>
          <t>ROBERT KEMPE_x000D_
http://yeinfo.com/family/I09065881.html_x000D_
https://www.google.com/search?q=ROBERT+KEMPE+1360+1400+KATHERINE_x000D_
.born: 1360    -          Gissing (Norfolk) England_x000D_
.died: 1400    -1450      Norfolk county England, age:40y 0m 0d, _x000D_
.bapt: 1785GE_x000D_
.will: 2004MO_x000D_
.obit: 1890OH_x000D_
.bury: 1850IL _x000D_
.wpbt: 1826PA_x000D_
.anc#:double ancestor_x000D_
citiz:foreign_x000D_
#spos:1_x000D_
#srcs:2_x000D_
#comment:1_x000D_
#events:1_x000D_
#kids:2_x000D_
lived:ENNORFOGISSING_x000D_
issue:_x000D_
.recs:Birth,Marriage,Death_x000D_
.imm?:no_x000D_
..Spo:KATHERINE HAWKER</t>
        </r>
      </text>
    </comment>
    <comment ref="S6732" authorId="0" shapeId="0" xr:uid="{9D85A856-89CD-4BB8-A2BF-EDB3AF3B709C}">
      <text>
        <r>
          <rPr>
            <sz val="9"/>
            <color indexed="81"/>
            <rFont val="Tahoma"/>
            <family val="2"/>
          </rPr>
          <t>MARGARET\ALICE ALICE KEMPE_x000D_
http://yeinfo.com/family/I09065733.html_x000D_
https://www.google.com/search?q=MARGARET\ALICE+ALICE+KEMPE+1400+1461+WARD_x000D_
.born: 1400    -          Gissing (Norfolk) England_x000D_
.died: 1461    -          Kirby Cane (Norfolk) England, age:61y 0m 0d, _x000D_
.bapt: 1785GE_x000D_
.will: 2004MO_x000D_
.obit: 1890OH_x000D_
.bury: 1850IL _x000D_
.wpbt: 1826PA_x000D_
.anc#:double ancestor_x000D_
citiz:foreign_x000D_
#spos:1_x000D_
#srcs:2_x000D_
#comment:0_x000D_
#events:1_x000D_
#kids:1_x000D_
lived:ENNORFOGISSING,ENNORFOKIRBY C_x000D_
issue:_x000D_
.recs:Birth,Marriage,Death_x000D_
.imm?:no_x000D_
..Spo:ROBERT WARD</t>
        </r>
      </text>
    </comment>
    <comment ref="T6734" authorId="0" shapeId="0" xr:uid="{99685B2E-EAF9-4BBF-8F89-C7A13EF2C186}">
      <text>
        <r>
          <rPr>
            <sz val="9"/>
            <color indexed="81"/>
            <rFont val="Tahoma"/>
            <family val="2"/>
          </rPr>
          <t>KATHERINE HAWKER_x000D_
http://yeinfo.com/family/I09065882.html_x000D_
https://www.google.com/search?q=KATHERINE+HAWKER+1380+1400+KEMPE_x000D_
.born: 1380    -          Redenhall (Norfolk) England_x000D_
.died: 1400    -1470     ?, age:20y 0m 0d, _x000D_
.bapt: 1785GE_x000D_
.will: 2004MO_x000D_
.obit: 1890OH_x000D_
.bury: 1850IL _x000D_
.wpbt: 1826PA_x000D_
.anc#:double ancestor_x000D_
citiz:foreign_x000D_
#spos:1_x000D_
#srcs:2_x000D_
#comment:1_x000D_
#events:1_x000D_
#kids:2_x000D_
lived:ENNORFOREDHALL_x000D_
issue:Died after Age 100_x000D_
.recs:Birth,Marriage,Death_x000D_
.imm?:no_x000D_
..Spo:ROBERT KEMPE</t>
        </r>
      </text>
    </comment>
    <comment ref="Q6736" authorId="0" shapeId="0" xr:uid="{D0B6EE70-8AF9-45BC-81BD-018E3CFB5D77}">
      <text>
        <r>
          <rPr>
            <sz val="9"/>
            <color indexed="81"/>
            <rFont val="Tahoma"/>
            <family val="2"/>
          </rPr>
          <t>ROBERT WARD_x000D_
http://yeinfo.com/family/I09047432.html_x000D_
https://www.google.com/search?q=ROBERT+WARD+1500+1534+MARGARET+CAPELL_x000D_
.born:?1500    -          Kirby Bedon (Norfolk) England_x000D_
.died: 15341013-          Homersfield (Suffolk) England, age:34y 9m 12d, _x000D_
.bapt: 1785GE_x000D_
.will: 2004MO_x000D_
.obit: 1890OH_x000D_
.bury: 1850IL _x000D_
.wpbt: 1826PA_x000D_
.anc#:double ancestor_x000D_
citiz:foreign_x000D_
#spos:1_x000D_
#srcs:1_x000D_
#comment:0_x000D_
#events:1_x000D_
#kids:4_x000D_
lived:ENNORFOKIRBY B,ENSUFFOHOMERSF_x000D_
issue:Died after Age 100,AncFlags between Spouses Mismatched_x000D_
.recs:Birth,Marriage,Death_x000D_
.imm?:no_x000D_
..Spo:MARGARET CAPELL CAPELL</t>
        </r>
      </text>
    </comment>
    <comment ref="R6738" authorId="0" shapeId="0" xr:uid="{34493FA3-8963-4370-B0EA-DE0831202C4D}">
      <text>
        <r>
          <rPr>
            <sz val="9"/>
            <color indexed="81"/>
            <rFont val="Tahoma"/>
            <family val="2"/>
          </rPr>
          <t>ANNE COPPERDICK_x000D_
http://yeinfo.com/family/I09065600.html_x000D_
https://www.google.com/search?q=ANNE+COPPERDICK+1462+1502+WARD_x000D_
.born:c1462    -          Gwynedd county Wales_x000D_
.died:c1502    -          Norfolk county England, age:40y 0m 0d, _x000D_
.bapt: 1785GE_x000D_
.will: 2004MO_x000D_
.obit: 1890OH_x000D_
.bury: 1850IL _x000D_
.wpbt: 1826PA_x000D_
.anc#:double ancestor_x000D_
citiz:foreign_x000D_
#spos:1_x000D_
#srcs:1_x000D_
#comment:0_x000D_
#events:1_x000D_
#kids:1_x000D_
lived:ENNORFO,WLGWYNE_x000D_
issue:_x000D_
.recs:Birth,Marriage,Death_x000D_
.imm?:no_x000D_
..Spo:ROBERT WARD</t>
        </r>
      </text>
    </comment>
    <comment ref="P6740" authorId="0" shapeId="0" xr:uid="{6BF6466D-E75B-4F7F-A739-C34108FF48C6}">
      <text>
        <r>
          <rPr>
            <sz val="9"/>
            <color indexed="81"/>
            <rFont val="Tahoma"/>
            <family val="2"/>
          </rPr>
          <t>HENRY WARD_x000D_
http://yeinfo.com/family/I09023716.html_x000D_
https://www.google.com/search?q=HENRY+WARD+1519+1540+MARGARET_x000D_
.born:c1519    -          Kirby Bedon (Norfolk) England_x000D_
.died: 1540    -1609      Postwick (Norfolk) England, age:21y 0m 0d, _x000D_
.bapt: 1785GE_x000D_
.will: 2004MO_x000D_
.obit: 1890OH_x000D_
.bury: 1850IL _x000D_
.wpbt: 1826PA_x000D_
.anc#:double ancestor_x000D_
citiz:foreign_x000D_
#spos:1_x000D_
#srcs:1_x000D_
#comment:0_x000D_
#events:1_x000D_
#kids:1_x000D_
lived:ENNORFOKIRBY B,ENNORFOPOSTWIC_x000D_
issue:_x000D_
.recs:Birth,Marriage,Death_x000D_
.imm?:no_x000D_
..Spo:MARGARET UGGS</t>
        </r>
      </text>
    </comment>
    <comment ref="T6742" authorId="0" shapeId="0" xr:uid="{B68F3AE7-9362-4E8A-8F6B-34D9AD5FB6FD}">
      <text>
        <r>
          <rPr>
            <sz val="9"/>
            <color indexed="81"/>
            <rFont val="Tahoma"/>
            <family val="2"/>
          </rPr>
          <t>JOHN CAPELL_x000D_
http://yeinfo.com/family/I09065883.html_x000D_
https://www.google.com/search?q=JOHN+CAPELL+1398+1449+JOAN_x000D_
.born: 1398    -          Stoke by Nayland (Suffolk) England_x000D_
.died: 14490614-          Stoke by Nayland (Suffolk) England, age:51y 5m 13d, _x000D_
.bapt: 1785GE_x000D_
.will: 2004MO_x000D_
.obit: 1890OH_x000D_
.bury: 1850IL _x000D_
.wpbt: 1826PA_x000D_
.anc#:  quadruple ancestor_x000D_
citiz:foreign_x000D_
#spos:1_x000D_
#srcs:1_x000D_
#comment:1_x000D_
#events:1_x000D_
#kids:1_x000D_
lived:ENSUFFOSTOKE B_x000D_
issue:_x000D_
.recs:Birth,Marriage,Death_x000D_
.imm?:no_x000D_
..Spo:JOAN CAPELL</t>
        </r>
      </text>
    </comment>
    <comment ref="S6744" authorId="0" shapeId="0" xr:uid="{5C2CB934-A368-43BC-A473-7746DE6D123D}">
      <text>
        <r>
          <rPr>
            <sz val="9"/>
            <color indexed="81"/>
            <rFont val="Tahoma"/>
            <family val="2"/>
          </rPr>
          <t>WILLIAM CAPELL_x000D_
http://yeinfo.com/family/I09065734.html_x000D_
https://www.google.com/search?q=WILLIAM+CAPELL+1446+1515+MARGARET_x000D_
.born:c1446    -          Suffolk county England_x000D_
.died: 15150906-          London (Middlesex) England, age:69y 8m 5d, _x000D_
.bapt: 1785GE_x000D_
.will: 2004MO_x000D_
.obit: 1890OH_x000D_
.bury: 1850IL _x000D_
.wpbt: 1826PA_x000D_
.anc#:  quadruple ancestor_x000D_
citiz:foreign_x000D_
#spos:1_x000D_
#srcs:1_x000D_
#comment:0_x000D_
#events:1_x000D_
#kids:3_x000D_
lived:ENMIDDLLONDON,ENSUFFO_x000D_
issue:_x000D_
.recs:Birth,Marriage,Death_x000D_
.imm?:no_x000D_
..Spo:MARGARET ARUNDELL</t>
        </r>
      </text>
    </comment>
    <comment ref="T6746" authorId="0" shapeId="0" xr:uid="{A5A122F9-4EF6-4563-B2A8-FC6F4E9D5160}">
      <text>
        <r>
          <rPr>
            <sz val="9"/>
            <color indexed="81"/>
            <rFont val="Tahoma"/>
            <family val="2"/>
          </rPr>
          <t>Mrs. JOAN CAPELL_x000D_
http://yeinfo.com/family/I09065884.html_x000D_
https://www.google.com/search?q=JOAN+CAPELL+1402+1446+CAPELL_x000D_
.born: 1402    -          Stoke by Nayland (Suffolk) England_x000D_
.died: 1446    -1492     ?England, age:44y 0m 0d, _x000D_
.bapt: 1785GE_x000D_
.will: 2004MO_x000D_
.obit: 1890OH_x000D_
.bury: 1850IL _x000D_
.wpbt: 1826PA_x000D_
.anc#:  quadruple ancestor_x000D_
citiz:foreign_x000D_
#spos:1_x000D_
#srcs:1_x000D_
#comment:0_x000D_
#events:1_x000D_
#kids:1_x000D_
lived:ENSUFFOSTOKE B_x000D_
issue:_x000D_
.recs:Birth,Marriage,Death_x000D_
.imm?:no_x000D_
..Spo:JOHN CAPELL</t>
        </r>
      </text>
    </comment>
    <comment ref="R6748" authorId="0" shapeId="0" xr:uid="{E1CD2D2A-9CDC-4E74-B191-6A139E7C90B4}">
      <text>
        <r>
          <rPr>
            <sz val="9"/>
            <color indexed="81"/>
            <rFont val="Tahoma"/>
            <family val="2"/>
          </rPr>
          <t>GILES CAPELL_x000D_
http://yeinfo.com/family/I09065601.html_x000D_
https://www.google.com/search?q=GILES+CAPELL+1480+1556+ISABEL_x000D_
.born:?1480    -          Romford (Essex) England_x000D_
.died: 15560529-          Essex county England, age:76y 4m 28d, _x000D_
.bapt: 1785GE_x000D_
.will: 2004MO_x000D_
.obit: 1890OH_x000D_
.bury: 1850IL _x000D_
.wpbt: 1826PA_x000D_
.anc#:  quadruple ancestor_x000D_
citiz:foreign_x000D_
#spos:2_x000D_
#srcs:2_x000D_
#comment:0_x000D_
#events:2_x000D_
#kids:1_x000D_
lived:ENESSEXROMFORD_x000D_
issue:Born before Parents Married,Died after Age 100_x000D_
.recs:Birth,Marriage,Death_x000D_
.imm?:no_x000D_
..Spo:ISABEL NEWTON</t>
        </r>
      </text>
    </comment>
    <comment ref="U6750" authorId="0" shapeId="0" xr:uid="{B006B053-20A6-48AD-BD7A-DE6AC424C775}">
      <text>
        <r>
          <rPr>
            <sz val="9"/>
            <color indexed="81"/>
            <rFont val="Tahoma"/>
            <family val="2"/>
          </rPr>
          <t>JOHN ARUNDELL VI_x000D_
http://yeinfo.com/family/I09066733.html_x000D_
https://www.google.com/search?q=JOHN+ARUNDELL+1392+1423+MARGARET_x000D_
.born: 1392    -          Bideford (Devon) England_x000D_
.died: 14231204-          Ewyas Lacy (Herefordshire) England, age:31y 11m 3d, _x000D_
.bapt: 1785GE_x000D_
.will: 2004MO_x000D_
.obit: 1890OH_x000D_
.bury: 1850IL _x000D_
.wpbt: 1826PA_x000D_
.anc#:  quadruple ancestor_x000D_
citiz:foreign_x000D_
#spos:1_x000D_
#srcs:1_x000D_
#comment:1_x000D_
#events:1_x000D_
#kids:1_x000D_
lived:ENDEVONBIDEFOR,ENHEREFEWYAS L_x000D_
issue:_x000D_
.recs:Birth,Marriage,Death_x000D_
.imm?:no_x000D_
..Spo:MARGARET BURGHRESH</t>
        </r>
      </text>
    </comment>
    <comment ref="T6752" authorId="0" shapeId="0" xr:uid="{48C17316-2FC2-44A2-A30A-561E339A9ED7}">
      <text>
        <r>
          <rPr>
            <sz val="9"/>
            <color indexed="81"/>
            <rFont val="Tahoma"/>
            <family val="2"/>
          </rPr>
          <t>JOHN ARUNDELL VII_x000D_
http://yeinfo.com/family/I09066731.html_x000D_
https://www.google.com/search?q=JOHN+ARUNDELL+1421+1473+CATHERINE_x000D_
.born: 14210609-          Bideford (Devon) England_x000D_
.died: 14731112-          Cornwall county England, age:52y 5m 3d, _x000D_
.bapt: 1785GE_x000D_
.will: 2004MO_x000D_
.obit: 1890OH_x000D_
.bury: 1850IL _x000D_
.wpbt: 1826PA_x000D_
.anc#:  quadruple ancestor_x000D_
citiz:foreign_x000D_
#spos:1_x000D_
#srcs:1_x000D_
#comment:0_x000D_
#events:1_x000D_
#kids:1_x000D_
lived:ENCORNW,ENDEVONBIDEFOR_x000D_
issue:_x000D_
.recs:Birth,Marriage,Death_x000D_
.imm?:no_x000D_
..Spo:CATHERINE CHIDIOCKE</t>
        </r>
      </text>
    </comment>
    <comment ref="U6754" authorId="0" shapeId="0" xr:uid="{54DD6042-0A42-4048-B184-42E6A276F43D}">
      <text>
        <r>
          <rPr>
            <sz val="9"/>
            <color indexed="81"/>
            <rFont val="Tahoma"/>
            <family val="2"/>
          </rPr>
          <t>MARGARET BURGHRESH_x000D_
http://yeinfo.com/family/I09066734.html_x000D_
https://www.google.com/search?q=MARGARET+BURGHRESH+1379+1424+ARUNDELL_x000D_
.born:?1379    -          Ewyas Lacy (Herefordshire) England_x000D_
.died: 1424    -          Cornwall county England, age:45y 0m 0d, _x000D_
.bapt: 1785GE_x000D_
.will: 2004MO_x000D_
.obit: 1890OH_x000D_
.bury: 1850IL _x000D_
.wpbt: 1826PA_x000D_
.anc#:  quadruple ancestor_x000D_
citiz:foreign_x000D_
#spos:1_x000D_
#srcs:1_x000D_
#comment:1_x000D_
#events:2_x000D_
#kids:1_x000D_
lived:ENCORNW,ENHEREFEWYAS L_x000D_
issue:_x000D_
.recs:Birth,Marriage,Death_x000D_
.imm?:no_x000D_
..Spo:JOHN ARUNDELL</t>
        </r>
      </text>
    </comment>
    <comment ref="S6756" authorId="0" shapeId="0" xr:uid="{C723E1A3-E3E6-40FD-8DE2-4CE1B89B9110}">
      <text>
        <r>
          <rPr>
            <sz val="9"/>
            <color indexed="81"/>
            <rFont val="Tahoma"/>
            <family val="2"/>
          </rPr>
          <t>MARGARET ARUNDELL_x000D_
http://yeinfo.com/family/I09065735.html_x000D_
https://www.google.com/search?q=MARGARET+ARUNDELL+1456+1519+CAPELL_x000D_
.born: 1456    -          Mawgan-in-Meneage (Cornwall) England_x000D_
.died: 15191208-          London (Middlesex) England, age:63y 11m 7d, _x000D_
.bapt: 1785GE_x000D_
.will: 2004MO_x000D_
.obit: 1890OH_x000D_
.bury: 1850IL _x000D_
.wpbt: 1826PA_x000D_
.anc#:  quadruple ancestor_x000D_
citiz:foreign_x000D_
#spos:1_x000D_
#srcs:1_x000D_
#comment:0_x000D_
#events:1_x000D_
#kids:3_x000D_
lived:ENCORNWMAWGAN,ENMIDDLLONDON_x000D_
issue:_x000D_
.recs:Birth,Marriage,Death_x000D_
.imm?:no_x000D_
..Spo:WILLIAM CAPELL</t>
        </r>
      </text>
    </comment>
    <comment ref="U6758" authorId="0" shapeId="0" xr:uid="{A4811C95-1608-406D-81A3-39D9B10E1FCE}">
      <text>
        <r>
          <rPr>
            <sz val="9"/>
            <color indexed="81"/>
            <rFont val="Tahoma"/>
            <family val="2"/>
          </rPr>
          <t>JOHN CHIDIOCKE_x000D_
http://yeinfo.com/family/I09066735.html_x000D_
https://www.google.com/search?q=JOHN+CHIDIOCKE+1401+1450+CATHERINE_x000D_
.born: 14011101-          Chideock (Dorset) England_x000D_
.died: 14500306-          Arundel (Sussex) England, age:48y 4m 5d, _x000D_
.bapt: 1785GE_x000D_
.will: 2004MO_x000D_
.obit: 1890OH_x000D_
.bury: 1850IL _x000D_
.wpbt: 1826PA_x000D_
.anc#:  quadruple ancestor_x000D_
citiz:foreign_x000D_
#spos:1_x000D_
#srcs:1_x000D_
#comment:1_x000D_
#events:2_x000D_
#kids:1_x000D_
lived:ENDORSECHIDEOC,ENDORSECHRISTC,ENSUSSEARUNDEL_x000D_
issue:_x000D_
.recs:Birth,Marriage,Death_x000D_
.imm?:no_x000D_
..Spo:CATHERINE LUMLEY</t>
        </r>
      </text>
    </comment>
    <comment ref="T6760" authorId="0" shapeId="0" xr:uid="{6DB5D50F-4A26-4B88-B5F5-8128C84A3911}">
      <text>
        <r>
          <rPr>
            <sz val="9"/>
            <color indexed="81"/>
            <rFont val="Tahoma"/>
            <family val="2"/>
          </rPr>
          <t>CATHERINE CHIDIOCKE_x000D_
http://yeinfo.com/family/I09066732.html_x000D_
https://www.google.com/search?q=CATHERINE+CHIDIOCKE+1423+1479+ARUNDELL_x000D_
.born:?1423    -          Arundel (Sussex) England_x000D_
.died: 14790410-          Cornwall county England, age:56y 3m 9d, _x000D_
.bapt: 1785GE_x000D_
.will: 2004MO_x000D_
.obit: 1890OH_x000D_
.bury: 1850IL _x000D_
.wpbt: 1826PA_x000D_
.anc#:  quadruple ancestor_x000D_
citiz:foreign_x000D_
#spos:1_x000D_
#srcs:1_x000D_
#comment:0_x000D_
#events:2_x000D_
#kids:1_x000D_
lived:ENCORNW,ENDEVONCHIDEOC,ENSUSSEARUNDEL_x000D_
issue:_x000D_
.recs:Birth,Marriage,Death_x000D_
.imm?:no_x000D_
..Spo:JOHN ARUNDELL</t>
        </r>
      </text>
    </comment>
    <comment ref="U6762" authorId="0" shapeId="0" xr:uid="{F423D457-8A76-49E9-9E9A-B832E57A45A5}">
      <text>
        <r>
          <rPr>
            <sz val="9"/>
            <color indexed="81"/>
            <rFont val="Tahoma"/>
            <family val="2"/>
          </rPr>
          <t>CATHERINE LUMLEY_x000D_
http://yeinfo.com/family/I09066736.html_x000D_
https://www.google.com/search?q=CATHERINE+LUMLEY+1400+1461+CHIDIOCKE_x000D_
.born:?1400    -          Arundel (Sussex) England_x000D_
.died: 14610602-          Chideock (Dorset) England, age:61y 5m 1d, _x000D_
.bapt: 1785GE_x000D_
.will: 2004MO_x000D_
.obit: 1890OH_x000D_
.bury: 1850IL _x000D_
.wpbt: 1826PA_x000D_
.anc#:  quadruple ancestor_x000D_
citiz:foreign_x000D_
#spos:1_x000D_
#srcs:1_x000D_
#comment:1_x000D_
#events:2_x000D_
#kids:1_x000D_
lived:ENDORSECHIDEOC,ENDORSECHRISTC,ENSUSSEARUNDEL_x000D_
issue:Died before Marriage_x000D_
.recs:Birth,Marriage,Death_x000D_
.imm?:no_x000D_
..Spo:JOHN CHIDIOCKE</t>
        </r>
      </text>
    </comment>
    <comment ref="Q6764" authorId="0" shapeId="0" xr:uid="{33D18D25-846E-46E3-83C1-D5E7407F6E18}">
      <text>
        <r>
          <rPr>
            <sz val="9"/>
            <color indexed="81"/>
            <rFont val="Tahoma"/>
            <family val="2"/>
          </rPr>
          <t>MARGARET CAPELL CAPELL_x000D_
http://yeinfo.com/family/I09047433.html_x000D_
https://www.google.com/search?q=MARGARET+CAPELL+CAPELL+1507+1530+WARD+WILLIAM_x000D_
.born: 1507    -          Rayne (Essex) England_x000D_
.died: 1530    -1597      Homersfield (Suffolk) England, age:23y 0m 0d, _x000D_
.bapt: 1785GE_x000D_
.will: 2004MO_x000D_
.obit: 1890OH_x000D_
.bury: 1850IL _x000D_
.wpbt: 1826PA_x000D_
.anc#:  quadruple ancestor_x000D_
citiz:foreign_x000D_
#spos:2_x000D_
#srcs:2_x000D_
#comment:1_x000D_
#events:2_x000D_
#kids:5_x000D_
lived:ENESSEXRAYNE,ENSUFFOHOMERSF_x000D_
issue:Died after Age 100,AncFlags between Spouses Mismatched_x000D_
.recs:Birth,Marriage,Death_x000D_
.imm?:no_x000D_
..Spo:ROBERT WARD</t>
        </r>
      </text>
    </comment>
    <comment ref="T6766" authorId="0" shapeId="0" xr:uid="{814397AD-B8FA-45B8-A717-EB12F182E7B5}">
      <text>
        <r>
          <rPr>
            <sz val="9"/>
            <color indexed="81"/>
            <rFont val="Tahoma"/>
            <family val="2"/>
          </rPr>
          <t>JOHN NEWTON_x000D_
http://yeinfo.com/family/I09065885.html_x000D_
https://www.google.com/search?q=JOHN+NEWTON+1425+1488+ISABEL_x000D_
.born: 1425    -          East Harptree (Somerset) England_x000D_
.died: 14880126-          Gwynedd county Wales, age:63y 0m 25d, _x000D_
.bapt: 1785GE_x000D_
.will: 2004MO_x000D_
.obit: 1890OH_x000D_
.bury: 1850IL _x000D_
.wpbt: 1826PA_x000D_
.anc#:  quadruple ancestor_x000D_
citiz:foreign_x000D_
#spos:1_x000D_
#srcs:1_x000D_
#comment:1_x000D_
#events:1_x000D_
#kids:1_x000D_
lived:ENSOMESEASTHPT,WLGWYNE_x000D_
issue:_x000D_
.recs:Birth,Marriage,Death_x000D_
.imm?:no_x000D_
..Spo:ISABEL CHEDDAR</t>
        </r>
      </text>
    </comment>
    <comment ref="S6768" authorId="0" shapeId="0" xr:uid="{B16864C3-7C67-4D54-A957-6ADBAC074F20}">
      <text>
        <r>
          <rPr>
            <sz val="9"/>
            <color indexed="81"/>
            <rFont val="Tahoma"/>
            <family val="2"/>
          </rPr>
          <t>THOMAS\RICHARD NEWTON_x000D_
http://yeinfo.com/family/I09065736.html_x000D_
https://www.google.com/search?q=THOMAS\RICHARD+NEWTON+1450+1500+ELINOR_x000D_
.born:?1450    -          East Harptree (Somerset) England_x000D_
.died: 1500    -          East Harptree (Somerset) England, age:50y 0m 0d, _x000D_
.bapt: 1785GE_x000D_
.will: 2004MO_x000D_
.obit: 1890OH_x000D_
.bury: 1850IL _x000D_
.wpbt: 1826PA_x000D_
.anc#:  quadruple ancestor_x000D_
citiz:foreign_x000D_
#spos:1_x000D_
#srcs:1_x000D_
#comment:0_x000D_
#events:1_x000D_
#kids:3_x000D_
lived:ENSOMESEASTHPT_x000D_
issue:_x000D_
.recs:Birth,Marriage,Death_x000D_
.imm?:no_x000D_
..Spo:ELINOR DAUBENEY</t>
        </r>
      </text>
    </comment>
    <comment ref="T6770" authorId="0" shapeId="0" xr:uid="{BAD9886F-2ED7-48E7-88EF-D2B8484B5F81}">
      <text>
        <r>
          <rPr>
            <sz val="9"/>
            <color indexed="81"/>
            <rFont val="Tahoma"/>
            <family val="2"/>
          </rPr>
          <t>ISABEL CHEDDAR_x000D_
http://yeinfo.com/family/I09065886.html_x000D_
https://www.google.com/search?q=ISABEL+CHEDDAR+1429+1499+NEWTON_x000D_
.born:c1429    -          East Harptree (Somerset) England_x000D_
.died: 14990514-          Yatton (Somerset) England, age:70y 4m 13d, _x000D_
.bapt: 1785GE_x000D_
.will: 2004MO_x000D_
.obit: 1890OH_x000D_
.bury: 1850IL _x000D_
.wpbt: 1826PA_x000D_
.anc#:  quadruple ancestor_x000D_
citiz:foreign_x000D_
#spos:1_x000D_
#srcs:1_x000D_
#comment:1_x000D_
#events:1_x000D_
#kids:1_x000D_
lived:ENSOMESEASTHPT,ENSOMESYATTON_x000D_
issue:_x000D_
.recs:Birth,Marriage,Death_x000D_
.imm?:no_x000D_
..Spo:JOHN NEWTON</t>
        </r>
      </text>
    </comment>
    <comment ref="R6772" authorId="0" shapeId="0" xr:uid="{FA9FD7B1-BEEE-4CF9-94ED-8822233ECB0A}">
      <text>
        <r>
          <rPr>
            <sz val="9"/>
            <color indexed="81"/>
            <rFont val="Tahoma"/>
            <family val="2"/>
          </rPr>
          <t>ISABEL NEWTON_x000D_
http://yeinfo.com/family/I09065602.html_x000D_
https://www.google.com/search?q=ISABEL+NEWTON+1475+1508+CAPELL_x000D_
.born:?1475    -          Romford (Essex) England_x000D_
.died: 1508    -1540      Essex county England, age:33y 0m 0d, _x000D_
.bapt: 1785GE_x000D_
.will: 2004MO_x000D_
.obit: 1890OH_x000D_
.bury: 1850IL _x000D_
.wpbt: 1826PA_x000D_
.anc#:  quadruple ancestor_x000D_
citiz:foreign_x000D_
#spos:1_x000D_
#srcs:2_x000D_
#comment:0_x000D_
#events:1_x000D_
#kids:1_x000D_
lived:ENESSEXROMFORD_x000D_
issue:Born before Parents Married_x000D_
.recs:Birth,Marriage,Death_x000D_
.imm?:no_x000D_
..Spo:GILES CAPELL</t>
        </r>
      </text>
    </comment>
    <comment ref="W6774" authorId="0" shapeId="0" xr:uid="{22FF4137-DC3E-4FBC-BFBB-2CB6CCBBA4B0}">
      <text>
        <r>
          <rPr>
            <sz val="9"/>
            <color indexed="81"/>
            <rFont val="Tahoma"/>
            <family val="2"/>
          </rPr>
          <t>GILES DAUBENEY_x000D_
http://yeinfo.com/family/I09066448.html_x000D_
https://www.google.com/search?q=GILES+DAUBENEY+1337+1388+ELEANOR_x000D_
.born:c1337    -          Shepton Mallet (Somerset) England_x000D_
.died: 13880624-          Barrington (Somerset) England, age:51y 5m 23d, _x000D_
.bapt: 1785GE_x000D_
.will: 2004MO_x000D_
.obit: 1890OH_x000D_
.bury: 1850IL _x000D_
.wpbt: 1826PA_x000D_
.anc#:  quadruple ancestor_x000D_
citiz:foreign_x000D_
#spos:1_x000D_
#srcs:1_x000D_
#comment:1_x000D_
#events:1_x000D_
#kids:1_x000D_
lived:ENSOMESBARRING,ENSOMESSHEPMAL_x000D_
issue:_x000D_
.recs:Birth,Marriage,Death_x000D_
.imm?:no_x000D_
..Spo:ELEANOR WILLINGTON</t>
        </r>
      </text>
    </comment>
    <comment ref="V6776" authorId="0" shapeId="0" xr:uid="{7A5491EB-6297-46B1-8429-1237FC74A1C1}">
      <text>
        <r>
          <rPr>
            <sz val="9"/>
            <color indexed="81"/>
            <rFont val="Tahoma"/>
            <family val="2"/>
          </rPr>
          <t>GILES DAUBENEY_x000D_
http://yeinfo.com/family/I09066282.html_x000D_
https://www.google.com/search?q=GILES+DAUBENEY+1371+1403+MARGARET_x000D_
.born:c1371    -          Ingleby (Lincolnshire) England_x000D_
.died: 14030822-          Kempstone (Bedfordshire) England, age:32y 7m 21d, _x000D_
.bapt: 1785GE_x000D_
.will: 2004MO_x000D_
.obit: 1890OH_x000D_
.bury: 1850IL _x000D_
.wpbt: 1826PA_x000D_
.anc#:  quadruple ancestor_x000D_
citiz:foreign_x000D_
#spos:1_x000D_
#srcs:1_x000D_
#comment:0_x000D_
#events:2_x000D_
#kids:1_x000D_
lived:?ENNORFO,ENBEDFOKEMPSTN,ENDEVONKINGSBR,ENLINCSINGLEBY_x000D_
issue:_x000D_
.recs:Birth,Marriage,Death_x000D_
.imm?:no_x000D_
..Spo:MARGARET BEAUCHAMP</t>
        </r>
      </text>
    </comment>
    <comment ref="W6778" authorId="0" shapeId="0" xr:uid="{8EC56D6C-07A2-4776-B9FE-558B1AEF427D}">
      <text>
        <r>
          <rPr>
            <sz val="9"/>
            <color indexed="81"/>
            <rFont val="Tahoma"/>
            <family val="2"/>
          </rPr>
          <t>ELEANOR WILLINGTON_x000D_
http://yeinfo.com/family/I09066488.html_x000D_
https://www.google.com/search?q=ELEANOR+WILLINGTON+1337+1400+DAUBENEY_x000D_
.born: 1337    -          Chittlehampton (Devon) England_x000D_
.died: 14000806-          Kempstone (Bedfordshire) England, age:63y 7m 5d, _x000D_
.bapt: 1785GE_x000D_
.will: 2004MO_x000D_
.obit: 1890OH_x000D_
.bury: 1850IL _x000D_
.wpbt: 1826PA_x000D_
.anc#:  quadruple ancestor_x000D_
citiz:foreign_x000D_
#spos:1_x000D_
#srcs:1_x000D_
#comment:1_x000D_
#events:1_x000D_
#kids:1_x000D_
lived:?ENSOMES,ENBEDFOKEMPSTN,ENDEVONCHITTLE_x000D_
issue:_x000D_
.recs:Birth,Marriage,Death_x000D_
.imm?:no_x000D_
..Spo:GILES DAUBENEY</t>
        </r>
      </text>
    </comment>
    <comment ref="U6780" authorId="0" shapeId="0" xr:uid="{9E63D57A-96EC-4B9F-8ABA-2E45372CA390}">
      <text>
        <r>
          <rPr>
            <sz val="9"/>
            <color indexed="81"/>
            <rFont val="Tahoma"/>
            <family val="2"/>
          </rPr>
          <t>GILES DAUBENEY_x000D_
http://yeinfo.com/family/I09066086.html_x000D_
https://www.google.com/search?q=GILES+DAUBENEY+1393+1446+JOAN+DAUBENEY_x000D_
.born: 13931020-          Kempston (Norfolk) England_x000D_
.died: 14460111-         ?Somerset county England, age:52y 2m 22d, _x000D_
.bapt: 1785GE_x000D_
.will: 2004MO_x000D_
.obit: 1890OH_x000D_
.bury: 1850IL Our Lady Chapel_x000D_
.wpbt: 1826PA_x000D_
.anc#:  quadruple ancestor_x000D_
citiz:foreign_x000D_
#spos:3_x000D_
#srcs:1_x000D_
#comment:0_x000D_
#events:5_x000D_
#kids:1_x000D_
lived:?ENBEDFO,ENNORFOKEMPSTO,ENSOMESS.PETHE_x000D_
issue:_x000D_
.recs:Birth,Marriage,Death,Interment/Burial_x000D_
.imm?:no_x000D_
..Spo:JOAN DARCY</t>
        </r>
      </text>
    </comment>
    <comment ref="W6782" authorId="0" shapeId="0" xr:uid="{C8B83C72-144A-4DA0-AFCF-CEC00C6BD774}">
      <text>
        <r>
          <rPr>
            <sz val="9"/>
            <color indexed="81"/>
            <rFont val="Tahoma"/>
            <family val="2"/>
          </rPr>
          <t>JOHN BEAUCHAMP_x000D_
http://yeinfo.com/family/I09066442.html_x000D_
https://www.google.com/search?q=JOHN+BEAUCHAMP+1330+1389+ELIZABETH+Mowbray_x000D_
.born: 13300120-          Powick (Worcestershire) England_x000D_
.died: 13890214-          Bedford (Bedfordshire) England, age:59y 0m 25d, _x000D_
.bapt: 1785GE_x000D_
.will: 2004MO_x000D_
.obit: 1890OH_x000D_
.bury: 1850IL _x000D_
.wpbt: 1826PA_x000D_
.anc#:  quadruple ancestor_x000D_
citiz:foreign_x000D_
#spos:2_x000D_
#srcs:1_x000D_
#comment:1_x000D_
#events:2_x000D_
#kids:1_x000D_
lived:ENBEDFOBEDFORD,ENWORCSPOWICK_x000D_
issue:_x000D_
.recs:Birth,Marriage,Death_x000D_
.imm?:no_x000D_
..Spo:ELIZABETH ST.JOHN</t>
        </r>
      </text>
    </comment>
    <comment ref="V6784" authorId="0" shapeId="0" xr:uid="{216A9C03-C7D1-4F5E-94FC-B0323AD581F5}">
      <text>
        <r>
          <rPr>
            <sz val="9"/>
            <color indexed="81"/>
            <rFont val="Tahoma"/>
            <family val="2"/>
          </rPr>
          <t>MARGARET BEAUCHAMP_x000D_
http://yeinfo.com/family/I09066279.html_x000D_
https://www.google.com/search?q=MARGARET+BEAUCHAMP+1374+1420+DAUBENEY_x000D_
.born:c1374    -          Norfolk county England_x000D_
.died: 14200630-          Kempston (Norfolk) England, age:46y 5m 29d, _x000D_
.bapt: 1785GE_x000D_
.will: 2004MO_x000D_
.obit: 1890OH_x000D_
.bury: 1850IL _x000D_
.wpbt: 1826PA_x000D_
.anc#:  quadruple ancestor_x000D_
citiz:foreign_x000D_
#spos:1_x000D_
#srcs:1_x000D_
#comment:0_x000D_
#events:1_x000D_
#kids:1_x000D_
lived:ENNORFOKEMPSTO_x000D_
issue:_x000D_
.recs:Birth,Marriage,Death_x000D_
.imm?:no_x000D_
..Spo:GILES DAUBENEY</t>
        </r>
      </text>
    </comment>
    <comment ref="W6786" authorId="0" shapeId="0" xr:uid="{2C4DFDF8-3694-49DA-BAD9-30C55FF2BDF4}">
      <text>
        <r>
          <rPr>
            <sz val="9"/>
            <color indexed="81"/>
            <rFont val="Tahoma"/>
            <family val="2"/>
          </rPr>
          <t>ELIZABETH ST.JOHN_x000D_
http://yeinfo.com/family/I09066478.html_x000D_
https://www.google.com/search?q=ELIZABETH+ST.JOHN+1331+1411+BEAUCHAMP_x000D_
.born: 1331    -          England_x000D_
.died: 1411    -          England, age:80y 0m 0d, _x000D_
.bapt: 1785GE_x000D_
.will: 2004MO_x000D_
.obit: 1890OH_x000D_
.bury: 1850IL _x000D_
.wpbt: 1826PA_x000D_
.anc#:  quadruple ancestor_x000D_
citiz:foreign_x000D_
#spos:1_x000D_
#srcs:1_x000D_
#comment:1_x000D_
#events:1_x000D_
#kids:1_x000D_
lived:EN_x000D_
issue:_x000D_
.recs:Birth,Marriage,Death_x000D_
.imm?:no_x000D_
..Spo:JOHN BEAUCHAMP</t>
        </r>
      </text>
    </comment>
    <comment ref="T6788" authorId="0" shapeId="0" xr:uid="{D21D42D5-4A24-4753-BA08-A9F9405030C1}">
      <text>
        <r>
          <rPr>
            <sz val="9"/>
            <color indexed="81"/>
            <rFont val="Tahoma"/>
            <family val="2"/>
          </rPr>
          <t>WILLIAM DAUBENEY_x000D_
http://yeinfo.com/family/I09065887.html_x000D_
https://www.google.com/search?q=WILLIAM+DAUBENEY+1424+1461+ALICE_x000D_
.born: 14240611-          Ingleby (Lincolnshire) England_x000D_
.died: 14610102-          South Petherton (Somerset) England, age:36y 6m 22d, _x000D_
.bapt: 1785GE_x000D_
.will: 2004MO_x000D_
.obit: 1890OH_x000D_
.bury: 1850IL _x000D_
.wpbt: 1826PA_x000D_
.anc#:  quadruple ancestor_x000D_
citiz:foreign_x000D_
#spos:1_x000D_
#srcs:1_x000D_
#comment:1_x000D_
#events:1_x000D_
#kids:1_x000D_
lived:ENLINCSINGLEBY,ENSOMESS.PETHE_x000D_
issue:_x000D_
.recs:Birth,Marriage,Death_x000D_
.imm?:no_x000D_
..Spo:ALICE STOURTON</t>
        </r>
      </text>
    </comment>
    <comment ref="U6790" authorId="0" shapeId="0" xr:uid="{806C60AF-B926-461D-A28E-D684FCF646E5}">
      <text>
        <r>
          <rPr>
            <sz val="9"/>
            <color indexed="81"/>
            <rFont val="Tahoma"/>
            <family val="2"/>
          </rPr>
          <t>JOAN DARCY_x000D_
http://yeinfo.com/family/I09066085.html_x000D_
https://www.google.com/search?q=JOAN+DARCY+1398+1424+DAUBENEY_x000D_
.born: 1398    -          Knaith (Lincolnshire) England_x000D_
.died: 1424    -1488      South Petherton (Somerset) England, age:26y 0m 0d, _x000D_
.bapt: 1785GE_x000D_
.will: 2004MO_x000D_
.obit: 1890OH_x000D_
.bury: 1850IL _x000D_
.wpbt: 1826PA_x000D_
.anc#:  quadruple ancestor_x000D_
citiz:foreign_x000D_
#spos:1_x000D_
#srcs:1_x000D_
#comment:0_x000D_
#events:2_x000D_
#kids:1_x000D_
lived:?ENBEDFO,ENLINCSKNAITH,ENSOMESS.PETHE_x000D_
issue:_x000D_
.recs:Birth,Marriage,Death_x000D_
.imm?:no_x000D_
..Spo:GILES DAUBENEY</t>
        </r>
      </text>
    </comment>
    <comment ref="S6792" authorId="0" shapeId="0" xr:uid="{04DB4DAB-14EF-4DF7-8F4A-38B9B95FD569}">
      <text>
        <r>
          <rPr>
            <sz val="9"/>
            <color indexed="81"/>
            <rFont val="Tahoma"/>
            <family val="2"/>
          </rPr>
          <t>ELINOR DAUBENEY_x000D_
http://yeinfo.com/family/I09065737.html_x000D_
https://www.google.com/search?q=ELINOR+DAUBENEY+1455+1482+NEWTON_x000D_
.born: 1455    -          Somerset county England_x000D_
.died: 1482    -          Somerset county England, age:27y 0m 0d, _x000D_
.bapt: 1785GE_x000D_
.will: 2004MO_x000D_
.obit: 1890OH_x000D_
.bury: 1850IL _x000D_
.wpbt: 1826PA_x000D_
.anc#:  quadruple ancestor_x000D_
citiz:foreign_x000D_
#spos:1_x000D_
#srcs:1_x000D_
#comment:0_x000D_
#events:1_x000D_
#kids:3_x000D_
lived:ENSOMES_x000D_
issue:Died before Birth_x000D_
.recs:Birth,Marriage,Death_x000D_
.imm?:no_x000D_
..Spo:THOMAS\RICHARD NEWTON</t>
        </r>
      </text>
    </comment>
    <comment ref="T6794" authorId="0" shapeId="0" xr:uid="{FFDF483F-E8E6-4454-9FBF-F9E3EC6E3D0A}">
      <text>
        <r>
          <rPr>
            <sz val="9"/>
            <color indexed="81"/>
            <rFont val="Tahoma"/>
            <family val="2"/>
          </rPr>
          <t>ALICE STOURTON_x000D_
http://yeinfo.com/family/I09065888.html_x000D_
https://www.google.com/search?q=ALICE+STOURTON+1432+1491+DAUBENEY+Robert_x000D_
.born:c1432    -          Yeovil (Somerset) England_x000D_
.died: 1491    -          Preston-next-Faversham (Kent) England, age:59y 0m 0d, _x000D_
.bapt: 1785GE_x000D_
.will: 2004MO_x000D_
.obit: 1890OH_x000D_
.bury: 1850IL _x000D_
.wpbt: 1826PA_x000D_
.anc#:  quadruple ancestor_x000D_
citiz:foreign_x000D_
#spos:2_x000D_
#srcs:1_x000D_
#comment:1_x000D_
#events:2_x000D_
#kids:1_x000D_
lived:ENKENT PRESTNF,ENSOMESYEOVIL_x000D_
issue:_x000D_
.recs:Birth,Marriage,Death_x000D_
.imm?:no_x000D_
..Spo:WILLIAM DAUBENEY</t>
        </r>
      </text>
    </comment>
    <comment ref="O6796" authorId="0" shapeId="0" xr:uid="{97311228-D6AB-4CCF-8B60-902254E02D5E}">
      <text>
        <r>
          <rPr>
            <sz val="9"/>
            <color indexed="81"/>
            <rFont val="Tahoma"/>
            <family val="2"/>
          </rPr>
          <t>EDWARD WARD_x000D_
http://yeinfo.com/family/I09011858.html_x000D_
https://www.google.com/search?q=EDWARD+WARD+1540+1595+JUDITH+Havers_x000D_
.born:?1540    -         ?England_x000D_
.died: 1595    -1620      Little Wratting (Suffolk) England, age:55y 0m 0d, _x000D_
.bapt: 1785GE_x000D_
.will: 2004MO_x000D_
.obit: 1890OH_x000D_
.bury: 1850IL _x000D_
.wpbt: 1826PA_x000D_
.anc#:double ancestor_x000D_
citiz:foreign_x000D_
#spos:2_x000D_
#srcs:2_x000D_
#comment:0_x000D_
#events:2_x000D_
#kids:14_x000D_
lived:?EN,ENSUFFOLITTLEZ_x000D_
issue:Married before Age 16,Died before Birth_x000D_
.recs:Birth,Marriage,Death_x000D_
.imm?:no_x000D_
..Spo:JUDITH LUKYN</t>
        </r>
      </text>
    </comment>
    <comment ref="Q6798" authorId="0" shapeId="0" xr:uid="{A7123309-1848-49D6-BDAA-840936002917}">
      <text>
        <r>
          <rPr>
            <sz val="9"/>
            <color indexed="81"/>
            <rFont val="Tahoma"/>
            <family val="2"/>
          </rPr>
          <t>WILLIAM UGGS_x000D_
http://yeinfo.com/family/I09047434.html_x000D_
https://www.google.com/search?q=WILLIAM+UGGS+1500+1575+MARGARET+CAPELL_x000D_
.born: 1500    -          Norfolk county England_x000D_
.died: 1575    -          Norfolk county England, age:75y 0m 0d, _x000D_
.bapt: 1785GE_x000D_
.will: 2004MO_x000D_
.obit: 1890OH_x000D_
.bury: 1850IL _x000D_
.wpbt: 1826PA_x000D_
.anc#:double ancestor_x000D_
citiz:foreign_x000D_
#spos:1_x000D_
#srcs:1_x000D_
#comment:0_x000D_
#events:1_x000D_
#kids:1_x000D_
lived:ENNORFO_x000D_
issue:Died after Age 100,AncFlags between Spouses Mismatched_x000D_
.recs:Birth,Marriage,Death_x000D_
.imm?:no_x000D_
..Spo:MARGARET CAPELL CAPELL</t>
        </r>
      </text>
    </comment>
    <comment ref="P6800" authorId="0" shapeId="0" xr:uid="{B14655FB-2F3B-41F3-ABC9-13D23FF29F47}">
      <text>
        <r>
          <rPr>
            <sz val="9"/>
            <color indexed="81"/>
            <rFont val="Tahoma"/>
            <family val="2"/>
          </rPr>
          <t>MARGARET UGGS_x000D_
http://yeinfo.com/family/I09023717.html_x000D_
https://www.google.com/search?q=MARGARET+UGGS+1520+1587+WARD_x000D_
.born:c1520    -          Norwich (Norfolk) England_x000D_
.died: 1587    -          Postwick (Norfolk) England, age:67y 0m 0d, _x000D_
.bapt: 1785GE_x000D_
.will: 2004MO_x000D_
.obit: 1890OH_x000D_
.bury: 1850IL _x000D_
.wpbt: 1826PA_x000D_
.anc#:double ancestor_x000D_
citiz:foreign_x000D_
#spos:1_x000D_
#srcs:1_x000D_
#comment:0_x000D_
#events:1_x000D_
#kids:1_x000D_
lived:ENNORFONORWICH,ENNORFOPOSTWIC_x000D_
issue:_x000D_
.recs:Birth,Marriage,Death_x000D_
.imm?:no_x000D_
..Spo:HENRY WARD</t>
        </r>
      </text>
    </comment>
    <comment ref="T6802" authorId="0" shapeId="0" xr:uid="{237BAAC6-593B-4B81-8E26-D0EDEFF39610}">
      <text>
        <r>
          <rPr>
            <sz val="9"/>
            <color indexed="81"/>
            <rFont val="Tahoma"/>
            <family val="2"/>
          </rPr>
          <t>JOHN CAPELL_x000D_
http://yeinfo.com/family/I09065883.html_x000D_
https://www.google.com/search?q=JOHN+CAPELL+1398+1449+JOAN_x000D_
.born: 1398    -          Stoke by Nayland (Suffolk) England_x000D_
.died: 14490614-          Stoke by Nayland (Suffolk) England, age:51y 5m 13d, _x000D_
.bapt: 1785GE_x000D_
.will: 2004MO_x000D_
.obit: 1890OH_x000D_
.bury: 1850IL _x000D_
.wpbt: 1826PA_x000D_
.anc#:  quadruple ancestor_x000D_
citiz:foreign_x000D_
#spos:1_x000D_
#srcs:1_x000D_
#comment:1_x000D_
#events:1_x000D_
#kids:1_x000D_
lived:ENSUFFOSTOKE B_x000D_
issue:_x000D_
.recs:Birth,Marriage,Death_x000D_
.imm?:no_x000D_
..Spo:JOAN CAPELL</t>
        </r>
      </text>
    </comment>
    <comment ref="S6804" authorId="0" shapeId="0" xr:uid="{40BEA224-792B-4BFF-8266-E86FD31E552A}">
      <text>
        <r>
          <rPr>
            <sz val="9"/>
            <color indexed="81"/>
            <rFont val="Tahoma"/>
            <family val="2"/>
          </rPr>
          <t>WILLIAM CAPELL_x000D_
http://yeinfo.com/family/I09065734.html_x000D_
https://www.google.com/search?q=WILLIAM+CAPELL+1446+1515+MARGARET_x000D_
.born:c1446    -          Suffolk county England_x000D_
.died: 15150906-          London (Middlesex) England, age:69y 8m 5d, _x000D_
.bapt: 1785GE_x000D_
.will: 2004MO_x000D_
.obit: 1890OH_x000D_
.bury: 1850IL _x000D_
.wpbt: 1826PA_x000D_
.anc#:  quadruple ancestor_x000D_
citiz:foreign_x000D_
#spos:1_x000D_
#srcs:1_x000D_
#comment:0_x000D_
#events:1_x000D_
#kids:3_x000D_
lived:ENMIDDLLONDON,ENSUFFO_x000D_
issue:_x000D_
.recs:Birth,Marriage,Death_x000D_
.imm?:no_x000D_
..Spo:MARGARET ARUNDELL</t>
        </r>
      </text>
    </comment>
    <comment ref="T6806" authorId="0" shapeId="0" xr:uid="{950C21B3-C372-498B-AABF-A24DF502B53C}">
      <text>
        <r>
          <rPr>
            <sz val="9"/>
            <color indexed="81"/>
            <rFont val="Tahoma"/>
            <family val="2"/>
          </rPr>
          <t>Mrs. JOAN CAPELL_x000D_
http://yeinfo.com/family/I09065884.html_x000D_
https://www.google.com/search?q=JOAN+CAPELL+1402+1446+CAPELL_x000D_
.born: 1402    -          Stoke by Nayland (Suffolk) England_x000D_
.died: 1446    -1492     ?England, age:44y 0m 0d, _x000D_
.bapt: 1785GE_x000D_
.will: 2004MO_x000D_
.obit: 1890OH_x000D_
.bury: 1850IL _x000D_
.wpbt: 1826PA_x000D_
.anc#:  quadruple ancestor_x000D_
citiz:foreign_x000D_
#spos:1_x000D_
#srcs:1_x000D_
#comment:0_x000D_
#events:1_x000D_
#kids:1_x000D_
lived:ENSUFFOSTOKE B_x000D_
issue:_x000D_
.recs:Birth,Marriage,Death_x000D_
.imm?:no_x000D_
..Spo:JOHN CAPELL</t>
        </r>
      </text>
    </comment>
    <comment ref="R6808" authorId="0" shapeId="0" xr:uid="{2FBEA08B-7EB5-4697-B96C-48CC5174702C}">
      <text>
        <r>
          <rPr>
            <sz val="9"/>
            <color indexed="81"/>
            <rFont val="Tahoma"/>
            <family val="2"/>
          </rPr>
          <t>GILES CAPELL_x000D_
http://yeinfo.com/family/I09065601.html_x000D_
https://www.google.com/search?q=GILES+CAPELL+1480+1556+ISABEL_x000D_
.born:?1480    -          Romford (Essex) England_x000D_
.died: 15560529-          Essex county England, age:76y 4m 28d, _x000D_
.bapt: 1785GE_x000D_
.will: 2004MO_x000D_
.obit: 1890OH_x000D_
.bury: 1850IL _x000D_
.wpbt: 1826PA_x000D_
.anc#:  quadruple ancestor_x000D_
citiz:foreign_x000D_
#spos:2_x000D_
#srcs:2_x000D_
#comment:0_x000D_
#events:2_x000D_
#kids:1_x000D_
lived:ENESSEXROMFORD_x000D_
issue:Born before Parents Married,Died after Age 100_x000D_
.recs:Birth,Marriage,Death_x000D_
.imm?:no_x000D_
..Spo:ISABEL NEWTON</t>
        </r>
      </text>
    </comment>
    <comment ref="U6810" authorId="0" shapeId="0" xr:uid="{12A5C9D4-8E2B-42F3-AE68-729B75E354B4}">
      <text>
        <r>
          <rPr>
            <sz val="9"/>
            <color indexed="81"/>
            <rFont val="Tahoma"/>
            <family val="2"/>
          </rPr>
          <t>JOHN ARUNDELL VI_x000D_
http://yeinfo.com/family/I09066733.html_x000D_
https://www.google.com/search?q=JOHN+ARUNDELL+1392+1423+MARGARET_x000D_
.born: 1392    -          Bideford (Devon) England_x000D_
.died: 14231204-          Ewyas Lacy (Herefordshire) England, age:31y 11m 3d, _x000D_
.bapt: 1785GE_x000D_
.will: 2004MO_x000D_
.obit: 1890OH_x000D_
.bury: 1850IL _x000D_
.wpbt: 1826PA_x000D_
.anc#:  quadruple ancestor_x000D_
citiz:foreign_x000D_
#spos:1_x000D_
#srcs:1_x000D_
#comment:1_x000D_
#events:1_x000D_
#kids:1_x000D_
lived:ENDEVONBIDEFOR,ENHEREFEWYAS L_x000D_
issue:_x000D_
.recs:Birth,Marriage,Death_x000D_
.imm?:no_x000D_
..Spo:MARGARET BURGHRESH</t>
        </r>
      </text>
    </comment>
    <comment ref="T6812" authorId="0" shapeId="0" xr:uid="{9AE12E71-1595-49B5-A699-DC9C679BAD67}">
      <text>
        <r>
          <rPr>
            <sz val="9"/>
            <color indexed="81"/>
            <rFont val="Tahoma"/>
            <family val="2"/>
          </rPr>
          <t>JOHN ARUNDELL VII_x000D_
http://yeinfo.com/family/I09066731.html_x000D_
https://www.google.com/search?q=JOHN+ARUNDELL+1421+1473+CATHERINE_x000D_
.born: 14210609-          Bideford (Devon) England_x000D_
.died: 14731112-          Cornwall county England, age:52y 5m 3d, _x000D_
.bapt: 1785GE_x000D_
.will: 2004MO_x000D_
.obit: 1890OH_x000D_
.bury: 1850IL _x000D_
.wpbt: 1826PA_x000D_
.anc#:  quadruple ancestor_x000D_
citiz:foreign_x000D_
#spos:1_x000D_
#srcs:1_x000D_
#comment:0_x000D_
#events:1_x000D_
#kids:1_x000D_
lived:ENCORNW,ENDEVONBIDEFOR_x000D_
issue:_x000D_
.recs:Birth,Marriage,Death_x000D_
.imm?:no_x000D_
..Spo:CATHERINE CHIDIOCKE</t>
        </r>
      </text>
    </comment>
    <comment ref="U6814" authorId="0" shapeId="0" xr:uid="{DEAB55A1-E8C4-48C7-9F75-564F2D796A38}">
      <text>
        <r>
          <rPr>
            <sz val="9"/>
            <color indexed="81"/>
            <rFont val="Tahoma"/>
            <family val="2"/>
          </rPr>
          <t>MARGARET BURGHRESH_x000D_
http://yeinfo.com/family/I09066734.html_x000D_
https://www.google.com/search?q=MARGARET+BURGHRESH+1379+1424+ARUNDELL_x000D_
.born:?1379    -          Ewyas Lacy (Herefordshire) England_x000D_
.died: 1424    -          Cornwall county England, age:45y 0m 0d, _x000D_
.bapt: 1785GE_x000D_
.will: 2004MO_x000D_
.obit: 1890OH_x000D_
.bury: 1850IL _x000D_
.wpbt: 1826PA_x000D_
.anc#:  quadruple ancestor_x000D_
citiz:foreign_x000D_
#spos:1_x000D_
#srcs:1_x000D_
#comment:1_x000D_
#events:2_x000D_
#kids:1_x000D_
lived:ENCORNW,ENHEREFEWYAS L_x000D_
issue:_x000D_
.recs:Birth,Marriage,Death_x000D_
.imm?:no_x000D_
..Spo:JOHN ARUNDELL</t>
        </r>
      </text>
    </comment>
    <comment ref="S6816" authorId="0" shapeId="0" xr:uid="{D383755E-5A0F-4284-B0C7-5518351364A3}">
      <text>
        <r>
          <rPr>
            <sz val="9"/>
            <color indexed="81"/>
            <rFont val="Tahoma"/>
            <family val="2"/>
          </rPr>
          <t>MARGARET ARUNDELL_x000D_
http://yeinfo.com/family/I09065735.html_x000D_
https://www.google.com/search?q=MARGARET+ARUNDELL+1456+1519+CAPELL_x000D_
.born: 1456    -          Mawgan-in-Meneage (Cornwall) England_x000D_
.died: 15191208-          London (Middlesex) England, age:63y 11m 7d, _x000D_
.bapt: 1785GE_x000D_
.will: 2004MO_x000D_
.obit: 1890OH_x000D_
.bury: 1850IL _x000D_
.wpbt: 1826PA_x000D_
.anc#:  quadruple ancestor_x000D_
citiz:foreign_x000D_
#spos:1_x000D_
#srcs:1_x000D_
#comment:0_x000D_
#events:1_x000D_
#kids:3_x000D_
lived:ENCORNWMAWGAN,ENMIDDLLONDON_x000D_
issue:_x000D_
.recs:Birth,Marriage,Death_x000D_
.imm?:no_x000D_
..Spo:WILLIAM CAPELL</t>
        </r>
      </text>
    </comment>
    <comment ref="U6818" authorId="0" shapeId="0" xr:uid="{C21BDC6C-4E91-414A-AEA0-2DB49CBE8470}">
      <text>
        <r>
          <rPr>
            <sz val="9"/>
            <color indexed="81"/>
            <rFont val="Tahoma"/>
            <family val="2"/>
          </rPr>
          <t>JOHN CHIDIOCKE_x000D_
http://yeinfo.com/family/I09066735.html_x000D_
https://www.google.com/search?q=JOHN+CHIDIOCKE+1401+1450+CATHERINE_x000D_
.born: 14011101-          Chideock (Dorset) England_x000D_
.died: 14500306-          Arundel (Sussex) England, age:48y 4m 5d, _x000D_
.bapt: 1785GE_x000D_
.will: 2004MO_x000D_
.obit: 1890OH_x000D_
.bury: 1850IL _x000D_
.wpbt: 1826PA_x000D_
.anc#:  quadruple ancestor_x000D_
citiz:foreign_x000D_
#spos:1_x000D_
#srcs:1_x000D_
#comment:1_x000D_
#events:2_x000D_
#kids:1_x000D_
lived:ENDORSECHIDEOC,ENDORSECHRISTC,ENSUSSEARUNDEL_x000D_
issue:_x000D_
.recs:Birth,Marriage,Death_x000D_
.imm?:no_x000D_
..Spo:CATHERINE LUMLEY</t>
        </r>
      </text>
    </comment>
    <comment ref="T6820" authorId="0" shapeId="0" xr:uid="{733468A6-0E32-4CBB-9F8E-E26905A95C1D}">
      <text>
        <r>
          <rPr>
            <sz val="9"/>
            <color indexed="81"/>
            <rFont val="Tahoma"/>
            <family val="2"/>
          </rPr>
          <t>CATHERINE CHIDIOCKE_x000D_
http://yeinfo.com/family/I09066732.html_x000D_
https://www.google.com/search?q=CATHERINE+CHIDIOCKE+1423+1479+ARUNDELL_x000D_
.born:?1423    -          Arundel (Sussex) England_x000D_
.died: 14790410-          Cornwall county England, age:56y 3m 9d, _x000D_
.bapt: 1785GE_x000D_
.will: 2004MO_x000D_
.obit: 1890OH_x000D_
.bury: 1850IL _x000D_
.wpbt: 1826PA_x000D_
.anc#:  quadruple ancestor_x000D_
citiz:foreign_x000D_
#spos:1_x000D_
#srcs:1_x000D_
#comment:0_x000D_
#events:2_x000D_
#kids:1_x000D_
lived:ENCORNW,ENDEVONCHIDEOC,ENSUSSEARUNDEL_x000D_
issue:_x000D_
.recs:Birth,Marriage,Death_x000D_
.imm?:no_x000D_
..Spo:JOHN ARUNDELL</t>
        </r>
      </text>
    </comment>
    <comment ref="U6822" authorId="0" shapeId="0" xr:uid="{721DC389-C8A3-40D2-B11A-ACC77FE3710A}">
      <text>
        <r>
          <rPr>
            <sz val="9"/>
            <color indexed="81"/>
            <rFont val="Tahoma"/>
            <family val="2"/>
          </rPr>
          <t>CATHERINE LUMLEY_x000D_
http://yeinfo.com/family/I09066736.html_x000D_
https://www.google.com/search?q=CATHERINE+LUMLEY+1400+1461+CHIDIOCKE_x000D_
.born:?1400    -          Arundel (Sussex) England_x000D_
.died: 14610602-          Chideock (Dorset) England, age:61y 5m 1d, _x000D_
.bapt: 1785GE_x000D_
.will: 2004MO_x000D_
.obit: 1890OH_x000D_
.bury: 1850IL _x000D_
.wpbt: 1826PA_x000D_
.anc#:  quadruple ancestor_x000D_
citiz:foreign_x000D_
#spos:1_x000D_
#srcs:1_x000D_
#comment:1_x000D_
#events:2_x000D_
#kids:1_x000D_
lived:ENDORSECHIDEOC,ENDORSECHRISTC,ENSUSSEARUNDEL_x000D_
issue:Died before Marriage_x000D_
.recs:Birth,Marriage,Death_x000D_
.imm?:no_x000D_
..Spo:JOHN CHIDIOCKE</t>
        </r>
      </text>
    </comment>
    <comment ref="Q6824" authorId="0" shapeId="0" xr:uid="{DD925BEC-B062-48E1-95CE-7671346BE528}">
      <text>
        <r>
          <rPr>
            <sz val="9"/>
            <color indexed="81"/>
            <rFont val="Tahoma"/>
            <family val="2"/>
          </rPr>
          <t>MARGARET CAPELL CAPELL_x000D_
http://yeinfo.com/family/I09047433.html_x000D_
https://www.google.com/search?q=MARGARET+CAPELL+CAPELL+1507+1530+WARD+WILLIAM_x000D_
.born: 1507    -          Rayne (Essex) England_x000D_
.died: 1530    -1597      Homersfield (Suffolk) England, age:23y 0m 0d, _x000D_
.bapt: 1785GE_x000D_
.will: 2004MO_x000D_
.obit: 1890OH_x000D_
.bury: 1850IL _x000D_
.wpbt: 1826PA_x000D_
.anc#:  quadruple ancestor_x000D_
citiz:foreign_x000D_
#spos:2_x000D_
#srcs:2_x000D_
#comment:1_x000D_
#events:2_x000D_
#kids:5_x000D_
lived:ENESSEXRAYNE,ENSUFFOHOMERSF_x000D_
issue:Died after Age 100,AncFlags between Spouses Mismatched_x000D_
.recs:Birth,Marriage,Death_x000D_
.imm?:no_x000D_
..Spo:ROBERT WARD</t>
        </r>
      </text>
    </comment>
    <comment ref="T6826" authorId="0" shapeId="0" xr:uid="{0D36F9A1-96E5-4772-B365-2CF7AA9E2358}">
      <text>
        <r>
          <rPr>
            <sz val="9"/>
            <color indexed="81"/>
            <rFont val="Tahoma"/>
            <family val="2"/>
          </rPr>
          <t>JOHN NEWTON_x000D_
http://yeinfo.com/family/I09065885.html_x000D_
https://www.google.com/search?q=JOHN+NEWTON+1425+1488+ISABEL_x000D_
.born: 1425    -          East Harptree (Somerset) England_x000D_
.died: 14880126-          Gwynedd county Wales, age:63y 0m 25d, _x000D_
.bapt: 1785GE_x000D_
.will: 2004MO_x000D_
.obit: 1890OH_x000D_
.bury: 1850IL _x000D_
.wpbt: 1826PA_x000D_
.anc#:  quadruple ancestor_x000D_
citiz:foreign_x000D_
#spos:1_x000D_
#srcs:1_x000D_
#comment:1_x000D_
#events:1_x000D_
#kids:1_x000D_
lived:ENSOMESEASTHPT,WLGWYNE_x000D_
issue:_x000D_
.recs:Birth,Marriage,Death_x000D_
.imm?:no_x000D_
..Spo:ISABEL CHEDDAR</t>
        </r>
      </text>
    </comment>
    <comment ref="S6828" authorId="0" shapeId="0" xr:uid="{F8EF2D5E-74CA-4D35-BF2B-6087F3A50AAA}">
      <text>
        <r>
          <rPr>
            <sz val="9"/>
            <color indexed="81"/>
            <rFont val="Tahoma"/>
            <family val="2"/>
          </rPr>
          <t>THOMAS\RICHARD NEWTON_x000D_
http://yeinfo.com/family/I09065736.html_x000D_
https://www.google.com/search?q=THOMAS\RICHARD+NEWTON+1450+1500+ELINOR_x000D_
.born:?1450    -          East Harptree (Somerset) England_x000D_
.died: 1500    -          East Harptree (Somerset) England, age:50y 0m 0d, _x000D_
.bapt: 1785GE_x000D_
.will: 2004MO_x000D_
.obit: 1890OH_x000D_
.bury: 1850IL _x000D_
.wpbt: 1826PA_x000D_
.anc#:  quadruple ancestor_x000D_
citiz:foreign_x000D_
#spos:1_x000D_
#srcs:1_x000D_
#comment:0_x000D_
#events:1_x000D_
#kids:3_x000D_
lived:ENSOMESEASTHPT_x000D_
issue:_x000D_
.recs:Birth,Marriage,Death_x000D_
.imm?:no_x000D_
..Spo:ELINOR DAUBENEY</t>
        </r>
      </text>
    </comment>
    <comment ref="T6830" authorId="0" shapeId="0" xr:uid="{4C00E6EF-41A6-4128-93BF-9730E37B89F9}">
      <text>
        <r>
          <rPr>
            <sz val="9"/>
            <color indexed="81"/>
            <rFont val="Tahoma"/>
            <family val="2"/>
          </rPr>
          <t>ISABEL CHEDDAR_x000D_
http://yeinfo.com/family/I09065886.html_x000D_
https://www.google.com/search?q=ISABEL+CHEDDAR+1429+1499+NEWTON_x000D_
.born:c1429    -          East Harptree (Somerset) England_x000D_
.died: 14990514-          Yatton (Somerset) England, age:70y 4m 13d, _x000D_
.bapt: 1785GE_x000D_
.will: 2004MO_x000D_
.obit: 1890OH_x000D_
.bury: 1850IL _x000D_
.wpbt: 1826PA_x000D_
.anc#:  quadruple ancestor_x000D_
citiz:foreign_x000D_
#spos:1_x000D_
#srcs:1_x000D_
#comment:1_x000D_
#events:1_x000D_
#kids:1_x000D_
lived:ENSOMESEASTHPT,ENSOMESYATTON_x000D_
issue:_x000D_
.recs:Birth,Marriage,Death_x000D_
.imm?:no_x000D_
..Spo:JOHN NEWTON</t>
        </r>
      </text>
    </comment>
    <comment ref="R6832" authorId="0" shapeId="0" xr:uid="{16B280F1-1762-4300-97CA-E82DF07C58B1}">
      <text>
        <r>
          <rPr>
            <sz val="9"/>
            <color indexed="81"/>
            <rFont val="Tahoma"/>
            <family val="2"/>
          </rPr>
          <t>ISABEL NEWTON_x000D_
http://yeinfo.com/family/I09065602.html_x000D_
https://www.google.com/search?q=ISABEL+NEWTON+1475+1508+CAPELL_x000D_
.born:?1475    -          Romford (Essex) England_x000D_
.died: 1508    -1540      Essex county England, age:33y 0m 0d, _x000D_
.bapt: 1785GE_x000D_
.will: 2004MO_x000D_
.obit: 1890OH_x000D_
.bury: 1850IL _x000D_
.wpbt: 1826PA_x000D_
.anc#:  quadruple ancestor_x000D_
citiz:foreign_x000D_
#spos:1_x000D_
#srcs:2_x000D_
#comment:0_x000D_
#events:1_x000D_
#kids:1_x000D_
lived:ENESSEXROMFORD_x000D_
issue:Born before Parents Married_x000D_
.recs:Birth,Marriage,Death_x000D_
.imm?:no_x000D_
..Spo:GILES CAPELL</t>
        </r>
      </text>
    </comment>
    <comment ref="W6834" authorId="0" shapeId="0" xr:uid="{0885E1B8-5097-41B0-BFA9-D0B65C5D6307}">
      <text>
        <r>
          <rPr>
            <sz val="9"/>
            <color indexed="81"/>
            <rFont val="Tahoma"/>
            <family val="2"/>
          </rPr>
          <t>GILES DAUBENEY_x000D_
http://yeinfo.com/family/I09066448.html_x000D_
https://www.google.com/search?q=GILES+DAUBENEY+1337+1388+ELEANOR_x000D_
.born:c1337    -          Shepton Mallet (Somerset) England_x000D_
.died: 13880624-          Barrington (Somerset) England, age:51y 5m 23d, _x000D_
.bapt: 1785GE_x000D_
.will: 2004MO_x000D_
.obit: 1890OH_x000D_
.bury: 1850IL _x000D_
.wpbt: 1826PA_x000D_
.anc#:  quadruple ancestor_x000D_
citiz:foreign_x000D_
#spos:1_x000D_
#srcs:1_x000D_
#comment:1_x000D_
#events:1_x000D_
#kids:1_x000D_
lived:ENSOMESBARRING,ENSOMESSHEPMAL_x000D_
issue:_x000D_
.recs:Birth,Marriage,Death_x000D_
.imm?:no_x000D_
..Spo:ELEANOR WILLINGTON</t>
        </r>
      </text>
    </comment>
    <comment ref="V6836" authorId="0" shapeId="0" xr:uid="{A855AF8F-C451-49C3-A5EF-E093BB504BEF}">
      <text>
        <r>
          <rPr>
            <sz val="9"/>
            <color indexed="81"/>
            <rFont val="Tahoma"/>
            <family val="2"/>
          </rPr>
          <t>GILES DAUBENEY_x000D_
http://yeinfo.com/family/I09066282.html_x000D_
https://www.google.com/search?q=GILES+DAUBENEY+1371+1403+MARGARET_x000D_
.born:c1371    -          Ingleby (Lincolnshire) England_x000D_
.died: 14030822-          Kempstone (Bedfordshire) England, age:32y 7m 21d, _x000D_
.bapt: 1785GE_x000D_
.will: 2004MO_x000D_
.obit: 1890OH_x000D_
.bury: 1850IL _x000D_
.wpbt: 1826PA_x000D_
.anc#:  quadruple ancestor_x000D_
citiz:foreign_x000D_
#spos:1_x000D_
#srcs:1_x000D_
#comment:0_x000D_
#events:2_x000D_
#kids:1_x000D_
lived:?ENNORFO,ENBEDFOKEMPSTN,ENDEVONKINGSBR,ENLINCSINGLEBY_x000D_
issue:_x000D_
.recs:Birth,Marriage,Death_x000D_
.imm?:no_x000D_
..Spo:MARGARET BEAUCHAMP</t>
        </r>
      </text>
    </comment>
    <comment ref="W6838" authorId="0" shapeId="0" xr:uid="{E920F75A-CA69-4BA6-AA8D-5BB4B0B1E3C9}">
      <text>
        <r>
          <rPr>
            <sz val="9"/>
            <color indexed="81"/>
            <rFont val="Tahoma"/>
            <family val="2"/>
          </rPr>
          <t>ELEANOR WILLINGTON_x000D_
http://yeinfo.com/family/I09066488.html_x000D_
https://www.google.com/search?q=ELEANOR+WILLINGTON+1337+1400+DAUBENEY_x000D_
.born: 1337    -          Chittlehampton (Devon) England_x000D_
.died: 14000806-          Kempstone (Bedfordshire) England, age:63y 7m 5d, _x000D_
.bapt: 1785GE_x000D_
.will: 2004MO_x000D_
.obit: 1890OH_x000D_
.bury: 1850IL _x000D_
.wpbt: 1826PA_x000D_
.anc#:  quadruple ancestor_x000D_
citiz:foreign_x000D_
#spos:1_x000D_
#srcs:1_x000D_
#comment:1_x000D_
#events:1_x000D_
#kids:1_x000D_
lived:?ENSOMES,ENBEDFOKEMPSTN,ENDEVONCHITTLE_x000D_
issue:_x000D_
.recs:Birth,Marriage,Death_x000D_
.imm?:no_x000D_
..Spo:GILES DAUBENEY</t>
        </r>
      </text>
    </comment>
    <comment ref="U6840" authorId="0" shapeId="0" xr:uid="{C5002654-2EA9-43F2-9183-107BDA8AB376}">
      <text>
        <r>
          <rPr>
            <sz val="9"/>
            <color indexed="81"/>
            <rFont val="Tahoma"/>
            <family val="2"/>
          </rPr>
          <t>GILES DAUBENEY_x000D_
http://yeinfo.com/family/I09066086.html_x000D_
https://www.google.com/search?q=GILES+DAUBENEY+1393+1446+JOAN+DAUBENEY_x000D_
.born: 13931020-          Kempston (Norfolk) England_x000D_
.died: 14460111-         ?Somerset county England, age:52y 2m 22d, _x000D_
.bapt: 1785GE_x000D_
.will: 2004MO_x000D_
.obit: 1890OH_x000D_
.bury: 1850IL Our Lady Chapel_x000D_
.wpbt: 1826PA_x000D_
.anc#:  quadruple ancestor_x000D_
citiz:foreign_x000D_
#spos:3_x000D_
#srcs:1_x000D_
#comment:0_x000D_
#events:5_x000D_
#kids:1_x000D_
lived:?ENBEDFO,ENNORFOKEMPSTO,ENSOMESS.PETHE_x000D_
issue:_x000D_
.recs:Birth,Marriage,Death,Interment/Burial_x000D_
.imm?:no_x000D_
..Spo:JOAN DARCY</t>
        </r>
      </text>
    </comment>
    <comment ref="W6842" authorId="0" shapeId="0" xr:uid="{5C5CD0E4-5798-450E-A326-8AE620317D2A}">
      <text>
        <r>
          <rPr>
            <sz val="9"/>
            <color indexed="81"/>
            <rFont val="Tahoma"/>
            <family val="2"/>
          </rPr>
          <t>JOHN BEAUCHAMP_x000D_
http://yeinfo.com/family/I09066442.html_x000D_
https://www.google.com/search?q=JOHN+BEAUCHAMP+1330+1389+ELIZABETH+Mowbray_x000D_
.born: 13300120-          Powick (Worcestershire) England_x000D_
.died: 13890214-          Bedford (Bedfordshire) England, age:59y 0m 25d, _x000D_
.bapt: 1785GE_x000D_
.will: 2004MO_x000D_
.obit: 1890OH_x000D_
.bury: 1850IL _x000D_
.wpbt: 1826PA_x000D_
.anc#:  quadruple ancestor_x000D_
citiz:foreign_x000D_
#spos:2_x000D_
#srcs:1_x000D_
#comment:1_x000D_
#events:2_x000D_
#kids:1_x000D_
lived:ENBEDFOBEDFORD,ENWORCSPOWICK_x000D_
issue:_x000D_
.recs:Birth,Marriage,Death_x000D_
.imm?:no_x000D_
..Spo:ELIZABETH ST.JOHN</t>
        </r>
      </text>
    </comment>
    <comment ref="V6844" authorId="0" shapeId="0" xr:uid="{9655263C-0967-4F04-81ED-A6C583565902}">
      <text>
        <r>
          <rPr>
            <sz val="9"/>
            <color indexed="81"/>
            <rFont val="Tahoma"/>
            <family val="2"/>
          </rPr>
          <t>MARGARET BEAUCHAMP_x000D_
http://yeinfo.com/family/I09066279.html_x000D_
https://www.google.com/search?q=MARGARET+BEAUCHAMP+1374+1420+DAUBENEY_x000D_
.born:c1374    -          Norfolk county England_x000D_
.died: 14200630-          Kempston (Norfolk) England, age:46y 5m 29d, _x000D_
.bapt: 1785GE_x000D_
.will: 2004MO_x000D_
.obit: 1890OH_x000D_
.bury: 1850IL _x000D_
.wpbt: 1826PA_x000D_
.anc#:  quadruple ancestor_x000D_
citiz:foreign_x000D_
#spos:1_x000D_
#srcs:1_x000D_
#comment:0_x000D_
#events:1_x000D_
#kids:1_x000D_
lived:ENNORFOKEMPSTO_x000D_
issue:_x000D_
.recs:Birth,Marriage,Death_x000D_
.imm?:no_x000D_
..Spo:GILES DAUBENEY</t>
        </r>
      </text>
    </comment>
    <comment ref="W6846" authorId="0" shapeId="0" xr:uid="{00716ACD-DD0F-4D05-AA02-A56B5C07C302}">
      <text>
        <r>
          <rPr>
            <sz val="9"/>
            <color indexed="81"/>
            <rFont val="Tahoma"/>
            <family val="2"/>
          </rPr>
          <t>ELIZABETH ST.JOHN_x000D_
http://yeinfo.com/family/I09066478.html_x000D_
https://www.google.com/search?q=ELIZABETH+ST.JOHN+1331+1411+BEAUCHAMP_x000D_
.born: 1331    -          England_x000D_
.died: 1411    -          England, age:80y 0m 0d, _x000D_
.bapt: 1785GE_x000D_
.will: 2004MO_x000D_
.obit: 1890OH_x000D_
.bury: 1850IL _x000D_
.wpbt: 1826PA_x000D_
.anc#:  quadruple ancestor_x000D_
citiz:foreign_x000D_
#spos:1_x000D_
#srcs:1_x000D_
#comment:1_x000D_
#events:1_x000D_
#kids:1_x000D_
lived:EN_x000D_
issue:_x000D_
.recs:Birth,Marriage,Death_x000D_
.imm?:no_x000D_
..Spo:JOHN BEAUCHAMP</t>
        </r>
      </text>
    </comment>
    <comment ref="T6848" authorId="0" shapeId="0" xr:uid="{C821E25C-D758-499B-A6A6-9C774C5C9807}">
      <text>
        <r>
          <rPr>
            <sz val="9"/>
            <color indexed="81"/>
            <rFont val="Tahoma"/>
            <family val="2"/>
          </rPr>
          <t>WILLIAM DAUBENEY_x000D_
http://yeinfo.com/family/I09065887.html_x000D_
https://www.google.com/search?q=WILLIAM+DAUBENEY+1424+1461+ALICE_x000D_
.born: 14240611-          Ingleby (Lincolnshire) England_x000D_
.died: 14610102-          South Petherton (Somerset) England, age:36y 6m 22d, _x000D_
.bapt: 1785GE_x000D_
.will: 2004MO_x000D_
.obit: 1890OH_x000D_
.bury: 1850IL _x000D_
.wpbt: 1826PA_x000D_
.anc#:  quadruple ancestor_x000D_
citiz:foreign_x000D_
#spos:1_x000D_
#srcs:1_x000D_
#comment:1_x000D_
#events:1_x000D_
#kids:1_x000D_
lived:ENLINCSINGLEBY,ENSOMESS.PETHE_x000D_
issue:_x000D_
.recs:Birth,Marriage,Death_x000D_
.imm?:no_x000D_
..Spo:ALICE STOURTON</t>
        </r>
      </text>
    </comment>
    <comment ref="U6850" authorId="0" shapeId="0" xr:uid="{F055A7D9-B0A9-41A0-9FFF-680CE5CF91D3}">
      <text>
        <r>
          <rPr>
            <sz val="9"/>
            <color indexed="81"/>
            <rFont val="Tahoma"/>
            <family val="2"/>
          </rPr>
          <t>JOAN DARCY_x000D_
http://yeinfo.com/family/I09066085.html_x000D_
https://www.google.com/search?q=JOAN+DARCY+1398+1424+DAUBENEY_x000D_
.born: 1398    -          Knaith (Lincolnshire) England_x000D_
.died: 1424    -1488      South Petherton (Somerset) England, age:26y 0m 0d, _x000D_
.bapt: 1785GE_x000D_
.will: 2004MO_x000D_
.obit: 1890OH_x000D_
.bury: 1850IL _x000D_
.wpbt: 1826PA_x000D_
.anc#:  quadruple ancestor_x000D_
citiz:foreign_x000D_
#spos:1_x000D_
#srcs:1_x000D_
#comment:0_x000D_
#events:2_x000D_
#kids:1_x000D_
lived:?ENBEDFO,ENLINCSKNAITH,ENSOMESS.PETHE_x000D_
issue:_x000D_
.recs:Birth,Marriage,Death_x000D_
.imm?:no_x000D_
..Spo:GILES DAUBENEY</t>
        </r>
      </text>
    </comment>
    <comment ref="S6852" authorId="0" shapeId="0" xr:uid="{939C644B-0747-431F-A15E-6755E5C5205D}">
      <text>
        <r>
          <rPr>
            <sz val="9"/>
            <color indexed="81"/>
            <rFont val="Tahoma"/>
            <family val="2"/>
          </rPr>
          <t>ELINOR DAUBENEY_x000D_
http://yeinfo.com/family/I09065737.html_x000D_
https://www.google.com/search?q=ELINOR+DAUBENEY+1455+1482+NEWTON_x000D_
.born: 1455    -          Somerset county England_x000D_
.died: 1482    -          Somerset county England, age:27y 0m 0d, _x000D_
.bapt: 1785GE_x000D_
.will: 2004MO_x000D_
.obit: 1890OH_x000D_
.bury: 1850IL _x000D_
.wpbt: 1826PA_x000D_
.anc#:  quadruple ancestor_x000D_
citiz:foreign_x000D_
#spos:1_x000D_
#srcs:1_x000D_
#comment:0_x000D_
#events:1_x000D_
#kids:3_x000D_
lived:ENSOMES_x000D_
issue:Died before Birth_x000D_
.recs:Birth,Marriage,Death_x000D_
.imm?:no_x000D_
..Spo:THOMAS\RICHARD NEWTON</t>
        </r>
      </text>
    </comment>
    <comment ref="T6854" authorId="0" shapeId="0" xr:uid="{0B9D60D0-A558-46E0-B172-4AAE51DB85DC}">
      <text>
        <r>
          <rPr>
            <sz val="9"/>
            <color indexed="81"/>
            <rFont val="Tahoma"/>
            <family val="2"/>
          </rPr>
          <t>ALICE STOURTON_x000D_
http://yeinfo.com/family/I09065888.html_x000D_
https://www.google.com/search?q=ALICE+STOURTON+1432+1491+DAUBENEY+Robert_x000D_
.born:c1432    -          Yeovil (Somerset) England_x000D_
.died: 1491    -          Preston-next-Faversham (Kent) England, age:59y 0m 0d, _x000D_
.bapt: 1785GE_x000D_
.will: 2004MO_x000D_
.obit: 1890OH_x000D_
.bury: 1850IL _x000D_
.wpbt: 1826PA_x000D_
.anc#:  quadruple ancestor_x000D_
citiz:foreign_x000D_
#spos:2_x000D_
#srcs:1_x000D_
#comment:1_x000D_
#events:2_x000D_
#kids:1_x000D_
lived:ENKENT PRESTNF,ENSOMESYEOVIL_x000D_
issue:_x000D_
.recs:Birth,Marriage,Death_x000D_
.imm?:no_x000D_
..Spo:WILLIAM DAUBENEY</t>
        </r>
      </text>
    </comment>
    <comment ref="N6856" authorId="0" shapeId="0" xr:uid="{93F7ABB8-DA1C-472B-A916-611E73DD31FA}">
      <text>
        <r>
          <rPr>
            <sz val="9"/>
            <color indexed="81"/>
            <rFont val="Tahoma"/>
            <family val="2"/>
          </rPr>
          <t>REBECCA WARD_x000D_
http://yeinfo.com/family/I09005929.html_x000D_
https://www.google.com/search?q=REBECCA+WARD+1595+1678+ALLEN_x000D_
.born: 1595    -          _x000D_
.died: 16780807-          Charlestown (Suffolk) Massachusetts, age:83y 7m 6d, _x000D_
.bapt: 1785GE_x000D_
.will: 2004MO_x000D_
.obit: 1890OH_x000D_
.bury: 1850IL _x000D_
.wpbt: 1826PA_x000D_
.anc#:double ancestor_x000D_
citiz:US born_x000D_
#spos:1_x000D_
#srcs:8_x000D_
#comment:0_x000D_
#events:1_x000D_
#kids:14_x000D_
lived:EN,MASUFFOCHAZTWN_x000D_
issue:Born before Parents Married_x000D_
.recs:Birth,Marriage,Death_x000D_
.imm?:no_x000D_
..Spo:WALTER ALLEN</t>
        </r>
      </text>
    </comment>
    <comment ref="Q6858" authorId="0" shapeId="0" xr:uid="{ABD51EB9-487C-4C3F-B78B-6EF4C51B6514}">
      <text>
        <r>
          <rPr>
            <sz val="9"/>
            <color indexed="81"/>
            <rFont val="Tahoma"/>
            <family val="2"/>
          </rPr>
          <t>GEOFFREY LUKYN_x000D_
http://yeinfo.com/family/I09047436.html_x000D_
https://www.google.com/search?q=GEOFFREY+LUKYN+1498+1518+MARGARET_x000D_
.born:?1498    -         ?Essex county England_x000D_
.died: 1518    -1588      Mashbury (Essex) England, age:20y 0m 0d, _x000D_
.bapt: 1785GE_x000D_
.will: 2004MO_x000D_
.obit: 1890OH_x000D_
.bury: 1850IL _x000D_
.wpbt: 1826PA_x000D_
.anc#:double ancestor_x000D_
citiz:foreign_x000D_
#spos:1_x000D_
#srcs:1_x000D_
#comment:0_x000D_
#events:1_x000D_
#kids:1_x000D_
lived:?EN,ENESSEXMASHBUR_x000D_
issue:_x000D_
.recs:Birth,Marriage,Death_x000D_
.imm?:no_x000D_
..Spo:MARGARET LUKYN</t>
        </r>
      </text>
    </comment>
    <comment ref="P6860" authorId="0" shapeId="0" xr:uid="{45020939-6255-4B75-902A-C3AFF8183AFE}">
      <text>
        <r>
          <rPr>
            <sz val="9"/>
            <color indexed="81"/>
            <rFont val="Tahoma"/>
            <family val="2"/>
          </rPr>
          <t>WILLIAM LUKYN_x000D_
http://yeinfo.com/family/I09023718.html_x000D_
https://www.google.com/search?q=WILLIAM+LUKYN+1518+1575+THOMASINE_x000D_
.born:a1518    -          Mashbury (Essex) England_x000D_
.died: 15750610-          Great Baddow (Essex) England, age:57y 5m 9d, _x000D_
.bapt: 1785GE_x000D_
.will: 2004MO_x000D_
.obit: 1890OH_x000D_
.bury: 1850IL _x000D_
.wpbt: 1826PA_x000D_
.anc#:double ancestor_x000D_
citiz:foreign_x000D_
#spos:1_x000D_
#srcs:1_x000D_
#comment:0_x000D_
#events:1_x000D_
#kids:2_x000D_
lived:ENESSEXGREATBA,ENESSEXMASHBUR_x000D_
issue:_x000D_
.recs:Birth,Marriage,Death_x000D_
.imm?:no_x000D_
..Spo:THOMASINE WALTER</t>
        </r>
      </text>
    </comment>
    <comment ref="Q6862" authorId="0" shapeId="0" xr:uid="{A14C7886-65E5-42BC-8B8B-58A06A0DFBB5}">
      <text>
        <r>
          <rPr>
            <sz val="9"/>
            <color indexed="81"/>
            <rFont val="Tahoma"/>
            <family val="2"/>
          </rPr>
          <t>Mrs. MARGARET LUKYN_x000D_
http://yeinfo.com/family/I09047437.html_x000D_
https://www.google.com/search?q=MARGARET+LUKYN+1498+1518+LUKYN_x000D_
.born:?1498    -         ?Essex county England_x000D_
.died: 1518    -1588     ?Essex county England, age:20y 0m 0d, _x000D_
.bapt: 1785GE_x000D_
.will: 2004MO_x000D_
.obit: 1890OH_x000D_
.bury: 1850IL _x000D_
.wpbt: 1826PA_x000D_
.anc#:double ancestor_x000D_
citiz:foreign_x000D_
#spos:1_x000D_
#srcs:1_x000D_
#comment:0_x000D_
#events:1_x000D_
#kids:1_x000D_
lived:?ENESSEX_x000D_
issue:_x000D_
.recs:Birth,Marriage,Death_x000D_
.imm?:no_x000D_
..Spo:GEOFFREY LUKYN</t>
        </r>
      </text>
    </comment>
    <comment ref="O6864" authorId="0" shapeId="0" xr:uid="{C1CEC7F3-46CA-433E-9F6C-72C88AFCA58E}">
      <text>
        <r>
          <rPr>
            <sz val="9"/>
            <color indexed="81"/>
            <rFont val="Tahoma"/>
            <family val="2"/>
          </rPr>
          <t>JUDITH LUKYN_x000D_
http://yeinfo.com/family/I09011859.html_x000D_
https://www.google.com/search?q=JUDITH+LUKYN+1567+1626+WARD_x000D_
.born: 1567    -          _x000D_
.died: 16260322-          , age:59y 2m 21d, _x000D_
.bapt: 1785GE_x000D_
.will: 2004MO_x000D_
.obit: 1890OH_x000D_
.bury: 1850IL _x000D_
.wpbt: 1826PA_x000D_
.anc#:double ancestor_x000D_
citiz:US born_x000D_
#spos:1_x000D_
#srcs:2_x000D_
#comment:0_x000D_
#events:1_x000D_
#kids:14_x000D_
lived:?EN,ENSUFFO_x000D_
issue:_x000D_
.recs:Birth,Marriage,Death_x000D_
.imm?:no_x000D_
..Spo:EDWARD WARD</t>
        </r>
      </text>
    </comment>
    <comment ref="Q6866" authorId="0" shapeId="0" xr:uid="{270FB565-91FB-471C-B27B-F0C36D901A9C}">
      <text>
        <r>
          <rPr>
            <sz val="9"/>
            <color indexed="81"/>
            <rFont val="Tahoma"/>
            <family val="2"/>
          </rPr>
          <t>WILLIAM WALTER_x000D_
http://yeinfo.com/family/I09047438.html_x000D_
https://www.google.com/search?q=WILLIAM+WALTER+1495+1584+ISABEL_x000D_
.born:?1495    -          Writtle (Essex) England_x000D_
.died: 15840421-          Roxwell (Essex) England, age:89y 3m 20d, _x000D_
.bapt: 1785GE_x000D_
.will: 2004MO_x000D_
.obit: 1890OH_x000D_
.bury: 1850IL _x000D_
.wpbt: 1826PA_x000D_
.anc#:double ancestor_x000D_
citiz:foreign_x000D_
#spos:1_x000D_
#srcs:1_x000D_
#comment:0_x000D_
#events:1_x000D_
#kids:1_x000D_
lived:ENESSEXROXWELL,ENESSEXWRITTLE_x000D_
issue:_x000D_
.recs:Birth,Marriage,Death_x000D_
.imm?:no_x000D_
..Spo:ISABEL DENTON</t>
        </r>
      </text>
    </comment>
    <comment ref="P6868" authorId="0" shapeId="0" xr:uid="{2F45FB42-329A-42B8-9582-46C9E40AC7D1}">
      <text>
        <r>
          <rPr>
            <sz val="9"/>
            <color indexed="81"/>
            <rFont val="Tahoma"/>
            <family val="2"/>
          </rPr>
          <t>THOMASINE WALTER_x000D_
http://yeinfo.com/family/I09023719.html_x000D_
https://www.google.com/search?q=THOMASINE+WALTER+1534+1581+LUKYN+Edward_x000D_
.born:a1534    -          Roxwell (Essex) England_x000D_
.died: 15810915-          Great Baddow (Essex) England, age:47y 8m 14d, _x000D_
.bapt: 1785GE_x000D_
.will: 2004MO_x000D_
.obit: 1890OH_x000D_
.bury: 1850IL _x000D_
.wpbt: 1826PA_x000D_
.anc#:double ancestor_x000D_
citiz:foreign_x000D_
#spos:2_x000D_
#srcs:1_x000D_
#comment:0_x000D_
#events:2_x000D_
#kids:2_x000D_
lived:ENESSEXGREATBA,ENESSEXROXWELL_x000D_
issue:_x000D_
.recs:Birth,Marriage,Death_x000D_
.imm?:no_x000D_
..Spo:WILLIAM LUKYN</t>
        </r>
      </text>
    </comment>
    <comment ref="U6870" authorId="0" shapeId="0" xr:uid="{645DE164-DFD2-455F-9489-EC88C734BD21}">
      <text>
        <r>
          <rPr>
            <sz val="9"/>
            <color indexed="81"/>
            <rFont val="Tahoma"/>
            <family val="2"/>
          </rPr>
          <t>THOMAS DENTON_x000D_
http://yeinfo.com/family/I09066073.html_x000D_
https://www.google.com/search?q=THOMAS+DENTON+1401+1427+AGNES_x000D_
.born: 1401    -          Baddesley Clinton (Warwickshire) England_x000D_
.died: 1427    -1491      , age:26y 0m 0d, _x000D_
.bapt: 1785GE_x000D_
.will: 2004MO_x000D_
.obit: 1890OH_x000D_
.bury: 1850IL _x000D_
.wpbt: 1826PA_x000D_
.anc#:double ancestor_x000D_
citiz:foreign_x000D_
#spos:1_x000D_
#srcs:1_x000D_
#comment:0_x000D_
#events:1_x000D_
#kids:1_x000D_
lived:ENWARWEBADDESL_x000D_
issue:_x000D_
.recs:Birth,Marriage,Death_x000D_
.imm?:no_x000D_
..Spo:AGNES BALDINGTON</t>
        </r>
      </text>
    </comment>
    <comment ref="T6872" authorId="0" shapeId="0" xr:uid="{CB2C70DF-DD2B-4908-956D-88FDBE3CBBEB}">
      <text>
        <r>
          <rPr>
            <sz val="9"/>
            <color indexed="81"/>
            <rFont val="Tahoma"/>
            <family val="2"/>
          </rPr>
          <t>THOMAS DENTON_x000D_
http://yeinfo.com/family/I09065889.html_x000D_
https://www.google.com/search?q=THOMAS+DENTON+1427+1453+ALISON_x000D_
.born: 1427    -          Baddesley Clinton (Warwickshire) England_x000D_
.died: 1453    -          , age:26y 0m 0d, _x000D_
.bapt: 1785GE_x000D_
.will: 2004MO_x000D_
.obit: 1890OH_x000D_
.bury: 1850IL _x000D_
.wpbt: 1826PA_x000D_
.anc#:double ancestor_x000D_
citiz:foreign_x000D_
#spos:1_x000D_
#srcs:2_x000D_
#comment:1_x000D_
#events:1_x000D_
#kids:1_x000D_
lived:ENWARWEBADDESL_x000D_
issue:_x000D_
.recs:Birth,Marriage,Death_x000D_
.imm?:no_x000D_
..Spo:ALISON DAUNCY</t>
        </r>
      </text>
    </comment>
    <comment ref="U6874" authorId="0" shapeId="0" xr:uid="{D8626673-15BE-4362-BA65-8007E26A615C}">
      <text>
        <r>
          <rPr>
            <sz val="9"/>
            <color indexed="81"/>
            <rFont val="Tahoma"/>
            <family val="2"/>
          </rPr>
          <t>AGNES BALDINGTON_x000D_
http://yeinfo.com/family/I09066130.html_x000D_
https://www.google.com/search?q=AGNES+BALDINGTON+1403+1427+DENTON_x000D_
.born: 1403    -          Baddesley Clinton (Warwickshire) England_x000D_
.died: 1427    -1493      , age:24y 0m 0d, _x000D_
.bapt: 1785GE_x000D_
.will: 2004MO_x000D_
.obit: 1890OH_x000D_
.bury: 1850IL _x000D_
.wpbt: 1826PA_x000D_
.anc#:double ancestor_x000D_
citiz:foreign_x000D_
#spos:1_x000D_
#srcs:1_x000D_
#comment:0_x000D_
#events:1_x000D_
#kids:1_x000D_
lived:ENWARWEBADDESL_x000D_
issue:_x000D_
.recs:Birth,Marriage,Death_x000D_
.imm?:no_x000D_
..Spo:THOMAS DENTON</t>
        </r>
      </text>
    </comment>
    <comment ref="S6876" authorId="0" shapeId="0" xr:uid="{DC39D088-0A10-41C5-8102-C628836B6124}">
      <text>
        <r>
          <rPr>
            <sz val="9"/>
            <color indexed="81"/>
            <rFont val="Tahoma"/>
            <family val="2"/>
          </rPr>
          <t>JOHN DENTON_x000D_
http://yeinfo.com/family/I09065738.html_x000D_
https://www.google.com/search?q=JOHN+DENTON+1445+1497+ISABELL_x000D_
.born:c1445    -          Baddesley Clinton (Warwickshire) England_x000D_
.died: 1497    -          , age:52y 0m 0d, _x000D_
.bapt: 1785GE_x000D_
.will: 2004MO_x000D_
.obit: 1890OH_x000D_
.bury: 1850IL _x000D_
.wpbt: 1826PA_x000D_
.anc#:double ancestor_x000D_
citiz:foreign_x000D_
#spos:1_x000D_
#srcs:2_x000D_
#comment:0_x000D_
#events:1_x000D_
#kids:2_x000D_
lived:ENWARWEBADDESL_x000D_
issue:Born before Parents Married,Died after Age 100_x000D_
.recs:Birth,Marriage,Death_x000D_
.imm?:no_x000D_
..Spo:ISABELL BROME</t>
        </r>
      </text>
    </comment>
    <comment ref="T6878" authorId="0" shapeId="0" xr:uid="{E02F82B8-CB34-4904-9353-134ED1E9FF10}">
      <text>
        <r>
          <rPr>
            <sz val="9"/>
            <color indexed="81"/>
            <rFont val="Tahoma"/>
            <family val="2"/>
          </rPr>
          <t>ALISON DAUNCY_x000D_
http://yeinfo.com/family/I09065890.html_x000D_
https://www.google.com/search?q=ALISON+DAUNCY+1427+1453+DENTON_x000D_
.born:c1427    -          Baddesley Clinton (Warwickshire) England_x000D_
.died: 1453    -          , age:26y 0m 0d, _x000D_
.bapt: 1785GE_x000D_
.will: 2004MO_x000D_
.obit: 1890OH_x000D_
.bury: 1850IL _x000D_
.wpbt: 1826PA_x000D_
.anc#:double ancestor_x000D_
citiz:foreign_x000D_
#spos:1_x000D_
#srcs:2_x000D_
#comment:1_x000D_
#events:1_x000D_
#kids:1_x000D_
lived:ENWARWEBADDESL_x000D_
issue:_x000D_
.recs:Birth,Marriage,Death_x000D_
.imm?:no_x000D_
..Spo:THOMAS DENTON</t>
        </r>
      </text>
    </comment>
    <comment ref="R6880" authorId="0" shapeId="0" xr:uid="{021A3E2A-2F9B-4F57-83E8-940CD2758AE3}">
      <text>
        <r>
          <rPr>
            <sz val="9"/>
            <color indexed="81"/>
            <rFont val="Tahoma"/>
            <family val="2"/>
          </rPr>
          <t>THOMAS DENTON_x000D_
http://yeinfo.com/family/I09065603.html_x000D_
https://www.google.com/search?q=THOMAS+DENTON+1464+1560+JANE_x000D_
.born: 1464    -          Buckinghamshire county England_x000D_
.died: 1560    -          Caversfield (Buckinghamshire) England, age:96y 0m 0d, _x000D_
.bapt: 1785GE_x000D_
.will: 2004MO_x000D_
.obit: 1890OH_x000D_
.bury: 1850IL _x000D_
.wpbt: 1826PA_x000D_
.anc#:double ancestor_x000D_
citiz:foreign_x000D_
#spos:1_x000D_
#srcs:1_x000D_
#comment:0_x000D_
#events:1_x000D_
#kids:4_x000D_
lived:ENBUCKECAVERSF_x000D_
issue:_x000D_
.recs:Birth,Marriage,Death_x000D_
.imm?:no_x000D_
..Spo:JANE WEBBE</t>
        </r>
      </text>
    </comment>
    <comment ref="T6882" authorId="0" shapeId="0" xr:uid="{8A408EDF-4E92-4C6D-AAF3-94EA33EACA20}">
      <text>
        <r>
          <rPr>
            <sz val="9"/>
            <color indexed="81"/>
            <rFont val="Tahoma"/>
            <family val="2"/>
          </rPr>
          <t>JOHN BROME_x000D_
http://yeinfo.com/family/I09065891.html_x000D_
https://www.google.com/search?q=JOHN+BROME+1410+1468+BEATRIX_x000D_
.born: 1410    -          Baddesley Clinton (Warwickshire) England_x000D_
.died: 14681105-          Baddesley Clinton (Warwickshire) England, age:58y 10m 4d, _x000D_
.bapt: 1785GE_x000D_
.will: 2004MO_x000D_
.obit: 1890OH_x000D_
.bury: 1850IL _x000D_
.wpbt: 1826PA_x000D_
.anc#:double ancestor_x000D_
citiz:foreign_x000D_
#spos:1_x000D_
#srcs:1_x000D_
#comment:1_x000D_
#events:1_x000D_
#kids:1_x000D_
lived:ENWARWEBADDESL_x000D_
issue:_x000D_
.recs:Birth,Marriage,Death_x000D_
.imm?:no_x000D_
..Spo:BEATRIX SHIRLEY</t>
        </r>
      </text>
    </comment>
    <comment ref="S6884" authorId="0" shapeId="0" xr:uid="{5BFEE729-03A6-4747-AA59-F2CDA01A11CE}">
      <text>
        <r>
          <rPr>
            <sz val="9"/>
            <color indexed="81"/>
            <rFont val="Tahoma"/>
            <family val="2"/>
          </rPr>
          <t>ISABELL BROME_x000D_
http://yeinfo.com/family/I09065739.html_x000D_
https://www.google.com/search?q=ISABELL+BROME+1436+1470+DENTON_x000D_
.born:c1436    -          Baddesley Clinton (Warwickshire) England_x000D_
.died: 1470    -          , age:34y 0m 0d, _x000D_
.bapt: 1785GE_x000D_
.will: 2004MO_x000D_
.obit: 1890OH_x000D_
.bury: 1850IL _x000D_
.wpbt: 1826PA_x000D_
.anc#:double ancestor_x000D_
citiz:foreign_x000D_
#spos:1_x000D_
#srcs:2_x000D_
#comment:0_x000D_
#events:1_x000D_
#kids:2_x000D_
lived:ENWARWEBADDESL_x000D_
issue:_x000D_
.recs:Birth,Marriage,Death_x000D_
.imm?:no_x000D_
..Spo:JOHN DENTON</t>
        </r>
      </text>
    </comment>
    <comment ref="T6886" authorId="0" shapeId="0" xr:uid="{B9C75C7B-F998-4B13-A7D8-7BA07ADE1A3B}">
      <text>
        <r>
          <rPr>
            <sz val="9"/>
            <color indexed="81"/>
            <rFont val="Tahoma"/>
            <family val="2"/>
          </rPr>
          <t>BEATRIX SHIRLEY_x000D_
http://yeinfo.com/family/I09065892.html_x000D_
https://www.google.com/search?q=BEATRIX+SHIRLEY+1414+1483+BROME_x000D_
.born: 1414    -          Shirley (Derbyshire) England_x000D_
.died: 14830710-          Baddesley Clinton (Warwickshire) England, age:69y 6m 9d, _x000D_
.bapt: 1785GE_x000D_
.will: 2004MO_x000D_
.obit: 1890OH_x000D_
.bury: 1850IL _x000D_
.wpbt: 1826PA_x000D_
.anc#:double ancestor_x000D_
citiz:foreign_x000D_
#spos:1_x000D_
#srcs:1_x000D_
#comment:1_x000D_
#events:1_x000D_
#kids:1_x000D_
lived:ENDERBSSHIRLEY,ENWARWEBADDESL_x000D_
issue:_x000D_
.recs:Birth,Marriage,Death_x000D_
.imm?:no_x000D_
..Spo:JOHN BROME</t>
        </r>
      </text>
    </comment>
    <comment ref="Q6888" authorId="0" shapeId="0" xr:uid="{892B42BB-9B9B-4B65-BF85-B9E6BBA2D493}">
      <text>
        <r>
          <rPr>
            <sz val="9"/>
            <color indexed="81"/>
            <rFont val="Tahoma"/>
            <family val="2"/>
          </rPr>
          <t>ISABEL DENTON_x000D_
http://yeinfo.com/family/I09047439.html_x000D_
https://www.google.com/search?q=ISABEL+DENTON+1490+1580+WALTER+Edward_x000D_
.born: 1490    -          Caversfield (Buckinghamshire) England_x000D_
.died: 15801218-          Roxwell (Essex) England, age:90y 11m 17d, _x000D_
.bapt: 1785GE_x000D_
.will: 2004MO_x000D_
.obit: 1890OH_x000D_
.bury: 1850IL _x000D_
.wpbt: 1826PA_x000D_
.anc#:double ancestor_x000D_
citiz:foreign_x000D_
#spos:2_x000D_
#srcs:1_x000D_
#comment:0_x000D_
#events:2_x000D_
#kids:1_x000D_
lived:ENBUCKECAVERSF,ENESSEXROXWELL_x000D_
issue:_x000D_
.recs:Birth,Marriage,Death_x000D_
.imm?:no_x000D_
..Spo:WILLIAM WALTER</t>
        </r>
      </text>
    </comment>
    <comment ref="R6890" authorId="0" shapeId="0" xr:uid="{8209A6B9-0AEF-4000-8E9A-5297E313C119}">
      <text>
        <r>
          <rPr>
            <sz val="9"/>
            <color indexed="81"/>
            <rFont val="Tahoma"/>
            <family val="2"/>
          </rPr>
          <t>JANE WEBBE_x000D_
http://yeinfo.com/family/I09065604.html_x000D_
https://www.google.com/search?q=JANE+WEBBE+1468+1560+DENTON_x000D_
.born: 1468    -          Caversfield (Buckinghamshire) England_x000D_
.died: 1560    -          Wotton Underwood (Buckinghamshire) England, age:92y 0m 0d, _x000D_
.bapt: 1785GE_x000D_
.will: 2004MO_x000D_
.obit: 1890OH_x000D_
.bury: 1850IL _x000D_
.wpbt: 1826PA_x000D_
.anc#:double ancestor_x000D_
citiz:foreign_x000D_
#spos:1_x000D_
#srcs:1_x000D_
#comment:0_x000D_
#events:1_x000D_
#kids:4_x000D_
lived:ENBUCKECAVERSF,ENBUCKEWOTTONU_x000D_
issue:_x000D_
.recs:Birth,Marriage,Death_x000D_
.imm?:no_x000D_
..Spo:THOMAS DENTON</t>
        </r>
      </text>
    </comment>
    <comment ref="L6892" authorId="0" shapeId="0" xr:uid="{691744E7-08A7-4988-BF46-5AC353162B30}">
      <text>
        <r>
          <rPr>
            <sz val="9"/>
            <color indexed="81"/>
            <rFont val="Tahoma"/>
            <family val="2"/>
          </rPr>
          <t>ELNATHAN ALLEN_x000D_
http://yeinfo.com/family/I09001482.html_x000D_
https://www.google.com/search?q=ELNATHAN+ALLEN+1666+1734+MARY\MERCY_x000D_
.born: 16661107-          Lancaster (Worcester) Massachusetts_x000D_
.died: 1734    -          Shrewsbury (Worcester) Massachusetts, age:67y 1m 25d, falling from a load of hay_x000D_
.bapt: 1785GE_x000D_
.will: 2004MO_x000D_
.obit: 1890OH_x000D_
.bury: 1850IL _x000D_
.wpbt: 1826PA_x000D_
.anc#:double ancestor_x000D_
citiz:US born_x000D_
#spos:1_x000D_
#srcs:8_x000D_
#comment:0_x000D_
#events:6_x000D_
#kids:5_x000D_
lived:MAMIDDLHOPKINT,MAMIDDLSUDBURY,MAMIDDLWATERTO,MAWORCELANCAST,MAWORCESHREWSB_x000D_
issue:_x000D_
.recs:Birth,Marriage,Death,Church_x000D_
.imm?:no_x000D_
..Spo:MARY\MERCY RICE</t>
        </r>
      </text>
    </comment>
    <comment ref="R6894" authorId="0" shapeId="0" xr:uid="{040932CD-EE2C-4612-BFD5-E66988E43E41}">
      <text>
        <r>
          <rPr>
            <sz val="9"/>
            <color indexed="81"/>
            <rFont val="Tahoma"/>
            <family val="2"/>
          </rPr>
          <t>NICHOLAS WILDER_x000D_
http://yeinfo.com/family/I09065605.html_x000D_
https://www.google.com/search?q=NICHOLAS+WILDER+1460+1542+ISABEL\ELIZABETH_x000D_
.born: 1460    -          France_x000D_
.died: 1542    -          Sulham (Berkshire) England, age:82y 0m 0d, _x000D_
.bapt: 1785GE_x000D_
.will: 2004MO_x000D_
.obit: 1890OH_x000D_
.bury: 1850IL _x000D_
.wpbt: 1826PA_x000D_
.anc#:double ancestor_x000D_
citiz:foreign_x000D_
#spos:1_x000D_
#srcs:6_x000D_
#comment:0_x000D_
#events:6_x000D_
#kids:2_x000D_
lived:ENBERKISULHAM,FR_x000D_
issue:_x000D_
.recs:Birth,Military,Marriage,Death,Land Transaction_x000D_
.imm?:no_x000D_
..Spo:ISABEL\ELIZABETH WILDER</t>
        </r>
      </text>
    </comment>
    <comment ref="Q6896" authorId="0" shapeId="0" xr:uid="{E50D8664-3EE1-4274-84F0-4F364DED32D6}">
      <text>
        <r>
          <rPr>
            <sz val="9"/>
            <color indexed="81"/>
            <rFont val="Tahoma"/>
            <family val="2"/>
          </rPr>
          <t>JOHN WILDER_x000D_
http://yeinfo.com/family/I09047440.html_x000D_
https://www.google.com/search?q=JOHN+WILDER+1500+1545+AGNES_x000D_
.born:?1500    -          England_x000D_
.died: 1545    -1590     ?Berkshire county England, age:45y 0m 0d, _x000D_
.bapt: 1785GE_x000D_
.will: 2004MO_x000D_
.obit: 1890OH_x000D_
.bury: 1850IL _x000D_
.wpbt: 1826PA_x000D_
.anc#:double ancestor_x000D_
citiz:foreign_x000D_
#spos:1_x000D_
#srcs:2_x000D_
#comment:0_x000D_
#events:3_x000D_
#kids:1_x000D_
lived:ENBERKISULHAM_x000D_
issue:_x000D_
.recs:Birth,Marriage,Inheritance,Death_x000D_
.imm?:no_x000D_
..Spo:AGNES KNAPP</t>
        </r>
      </text>
    </comment>
    <comment ref="R6898" authorId="0" shapeId="0" xr:uid="{4C60C987-3425-4DD0-828F-B553E1C9D067}">
      <text>
        <r>
          <rPr>
            <sz val="9"/>
            <color indexed="81"/>
            <rFont val="Tahoma"/>
            <family val="2"/>
          </rPr>
          <t>Mrs. ISABEL\ELIZABETH WILDER_x000D_
http://yeinfo.com/family/I09065606.html_x000D_
https://www.google.com/search?q=ISABEL\ELIZABETH+WILDER+1460+1543+WILDER_x000D_
.born: 1460    -          Oxfordshire county England_x000D_
.died: 1543    -          Berkshire county England, age:83y 0m 0d, _x000D_
.bapt: 1785GE_x000D_
.will: 2004MO_x000D_
.obit: 1890OH_x000D_
.bury: 1850IL _x000D_
.wpbt: 1826PA_x000D_
.anc#:double ancestor_x000D_
citiz:foreign_x000D_
#spos:1_x000D_
#srcs:6_x000D_
#comment:1_x000D_
#events:1_x000D_
#kids:2_x000D_
lived:ENBERKI,ENOXFOS_x000D_
issue:_x000D_
.recs:Birth,Marriage,Death_x000D_
.imm?:no_x000D_
..Spo:NICHOLAS WILDER</t>
        </r>
      </text>
    </comment>
    <comment ref="P6900" authorId="0" shapeId="0" xr:uid="{E8EB3CC5-DB36-46F5-B562-21A6EC0DAEE6}">
      <text>
        <r>
          <rPr>
            <sz val="9"/>
            <color indexed="81"/>
            <rFont val="Tahoma"/>
            <family val="2"/>
          </rPr>
          <t>JOHN RICHARD WILDER_x000D_
http://yeinfo.com/family/I09023720.html_x000D_
https://www.google.com/search?q=JOHN+RICHARD+WILDER+1545+1588+ALICE+EARL_x000D_
.born: 1545    -          Sulham (Berkshire) England_x000D_
.died: 1588    -          , age:43y 0m 0d, _x000D_
.bapt: 1785GE_x000D_
.will: 2004MO_x000D_
.obit: 1890OH_x000D_
.bury: 1850IL _x000D_
.wpbt: 1826PA_x000D_
.anc#:double ancestor_x000D_
citiz:foreign_x000D_
#spos:1_x000D_
#srcs:3_x000D_
#comment:0_x000D_
#events:5_x000D_
#kids:7_x000D_
lived:ENBERKISULHAM_x000D_
issue:_x000D_
.recs:Birth,Marriage,Inheritance,Will Written,Death_x000D_
.imm?:no_x000D_
..Spo:ALICE EARL KEATS</t>
        </r>
      </text>
    </comment>
    <comment ref="Q6902" authorId="0" shapeId="0" xr:uid="{34475238-91A4-4FAB-B7C4-8627ABF5EBDC}">
      <text>
        <r>
          <rPr>
            <sz val="9"/>
            <color indexed="81"/>
            <rFont val="Tahoma"/>
            <family val="2"/>
          </rPr>
          <t>AGNES KNAPP_x000D_
http://yeinfo.com/family/I09047441.html_x000D_
https://www.google.com/search?q=AGNES+KNAPP+1500+1545+WILDER_x000D_
.born:?1500    -          England_x000D_
.died: 1545    -1590      , age:45y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..Spo:JOHN WILDER</t>
        </r>
      </text>
    </comment>
    <comment ref="O6904" authorId="0" shapeId="0" xr:uid="{1FE4F5AE-39AA-44F0-B778-D94C46D3AAFB}">
      <text>
        <r>
          <rPr>
            <sz val="9"/>
            <color indexed="81"/>
            <rFont val="Tahoma"/>
            <family val="2"/>
          </rPr>
          <t>THOMAS WILDER_x000D_
http://yeinfo.com/family/I09011860.html_x000D_
https://www.google.com/search?q=THOMAS+WILDER+1585+1634+MARTHA_x000D_
.born: 1585    -          Shiplake (Oxfordshire) England_x000D_
.died: 1634    -          Shiplake (Oxfordshire) England, age:49y 0m 0d, _x000D_
.bapt: 1785GE_x000D_
.will: 2004MO_x000D_
.obit: 1890OH_x000D_
.bury: 1850IL _x000D_
.wpbt: 1826PA_x000D_
.anc#:double ancestor_x000D_
citiz:foreign_x000D_
#spos:1_x000D_
#srcs:7_x000D_
#comment:0_x000D_
#events:3_x000D_
#kids:5_x000D_
lived:ENBERKISULHAM,ENOXFOSSHIPLAK_x000D_
issue:_x000D_
.recs:Birth,Marriage,Death_x000D_
.imm?:no_x000D_
..Spo:MARTHA HIGGS</t>
        </r>
      </text>
    </comment>
    <comment ref="Q6906" authorId="0" shapeId="0" xr:uid="{6A338374-E072-4F3A-B489-74F2155E7B74}">
      <text>
        <r>
          <rPr>
            <sz val="9"/>
            <color indexed="81"/>
            <rFont val="Tahoma"/>
            <family val="2"/>
          </rPr>
          <t>THOMAS KEATS_x000D_
http://yeinfo.com/family/I09047442.html_x000D_
https://www.google.com/search?q=THOMAS+KEATS+1530+1582+FRANCES_x000D_
.born:?1530    -          Sulham (Berks) England_x000D_
.died:?1582    -          England, age:52y 0m 0d, _x000D_
.bapt: 1785GE_x000D_
.will: 2004MO_x000D_
.obit: 1890OH_x000D_
.bury: 1850IL _x000D_
.wpbt: 1826PA_x000D_
.anc#:double ancestor_x000D_
citiz:foreign_x000D_
#spos:1_x000D_
#srcs:3_x000D_
#comment:0_x000D_
#events:3_x000D_
#kids:1_x000D_
lived:ENBERKISULHAM,ENBERKSSULHAM_x000D_
issue:_x000D_
.recs:Birth,Marriage,Deed_x000D_
.imm?:no_x000D_
..Spo:FRANCES JENNINGS</t>
        </r>
      </text>
    </comment>
    <comment ref="P6908" authorId="0" shapeId="0" xr:uid="{5E359826-68D7-4D40-8B24-97A648B58C59}">
      <text>
        <r>
          <rPr>
            <sz val="9"/>
            <color indexed="81"/>
            <rFont val="Tahoma"/>
            <family val="2"/>
          </rPr>
          <t>ALICE EARL KEATS_x000D_
http://yeinfo.com/family/I09023721.html_x000D_
https://www.google.com/search?q=ALICE+EARL+KEATS+1555+1587+WILDER_x000D_
.born: 1555    -         ?England_x000D_
.died: 1587    -1645      , age:32y 0m 0d, _x000D_
.bapt: 1785GE_x000D_
.will: 2004MO_x000D_
.obit: 1890OH_x000D_
.bury: 1850IL _x000D_
.wpbt: 1826PA_x000D_
.anc#:double ancestor_x000D_
citiz:foreign_x000D_
#spos:1_x000D_
#srcs:3_x000D_
#comment:0_x000D_
#events:2_x000D_
#kids:7_x000D_
lived:?EN,ENBERKISULHAM_x000D_
issue:Died after Age 100_x000D_
.recs:Birth,Marriage,Death_x000D_
.imm?:no_x000D_
..Spo:JOHN RICHARD WILDER</t>
        </r>
      </text>
    </comment>
    <comment ref="Q6910" authorId="0" shapeId="0" xr:uid="{68CC3ED8-37DF-45F2-AFED-296A2E13D91D}">
      <text>
        <r>
          <rPr>
            <sz val="9"/>
            <color indexed="81"/>
            <rFont val="Tahoma"/>
            <family val="2"/>
          </rPr>
          <t>FRANCES JENNINGS_x000D_
http://yeinfo.com/family/I09047443.html_x000D_
https://www.google.com/search?q=FRANCES+JENNINGS+1530+1555+KEATS_x000D_
.born:?1530    -          England_x000D_
.died: 1555    -1580      , age:25y 0m 0d, _x000D_
.bapt: 1785GE_x000D_
.will: 2004MO_x000D_
.obit: 1890OH_x000D_
.bury: 1850IL _x000D_
.wpbt: 1826PA_x000D_
.anc#:double ancestor_x000D_
citiz:foreign_x000D_
#spos:1_x000D_
#srcs:2_x000D_
#comment:0_x000D_
#events:1_x000D_
#kids:1_x000D_
lived:EN_x000D_
issue:_x000D_
.recs:Birth,Marriage,Death_x000D_
.imm?:no_x000D_
..Spo:THOMAS KEATS</t>
        </r>
      </text>
    </comment>
    <comment ref="N6912" authorId="0" shapeId="0" xr:uid="{9616D9E7-FFCD-4BDD-9639-A75C0A801122}">
      <text>
        <r>
          <rPr>
            <sz val="9"/>
            <color indexed="81"/>
            <rFont val="Tahoma"/>
            <family val="2"/>
          </rPr>
          <t>THOMAS WILDER_x000D_
http://yeinfo.com/family/I09005930.html_x000D_
https://www.google.com/search?q=THOMAS+WILDER+1618+1668+ANNA_x000D_
.born:?1618    -         ?England_x000D_
.died: 16681023-          , age:50y 9m 22d, _x000D_
.bapt: 1785GE_x000D_
.will: 2004MO_x000D_
.obit: 1890OH_x000D_
.bury: 1850IL _x000D_
.wpbt: 1826PA_x000D_
.anc#:double ancestor_x000D_
citiz:US born_x000D_
#spos:1_x000D_
#srcs:11_x000D_
#comment:0_x000D_
#events:15_x000D_
#kids:6_x000D_
lived:?EN,ENDEVONPLYMOUT,ENOXFOSSHIPLAK,MASUFFOCHAZTWN,MAWORCELANCAST_x000D_
issue:_x000D_
.recs:Birth,Military,Marriage,Job/Occupation,Will Written,Death,Land Transaction,Freeman_x000D_
.imm?:no_x000D_
..Spo:ANNA EAMES</t>
        </r>
      </text>
    </comment>
    <comment ref="O6914" authorId="0" shapeId="0" xr:uid="{BB5D9105-6F6B-42C8-9721-67D7188964CE}">
      <text>
        <r>
          <rPr>
            <sz val="9"/>
            <color indexed="81"/>
            <rFont val="Tahoma"/>
            <family val="2"/>
          </rPr>
          <t>MARTHA HIGGS_x000D_
http://yeinfo.com/family/I09011861.html_x000D_
https://www.google.com/search?q=MARTHA+HIGGS+1590+1652+WILDER_x000D_
.born: 1590    -          Reading (Berkshire) England_x000D_
.died: 16520420-          Plymouth (Plymouth) Massachusetts, age:62y 3m 19d, _x000D_
.bapt: 1785GE_x000D_
.will: 2004MO_x000D_
.obit: 1890OH_x000D_
.bury: 1850IL _x000D_
.wpbt: 1826PA_x000D_
.anc#:double ancestor_x000D_
citiz:immigrant_x000D_
#spos:1_x000D_
#srcs:8_x000D_
#comment:0_x000D_
#events:4_x000D_
#kids:5_x000D_
lived:ENBERKIREADING,ENHAMPSSOUTHMP,MAPLYMOHINGHAM,MAPLYMOPLYMOUT_x000D_
issue:_x000D_
.recs:Birth,Marriage,Ship Passenger List,Death_x000D_
.imm?:immigrant_x000D_
..Spo:THOMAS WILDER</t>
        </r>
      </text>
    </comment>
    <comment ref="M6916" authorId="0" shapeId="0" xr:uid="{D478B53A-AD0E-4399-B313-04D0BB318D0D}">
      <text>
        <r>
          <rPr>
            <sz val="9"/>
            <color indexed="81"/>
            <rFont val="Tahoma"/>
            <family val="2"/>
          </rPr>
          <t>MARY WILDER_x000D_
http://yeinfo.com/family/I09002965.html_x000D_
https://www.google.com/search?q=MARY+WILDER+1642+1666+ALLEN_x000D_
.born: 16420630-          Dedham (Norfolk) Massachusetts_x000D_
.died: 1666    -1732      Lancaster (Worcester) Massachusetts, age:23y 6m 2d, _x000D_
.bapt: 1785GE_x000D_
.will: 2004MO_x000D_
.obit: 1890OH_x000D_
.bury: 1850IL _x000D_
.wpbt: 1826PA_x000D_
.anc#:double ancestor_x000D_
citiz:US born_x000D_
#spos:1_x000D_
#srcs:8_x000D_
#comment:1_x000D_
#events:1_x000D_
#kids:12_x000D_
lived:MANORFODEDHAM,MAWORCELANCAST_x000D_
issue:_x000D_
.recs:Birth,Marriage,Death_x000D_
.imm?:no_x000D_
..Spo:DANIEL ALLEN</t>
        </r>
      </text>
    </comment>
    <comment ref="O6918" authorId="0" shapeId="0" xr:uid="{8F7F6987-8771-49BA-944D-5793B3A9C095}">
      <text>
        <r>
          <rPr>
            <sz val="9"/>
            <color indexed="81"/>
            <rFont val="Tahoma"/>
            <family val="2"/>
          </rPr>
          <t>ANTHONY EAMES_x000D_
http://yeinfo.com/family/I09011862.html_x000D_
https://www.google.com/search?q=ANTHONY+EAMES+1595+1686+MARGERY_x000D_
.born:?1595    -         ?England_x000D_
.died: 16861006-          Dorset county England, age:91y 9m 5d, _x000D_
.bapt: 1785GE_x000D_
.will: 2004MO_x000D_
.obit: 1890OH_x000D_
.bury: 1850IL _x000D_
.wpbt: 1826PA_x000D_
.anc#:double ancestor_x000D_
citiz:foreign_x000D_
#spos:1_x000D_
#srcs:2_x000D_
#comment:0_x000D_
#events:1_x000D_
#kids:1_x000D_
lived:?EN,ENDORSE_x000D_
issue:Died after Age 100_x000D_
.recs:Birth,Marriage,Death_x000D_
.imm?:no_x000D_
..Spo:MARGERY PIERCE</t>
        </r>
      </text>
    </comment>
    <comment ref="N6920" authorId="0" shapeId="0" xr:uid="{4E8D0DA2-3DD9-498C-9782-4CD2C9B6CEA0}">
      <text>
        <r>
          <rPr>
            <sz val="9"/>
            <color indexed="81"/>
            <rFont val="Tahoma"/>
            <family val="2"/>
          </rPr>
          <t>ANNA EAMES_x000D_
http://yeinfo.com/family/I09005931.html_x000D_
https://www.google.com/search?q=ANNA+EAMES+1597+1692+WILDER_x000D_
.born:c1597    -          Dorset county England_x000D_
.died: 1692    -          Marshfield (Plymouth) Massachusetts, age:95y 0m 0d, _x000D_
.bapt: 1785GE_x000D_
.will: 2004MO_x000D_
.obit: 1890OH_x000D_
.bury: 1850IL _x000D_
.wpbt: 1826PA_x000D_
.anc#:double ancestor_x000D_
citiz:immigrant_x000D_
#spos:1_x000D_
#srcs:6_x000D_
#comment:0_x000D_
#events:1_x000D_
#kids:6_x000D_
lived:ENDORSE,MAPLYMOMARSHFI_x000D_
issue:_x000D_
.recs:Birth,Marriage,Death_x000D_
.imm?:immigrant_x000D_
..Spo:THOMAS WILDER</t>
        </r>
      </text>
    </comment>
    <comment ref="O6922" authorId="0" shapeId="0" xr:uid="{F55DB20F-FBA7-43BA-B650-F92E8B4B4F6E}">
      <text>
        <r>
          <rPr>
            <sz val="9"/>
            <color indexed="81"/>
            <rFont val="Tahoma"/>
            <family val="2"/>
          </rPr>
          <t>MARGERY PIERCE_x000D_
http://yeinfo.com/family/I09011863.html_x000D_
https://www.google.com/search?q=MARGERY+PIERCE+1575+1662+EAMES_x000D_
.born:?1575    -         ?England_x000D_
.died: 16621231-          , age:87y 11m 30d, _x000D_
.bapt: 1785GE_x000D_
.will: 2004MO_x000D_
.obit: 1890OH_x000D_
.bury: 1850IL _x000D_
.wpbt: 1826PA_x000D_
.anc#:double ancestor_x000D_
citiz:US born_x000D_
#spos:1_x000D_
#srcs:1_x000D_
#comment:0_x000D_
#events:1_x000D_
#kids:1_x000D_
lived:?EN_x000D_
issue:_x000D_
.recs:Birth,Marriage,Death_x000D_
.imm?:no_x000D_
..Spo:ANTHONY EAMES</t>
        </r>
      </text>
    </comment>
    <comment ref="K6924" authorId="0" shapeId="0" xr:uid="{FBE9042F-BA8B-49A7-BADB-BC117C33B6FB}">
      <text>
        <r>
          <rPr>
            <sz val="9"/>
            <color indexed="81"/>
            <rFont val="Tahoma"/>
            <family val="2"/>
          </rPr>
          <t>ANN\MARY ALLEN_x000D_
http://yeinfo.com/family/I09000741.html_x000D_
https://www.google.com/search?q=ANN\MARY+ALLEN+1700+1742+PRATT_x000D_
.born:?1700    -         ?Massachusetts_x000D_
.died: 1742    -1790     ?Massachusetts, age:42y 0m 0d, _x000D_
.bapt: 1785GE_x000D_
.will: 2004MO_x000D_
.obit: 1890OH_x000D_
.bury: 1850IL _x000D_
.wpbt: 1826PA_x000D_
.anc#:ancestor_x000D_
citiz:US born_x000D_
#spos:1_x000D_
#srcs:3_x000D_
#comment:0_x000D_
#events:2_x000D_
#kids:7_x000D_
lived:?MA,MAMIDDLMARLBOR,MAWORCESHREWSB_x000D_
issue:_x000D_
.recs:Birth,Marriage,Death,Church_x000D_
.imm?:no_x000D_
..Spo:AMOS PRATT</t>
        </r>
      </text>
    </comment>
    <comment ref="O6926" authorId="0" shapeId="0" xr:uid="{305104A8-EE36-47C2-B38C-87861DF951B5}">
      <text>
        <r>
          <rPr>
            <sz val="9"/>
            <color indexed="81"/>
            <rFont val="Tahoma"/>
            <family val="2"/>
          </rPr>
          <t>Mr. {_?_} RICE_x000D_
http://yeinfo.com/family/I09021788.html_x000D_
https://www.google.com/search?q={_?_}+RICE+1560+1594+{_?_}_x000D_
.born:?1560    -          England_x000D_
.died: 1594    -1650      , age:34y 0m 0d, _x000D_
.bapt: 1785GE_x000D_
.will: 2004MO_x000D_
.obit: 1890OH_x000D_
.bury: 1850IL _x000D_
.wpbt: 1826PA_x000D_
.anc#: quintuple ancestor_x000D_
citiz:foreign_x000D_
#spos:1_x000D_
#srcs:1_x000D_
#comment:1_x000D_
#events:1_x000D_
#kids:2_x000D_
lived:EN_x000D_
issue:_x000D_
.recs:Birth,Marriage,Death_x000D_
.imm?:no_x000D_
..Spo:{_?_} RICE</t>
        </r>
      </text>
    </comment>
    <comment ref="N6928" authorId="0" shapeId="0" xr:uid="{D032385C-4BD1-4698-A9AB-0ED878C4C14A}">
      <text>
        <r>
          <rPr>
            <sz val="9"/>
            <color indexed="81"/>
            <rFont val="Tahoma"/>
            <family val="2"/>
          </rPr>
          <t>EDMUND RICE_x000D_
http://yeinfo.com/family/I09002844.html_x000D_
https://www.google.com/search?q=EDMUND+RICE+1594+1663+THOMAZINE\ESTHER+HURD_x000D_
.born:c1594    -         ?Sudbury (Suffolk) England_x000D_
.died: 16630503-          Marlborough (Middlesex) Massachusetts, age:69y 4m 2d, _x000D_
.bapt: 1785GE_x000D_
.will: 2004MO_x000D_
.obit: 1890OH_x000D_
.bury: 1850IL _x000D_
.wpbt: 1826PA_x000D_
.anc#:  quadruple ancestor_x000D_
citiz:immigrant_x000D_
#spos:2_x000D_
#srcs:19_x000D_
#comment:2_x000D_
#events:24_x000D_
#kids:12_x000D_
lived:?ENSUFFOSUDBURY,ENHERTFBERKHAM,ENSUFFOBURY SE,ENSUFFOSTANSTE,MAMIDDLMARLBOR,MAMIDDLSUDBURY_x000D_
issue:Married before Age 16_x000D_
.recs:Birth,Baptism,Job/Occupation,Death,Land Transaction,Freeman,Immigrate_x000D_
.imm?:immigrant_x000D_
..Spo:THOMAZINE\ESTHER FROST</t>
        </r>
      </text>
    </comment>
    <comment ref="O6930" authorId="0" shapeId="0" xr:uid="{8E63D59E-B706-4550-890C-BE633E7D9B28}">
      <text>
        <r>
          <rPr>
            <sz val="9"/>
            <color indexed="81"/>
            <rFont val="Tahoma"/>
            <family val="2"/>
          </rPr>
          <t>Mrs. {_?_} RICE_x000D_
http://yeinfo.com/family/I09021789.html_x000D_
https://www.google.com/search?q={_?_}+RICE+1560+1594+RICE_x000D_
.born:?1560    -          England_x000D_
.died: 1594    -1650      , age:34y 0m 0d, _x000D_
.bapt: 1785GE_x000D_
.will: 2004MO_x000D_
.obit: 1890OH_x000D_
.bury: 1850IL _x000D_
.wpbt: 1826PA_x000D_
.anc#: quintuple ancestor_x000D_
citiz:foreign_x000D_
#spos:1_x000D_
#srcs:0_x000D_
#comment:0_x000D_
#events:1_x000D_
#kids:2_x000D_
lived:EN_x000D_
issue:_x000D_
.recs:Birth,Marriage,Death_x000D_
.imm?:no_x000D_
..Spo:{_?_} RICE</t>
        </r>
      </text>
    </comment>
    <comment ref="M6932" authorId="0" shapeId="0" xr:uid="{B8A59183-F5A9-4FE8-9BBD-86CF4D679522}">
      <text>
        <r>
          <rPr>
            <sz val="9"/>
            <color indexed="81"/>
            <rFont val="Tahoma"/>
            <family val="2"/>
          </rPr>
          <t>HENRY RICE_x000D_
http://yeinfo.com/family/I09002966.html_x000D_
https://www.google.com/search?q=HENRY+RICE+1618+1711+ELIZABETH\HANNAH_x000D_
.born: 161801  -          Buckinghamshire county England_x000D_
.died: 17110210-          Framingham (Middlesex) Massachusetts, age:93y 1m 9d, _x000D_
.bapt: 1785GE_x000D_
.will: 2004MO_x000D_
.obit: 1890OH_x000D_
.bury: 1850IL _x000D_
.wpbt: 1826PA_x000D_
.anc#:double ancestor_x000D_
citiz:immigrant_x000D_
#spos:1_x000D_
#srcs:10_x000D_
#comment:0_x000D_
#events:11_x000D_
#kids:10_x000D_
lived:?MAMIDDLSUDBURY,ENBUCKE,ENSUFFOSTANSTE,MAMIDDLCAMBRID,MAMIDDLFRAMING,MAMIDDLMARLBOR_x000D_
issue:_x000D_
.recs:Birth,Baptism,Marriage,Deed,Will Written,Land Transaction,Freeman,Oath Taken_x000D_
.imm?:immigrant_x000D_
..Spo:ELIZABETH\HANNAH MOORE</t>
        </r>
      </text>
    </comment>
    <comment ref="Q6934" authorId="0" shapeId="0" xr:uid="{8B0C2FB2-7D35-420E-BC7D-812010B11DBF}">
      <text>
        <r>
          <rPr>
            <sz val="9"/>
            <color indexed="81"/>
            <rFont val="Tahoma"/>
            <family val="2"/>
          </rPr>
          <t>WILLIAM\HENRY FROST_x000D_
http://yeinfo.com/family/I09065537.html_x000D_
https://www.google.com/search?q=WILLIAM\HENRY+FROST+1480+1549+PHILLIPA_x000D_
.born: 1480    -          Stanstead (Suffolk) England_x000D_
.died: 1549    -          Stanstead (Suffolk) England, age:69y 0m 0d, _x000D_
.bapt: 1785GE_x000D_
.will: 2004MO_x000D_
.obit: 1890OH_x000D_
.bury: 1850IL _x000D_
.wpbt: 1826PA_x000D_
.anc#: quintuple ancestor_x000D_
citiz:foreign_x000D_
#spos:1_x000D_
#srcs:3_x000D_
#comment:0_x000D_
#events:3_x000D_
#kids:7_x000D_
lived:ENSUFFOSTANSTE_x000D_
issue:_x000D_
.recs:Birth,Marriage,Will Written,Death_x000D_
.imm?:no_x000D_
..Spo:PHILLIPA SCOTT</t>
        </r>
      </text>
    </comment>
    <comment ref="P6936" authorId="0" shapeId="0" xr:uid="{7FB4A9BB-3B80-4968-AFAC-FA4AEC3722CA}">
      <text>
        <r>
          <rPr>
            <sz val="9"/>
            <color indexed="81"/>
            <rFont val="Tahoma"/>
            <family val="2"/>
          </rPr>
          <t>JOHN\THOMAS FROST_x000D_
http://yeinfo.com/family/I09043580.html_x000D_
https://www.google.com/search?q=JOHN\THOMAS+FROST+1537+1610+ANN+FROST_x000D_
.born:?1537    -          _x000D_
.died: 1610    -          , age:73y 0m 0d, _x000D_
.bapt: 1785GE_x000D_
.will: 2004MO_x000D_
.obit: 1890OH_x000D_
.bury: 1850IL _x000D_
.wpbt: 1826PA_x000D_
.anc#: quintuple ancestor_x000D_
citiz:foreign_x000D_
#spos:2_x000D_
#srcs:2_x000D_
#comment:0_x000D_
#events:7_x000D_
#kids:9_x000D_
lived:ENSUFFOGLEMSFO,ENSUFFOHARTEST,ENSUFFOSTANSTE_x000D_
issue:_x000D_
.recs:Birth,Baptism,Marriage,Death_x000D_
.imm?:no_x000D_
..Spo:ANN SCOTT</t>
        </r>
      </text>
    </comment>
    <comment ref="Q6938" authorId="0" shapeId="0" xr:uid="{70B52FA4-B3E0-49C5-B1E3-BCBDA5ABAB36}">
      <text>
        <r>
          <rPr>
            <sz val="9"/>
            <color indexed="81"/>
            <rFont val="Tahoma"/>
            <family val="2"/>
          </rPr>
          <t>PHILLIPA SCOTT_x000D_
http://yeinfo.com/family/I09065538.html_x000D_
https://www.google.com/search?q=PHILLIPA+SCOTT+1505+1558+FROST+John_x000D_
.born:?1505    -          Chickney (Essex) England_x000D_
.died: 155801  -         ?Lidgate (Suffolk) England, age:53y 0m 0d, _x000D_
.bapt: 1785GE_x000D_
.will: 2004MO_x000D_
.obit: 1890OH_x000D_
.bury: 1850IL _x000D_
.wpbt: 1826PA_x000D_
.anc#: quintuple ancestor_x000D_
citiz:foreign_x000D_
#spos:2_x000D_
#srcs:3_x000D_
#comment:1_x000D_
#events:3_x000D_
#kids:7_x000D_
lived:?ENSUFFOLIDGATE,ENESSEXCHICKNE,MAMIDDLSUDBURY_x000D_
issue:_x000D_
.recs:Birth,Marriage,Death_x000D_
.imm?:no_x000D_
..Spo:WILLIAM\HENRY FROST</t>
        </r>
      </text>
    </comment>
    <comment ref="O6940" authorId="0" shapeId="0" xr:uid="{E427B6DB-3C59-4EAA-8E2A-302581824CF8}">
      <text>
        <r>
          <rPr>
            <sz val="9"/>
            <color indexed="81"/>
            <rFont val="Tahoma"/>
            <family val="2"/>
          </rPr>
          <t>EDWARD\EDMUND FROST_x000D_
http://yeinfo.com/family/I09021790.html_x000D_
https://www.google.com/search?q=EDWARD\EDMUND+FROST+1560+1616+THOMASINE_x000D_
.born:?1560    -          Glemsford (Suffolk) England_x000D_
.died: 1616    -          Stanstead (Suffolk) England, age:56y 0m 0d, _x000D_
.bapt: 1785GE_x000D_
.will: 2004MO_x000D_
.obit: 1890OH_x000D_
.bury: 1850IL _x000D_
.wpbt: 1826PA_x000D_
.anc#: quintuple ancestor_x000D_
citiz:foreign_x000D_
#spos:1_x000D_
#srcs:1_x000D_
#comment:1_x000D_
#events:4_x000D_
#kids:11_x000D_
lived:ENSUFFOGLEMSFO,ENSUFFOSTANSTE_x000D_
issue:_x000D_
.recs:Birth,Marriage,Job/Occupation,Will Written,Death_x000D_
.imm?:no_x000D_
..Spo:THOMASINE BELGRAVE</t>
        </r>
      </text>
    </comment>
    <comment ref="Q6942" authorId="0" shapeId="0" xr:uid="{CEEE4299-7A2C-4D4A-98A1-A6CCCB862CE5}">
      <text>
        <r>
          <rPr>
            <sz val="9"/>
            <color indexed="81"/>
            <rFont val="Tahoma"/>
            <family val="2"/>
          </rPr>
          <t>RICHARD SCOTT_x000D_
http://yeinfo.com/family/I09065539.html_x000D_
https://www.google.com/search?q=RICHARD+SCOTT+1505+1565+JOANNA+SCOTT_x000D_
.born:?1505    -          England_x000D_
.died:c1565    -         ?Glemsford (Suffolk) England, age:60y 0m 0d, _x000D_
.bapt: 1785GE_x000D_
.will: 2004MO_x000D_
.obit: 1890OH_x000D_
.bury: 1850IL _x000D_
.wpbt: 1826PA_x000D_
.anc#: quintuple ancestor_x000D_
citiz:foreign_x000D_
#spos:2_x000D_
#srcs:6_x000D_
#comment:0_x000D_
#events:6_x000D_
#kids:9_x000D_
lived:?ENSUFFOGLEMSFO,EN_x000D_
issue:_x000D_
.recs:Birth,Marriage,Will Written,Death_x000D_
.imm?:no_x000D_
..Spo:JOANNA SCOTT</t>
        </r>
      </text>
    </comment>
    <comment ref="P6944" authorId="0" shapeId="0" xr:uid="{D616C825-C14A-445D-B186-981FB57C9FE4}">
      <text>
        <r>
          <rPr>
            <sz val="9"/>
            <color indexed="81"/>
            <rFont val="Tahoma"/>
            <family val="2"/>
          </rPr>
          <t>ANN SCOTT_x000D_
http://yeinfo.com/family/I09043581.html_x000D_
https://www.google.com/search?q=ANN+SCOTT+1540+1588+FROST_x000D_
.born:?1540    -          _x000D_
.died: 158807  -          , age:48y 6m 0d, _x000D_
.bapt: 1785GE_x000D_
.will: 2004MO_x000D_
.obit: 1890OH_x000D_
.bury: 1850IL _x000D_
.wpbt: 1826PA_x000D_
.anc#: quintuple ancestor_x000D_
citiz:foreign_x000D_
#spos:1_x000D_
#srcs:2_x000D_
#comment:1_x000D_
#events:2_x000D_
#kids:9_x000D_
lived:ENSUFFOGLEMSFO,ENSUFFOHARTEST,ENSUFFOSTANSTE_x000D_
issue:_x000D_
.recs:Birth,Marriage,Death_x000D_
.imm?:no_x000D_
..Spo:JOHN\THOMAS FROST</t>
        </r>
      </text>
    </comment>
    <comment ref="Q6946" authorId="0" shapeId="0" xr:uid="{3056C6F5-685C-4103-B48A-3D9B81DCAF82}">
      <text>
        <r>
          <rPr>
            <sz val="9"/>
            <color indexed="81"/>
            <rFont val="Tahoma"/>
            <family val="2"/>
          </rPr>
          <t>Mrs. JOANNA SCOTT_x000D_
http://yeinfo.com/family/I09065540.html_x000D_
https://www.google.com/search?q=JOANNA+SCOTT+1505+1556+SCOTT_x000D_
.born:?1505    -          England_x000D_
.died: 1556    -         ?Glemsford (Suffolk) England, age:51y 0m 0d, _x000D_
.bapt: 1785GE_x000D_
.will: 2004MO_x000D_
.obit: 1890OH_x000D_
.bury: 1850IL _x000D_
.wpbt: 1826PA_x000D_
.anc#: quintuple ancestor_x000D_
citiz:foreign_x000D_
#spos:1_x000D_
#srcs:1_x000D_
#comment:0_x000D_
#events:2_x000D_
#kids:9_x000D_
lived:?ENSUFFOGLEMSFO,EN_x000D_
issue:_x000D_
.recs:Birth,Marriage,Death_x000D_
.imm?:no_x000D_
..Spo:RICHARD SCOTT</t>
        </r>
      </text>
    </comment>
    <comment ref="N6948" authorId="0" shapeId="0" xr:uid="{4A76E4CD-DC1F-4646-9003-D93C5EA13D36}">
      <text>
        <r>
          <rPr>
            <sz val="9"/>
            <color indexed="81"/>
            <rFont val="Tahoma"/>
            <family val="2"/>
          </rPr>
          <t>THOMAZINE\ESTHER FROST_x000D_
http://yeinfo.com/family/I09002845.html_x000D_
https://www.google.com/search?q=THOMAZINE\ESTHER+FROST+1600+1654+RICE_x000D_
.born: 1600    -          _x000D_
.died: 16540613-          , age:54y 5m 12d, _x000D_
.bapt: 1785GE_x000D_
.will: 2004MO_x000D_
.obit: 1890OH_x000D_
.bury: 1850IL _x000D_
.wpbt: 1826PA_x000D_
.anc#:  quadruple ancestor_x000D_
citiz:US born_x000D_
#spos:1_x000D_
#srcs:14_x000D_
#comment:1_x000D_
#events:5_x000D_
#kids:10_x000D_
lived:?ENSUFFOBURY SE,?ENSUFFOSTANSTE,ENHERTFBERKHAM,MAMIDDLSUDBURY,NJMIDDLWOODBRI_x000D_
issue:_x000D_
.recs:Birth,Baptism,Marriage,Death_x000D_
.imm?:no_x000D_
..Spo:EDMUND RICE</t>
        </r>
      </text>
    </comment>
    <comment ref="P6950" authorId="0" shapeId="0" xr:uid="{E3C41697-2684-47BF-BF78-478022AB52A4}">
      <text>
        <r>
          <rPr>
            <sz val="9"/>
            <color indexed="81"/>
            <rFont val="Tahoma"/>
            <family val="2"/>
          </rPr>
          <t>JOHN BELGRAVE_x000D_
http://yeinfo.com/family/I09043582.html_x000D_
https://www.google.com/search?q=JOHN+BELGRAVE+1535+1591+JOANNA+Fairefax_x000D_
.born:c1535    -          Glemsford (Suffolk) England_x000D_
.died: 1591    -          Leverington (Cambridgeshire) England, age:56y 0m 0d, _x000D_
.bapt: 1785GE_x000D_
.will: 2004MO_x000D_
.obit: 1890OH_x000D_
.bury: 1850IL _x000D_
.wpbt: 1826PA_x000D_
.anc#: quintuple ancestor_x000D_
citiz:foreign_x000D_
#spos:2_x000D_
#srcs:3_x000D_
#comment:0_x000D_
#events:4_x000D_
#kids:12_x000D_
lived:ENCAMBSLEVERIN,ENSUFFOGLEMSFO_x000D_
issue:_x000D_
.recs:Birth,Marriage,Will Written,Death_x000D_
.imm?:no_x000D_
..Spo:JOANNA STRUTT</t>
        </r>
      </text>
    </comment>
    <comment ref="O6952" authorId="0" shapeId="0" xr:uid="{331B9CCC-2A8E-4FC9-947E-70F52C95C96C}">
      <text>
        <r>
          <rPr>
            <sz val="9"/>
            <color indexed="81"/>
            <rFont val="Tahoma"/>
            <family val="2"/>
          </rPr>
          <t>THOMASINE BELGRAVE_x000D_
http://yeinfo.com/family/I09021791.html_x000D_
https://www.google.com/search?q=THOMASINE+BELGRAVE+1562+1653+FROST_x000D_
.born: 1562    -          _x000D_
.died: 16530613-          Suffolk county England, age:91y 5m 12d, _x000D_
.bapt: 1785GE_x000D_
.will: 2004MO_x000D_
.obit: 1890OH_x000D_
.bury: 1850IL _x000D_
.wpbt: 1826PA_x000D_
.anc#: quintuple ancestor_x000D_
citiz:US born_x000D_
#spos:1_x000D_
#srcs:3_x000D_
#comment:1_x000D_
#events:2_x000D_
#kids:11_x000D_
lived:?ENCAMBSLEVERIN,ENSUFFOGLEMSFO_x000D_
issue:_x000D_
.recs:Birth,Baptism,Marriage,Death_x000D_
.imm?:no_x000D_
..Spo:EDWARD\EDMUND FROST</t>
        </r>
      </text>
    </comment>
    <comment ref="S6954" authorId="0" shapeId="0" xr:uid="{10F18A96-78BD-4789-9F9D-EB9ABD7F0F64}">
      <text>
        <r>
          <rPr>
            <sz val="9"/>
            <color indexed="81"/>
            <rFont val="Tahoma"/>
            <family val="2"/>
          </rPr>
          <t>JOHN STRUTT_x000D_
http://yeinfo.com/family/I09065805.html_x000D_
https://www.google.com/search?q=JOHN+STRUTT+1450+1516+ISABELLE+ELIZABETH_x000D_
.born:?1450    -          England_x000D_
.died: 1516    -          Glemsford (Suffolk) England, age:66y 0m 0d, _x000D_
.bapt: 1785GE_x000D_
.will: 2004MO_x000D_
.obit: 1890OH_x000D_
.bury: 1850IL Oure Lady Sainte Marie church yard_x000D_
.wpbt: 1826PA_x000D_
.anc#: quintuple ancestor_x000D_
citiz:foreign_x000D_
#spos:1_x000D_
#srcs:2_x000D_
#comment:0_x000D_
#events:5_x000D_
#kids:7_x000D_
lived:ENSUFFOGLEMSFO_x000D_
issue:_x000D_
.recs:Birth,Marriage,Will Written,Death,Interment/Burial_x000D_
.imm?:no_x000D_
..Spo:ISABELLE ELIZABETH GOLDING</t>
        </r>
      </text>
    </comment>
    <comment ref="R6956" authorId="0" shapeId="0" xr:uid="{5E404DB0-9A92-4E5B-AD68-BF408EB9D1E1}">
      <text>
        <r>
          <rPr>
            <sz val="9"/>
            <color indexed="81"/>
            <rFont val="Tahoma"/>
            <family val="2"/>
          </rPr>
          <t>THOMAS STRUTT_x000D_
http://yeinfo.com/family/I09065679.html_x000D_
https://www.google.com/search?q=THOMAS+STRUTT+1475+1548+JOHANE_x000D_
.born:?1475    -         ?Glemsford (Suffolk) England_x000D_
.died: 1548    -          Glemsford (Suffolk) England, age:73y 0m 0d, _x000D_
.bapt: 1785GE_x000D_
.will: 2004MO_x000D_
.obit: 1890OH_x000D_
.bury: 1850IL _x000D_
.wpbt: 1826PA_x000D_
.anc#: quintuple ancestor_x000D_
citiz:foreign_x000D_
#spos:1_x000D_
#srcs:2_x000D_
#comment:0_x000D_
#events:3_x000D_
#kids:5_x000D_
lived:?ENSUFFOGLEMSFO_x000D_
issue:_x000D_
.recs:Birth,Marriage,Will Written,Death_x000D_
.imm?:no_x000D_
..Spo:JOHANE STRUTT</t>
        </r>
      </text>
    </comment>
    <comment ref="S6958" authorId="0" shapeId="0" xr:uid="{A5E9F0D7-C068-49B0-AA98-214D82417862}">
      <text>
        <r>
          <rPr>
            <sz val="9"/>
            <color indexed="81"/>
            <rFont val="Tahoma"/>
            <family val="2"/>
          </rPr>
          <t>ISABELLE ELIZABETH GOLDING_x000D_
http://yeinfo.com/family/I09065806.html_x000D_
https://www.google.com/search?q=ISABELLE+ELIZABETH+GOLDING+1450+1526+STRUTT_x000D_
.born:?1450    -          England_x000D_
.died: 1526    -         ?Glemsford (Suffolk) England, age:76y 0m 0d, _x000D_
.bapt: 1785GE_x000D_
.will: 2004MO_x000D_
.obit: 1890OH_x000D_
.bury: 1850IL _x000D_
.wpbt: 1826PA_x000D_
.anc#: quintuple ancestor_x000D_
citiz:foreign_x000D_
#spos:1_x000D_
#srcs:1_x000D_
#comment:0_x000D_
#events:1_x000D_
#kids:7_x000D_
lived:?ENSUFFOGLEMSFO,EN_x000D_
issue:_x000D_
.recs:Birth,Marriage,Death_x000D_
.imm?:no_x000D_
..Spo:JOHN STRUTT</t>
        </r>
      </text>
    </comment>
    <comment ref="Q6960" authorId="0" shapeId="0" xr:uid="{927F8512-BC4E-4174-8A4A-D81B411E4EF8}">
      <text>
        <r>
          <rPr>
            <sz val="9"/>
            <color indexed="81"/>
            <rFont val="Tahoma"/>
            <family val="2"/>
          </rPr>
          <t>JOHN STRUTT_x000D_
http://yeinfo.com/family/I09065541.html_x000D_
https://www.google.com/search?q=JOHN+STRUTT+1502+1591+CATHERINE\JOHANNA+Scott_x000D_
.born:?1502    -         ?Glemsford (Suffolk) England_x000D_
.died: 1591    -         ?Glemsford (Suffolk) England, age:89y 0m 0d, _x000D_
.bapt: 1785GE_x000D_
.will: 2004MO_x000D_
.obit: 1890OH_x000D_
.bury: 1850IL _x000D_
.wpbt: 1826PA_x000D_
.anc#: quintuple ancestor_x000D_
citiz:foreign_x000D_
#spos:2_x000D_
#srcs:2_x000D_
#comment:0_x000D_
#events:5_x000D_
#kids:5_x000D_
lived:?ENSUFFOGLEMSFO,ENSUFFOSUDBURY_x000D_
issue:_x000D_
.recs:Birth,Marriage,Death_x000D_
.imm?:no_x000D_
..Spo:CATHERINE\JOHANNA SCOTT</t>
        </r>
      </text>
    </comment>
    <comment ref="R6962" authorId="0" shapeId="0" xr:uid="{887B1ADA-A3C8-4274-A72E-9308FCBB8C56}">
      <text>
        <r>
          <rPr>
            <sz val="9"/>
            <color indexed="81"/>
            <rFont val="Tahoma"/>
            <family val="2"/>
          </rPr>
          <t>Mrs. JOHANE STRUTT_x000D_
http://yeinfo.com/family/I09065680.html_x000D_
https://www.google.com/search?q=JOHANE+STRUTT+1480+1510+STRUTT_x000D_
.born:?1480    -         ?Glemsford (Suffolk) England_x000D_
.died: 1510    -1570     ?Glemsford (Suffolk) England, age:30y 0m 0d, _x000D_
.bapt: 1785GE_x000D_
.will: 2004MO_x000D_
.obit: 1890OH_x000D_
.bury: 1850IL _x000D_
.wpbt: 1826PA_x000D_
.anc#: quintuple ancestor_x000D_
citiz:foreign_x000D_
#spos:1_x000D_
#srcs:1_x000D_
#comment:0_x000D_
#events:1_x000D_
#kids:5_x000D_
lived:?ENSUFFOGLEMSFO_x000D_
issue:_x000D_
.recs:Birth,Marriage,Death_x000D_
.imm?:no_x000D_
..Spo:THOMAS STRUTT</t>
        </r>
      </text>
    </comment>
    <comment ref="P6964" authorId="0" shapeId="0" xr:uid="{C7DB146A-E5BC-462F-A495-231B33728A1F}">
      <text>
        <r>
          <rPr>
            <sz val="9"/>
            <color indexed="81"/>
            <rFont val="Tahoma"/>
            <family val="2"/>
          </rPr>
          <t>JOANNA STRUTT_x000D_
http://yeinfo.com/family/I09043583.html_x000D_
https://www.google.com/search?q=JOANNA+STRUTT+1538+1577+BELGRAVE_x000D_
.born:?1538    -          Glemsford (Suffolk) England_x000D_
.died: 1577    -          England, age:39y 0m 0d, _x000D_
.bapt: 1785GE_x000D_
.will: 2004MO_x000D_
.obit: 1890OH_x000D_
.bury: 1850IL _x000D_
.wpbt: 1826PA_x000D_
.anc#: quintuple ancestor_x000D_
citiz:foreign_x000D_
#spos:1_x000D_
#srcs:2_x000D_
#comment:1_x000D_
#events:2_x000D_
#kids:8_x000D_
lived:ENCAMBSLEVERIN,ENSUFFOGLEMSFO_x000D_
issue:_x000D_
.recs:Birth,Marriage,Death_x000D_
.imm?:no_x000D_
..Spo:JOHN BELGRAVE</t>
        </r>
      </text>
    </comment>
    <comment ref="Q6966" authorId="0" shapeId="0" xr:uid="{59D56081-0190-4D61-AA86-71C777674F6F}">
      <text>
        <r>
          <rPr>
            <sz val="9"/>
            <color indexed="81"/>
            <rFont val="Tahoma"/>
            <family val="2"/>
          </rPr>
          <t>CATHERINE\JOHANNA SCOTT_x000D_
http://yeinfo.com/family/I09065542.html_x000D_
https://www.google.com/search?q=CATHERINE\JOHANNA+SCOTT+1510+1578+STRUTT_x000D_
.born:?1510    -         ?Glemsford (Suffolk) England_x000D_
.died: 157808  -         ?Glemsford (Suffolk) England, age:68y 7m 0d, _x000D_
.bapt: 1785GE_x000D_
.will: 2004MO_x000D_
.obit: 1890OH_x000D_
.bury: 1850IL _x000D_
.wpbt: 1826PA_x000D_
.anc#: quintuple ancestor_x000D_
citiz:foreign_x000D_
#spos:1_x000D_
#srcs:1_x000D_
#comment:0_x000D_
#events:2_x000D_
#kids:5_x000D_
lived:?ENSUFFOGLEMSFO_x000D_
issue:_x000D_
.recs:Birth,Marriage,Death_x000D_
.imm?:no_x000D_
..Spo:JOHN STRUTT</t>
        </r>
      </text>
    </comment>
    <comment ref="L6968" authorId="0" shapeId="0" xr:uid="{649DF702-8F43-41A1-B5B6-33CFBFDA6968}">
      <text>
        <r>
          <rPr>
            <sz val="9"/>
            <color indexed="81"/>
            <rFont val="Tahoma"/>
            <family val="2"/>
          </rPr>
          <t>MARY\MERCY RICE_x000D_
http://yeinfo.com/family/I09001483.html_x000D_
https://www.google.com/search?q=MARY\MERCY+RICE+1670+1727+ALLEN_x000D_
.born: 16700101-          Sudbury (Middlesex) Massachusetts_x000D_
.died: 1727    -         ?Shrewsbury (Worcester) Massachusetts, age:57y 0m 0d, _x000D_
.bapt: 1785GE_x000D_
.will: 2004MO_x000D_
.obit: 1890OH_x000D_
.bury: 1850IL _x000D_
.wpbt: 1826PA_x000D_
.anc#:double ancestor_x000D_
citiz:US born_x000D_
#spos:1_x000D_
#srcs:7_x000D_
#comment:0_x000D_
#events:1_x000D_
#kids:5_x000D_
lived:?MAWORCESHREWSB,MAMIDDLSUDBURY_x000D_
issue:_x000D_
.recs:Birth,Marriage,Death_x000D_
.imm?:no_x000D_
..Spo:ELNATHAN ALLEN</t>
        </r>
      </text>
    </comment>
    <comment ref="N6970" authorId="0" shapeId="0" xr:uid="{926BA0FE-A967-4274-A583-2D348FE000F6}">
      <text>
        <r>
          <rPr>
            <sz val="9"/>
            <color indexed="81"/>
            <rFont val="Tahoma"/>
            <family val="2"/>
          </rPr>
          <t>JOHN MOORE_x000D_
http://yeinfo.com/family/I09005446.html_x000D_
https://www.google.com/search?q=JOHN+MOORE+1598+1674+ELIZABETH+RICE_x000D_
.born:?1598    -          Thaxted (Essex) England_x000D_
.died: 16740106-          Sudbury (Middlesex) Massachusetts, age:76y 0m 5d, _x000D_
.bapt: 1785GE_x000D_
.will: 2004MO_x000D_
.obit: 1890OH_x000D_
.bury: 1850IL _x000D_
.wpbt: 1826PA_x000D_
.anc#: quintuple ancestor_x000D_
citiz:immigrant_x000D_
#spos:2_x000D_
#srcs:32_x000D_
#comment:1_x000D_
#events:12_x000D_
#kids:12_x000D_
lived:?ENESSEXHENHAM,ENESSEXTHAXTED,ENHERTFLITTLEG,MAMIDDLCAMBRID,MAMIDDLSUDBURY,MAWORCELANCAST_x000D_
issue:AncFlags between Spouses Mismatched_x000D_
.recs:Birth,Marriage,Will Written,Death,Land Transaction,Freeman,Oath Taken_x000D_
.imm?:immigrant_x000D_
..Spo:ELIZABETH MOORE</t>
        </r>
      </text>
    </comment>
    <comment ref="M6972" authorId="0" shapeId="0" xr:uid="{E51A164E-2DF0-48DA-BDD8-C880778D1AC4}">
      <text>
        <r>
          <rPr>
            <sz val="9"/>
            <color indexed="81"/>
            <rFont val="Tahoma"/>
            <family val="2"/>
          </rPr>
          <t>ELIZABETH\HANNAH MOORE_x000D_
http://yeinfo.com/family/I09002967.html_x000D_
https://www.google.com/search?q=ELIZABETH\HANNAH+MOORE+1626+1705+RICE_x000D_
.born:?1626    -          _x000D_
.died: 17050803-          , age:79y 7m 2d, _x000D_
.bapt: 1785GE_x000D_
.will: 2004MO_x000D_
.obit: 1890OH_x000D_
.bury: 1850IL _x000D_
.wpbt: 1826PA_x000D_
.anc#:double ancestor_x000D_
citiz:US born_x000D_
#spos:1_x000D_
#srcs:14_x000D_
#comment:0_x000D_
#events:3_x000D_
#kids:10_x000D_
lived:?ENESSEXHENHAM,?MAMIDDLCAMBRID,MAMIDDLSUDBURY_x000D_
issue:_x000D_
.recs:Birth,Baptism,Marriage,Will Inclusion,Death_x000D_
.imm?:no_x000D_
..Spo:HENRY RICE</t>
        </r>
      </text>
    </comment>
    <comment ref="N6974" authorId="0" shapeId="0" xr:uid="{D3B45434-BA20-483E-A70E-6A601961C9AA}">
      <text>
        <r>
          <rPr>
            <sz val="9"/>
            <color indexed="81"/>
            <rFont val="Tahoma"/>
            <family val="2"/>
          </rPr>
          <t>Mrs. ELIZABETH MOORE_x000D_
http://yeinfo.com/family/I09002817.html_x000D_
https://www.google.com/search?q=ELIZABETH+MOORE+1600+1633+MOORE_x000D_
.born:?1600    -         ?England_x000D_
.died:a16331127-         ?England, age:33y 10m 26d, _x000D_
.bapt: 1785GE_x000D_
.will: 2004MO_x000D_
.obit: 1890OH_x000D_
.bury: 1850IL _x000D_
.wpbt: 1826PA_x000D_
.anc#:  quadruple ancestor_x000D_
citiz:foreign_x000D_
#spos:1_x000D_
#srcs:7_x000D_
#comment:1_x000D_
#events:1_x000D_
#kids:3_x000D_
lived:?ENESSEXHENHAM,?MA_x000D_
issue:_x000D_
.recs:Birth,Marriage,Death_x000D_
.imm?:no_x000D_
..Spo:JOHN MOORE</t>
        </r>
      </text>
    </comment>
    <comment ref="I6976" authorId="0" shapeId="0" xr:uid="{7EE0439C-80BC-473D-9311-D471BAA6B71B}">
      <text>
        <r>
          <rPr>
            <sz val="9"/>
            <color indexed="81"/>
            <rFont val="Tahoma"/>
            <family val="2"/>
          </rPr>
          <t>MOLLY\MARY PRATT_x000D_
http://yeinfo.com/family/I09000185.html_x000D_
https://www.google.com/search?q=MOLLY\MARY+PRATT+1761+1831+MILLER_x000D_
.born: 17610624-          Shrewsbury (Worcester) Massachusetts_x000D_
.died: 18310303-          Brattleboro (Windham) Vermont, age:69y 8m 7d, _x000D_
.bapt: 1785GE_x000D_
.will: 2004MO_x000D_
.obit: 1890OH_x000D_
.bury: 1850IL West Brattleboro Cemetery_x000D_
.wpbt: 1826PA_x000D_
.anc#:ancestor_x000D_
citiz:US born_x000D_
#spos:1_x000D_
#srcs:6_x000D_
#comment:2_x000D_
#events:2_x000D_
#kids:11_x000D_
lived:MAWORCESHREWSB,VTWINDHBRATTLB,VTWINDHMARLBOR_x000D_
issue:_x000D_
.recs:Birth,Marriage,Death,Interment/Burial_x000D_
.imm?:no_x000D_
..Spo:THADDEUS MILLER</t>
        </r>
      </text>
    </comment>
    <comment ref="O6978" authorId="0" shapeId="0" xr:uid="{EA1AAB90-CE80-418F-B4EF-307F55FFC832}">
      <text>
        <r>
          <rPr>
            <sz val="9"/>
            <color indexed="81"/>
            <rFont val="Tahoma"/>
            <family val="2"/>
          </rPr>
          <t>ISAAC MIXER_x000D_
http://yeinfo.com/family/I09011872.html_x000D_
https://www.google.com/search?q=ISAAC+MIXER+1572+1642+FRANCES+MIXER_x000D_
.born:?1572    -          England_x000D_
.died: 164203  -          Capel (Suffolk) England, age:70y 2m 0d, _x000D_
.bapt: 1785GE_x000D_
.will: 2004MO_x000D_
.obit: 1890OH_x000D_
.bury: 1850IL _x000D_
.wpbt: 1826PA_x000D_
.anc#:ancestor_x000D_
citiz:foreign_x000D_
#spos:3_x000D_
#srcs:2_x000D_
#comment:0_x000D_
#events:7_x000D_
#kids:10_x000D_
lived:ENSUFFOCAPEL,MAMIDDLWATERTO_x000D_
issue:_x000D_
.recs:Birth,Marriage,Will Written,Death,Oath Taken_x000D_
.imm?:no_x000D_
..Spo:FRANCES MIXER</t>
        </r>
      </text>
    </comment>
    <comment ref="N6980" authorId="0" shapeId="0" xr:uid="{1A7D5324-0F02-4A8E-8954-5E4BD15924E9}">
      <text>
        <r>
          <rPr>
            <sz val="9"/>
            <color indexed="81"/>
            <rFont val="Tahoma"/>
            <family val="2"/>
          </rPr>
          <t>ISAAC\JOHN MIXER_x000D_
http://yeinfo.com/family/I09005936.html_x000D_
https://www.google.com/search?q=ISAAC\JOHN+MIXER+1603+1655+SARAH_x000D_
.born: 1603    -          _x000D_
.died: 1655    -1693      Hundon (Suffolk) England, age:52y 0m 0d, _x000D_
.bapt: 1785GE_x000D_
.will: 2004MO_x000D_
.obit: 1890OH_x000D_
.bury: 1850IL _x000D_
.wpbt: 1826PA_x000D_
.anc#:ancestor_x000D_
citiz:US born_x000D_
#spos:1_x000D_
#srcs:11_x000D_
#comment:0_x000D_
#events:13_x000D_
#kids:2_x000D_
lived:ENSUFFOCAPEL,ENSUFFOHUNDON,ENSUFFOIPSWICH,MAESSEXIPSWICH,MAMIDDLWATERTO_x000D_
issue:_x000D_
.recs:Birth,Baptism,Marriage,Ship Passenger List,Job/Occupation,Will Written,Death,Freeman,Oath Taken_x000D_
.imm?:no_x000D_
..Spo:SARAH THURSTON</t>
        </r>
      </text>
    </comment>
    <comment ref="O6982" authorId="0" shapeId="0" xr:uid="{FFF3AC3A-46F0-495E-97C3-5AF2905F0033}">
      <text>
        <r>
          <rPr>
            <sz val="9"/>
            <color indexed="81"/>
            <rFont val="Tahoma"/>
            <family val="2"/>
          </rPr>
          <t>Mrs. FRANCES MIXER_x000D_
http://yeinfo.com/family/I09011873.html_x000D_
https://www.google.com/search?q=FRANCES+MIXER+1572+1621+MIXER_x000D_
.born:?1572    -          England_x000D_
.died: 1621    -          Capel (Suffolk) England, age:49y 0m 0d, _x000D_
.bapt: 1785GE_x000D_
.will: 2004MO_x000D_
.obit: 1890OH_x000D_
.bury: 1850IL _x000D_
.wpbt: 1826PA_x000D_
.anc#:ancestor_x000D_
citiz:foreign_x000D_
#spos:1_x000D_
#srcs:1_x000D_
#comment:0_x000D_
#events:2_x000D_
#kids:8_x000D_
lived:ENSUFFOCAPEL_x000D_
issue:_x000D_
.recs:Birth,Marriage,Death_x000D_
.imm?:no_x000D_
..Spo:ISAAC MIXER</t>
        </r>
      </text>
    </comment>
    <comment ref="M6984" authorId="0" shapeId="0" xr:uid="{D8BCD9A6-0798-4285-B0C3-56DBB66E95D3}">
      <text>
        <r>
          <rPr>
            <sz val="9"/>
            <color indexed="81"/>
            <rFont val="Tahoma"/>
            <family val="2"/>
          </rPr>
          <t>ISAAC\THOMAS\JOHN MIXER_x000D_
http://yeinfo.com/family/I09002968.html_x000D_
https://www.google.com/search?q=ISAAC\THOMAS\JOHN+MIXER+1630+1716+REBECCA+MIXER_x000D_
.born: 1630    -          Hundon (Suffolk) England_x000D_
.died: 17161122-         ?, age:86y 10m 21d, _x000D_
.bapt: 1785GE_x000D_
.will: 2004MO_x000D_
.obit: 1890OH_x000D_
.bury: 1850IL _x000D_
.wpbt: 1826PA_x000D_
.anc#:ancestor_x000D_
citiz:US born_x000D_
#spos:3_x000D_
#srcs:7_x000D_
#comment:0_x000D_
#events:4_x000D_
#kids:15_x000D_
lived:?MAMIDDLWATERTO,ENSUFFOHUNDON,MA_x000D_
issue:_x000D_
.recs:Birth,Marriage,Death,Oath Taken_x000D_
.imm?:no_x000D_
..Spo:REBECCA GARFIELD</t>
        </r>
      </text>
    </comment>
    <comment ref="O6986" authorId="0" shapeId="0" xr:uid="{74BF9542-3A63-4713-AFF0-D188DD87E517}">
      <text>
        <r>
          <rPr>
            <sz val="9"/>
            <color indexed="81"/>
            <rFont val="Tahoma"/>
            <family val="2"/>
          </rPr>
          <t>WILLIAM THURSTON_x000D_
http://yeinfo.com/family/I09011874.html_x000D_
https://www.google.com/search?q=WILLIAM+THURSTON+1565+1600+ANN_x000D_
.born:c1565    -          Eye (Suffolk) England_x000D_
.died: 1600    -1655      Hundon (Suffolk) England, age:35y 0m 0d, _x000D_
.bapt: 1785GE_x000D_
.will: 2004MO_x000D_
.obit: 1890OH_x000D_
.bury: 1850IL _x000D_
.wpbt: 1826PA_x000D_
.anc#:ancestor_x000D_
citiz:foreign_x000D_
#spos:1_x000D_
#srcs:1_x000D_
#comment:0_x000D_
#events:2_x000D_
#kids:1_x000D_
lived:ENMIDDLLONDON,ENSUFFOEYE,ENSUFFOHUNDON_x000D_
issue:_x000D_
.recs:Birth,Marriage,Will Written,Death_x000D_
.imm?:no_x000D_
..Spo:ANN HASEL</t>
        </r>
      </text>
    </comment>
    <comment ref="N6988" authorId="0" shapeId="0" xr:uid="{8B69455C-07AE-4852-AED5-0E75F15A83E9}">
      <text>
        <r>
          <rPr>
            <sz val="9"/>
            <color indexed="81"/>
            <rFont val="Tahoma"/>
            <family val="2"/>
          </rPr>
          <t>SARAH THURSTON_x000D_
http://yeinfo.com/family/I09005937.html_x000D_
https://www.google.com/search?q=SARAH+THURSTON+1600+1681+MIXER_x000D_
.born: 1600    -          Hundon (Suffolk) England_x000D_
.died: 16811124-          , age:81y 10m 23d, _x000D_
.bapt: 1785GE_x000D_
.will: 2004MO_x000D_
.obit: 1890OH_x000D_
.bury: 1850IL _x000D_
.wpbt: 1826PA_x000D_
.anc#:ancestor_x000D_
citiz:US born_x000D_
#spos:1_x000D_
#srcs:11_x000D_
#comment:0_x000D_
#events:4_x000D_
#kids:2_x000D_
lived:ENSUFFOCAPEL,ENSUFFOHUNDON,ENSUFFOIPSWICH_x000D_
issue:_x000D_
.recs:Birth,Marriage,Ship Passenger List,Will Written,Death_x000D_
.imm?:no_x000D_
..Spo:ISAAC\JOHN MIXER</t>
        </r>
      </text>
    </comment>
    <comment ref="O6990" authorId="0" shapeId="0" xr:uid="{44CC4569-E7E6-413E-B5CD-DF53A47634C1}">
      <text>
        <r>
          <rPr>
            <sz val="9"/>
            <color indexed="81"/>
            <rFont val="Tahoma"/>
            <family val="2"/>
          </rPr>
          <t>ANN HASEL_x000D_
http://yeinfo.com/family/I09011875.html_x000D_
https://www.google.com/search?q=ANN+HASEL+1569+1600+THURSTON_x000D_
.born: 1569    -          Hundon (Suffolk) England_x000D_
.died: 1600    -1659     ?Suffolk county England, age:31y 0m 0d, _x000D_
.bapt: 1785GE_x000D_
.will: 2004MO_x000D_
.obit: 1890OH_x000D_
.bury: 1850IL _x000D_
.wpbt: 1826PA_x000D_
.anc#:ancestor_x000D_
citiz:foreign_x000D_
#spos:1_x000D_
#srcs:1_x000D_
#comment:0_x000D_
#events:1_x000D_
#kids:1_x000D_
lived:ENMIDDLLONDON,ENSUFFOHUNDON_x000D_
issue:_x000D_
.recs:Birth,Marriage,Death_x000D_
.imm?:no_x000D_
..Spo:WILLIAM THURSTON</t>
        </r>
      </text>
    </comment>
    <comment ref="L6992" authorId="0" shapeId="0" xr:uid="{30839CA8-89DB-4099-B905-6344CD79FE5E}">
      <text>
        <r>
          <rPr>
            <sz val="9"/>
            <color indexed="81"/>
            <rFont val="Tahoma"/>
            <family val="2"/>
          </rPr>
          <t>JOSEPH MIXER_x000D_
http://yeinfo.com/family/I09001484.html_x000D_
https://www.google.com/search?q=JOSEPH+MIXER+1674+1723+ANNA_x000D_
.born: 16740807-          Waterton (Middlesex) Massachusetts_x000D_
.died: 17231210-          Waterton (Middlesex) Massachusetts, age:49y 4m 3d, _x000D_
.bapt: 1785GE_x000D_
.will: 2004MO_x000D_
.obit: 1890OH_x000D_
.bury: 1850IL _x000D_
.wpbt: 1826PA_x000D_
.anc#:ancestor_x000D_
citiz:US born_x000D_
#spos:1_x000D_
#srcs:4_x000D_
#comment:0_x000D_
#events:3_x000D_
#kids:9_x000D_
lived:MAMIDDLWATERTO_x000D_
issue:_x000D_
.recs:Birth,Marriage,Death_x000D_
.imm?:no_x000D_
..Spo:ANNA JONES</t>
        </r>
      </text>
    </comment>
    <comment ref="O6994" authorId="0" shapeId="0" xr:uid="{6DDC28FD-A4E5-4AD4-9CC1-B78AC971C7AD}">
      <text>
        <r>
          <rPr>
            <sz val="9"/>
            <color indexed="81"/>
            <rFont val="Tahoma"/>
            <family val="2"/>
          </rPr>
          <t>EDWARD GARFIELD_x000D_
http://yeinfo.com/family/I09011496.html_x000D_
https://www.google.com/search?q=EDWARD+GARFIELD+1575+1672+AGNES\SARAH_x000D_
.born:c1575    -         ?England_x000D_
.died: 16720614-          Waterton (Middlesex) Massachusetts, age:97y 5m 13d, _x000D_
.bapt: 1785GE_x000D_
.will: 2004MO_x000D_
.obit: 1890OH_x000D_
.bury: 1850IL _x000D_
.wpbt: 1826PA_x000D_
.anc#:  quadruple ancestor_x000D_
citiz:immigrant_x000D_
#spos:1_x000D_
#srcs:11_x000D_
#comment:1_x000D_
#events:8_x000D_
#kids:1_x000D_
lived:?EN,?MAMIDDLWATERTO,MA_x000D_
issue:_x000D_
.recs:Birth,Marriage,Job/Occupation,Death,Freeman_x000D_
.imm?:immigrant_x000D_
..Spo:AGNES\SARAH GARFIELD</t>
        </r>
      </text>
    </comment>
    <comment ref="N6996" authorId="0" shapeId="0" xr:uid="{C6B11D4D-5CBC-4E38-A9AD-E6574D8F1A9A}">
      <text>
        <r>
          <rPr>
            <sz val="9"/>
            <color indexed="81"/>
            <rFont val="Tahoma"/>
            <family val="2"/>
          </rPr>
          <t>EDWARD GARFIELD_x000D_
http://yeinfo.com/family/I09005748.html_x000D_
https://www.google.com/search?q=EDWARD+GARFIELD+1605+1672+REBECCA+GARFIELD_x000D_
.born: 1605    -         ?England_x000D_
.died: 16720604-          , age:67y 5m 3d, _x000D_
.bapt: 1785GE_x000D_
.will: 2004MO_x000D_
.obit: 1890OH_x000D_
.bury: 1850IL _x000D_
.wpbt: 1826PA_x000D_
.anc#:  quadruple ancestor_x000D_
citiz:US born_x000D_
#spos:2_x000D_
#srcs:10_x000D_
#comment:0_x000D_
#events:8_x000D_
#kids:6_x000D_
lived:?EN,MAMIDDLWATERTO_x000D_
issue:_x000D_
.recs:Birth,Marriage,Job/Occupation,Will Written,Death_x000D_
.imm?:no_x000D_
..Spo:REBECCA JOHNSON</t>
        </r>
      </text>
    </comment>
    <comment ref="O6998" authorId="0" shapeId="0" xr:uid="{D60F25DA-6F8D-4D16-BCE4-29A80F089F76}">
      <text>
        <r>
          <rPr>
            <sz val="9"/>
            <color indexed="81"/>
            <rFont val="Tahoma"/>
            <family val="2"/>
          </rPr>
          <t>Mrs. AGNES\SARAH GARFIELD_x000D_
http://yeinfo.com/family/I09011497.html_x000D_
https://www.google.com/search?q=AGNES\SARAH+GARFIELD+1575+1605+GARFIELD_x000D_
.born:?1575    -         ?England_x000D_
.died: 1605    -1665      , age:30y 0m 0d, _x000D_
.bapt: 1785GE_x000D_
.will: 2004MO_x000D_
.obit: 1890OH_x000D_
.bury: 1850IL _x000D_
.wpbt: 1826PA_x000D_
.anc#:  quadruple ancestor_x000D_
citiz:US born_x000D_
#spos:1_x000D_
#srcs:2_x000D_
#comment:0_x000D_
#events:1_x000D_
#kids:1_x000D_
lived:?EN_x000D_
issue:_x000D_
.recs:Birth,Marriage,Death_x000D_
.imm?:no_x000D_
..Spo:EDWARD GARFIELD</t>
        </r>
      </text>
    </comment>
    <comment ref="M7000" authorId="0" shapeId="0" xr:uid="{C52F468F-14B5-4CCA-9021-81B4FEDC38E7}">
      <text>
        <r>
          <rPr>
            <sz val="9"/>
            <color indexed="81"/>
            <rFont val="Tahoma"/>
            <family val="2"/>
          </rPr>
          <t>REBECCA GARFIELD_x000D_
http://yeinfo.com/family/I09002969.html_x000D_
https://www.google.com/search?q=REBECCA+GARFIELD+1641+1684+MIXER_x000D_
.born: 16410310-         ?Waterton (Middlesex) Massachusetts_x000D_
.died: 16840316-          Middlesex county Massachusetts, age:43y 0m 6d, _x000D_
.bapt: 1785GE_x000D_
.will: 2004MO_x000D_
.obit: 1890OH_x000D_
.bury: 1850IL _x000D_
.wpbt: 1826PA_x000D_
.anc#:ancestor_x000D_
citiz:US born_x000D_
#spos:1_x000D_
#srcs:6_x000D_
#comment:0_x000D_
#events:1_x000D_
#kids:12_x000D_
lived:?MAMIDDLWATERTO,MAMIDDL_x000D_
issue:_x000D_
.recs:Birth,Marriage,Death_x000D_
.imm?:no_x000D_
..Spo:ISAAC\THOMAS\JOHN MIXER</t>
        </r>
      </text>
    </comment>
    <comment ref="O7002" authorId="0" shapeId="0" xr:uid="{AC6C66B6-AB2E-44CC-BEDC-7830233CF302}">
      <text>
        <r>
          <rPr>
            <sz val="9"/>
            <color indexed="81"/>
            <rFont val="Tahoma"/>
            <family val="2"/>
          </rPr>
          <t>EDWARD JOHNSON_x000D_
http://yeinfo.com/family/I09011498.html_x000D_
https://www.google.com/search?q=EDWARD+JOHNSON+1580+1672+KATHERINE_x000D_
.born: 1580    -          Wareham (Dorset) England_x000D_
.died: 16720614-          Waterton (Middlesex) Massachusetts, age:92y 5m 13d, _x000D_
.bapt: 1785GE_x000D_
.will: 2004MO_x000D_
.obit: 1890OH_x000D_
.bury: 1850IL _x000D_
.wpbt: 1826PA_x000D_
.anc#:  quadruple ancestor_x000D_
citiz:immigrant_x000D_
#spos:1_x000D_
#srcs:1_x000D_
#comment:0_x000D_
#events:1_x000D_
#kids:1_x000D_
lived:ENDORSEWAREHAM,MAMIDDLWATERTO_x000D_
issue:_x000D_
.recs:Birth,Marriage,Death_x000D_
.imm?:immigrant_x000D_
..Spo:KATHERINE FISHER</t>
        </r>
      </text>
    </comment>
    <comment ref="N7004" authorId="0" shapeId="0" xr:uid="{A9EC7D85-E323-44A4-8D1B-5B4E42A1B2ED}">
      <text>
        <r>
          <rPr>
            <sz val="9"/>
            <color indexed="81"/>
            <rFont val="Tahoma"/>
            <family val="2"/>
          </rPr>
          <t>REBECCA JOHNSON_x000D_
http://yeinfo.com/family/I09005749.html_x000D_
https://www.google.com/search?q=REBECCA+JOHNSON+1609+1661+GARFIELD_x000D_
.born: 16090824-          Kendal (Westmorland) England_x000D_
.died: 16610416-          Waterton (Middlesex) Massachusetts, age:51y 7m 23d, _x000D_
.bapt: 1785GE_x000D_
.will: 2004MO_x000D_
.obit: 1890OH_x000D_
.bury: 1850IL _x000D_
.wpbt: 1826PA_x000D_
.anc#:  quadruple ancestor_x000D_
citiz:immigrant_x000D_
#spos:1_x000D_
#srcs:12_x000D_
#comment:0_x000D_
#events:1_x000D_
#kids:6_x000D_
lived:?MAMIDDLWATERTO,ENWMOREKENDAL_x000D_
issue:Died after Age 100_x000D_
.recs:Birth,Marriage,Death_x000D_
.imm?:immigrant_x000D_
..Spo:EDWARD GARFIELD</t>
        </r>
      </text>
    </comment>
    <comment ref="O7006" authorId="0" shapeId="0" xr:uid="{14E51C52-C344-4C58-A2A7-53CC6FD23198}">
      <text>
        <r>
          <rPr>
            <sz val="9"/>
            <color indexed="81"/>
            <rFont val="Tahoma"/>
            <family val="2"/>
          </rPr>
          <t>KATHERINE FISHER_x000D_
http://yeinfo.com/family/I09011499.html_x000D_
https://www.google.com/search?q=KATHERINE+FISHER+1580+1609+JOHNSON_x000D_
.born:?1580    -         ?Dorset county England_x000D_
.died: 1609    -1670     ?Massachusetts, age:29y 0m 0d, _x000D_
.bapt: 1785GE_x000D_
.will: 2004MO_x000D_
.obit: 1890OH_x000D_
.bury: 1850IL _x000D_
.wpbt: 1826PA_x000D_
.anc#:  quadruple ancestor_x000D_
citiz:immigrant_x000D_
#spos:1_x000D_
#srcs:1_x000D_
#comment:0_x000D_
#events:1_x000D_
#kids:1_x000D_
lived:?ENDORSE,?MA,EN_x000D_
issue:_x000D_
.recs:Birth,Marriage,Death_x000D_
.imm?:immigrant_x000D_
..Spo:EDWARD JOHNSON</t>
        </r>
      </text>
    </comment>
    <comment ref="K7008" authorId="0" shapeId="0" xr:uid="{2B9C797B-4012-4F72-BD52-763397E8F82B}">
      <text>
        <r>
          <rPr>
            <sz val="9"/>
            <color indexed="81"/>
            <rFont val="Tahoma"/>
            <family val="2"/>
          </rPr>
          <t>JOSEPH MIXER_x000D_
http://yeinfo.com/family/I09000742.html_x000D_
https://www.google.com/search?q=JOSEPH+MIXER+1705+1748+MARY+ELIZABETH+MIXER_x000D_
.born: 17051214-          Waterton (Middlesex) Massachusetts_x000D_
.died: 1748    -1795      , age:42y 0m 18d, _x000D_
.bapt: 1785GE_x000D_
.will: 2004MO_x000D_
.obit: 1890OH_x000D_
.bury: 1850IL _x000D_
.wpbt: 1826PA_x000D_
.anc#:ancestor_x000D_
citiz:US born_x000D_
#spos:2_x000D_
#srcs:3_x000D_
#comment:0_x000D_
#events:6_x000D_
#kids:9_x000D_
lived:MAMIDDLWATERTO,MAWORCESHREWSB_x000D_
issue:Married before Age 16,Died before Birth_x000D_
.recs:Birth,Marriage Intention/Bonds,Death_x000D_
.imm?:no_x000D_
..Spo:MARY ELIZABETH BALL</t>
        </r>
      </text>
    </comment>
    <comment ref="N7010" authorId="0" shapeId="0" xr:uid="{61069FC3-5821-4AD1-BC13-55BFFAE36FBF}">
      <text>
        <r>
          <rPr>
            <sz val="9"/>
            <color indexed="81"/>
            <rFont val="Tahoma"/>
            <family val="2"/>
          </rPr>
          <t>LEWIS JONES_x000D_
http://yeinfo.com/family/I09005940.html_x000D_
https://www.google.com/search?q=LEWIS+JONES+1600+1684+ANNE\ANNA_x000D_
.born: 1600    -          England_x000D_
.died: 16840411-          Waterton (Middlesex) Massachusetts, age:84y 3m 10d, _x000D_
.bapt: 1785GE_x000D_
.will: 2004MO_x000D_
.obit: 1890OH_x000D_
.bury: 1850IL _x000D_
.wpbt: 1826PA_x000D_
.anc#:ancestor_x000D_
citiz:immigrant_x000D_
#spos:1_x000D_
#srcs:12_x000D_
#comment:0_x000D_
#events:11_x000D_
#kids:4_x000D_
lived:?MAMIDDLBELMONT,?MAMIDDLWESTON,?WL,EN,MAMIDDLWATERTO,MASUFFOROXBURY_x000D_
issue:_x000D_
.recs:Birth,Will Written,Death,Immigrate_x000D_
.imm?:immigrant_x000D_
..Spo:ANNE\ANNA STONE</t>
        </r>
      </text>
    </comment>
    <comment ref="M7012" authorId="0" shapeId="0" xr:uid="{C5861985-7D8C-451C-A52D-1DE6A354FF88}">
      <text>
        <r>
          <rPr>
            <sz val="9"/>
            <color indexed="81"/>
            <rFont val="Tahoma"/>
            <family val="2"/>
          </rPr>
          <t>JOSIAH JONES_x000D_
http://yeinfo.com/family/I09002970.html_x000D_
https://www.google.com/search?q=JOSIAH+JONES+1643+1714+LYDIA_x000D_
.born: 16431002-          Waterton (Middlesex) Massachusetts_x000D_
.died: 17141009-          , age:71y 0m 7d, _x000D_
.bapt: 1785GE_x000D_
.will: 2004MO_x000D_
.obit: 1890OH_x000D_
.bury: 1850IL _x000D_
.wpbt: 1826PA_x000D_
.anc#:ancestor_x000D_
citiz:US born_x000D_
#spos:1_x000D_
#srcs:10_x000D_
#comment:0_x000D_
#events:9_x000D_
#kids:10_x000D_
lived:MAMIDDLSUDBURY,MAMIDDLWATERTO,MAMIDDLWESTON_x000D_
issue:_x000D_
.recs:Birth,Marriage,Death,Land Transaction,Freeman_x000D_
.imm?:no_x000D_
..Spo:LYDIA TREADWAY</t>
        </r>
      </text>
    </comment>
    <comment ref="T7014" authorId="0" shapeId="0" xr:uid="{FBD61FD2-8522-48BB-AA8E-069ABA377CDD}">
      <text>
        <r>
          <rPr>
            <sz val="9"/>
            <color indexed="81"/>
            <rFont val="Tahoma"/>
            <family val="2"/>
          </rPr>
          <t>JOHN STONE_x000D_
http://yeinfo.com/family/I09065893.html_x000D_
https://www.google.com/search?q=JOHN+STONE+1420+1487+{_?_}_x000D_
.born:?1420    -          England_x000D_
.died: 1487    -         ?Ardleigh (Essex) England, age:67y 0m 0d, _x000D_
.bapt: 1785GE_x000D_
.will: 2004MO_x000D_
.obit: 1890OH_x000D_
.bury: 1850IL _x000D_
.wpbt: 1826PA_x000D_
.anc#:ancestor_x000D_
citiz:foreign_x000D_
#spos:1_x000D_
#srcs:1_x000D_
#comment:0_x000D_
#events:2_x000D_
#kids:3_x000D_
lived:ENESSEXARDLEIG_x000D_
issue:_x000D_
.recs:Birth,Marriage,Death_x000D_
.imm?:no_x000D_
..Spo:{_?_} STONE</t>
        </r>
      </text>
    </comment>
    <comment ref="S7016" authorId="0" shapeId="0" xr:uid="{73A81D45-3BE1-42F3-8702-7DBA12744518}">
      <text>
        <r>
          <rPr>
            <sz val="9"/>
            <color indexed="81"/>
            <rFont val="Tahoma"/>
            <family val="2"/>
          </rPr>
          <t>SIMON STONE_x000D_
http://yeinfo.com/family/I09065740.html_x000D_
https://www.google.com/search?q=SIMON+STONE+1450+1506+ELIZABETH_x000D_
.born:?1450    -          Ardleigh (Essex) England_x000D_
.died: 1506    -1540      Great Bromley (Essex) England, age:56y 0m 0d, _x000D_
.bapt: 1785GE_x000D_
.will: 2004MO_x000D_
.obit: 1890OH_x000D_
.bury: 1850IL _x000D_
.wpbt: 1826PA_x000D_
.anc#:ancestor_x000D_
citiz:foreign_x000D_
#spos:1_x000D_
#srcs:2_x000D_
#comment:0_x000D_
#events:4_x000D_
#kids:4_x000D_
lived:ENESSEXARDLEIG,ENESSEXGREAT B_x000D_
issue:_x000D_
.recs:Birth,Marriage,Will Written,Death_x000D_
.imm?:no_x000D_
..Spo:ELIZABETH SPRINGETTE</t>
        </r>
      </text>
    </comment>
    <comment ref="T7018" authorId="0" shapeId="0" xr:uid="{EE3D3A06-1F92-4C04-B691-649ACDD19D40}">
      <text>
        <r>
          <rPr>
            <sz val="9"/>
            <color indexed="81"/>
            <rFont val="Tahoma"/>
            <family val="2"/>
          </rPr>
          <t>Mrs. {_?_} STONE_x000D_
http://yeinfo.com/family/I09065894.html_x000D_
https://www.google.com/search?q={_?_}+STONE+1420+1450+STONE_x000D_
.born:?1420    -          England_x000D_
.died: 1450    -1510      , age:30y 0m 0d, _x000D_
.bapt: 1785GE_x000D_
.will: 2004MO_x000D_
.obit: 1890OH_x000D_
.bury: 1850IL _x000D_
.wpbt: 1826PA_x000D_
.anc#:ancestor_x000D_
citiz:foreign_x000D_
#spos:1_x000D_
#srcs:1_x000D_
#comment:0_x000D_
#events:1_x000D_
#kids:3_x000D_
lived:?ENESSEX,EN_x000D_
issue:_x000D_
.recs:Birth,Marriage,Death_x000D_
.imm?:no_x000D_
..Spo:JOHN STONE</t>
        </r>
      </text>
    </comment>
    <comment ref="R7020" authorId="0" shapeId="0" xr:uid="{17A19340-D062-40A0-9310-2D96B91C7C28}">
      <text>
        <r>
          <rPr>
            <sz val="9"/>
            <color indexed="81"/>
            <rFont val="Tahoma"/>
            <family val="2"/>
          </rPr>
          <t>DAVID STONE_x000D_
http://yeinfo.com/family/I09065607.html_x000D_
https://www.google.com/search?q=DAVID+STONE+1480+1543+CATHERINE_x000D_
.born:?1480    -          Great Bromley (Essex) England_x000D_
.died:?1543    -         ?Kirkby la Thorpe (Lincolnshire) England, age:63y 0m 0d, _x000D_
.bapt: 1785GE_x000D_
.will: 2004MO_x000D_
.obit: 1890OH_x000D_
.bury: 1850IL _x000D_
.wpbt: 1826PA_x000D_
.anc#:ancestor_x000D_
citiz:foreign_x000D_
#spos:1_x000D_
#srcs:2_x000D_
#comment:0_x000D_
#events:5_x000D_
#kids:4_x000D_
lived:ENESSEXGREAT B,ENLINCSKIRKBYL_x000D_
issue:_x000D_
.recs:Birth,Marriage,Inheritance,Death_x000D_
.imm?:no_x000D_
..Spo:CATHERINE HEWITT</t>
        </r>
      </text>
    </comment>
    <comment ref="S7022" authorId="0" shapeId="0" xr:uid="{B6DCAFD3-EEC6-4A99-945A-53F09A2D0A21}">
      <text>
        <r>
          <rPr>
            <sz val="9"/>
            <color indexed="81"/>
            <rFont val="Tahoma"/>
            <family val="2"/>
          </rPr>
          <t>ELIZABETH SPRINGETTE_x000D_
http://yeinfo.com/family/I09065741.html_x000D_
https://www.google.com/search?q=ELIZABETH+SPRINGETTE+1450+1480+STONE_x000D_
.born:?1450    -          Ardleigh (Essex) England_x000D_
.died: 1480    -1540      , age:30y 0m 0d, _x000D_
.bapt: 1785GE_x000D_
.will: 2004MO_x000D_
.obit: 1890OH_x000D_
.bury: 1850IL _x000D_
.wpbt: 1826PA_x000D_
.anc#:ancestor_x000D_
citiz:foreign_x000D_
#spos:1_x000D_
#srcs:1_x000D_
#comment:0_x000D_
#events:1_x000D_
#kids:4_x000D_
lived:ENESSEXARDLEIG_x000D_
issue:_x000D_
.recs:Birth,Marriage,Death_x000D_
.imm?:no_x000D_
..Spo:SIMON STONE</t>
        </r>
      </text>
    </comment>
    <comment ref="Q7024" authorId="0" shapeId="0" xr:uid="{01B0C0A8-3EE2-4ACE-8AF3-CA0D3BB14590}">
      <text>
        <r>
          <rPr>
            <sz val="9"/>
            <color indexed="81"/>
            <rFont val="Tahoma"/>
            <family val="2"/>
          </rPr>
          <t>SIMON STONE_x000D_
http://yeinfo.com/family/I09047528.html_x000D_
https://www.google.com/search?q=SIMON+STONE+1507+1558+AGNES_x000D_
.born:?1507    -          Great Bromley (Essex) England_x000D_
.died: 1558    -1597      Great Bromley (Essex) England, age:51y 0m 0d, _x000D_
.bapt: 1785GE_x000D_
.will: 2004MO_x000D_
.obit: 1890OH_x000D_
.bury: 1850IL Churchyard_x000D_
.wpbt: 1826PA_x000D_
.anc#:ancestor_x000D_
citiz:foreign_x000D_
#spos:1_x000D_
#srcs:4_x000D_
#comment:0_x000D_
#events:7_x000D_
#kids:3_x000D_
lived:ENESSEXGREAT B,ENLINCSKIRKBYL_x000D_
issue:_x000D_
.recs:Birth,Marriage,Will Written,Death,Interment/Burial_x000D_
.imm?:no_x000D_
..Spo:AGNES CLARKE</t>
        </r>
      </text>
    </comment>
    <comment ref="R7026" authorId="0" shapeId="0" xr:uid="{A633B919-74E5-465A-B6E0-EB2359FF809F}">
      <text>
        <r>
          <rPr>
            <sz val="9"/>
            <color indexed="81"/>
            <rFont val="Tahoma"/>
            <family val="2"/>
          </rPr>
          <t>CATHERINE HEWITT_x000D_
http://yeinfo.com/family/I09065608.html_x000D_
https://www.google.com/search?q=CATHERINE+HEWITT+1480+1515+STONE_x000D_
.born:?1480    -          Great Bromley (Essex) England_x000D_
.died: 1515    -1570      , age:35y 0m 0d, _x000D_
.bapt: 1785GE_x000D_
.will: 2004MO_x000D_
.obit: 1890OH_x000D_
.bury: 1850IL _x000D_
.wpbt: 1826PA_x000D_
.anc#:ancestor_x000D_
citiz:foreign_x000D_
#spos:1_x000D_
#srcs:1_x000D_
#comment:0_x000D_
#events:1_x000D_
#kids:4_x000D_
lived:ENESSEXGREAT B_x000D_
issue:_x000D_
.recs:Birth,Marriage,Death_x000D_
.imm?:no_x000D_
..Spo:DAVID STONE</t>
        </r>
      </text>
    </comment>
    <comment ref="P7028" authorId="0" shapeId="0" xr:uid="{B3CE0210-36C8-4CA9-BF45-42AEC2B3FAB5}">
      <text>
        <r>
          <rPr>
            <sz val="9"/>
            <color indexed="81"/>
            <rFont val="Tahoma"/>
            <family val="2"/>
          </rPr>
          <t>DAVID TIMOTHY STONE_x000D_
http://yeinfo.com/family/I09023764.html_x000D_
https://www.google.com/search?q=DAVID+TIMOTHY+STONE+1540+1590+Elizabeth+STONE_x000D_
.born:?1540    -          Great Bromley (Essex) England_x000D_
.died: 1590    -1630     ?Great Bromley (Essex) England, age:50y 0m 0d, _x000D_
.bapt: 1785GE_x000D_
.will: 2004MO_x000D_
.obit: 1890OH_x000D_
.bury: 1850IL _x000D_
.wpbt: 1826PA_x000D_
.anc#:ancestor_x000D_
citiz:foreign_x000D_
#spos:2_x000D_
#srcs:6_x000D_
#comment:0_x000D_
#events:2_x000D_
#kids:11_x000D_
lived:ENESSEXGREAT B_x000D_
issue:_x000D_
.recs:Birth,Marriage,Death_x000D_
.imm?:no_x000D_
..Spo:Elizabeth Hewitt</t>
        </r>
      </text>
    </comment>
    <comment ref="Q7030" authorId="0" shapeId="0" xr:uid="{98E394CD-7009-4009-A113-C9E1765B899E}">
      <text>
        <r>
          <rPr>
            <sz val="9"/>
            <color indexed="81"/>
            <rFont val="Tahoma"/>
            <family val="2"/>
          </rPr>
          <t>AGNES CLARKE_x000D_
http://yeinfo.com/family/I09047529.html_x000D_
https://www.google.com/search?q=AGNES+CLARKE+1507+1590+STONE_x000D_
.born:?1507    -          Great Bromley (Essex) England_x000D_
.died: 1590    -1597      , age:83y 0m 0d, _x000D_
.bapt: 1785GE_x000D_
.will: 2004MO_x000D_
.obit: 1890OH_x000D_
.bury: 1850IL _x000D_
.wpbt: 1826PA_x000D_
.anc#:ancestor_x000D_
citiz:foreign_x000D_
#spos:1_x000D_
#srcs:3_x000D_
#comment:0_x000D_
#events:1_x000D_
#kids:3_x000D_
lived:ENESSEXGREAT B_x000D_
issue:_x000D_
.recs:Birth,Marriage,Death_x000D_
.imm?:no_x000D_
..Spo:SIMON STONE</t>
        </r>
      </text>
    </comment>
    <comment ref="O7032" authorId="0" shapeId="0" xr:uid="{7B38EE4B-4FBD-4D87-A9A4-FDBCC7926DE4}">
      <text>
        <r>
          <rPr>
            <sz val="9"/>
            <color indexed="81"/>
            <rFont val="Tahoma"/>
            <family val="2"/>
          </rPr>
          <t>SIMON STONE_x000D_
http://yeinfo.com/family/I09011882.html_x000D_
https://www.google.com/search?q=SIMON+STONE+1585+1665+JOAN\JANE+Baker_x000D_
.born: 1585    -          Great Bromley (Essex) England_x000D_
.died: 16650922-          Waterton (Middlesex) Massachusetts, age:80y 8m 21d, _x000D_
.bapt: 1785GE_x000D_
.will: 2004MO_x000D_
.obit: 1890OH_x000D_
.bury: 1850IL Old Watertown Cemetery_x000D_
.wpbt: 1826PA_x000D_
.anc#:ancestor_x000D_
citiz:immigrant_x000D_
#spos:2_x000D_
#srcs:15_x000D_
#comment:1_x000D_
#events:19_x000D_
#kids:7_x000D_
lived:ENESSEXBOXTED,ENESSEXGREAT B,ENMIDDLLONDON,MAMIDDLWATERTO_x000D_
issue:Married before Age 16_x000D_
.recs:Birth,Baptism,Marriage,Ship Passenger List,Job/Occupation,Taxes,Will Written,Death,Interment/Burial,Freeman_x000D_
.imm?:immigrant_x000D_
..Spo:JOAN\JANE CLARK</t>
        </r>
      </text>
    </comment>
    <comment ref="P7034" authorId="0" shapeId="0" xr:uid="{70F99EC3-781B-4BA6-8BA6-5217365E8D7F}">
      <text>
        <r>
          <rPr>
            <sz val="9"/>
            <color indexed="81"/>
            <rFont val="Tahoma"/>
            <family val="2"/>
          </rPr>
          <t>Mrs. URSULA STONE_x000D_
http://yeinfo.com/family/I09023765.html_x000D_
https://www.google.com/search?q=URSULA+STONE+1550+1585+STONE_x000D_
.born:?1550    -          Great Bromley (Essex) England_x000D_
.died: 1585    -1640      , age:35y 0m 0d, _x000D_
.bapt: 1785GE_x000D_
.will: 2004MO_x000D_
.obit: 1890OH_x000D_
.bury: 1850IL _x000D_
.wpbt: 1826PA_x000D_
.anc#:ancestor_x000D_
citiz:foreign_x000D_
#spos:1_x000D_
#srcs:3_x000D_
#comment:0_x000D_
#events:1_x000D_
#kids:4_x000D_
lived:ENESSEXGREAT B_x000D_
issue:_x000D_
.recs:Birth,Marriage,Death_x000D_
.imm?:no_x000D_
..Spo:DAVID TIMOTHY STONE</t>
        </r>
      </text>
    </comment>
    <comment ref="N7036" authorId="0" shapeId="0" xr:uid="{24B895AC-9659-4D54-8143-B758FC253D7F}">
      <text>
        <r>
          <rPr>
            <sz val="9"/>
            <color indexed="81"/>
            <rFont val="Tahoma"/>
            <family val="2"/>
          </rPr>
          <t>ANNE\ANNA STONE_x000D_
http://yeinfo.com/family/I09005941.html_x000D_
https://www.google.com/search?q=ANNE\ANNA+STONE+1623+1680+JONES_x000D_
.born:c1623    -          Boxted (Essex) England_x000D_
.died: 16800501-          Waterton (Middlesex) Massachusetts, age:57y 4m 0d, _x000D_
.bapt: 1785GE_x000D_
.will: 2004MO_x000D_
.obit: 1890OH_x000D_
.bury: 1850IL Watertown Ancient burying grnd_x000D_
.wpbt: 1826PA_x000D_
.anc#:ancestor_x000D_
citiz:immigrant_x000D_
#spos:1_x000D_
#srcs:12_x000D_
#comment:0_x000D_
#events:2_x000D_
#kids:4_x000D_
lived:?MAMIDDLWATERTO,ENESSEXBOXTED_x000D_
issue:Died after Age 100_x000D_
.recs:Birth,Marriage,Death,Interment/Burial_x000D_
.imm?:immigrant_x000D_
..Spo:LEWIS JONES</t>
        </r>
      </text>
    </comment>
    <comment ref="P7038" authorId="0" shapeId="0" xr:uid="{6445835C-B969-4C0C-AE73-6A159A0902BC}">
      <text>
        <r>
          <rPr>
            <sz val="9"/>
            <color indexed="81"/>
            <rFont val="Tahoma"/>
            <family val="2"/>
          </rPr>
          <t>WILLIAM CLARK_x000D_
http://yeinfo.com/family/I09023766.html_x000D_
https://www.google.com/search?q=WILLIAM+CLARK+1570+1597+SARAH_x000D_
.born:?1570    -         ?England_x000D_
.died: 1597    -1660      , age:27y 0m 0d, _x000D_
.bapt: 1785GE_x000D_
.will: 2004MO_x000D_
.obit: 1890OH_x000D_
.bury: 1850IL _x000D_
.wpbt: 1826PA_x000D_
.anc#:ancestor_x000D_
citiz:foreign_x000D_
#spos:1_x000D_
#srcs:4_x000D_
#comment:0_x000D_
#events:1_x000D_
#kids:1_x000D_
lived:?EN_x000D_
issue:_x000D_
.recs:Birth,Marriage,Death_x000D_
.imm?:no_x000D_
..Spo:SARAH STRONG</t>
        </r>
      </text>
    </comment>
    <comment ref="O7040" authorId="0" shapeId="0" xr:uid="{4EFB4A56-6B72-44DF-9F84-576F1D3FA9E2}">
      <text>
        <r>
          <rPr>
            <sz val="9"/>
            <color indexed="81"/>
            <rFont val="Tahoma"/>
            <family val="2"/>
          </rPr>
          <t>JOAN\JANE CLARK_x000D_
http://yeinfo.com/family/I09011883.html_x000D_
https://www.google.com/search?q=JOAN\JANE+CLARK+1597+1653+STONE_x000D_
.born: 1597    -         ?England_x000D_
.died:c1653    -          Waterton (Middlesex) Massachusetts, age:56y 0m 0d, _x000D_
.bapt: 1785GE_x000D_
.will: 2004MO_x000D_
.obit: 1890OH_x000D_
.bury: 1850IL _x000D_
.wpbt: 1826PA_x000D_
.anc#:ancestor_x000D_
citiz:immigrant_x000D_
#spos:1_x000D_
#srcs:3_x000D_
#comment:0_x000D_
#events:2_x000D_
#kids:7_x000D_
lived:?EN,ENESSEXGREAT B,ENMIDDLLONDON,MAMIDDLWATERTO_x000D_
issue:_x000D_
.recs:Birth,Marriage,Ship Passenger List,Death_x000D_
.imm?:immigrant_x000D_
..Spo:SIMON STONE</t>
        </r>
      </text>
    </comment>
    <comment ref="P7042" authorId="0" shapeId="0" xr:uid="{F7ED9FD8-BD9E-41D6-A545-575A013FB2FA}">
      <text>
        <r>
          <rPr>
            <sz val="9"/>
            <color indexed="81"/>
            <rFont val="Tahoma"/>
            <family val="2"/>
          </rPr>
          <t>SARAH STRONG_x000D_
http://yeinfo.com/family/I09023767.html_x000D_
https://www.google.com/search?q=SARAH+STRONG+1570+1597+CLARK_x000D_
.born:?1570    -         ?England_x000D_
.died: 1597    -1660      , age:27y 0m 0d, _x000D_
.bapt: 1785GE_x000D_
.will: 2004MO_x000D_
.obit: 1890OH_x000D_
.bury: 1850IL _x000D_
.wpbt: 1826PA_x000D_
.anc#:ancestor_x000D_
citiz:foreign_x000D_
#spos:1_x000D_
#srcs:3_x000D_
#comment:0_x000D_
#events:1_x000D_
#kids:1_x000D_
lived:?EN_x000D_
issue:_x000D_
.recs:Birth,Marriage,Death_x000D_
.imm?:no_x000D_
..Spo:WILLIAM CLARK</t>
        </r>
      </text>
    </comment>
    <comment ref="L7044" authorId="0" shapeId="0" xr:uid="{D6A7C577-1FA9-4223-8F1A-EE7FBCCFCE43}">
      <text>
        <r>
          <rPr>
            <sz val="9"/>
            <color indexed="81"/>
            <rFont val="Tahoma"/>
            <family val="2"/>
          </rPr>
          <t>ANNA JONES_x000D_
http://yeinfo.com/family/I09001485.html_x000D_
https://www.google.com/search?q=ANNA+JONES+1684+1736+MIXER_x000D_
.born: 16840628-          Weston (Middlesex) Massachusetts_x000D_
.died: 1736    -          , age:51y 6m 4d, _x000D_
.bapt: 1785GE_x000D_
.will: 2004MO_x000D_
.obit: 1890OH_x000D_
.bury: 1850IL _x000D_
.wpbt: 1826PA_x000D_
.anc#:ancestor_x000D_
citiz:US born_x000D_
#spos:1_x000D_
#srcs:6_x000D_
#comment:0_x000D_
#events:1_x000D_
#kids:9_x000D_
lived:?MAMIDDLWATERTO,MAMIDDLWESTON_x000D_
issue:_x000D_
.recs:Birth,Marriage,Death_x000D_
.imm?:no_x000D_
..Spo:JOSEPH MIXER</t>
        </r>
      </text>
    </comment>
    <comment ref="N7046" authorId="0" shapeId="0" xr:uid="{8923E053-EF9C-422F-B0AA-4080C6352FD5}">
      <text>
        <r>
          <rPr>
            <sz val="9"/>
            <color indexed="81"/>
            <rFont val="Tahoma"/>
            <family val="2"/>
          </rPr>
          <t>NATHANIEL\NATHANIAL TREADWAY_x000D_
http://yeinfo.com/family/I09005942.html_x000D_
https://www.google.com/search?q=NATHANIEL\NATHANIAL+TREADWAY+1610+1689+SUFFERANCE_x000D_
.born:c1610    -          England_x000D_
.died: 16890720-          , age:79y 6m 19d, _x000D_
.bapt: 1785GE_x000D_
.will: 2004MO_x000D_
.obit: 1890OH_x000D_
.bury: 1850IL _x000D_
.wpbt: 1826PA_x000D_
.anc#:ancestor_x000D_
citiz:US born_x000D_
#spos:1_x000D_
#srcs:17_x000D_
#comment:1_x000D_
#events:10_x000D_
#kids:7_x000D_
lived:EN,MAMIDDLSUDBURY,MAMIDDLWATERTO_x000D_
issue:_x000D_
.recs:Birth,Marriage,Job/Occupation,Will Written,Death_x000D_
.imm?:no_x000D_
..Spo:SUFFERANCE HAYNES</t>
        </r>
      </text>
    </comment>
    <comment ref="M7048" authorId="0" shapeId="0" xr:uid="{8FE49847-2E79-4888-8CC2-A7274185636A}">
      <text>
        <r>
          <rPr>
            <sz val="9"/>
            <color indexed="81"/>
            <rFont val="Tahoma"/>
            <family val="2"/>
          </rPr>
          <t>LYDIA TREADWAY_x000D_
http://yeinfo.com/family/I09002971.html_x000D_
https://www.google.com/search?q=LYDIA+TREADWAY+1649+1743+JONES_x000D_
.born: 16490901-          Waterton (Middlesex) Massachusetts_x000D_
.died: 17430918-          , age:94y 0m 17d, _x000D_
.bapt: 1785GE_x000D_
.will: 2004MO_x000D_
.obit: 1890OH_x000D_
.bury: 1850IL _x000D_
.wpbt: 1826PA_x000D_
.anc#:ancestor_x000D_
citiz:US born_x000D_
#spos:1_x000D_
#srcs:6_x000D_
#comment:0_x000D_
#events:1_x000D_
#kids:10_x000D_
lived:MAMIDDLWATERTO_x000D_
issue:_x000D_
.recs:Birth,Marriage,Death_x000D_
.imm?:no_x000D_
..Spo:JOSIAH JONES</t>
        </r>
      </text>
    </comment>
    <comment ref="P7050" authorId="0" shapeId="0" xr:uid="{57CC6280-BA02-4170-9746-3B58A6801F25}">
      <text>
        <r>
          <rPr>
            <sz val="9"/>
            <color indexed="81"/>
            <rFont val="Tahoma"/>
            <family val="2"/>
          </rPr>
          <t>JOHN HAYNES_x000D_
http://yeinfo.com/family/I09023772.html_x000D_
https://www.google.com/search?q=JOHN+HAYNES+1560+1583+ALICE_x000D_
.born:?1560    -          England_x000D_
.died: 1583    -1650     ?Semley (Wiltshire) England, age:23y 0m 0d, _x000D_
.bapt: 1785GE_x000D_
.will: 2004MO_x000D_
.obit: 1890OH_x000D_
.bury: 1850IL _x000D_
.wpbt: 1826PA_x000D_
.anc#:ancestor_x000D_
citiz:foreign_x000D_
#spos:1_x000D_
#srcs:1_x000D_
#comment:0_x000D_
#events:2_x000D_
#kids:1_x000D_
lived:?ENWILTSSEMLEY,EN_x000D_
issue:_x000D_
.recs:Birth,Marriage,Death_x000D_
.imm?:no_x000D_
..Spo:ALICE LAMBERT</t>
        </r>
      </text>
    </comment>
    <comment ref="O7052" authorId="0" shapeId="0" xr:uid="{C65C95AD-FDAD-4422-B96C-AD55F0E688A8}">
      <text>
        <r>
          <rPr>
            <sz val="9"/>
            <color indexed="81"/>
            <rFont val="Tahoma"/>
            <family val="2"/>
          </rPr>
          <t>WALTER HAYNES_x000D_
http://yeinfo.com/family/I09011886.html_x000D_
https://www.google.com/search?q=WALTER+HAYNES+1583+1665+ELIZABETH_x000D_
.born: 1583    -          Sutton (Yorkshire) England_x000D_
.died: 16650214-          Sudbury (Middlesex) Massachusetts, age:82y 1m 13d, _x000D_
.bapt: 1785GE_x000D_
.will: 2004MO_x000D_
.obit: 1890OH_x000D_
.bury: 1850IL _x000D_
.wpbt: 1826PA_x000D_
.anc#:ancestor_x000D_
citiz:immigrant_x000D_
#spos:1_x000D_
#srcs:12_x000D_
#comment:0_x000D_
#events:15_x000D_
#kids:6_x000D_
lived:ENHAMPSSOUTHMP,ENWILTS,ENYORKSSUTTON,MAMIDDLSUDBURY,MAMIDDLWATERTO_x000D_
issue:_x000D_
.recs:Birth,Ship Passenger List,Job/Occupation,Will Written,Death,Immigrate_x000D_
.imm?:immigrant_x000D_
..Spo:ELIZABETH GOURD</t>
        </r>
      </text>
    </comment>
    <comment ref="P7054" authorId="0" shapeId="0" xr:uid="{B40C2EC0-040E-48FD-9FC1-A5C969E0960A}">
      <text>
        <r>
          <rPr>
            <sz val="9"/>
            <color indexed="81"/>
            <rFont val="Tahoma"/>
            <family val="2"/>
          </rPr>
          <t>ALICE LAMBERT_x000D_
http://yeinfo.com/family/I09023773.html_x000D_
https://www.google.com/search?q=ALICE+LAMBERT+1560+1624+HAYNES_x000D_
.born:?1560    -          England_x000D_
.died: 1624    -          Semley (Wiltshire) England, age:64y 0m 0d, _x000D_
.bapt: 1785GE_x000D_
.will: 2004MO_x000D_
.obit: 1890OH_x000D_
.bury: 1850IL _x000D_
.wpbt: 1826PA_x000D_
.anc#:ancestor_x000D_
citiz:foreign_x000D_
#spos:1_x000D_
#srcs:2_x000D_
#comment:0_x000D_
#events:3_x000D_
#kids:1_x000D_
lived:ENWILTSSEMLEY_x000D_
issue:_x000D_
.recs:Birth,Marriage,Will Written,Death_x000D_
.imm?:no_x000D_
..Spo:JOHN HAYNES</t>
        </r>
      </text>
    </comment>
    <comment ref="N7056" authorId="0" shapeId="0" xr:uid="{92CEB655-605A-4582-8A16-59F2AA2E1CFC}">
      <text>
        <r>
          <rPr>
            <sz val="9"/>
            <color indexed="81"/>
            <rFont val="Tahoma"/>
            <family val="2"/>
          </rPr>
          <t>SUFFERANCE HAYNES_x000D_
http://yeinfo.com/family/I09005943.html_x000D_
https://www.google.com/search?q=SUFFERANCE+HAYNES+1618+1682+TREADWAY_x000D_
.born:?1618    -         ?England_x000D_
.died: 16820722-          , age:64y 6m 21d, _x000D_
.bapt: 1785GE_x000D_
.will: 2004MO_x000D_
.obit: 1890OH_x000D_
.bury: 1850IL _x000D_
.wpbt: 1826PA_x000D_
.anc#:ancestor_x000D_
citiz:US born_x000D_
#spos:1_x000D_
#srcs:14_x000D_
#comment:0_x000D_
#events:2_x000D_
#kids:7_x000D_
lived:?EN,?MAMIDDLSUDBURY,ENHAMPSSOUTHMP,MAMIDDLWATERTO_x000D_
issue:_x000D_
.recs:Birth,Marriage,Ship Passenger List,Death_x000D_
.imm?:no_x000D_
..Spo:NATHANIEL\NATHANIAL TREADWAY</t>
        </r>
      </text>
    </comment>
    <comment ref="O7058" authorId="0" shapeId="0" xr:uid="{995C7698-C820-4C63-B209-3FC73AF01CE1}">
      <text>
        <r>
          <rPr>
            <sz val="9"/>
            <color indexed="81"/>
            <rFont val="Tahoma"/>
            <family val="2"/>
          </rPr>
          <t>ELIZABETH GOURD_x000D_
http://yeinfo.com/family/I09011887.html_x000D_
https://www.google.com/search?q=ELIZABETH+GOURD+1589+1659+HAYNES_x000D_
.born:c1589    -          England_x000D_
.died: 1659    -         ?Sudbury (Middlesex) Massachusetts, age:70y 0m 0d, _x000D_
.bapt: 1785GE_x000D_
.will: 2004MO_x000D_
.obit: 1890OH_x000D_
.bury: 1850IL _x000D_
.wpbt: 1826PA_x000D_
.anc#:ancestor_x000D_
citiz:immigrant_x000D_
#spos:1_x000D_
#srcs:6_x000D_
#comment:0_x000D_
#events:2_x000D_
#kids:6_x000D_
lived:?MAMIDDLSUDBURY,ENHAMPSSOUTHMP_x000D_
issue:_x000D_
.recs:Birth,Marriage,Ship Passenger List,Death_x000D_
.imm?:immigrant_x000D_
..Spo:WALTER HAYNES</t>
        </r>
      </text>
    </comment>
    <comment ref="J7060" authorId="0" shapeId="0" xr:uid="{63F31EF2-73B0-49C6-8EAD-AEA939C9EEEF}">
      <text>
        <r>
          <rPr>
            <sz val="9"/>
            <color indexed="81"/>
            <rFont val="Tahoma"/>
            <family val="2"/>
          </rPr>
          <t>LYDIA MIXER_x000D_
http://yeinfo.com/family/I09000371.html_x000D_
https://www.google.com/search?q=LYDIA+MIXER+1734+1825+PRATT+DAVID_x000D_
.born: 17341016-          Shrewsbury (Worcester) Massachusetts_x000D_
.died: 18251107-          Brattleboro (Windham) Vermont, age:91y 0m 22d, _x000D_
.bapt: 1785GE_x000D_
.will: 2004MO_x000D_
.obit: 1890OH_x000D_
.bury: 1850IL Mather Cemetery_x000D_
.wpbt: 1826PA_x000D_
.anc#:ancestor_x000D_
citiz:US born_x000D_
#spos:2_x000D_
#srcs:7_x000D_
#comment:1_x000D_
#events:4_x000D_
#kids:11_x000D_
lived:?VTWINDHMARLBOR,MAWORCESHREWSB,VTWINDHBRATTLB_x000D_
issue:Married before Age 16_x000D_
.recs:Birth,Marriage,Death,Interment/Burial_x000D_
.imm?:no_x000D_
..Spo:ALPHEUS PRATT</t>
        </r>
      </text>
    </comment>
    <comment ref="O7062" authorId="0" shapeId="0" xr:uid="{2007A16A-8D4E-4342-9944-AF2A634F088A}">
      <text>
        <r>
          <rPr>
            <sz val="9"/>
            <color indexed="81"/>
            <rFont val="Tahoma"/>
            <family val="2"/>
          </rPr>
          <t>JOHN BALL_x000D_
http://yeinfo.com/family/I09011888.html_x000D_
https://www.google.com/search?q=JOHN+BALL+1580+1655+ELIZABETH_x000D_
.born: 1580    -          England_x000D_
.died: 16551101-          Concord (Middlesex) Massachusetts, age:75y 10m 0d, _x000D_
.bapt: 1785GE_x000D_
.will: 2004MO_x000D_
.obit: 1890OH_x000D_
.bury: 1850IL _x000D_
.wpbt: 1826PA_x000D_
.anc#:ancestor_x000D_
citiz:immigrant_x000D_
#spos:1_x000D_
#srcs:10_x000D_
#comment:0_x000D_
#events:9_x000D_
#kids:2_x000D_
lived:?ENWILTS,EN,MAMIDDLBEDFORD,MAMIDDLCONCORD,MAMIDDLWATERTO_x000D_
issue:_x000D_
.recs:Birth,Death,Freeman,Immigrate_x000D_
.imm?:immigrant_x000D_
..Spo:ELIZABETH KING</t>
        </r>
      </text>
    </comment>
    <comment ref="N7064" authorId="0" shapeId="0" xr:uid="{6EABE6BF-D075-41F4-AD6D-8652E68EAFEB}">
      <text>
        <r>
          <rPr>
            <sz val="9"/>
            <color indexed="81"/>
            <rFont val="Tahoma"/>
            <family val="2"/>
          </rPr>
          <t>JOHN BALL_x000D_
http://yeinfo.com/family/I09005944.html_x000D_
https://www.google.com/search?q=JOHN+BALL+1620+1675+ELIZABETH+Fox_x000D_
.born:?1620    -          England_x000D_
.died: 16750910-          Lancaster (Worcester) Massachusetts, age:55y 8m 9d, killed by Indians_x000D_
.bapt: 1785GE_x000D_
.will: 2004MO_x000D_
.obit: 1890OH_x000D_
.bury: 1850IL _x000D_
.wpbt: 1826PA_x000D_
.anc#:ancestor_x000D_
citiz:immigrant_x000D_
#spos:2_x000D_
#srcs:4_x000D_
#comment:0_x000D_
#events:7_x000D_
#kids:6_x000D_
lived:ENWILTS,MAMIDDLWATERTO,MAWORCELANCAST_x000D_
issue:_x000D_
.recs:Birth,Marriage,Deed_x000D_
.imm?:immigrant_x000D_
..Spo:ELIZABETH PIERCE</t>
        </r>
      </text>
    </comment>
    <comment ref="O7066" authorId="0" shapeId="0" xr:uid="{26085998-F6F3-4EF7-93F5-3973DD4D3540}">
      <text>
        <r>
          <rPr>
            <sz val="9"/>
            <color indexed="81"/>
            <rFont val="Tahoma"/>
            <family val="2"/>
          </rPr>
          <t>ELIZABETH KING_x000D_
http://yeinfo.com/family/I09011889.html_x000D_
https://www.google.com/search?q=ELIZABETH+KING+1600+1667+BALL_x000D_
.born:?1600    -         ?England_x000D_
.died: 1667    -1690     ?Massachusetts, age:67y 0m 0d, _x000D_
.bapt: 1785GE_x000D_
.will: 2004MO_x000D_
.obit: 1890OH_x000D_
.bury: 1850IL _x000D_
.wpbt: 1826PA_x000D_
.anc#:ancestor_x000D_
citiz:immigrant_x000D_
#spos:1_x000D_
#srcs:8_x000D_
#comment:1_x000D_
#events:2_x000D_
#kids:2_x000D_
lived:?EN,?MA_x000D_
issue:_x000D_
.recs:Birth,Marriage,Will Written,Death_x000D_
.imm?:immigrant_x000D_
..Spo:JOHN BALL</t>
        </r>
      </text>
    </comment>
    <comment ref="M7068" authorId="0" shapeId="0" xr:uid="{3E12CFDC-7FE0-4C2B-9638-4B12232B688B}">
      <text>
        <r>
          <rPr>
            <sz val="9"/>
            <color indexed="81"/>
            <rFont val="Tahoma"/>
            <family val="2"/>
          </rPr>
          <t>JOHN BALL_x000D_
http://yeinfo.com/family/I09002972.html_x000D_
https://www.google.com/search?q=JOHN+BALL+1644+1722+SARAH_x000D_
.born: 1644    -         ?Concord (Middlesex) Massachusetts_x000D_
.died: 17220508-         ?Waterton (Middlesex) Massachusetts, age:78y 4m 7d, _x000D_
.bapt: 1785GE_x000D_
.will: 2004MO_x000D_
.obit: 1890OH_x000D_
.bury: 1850IL _x000D_
.wpbt: 1826PA_x000D_
.anc#:ancestor_x000D_
citiz:US born_x000D_
#spos:1_x000D_
#srcs:4_x000D_
#comment:0_x000D_
#events:3_x000D_
#kids:7_x000D_
lived:?MAMIDDLCONCORD,MAMIDDLWATERTO_x000D_
issue:_x000D_
.recs:Birth,Marriage,Death_x000D_
.imm?:no_x000D_
..Spo:SARAH BULLARD</t>
        </r>
      </text>
    </comment>
    <comment ref="O7070" authorId="0" shapeId="0" xr:uid="{53589A94-001B-4CEA-B312-64CA48E59BBA}">
      <text>
        <r>
          <rPr>
            <sz val="9"/>
            <color indexed="81"/>
            <rFont val="Tahoma"/>
            <family val="2"/>
          </rPr>
          <t>JOHN PIERCE_x000D_
http://yeinfo.com/family/I09011890.html_x000D_
https://www.google.com/search?q=JOHN+PIERCE+1585+1661+ELIZABETH_x000D_
.born: 1585    -          Norwich (Norfolk) England_x000D_
.died: 16610819-          Waterton (Middlesex) Massachusetts, age:76y 7m 18d, _x000D_
.bapt: 1785GE_x000D_
.will: 2004MO_x000D_
.obit: 1890OH_x000D_
.bury: 1850IL _x000D_
.wpbt: 1826PA_x000D_
.anc#:double ancestor_x000D_
citiz:immigrant_x000D_
#spos:1_x000D_
#srcs:20_x000D_
#comment:1_x000D_
#events:13_x000D_
#kids:8_x000D_
lived:ENNORFONORWICH,MAMIDDLWATERTO,MASUFFODORCHES,MAWORCELANCAST_x000D_
issue:_x000D_
.recs:Birth,Marriage,Ship Passenger List,Job/Occupation,Will Written,Death,Freeman,Oath Taken_x000D_
.imm?:immigrant_x000D_
..Spo:ELIZABETH TRULL</t>
        </r>
      </text>
    </comment>
    <comment ref="N7072" authorId="0" shapeId="0" xr:uid="{25BBBAFD-1063-455D-B80D-B50D4F094346}">
      <text>
        <r>
          <rPr>
            <sz val="9"/>
            <color indexed="81"/>
            <rFont val="Tahoma"/>
            <family val="2"/>
          </rPr>
          <t>ELIZABETH PIERCE_x000D_
http://yeinfo.com/family/I09005945.html_x000D_
https://www.google.com/search?q=ELIZABETH+PIERCE+1622+1665+BALL_x000D_
.born:?1622    -          England_x000D_
.died: 1665    -1712     ?Waterton (Middlesex) Massachusetts, age:43y 0m 0d, _x000D_
.bapt: 1785GE_x000D_
.will: 2004MO_x000D_
.obit: 1890OH_x000D_
.bury: 1850IL _x000D_
.wpbt: 1826PA_x000D_
.anc#:ancestor_x000D_
citiz:immigrant_x000D_
#spos:1_x000D_
#srcs:6_x000D_
#comment:0_x000D_
#events:2_x000D_
#kids:4_x000D_
lived:EN,MAMIDDLWATERTO_x000D_
issue:_x000D_
.recs:Birth,Marriage,Death_x000D_
.imm?:immigrant_x000D_
..Spo:JOHN BALL</t>
        </r>
      </text>
    </comment>
    <comment ref="P7074" authorId="0" shapeId="0" xr:uid="{CD8359FF-5AF4-4BCA-8A47-C59B3F97E4EF}">
      <text>
        <r>
          <rPr>
            <sz val="9"/>
            <color indexed="81"/>
            <rFont val="Tahoma"/>
            <family val="2"/>
          </rPr>
          <t>ROBERT TRULL_x000D_
http://yeinfo.com/family/I09023782.html_x000D_
https://www.google.com/search?q=ROBERT+TRULL+1535+1590+Margaret+LADYMAN_x000D_
.born: 1535    -          England_x000D_
.died: 1590    -1610      England, age:55y 0m 0d, _x000D_
.bapt: 1785GE_x000D_
.will: 2004MO_x000D_
.obit: 1890OH_x000D_
.bury: 1850IL Norwich St. Augustine_x000D_
.wpbt: 1826PA_x000D_
.anc#:double ancestor_x000D_
citiz:foreign_x000D_
#spos:2_x000D_
#srcs:1_x000D_
#comment:0_x000D_
#events:3_x000D_
#kids:5_x000D_
lived:ENNORFONORWICH_x000D_
issue:_x000D_
.recs:Birth,Marriage,Death,Interment/Burial_x000D_
.imm?:no_x000D_
..Spo:Margaret SKETE</t>
        </r>
      </text>
    </comment>
    <comment ref="O7076" authorId="0" shapeId="0" xr:uid="{2AA0FE61-3D78-49D8-9F68-AEA4AC2D4E7D}">
      <text>
        <r>
          <rPr>
            <sz val="9"/>
            <color indexed="81"/>
            <rFont val="Tahoma"/>
            <family val="2"/>
          </rPr>
          <t>ELIZABETH TRULL_x000D_
http://yeinfo.com/family/I09011891.html_x000D_
https://www.google.com/search?q=ELIZABETH+TRULL+1590+1667+PIERCE_x000D_
.born:?1590    -          England_x000D_
.died: 16670312-         ?Waterton (Middlesex) Massachusetts, age:77y 2m 11d, _x000D_
.bapt: 1785GE_x000D_
.will: 2004MO_x000D_
.obit: 1890OH_x000D_
.bury: 1850IL _x000D_
.wpbt: 1826PA_x000D_
.anc#:double ancestor_x000D_
citiz:immigrant_x000D_
#spos:1_x000D_
#srcs:15_x000D_
#comment:0_x000D_
#events:3_x000D_
#kids:8_x000D_
lived:?MAMIDDLWATERTO,EN_x000D_
issue:_x000D_
.recs:Birth,Marriage,Will Written,Death_x000D_
.imm?:immigrant_x000D_
..Spo:JOHN PIERCE</t>
        </r>
      </text>
    </comment>
    <comment ref="P7078" authorId="0" shapeId="0" xr:uid="{8FADF0AD-AE9A-4580-A180-395E3DAE1D73}">
      <text>
        <r>
          <rPr>
            <sz val="9"/>
            <color indexed="81"/>
            <rFont val="Tahoma"/>
            <family val="2"/>
          </rPr>
          <t>MARY LADYMAN_x000D_
http://yeinfo.com/family/I09023783.html_x000D_
https://www.google.com/search?q=MARY+LADYMAN+1556+1590+TRULL_x000D_
.born: 1556    -          England_x000D_
.died: 1590    -1646      England, age:34y 0m 0d, _x000D_
.bapt: 1785GE_x000D_
.will: 2004MO_x000D_
.obit: 1890OH_x000D_
.bury: 1850IL _x000D_
.wpbt: 1826PA_x000D_
.anc#:double ancestor_x000D_
citiz:foreign_x000D_
#spos:1_x000D_
#srcs:1_x000D_
#comment:0_x000D_
#events:1_x000D_
#kids:4_x000D_
lived:ENNORFONORWICH_x000D_
issue:_x000D_
.recs:Birth,Marriage,Death_x000D_
.imm?:no_x000D_
..Spo:ROBERT TRULL</t>
        </r>
      </text>
    </comment>
    <comment ref="L7080" authorId="0" shapeId="0" xr:uid="{7B8D5C9B-8399-48E7-B037-A38B569099E0}">
      <text>
        <r>
          <rPr>
            <sz val="9"/>
            <color indexed="81"/>
            <rFont val="Tahoma"/>
            <family val="2"/>
          </rPr>
          <t>DANIEL BALL_x000D_
http://yeinfo.com/family/I09001486.html_x000D_
https://www.google.com/search?q=DANIEL+BALL+1683+1717+MARY_x000D_
.born: 16830802-          Waterton (Middlesex) Massachusetts_x000D_
.died: 17170309-         ?Waterton (Middlesex) Massachusetts, age:33y 7m 7d, _x000D_
.bapt: 1785GE_x000D_
.will: 2004MO_x000D_
.obit: 1890OH_x000D_
.bury: 1850IL _x000D_
.wpbt: 1826PA_x000D_
.anc#:ancestor_x000D_
citiz:US born_x000D_
#spos:1_x000D_
#srcs:2_x000D_
#comment:0_x000D_
#events:3_x000D_
#kids:2_x000D_
lived:MAMIDDLWATERTO_x000D_
issue:_x000D_
.recs:Birth,Marriage,Death_x000D_
.imm?:no_x000D_
..Spo:MARY EARLE</t>
        </r>
      </text>
    </comment>
    <comment ref="Q7082" authorId="0" shapeId="0" xr:uid="{215A16C5-71DE-41E0-9545-551148425372}">
      <text>
        <r>
          <rPr>
            <sz val="9"/>
            <color indexed="81"/>
            <rFont val="Tahoma"/>
            <family val="2"/>
          </rPr>
          <t>JOHN BULLARD_x000D_
http://yeinfo.com/family/I09047568.html_x000D_
https://www.google.com/search?q=JOHN+BULLARD+1510+1583+MARGARET_x000D_
.born:?1510    -         ?Barnham (Suffolk) England_x000D_
.died: 1583    -1600     ?Barnham (Suffolk) England, age:73y 0m 0d, _x000D_
.bapt: 1785GE_x000D_
.will: 2004MO_x000D_
.obit: 1890OH_x000D_
.bury: 1850IL _x000D_
.wpbt: 1826PA_x000D_
.anc#:ancestor_x000D_
citiz:foreign_x000D_
#spos:1_x000D_
#srcs:2_x000D_
#comment:0_x000D_
#events:3_x000D_
#kids:2_x000D_
lived:?ENSUFFOBARNHAM,ENSUFFO_x000D_
issue:_x000D_
.recs:Birth,Military,Marriage,Will Inclusion,Death_x000D_
.imm?:no_x000D_
..Spo:MARGARET KENT</t>
        </r>
      </text>
    </comment>
    <comment ref="P7084" authorId="0" shapeId="0" xr:uid="{DEFE41ED-166A-498D-BF56-D455765CB177}">
      <text>
        <r>
          <rPr>
            <sz val="9"/>
            <color indexed="81"/>
            <rFont val="Tahoma"/>
            <family val="2"/>
          </rPr>
          <t>HENRY BULLARD_x000D_
http://yeinfo.com/family/I09023784.html_x000D_
https://www.google.com/search?q=HENRY+BULLARD+1535+1591+MARGARET_x000D_
.born:?1535    -         ?Barnham (Suffolk) England_x000D_
.died: 159101  -         ?Barnham (Suffolk) England, age:56y 0m 0d, _x000D_
.bapt: 1785GE_x000D_
.will: 2004MO_x000D_
.obit: 1890OH_x000D_
.bury: 1850IL _x000D_
.wpbt: 1826PA_x000D_
.anc#:ancestor_x000D_
citiz:foreign_x000D_
#spos:1_x000D_
#srcs:3_x000D_
#comment:0_x000D_
#events:1_x000D_
#kids:6_x000D_
lived:?ENSUFFOBARNHAM_x000D_
issue:_x000D_
.recs:Birth,Marriage,Death_x000D_
.imm?:no_x000D_
..Spo:MARGARET GREEKE</t>
        </r>
      </text>
    </comment>
    <comment ref="Q7086" authorId="0" shapeId="0" xr:uid="{CCB660ED-57D4-4067-82B6-652759E63334}">
      <text>
        <r>
          <rPr>
            <sz val="9"/>
            <color indexed="81"/>
            <rFont val="Tahoma"/>
            <family val="2"/>
          </rPr>
          <t>MARGARET KENT_x000D_
http://yeinfo.com/family/I09047569.html_x000D_
https://www.google.com/search?q=MARGARET+KENT+1510+1587+BULLARD_x000D_
.born:?1510    -         ?Barnham (Suffolk) England_x000D_
.died: 1587    -         ?Barnham (Suffolk) England, age:77y 0m 0d, _x000D_
.bapt: 1785GE_x000D_
.will: 2004MO_x000D_
.obit: 1890OH_x000D_
.bury: 1850IL St. Martin parish_x000D_
.wpbt: 1826PA_x000D_
.anc#:ancestor_x000D_
citiz:foreign_x000D_
#spos:1_x000D_
#srcs:3_x000D_
#comment:0_x000D_
#events:2_x000D_
#kids:2_x000D_
lived:?ENSUFFOBARNHAM_x000D_
issue:_x000D_
.recs:Birth,Marriage,Death,Interment/Burial_x000D_
.imm?:no_x000D_
..Spo:JOHN BULLARD</t>
        </r>
      </text>
    </comment>
    <comment ref="O7088" authorId="0" shapeId="0" xr:uid="{9D94E45D-BE89-44B6-91F5-7244E8FE92C6}">
      <text>
        <r>
          <rPr>
            <sz val="9"/>
            <color indexed="81"/>
            <rFont val="Tahoma"/>
            <family val="2"/>
          </rPr>
          <t>WILLIAM BULLARD_x000D_
http://yeinfo.com/family/I09011892.html_x000D_
https://www.google.com/search?q=WILLIAM+BULLARD+1562+1610+GRACE_x000D_
.born:?1562    -         ?Barnham (Suffolk) England_x000D_
.died: 1610    -1652     ?Barnham (Suffolk) England, age:48y 0m 0d, _x000D_
.bapt: 1785GE_x000D_
.will: 2004MO_x000D_
.obit: 1890OH_x000D_
.bury: 1850IL _x000D_
.wpbt: 1826PA_x000D_
.anc#:ancestor_x000D_
citiz:foreign_x000D_
#spos:1_x000D_
#srcs:3_x000D_
#comment:0_x000D_
#events:4_x000D_
#kids:10_x000D_
lived:?ENSUFFOBARNHAM_x000D_
issue:_x000D_
.recs:Birth,Marriage,Will Written,Death_x000D_
.imm?:no_x000D_
..Spo:GRACE BIGNETTE</t>
        </r>
      </text>
    </comment>
    <comment ref="P7090" authorId="0" shapeId="0" xr:uid="{CD1B15A0-345D-40BE-B11A-A65DEB9813B5}">
      <text>
        <r>
          <rPr>
            <sz val="9"/>
            <color indexed="81"/>
            <rFont val="Tahoma"/>
            <family val="2"/>
          </rPr>
          <t>MARGARET GREEKE_x000D_
http://yeinfo.com/family/I09023785.html_x000D_
https://www.google.com/search?q=MARGARET+GREEKE+1535+1574+BULLARD_x000D_
.born:?1535    -         ?Barnham (Suffolk) England_x000D_
.died: 1574    -1625     ?Barnham (Suffolk) England, age:39y 0m 0d, _x000D_
.bapt: 1785GE_x000D_
.will: 2004MO_x000D_
.obit: 1890OH_x000D_
.bury: 1850IL _x000D_
.wpbt: 1826PA_x000D_
.anc#:ancestor_x000D_
citiz:foreign_x000D_
#spos:1_x000D_
#srcs:2_x000D_
#comment:0_x000D_
#events:1_x000D_
#kids:6_x000D_
lived:?ENSUFFOBARNHAM_x000D_
issue:_x000D_
.recs:Birth,Marriage,Death_x000D_
.imm?:no_x000D_
..Spo:HENRY BULLARD</t>
        </r>
      </text>
    </comment>
    <comment ref="N7092" authorId="0" shapeId="0" xr:uid="{CAB32DE7-061F-42DA-8CFA-2788C76682C1}">
      <text>
        <r>
          <rPr>
            <sz val="9"/>
            <color indexed="81"/>
            <rFont val="Tahoma"/>
            <family val="2"/>
          </rPr>
          <t>GEORGE BULLARD_x000D_
http://yeinfo.com/family/I09005946.html_x000D_
https://www.google.com/search?q=GEORGE+BULLARD+1607+1689+Margaret+HALL_x000D_
.born: 1607    -          Barnham (Suffolk) England_x000D_
.died: 16890114-          Weston (Middlesex) Massachusetts, age:82y 0m 13d, _x000D_
.bapt: 1785GE_x000D_
.will: 2004MO_x000D_
.obit: 1890OH_x000D_
.bury: 1850IL _x000D_
.wpbt: 1826PA_x000D_
.anc#:ancestor_x000D_
citiz:immigrant_x000D_
#spos:4_x000D_
#srcs:12_x000D_
#comment:1_x000D_
#events:10_x000D_
#kids:5_x000D_
lived:ENSUFFOBARNHAM,MAMIDDLWATERTO,MAMIDDLWESTON,MANORFODEDHAM,MASUFFOCHAZTWN_x000D_
issue:Married before Age 16_x000D_
.recs:Birth,Death,Freeman,Immigrate_x000D_
.imm?:immigrant_x000D_
..Spo:Margaret BULLAR</t>
        </r>
      </text>
    </comment>
    <comment ref="Q7094" authorId="0" shapeId="0" xr:uid="{878E6B65-4312-47E5-8DA4-1CE69C5F8F9D}">
      <text>
        <r>
          <rPr>
            <sz val="9"/>
            <color indexed="81"/>
            <rFont val="Tahoma"/>
            <family val="2"/>
          </rPr>
          <t>THOMAS BIGNETTE_x000D_
http://yeinfo.com/family/I09047572.html_x000D_
https://www.google.com/search?q=THOMAS+BIGNETTE+1490+1542+{_?_}+BIGNETTE_x000D_
.born:?1490    -         ?Suffolk county England_x000D_
.died: 1542    -1580      Hoxne (Suffolk) England, age:52y 0m 0d, _x000D_
.bapt: 1785GE_x000D_
.will: 2004MO_x000D_
.obit: 1890OH_x000D_
.bury: 1850IL _x000D_
.wpbt: 1826PA_x000D_
.anc#:ancestor_x000D_
citiz:foreign_x000D_
#spos:2_x000D_
#srcs:1_x000D_
#comment:0_x000D_
#events:5_x000D_
#kids:1_x000D_
lived:ENSUFFOHOXNE_x000D_
issue:_x000D_
.recs:Birth,Marriage,Will Written,Death_x000D_
.imm?:no_x000D_
..Spo:{_?_} BIGNETTE</t>
        </r>
      </text>
    </comment>
    <comment ref="P7096" authorId="0" shapeId="0" xr:uid="{B861404C-145F-4CE4-8FE5-8429E5E2D0ED}">
      <text>
        <r>
          <rPr>
            <sz val="9"/>
            <color indexed="81"/>
            <rFont val="Tahoma"/>
            <family val="2"/>
          </rPr>
          <t>WILLIAM BIGNETTE_x000D_
http://yeinfo.com/family/I09023786.html_x000D_
https://www.google.com/search?q=WILLIAM+BIGNETTE+1519+1583+MARGARET_x000D_
.born:c1519    -          Hoxne (Suffolk) England_x000D_
.died: 1583    -1609      Suffolk county England, age:64y 0m 0d, _x000D_
.bapt: 1785GE_x000D_
.will: 2004MO_x000D_
.obit: 1890OH_x000D_
.bury: 1850IL _x000D_
.wpbt: 1826PA_x000D_
.anc#:ancestor_x000D_
citiz:foreign_x000D_
#spos:1_x000D_
#srcs:1_x000D_
#comment:0_x000D_
#events:3_x000D_
#kids:9_x000D_
lived:ENSUFFOHOXNE_x000D_
issue:_x000D_
.recs:Birth,Marriage,Will Written,Death_x000D_
.imm?:no_x000D_
..Spo:MARGARET BIGNETTE</t>
        </r>
      </text>
    </comment>
    <comment ref="Q7098" authorId="0" shapeId="0" xr:uid="{0BBC35D6-5AE7-4F46-9E57-79698B31AE51}">
      <text>
        <r>
          <rPr>
            <sz val="9"/>
            <color indexed="81"/>
            <rFont val="Tahoma"/>
            <family val="2"/>
          </rPr>
          <t>Mrs. {_?_} BIGNETTE_x000D_
http://yeinfo.com/family/I09047573.html_x000D_
https://www.google.com/search?q={_?_}+BIGNETTE+1490+1522+BIGNETTE_x000D_
.born:?1490    -         ?Suffolk county England_x000D_
.died:?1522    -         ?Hoxne (Suffolk) England, age:32y 0m 0d, _x000D_
.bapt: 1785GE_x000D_
.will: 2004MO_x000D_
.obit: 1890OH_x000D_
.bury: 1850IL _x000D_
.wpbt: 1826PA_x000D_
.anc#:ancestor_x000D_
citiz:foreign_x000D_
#spos:1_x000D_
#srcs:1_x000D_
#comment:0_x000D_
#events:1_x000D_
#kids:1_x000D_
lived:?ENSUFFOHOXNE_x000D_
issue:_x000D_
.recs:Birth,Marriage,Death_x000D_
.imm?:no_x000D_
..Spo:THOMAS BIGNETTE</t>
        </r>
      </text>
    </comment>
    <comment ref="O7100" authorId="0" shapeId="0" xr:uid="{C3003CA7-381A-49F7-880E-7FAFDF7A0FFB}">
      <text>
        <r>
          <rPr>
            <sz val="9"/>
            <color indexed="81"/>
            <rFont val="Tahoma"/>
            <family val="2"/>
          </rPr>
          <t>GRACE BIGNETTE_x000D_
http://yeinfo.com/family/I09011893.html_x000D_
https://www.google.com/search?q=GRACE+BIGNETTE+1565+1630+BULLARD_x000D_
.born:?1565    -          England_x000D_
.died: 1630    -          England, age:65y 0m 0d, _x000D_
.bapt: 1785GE_x000D_
.will: 2004MO_x000D_
.obit: 1890OH_x000D_
.bury: 1850IL _x000D_
.wpbt: 1826PA_x000D_
.anc#:ancestor_x000D_
citiz:foreign_x000D_
#spos:1_x000D_
#srcs:2_x000D_
#comment:0_x000D_
#events:2_x000D_
#kids:10_x000D_
lived:ENSUFFOBARNHAM_x000D_
issue:_x000D_
.recs:Birth,Marriage,Will Written,Death_x000D_
.imm?:no_x000D_
..Spo:WILLIAM BULLARD</t>
        </r>
      </text>
    </comment>
    <comment ref="P7102" authorId="0" shapeId="0" xr:uid="{1CE6CE34-EC21-46B8-8481-743E890925B6}">
      <text>
        <r>
          <rPr>
            <sz val="9"/>
            <color indexed="81"/>
            <rFont val="Tahoma"/>
            <family val="2"/>
          </rPr>
          <t>Mrs. MARGARET BIGNETTE_x000D_
http://yeinfo.com/family/I09023787.html_x000D_
https://www.google.com/search?q=MARGARET+BIGNETTE+1520+1596+BIGNETTE_x000D_
.born:?1520    -         ?Suffolk county England_x000D_
.died: 159605  -          Hoxne (Suffolk) England, age:76y 4m 0d, _x000D_
.bapt: 1785GE_x000D_
.will: 2004MO_x000D_
.obit: 1890OH_x000D_
.bury: 1850IL _x000D_
.wpbt: 1826PA_x000D_
.anc#:ancestor_x000D_
citiz:foreign_x000D_
#spos:1_x000D_
#srcs:1_x000D_
#comment:0_x000D_
#events:2_x000D_
#kids:9_x000D_
lived:ENSUFFOHOXNE_x000D_
issue:_x000D_
.recs:Birth,Marriage,Death_x000D_
.imm?:no_x000D_
..Spo:WILLIAM BIGNETTE</t>
        </r>
      </text>
    </comment>
    <comment ref="M7104" authorId="0" shapeId="0" xr:uid="{48ED9E2D-CB2B-42E7-A25B-B0D162ADE1AD}">
      <text>
        <r>
          <rPr>
            <sz val="9"/>
            <color indexed="81"/>
            <rFont val="Tahoma"/>
            <family val="2"/>
          </rPr>
          <t>SARAH BULLARD_x000D_
http://yeinfo.com/family/I09002973.html_x000D_
https://www.google.com/search?q=SARAH+BULLARD+1645+1686+BALL_x000D_
.born:?1645    -         ?England_x000D_
.died: 1686    -1735     ?Massachusetts, age:41y 0m 0d, _x000D_
.bapt: 1785GE_x000D_
.will: 2004MO_x000D_
.obit: 1890OH_x000D_
.bury: 1850IL _x000D_
.wpbt: 1826PA_x000D_
.anc#:ancestor_x000D_
citiz:immigrant_x000D_
#spos:1_x000D_
#srcs:2_x000D_
#comment:0_x000D_
#events:1_x000D_
#kids:7_x000D_
lived:?EN,MAMIDDLWATERTO_x000D_
issue:_x000D_
.recs:Birth,Marriage,Death_x000D_
.imm?:immigrant_x000D_
..Spo:JOHN BALL</t>
        </r>
      </text>
    </comment>
    <comment ref="N7106" authorId="0" shapeId="0" xr:uid="{7655A5E2-BFAF-4244-8365-2EC7A23572B8}">
      <text>
        <r>
          <rPr>
            <sz val="9"/>
            <color indexed="81"/>
            <rFont val="Tahoma"/>
            <family val="2"/>
          </rPr>
          <t>BEATRICE HALL_x000D_
http://yeinfo.com/family/I09005947.html_x000D_
https://www.google.com/search?q=BEATRICE+HALL+1610+1652+BULLARD_x000D_
.born: 1610    -          Barnham (Suffolk) England_x000D_
.died: 16520329-          Waterton (Middlesex) Massachusetts, age:42y 2m 28d, _x000D_
.bapt: 1785GE_x000D_
.will: 2004MO_x000D_
.obit: 1890OH_x000D_
.bury: 1850IL _x000D_
.wpbt: 1826PA_x000D_
.anc#:ancestor_x000D_
citiz:immigrant_x000D_
#spos:1_x000D_
#srcs:7_x000D_
#comment:0_x000D_
#events:3_x000D_
#kids:4_x000D_
lived:ENSUFFOBARNHAM,MAMIDDLWATERTO,MASUFFOBOSTON_x000D_
issue:_x000D_
.recs:Birth,Marriage,Death_x000D_
.imm?:immigrant_x000D_
..Spo:GEORGE BULLARD</t>
        </r>
      </text>
    </comment>
    <comment ref="K7108" authorId="0" shapeId="0" xr:uid="{1C8758BD-F05F-467B-8146-6E3E2723C5AC}">
      <text>
        <r>
          <rPr>
            <sz val="9"/>
            <color indexed="81"/>
            <rFont val="Tahoma"/>
            <family val="2"/>
          </rPr>
          <t>MARY ELIZABETH BALL_x000D_
http://yeinfo.com/family/I09000743.html_x000D_
https://www.google.com/search?q=MARY+ELIZABETH+BALL+1709+1748+MIXER_x000D_
.born: 17091227-          Waterton (Middlesex) Massachusetts_x000D_
.died: 1748    -1799      , age:38y 0m 5d, _x000D_
.bapt: 1785GE_x000D_
.will: 2004MO_x000D_
.obit: 1890OH_x000D_
.bury: 1850IL _x000D_
.wpbt: 1826PA_x000D_
.anc#:ancestor_x000D_
citiz:US born_x000D_
#spos:1_x000D_
#srcs:2_x000D_
#comment:0_x000D_
#events:2_x000D_
#kids:9_x000D_
lived:MAMIDDLWATERTO_x000D_
issue:_x000D_
.recs:Birth,Marriage Intention/Bonds,Death_x000D_
.imm?:no_x000D_
..Spo:JOSEPH MIXER</t>
        </r>
      </text>
    </comment>
    <comment ref="O7110" authorId="0" shapeId="0" xr:uid="{B01A5C75-DB8E-4E8D-8C1E-07E18CDC6127}">
      <text>
        <r>
          <rPr>
            <sz val="9"/>
            <color indexed="81"/>
            <rFont val="Tahoma"/>
            <family val="2"/>
          </rPr>
          <t>RALPH EARLE_x000D_
http://yeinfo.com/family/I09011896.html_x000D_
https://www.google.com/search?q=RALPH+EARLE+1605+1678+JOAN_x000D_
.born: 16050825-          Bishops Stortford (Hertfordshire) England_x000D_
.died: 1678    -          Portsmouth (Newport) Rhode Island, age:72y 4m 7d, _x000D_
.bapt: 1785GE_x000D_
.will: 2004MO_x000D_
.obit: 1890OH_x000D_
.bury: 1850IL _x000D_
.wpbt: 1826PA_x000D_
.anc#:ancestor_x000D_
citiz:immigrant_x000D_
#spos:1_x000D_
#srcs:1_x000D_
#comment:0_x000D_
#events:1_x000D_
#kids:5_x000D_
lived:ENHERTFBISHOST,RINEWPOPORTSMO_x000D_
issue:_x000D_
.recs:Birth,Marriage,Death_x000D_
.imm?:immigrant_x000D_
..Spo:JOAN SAVAGE</t>
        </r>
      </text>
    </comment>
    <comment ref="N7112" authorId="0" shapeId="0" xr:uid="{251AF9F0-4FFE-40F7-AF46-5F196D4F0BAF}">
      <text>
        <r>
          <rPr>
            <sz val="9"/>
            <color indexed="81"/>
            <rFont val="Tahoma"/>
            <family val="2"/>
          </rPr>
          <t>WILLIAM EARLE_x000D_
http://yeinfo.com/family/I09005948.html_x000D_
https://www.google.com/search?q=WILLIAM+EARLE+1632+1715+MARY_x000D_
.born: 16320511-          Bishops Stortford (Hertfordshire) England_x000D_
.died: 17150115-          Portsmouth (Newport) Rhode Island, age:82y 8m 4d, _x000D_
.bapt: 1785GE_x000D_
.will: 2004MO_x000D_
.obit: 1890OH_x000D_
.bury: 1850IL _x000D_
.wpbt: 1826PA_x000D_
.anc#:ancestor_x000D_
citiz:immigrant_x000D_
#spos:1_x000D_
#srcs:1_x000D_
#comment:0_x000D_
#events:1_x000D_
#kids:7_x000D_
lived:ENHERTFBISHOST,RINEWPOPORTSMO_x000D_
issue:_x000D_
.recs:Birth,Marriage,Death_x000D_
.imm?:immigrant_x000D_
..Spo:MARY WALKER</t>
        </r>
      </text>
    </comment>
    <comment ref="O7114" authorId="0" shapeId="0" xr:uid="{29898BEF-68EE-42F7-956E-EE13355B06EA}">
      <text>
        <r>
          <rPr>
            <sz val="9"/>
            <color indexed="81"/>
            <rFont val="Tahoma"/>
            <family val="2"/>
          </rPr>
          <t>JOAN SAVAGE_x000D_
http://yeinfo.com/family/I09011897.html_x000D_
https://www.google.com/search?q=JOAN+SAVAGE+1606+1632+EARLE_x000D_
.born: 1606    -          Bishops Stortford (Hertfordshire) England_x000D_
.died: 1632    -1696      Portsmouth (Newport) Rhode Island, age:26y 0m 0d, _x000D_
.bapt: 1785GE_x000D_
.will: 2004MO_x000D_
.obit: 1890OH_x000D_
.bury: 1850IL _x000D_
.wpbt: 1826PA_x000D_
.anc#:ancestor_x000D_
citiz:immigrant_x000D_
#spos:1_x000D_
#srcs:1_x000D_
#comment:0_x000D_
#events:1_x000D_
#kids:5_x000D_
lived:ENHERTFBISHOST,RINEWPOPORTSMO_x000D_
issue:_x000D_
.recs:Birth,Marriage,Death_x000D_
.imm?:immigrant_x000D_
..Spo:RALPH EARLE</t>
        </r>
      </text>
    </comment>
    <comment ref="M7116" authorId="0" shapeId="0" xr:uid="{85064935-9A95-48CC-BA3F-DEBE16993313}">
      <text>
        <r>
          <rPr>
            <sz val="9"/>
            <color indexed="81"/>
            <rFont val="Tahoma"/>
            <family val="2"/>
          </rPr>
          <t>JOHN EARLE_x000D_
http://yeinfo.com/family/I09002974.html_x000D_
https://www.google.com/search?q=JOHN+EARLE+1664+1703+MARY_x000D_
.born:c16641119-          Boston (Suffolk) Massachusetts_x000D_
.died: 17030405-          Boston (Suffolk) Massachusetts, age:38y 4m 17d, _x000D_
.bapt: 1785GE_x000D_
.will: 2004MO_x000D_
.obit: 1890OH_x000D_
.bury: 1850IL _x000D_
.wpbt: 1826PA_x000D_
.anc#:ancestor_x000D_
citiz:US born_x000D_
#spos:1_x000D_
#srcs:7_x000D_
#comment:1_x000D_
#events:3_x000D_
#kids:1_x000D_
lived:MAMIDDLWATERTO,MASUFFOBOSTON_x000D_
issue:_x000D_
.recs:Birth,Marriage,Death_x000D_
.imm?:no_x000D_
..Spo:MARY LAWRENCE</t>
        </r>
      </text>
    </comment>
    <comment ref="O7118" authorId="0" shapeId="0" xr:uid="{2FBB3F28-FC30-4D85-AA42-DE47BE21CBF6}">
      <text>
        <r>
          <rPr>
            <sz val="9"/>
            <color indexed="81"/>
            <rFont val="Tahoma"/>
            <family val="2"/>
          </rPr>
          <t>JOHN WALKER_x000D_
http://yeinfo.com/family/I09011898.html_x000D_
https://www.google.com/search?q=JOHN+WALKER+1604+1635+KATHERINE_x000D_
.born: 16040515-          England_x000D_
.died: 1635    -1694     ?, age:30y 7m 17d, _x000D_
.bapt: 1785GE_x000D_
.will: 2004MO_x000D_
.obit: 1890OH_x000D_
.bury: 1850IL _x000D_
.wpbt: 1826PA_x000D_
.anc#:ancestor_x000D_
citiz:US born_x000D_
#spos:1_x000D_
#srcs:1_x000D_
#comment:0_x000D_
#events:1_x000D_
#kids:1_x000D_
lived:EN_x000D_
issue:_x000D_
.recs:Birth,Marriage,Death_x000D_
.imm?:no_x000D_
..Spo:KATHERINE HUTCHINSON</t>
        </r>
      </text>
    </comment>
    <comment ref="N7120" authorId="0" shapeId="0" xr:uid="{31ABC465-B0ED-47CF-8C7B-AD44D12B75B7}">
      <text>
        <r>
          <rPr>
            <sz val="9"/>
            <color indexed="81"/>
            <rFont val="Tahoma"/>
            <family val="2"/>
          </rPr>
          <t>MARY WALKER_x000D_
http://yeinfo.com/family/I09005949.html_x000D_
https://www.google.com/search?q=MARY+WALKER+1635+1718+EARLE_x000D_
.born:c1635    -          England_x000D_
.died: 17180118-         ?Rhode Island, age:83y 0m 17d, _x000D_
.bapt: 1785GE_x000D_
.will: 2004MO_x000D_
.obit: 1890OH_x000D_
.bury: 1850IL _x000D_
.wpbt: 1826PA_x000D_
.anc#:ancestor_x000D_
citiz:immigrant_x000D_
#spos:1_x000D_
#srcs:1_x000D_
#comment:0_x000D_
#events:1_x000D_
#kids:7_x000D_
lived:EN,RINEWPOPORTSMO_x000D_
issue:_x000D_
.recs:Birth,Marriage,Death_x000D_
.imm?:immigrant_x000D_
..Spo:WILLIAM EARLE</t>
        </r>
      </text>
    </comment>
    <comment ref="O7122" authorId="0" shapeId="0" xr:uid="{DB9A4453-4234-47CA-B97F-269F38F53EE3}">
      <text>
        <r>
          <rPr>
            <sz val="9"/>
            <color indexed="81"/>
            <rFont val="Tahoma"/>
            <family val="2"/>
          </rPr>
          <t>KATHERINE HUTCHINSON_x000D_
http://yeinfo.com/family/I09011899.html_x000D_
https://www.google.com/search?q=KATHERINE+HUTCHINSON+1610+1654+WALKER_x000D_
.born:?1610    -          Lincolnshire county England_x000D_
.died: 1654    -          Portsmouth (Newport) Rhode Island, age:44y 0m 0d, _x000D_
.bapt: 1785GE_x000D_
.will: 2004MO_x000D_
.obit: 1890OH_x000D_
.bury: 1850IL _x000D_
.wpbt: 1826PA_x000D_
.anc#:ancestor_x000D_
citiz:immigrant_x000D_
#spos:1_x000D_
#srcs:1_x000D_
#comment:0_x000D_
#events:2_x000D_
#kids:1_x000D_
lived:ENLINCSALFORD,RINEWPOPORTSMO_x000D_
issue:_x000D_
.recs:Birth,Baptism,Marriage,Death_x000D_
.imm?:immigrant_x000D_
..Spo:JOHN WALKER</t>
        </r>
      </text>
    </comment>
    <comment ref="L7124" authorId="0" shapeId="0" xr:uid="{1F965C3C-2F59-4D79-9702-41DE0301BB3E}">
      <text>
        <r>
          <rPr>
            <sz val="9"/>
            <color indexed="81"/>
            <rFont val="Tahoma"/>
            <family val="2"/>
          </rPr>
          <t>MARY EARLE_x000D_
http://yeinfo.com/family/I09001487.html_x000D_
https://www.google.com/search?q=MARY+EARLE+1690+1720+BALL+Thomas_x000D_
.born: 16900101-          Waterton (Middlesex) Massachusetts_x000D_
.died: 1720    -1775      , age:30y 0m 0d, _x000D_
.bapt: 1785GE_x000D_
.will: 2004MO_x000D_
.obit: 1890OH_x000D_
.bury: 1850IL _x000D_
.wpbt: 1826PA_x000D_
.anc#:ancestor_x000D_
citiz:US born_x000D_
#spos:2_x000D_
#srcs:1_x000D_
#comment:0_x000D_
#events:3_x000D_
#kids:2_x000D_
lived:MAMIDDLWATERTO_x000D_
issue:_x000D_
.recs:Birth,Baptism,Marriage,Death_x000D_
.imm?:no_x000D_
..Spo:DANIEL BALL</t>
        </r>
      </text>
    </comment>
    <comment ref="U7126" authorId="0" shapeId="0" xr:uid="{22D69260-E898-4C1C-A80D-649D21BB82E3}">
      <text>
        <r>
          <rPr>
            <sz val="9"/>
            <color indexed="81"/>
            <rFont val="Tahoma"/>
            <family val="2"/>
          </rPr>
          <t>JOHN LAWRENCE_x000D_
http://yeinfo.com/family/I09066051.html_x000D_
https://www.google.com/search?q=JOHN+LAWRENCE+1450+1485+MARGERY_x000D_
.born:?1450    -         ?England_x000D_
.died: 1485    -1555     ?England, age:35y 0m 0d, _x000D_
.bapt: 1785GE_x000D_
.will: 2004MO_x000D_
.obit: 1890OH_x000D_
.bury: 1850IL _x000D_
.wpbt: 1826PA_x000D_
.anc#:ancestor_x000D_
citiz:foreign_x000D_
#spos:1_x000D_
#srcs:1_x000D_
#comment:1_x000D_
#events:1_x000D_
#kids:1_x000D_
lived:?EN_x000D_
issue:_x000D_
.recs:Birth,Marriage,Death_x000D_
.imm?:no_x000D_
..Spo:MARGERY HOLT</t>
        </r>
      </text>
    </comment>
    <comment ref="T7128" authorId="0" shapeId="0" xr:uid="{E46DE8BA-F26E-4211-934A-5D3AFC7E301E}">
      <text>
        <r>
          <rPr>
            <sz val="9"/>
            <color indexed="81"/>
            <rFont val="Tahoma"/>
            <family val="2"/>
          </rPr>
          <t>ROBERT LAWRENCE_x000D_
http://yeinfo.com/family/I09065895.html_x000D_
https://www.google.com/search?q=ROBERT+LAWRENCE+1474+1500+ELIZABETH_x000D_
.born:?1474    -         ?England_x000D_
.died: 1500    -1570     ?England, age:26y 0m 0d, _x000D_
.bapt: 1785GE_x000D_
.will: 2004MO_x000D_
.obit: 1890OH_x000D_
.bury: 1850IL _x000D_
.wpbt: 1826PA_x000D_
.anc#:ancestor_x000D_
citiz:foreign_x000D_
#spos:1_x000D_
#srcs:1_x000D_
#comment:0_x000D_
#events:1_x000D_
#kids:1_x000D_
lived:?EN_x000D_
issue:Born before Parents Married_x000D_
.recs:Birth,Marriage,Death_x000D_
.imm?:no_x000D_
..Spo:ELIZABETH LAWRENCE</t>
        </r>
      </text>
    </comment>
    <comment ref="U7130" authorId="0" shapeId="0" xr:uid="{580327C5-A4FE-420C-924B-5485E1921730}">
      <text>
        <r>
          <rPr>
            <sz val="9"/>
            <color indexed="81"/>
            <rFont val="Tahoma"/>
            <family val="2"/>
          </rPr>
          <t>MARGERY HOLT_x000D_
http://yeinfo.com/family/I09066052.html_x000D_
https://www.google.com/search?q=MARGERY+HOLT+1465+1485+LAWRENCE_x000D_
.born:?1465    -         ?England_x000D_
.died: 1485    -1555     ?England, age:20y 0m 0d, _x000D_
.bapt: 1785GE_x000D_
.will: 2004MO_x000D_
.obit: 1890OH_x000D_
.bury: 1850IL _x000D_
.wpbt: 1826PA_x000D_
.anc#:ancestor_x000D_
citiz:foreign_x000D_
#spos:1_x000D_
#srcs:1_x000D_
#comment:0_x000D_
#events:1_x000D_
#kids:1_x000D_
lived:?EN_x000D_
issue:Died after Age 100_x000D_
.recs:Birth,Marriage,Death_x000D_
.imm?:no_x000D_
..Spo:JOHN LAWRENCE</t>
        </r>
      </text>
    </comment>
    <comment ref="S7132" authorId="0" shapeId="0" xr:uid="{3FE121BD-F0DF-4278-AA7D-DF7BFB852A5A}">
      <text>
        <r>
          <rPr>
            <sz val="9"/>
            <color indexed="81"/>
            <rFont val="Tahoma"/>
            <family val="2"/>
          </rPr>
          <t>JOHN LAWRENCE_x000D_
http://yeinfo.com/family/I09065742.html_x000D_
https://www.google.com/search?q=JOHN+LAWRENCE+1495+1555+ELIZABETH_x000D_
.born: 1495    -         ?England_x000D_
.died: 1555    -         ?England, age:60y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..Spo:ELIZABETH LAWRENCE</t>
        </r>
      </text>
    </comment>
    <comment ref="T7134" authorId="0" shapeId="0" xr:uid="{FF06BC54-59AD-404E-B012-C374920A9D81}">
      <text>
        <r>
          <rPr>
            <sz val="9"/>
            <color indexed="81"/>
            <rFont val="Tahoma"/>
            <family val="2"/>
          </rPr>
          <t>Mrs. ELIZABETH LAWRENCE_x000D_
http://yeinfo.com/family/I09065896.html_x000D_
https://www.google.com/search?q=ELIZABETH+LAWRENCE+1474+1500+LAWRENCE_x000D_
.born:?1474    -         ?England_x000D_
.died: 1500    -1570     ?England, age:26y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..Spo:ROBERT LAWRENCE</t>
        </r>
      </text>
    </comment>
    <comment ref="R7136" authorId="0" shapeId="0" xr:uid="{BFDAC694-45B5-4575-9A6D-52F266457F24}">
      <text>
        <r>
          <rPr>
            <sz val="9"/>
            <color indexed="81"/>
            <rFont val="Tahoma"/>
            <family val="2"/>
          </rPr>
          <t>JOHN LAWRENCE_x000D_
http://yeinfo.com/family/I09065609.html_x000D_
https://www.google.com/search?q=JOHN+LAWRENCE+1523+1590+AGNES_x000D_
.born:?1523    -         ?England_x000D_
.died: 15900427-         ?England, age:67y 3m 26d,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..Spo:AGNES CLARK</t>
        </r>
      </text>
    </comment>
    <comment ref="S7138" authorId="0" shapeId="0" xr:uid="{F21171D5-DDE5-4172-A0B9-14F0862B1D1E}">
      <text>
        <r>
          <rPr>
            <sz val="9"/>
            <color indexed="81"/>
            <rFont val="Tahoma"/>
            <family val="2"/>
          </rPr>
          <t>Mrs. ELIZABETH LAWRENCE_x000D_
http://yeinfo.com/family/I09065743.html_x000D_
https://www.google.com/search?q=ELIZABETH+LAWRENCE+1500+1523+LAWRENCE_x000D_
.born:?1500    -         ?England_x000D_
.died: 1523    -1590     ?England, age:23y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..Spo:JOHN LAWRENCE</t>
        </r>
      </text>
    </comment>
    <comment ref="Q7140" authorId="0" shapeId="0" xr:uid="{C86DDB9B-F078-4522-BCDD-87B220F084DD}">
      <text>
        <r>
          <rPr>
            <sz val="9"/>
            <color indexed="81"/>
            <rFont val="Tahoma"/>
            <family val="2"/>
          </rPr>
          <t>JOHN LAWRENCE_x000D_
http://yeinfo.com/family/I09047600.html_x000D_
https://www.google.com/search?q=JOHN+LAWRENCE+1545+1607+JOAN_x000D_
.born: 1545    -         ?England_x000D_
.died: 1607    -          , age:62y 0m 0d, _x000D_
.bapt: 1785GE_x000D_
.will: 2004MO_x000D_
.obit: 1890OH_x000D_
.bury: 1850IL _x000D_
.wpbt: 1826PA_x000D_
.anc#:ancestor_x000D_
citiz:US born_x000D_
#spos:1_x000D_
#srcs:1_x000D_
#comment:0_x000D_
#events:1_x000D_
#kids:1_x000D_
lived:?EN_x000D_
issue:_x000D_
.recs:Birth,Marriage,Death_x000D_
.imm?:no_x000D_
..Spo:JOAN FURSTENDEN</t>
        </r>
      </text>
    </comment>
    <comment ref="R7142" authorId="0" shapeId="0" xr:uid="{6F9437C5-BF0D-465F-925B-A692DF4E2823}">
      <text>
        <r>
          <rPr>
            <sz val="9"/>
            <color indexed="81"/>
            <rFont val="Tahoma"/>
            <family val="2"/>
          </rPr>
          <t>AGNES CLARK_x000D_
http://yeinfo.com/family/I09065610.html_x000D_
https://www.google.com/search?q=AGNES+CLARK+1525+1545+LAWRENCE_x000D_
.born:?1525    -         ?England_x000D_
.died: 1545    -1615      , age:20y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..Spo:JOHN LAWRENCE</t>
        </r>
      </text>
    </comment>
    <comment ref="P7144" authorId="0" shapeId="0" xr:uid="{6AB13350-36C1-42B4-BB68-7027FEC5122E}">
      <text>
        <r>
          <rPr>
            <sz val="9"/>
            <color indexed="81"/>
            <rFont val="Tahoma"/>
            <family val="2"/>
          </rPr>
          <t>HENRY LAWRENCE_x000D_
http://yeinfo.com/family/I09023800.html_x000D_
https://www.google.com/search?q=HENRY+LAWRENCE+1586+1638+MARY_x000D_
.born: 15860410-          Wissett (Suffolk) England_x000D_
.died: 1638    -          Charlestown (Suffolk) Massachusetts, age:51y 8m 22d, _x000D_
.bapt: 1785GE_x000D_
.will: 2004MO_x000D_
.obit: 1890OH_x000D_
.bury: 1850IL _x000D_
.wpbt: 1826PA_x000D_
.anc#:ancestor_x000D_
citiz:immigrant_x000D_
#spos:1_x000D_
#srcs:1_x000D_
#comment:0_x000D_
#events:1_x000D_
#kids:1_x000D_
lived:ENSUFFOWISSETT,MASUFFOCHAZTWN_x000D_
issue:_x000D_
.recs:Birth,Marriage,Death_x000D_
.imm?:immigrant_x000D_
..Spo:MARY WEST</t>
        </r>
      </text>
    </comment>
    <comment ref="Q7146" authorId="0" shapeId="0" xr:uid="{E938B454-AE0A-4BD8-8387-22BB76425816}">
      <text>
        <r>
          <rPr>
            <sz val="9"/>
            <color indexed="81"/>
            <rFont val="Tahoma"/>
            <family val="2"/>
          </rPr>
          <t>JOAN FURSTENDEN_x000D_
http://yeinfo.com/family/I09047601.html_x000D_
https://www.google.com/search?q=JOAN+FURSTENDEN+1549+1586+LAWRENCE_x000D_
.born: 1549    -         ?England_x000D_
.died: 1586    -1639      , age:37y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..Spo:JOHN LAWRENCE</t>
        </r>
      </text>
    </comment>
    <comment ref="O7148" authorId="0" shapeId="0" xr:uid="{42D80417-02B6-4FB9-8DB7-B7ACE59DA294}">
      <text>
        <r>
          <rPr>
            <sz val="9"/>
            <color indexed="81"/>
            <rFont val="Tahoma"/>
            <family val="2"/>
          </rPr>
          <t>JOHN LAWRENCE_x000D_
http://yeinfo.com/family/I09011900.html_x000D_
https://www.google.com/search?q=JOHN+LAWRENCE+1609+1667+ELIZABETH+Batchelder_x000D_
.born: 16091008-          Wissett (Suffolk) England_x000D_
.died: 16670711-          Groton (Middlesex) Massachusetts, age:57y 9m 3d, _x000D_
.bapt: 1785GE_x000D_
.will: 2004MO_x000D_
.obit: 1890OH_x000D_
.bury: 1850IL _x000D_
.wpbt: 1826PA_x000D_
.anc#:ancestor_x000D_
citiz:immigrant_x000D_
#spos:2_x000D_
#srcs:2_x000D_
#comment:0_x000D_
#events:2_x000D_
#kids:1_x000D_
lived:?MAMIDDLWATERTO,ENSUFFOWISSETT,MAMIDDLGROTON_x000D_
issue:_x000D_
.recs:Birth,Marriage,Death_x000D_
.imm?:immigrant_x000D_
..Spo:ELIZABETH COOKE</t>
        </r>
      </text>
    </comment>
    <comment ref="P7150" authorId="0" shapeId="0" xr:uid="{E8AF6098-B5D2-4982-AE6F-09C7BC87D3DE}">
      <text>
        <r>
          <rPr>
            <sz val="9"/>
            <color indexed="81"/>
            <rFont val="Tahoma"/>
            <family val="2"/>
          </rPr>
          <t>MARY WEST_x000D_
http://yeinfo.com/family/I09023801.html_x000D_
https://www.google.com/search?q=MARY+WEST+1579+1647+LAWRENCE_x000D_
.born: 1579    -         ?England_x000D_
.died: 16470503-          Charlestown (Suffolk) Massachusetts, age:68y 4m 2d, _x000D_
.bapt: 1785GE_x000D_
.will: 2004MO_x000D_
.obit: 1890OH_x000D_
.bury: 1850IL _x000D_
.wpbt: 1826PA_x000D_
.anc#:ancestor_x000D_
citiz:immigrant_x000D_
#spos:1_x000D_
#srcs:1_x000D_
#comment:0_x000D_
#events:1_x000D_
#kids:1_x000D_
lived:?EN,ENSUFFOWISSETT,MASUFFOCHAZTWN_x000D_
issue:_x000D_
.recs:Birth,Marriage,Death_x000D_
.imm?:immigrant_x000D_
..Spo:HENRY LAWRENCE</t>
        </r>
      </text>
    </comment>
    <comment ref="N7152" authorId="0" shapeId="0" xr:uid="{7D52688A-7859-42E0-A2A5-4753433FF8D0}">
      <text>
        <r>
          <rPr>
            <sz val="9"/>
            <color indexed="81"/>
            <rFont val="Tahoma"/>
            <family val="2"/>
          </rPr>
          <t>GEORGE LAWRENCE_x000D_
http://yeinfo.com/family/I09005950.html_x000D_
https://www.google.com/search?q=GEORGE+LAWRENCE+1637+1709+ELIZABETH+Holland_x000D_
.born: 1637    -         ?Waterton (Middlesex) Massachusetts_x000D_
.died: 17090321-          Waterton (Middlesex) Massachusetts, age:72y 2m 20d, _x000D_
.bapt: 1785GE_x000D_
.will: 2004MO_x000D_
.obit: 1890OH_x000D_
.bury: 1850IL _x000D_
.wpbt: 1826PA_x000D_
.anc#:ancestor_x000D_
citiz:US born_x000D_
#spos:2_x000D_
#srcs:7_x000D_
#comment:0_x000D_
#events:5_x000D_
#kids:1_x000D_
lived:?EN,?MAMIDDLWATERTO_x000D_
issue:Born before Parents Married_x000D_
.recs:Birth,Marriage,Will Written,Death,Inventory_x000D_
.imm?:no_x000D_
..Spo:ELIZABETH CRISPE</t>
        </r>
      </text>
    </comment>
    <comment ref="P7154" authorId="0" shapeId="0" xr:uid="{02C0827A-3AB2-4BC1-9C5B-82185F5C3CD0}">
      <text>
        <r>
          <rPr>
            <sz val="9"/>
            <color indexed="81"/>
            <rFont val="Tahoma"/>
            <family val="2"/>
          </rPr>
          <t>AARON\SIMON COOKE_x000D_
http://yeinfo.com/family/I09023802.html_x000D_
https://www.google.com/search?q=AARON\SIMON+COOKE+1583+1615+ELIZABETH_x000D_
.born:c1583    -          England_x000D_
.died: 161512  -          England, age:32y 11m 0d, _x000D_
.bapt: 1785GE_x000D_
.will: 2004MO_x000D_
.obit: 1890OH_x000D_
.bury: 1850IL _x000D_
.wpbt: 1826PA_x000D_
.anc#:ancestor_x000D_
citiz:foreign_x000D_
#spos:1_x000D_
#srcs:4_x000D_
#comment:0_x000D_
#events:1_x000D_
#kids:1_x000D_
lived:ENDORSEBRIDPOR_x000D_
issue:_x000D_
.recs:Birth,Marriage,Death_x000D_
.imm?:no_x000D_
..Spo:ELIZABETH CHARDE</t>
        </r>
      </text>
    </comment>
    <comment ref="O7156" authorId="0" shapeId="0" xr:uid="{7E7D92A8-5F58-4713-A015-36BBA04DBA46}">
      <text>
        <r>
          <rPr>
            <sz val="9"/>
            <color indexed="81"/>
            <rFont val="Tahoma"/>
            <family val="2"/>
          </rPr>
          <t>ELIZABETH COOKE_x000D_
http://yeinfo.com/family/I09011901.html_x000D_
https://www.google.com/search?q=ELIZABETH+COOKE+1611+1663+LAWRENCE_x000D_
.born: 16110908-          _x000D_
.died: 16630829-          Northampton (Hampshire) Massachusetts, age:51y 11m 21d, _x000D_
.bapt: 1785GE_x000D_
.will: 2004MO_x000D_
.obit: 1890OH_x000D_
.bury: 1850IL _x000D_
.wpbt: 1826PA_x000D_
.anc#:ancestor_x000D_
citiz:US born_x000D_
#spos:1_x000D_
#srcs:6_x000D_
#comment:0_x000D_
#events:1_x000D_
#kids:1_x000D_
lived:?MAMIDDLWATERTO,MAHAMPSNORTTON_x000D_
issue:Died before Birth_x000D_
.recs:Birth,Marriage,Death_x000D_
.imm?:no_x000D_
..Spo:JOHN LAWRENCE</t>
        </r>
      </text>
    </comment>
    <comment ref="Q7158" authorId="0" shapeId="0" xr:uid="{A93ABB22-66AA-4052-AAA4-6A61AB446A9B}">
      <text>
        <r>
          <rPr>
            <sz val="9"/>
            <color indexed="81"/>
            <rFont val="Tahoma"/>
            <family val="2"/>
          </rPr>
          <t>THOMAS\AARON CHARDE_x000D_
http://yeinfo.com/family/I09047606.html_x000D_
https://www.google.com/search?q=THOMAS\AARON+CHARDE+1567+1588+ELIZABETH_x000D_
.born: 1567    -          England_x000D_
.died: 1588    -1657      England, age:21y 0m 0d, _x000D_
.bapt: 1785GE_x000D_
.will: 2004MO_x000D_
.obit: 1890OH_x000D_
.bury: 1850IL _x000D_
.wpbt: 1826PA_x000D_
.anc#:ancestor_x000D_
citiz:foreign_x000D_
#spos:1_x000D_
#srcs:2_x000D_
#comment:0_x000D_
#events:1_x000D_
#kids:1_x000D_
lived:EN_x000D_
issue:_x000D_
.recs:Birth,Marriage,Death_x000D_
.imm?:no_x000D_
..Spo:ELIZABETH BUNCKOM</t>
        </r>
      </text>
    </comment>
    <comment ref="P7160" authorId="0" shapeId="0" xr:uid="{02A6793C-A6E4-455C-93FE-633BA6367DE8}">
      <text>
        <r>
          <rPr>
            <sz val="9"/>
            <color indexed="81"/>
            <rFont val="Tahoma"/>
            <family val="2"/>
          </rPr>
          <t>ELIZABETH CHARDE_x000D_
http://yeinfo.com/family/I09023803.html_x000D_
https://www.google.com/search?q=ELIZABETH+CHARDE+1588+1673+COOKE_x000D_
.born:c1588    -          England_x000D_
.died: 1673    -          Windsor (Hartford) Connecticut, age:85y 0m 0d, _x000D_
.bapt: 1785GE_x000D_
.will: 2004MO_x000D_
.obit: 1890OH_x000D_
.bury: 1850IL _x000D_
.wpbt: 1826PA_x000D_
.anc#:ancestor_x000D_
citiz:immigrant_x000D_
#spos:1_x000D_
#srcs:4_x000D_
#comment:0_x000D_
#events:1_x000D_
#kids:1_x000D_
lived:CTHARTFWINDSOR,ENDORSEBRIDPOR,ENSUFFO,MAMIDDLGROTON_x000D_
issue:_x000D_
.recs:Birth,Marriage,Death_x000D_
.imm?:immigrant_x000D_
..Spo:AARON\SIMON COOKE</t>
        </r>
      </text>
    </comment>
    <comment ref="T7162" authorId="0" shapeId="0" xr:uid="{502AE046-1D57-4D31-A92C-48D9ECB1859E}">
      <text>
        <r>
          <rPr>
            <sz val="9"/>
            <color indexed="81"/>
            <rFont val="Tahoma"/>
            <family val="2"/>
          </rPr>
          <t>THOMAS BUNCKOM_x000D_
http://yeinfo.com/family/I09065917.html_x000D_
https://www.google.com/search?q=THOMAS+BUNCKOM+1485+1575+MARY_x000D_
.born: 1485    -          England_x000D_
.died: 157511  -          Taunton (Somerset) England, age:90y 10m 0d, _x000D_
.bapt: 1785GE_x000D_
.will: 2004MO_x000D_
.obit: 1890OH_x000D_
.bury: 1850IL St.Mary Magdalene_x000D_
.wpbt: 1826PA_x000D_
.anc#:ancestor_x000D_
citiz:foreign_x000D_
#spos:1_x000D_
#srcs:1_x000D_
#comment:0_x000D_
#events:2_x000D_
#kids:1_x000D_
lived:ENSOMESTAUNTON_x000D_
issue:_x000D_
.recs:Birth,Marriage,Death,Interment/Burial_x000D_
.imm?:no_x000D_
..Spo:MARY BUNCKOM</t>
        </r>
      </text>
    </comment>
    <comment ref="S7164" authorId="0" shapeId="0" xr:uid="{F6741E00-1D86-41BC-80E6-BD3386522EA8}">
      <text>
        <r>
          <rPr>
            <sz val="9"/>
            <color indexed="81"/>
            <rFont val="Tahoma"/>
            <family val="2"/>
          </rPr>
          <t>THOMAS BUNCKOM_x000D_
http://yeinfo.com/family/I09065774.html_x000D_
https://www.google.com/search?q=THOMAS+BUNCKOM+1520+1575+ISABELL_x000D_
.born: 1520    -         ?England_x000D_
.died: 157511  -          Taunton (Somerset) England, age:55y 10m 0d, _x000D_
.bapt: 1785GE_x000D_
.will: 2004MO_x000D_
.obit: 1890OH_x000D_
.bury: 1850IL _x000D_
.wpbt: 1826PA_x000D_
.anc#:ancestor_x000D_
citiz:foreign_x000D_
#spos:1_x000D_
#srcs:1_x000D_
#comment:0_x000D_
#events:1_x000D_
#kids:1_x000D_
lived:?EN,ENESSEXBOXTED,ENSOMESTAUNTON_x000D_
issue:_x000D_
.recs:Birth,Marriage,Death_x000D_
.imm?:no_x000D_
..Spo:ISABELL SOROREIUS</t>
        </r>
      </text>
    </comment>
    <comment ref="T7166" authorId="0" shapeId="0" xr:uid="{335CE4EE-1C93-4B20-8E9F-5E21F4A02DBB}">
      <text>
        <r>
          <rPr>
            <sz val="9"/>
            <color indexed="81"/>
            <rFont val="Tahoma"/>
            <family val="2"/>
          </rPr>
          <t>Mrs. MARY BUNCKOM_x000D_
http://yeinfo.com/family/I09065916.html_x000D_
https://www.google.com/search?q=MARY+BUNCKOM+1500+1520+BUNCKOM_x000D_
.born: 1500    -          Trull (Somerset) England_x000D_
.died: 1520    -1590      Trull (Somerset) England, age:20y 0m 0d, _x000D_
.bapt: 1785GE_x000D_
.will: 2004MO_x000D_
.obit: 1890OH_x000D_
.bury: 1850IL _x000D_
.wpbt: 1826PA_x000D_
.anc#:ancestor_x000D_
citiz:foreign_x000D_
#spos:1_x000D_
#srcs:1_x000D_
#comment:0_x000D_
#events:1_x000D_
#kids:1_x000D_
lived:ENSOMESTRULL_x000D_
issue:_x000D_
.recs:Birth,Marriage,Death_x000D_
.imm?:no_x000D_
..Spo:THOMAS BUNCKOM</t>
        </r>
      </text>
    </comment>
    <comment ref="R7168" authorId="0" shapeId="0" xr:uid="{04B0D808-A395-434D-B2FF-FEF54AD000E7}">
      <text>
        <r>
          <rPr>
            <sz val="9"/>
            <color indexed="81"/>
            <rFont val="Tahoma"/>
            <family val="2"/>
          </rPr>
          <t>JOHN BUNCKOM_x000D_
http://yeinfo.com/family/I09065640.html_x000D_
https://www.google.com/search?q=JOHN+BUNCKOM+1545+1569+THAMSEN_x000D_
.born: 1545    -          Dorset county England_x000D_
.died: 1569    -          Dorset county England, age:24y 0m 0d, _x000D_
.bapt: 1785GE_x000D_
.will: 2004MO_x000D_
.obit: 1890OH_x000D_
.bury: 1850IL _x000D_
.wpbt: 1826PA_x000D_
.anc#:ancestor_x000D_
citiz:foreign_x000D_
#spos:1_x000D_
#srcs:1_x000D_
#comment:0_x000D_
#events:1_x000D_
#kids:1_x000D_
lived:ENDORSE_x000D_
issue:Died before Birth_x000D_
.recs:Birth,Marriage,Death_x000D_
.imm?:no_x000D_
..Spo:THAMSEN LINSCOMBE</t>
        </r>
      </text>
    </comment>
    <comment ref="S7170" authorId="0" shapeId="0" xr:uid="{96482C6B-9E09-4391-97FD-5BF26670EEBE}">
      <text>
        <r>
          <rPr>
            <sz val="9"/>
            <color indexed="81"/>
            <rFont val="Tahoma"/>
            <family val="2"/>
          </rPr>
          <t>ISABELL SOROREIUS_x000D_
http://yeinfo.com/family/I09065798.html_x000D_
https://www.google.com/search?q=ISABELL+SOROREIUS+1520+1569+BUNCKOM_x000D_
.born:c1520    -          Whalley (Lancashire) England_x000D_
.died: 1569    -          Whalley (Lancashire) England, age:49y 0m 0d, _x000D_
.bapt: 1785GE_x000D_
.will: 2004MO_x000D_
.obit: 1890OH_x000D_
.bury: 1850IL _x000D_
.wpbt: 1826PA_x000D_
.anc#:ancestor_x000D_
citiz:foreign_x000D_
#spos:1_x000D_
#srcs:1_x000D_
#comment:0_x000D_
#events:1_x000D_
#kids:1_x000D_
lived:ENESSEXBOXTED,ENLANCSWHALLEY_x000D_
issue:_x000D_
.recs:Birth,Marriage,Death_x000D_
.imm?:no_x000D_
..Spo:THOMAS BUNCKOM</t>
        </r>
      </text>
    </comment>
    <comment ref="Q7172" authorId="0" shapeId="0" xr:uid="{5CFB67D5-EFCE-40C5-970A-09D69928ED19}">
      <text>
        <r>
          <rPr>
            <sz val="9"/>
            <color indexed="81"/>
            <rFont val="Tahoma"/>
            <family val="2"/>
          </rPr>
          <t>ELIZABETH BUNCKOM_x000D_
http://yeinfo.com/family/I09047607.html_x000D_
https://www.google.com/search?q=ELIZABETH+BUNCKOM+1569+1589+CHARDE_x000D_
.born: 1569    -          Dorset county England_x000D_
.died: 1589    -1659     ?, age:20y 0m 0d, _x000D_
.bapt: 1785GE_x000D_
.will: 2004MO_x000D_
.obit: 1890OH_x000D_
.bury: 1850IL _x000D_
.wpbt: 1826PA_x000D_
.anc#:ancestor_x000D_
citiz:foreign_x000D_
#spos:1_x000D_
#srcs:2_x000D_
#comment:0_x000D_
#events:1_x000D_
#kids:1_x000D_
lived:ENDORSE_x000D_
issue:Born before Parents Married_x000D_
.recs:Birth,Marriage,Death_x000D_
.imm?:no_x000D_
..Spo:THOMAS\AARON CHARDE</t>
        </r>
      </text>
    </comment>
    <comment ref="T7174" authorId="0" shapeId="0" xr:uid="{0A53ED9C-B3DB-492A-AC1C-2123CC6D50DF}">
      <text>
        <r>
          <rPr>
            <sz val="9"/>
            <color indexed="81"/>
            <rFont val="Tahoma"/>
            <family val="2"/>
          </rPr>
          <t>THOMAS LINSCOMBE_x000D_
http://yeinfo.com/family/I09065932.html_x000D_
https://www.google.com/search?q=THOMAS+LINSCOMBE+1502+1614+{_?_}_x000D_
.born: 1502    -          Exeter (Devon) England_x000D_
.died: 1614    -          Devon county England, age:112y 0m 0d, _x000D_
.bapt: 1785GE_x000D_
.will: 2004MO_x000D_
.obit: 1890OH_x000D_
.bury: 1850IL _x000D_
.wpbt: 1826PA_x000D_
.anc#:ancestor_x000D_
citiz:foreign_x000D_
#spos:1_x000D_
#srcs:1_x000D_
#comment:0_x000D_
#events:1_x000D_
#kids:1_x000D_
lived:ENDEVONEXETER_x000D_
issue:Married after Age 60_x000D_
.recs:Birth,Marriage,Death_x000D_
.imm?:no_x000D_
..Spo:{_?_} LINSCOMBE</t>
        </r>
      </text>
    </comment>
    <comment ref="S7176" authorId="0" shapeId="0" xr:uid="{595146BA-0D88-4104-8E69-AD8FE201089E}">
      <text>
        <r>
          <rPr>
            <sz val="9"/>
            <color indexed="81"/>
            <rFont val="Tahoma"/>
            <family val="2"/>
          </rPr>
          <t>THOMAS LINSCOMBE_x000D_
http://yeinfo.com/family/I09065785.html_x000D_
https://www.google.com/search?q=THOMAS+LINSCOMBE+1529+1616+JOHANA_x000D_
.born: 1529    -          Hemyock (Devon) England_x000D_
.died: 1616    -          Dorchester (Dorset) England, age:87y 0m 0d, _x000D_
.bapt: 1785GE_x000D_
.will: 2004MO_x000D_
.obit: 1890OH_x000D_
.bury: 1850IL _x000D_
.wpbt: 1826PA_x000D_
.anc#:ancestor_x000D_
citiz:foreign_x000D_
#spos:1_x000D_
#srcs:1_x000D_
#comment:0_x000D_
#events:1_x000D_
#kids:1_x000D_
lived:ENDEVONHEMYOCK,ENDORSEDORCHES_x000D_
issue:Died after Age 100_x000D_
.recs:Birth,Marriage,Death_x000D_
.imm?:no_x000D_
..Spo:JOHANA UPCOTTE</t>
        </r>
      </text>
    </comment>
    <comment ref="T7178" authorId="0" shapeId="0" xr:uid="{73F0567A-0A97-42D4-93D3-2129641ABF0B}">
      <text>
        <r>
          <rPr>
            <sz val="9"/>
            <color indexed="81"/>
            <rFont val="Tahoma"/>
            <family val="2"/>
          </rPr>
          <t>Mrs. {_?_} LINSCOMBE_x000D_
http://yeinfo.com/family/I09065931.html_x000D_
https://www.google.com/search?q={_?_}+LINSCOMBE+1511+1531+LINSCOMBE_x000D_
.born: 1511    -          England_x000D_
.died: 1531    -1601      England, age:20y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..Spo:THOMAS LINSCOMBE</t>
        </r>
      </text>
    </comment>
    <comment ref="R7180" authorId="0" shapeId="0" xr:uid="{C5AF6FD7-A96C-45EE-B34C-E4BA9EF2CE79}">
      <text>
        <r>
          <rPr>
            <sz val="9"/>
            <color indexed="81"/>
            <rFont val="Tahoma"/>
            <family val="2"/>
          </rPr>
          <t>THAMSEN LINSCOMBE_x000D_
http://yeinfo.com/family/I09065657.html_x000D_
https://www.google.com/search?q=THAMSEN+LINSCOMBE+1545+1569+BUNCKOM_x000D_
.born: 1545    -         ?England_x000D_
.died: 1569    -1635     ?England, age:24y 0m 0d, _x000D_
.bapt: 1785GE_x000D_
.will: 2004MO_x000D_
.obit: 1890OH_x000D_
.bury: 1850IL _x000D_
.wpbt: 1826PA_x000D_
.anc#:ancestor_x000D_
citiz:foreign_x000D_
#spos:1_x000D_
#srcs:1_x000D_
#comment:0_x000D_
#events:1_x000D_
#kids:1_x000D_
lived:?EN_x000D_
issue:Died before Birth_x000D_
.recs:Birth,Marriage,Death_x000D_
.imm?:no_x000D_
..Spo:JOHN BUNCKOM</t>
        </r>
      </text>
    </comment>
    <comment ref="U7182" authorId="0" shapeId="0" xr:uid="{577D2095-FB0A-4E61-92A4-01FE11261BDF}">
      <text>
        <r>
          <rPr>
            <sz val="9"/>
            <color indexed="81"/>
            <rFont val="Tahoma"/>
            <family val="2"/>
          </rPr>
          <t>AARON UPCOTTE_x000D_
http://yeinfo.com/family/I09066120.html_x000D_
https://www.google.com/search?q=AARON+UPCOTTE+1490+1510+JULIAN_x000D_
.born:?1490    -         ?Devon county England_x000D_
.died: 1510    -1580     ?England, age:20y 0m 0d, _x000D_
.bapt: 1785GE_x000D_
.will: 2004MO_x000D_
.obit: 1890OH_x000D_
.bury: 1850IL _x000D_
.wpbt: 1826PA_x000D_
.anc#:ancestor_x000D_
citiz:foreign_x000D_
#spos:1_x000D_
#srcs:1_x000D_
#comment:0_x000D_
#events:1_x000D_
#kids:1_x000D_
lived:?ENDEVON_x000D_
issue:_x000D_
.recs:Birth,Marriage,Death_x000D_
.imm?:no_x000D_
..Spo:JULIAN HUXTABLE</t>
        </r>
      </text>
    </comment>
    <comment ref="T7184" authorId="0" shapeId="0" xr:uid="{8F37C554-7C03-4A75-A8DC-6924770EDC50}">
      <text>
        <r>
          <rPr>
            <sz val="9"/>
            <color indexed="81"/>
            <rFont val="Tahoma"/>
            <family val="2"/>
          </rPr>
          <t>WILLIAM UPCOTTE_x000D_
http://yeinfo.com/family/I09065950.html_x000D_
https://www.google.com/search?q=WILLIAM+UPCOTTE+1510+1565+THAMSIN_x000D_
.born: 1510    -          Devon county England_x000D_
.died: 1565    -          England, age:55y 0m 0d, _x000D_
.bapt: 1785GE_x000D_
.will: 2004MO_x000D_
.obit: 1890OH_x000D_
.bury: 1850IL _x000D_
.wpbt: 1826PA_x000D_
.anc#:ancestor_x000D_
citiz:foreign_x000D_
#spos:1_x000D_
#srcs:1_x000D_
#comment:0_x000D_
#events:1_x000D_
#kids:1_x000D_
lived:ENDEVONCLAYHAN_x000D_
issue:_x000D_
.recs:Birth,Marriage,Death_x000D_
.imm?:no_x000D_
..Spo:THAMSIN PARROTT</t>
        </r>
      </text>
    </comment>
    <comment ref="U7186" authorId="0" shapeId="0" xr:uid="{BFC35EA4-E207-47C3-8CB1-CADDEEB9A7C7}">
      <text>
        <r>
          <rPr>
            <sz val="9"/>
            <color indexed="81"/>
            <rFont val="Tahoma"/>
            <family val="2"/>
          </rPr>
          <t>JULIAN HUXTABLE_x000D_
http://yeinfo.com/family/I09066098.html_x000D_
https://www.google.com/search?q=JULIAN+HUXTABLE+1490+1510+UPCOTTE_x000D_
.born:?1490    -         ?Devon county England_x000D_
.died: 1510    -1580     ?England, age:20y 0m 0d, _x000D_
.bapt: 1785GE_x000D_
.will: 2004MO_x000D_
.obit: 1890OH_x000D_
.bury: 1850IL _x000D_
.wpbt: 1826PA_x000D_
.anc#:ancestor_x000D_
citiz:foreign_x000D_
#spos:1_x000D_
#srcs:1_x000D_
#comment:0_x000D_
#events:1_x000D_
#kids:1_x000D_
lived:?ENDEVON_x000D_
issue:_x000D_
.recs:Birth,Marriage,Death_x000D_
.imm?:no_x000D_
..Spo:AARON UPCOTTE</t>
        </r>
      </text>
    </comment>
    <comment ref="S7188" authorId="0" shapeId="0" xr:uid="{F2545D04-643D-46D8-85EB-5ED3AAF6B299}">
      <text>
        <r>
          <rPr>
            <sz val="9"/>
            <color indexed="81"/>
            <rFont val="Tahoma"/>
            <family val="2"/>
          </rPr>
          <t>JOHANA UPCOTTE_x000D_
http://yeinfo.com/family/I09065803.html_x000D_
https://www.google.com/search?q=JOHANA+UPCOTTE+1530+1637+LINSCOMBE_x000D_
.born: 15300529-          Sidmouth (Devon) England_x000D_
.died: 16370108-          Hemyock (Devon) England, age:106y 7m 10d, _x000D_
.bapt: 1785GE_x000D_
.will: 2004MO_x000D_
.obit: 1890OH_x000D_
.bury: 1850IL _x000D_
.wpbt: 1826PA_x000D_
.anc#:ancestor_x000D_
citiz:foreign_x000D_
#spos:1_x000D_
#srcs:1_x000D_
#comment:0_x000D_
#events:1_x000D_
#kids:1_x000D_
lived:ENDEVONHEMYOCK,ENDEVONSIDMOUT_x000D_
issue:Died after Age 100,Married after Age 60_x000D_
.recs:Birth,Marriage,Death_x000D_
.imm?:no_x000D_
..Spo:THOMAS LINSCOMBE</t>
        </r>
      </text>
    </comment>
    <comment ref="V7190" authorId="0" shapeId="0" xr:uid="{71CCDC69-235F-448A-97A3-1323D2FF726E}">
      <text>
        <r>
          <rPr>
            <sz val="9"/>
            <color indexed="81"/>
            <rFont val="Tahoma"/>
            <family val="2"/>
          </rPr>
          <t>BARNABY PARROTT_x000D_
http://yeinfo.com/family/I09066300.html_x000D_
https://www.google.com/search?q=BARNABY+PARROTT+1460+1490+TROY+PHENY_x000D_
.born:?1460    -         ?Devon county England_x000D_
.died: 1490    -1550     ?England, age:30y 0m 0d, _x000D_
.bapt: 1785GE_x000D_
.will: 2004MO_x000D_
.obit: 1890OH_x000D_
.bury: 1850IL _x000D_
.wpbt: 1826PA_x000D_
.anc#:ancestor_x000D_
citiz:foreign_x000D_
#spos:1_x000D_
#srcs:1_x000D_
#comment:0_x000D_
#events:1_x000D_
#kids:1_x000D_
lived:?ENDEVON,?ENLINCS_x000D_
issue:_x000D_
.recs:Birth,Marriage,Death_x000D_
.imm?:no_x000D_
..Spo:TROY PHENY ARUNDALE</t>
        </r>
      </text>
    </comment>
    <comment ref="U7192" authorId="0" shapeId="0" xr:uid="{68158329-1EBE-4123-A069-CA28FAD77517}">
      <text>
        <r>
          <rPr>
            <sz val="9"/>
            <color indexed="81"/>
            <rFont val="Tahoma"/>
            <family val="2"/>
          </rPr>
          <t>CHARLES PARROTT_x000D_
http://yeinfo.com/family/I09066105.html_x000D_
https://www.google.com/search?q=CHARLES+PARROTT+1490+1510+ALICE_x000D_
.born:?1490    -         ?Devon county England_x000D_
.died: 1510    -1580     ?England, age:20y 0m 0d, _x000D_
.bapt: 1785GE_x000D_
.will: 2004MO_x000D_
.obit: 1890OH_x000D_
.bury: 1850IL _x000D_
.wpbt: 1826PA_x000D_
.anc#:ancestor_x000D_
citiz:foreign_x000D_
#spos:1_x000D_
#srcs:1_x000D_
#comment:0_x000D_
#events:1_x000D_
#kids:1_x000D_
lived:?ENDEVON_x000D_
issue:_x000D_
.recs:Birth,Marriage,Death_x000D_
.imm?:no_x000D_
..Spo:ALICE ARMSTRONG</t>
        </r>
      </text>
    </comment>
    <comment ref="V7194" authorId="0" shapeId="0" xr:uid="{841DDCDC-5ACA-4863-9158-09200B40CA39}">
      <text>
        <r>
          <rPr>
            <sz val="9"/>
            <color indexed="81"/>
            <rFont val="Tahoma"/>
            <family val="2"/>
          </rPr>
          <t>TROY PHENY ARUNDALE_x000D_
http://yeinfo.com/family/I09066273.html_x000D_
https://www.google.com/search?q=TROY+PHENY+ARUNDALE+1460+1490+PARROTT_x000D_
.born:?1460    -         ?Devon county England_x000D_
.died: 1490    -1550     ?England, age:30y 0m 0d, _x000D_
.bapt: 1785GE_x000D_
.will: 2004MO_x000D_
.obit: 1890OH_x000D_
.bury: 1850IL _x000D_
.wpbt: 1826PA_x000D_
.anc#:ancestor_x000D_
citiz:foreign_x000D_
#spos:1_x000D_
#srcs:1_x000D_
#comment:0_x000D_
#events:1_x000D_
#kids:1_x000D_
lived:?ENDEVON,?ENLINCS_x000D_
issue:_x000D_
.recs:Birth,Marriage,Death_x000D_
.imm?:no_x000D_
..Spo:BARNABY PARROTT</t>
        </r>
      </text>
    </comment>
    <comment ref="T7196" authorId="0" shapeId="0" xr:uid="{C92644C8-D55E-4E89-BCC1-BA0289F8A632}">
      <text>
        <r>
          <rPr>
            <sz val="9"/>
            <color indexed="81"/>
            <rFont val="Tahoma"/>
            <family val="2"/>
          </rPr>
          <t>THAMSIN PARROTT_x000D_
http://yeinfo.com/family/I09065937.html_x000D_
https://www.google.com/search?q=THAMSIN+PARROTT+1510+1530+UPCOTTE_x000D_
.born:c1510    -         ?Devon county England_x000D_
.died: 1530    -1600     ?England, age:20y 0m 0d, _x000D_
.bapt: 1785GE_x000D_
.will: 2004MO_x000D_
.obit: 1890OH_x000D_
.bury: 1850IL _x000D_
.wpbt: 1826PA_x000D_
.anc#:ancestor_x000D_
citiz:foreign_x000D_
#spos:1_x000D_
#srcs:1_x000D_
#comment:0_x000D_
#events:1_x000D_
#kids:1_x000D_
lived:ENDEVONCLAYHAN_x000D_
issue:_x000D_
.recs:Birth,Marriage,Death_x000D_
.imm?:no_x000D_
..Spo:WILLIAM UPCOTTE</t>
        </r>
      </text>
    </comment>
    <comment ref="U7198" authorId="0" shapeId="0" xr:uid="{76C042C3-0A34-4150-B588-D1934D5E9D71}">
      <text>
        <r>
          <rPr>
            <sz val="9"/>
            <color indexed="81"/>
            <rFont val="Tahoma"/>
            <family val="2"/>
          </rPr>
          <t>ALICE ARMSTRONG_x000D_
http://yeinfo.com/family/I09066074.html_x000D_
https://www.google.com/search?q=ALICE+ARMSTRONG+1490+1510+PARROTT_x000D_
.born:?1490    -         ?Devon county England_x000D_
.died: 1510    -1580     ?England, age:20y 0m 0d, _x000D_
.bapt: 1785GE_x000D_
.will: 2004MO_x000D_
.obit: 1890OH_x000D_
.bury: 1850IL _x000D_
.wpbt: 1826PA_x000D_
.anc#:ancestor_x000D_
citiz:foreign_x000D_
#spos:1_x000D_
#srcs:1_x000D_
#comment:0_x000D_
#events:1_x000D_
#kids:1_x000D_
lived:?ENDEVON_x000D_
issue:_x000D_
.recs:Birth,Marriage,Death_x000D_
.imm?:no_x000D_
..Spo:CHARLES PARROTT</t>
        </r>
      </text>
    </comment>
    <comment ref="M7200" authorId="0" shapeId="0" xr:uid="{F7B953C4-D385-4763-AC79-C6464E2B43CE}">
      <text>
        <r>
          <rPr>
            <sz val="9"/>
            <color indexed="81"/>
            <rFont val="Tahoma"/>
            <family val="2"/>
          </rPr>
          <t>MARY LAWRENCE_x000D_
http://yeinfo.com/family/I09002975.html_x000D_
https://www.google.com/search?q=MARY+LAWRENCE+1671+1744+EARLE_x000D_
.born: 16711204-          Waterton (Middlesex) Massachusetts_x000D_
.died:c1744    -          Groton (Middlesex) Massachusetts, age:72y 0m 28d, _x000D_
.bapt: 1785GE_x000D_
.will: 2004MO_x000D_
.obit: 1890OH_x000D_
.bury: 1850IL _x000D_
.wpbt: 1826PA_x000D_
.anc#:ancestor_x000D_
citiz:US born_x000D_
#spos:1_x000D_
#srcs:2_x000D_
#comment:0_x000D_
#events:2_x000D_
#kids:1_x000D_
lived:MAMIDDLGROTON,MAMIDDLWATERTO,MASUFFOBOSTON_x000D_
issue:_x000D_
.recs:Birth,Marriage,Death_x000D_
.imm?:no_x000D_
..Spo:JOHN EARLE</t>
        </r>
      </text>
    </comment>
    <comment ref="O7202" authorId="0" shapeId="0" xr:uid="{8143D7C8-83C7-4B85-BF0F-33474B9DF31F}">
      <text>
        <r>
          <rPr>
            <sz val="9"/>
            <color indexed="81"/>
            <rFont val="Tahoma"/>
            <family val="2"/>
          </rPr>
          <t>BENJAMIN CRISPE_x000D_
http://yeinfo.com/family/I09002870.html_x000D_
https://www.google.com/search?q=BENJAMIN+CRISPE+1610+1683+MARY+BRIDGET+CRISPE_x000D_
.born:?1610    -         ?England_x000D_
.died: 1683    -          Waterton (Middlesex) Massachusetts, age:73y 0m 0d, _x000D_
.bapt: 1785GE_x000D_
.will: 2004MO_x000D_
.obit: 1890OH_x000D_
.bury: 1850IL _x000D_
.wpbt: 1826PA_x000D_
.anc#:double ancestor_x000D_
citiz:immigrant_x000D_
#spos:2_x000D_
#srcs:3_x000D_
#comment:0_x000D_
#events:7_x000D_
#kids:8_x000D_
lived:?EN,MAMIDDLGROTON,MAMIDDLWATERTO_x000D_
issue:_x000D_
.recs:Birth,Marriage,Death,Freeman_x000D_
.imm?:immigrant_x000D_
..Spo:MARY BRIDGET HARRIS</t>
        </r>
      </text>
    </comment>
    <comment ref="N7204" authorId="0" shapeId="0" xr:uid="{3E8DB713-2802-424E-AD66-BCD06756E84B}">
      <text>
        <r>
          <rPr>
            <sz val="9"/>
            <color indexed="81"/>
            <rFont val="Tahoma"/>
            <family val="2"/>
          </rPr>
          <t>ELIZABETH CRISPE_x000D_
http://yeinfo.com/family/I09005951.html_x000D_
https://www.google.com/search?q=ELIZABETH+CRISPE+1637+1681+LAWRENCE_x000D_
.born: 16370108-         ?Massachusetts_x000D_
.died: 16810528-         ?Massachusetts, age:44y 4m 20d, _x000D_
.bapt: 1785GE_x000D_
.will: 2004MO_x000D_
.obit: 1890OH_x000D_
.bury: 1850IL _x000D_
.wpbt: 1826PA_x000D_
.anc#:ancestor_x000D_
citiz:US born_x000D_
#spos:1_x000D_
#srcs:4_x000D_
#comment:0_x000D_
#events:1_x000D_
#kids:1_x000D_
lived:?MAMIDDLWATERTO_x000D_
issue:_x000D_
.recs:Birth,Marriage,Death_x000D_
.imm?:no_x000D_
..Spo:GEORGE LAWRENCE</t>
        </r>
      </text>
    </comment>
    <comment ref="O7206" authorId="0" shapeId="0" xr:uid="{DE86FA82-3672-4CD0-A8B1-1CF6C8BF8E36}">
      <text>
        <r>
          <rPr>
            <sz val="9"/>
            <color indexed="81"/>
            <rFont val="Tahoma"/>
            <family val="2"/>
          </rPr>
          <t>MARY BRIDGET HARRIS_x000D_
http://yeinfo.com/family/I09002871.html_x000D_
https://www.google.com/search?q=MARY+BRIDGET+HARRIS+1613+1675+CRISPE_x000D_
.born:c1613    -          Firsby (Lincolnshire) England_x000D_
.died: 16750313-          Groton (Middlesex) Massachusetts, age:62y 2m 12d, _x000D_
.bapt: 1785GE_x000D_
.will: 2004MO_x000D_
.obit: 1890OH_x000D_
.bury: 1850IL _x000D_
.wpbt: 1826PA_x000D_
.anc#:double ancestor_x000D_
citiz:immigrant_x000D_
#spos:1_x000D_
#srcs:6_x000D_
#comment:0_x000D_
#events:1_x000D_
#kids:8_x000D_
lived:ENLINCSFIRSBY,MAMIDDLGROTON_x000D_
issue:_x000D_
.recs:Birth,Marriage,Death_x000D_
.imm?:immigrant_x000D_
..Spo:BENJAMIN CRISPE</t>
        </r>
      </text>
    </comment>
    <comment ref="G7208" authorId="0" shapeId="0" xr:uid="{D8F39113-0D60-453B-95F9-E8A2715A3ADD}">
      <text>
        <r>
          <rPr>
            <sz val="9"/>
            <color indexed="81"/>
            <rFont val="Tahoma"/>
            <family val="2"/>
          </rPr>
          <t>JOHN B. MILLER_x000D_
http://yeinfo.com/family/I09000046.html_x000D_
https://www.google.com/search?q=JOHN+B.+MILLER+1822+1883+JANE+ANN_x000D_
.born: 18220704-          Guilford (Windham) Vermont_x000D_
.died: 18831207-          Brattleboro (Windham) Vermont, age:61y 5m 3d, neuraligia of the heart_x000D_
.bapt: 1785GE_x000D_
.will: 2004MO_x000D_
.obit: 1890OH_x000D_
.bury: 1850IL _x000D_
.wpbt: 1826PA_x000D_
.anc#:ancestor_x000D_
citiz:US born_x000D_
#spos:1_x000D_
#srcs:10_x000D_
#comment:1_x000D_
#events:13_x000D_
#kids:11_x000D_
lived:VTWINDHBRATTLB,VTWINDHDUMMERS,VTWINDHGUILFOR_x000D_
issue:_x000D_
.recs:Birth,Military,Marriage,Job/Occupation,Death_x000D_
.imm?:no_x000D_
..Spo:JANE ANN BARRETT</t>
        </r>
      </text>
    </comment>
    <comment ref="J7210" authorId="0" shapeId="0" xr:uid="{2BFA632E-68BD-4E04-9BC4-076510038B3B}">
      <text>
        <r>
          <rPr>
            <sz val="9"/>
            <color indexed="81"/>
            <rFont val="Tahoma"/>
            <family val="2"/>
          </rPr>
          <t>BENJAMIN CARTER Sr._x000D_
http://yeinfo.com/family/I09000372.html_x000D_
https://www.google.com/search?q=BENJAMIN+CARTER+1731+1752+SARAH_x000D_
.born: 17310903-         ?Massachusetts_x000D_
.died: 1752    -1817     ?Massachusetts, age:20y 3m 29d, _x000D_
.bapt: 1785GE_x000D_
.will: 2004MO_x000D_
.obit: 1890OH_x000D_
.bury: 1850IL _x000D_
.wpbt: 1826PA_x000D_
.anc#:ancestor_x000D_
citiz:US born_x000D_
#spos:1_x000D_
#srcs:1_x000D_
#comment:1_x000D_
#events:1_x000D_
#kids:1_x000D_
lived:?MA,MECUMBESCARBOR_x000D_
issue:_x000D_
.recs:Birth,Marriage,Death_x000D_
.imm?:no_x000D_
..Spo:SARAH RUNNELS</t>
        </r>
      </text>
    </comment>
    <comment ref="I7212" authorId="0" shapeId="0" xr:uid="{96D94363-A970-43DE-8D81-ACD3EECAFB26}">
      <text>
        <r>
          <rPr>
            <sz val="9"/>
            <color indexed="81"/>
            <rFont val="Tahoma"/>
            <family val="2"/>
          </rPr>
          <t>BENJAMIN CARTER Jr._x000D_
http://yeinfo.com/family/I09000186.html_x000D_
https://www.google.com/search?q=BENJAMIN+CARTER+1747+1814+MERCY\MARY_x000D_
.born: 1747    -          Sutton (Worcester) Massachusetts_x000D_
.died: 18141101-          Wheelock (Caledonia) Vermont, age:67y 10m 0d, _x000D_
.bapt: 1785GE_x000D_
.will: 2004MO_x000D_
.obit: 1890OH_x000D_
.bury: 1850IL Village Cemetery_x000D_
.wpbt: 1826PA_x000D_
.anc#:ancestor_x000D_
citiz:US born_x000D_
#spos:2_x000D_
#srcs:16_x000D_
#comment:1_x000D_
#events:9_x000D_
#kids:1_x000D_
lived:?NH,MAWORCESUTTON,VTCALEDWHEELOC,VTWINDHBRATTLB_x000D_
issue:_x000D_
.recs:Birth,Marriage,Death,Interment/Burial,Gov't Court_x000D_
.imm?:no_x000D_
..Spo:MERCY\MARY GALE</t>
        </r>
      </text>
    </comment>
    <comment ref="J7214" authorId="0" shapeId="0" xr:uid="{7AD179D1-ED77-44C7-B749-9489E1D92235}">
      <text>
        <r>
          <rPr>
            <sz val="9"/>
            <color indexed="81"/>
            <rFont val="Tahoma"/>
            <family val="2"/>
          </rPr>
          <t>SARAH RUNNELS_x000D_
http://yeinfo.com/family/I09000373.html_x000D_
https://www.google.com/search?q=SARAH+RUNNELS+1732+1785+CARTER_x000D_
.born:?1732    -         ?Vermont_x000D_
.died: 17850107-          Scarborough (Cumberland) Maine, age:53y 0m 6d, _x000D_
.bapt: 1785GE_x000D_
.will: 2004MO_x000D_
.obit: 1890OH_x000D_
.bury: 1850IL _x000D_
.wpbt: 1826PA_x000D_
.anc#:ancestor_x000D_
citiz:US born_x000D_
#spos:1_x000D_
#srcs:3_x000D_
#comment:1_x000D_
#events:1_x000D_
#kids:1_x000D_
lived:?VT,MECUMBESCARBOR_x000D_
issue:_x000D_
.recs:Birth,Marriage,Death_x000D_
.imm?:no_x000D_
..Spo:BENJAMIN CARTER</t>
        </r>
      </text>
    </comment>
    <comment ref="H7216" authorId="0" shapeId="0" xr:uid="{093B3286-033F-45A8-AC79-D4F04330548C}">
      <text>
        <r>
          <rPr>
            <sz val="9"/>
            <color indexed="81"/>
            <rFont val="Tahoma"/>
            <family val="2"/>
          </rPr>
          <t>SALLY\MERCY CARTER_x000D_
http://yeinfo.com/family/I09000093.html_x000D_
https://www.google.com/search?q=SALLY\MERCY+CARTER+1795+1866+MILLER_x000D_
.born: 1795    -          Newfane (Windham) Vermont_x000D_
.died: 18661129-          Brattleboro (Windham) Vermont, age:71y 10m 28d, lung fever_x000D_
.bapt: 1785GE_x000D_
.will: 2004MO_x000D_
.obit: 1890OH_x000D_
.bury: 1850IL West Brattleboro Cemetery_x000D_
.wpbt: 1826PA_x000D_
.anc#:ancestor_x000D_
citiz:US born_x000D_
#spos:1_x000D_
#srcs:10_x000D_
#comment:1_x000D_
#events:5_x000D_
#kids:10_x000D_
lived:MAFRKLNGILL,VTWINDHBRATTLB,VTWINDHNEWFANE_x000D_
issue:_x000D_
.recs:Birth,Marriage,Death,Interment/Burial_x000D_
.imm?:no_x000D_
..Spo:ELI MILLER</t>
        </r>
      </text>
    </comment>
    <comment ref="O7218" authorId="0" shapeId="0" xr:uid="{CD657C0D-AB51-4D05-B75F-1436909DBAB5}">
      <text>
        <r>
          <rPr>
            <sz val="9"/>
            <color indexed="81"/>
            <rFont val="Tahoma"/>
            <family val="2"/>
          </rPr>
          <t>ABRAHAM GALE_x000D_
http://yeinfo.com/family/I09022200.html_x000D_
https://www.google.com/search?q=ABRAHAM+GALE+1543+1577+MARGARET_x000D_
.born: 1543    -          Devonport (Devon) England_x000D_
.died: 1577    -1633      Devonport (Devon) England, age:34y 0m 0d, _x000D_
.bapt: 1785GE_x000D_
.will: 2004MO_x000D_
.obit: 1890OH_x000D_
.bury: 1850IL Saint Andrew Churchyard_x000D_
.wpbt: 1826PA_x000D_
.anc#:double ancestor_x000D_
citiz:foreign_x000D_
#spos:1_x000D_
#srcs:3_x000D_
#comment:0_x000D_
#events:2_x000D_
#kids:5_x000D_
lived:?ENWILTS,ENDEVONDEVONPO_x000D_
issue:_x000D_
.recs:Birth,Marriage,Death,Interment/Burial_x000D_
.imm?:no_x000D_
..Spo:MARGARET GALE</t>
        </r>
      </text>
    </comment>
    <comment ref="N7220" authorId="0" shapeId="0" xr:uid="{2D288490-5B74-4978-BF7E-8D3DF3D48284}">
      <text>
        <r>
          <rPr>
            <sz val="9"/>
            <color indexed="81"/>
            <rFont val="Tahoma"/>
            <family val="2"/>
          </rPr>
          <t>RICHARD GALE Sr._x000D_
http://yeinfo.com/family/I09011100.html_x000D_
https://www.google.com/search?q=RICHARD+GALE+1577+1638+ALICE_x000D_
.born: 15770818-          Devonport (Devon) England_x000D_
.died: 1638    -          Devonport (Devon) England, age:60y 4m 14d, _x000D_
.bapt: 1785GE_x000D_
.will: 2004MO_x000D_
.obit: 1890OH_x000D_
.bury: 1850IL Saint Andrew Churchyard_x000D_
.wpbt: 1826PA_x000D_
.anc#:double ancestor_x000D_
citiz:foreign_x000D_
#spos:1_x000D_
#srcs:3_x000D_
#comment:0_x000D_
#events:2_x000D_
#kids:1_x000D_
lived:ENDEVONDEVONPO_x000D_
issue:_x000D_
.recs:Birth,Marriage,Death,Interment/Burial_x000D_
.imm?:no_x000D_
..Spo:ALICE ATWOOD</t>
        </r>
      </text>
    </comment>
    <comment ref="O7222" authorId="0" shapeId="0" xr:uid="{131C9CA6-BEF1-4290-91D6-3BD5A8864287}">
      <text>
        <r>
          <rPr>
            <sz val="9"/>
            <color indexed="81"/>
            <rFont val="Tahoma"/>
            <family val="2"/>
          </rPr>
          <t>Mrs. MARGARET GALE_x000D_
http://yeinfo.com/family/I09022201.html_x000D_
https://www.google.com/search?q=MARGARET+GALE+1548+1577+GALE_x000D_
.born: 1548    -          Devonport (Devon) England_x000D_
.died: 1577    -1638      Devonport (Devon) England, age:29y 0m 0d, _x000D_
.bapt: 1785GE_x000D_
.will: 2004MO_x000D_
.obit: 1890OH_x000D_
.bury: 1850IL _x000D_
.wpbt: 1826PA_x000D_
.anc#:double ancestor_x000D_
citiz:foreign_x000D_
#spos:1_x000D_
#srcs:3_x000D_
#comment:0_x000D_
#events:1_x000D_
#kids:5_x000D_
lived:?ENWILTS,ENDEVONDEVONPO_x000D_
issue:_x000D_
.recs:Birth,Marriage,Death_x000D_
.imm?:no_x000D_
..Spo:ABRAHAM GALE</t>
        </r>
      </text>
    </comment>
    <comment ref="M7224" authorId="0" shapeId="0" xr:uid="{70423848-8A77-43A8-8A46-D8D17F3F442F}">
      <text>
        <r>
          <rPr>
            <sz val="9"/>
            <color indexed="81"/>
            <rFont val="Tahoma"/>
            <family val="2"/>
          </rPr>
          <t>RICHARD GALE Jr._x000D_
http://yeinfo.com/family/I09005550.html_x000D_
https://www.google.com/search?q=RICHARD+GALE+1618+1679+MARY_x000D_
.born: 16180216-          Devon county England_x000D_
.died: 16790322-          Waterton (Middlesex) Massachusetts, age:61y 1m 6d, _x000D_
.bapt: 1785GE_x000D_
.will: 2004MO_x000D_
.obit: 1890OH_x000D_
.bury: 1850IL _x000D_
.wpbt: 1826PA_x000D_
.anc#:double ancestor_x000D_
citiz:immigrant_x000D_
#spos:1_x000D_
#srcs:3_x000D_
#comment:0_x000D_
#events:1_x000D_
#kids:6_x000D_
lived:ENDEVON,MAMIDDLWATERTO_x000D_
issue:_x000D_
.recs:Birth,Marriage,Death_x000D_
.imm?:immigrant_x000D_
..Spo:MARY CASTLE</t>
        </r>
      </text>
    </comment>
    <comment ref="N7226" authorId="0" shapeId="0" xr:uid="{2EFA512D-6BEA-4E1F-80F6-67EFE277B11F}">
      <text>
        <r>
          <rPr>
            <sz val="9"/>
            <color indexed="81"/>
            <rFont val="Tahoma"/>
            <family val="2"/>
          </rPr>
          <t>ALICE ATWOOD_x000D_
http://yeinfo.com/family/I09011101.html_x000D_
https://www.google.com/search?q=ALICE+ATWOOD+1578+1618+GALE_x000D_
.born: 1578    -1585     ?Devonport (Devon) England_x000D_
.died: 1618    -1668     ?Devonport (Devon) England, age:40y 0m 0d, _x000D_
.bapt: 1785GE_x000D_
.will: 2004MO_x000D_
.obit: 1890OH_x000D_
.bury: 1850IL Saint Andrew Churchyard_x000D_
.wpbt: 1826PA_x000D_
.anc#:double ancestor_x000D_
citiz:foreign_x000D_
#spos:1_x000D_
#srcs:3_x000D_
#comment:0_x000D_
#events:2_x000D_
#kids:1_x000D_
lived:?ENDEVONDEVONPO,EN_x000D_
issue:_x000D_
.recs:Birth,Marriage,Death,Interment/Burial_x000D_
.imm?:no_x000D_
..Spo:RICHARD GALE</t>
        </r>
      </text>
    </comment>
    <comment ref="L7228" authorId="0" shapeId="0" xr:uid="{E3A45C9F-D318-4E20-9B92-A98DF25E67FE}">
      <text>
        <r>
          <rPr>
            <sz val="9"/>
            <color indexed="81"/>
            <rFont val="Tahoma"/>
            <family val="2"/>
          </rPr>
          <t>ABRAHAM GALE Sr._x000D_
http://yeinfo.com/family/I09001496.html_x000D_
https://www.google.com/search?q=ABRAHAM+GALE+1643+1718+SARAH_x000D_
.born: 16430215-          Waterton (Middlesex) Massachusetts_x000D_
.died: 17180915-          Waltham (Middlesex) Massachusetts, age:75y 7m 0d, _x000D_
.bapt: 1785GE_x000D_
.will: 2004MO_x000D_
.obit: 1890OH_x000D_
.bury: 1850IL Grove Hill Cemetery_x000D_
.wpbt: 1826PA_x000D_
.anc#:ancestor_x000D_
citiz:US born_x000D_
#spos:1_x000D_
#srcs:3_x000D_
#comment:0_x000D_
#events:2_x000D_
#kids:15_x000D_
lived:MAMIDDLWALTHAM,MAMIDDLWATERTO_x000D_
issue:_x000D_
.recs:Birth,Marriage,Death,Interment/Burial_x000D_
.imm?:no_x000D_
..Spo:SARAH FISKE</t>
        </r>
      </text>
    </comment>
    <comment ref="O7230" authorId="0" shapeId="0" xr:uid="{C705A883-FDE6-4A86-BA49-E9127ADB680F}">
      <text>
        <r>
          <rPr>
            <sz val="9"/>
            <color indexed="81"/>
            <rFont val="Tahoma"/>
            <family val="2"/>
          </rPr>
          <t>RICHARD CASTLE_x000D_
http://yeinfo.com/family/I09022204.html_x000D_
https://www.google.com/search?q=RICHARD+CASTLE+1538+1594+ELIZABETH_x000D_
.born:c1538    -          Whiteparish (Wiltshire) England_x000D_
.died: 1594    -          Whiteparish (Wiltshire) England, age:56y 0m 0d, _x000D_
.bapt: 1785GE_x000D_
.will: 2004MO_x000D_
.obit: 1890OH_x000D_
.bury: 1850IL _x000D_
.wpbt: 1826PA_x000D_
.anc#:double ancestor_x000D_
citiz:foreign_x000D_
#spos:1_x000D_
#srcs:1_x000D_
#comment:0_x000D_
#events:1_x000D_
#kids:3_x000D_
lived:?ENWARWESTRATUA,ENWILTSWHITEPA_x000D_
issue:_x000D_
.recs:Birth,Marriage,Death_x000D_
.imm?:no_x000D_
..Spo:ELIZABETH SMITH</t>
        </r>
      </text>
    </comment>
    <comment ref="N7232" authorId="0" shapeId="0" xr:uid="{3F6EF060-BB11-45B1-B902-2B02B3296C10}">
      <text>
        <r>
          <rPr>
            <sz val="9"/>
            <color indexed="81"/>
            <rFont val="Tahoma"/>
            <family val="2"/>
          </rPr>
          <t>RICHARD CASTLE_x000D_
http://yeinfo.com/family/I09011102.html_x000D_
https://www.google.com/search?q=RICHARD+CASTLE+1577+1632+ALICE+ELIZABETH_x000D_
.born: 15770817-         ?Stratford upon Avon (Warwickshire) England_x000D_
.died: 1632    -          Stratford upon Avon (Warwickshire) England, age:54y 4m 15d, _x000D_
.bapt: 1785GE_x000D_
.will: 2004MO_x000D_
.obit: 1890OH_x000D_
.bury: 1850IL _x000D_
.wpbt: 1826PA_x000D_
.anc#:double ancestor_x000D_
citiz:foreign_x000D_
#spos:1_x000D_
#srcs:1_x000D_
#comment:0_x000D_
#events:1_x000D_
#kids:13_x000D_
lived:?ENWARWESTRATUA_x000D_
issue:_x000D_
.recs:Birth,Marriage,Death_x000D_
.imm?:no_x000D_
..Spo:ALICE ELIZABETH CATER</t>
        </r>
      </text>
    </comment>
    <comment ref="O7234" authorId="0" shapeId="0" xr:uid="{E3B4532F-3C02-400D-9045-CE16C36E800D}">
      <text>
        <r>
          <rPr>
            <sz val="9"/>
            <color indexed="81"/>
            <rFont val="Tahoma"/>
            <family val="2"/>
          </rPr>
          <t>ELIZABETH SMITH_x000D_
http://yeinfo.com/family/I09022205.html_x000D_
https://www.google.com/search?q=ELIZABETH+SMITH+1538+1583+CASTLE_x000D_
.born:c1538    -          Whiteparish (Wiltshire) England_x000D_
.died:c1583    -          Stratford upon Avon (Warwickshire) England, age:45y 0m 0d, _x000D_
.bapt: 1785GE_x000D_
.will: 2004MO_x000D_
.obit: 1890OH_x000D_
.bury: 1850IL _x000D_
.wpbt: 1826PA_x000D_
.anc#:double ancestor_x000D_
citiz:foreign_x000D_
#spos:1_x000D_
#srcs:1_x000D_
#comment:0_x000D_
#events:1_x000D_
#kids:3_x000D_
lived:?ENWARWESTRATUA,ENWILTSWHITEPA_x000D_
issue:_x000D_
.recs:Birth,Marriage,Death_x000D_
.imm?:no_x000D_
..Spo:RICHARD CASTLE</t>
        </r>
      </text>
    </comment>
    <comment ref="M7236" authorId="0" shapeId="0" xr:uid="{8DB9912F-DA10-4F2E-8A38-62C8FC33C5D7}">
      <text>
        <r>
          <rPr>
            <sz val="9"/>
            <color indexed="81"/>
            <rFont val="Tahoma"/>
            <family val="2"/>
          </rPr>
          <t>MARY CASTLE_x000D_
http://yeinfo.com/family/I09005551.html_x000D_
https://www.google.com/search?q=MARY+CASTLE+1624+1681+GALE_x000D_
.born: 16240404-          Warwickshire county England_x000D_
.died: 16810802-          Waterton (Middlesex) Massachusetts, age:57y 3m 29d, _x000D_
.bapt: 1785GE_x000D_
.will: 2004MO_x000D_
.obit: 1890OH_x000D_
.bury: 1850IL _x000D_
.wpbt: 1826PA_x000D_
.anc#:double ancestor_x000D_
citiz:immigrant_x000D_
#spos:1_x000D_
#srcs:3_x000D_
#comment:0_x000D_
#events:1_x000D_
#kids:6_x000D_
lived:ENWARWE,MAMIDDLWATERTO_x000D_
issue:_x000D_
.recs:Birth,Marriage,Death_x000D_
.imm?:immigrant_x000D_
..Spo:RICHARD GALE</t>
        </r>
      </text>
    </comment>
    <comment ref="N7238" authorId="0" shapeId="0" xr:uid="{C5DE8F68-F5C9-400D-B2FA-1996EB551245}">
      <text>
        <r>
          <rPr>
            <sz val="9"/>
            <color indexed="81"/>
            <rFont val="Tahoma"/>
            <family val="2"/>
          </rPr>
          <t>ALICE ELIZABETH CATER_x000D_
http://yeinfo.com/family/I09011103.html_x000D_
https://www.google.com/search?q=ALICE+ELIZABETH+CATER+1586+1632+CASTLE_x000D_
.born: 1586    -          Stratford upon Avon (Warwickshire) England_x000D_
.died: 1632    -          Stratford upon Avon (Warwickshire) England, age:46y 0m 0d, _x000D_
.bapt: 1785GE_x000D_
.will: 2004MO_x000D_
.obit: 1890OH_x000D_
.bury: 1850IL _x000D_
.wpbt: 1826PA_x000D_
.anc#:double ancestor_x000D_
citiz:foreign_x000D_
#spos:1_x000D_
#srcs:1_x000D_
#comment:0_x000D_
#events:1_x000D_
#kids:13_x000D_
lived:ENWARWESTRATUA_x000D_
issue:_x000D_
.recs:Birth,Marriage,Death_x000D_
.imm?:no_x000D_
..Spo:RICHARD CASTLE</t>
        </r>
      </text>
    </comment>
    <comment ref="K7240" authorId="0" shapeId="0" xr:uid="{1EA10679-CA57-43AE-B1A8-7EA33FE44120}">
      <text>
        <r>
          <rPr>
            <sz val="9"/>
            <color indexed="81"/>
            <rFont val="Tahoma"/>
            <family val="2"/>
          </rPr>
          <t>ABRAHAM GALE Jr._x000D_
http://yeinfo.com/family/I09000748.html_x000D_
https://www.google.com/search?q=ABRAHAM+GALE+1674+1722+RACHEL_x000D_
.born: 16740222-          Waterton (Middlesex) Massachusetts_x000D_
.died: 1722    -1764      Waltham (Middlesex) Massachusetts, age:47y 10m 10d, _x000D_
.bapt: 1785GE_x000D_
.will: 2004MO_x000D_
.obit: 1890OH_x000D_
.bury: 1850IL Grove Hill Cemetery_x000D_
.wpbt: 1826PA_x000D_
.anc#:ancestor_x000D_
citiz:US born_x000D_
#spos:1_x000D_
#srcs:2_x000D_
#comment:0_x000D_
#events:2_x000D_
#kids:9_x000D_
lived:MAMIDDLWALTHAM,MAMIDDLWATERTO_x000D_
issue:_x000D_
.recs:Birth,Marriage,Death,Interment/Burial_x000D_
.imm?:no_x000D_
..Spo:RACHEL PARKHURST</t>
        </r>
      </text>
    </comment>
    <comment ref="Q7242" authorId="0" shapeId="0" xr:uid="{FF2AEFAB-ABB7-4CD8-ADE4-33FDB33C5830}">
      <text>
        <r>
          <rPr>
            <sz val="9"/>
            <color indexed="81"/>
            <rFont val="Tahoma"/>
            <family val="2"/>
          </rPr>
          <t>NATHANIEL\SIMON FISKE_x000D_
http://yeinfo.com/family/I09047904.html_x000D_
https://www.google.com/search?q=NATHANIEL\SIMON+FISKE+1462+1493+MARGERY_x000D_
.born:c1462    -          Laxfield (Suffolk) England_x000D_
.died: 1493    -1552      Laxfield (Suffolk) England, age:31y 0m 0d, _x000D_
.bapt: 1785GE_x000D_
.will: 2004MO_x000D_
.obit: 1890OH_x000D_
.bury: 1850IL _x000D_
.wpbt: 1826PA_x000D_
.anc#:ancestor_x000D_
citiz:foreign_x000D_
#spos:1_x000D_
#srcs:2_x000D_
#comment:0_x000D_
#events:1_x000D_
#kids:1_x000D_
lived:ENSUFFOLAXFIEL_x000D_
issue:_x000D_
.recs:Birth,Marriage,Death_x000D_
.imm?:no_x000D_
..Spo:MARGERY FISKE</t>
        </r>
      </text>
    </comment>
    <comment ref="P7244" authorId="0" shapeId="0" xr:uid="{18E1EBB4-E512-4366-8C83-CC0AF6D7FE01}">
      <text>
        <r>
          <rPr>
            <sz val="9"/>
            <color indexed="81"/>
            <rFont val="Tahoma"/>
            <family val="2"/>
          </rPr>
          <t>RICHARD\GEOFFREY FISKE_x000D_
http://yeinfo.com/family/I09023952.html_x000D_
https://www.google.com/search?q=RICHARD\GEOFFREY+FISKE+1493+1565+URSULA\ELIZABETH_x000D_
.born: 1493    -          Suffolk county England_x000D_
.died: 15650125-          , age:72y 0m 24d, _x000D_
.bapt: 1785GE_x000D_
.will: 2004MO_x000D_
.obit: 1890OH_x000D_
.bury: 1850IL _x000D_
.wpbt: 1826PA_x000D_
.anc#:ancestor_x000D_
citiz:foreign_x000D_
#spos:1_x000D_
#srcs:3_x000D_
#comment:0_x000D_
#events:1_x000D_
#kids:8_x000D_
lived:ENSUFFO_x000D_
issue:_x000D_
.recs:Birth,Marriage,Death_x000D_
.imm?:no_x000D_
..Spo:URSULA\ELIZABETH FISKE</t>
        </r>
      </text>
    </comment>
    <comment ref="Q7246" authorId="0" shapeId="0" xr:uid="{93D60BD9-EC89-432B-976E-E037093531F0}">
      <text>
        <r>
          <rPr>
            <sz val="9"/>
            <color indexed="81"/>
            <rFont val="Tahoma"/>
            <family val="2"/>
          </rPr>
          <t>Mrs. MARGERY FISKE_x000D_
http://yeinfo.com/family/I09047905.html_x000D_
https://www.google.com/search?q=MARGERY+FISKE+1465+1493+FISKE_x000D_
.born:?1465    -         ?Suffolk county England_x000D_
.died: 1493    -1555     ?Suffolk county England, age:28y 0m 0d, _x000D_
.bapt: 1785GE_x000D_
.will: 2004MO_x000D_
.obit: 1890OH_x000D_
.bury: 1850IL _x000D_
.wpbt: 1826PA_x000D_
.anc#:ancestor_x000D_
citiz:foreign_x000D_
#spos:1_x000D_
#srcs:1_x000D_
#comment:0_x000D_
#events:1_x000D_
#kids:1_x000D_
lived:?ENSUFFO_x000D_
issue:_x000D_
.recs:Birth,Marriage,Death_x000D_
.imm?:no_x000D_
..Spo:NATHANIEL\SIMON FISKE</t>
        </r>
      </text>
    </comment>
    <comment ref="O7248" authorId="0" shapeId="0" xr:uid="{14AAEC40-4836-44ED-B929-22238C2FE4AA}">
      <text>
        <r>
          <rPr>
            <sz val="9"/>
            <color indexed="81"/>
            <rFont val="Tahoma"/>
            <family val="2"/>
          </rPr>
          <t>ROBERT\GEOFFREY FISKE_x000D_
http://yeinfo.com/family/I09011976.html_x000D_
https://www.google.com/search?q=ROBERT\GEOFFREY+FISKE+1520+1600+SYBIL\SIBILLA_x000D_
.born:c1520    -          Laxfield (Suffolk) England_x000D_
.died: 16000728-         ?England, age:80y 6m 27d, _x000D_
.bapt: 1785GE_x000D_
.will: 2004MO_x000D_
.obit: 1890OH_x000D_
.bury: 1850IL _x000D_
.wpbt: 1826PA_x000D_
.anc#:ancestor_x000D_
citiz:foreign_x000D_
#spos:1_x000D_
#srcs:3_x000D_
#comment:0_x000D_
#events:1_x000D_
#kids:6_x000D_
lived:?ENSUFFOWESTHOR,ENSUFFOLAXFIEL_x000D_
issue:_x000D_
.recs:Birth,Marriage,Death_x000D_
.imm?:no_x000D_
..Spo:SYBIL\SIBILLA GOULD</t>
        </r>
      </text>
    </comment>
    <comment ref="P7250" authorId="0" shapeId="0" xr:uid="{BBD40A08-EDC7-4985-8389-BE668FC760E1}">
      <text>
        <r>
          <rPr>
            <sz val="9"/>
            <color indexed="81"/>
            <rFont val="Tahoma"/>
            <family val="2"/>
          </rPr>
          <t>Mrs. URSULA\ELIZABETH FISKE_x000D_
http://yeinfo.com/family/I09023953.html_x000D_
https://www.google.com/search?q=URSULA\ELIZABETH+FISKE+1495+1527+FISKE_x000D_
.born:?1495    -         ?England_x000D_
.died: 1527    -1585      , age:32y 0m 0d, _x000D_
.bapt: 1785GE_x000D_
.will: 2004MO_x000D_
.obit: 1890OH_x000D_
.bury: 1850IL _x000D_
.wpbt: 1826PA_x000D_
.anc#:ancestor_x000D_
citiz:foreign_x000D_
#spos:1_x000D_
#srcs:3_x000D_
#comment:0_x000D_
#events:1_x000D_
#kids:8_x000D_
lived:?ENSUFFO_x000D_
issue:_x000D_
.recs:Birth,Marriage,Death_x000D_
.imm?:no_x000D_
..Spo:RICHARD\GEOFFREY FISKE</t>
        </r>
      </text>
    </comment>
    <comment ref="N7252" authorId="0" shapeId="0" xr:uid="{CC092DE5-38C0-4377-B78E-1B3B9CB4C98E}">
      <text>
        <r>
          <rPr>
            <sz val="9"/>
            <color indexed="81"/>
            <rFont val="Tahoma"/>
            <family val="2"/>
          </rPr>
          <t>GEOFFREY\ELEAZER FISKE_x000D_
http://yeinfo.com/family/I09005988.html_x000D_
https://www.google.com/search?q=GEOFFREY\ELEAZER+FISKE+1552+1629+MARY\MARGARET_x000D_
.born: 1552    -          Weybread (Suffolk) England_x000D_
.died: 16290511-         ?, age:77y 4m 10d, _x000D_
.bapt: 1785GE_x000D_
.will: 2004MO_x000D_
.obit: 1890OH_x000D_
.bury: 1850IL _x000D_
.wpbt: 1826PA_x000D_
.anc#:ancestor_x000D_
citiz:US born_x000D_
#spos:1_x000D_
#srcs:4_x000D_
#comment:1_x000D_
#events:1_x000D_
#kids:10_x000D_
lived:ENSUFFOWEYBREA_x000D_
issue:_x000D_
.recs:Birth,Marriage,Death_x000D_
.imm?:no_x000D_
..Spo:MARY\MARGARET COOKE</t>
        </r>
      </text>
    </comment>
    <comment ref="U7254" authorId="0" shapeId="0" xr:uid="{CA2832A8-3320-4659-8CC7-3D13131610B6}">
      <text>
        <r>
          <rPr>
            <sz val="9"/>
            <color indexed="81"/>
            <rFont val="Tahoma"/>
            <family val="2"/>
          </rPr>
          <t>ROBERT GOULD_x000D_
http://yeinfo.com/family/I09066092.html_x000D_
https://www.google.com/search?q=ROBERT+GOULD+1342+1380+ELIZABETH_x000D_
.born: 1342    -          Seaborough (Somerset) England_x000D_
.died: 1380    -          Seaborough (Somerset) England, age:38y 0m 0d, _x000D_
.bapt: 1785GE_x000D_
.will: 2004MO_x000D_
.obit: 1890OH_x000D_
.bury: 1850IL _x000D_
.wpbt: 1826PA_x000D_
.anc#:ancestor_x000D_
citiz:foreign_x000D_
#spos:1_x000D_
#srcs:1_x000D_
#comment:1_x000D_
#events:1_x000D_
#kids:1_x000D_
lived:ENSOMESSEABORO_x000D_
issue:_x000D_
.recs:Birth,Marriage,Death_x000D_
.imm?:no_x000D_
..Spo:ELIZABETH GOULD</t>
        </r>
      </text>
    </comment>
    <comment ref="T7256" authorId="0" shapeId="0" xr:uid="{D3A6C87C-093D-4211-9E77-69896F58123C}">
      <text>
        <r>
          <rPr>
            <sz val="9"/>
            <color indexed="81"/>
            <rFont val="Tahoma"/>
            <family val="2"/>
          </rPr>
          <t>JOHN GOULD_x000D_
http://yeinfo.com/family/I09065926.html_x000D_
https://www.google.com/search?q=JOHN+GOULD+1372+1426+ROBERTA_x000D_
.born: 1372    -          Somerset county England_x000D_
.died: 1426    -          Seaborough (Somerset) England, age:54y 0m 0d, _x000D_
.bapt: 1785GE_x000D_
.will: 2004MO_x000D_
.obit: 1890OH_x000D_
.bury: 1850IL _x000D_
.wpbt: 1826PA_x000D_
.anc#:ancestor_x000D_
citiz:foreign_x000D_
#spos:1_x000D_
#srcs:1_x000D_
#comment:0_x000D_
#events:1_x000D_
#kids:1_x000D_
lived:ENSOMESSEABORO_x000D_
issue:_x000D_
.recs:Birth,Marriage,Death_x000D_
.imm?:no_x000D_
..Spo:ROBERTA SAMPIT</t>
        </r>
      </text>
    </comment>
    <comment ref="U7258" authorId="0" shapeId="0" xr:uid="{25F2C0C9-2474-44CE-9C0A-8EAEE7310823}">
      <text>
        <r>
          <rPr>
            <sz val="9"/>
            <color indexed="81"/>
            <rFont val="Tahoma"/>
            <family val="2"/>
          </rPr>
          <t>Mrs. ELIZABETH GOULD_x000D_
http://yeinfo.com/family/I09066091.html_x000D_
https://www.google.com/search?q=ELIZABETH+GOULD+1346+1411+GOULD_x000D_
.born: 1346    -          Wem (Shropshire) England_x000D_
.died: 14110619-          Seaborough (Somerset) England, age:65y 5m 18d, _x000D_
.bapt: 1785GE_x000D_
.will: 2004MO_x000D_
.obit: 1890OH_x000D_
.bury: 1850IL _x000D_
.wpbt: 1826PA_x000D_
.anc#:ancestor_x000D_
citiz:foreign_x000D_
#spos:1_x000D_
#srcs:1_x000D_
#comment:0_x000D_
#events:1_x000D_
#kids:1_x000D_
lived:ENSHROPWEM,ENSOMESSEABORO_x000D_
issue:_x000D_
.recs:Birth,Marriage,Death_x000D_
.imm?:no_x000D_
..Spo:ROBERT GOULD</t>
        </r>
      </text>
    </comment>
    <comment ref="S7260" authorId="0" shapeId="0" xr:uid="{884F3E97-87E4-45FC-9321-5B060BFA136B}">
      <text>
        <r>
          <rPr>
            <sz val="9"/>
            <color indexed="81"/>
            <rFont val="Tahoma"/>
            <family val="2"/>
          </rPr>
          <t>ROBERT GOULD_x000D_
http://yeinfo.com/family/I09065779.html_x000D_
https://www.google.com/search?q=ROBERT+GOULD+1404+1455+IDONEA_x000D_
.born: 1404    -          Seaborough (Somerset) England_x000D_
.died: 1455    -1490      Seaborough (Somerset) England, age:51y 0m 0d, _x000D_
.bapt: 1785GE_x000D_
.will: 2004MO_x000D_
.obit: 1890OH_x000D_
.bury: 1850IL _x000D_
.wpbt: 1826PA_x000D_
.anc#:ancestor_x000D_
citiz:foreign_x000D_
#spos:1_x000D_
#srcs:1_x000D_
#comment:0_x000D_
#events:1_x000D_
#kids:1_x000D_
lived:ENSOMESSEABORO_x000D_
issue:_x000D_
.recs:Birth,Marriage,Death_x000D_
.imm?:no_x000D_
..Spo:IDONEA MYCHELDEVER</t>
        </r>
      </text>
    </comment>
    <comment ref="U7262" authorId="0" shapeId="0" xr:uid="{CE1BBC7D-CD24-438C-97EC-089DFE840CB8}">
      <text>
        <r>
          <rPr>
            <sz val="9"/>
            <color indexed="81"/>
            <rFont val="Tahoma"/>
            <family val="2"/>
          </rPr>
          <t>ROBERT SAMPIT_x000D_
http://yeinfo.com/family/I09066109.html_x000D_
https://www.google.com/search?q=ROBERT+SAMPIT+1355+1414+{_?_}_x000D_
.born: 1355    -         ?England_x000D_
.died: 1414    -         ?England, age:59y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..Spo:{_?_} SAMPIT</t>
        </r>
      </text>
    </comment>
    <comment ref="T7264" authorId="0" shapeId="0" xr:uid="{D2C8C5E5-190C-470C-9ED5-4019BB42E546}">
      <text>
        <r>
          <rPr>
            <sz val="9"/>
            <color indexed="81"/>
            <rFont val="Tahoma"/>
            <family val="2"/>
          </rPr>
          <t>ROBERTA SAMPIT_x000D_
http://yeinfo.com/family/I09065939.html_x000D_
https://www.google.com/search?q=ROBERTA+SAMPIT+1377+1420+GOULD_x000D_
.born: 1377    -          Somerset county England_x000D_
.died: 1420    -          Seaborough (Somerset) England, age:43y 0m 0d, _x000D_
.bapt: 1785GE_x000D_
.will: 2004MO_x000D_
.obit: 1890OH_x000D_
.bury: 1850IL _x000D_
.wpbt: 1826PA_x000D_
.anc#:ancestor_x000D_
citiz:foreign_x000D_
#spos:1_x000D_
#srcs:1_x000D_
#comment:0_x000D_
#events:1_x000D_
#kids:1_x000D_
lived:ENSOMESSEABORO_x000D_
issue:_x000D_
.recs:Birth,Marriage,Death_x000D_
.imm?:no_x000D_
..Spo:JOHN GOULD</t>
        </r>
      </text>
    </comment>
    <comment ref="U7266" authorId="0" shapeId="0" xr:uid="{3B7FC83D-8BA7-4B20-9F3E-A1733C5E247B}">
      <text>
        <r>
          <rPr>
            <sz val="9"/>
            <color indexed="81"/>
            <rFont val="Tahoma"/>
            <family val="2"/>
          </rPr>
          <t>Mrs. {_?_} SAMPIT_x000D_
http://yeinfo.com/family/I09066108.html_x000D_
https://www.google.com/search?q={_?_}+SAMPIT+1355+1377+SAMPIT_x000D_
.born:?1355    -         ?England_x000D_
.died: 1377    -1445     ?England, age:22y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..Spo:ROBERT SAMPIT</t>
        </r>
      </text>
    </comment>
    <comment ref="R7268" authorId="0" shapeId="0" xr:uid="{DAA5A2A5-FB38-4C59-832E-72CFD1D2F956}">
      <text>
        <r>
          <rPr>
            <sz val="9"/>
            <color indexed="81"/>
            <rFont val="Tahoma"/>
            <family val="2"/>
          </rPr>
          <t>THOMAS GOULD Sr._x000D_
http://yeinfo.com/family/I09065647.html_x000D_
https://www.google.com/search?q=THOMAS+GOULD+1455+1502+ELEANOR_x000D_
.born: 1455    -          Seaborough (Dorset) England_x000D_
.died: 15020505-          Seaborough (Somerset) England, age:47y 4m 4d, _x000D_
.bapt: 1785GE_x000D_
.will: 2004MO_x000D_
.obit: 1890OH_x000D_
.bury: 1850IL _x000D_
.wpbt: 1826PA_x000D_
.anc#:ancestor_x000D_
citiz:foreign_x000D_
#spos:1_x000D_
#srcs:1_x000D_
#comment:1_x000D_
#events:1_x000D_
#kids:1_x000D_
lived:?ENDEVON,ENDORSESEABORO,ENSOMESSEABORO_x000D_
issue:Died after Age 100_x000D_
.recs:Birth,Marriage,Death_x000D_
.imm?:no_x000D_
..Spo:ELEANOR GOULD</t>
        </r>
      </text>
    </comment>
    <comment ref="T7270" authorId="0" shapeId="0" xr:uid="{FD6B9659-D777-4AAA-A9D9-1F1D7EF488E1}">
      <text>
        <r>
          <rPr>
            <sz val="9"/>
            <color indexed="81"/>
            <rFont val="Tahoma"/>
            <family val="2"/>
          </rPr>
          <t>THOMAS MYCHELDEVER_x000D_
http://yeinfo.com/family/I09065936.html_x000D_
https://www.google.com/search?q=THOMAS+MYCHELDEVER+1382+1409+{_?_}_x000D_
.born: 1382    -          England_x000D_
.died: 1409    -1472     ?England, age:27y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..Spo:{_?_} MYCHELDEVER</t>
        </r>
      </text>
    </comment>
    <comment ref="S7272" authorId="0" shapeId="0" xr:uid="{F8E54967-86AC-4375-B6A0-FF0C3E890569}">
      <text>
        <r>
          <rPr>
            <sz val="9"/>
            <color indexed="81"/>
            <rFont val="Tahoma"/>
            <family val="2"/>
          </rPr>
          <t>IDONEA MYCHELDEVER_x000D_
http://yeinfo.com/family/I09065789.html_x000D_
https://www.google.com/search?q=IDONEA+MYCHELDEVER+1409+1455+GOULD_x000D_
.born:c1409    -          Seaborough (Somerset) England_x000D_
.died: 1455    -1495      Seaborough (Somerset) England, age:46y 0m 0d, _x000D_
.bapt: 1785GE_x000D_
.will: 2004MO_x000D_
.obit: 1890OH_x000D_
.bury: 1850IL _x000D_
.wpbt: 1826PA_x000D_
.anc#:ancestor_x000D_
citiz:foreign_x000D_
#spos:1_x000D_
#srcs:1_x000D_
#comment:0_x000D_
#events:1_x000D_
#kids:1_x000D_
lived:ENSOMESSEABORO_x000D_
issue:_x000D_
.recs:Birth,Marriage,Death_x000D_
.imm?:no_x000D_
..Spo:ROBERT GOULD</t>
        </r>
      </text>
    </comment>
    <comment ref="T7274" authorId="0" shapeId="0" xr:uid="{1F06F97C-C418-455F-9193-38D6DE606159}">
      <text>
        <r>
          <rPr>
            <sz val="9"/>
            <color indexed="81"/>
            <rFont val="Tahoma"/>
            <family val="2"/>
          </rPr>
          <t>Mrs. {_?_} MYCHELDEVER_x000D_
http://yeinfo.com/family/I09065935.html_x000D_
https://www.google.com/search?q={_?_}+MYCHELDEVER+1390+1410+MYCHELDEVER_x000D_
.born:?1390    -         ?England_x000D_
.died: 1410    -1480     ?England, age:20y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..Spo:THOMAS MYCHELDEVER</t>
        </r>
      </text>
    </comment>
    <comment ref="Q7276" authorId="0" shapeId="0" xr:uid="{A30FC4AC-D01B-4CD3-88EF-A5B8D0ACD7F6}">
      <text>
        <r>
          <rPr>
            <sz val="9"/>
            <color indexed="81"/>
            <rFont val="Tahoma"/>
            <family val="2"/>
          </rPr>
          <t>THOMAS GOULD Jr._x000D_
http://yeinfo.com/family/I09047908.html_x000D_
https://www.google.com/search?q=THOMAS+GOULD+1472+1525+EDITH_x000D_
.born:c1472    -          Seaborough (Dorset) England_x000D_
.died: 15250413-          Crewkerne (Somerset) England, age:53y 3m 12d, _x000D_
.bapt: 1785GE_x000D_
.will: 2004MO_x000D_
.obit: 1890OH_x000D_
.bury: 1850IL _x000D_
.wpbt: 1826PA_x000D_
.anc#:ancestor_x000D_
citiz:foreign_x000D_
#spos:1_x000D_
#srcs:2_x000D_
#comment:0_x000D_
#events:1_x000D_
#kids:1_x000D_
lived:ENDORSESEABORO,ENSOMESCREWKER_x000D_
issue:Died after Age 100_x000D_
.recs:Birth,Marriage,Death_x000D_
.imm?:no_x000D_
..Spo:EDITH APPLETON</t>
        </r>
      </text>
    </comment>
    <comment ref="R7278" authorId="0" shapeId="0" xr:uid="{64DA5EA0-A19D-4C03-990F-1C06ECDAC365}">
      <text>
        <r>
          <rPr>
            <sz val="9"/>
            <color indexed="81"/>
            <rFont val="Tahoma"/>
            <family val="2"/>
          </rPr>
          <t>Mrs. ELEANOR GOULD_x000D_
http://yeinfo.com/family/I09065646.html_x000D_
https://www.google.com/search?q=ELEANOR+GOULD+1444+1472+GOULD_x000D_
.born: 1444    -          Staverton (Devon) England_x000D_
.died: 1472    -1534      England, age:28y 0m 0d, _x000D_
.bapt: 1785GE_x000D_
.will: 2004MO_x000D_
.obit: 1890OH_x000D_
.bury: 1850IL _x000D_
.wpbt: 1826PA_x000D_
.anc#:ancestor_x000D_
citiz:foreign_x000D_
#spos:1_x000D_
#srcs:1_x000D_
#comment:0_x000D_
#events:1_x000D_
#kids:1_x000D_
lived:ENDEVONSTAVERT_x000D_
issue:_x000D_
.recs:Birth,Marriage,Death_x000D_
.imm?:no_x000D_
..Spo:THOMAS GOULD</t>
        </r>
      </text>
    </comment>
    <comment ref="P7280" authorId="0" shapeId="0" xr:uid="{1A8E5880-4F75-49C6-977E-ECA04D03B188}">
      <text>
        <r>
          <rPr>
            <sz val="9"/>
            <color indexed="81"/>
            <rFont val="Tahoma"/>
            <family val="2"/>
          </rPr>
          <t>EPHRIAM GOULD_x000D_
http://yeinfo.com/family/I09023954.html_x000D_
https://www.google.com/search?q=EPHRIAM+GOULD+1505+1585+MARGARET_x000D_
.born: 1505    -          _x000D_
.died: 15850928-          , age:80y 8m 27d, _x000D_
.bapt: 1785GE_x000D_
.will: 2004MO_x000D_
.obit: 1890OH_x000D_
.bury: 1850IL _x000D_
.wpbt: 1826PA_x000D_
.anc#:ancestor_x000D_
citiz:foreign_x000D_
#spos:1_x000D_
#srcs:3_x000D_
#comment:0_x000D_
#events:1_x000D_
#kids:1_x000D_
lived:?ENSUFFO_x000D_
issue:_x000D_
.recs:Birth,Marriage,Death_x000D_
.imm?:no_x000D_
..Spo:MARGARET MOORE</t>
        </r>
      </text>
    </comment>
    <comment ref="S7282" authorId="0" shapeId="0" xr:uid="{25D684F5-29EA-4EE3-A37A-5AEAD0672B97}">
      <text>
        <r>
          <rPr>
            <sz val="9"/>
            <color indexed="81"/>
            <rFont val="Tahoma"/>
            <family val="2"/>
          </rPr>
          <t>ROGER APPLETON_x000D_
http://yeinfo.com/family/I09065744.html_x000D_
https://www.google.com/search?q=ROGER+APPLETON+1412+1481+ELIZABETH_x000D_
.born: 1412    -          Great Waldingfield (Suffolk) England_x000D_
.died: 14810409-          England, age:69y 3m 8d, _x000D_
.bapt: 1785GE_x000D_
.will: 2004MO_x000D_
.obit: 1890OH_x000D_
.bury: 1850IL _x000D_
.wpbt: 1826PA_x000D_
.anc#:ancestor_x000D_
citiz:foreign_x000D_
#spos:1_x000D_
#srcs:1_x000D_
#comment:0_x000D_
#events:1_x000D_
#kids:1_x000D_
lived:ENSUFFOGREATWF_x000D_
issue:_x000D_
.recs:Birth,Marriage,Death_x000D_
.imm?:no_x000D_
..Spo:ELIZABETH FROWICKE</t>
        </r>
      </text>
    </comment>
    <comment ref="R7284" authorId="0" shapeId="0" xr:uid="{2F172E8F-28C0-4559-867C-9935D689A6ED}">
      <text>
        <r>
          <rPr>
            <sz val="9"/>
            <color indexed="81"/>
            <rFont val="Tahoma"/>
            <family val="2"/>
          </rPr>
          <t>ROGER APPLETON_x000D_
http://yeinfo.com/family/I09065611.html_x000D_
https://www.google.com/search?q=ROGER+APPLETON+1450+1478+CHRISTIANA_x000D_
.born:c1450    -          Seaborough (Dorset) England_x000D_
.died: 1478    -1540      Seaborough (Dorset) England, age:28y 0m 0d, _x000D_
.bapt: 1785GE_x000D_
.will: 2004MO_x000D_
.obit: 1890OH_x000D_
.bury: 1850IL _x000D_
.wpbt: 1826PA_x000D_
.anc#:ancestor_x000D_
citiz:foreign_x000D_
#spos:1_x000D_
#srcs:3_x000D_
#comment:0_x000D_
#events:1_x000D_
#kids:3_x000D_
lived:ENDORSESEABORO,ENSOMES_x000D_
issue:_x000D_
.recs:Birth,Marriage,Death_x000D_
.imm?:no_x000D_
..Spo:CHRISTIANA GOLDE</t>
        </r>
      </text>
    </comment>
    <comment ref="U7286" authorId="0" shapeId="0" xr:uid="{C5B34CA1-54EE-40B9-BFD7-98AF022BABFF}">
      <text>
        <r>
          <rPr>
            <sz val="9"/>
            <color indexed="81"/>
            <rFont val="Tahoma"/>
            <family val="2"/>
          </rPr>
          <t>HENRY FROWICKE_x000D_
http://yeinfo.com/family/I09066131.html_x000D_
https://www.google.com/search?q=HENRY+FROWICKE+1345+1386+ALICE_x000D_
.born: 1345    -          Middlesex county England_x000D_
.died: 138606  -          Hertsmere (Hertfordshire) England, age:41y 5m 0d, _x000D_
.bapt: 1785GE_x000D_
.will: 2004MO_x000D_
.obit: 1890OH_x000D_
.bury: 1850IL _x000D_
.wpbt: 1826PA_x000D_
.anc#:double ancestor_x000D_
citiz:foreign_x000D_
#spos:1_x000D_
#srcs:1_x000D_
#comment:1_x000D_
#events:1_x000D_
#kids:1_x000D_
lived:ENHERTFHERTSME,ENMIDDL_x000D_
issue:_x000D_
.recs:Birth,Marriage,Death_x000D_
.imm?:no_x000D_
..Spo:ALICE CORNWALL</t>
        </r>
      </text>
    </comment>
    <comment ref="T7288" authorId="0" shapeId="0" xr:uid="{1A279E69-2D0B-43C5-AC9D-21CE67A6F23F}">
      <text>
        <r>
          <rPr>
            <sz val="9"/>
            <color indexed="81"/>
            <rFont val="Tahoma"/>
            <family val="2"/>
          </rPr>
          <t>HENRY FROWICKE_x000D_
http://yeinfo.com/family/I09065957.html_x000D_
https://www.google.com/search?q=HENRY+FROWICKE+1384+1460+ISABEL_x000D_
.born:c1384    -          Middlesex county England_x000D_
.died: 146003  -          Middlesex county England, age:76y 2m 0d, _x000D_
.bapt: 1785GE_x000D_
.will: 2004MO_x000D_
.obit: 1890OH_x000D_
.bury: 1850IL _x000D_
.wpbt: 1826PA_x000D_
.anc#:double ancestor_x000D_
citiz:foreign_x000D_
#spos:1_x000D_
#srcs:1_x000D_
#comment:0_x000D_
#events:1_x000D_
#kids:2_x000D_
lived:ENMIDDL_x000D_
issue:_x000D_
.recs:Birth,Marriage,Death_x000D_
.imm?:no_x000D_
..Spo:ISABEL OTIS</t>
        </r>
      </text>
    </comment>
    <comment ref="U7290" authorId="0" shapeId="0" xr:uid="{7528D564-A3DB-46FE-82F0-873C6A8441A4}">
      <text>
        <r>
          <rPr>
            <sz val="9"/>
            <color indexed="81"/>
            <rFont val="Tahoma"/>
            <family val="2"/>
          </rPr>
          <t>ALICE CORNWALL_x000D_
http://yeinfo.com/family/I09066132.html_x000D_
https://www.google.com/search?q=ALICE+CORNWALL+1350+1416+FROWICKE_x000D_
.born:?1350    -         ?England_x000D_
.died: 1416    -         ?England, age:66y 0m 0d, _x000D_
.bapt: 1785GE_x000D_
.will: 2004MO_x000D_
.obit: 1890OH_x000D_
.bury: 1850IL _x000D_
.wpbt: 1826PA_x000D_
.anc#:double ancestor_x000D_
citiz:foreign_x000D_
#spos:1_x000D_
#srcs:2_x000D_
#comment:1_x000D_
#events:1_x000D_
#kids:1_x000D_
lived:?EN_x000D_
issue:Died after Age 100_x000D_
.recs:Birth,Marriage,Death_x000D_
.imm?:no_x000D_
..Spo:HENRY FROWICKE</t>
        </r>
      </text>
    </comment>
    <comment ref="S7292" authorId="0" shapeId="0" xr:uid="{AF6C145B-52A2-48FC-8681-338E1DA6D048}">
      <text>
        <r>
          <rPr>
            <sz val="9"/>
            <color indexed="81"/>
            <rFont val="Tahoma"/>
            <family val="2"/>
          </rPr>
          <t>ELIZABETH FROWICKE_x000D_
http://yeinfo.com/family/I09065745.html_x000D_
https://www.google.com/search?q=ELIZABETH+FROWICKE+1428+1503+APPLETON_x000D_
.born: 1428    -         ?Middlesex county England_x000D_
.died: 1503    -          Chiddingstone (Kent) England, age:75y 0m 0d, _x000D_
.bapt: 1785GE_x000D_
.will: 2004MO_x000D_
.obit: 1890OH_x000D_
.bury: 1850IL _x000D_
.wpbt: 1826PA_x000D_
.anc#:ancestor_x000D_
citiz:foreign_x000D_
#spos:1_x000D_
#srcs:2_x000D_
#comment:0_x000D_
#events:1_x000D_
#kids:1_x000D_
lived:?ENMIDDL,ENKENT CHIDDIN_x000D_
issue:_x000D_
.recs:Birth,Marriage,Death_x000D_
.imm?:no_x000D_
..Spo:ROGER APPLETON</t>
        </r>
      </text>
    </comment>
    <comment ref="U7294" authorId="0" shapeId="0" xr:uid="{FEE0FFC3-C428-4296-867E-B8E10C367B29}">
      <text>
        <r>
          <rPr>
            <sz val="9"/>
            <color indexed="81"/>
            <rFont val="Tahoma"/>
            <family val="2"/>
          </rPr>
          <t>WILLIAM OTIS_x000D_
http://yeinfo.com/family/I09066133.html_x000D_
https://www.google.com/search?q=WILLIAM+OTIS+1375+1399+{_?_}_x000D_
.born:?1375    -         ?England_x000D_
.died: 1399    -1465     ?England, age:24y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..Spo:{_?_} OTIS</t>
        </r>
      </text>
    </comment>
    <comment ref="T7296" authorId="0" shapeId="0" xr:uid="{26C972C0-6209-4E57-8C28-CD46A18FE05B}">
      <text>
        <r>
          <rPr>
            <sz val="9"/>
            <color indexed="81"/>
            <rFont val="Tahoma"/>
            <family val="2"/>
          </rPr>
          <t>ISABEL OTIS_x000D_
http://yeinfo.com/family/I09065958.html_x000D_
https://www.google.com/search?q=ISABEL+OTIS+1399+1465+FROWICKE_x000D_
.born: 1399    -          Middlesex county England_x000D_
.died: 14650805-          London (Middlesex) England, age:66y 7m 4d, _x000D_
.bapt: 1785GE_x000D_
.will: 2004MO_x000D_
.obit: 1890OH_x000D_
.bury: 1850IL _x000D_
.wpbt: 1826PA_x000D_
.anc#:double ancestor_x000D_
citiz:foreign_x000D_
#spos:1_x000D_
#srcs:2_x000D_
#comment:0_x000D_
#events:1_x000D_
#kids:2_x000D_
lived:ENMIDDLLONDON_x000D_
issue:Died after Age 100_x000D_
.recs:Birth,Marriage,Death_x000D_
.imm?:no_x000D_
..Spo:HENRY FROWICKE</t>
        </r>
      </text>
    </comment>
    <comment ref="U7298" authorId="0" shapeId="0" xr:uid="{417F1B6C-5D20-4B97-BEA2-F50664CCF552}">
      <text>
        <r>
          <rPr>
            <sz val="9"/>
            <color indexed="81"/>
            <rFont val="Tahoma"/>
            <family val="2"/>
          </rPr>
          <t>Mrs. {_?_} OTIS_x000D_
http://yeinfo.com/family/I09066134.html_x000D_
https://www.google.com/search?q={_?_}+OTIS+1375+1399+OTIS_x000D_
.born:?1375    -         ?England_x000D_
.died: 1399    -1465     ?England, age:24y 0m 0d, _x000D_
.bapt: 1785GE_x000D_
.will: 2004MO_x000D_
.obit: 1890OH_x000D_
.bury: 1850IL _x000D_
.wpbt: 1826PA_x000D_
.anc#:double ancestor_x000D_
citiz:foreign_x000D_
#spos:1_x000D_
#srcs:0_x000D_
#comment:0_x000D_
#events:1_x000D_
#kids:1_x000D_
lived:?EN_x000D_
issue:_x000D_
.recs:Birth,Marriage,Death_x000D_
.imm?:no_x000D_
..Spo:WILLIAM OTIS</t>
        </r>
      </text>
    </comment>
    <comment ref="Q7300" authorId="0" shapeId="0" xr:uid="{014B5CB1-C9A3-489A-BEE4-C905CB7EE372}">
      <text>
        <r>
          <rPr>
            <sz val="9"/>
            <color indexed="81"/>
            <rFont val="Tahoma"/>
            <family val="2"/>
          </rPr>
          <t>EDITH APPLETON_x000D_
http://yeinfo.com/family/I09047909.html_x000D_
https://www.google.com/search?q=EDITH+APPLETON+1476+1525+GOULD_x000D_
.born:c1476    -          Seaborough (Dorset) England_x000D_
.died: 1525    -          Somerset county England, age:49y 0m 0d, _x000D_
.bapt: 1785GE_x000D_
.will: 2004MO_x000D_
.obit: 1890OH_x000D_
.bury: 1850IL _x000D_
.wpbt: 1826PA_x000D_
.anc#:ancestor_x000D_
citiz:foreign_x000D_
#spos:1_x000D_
#srcs:2_x000D_
#comment:0_x000D_
#events:1_x000D_
#kids:1_x000D_
lived:ENDORSESEABORO,ENSOMES_x000D_
issue:Died after Age 100_x000D_
.recs:Birth,Marriage,Death_x000D_
.imm?:no_x000D_
..Spo:THOMAS GOULD</t>
        </r>
      </text>
    </comment>
    <comment ref="R7302" authorId="0" shapeId="0" xr:uid="{C7706BB5-65CE-454C-9A25-68F7680A9BFE}">
      <text>
        <r>
          <rPr>
            <sz val="9"/>
            <color indexed="81"/>
            <rFont val="Tahoma"/>
            <family val="2"/>
          </rPr>
          <t>CHRISTIANA GOLDE_x000D_
http://yeinfo.com/family/I09065612.html_x000D_
https://www.google.com/search?q=CHRISTIANA+GOLDE+1460+1480+APPLETON_x000D_
.born: 1460    -          Somerset county England_x000D_
.died: 1480    -1550     ?England, age:20y 0m 0d, _x000D_
.bapt: 1785GE_x000D_
.will: 2004MO_x000D_
.obit: 1890OH_x000D_
.bury: 1850IL _x000D_
.wpbt: 1826PA_x000D_
.anc#:ancestor_x000D_
citiz:foreign_x000D_
#spos:1_x000D_
#srcs:2_x000D_
#comment:0_x000D_
#events:1_x000D_
#kids:3_x000D_
lived:ENSOMES_x000D_
issue:Died after Age 100_x000D_
.recs:Birth,Marriage,Death_x000D_
.imm?:no_x000D_
..Spo:ROGER APPLETON</t>
        </r>
      </text>
    </comment>
    <comment ref="O7304" authorId="0" shapeId="0" xr:uid="{BDA5A025-EE3C-415A-906A-5FEB5404621A}">
      <text>
        <r>
          <rPr>
            <sz val="9"/>
            <color indexed="81"/>
            <rFont val="Tahoma"/>
            <family val="2"/>
          </rPr>
          <t>SYBIL\SIBILLA GOULD_x000D_
http://yeinfo.com/family/I09011977.html_x000D_
https://www.google.com/search?q=SYBIL\SIBILLA+GOULD+1527+1571+FISKE_x000D_
.born: 1527    -          _x000D_
.died: 15710420-          , age:44y 3m 19d, _x000D_
.bapt: 1785GE_x000D_
.will: 2004MO_x000D_
.obit: 1890OH_x000D_
.bury: 1850IL _x000D_
.wpbt: 1826PA_x000D_
.anc#:ancestor_x000D_
citiz:foreign_x000D_
#spos:1_x000D_
#srcs:3_x000D_
#comment:1_x000D_
#events:1_x000D_
#kids:6_x000D_
lived:?ENSUFFOWESTHOR_x000D_
issue:_x000D_
.recs:Birth,Marriage,Death_x000D_
.imm?:no_x000D_
..Spo:ROBERT\GEOFFREY FISKE</t>
        </r>
      </text>
    </comment>
    <comment ref="Q7306" authorId="0" shapeId="0" xr:uid="{608EC5F4-EFC0-4C6D-B9B8-2A52D0F4CB1F}">
      <text>
        <r>
          <rPr>
            <sz val="9"/>
            <color indexed="81"/>
            <rFont val="Tahoma"/>
            <family val="2"/>
          </rPr>
          <t>THOMAS MOORE_x000D_
http://yeinfo.com/family/I09047910.html_x000D_
https://www.google.com/search?q=THOMAS+MOORE+1455+1520+JOAN_x000D_
.born: 14551201-          Stoke Mandeville (Buckinghamshire) England_x000D_
.died: 15200928-          Bovingdon (Hertfordshire) England, age:64y 9m 27d, _x000D_
.bapt: 1785GE_x000D_
.will: 2004MO_x000D_
.obit: 1890OH_x000D_
.bury: 1850IL _x000D_
.wpbt: 1826PA_x000D_
.anc#:ancestor_x000D_
citiz:foreign_x000D_
#spos:1_x000D_
#srcs:2_x000D_
#comment:0_x000D_
#events:1_x000D_
#kids:1_x000D_
lived:ENBUCKESTOKE M,ENHERTFBOVINGD_x000D_
issue:_x000D_
.recs:Birth,Marriage,Death_x000D_
.imm?:no_x000D_
..Spo:JOAN CURTIS</t>
        </r>
      </text>
    </comment>
    <comment ref="P7308" authorId="0" shapeId="0" xr:uid="{8308F1B6-A37A-4E50-B0CA-85BDCAA1AAC8}">
      <text>
        <r>
          <rPr>
            <sz val="9"/>
            <color indexed="81"/>
            <rFont val="Tahoma"/>
            <family val="2"/>
          </rPr>
          <t>MARGARET MOORE_x000D_
http://yeinfo.com/family/I09023955.html_x000D_
https://www.google.com/search?q=MARGARET+MOORE+1503+1546+GOULD_x000D_
.born: 1503    -          _x000D_
.died: 15460628-          , age:43y 5m 27d, _x000D_
.bapt: 1785GE_x000D_
.will: 2004MO_x000D_
.obit: 1890OH_x000D_
.bury: 1850IL _x000D_
.wpbt: 1826PA_x000D_
.anc#:ancestor_x000D_
citiz:foreign_x000D_
#spos:1_x000D_
#srcs:3_x000D_
#comment:0_x000D_
#events:1_x000D_
#kids:1_x000D_
lived:?ENSUFFO_x000D_
issue:_x000D_
.recs:Birth,Marriage,Death_x000D_
.imm?:no_x000D_
..Spo:EPHRIAM GOULD</t>
        </r>
      </text>
    </comment>
    <comment ref="R7310" authorId="0" shapeId="0" xr:uid="{5707FF68-F078-4F6B-8E65-7BE768B3F872}">
      <text>
        <r>
          <rPr>
            <sz val="9"/>
            <color indexed="81"/>
            <rFont val="Tahoma"/>
            <family val="2"/>
          </rPr>
          <t>RICHARD FRANCIS CURTIS_x000D_
http://yeinfo.com/family/I09065613.html_x000D_
https://www.google.com/search?q=RICHARD+FRANCIS+CURTIS+1440+1460+ALICE_x000D_
.born: 1440    -          Nazeing (Essex) England_x000D_
.died: 1460    -1530      Essex county England, age:20y 0m 0d, _x000D_
.bapt: 1785GE_x000D_
.will: 2004MO_x000D_
.obit: 1890OH_x000D_
.bury: 1850IL _x000D_
.wpbt: 1826PA_x000D_
.anc#:ancestor_x000D_
citiz:foreign_x000D_
#spos:1_x000D_
#srcs:2_x000D_
#comment:0_x000D_
#events:1_x000D_
#kids:1_x000D_
lived:ENESSEXNAZEING_x000D_
issue:_x000D_
.recs:Birth,Marriage,Death_x000D_
.imm?:no_x000D_
..Spo:ALICE AXTELL</t>
        </r>
      </text>
    </comment>
    <comment ref="Q7312" authorId="0" shapeId="0" xr:uid="{0E94FA1E-D6FA-4EBD-8739-D21DDD5C6F79}">
      <text>
        <r>
          <rPr>
            <sz val="9"/>
            <color indexed="81"/>
            <rFont val="Tahoma"/>
            <family val="2"/>
          </rPr>
          <t>JOAN CURTIS_x000D_
http://yeinfo.com/family/I09047911.html_x000D_
https://www.google.com/search?q=JOAN+CURTIS+1459+1525+MOORE_x000D_
.born: 1459    -          Stoke Mandeville (Buckinghamshire) England_x000D_
.died: 1525    -          Bovingdon (Hertfordshire) England, age:66y 0m 0d, _x000D_
.bapt: 1785GE_x000D_
.will: 2004MO_x000D_
.obit: 1890OH_x000D_
.bury: 1850IL _x000D_
.wpbt: 1826PA_x000D_
.anc#:ancestor_x000D_
citiz:foreign_x000D_
#spos:1_x000D_
#srcs:2_x000D_
#comment:0_x000D_
#events:1_x000D_
#kids:1_x000D_
lived:ENBUCKESTOKE M,ENHERTFBOVINGD_x000D_
issue:_x000D_
.recs:Birth,Marriage,Death_x000D_
.imm?:no_x000D_
..Spo:THOMAS MOORE</t>
        </r>
      </text>
    </comment>
    <comment ref="R7314" authorId="0" shapeId="0" xr:uid="{A431964C-F98C-4FB8-8BB9-5D16A069EC58}">
      <text>
        <r>
          <rPr>
            <sz val="9"/>
            <color indexed="81"/>
            <rFont val="Tahoma"/>
            <family val="2"/>
          </rPr>
          <t>ALICE AXTELL_x000D_
http://yeinfo.com/family/I09065614.html_x000D_
https://www.google.com/search?q=ALICE+AXTELL+1440+1537+CURTIS_x000D_
.born: 1440    -          Essex county England_x000D_
.died: 15371201-         ?Essex county England, age:97y 11m 0d, _x000D_
.bapt: 1785GE_x000D_
.will: 2004MO_x000D_
.obit: 1890OH_x000D_
.bury: 1850IL _x000D_
.wpbt: 1826PA_x000D_
.anc#:ancestor_x000D_
citiz:foreign_x000D_
#spos:1_x000D_
#srcs:2_x000D_
#comment:0_x000D_
#events:1_x000D_
#kids:1_x000D_
lived:ENESSEX_x000D_
issue:_x000D_
.recs:Birth,Marriage,Death_x000D_
.imm?:no_x000D_
..Spo:RICHARD FRANCIS CURTIS</t>
        </r>
      </text>
    </comment>
    <comment ref="M7316" authorId="0" shapeId="0" xr:uid="{C05FCF35-0683-4547-8BF3-F1D8A91FC81F}">
      <text>
        <r>
          <rPr>
            <sz val="9"/>
            <color indexed="81"/>
            <rFont val="Tahoma"/>
            <family val="2"/>
          </rPr>
          <t>NATHAN\DAVID FISKE_x000D_
http://yeinfo.com/family/I09002994.html_x000D_
https://www.google.com/search?q=NATHAN\DAVID+FISKE+1615+1676+SUSAN_x000D_
.born: 1615    -          Dorset county England_x000D_
.died: 16760621-          Waterton (Middlesex) Massachusetts, age:61y 5m 20d, _x000D_
.bapt: 1785GE_x000D_
.will: 2004MO_x000D_
.obit: 1890OH_x000D_
.bury: 1850IL Old Burying Place_x000D_
.wpbt: 1826PA_x000D_
.anc#:ancestor_x000D_
citiz:immigrant_x000D_
#spos:1_x000D_
#srcs:10_x000D_
#comment:0_x000D_
#events:7_x000D_
#kids:6_x000D_
lived:ENDORSE,MAMIDDLWATERTO_x000D_
issue:Born after Dad Age 60,Born after Mom Age 50_x000D_
.recs:Birth,Marriage,Will Written,Death,Interment/Burial,Freeman_x000D_
.imm?:immigrant_x000D_
..Spo:SUSAN BROWNE</t>
        </r>
      </text>
    </comment>
    <comment ref="P7318" authorId="0" shapeId="0" xr:uid="{949C2E22-68AE-4F60-9ADC-1A8F783546EB}">
      <text>
        <r>
          <rPr>
            <sz val="9"/>
            <color indexed="81"/>
            <rFont val="Tahoma"/>
            <family val="2"/>
          </rPr>
          <t>HUMPHREY COOKE_x000D_
http://yeinfo.com/family/I09023956.html_x000D_
https://www.google.com/search?q=HUMPHREY+COOKE+1485+1515+MARGARET+MATILDA_x000D_
.born:c1485    -          _x000D_
.died: 1515    -1575     ?England, age:30y 0m 0d, _x000D_
.bapt: 1785GE_x000D_
.will: 2004MO_x000D_
.obit: 1890OH_x000D_
.bury: 1850IL _x000D_
.wpbt: 1826PA_x000D_
.anc#:ancestor_x000D_
citiz:foreign_x000D_
#spos:1_x000D_
#srcs:3_x000D_
#comment:0_x000D_
#events:1_x000D_
#kids:1_x000D_
lived:?ENSUFFOWESTHOR_x000D_
issue:_x000D_
.recs:Birth,Marriage,Death_x000D_
.imm?:no_x000D_
..Spo:MARGARET MATILDA MAYNE</t>
        </r>
      </text>
    </comment>
    <comment ref="O7320" authorId="0" shapeId="0" xr:uid="{EC1CB342-A476-4B07-8130-67DCBDAF32F1}">
      <text>
        <r>
          <rPr>
            <sz val="9"/>
            <color indexed="81"/>
            <rFont val="Tahoma"/>
            <family val="2"/>
          </rPr>
          <t>JOHN COOKE_x000D_
http://yeinfo.com/family/I09011978.html_x000D_
https://www.google.com/search?q=JOHN+COOKE+1515+1565+ALICE+MARIA_x000D_
.born:c1515    -          _x000D_
.died: 1565    -          Westhorpe (Suffolk) England, age:50y 0m 0d, _x000D_
.bapt: 1785GE_x000D_
.will: 2004MO_x000D_
.obit: 1890OH_x000D_
.bury: 1850IL _x000D_
.wpbt: 1826PA_x000D_
.anc#:ancestor_x000D_
citiz:foreign_x000D_
#spos:1_x000D_
#srcs:3_x000D_
#comment:1_x000D_
#events:1_x000D_
#kids:1_x000D_
lived:ENSUFFOWESTHOR_x000D_
issue:_x000D_
.recs:Birth,Marriage,Death_x000D_
.imm?:no_x000D_
..Spo:ALICE MARIA CARTER</t>
        </r>
      </text>
    </comment>
    <comment ref="P7322" authorId="0" shapeId="0" xr:uid="{6A75A565-5C58-4707-8A35-7ECBBED181C0}">
      <text>
        <r>
          <rPr>
            <sz val="9"/>
            <color indexed="81"/>
            <rFont val="Tahoma"/>
            <family val="2"/>
          </rPr>
          <t>MARGARET MATILDA MAYNE_x000D_
http://yeinfo.com/family/I09023957.html_x000D_
https://www.google.com/search?q=MARGARET+MATILDA+MAYNE+1487+1515+COOKE_x000D_
.born:c1487    -          Westhorpe (Suffolk) England_x000D_
.died: 1515    -1577      Westhorpe (Suffolk) England, age:28y 0m 0d, _x000D_
.bapt: 1785GE_x000D_
.will: 2004MO_x000D_
.obit: 1890OH_x000D_
.bury: 1850IL _x000D_
.wpbt: 1826PA_x000D_
.anc#:ancestor_x000D_
citiz:foreign_x000D_
#spos:1_x000D_
#srcs:2_x000D_
#comment:0_x000D_
#events:1_x000D_
#kids:1_x000D_
lived:ENSUFFOWESTHOR_x000D_
issue:_x000D_
.recs:Birth,Marriage,Death_x000D_
.imm?:no_x000D_
..Spo:HUMPHREY COOKE</t>
        </r>
      </text>
    </comment>
    <comment ref="N7324" authorId="0" shapeId="0" xr:uid="{50C1B430-196C-4E96-B864-2D00EB830593}">
      <text>
        <r>
          <rPr>
            <sz val="9"/>
            <color indexed="81"/>
            <rFont val="Tahoma"/>
            <family val="2"/>
          </rPr>
          <t>MARY\MARGARET COOKE_x000D_
http://yeinfo.com/family/I09005989.html_x000D_
https://www.google.com/search?q=MARY\MARGARET+COOKE+1555+1616+FISKE_x000D_
.born: 1555    -          Suffolk county England_x000D_
.died: 1616    -1645      , age:61y 0m 0d, _x000D_
.bapt: 1785GE_x000D_
.will: 2004MO_x000D_
.obit: 1890OH_x000D_
.bury: 1850IL _x000D_
.wpbt: 1826PA_x000D_
.anc#:ancestor_x000D_
citiz:US born_x000D_
#spos:1_x000D_
#srcs:4_x000D_
#comment:0_x000D_
#events:1_x000D_
#kids:10_x000D_
lived:ENSUFFOWEYBREA_x000D_
issue:_x000D_
.recs:Birth,Marriage,Death_x000D_
.imm?:no_x000D_
..Spo:GEOFFREY\ELEAZER FISKE</t>
        </r>
      </text>
    </comment>
    <comment ref="P7326" authorId="0" shapeId="0" xr:uid="{563DBBFC-F5C3-4810-92C6-05F3E10ECBBF}">
      <text>
        <r>
          <rPr>
            <sz val="9"/>
            <color indexed="81"/>
            <rFont val="Tahoma"/>
            <family val="2"/>
          </rPr>
          <t>JOHN CARTER_x000D_
http://yeinfo.com/family/I09023958.html_x000D_
https://www.google.com/search?q=JOHN+CARTER+1490+1524+{_?_}_x000D_
.born: 1490    -          Westhorpe (Suffolk) England_x000D_
.died: 1524    -          Westhorpe (Suffolk) England, age:34y 0m 0d, _x000D_
.bapt: 1785GE_x000D_
.will: 2004MO_x000D_
.obit: 1890OH_x000D_
.bury: 1850IL _x000D_
.wpbt: 1826PA_x000D_
.anc#:ancestor_x000D_
citiz:foreign_x000D_
#spos:1_x000D_
#srcs:2_x000D_
#comment:0_x000D_
#events:2_x000D_
#kids:1_x000D_
lived:ENSUFFOWESTHOR_x000D_
issue:_x000D_
.recs:Birth,Marriage,Death_x000D_
.imm?:no_x000D_
..Spo:{_?_} CARTER</t>
        </r>
      </text>
    </comment>
    <comment ref="O7328" authorId="0" shapeId="0" xr:uid="{1BE0A73B-EA1A-4CBD-BC9F-988C7A4D7D7D}">
      <text>
        <r>
          <rPr>
            <sz val="9"/>
            <color indexed="81"/>
            <rFont val="Tahoma"/>
            <family val="2"/>
          </rPr>
          <t>ALICE MARIA CARTER_x000D_
http://yeinfo.com/family/I09011979.html_x000D_
https://www.google.com/search?q=ALICE+MARIA+CARTER+1520+1570+COOKE_x000D_
.born:c1520    -         ?England_x000D_
.died: 1570    -         ?England, age:50y 0m 0d, _x000D_
.bapt: 1785GE_x000D_
.will: 2004MO_x000D_
.obit: 1890OH_x000D_
.bury: 1850IL _x000D_
.wpbt: 1826PA_x000D_
.anc#:ancestor_x000D_
citiz:foreign_x000D_
#spos:1_x000D_
#srcs:3_x000D_
#comment:0_x000D_
#events:1_x000D_
#kids:1_x000D_
lived:?EN,ENSUFFOWESTHOR_x000D_
issue:_x000D_
.recs:Birth,Marriage,Death_x000D_
.imm?:no_x000D_
..Spo:JOHN COOKE</t>
        </r>
      </text>
    </comment>
    <comment ref="P7330" authorId="0" shapeId="0" xr:uid="{1A20463D-4B3C-4606-A0F3-B8D1E42C1DA0}">
      <text>
        <r>
          <rPr>
            <sz val="9"/>
            <color indexed="81"/>
            <rFont val="Tahoma"/>
            <family val="2"/>
          </rPr>
          <t>Mrs. {_?_} CARTER_x000D_
http://yeinfo.com/family/I09023959.html_x000D_
https://www.google.com/search?q={_?_}+CARTER+1490+1520+CARTER_x000D_
.born:?1490    -          Westhorpe (Suffolk) England_x000D_
.died: 1520    -1580     ?England, age:30y 0m 0d, _x000D_
.bapt: 1785GE_x000D_
.will: 2004MO_x000D_
.obit: 1890OH_x000D_
.bury: 1850IL _x000D_
.wpbt: 1826PA_x000D_
.anc#:ancestor_x000D_
citiz:foreign_x000D_
#spos:1_x000D_
#srcs:2_x000D_
#comment:0_x000D_
#events:2_x000D_
#kids:1_x000D_
lived:ENSUFFOWESTHOR_x000D_
issue:_x000D_
.recs:Birth,Marriage,Death_x000D_
.imm?:no_x000D_
..Spo:JOHN CARTER</t>
        </r>
      </text>
    </comment>
    <comment ref="L7332" authorId="0" shapeId="0" xr:uid="{41E3642E-A3E8-4A7C-9B3E-3CEB9891B458}">
      <text>
        <r>
          <rPr>
            <sz val="9"/>
            <color indexed="81"/>
            <rFont val="Tahoma"/>
            <family val="2"/>
          </rPr>
          <t>SARAH FISKE_x000D_
http://yeinfo.com/family/I09001497.html_x000D_
https://www.google.com/search?q=SARAH+FISKE+1656+1728+GALE_x000D_
.born: 1656    -          _x000D_
.died: 17280514-          , age:72y 4m 13d, _x000D_
.bapt: 1785GE_x000D_
.will: 2004MO_x000D_
.obit: 1890OH_x000D_
.bury: 1850IL _x000D_
.wpbt: 1826PA_x000D_
.anc#:ancestor_x000D_
citiz:US born_x000D_
#spos:1_x000D_
#srcs:7_x000D_
#comment:0_x000D_
#events:1_x000D_
#kids:15_x000D_
lived:MAMIDDLWATERTO_x000D_
issue:_x000D_
.recs:Birth,Marriage,Death_x000D_
.imm?:no_x000D_
..Spo:ABRAHAM GALE</t>
        </r>
      </text>
    </comment>
    <comment ref="O7334" authorId="0" shapeId="0" xr:uid="{15444940-4983-490D-8A30-800E4195D233}">
      <text>
        <r>
          <rPr>
            <sz val="9"/>
            <color indexed="81"/>
            <rFont val="Tahoma"/>
            <family val="2"/>
          </rPr>
          <t>WILLIAM BROWNE_x000D_
http://yeinfo.com/family/I09011980.html_x000D_
https://www.google.com/search?q=WILLIAM+BROWNE+1565+1665+JOHANE_x000D_
.born: 1565    -          England_x000D_
.died: 1665    -         ?, age:100y 0m 0d, _x000D_
.bapt: 1785GE_x000D_
.will: 2004MO_x000D_
.obit: 1890OH_x000D_
.bury: 1850IL _x000D_
.wpbt: 1826PA_x000D_
.anc#:ancestor_x000D_
citiz:US born_x000D_
#spos:1_x000D_
#srcs:1_x000D_
#comment:0_x000D_
#events:1_x000D_
#kids:1_x000D_
lived:EN_x000D_
issue:_x000D_
.recs:Birth,Marriage,Death_x000D_
.imm?:no_x000D_
..Spo:JOHANE HEYWOOD</t>
        </r>
      </text>
    </comment>
    <comment ref="N7336" authorId="0" shapeId="0" xr:uid="{E80AD45A-97EE-416A-AB4B-F4114E95389E}">
      <text>
        <r>
          <rPr>
            <sz val="9"/>
            <color indexed="81"/>
            <rFont val="Tahoma"/>
            <family val="2"/>
          </rPr>
          <t>JOHN BROWNE_x000D_
http://yeinfo.com/family/I09005990.html_x000D_
https://www.google.com/search?q=JOHN+BROWNE+1591+1640+ALICE_x000D_
.born:c1591    -          Hampton (Middlesex) England_x000D_
.died:p1640    -          Waterton (Middlesex) Massachusetts, age:49y 0m 0d, _x000D_
.bapt: 1785GE_x000D_
.will: 2004MO_x000D_
.obit: 1890OH_x000D_
.bury: 1850IL _x000D_
.wpbt: 1826PA_x000D_
.anc#:ancestor_x000D_
citiz:immigrant_x000D_
#spos:1_x000D_
#srcs:4_x000D_
#comment:0_x000D_
#events:1_x000D_
#kids:1_x000D_
lived:ENMIDDLHAMPTON,ENMIDDLLONDON,MAMIDDLWATERTO_x000D_
issue:_x000D_
.recs:Birth,Marriage,Death_x000D_
.imm?:immigrant_x000D_
..Spo:ALICE BROWNE</t>
        </r>
      </text>
    </comment>
    <comment ref="O7338" authorId="0" shapeId="0" xr:uid="{57C2672A-2469-4A36-BA63-3AE89F2440C9}">
      <text>
        <r>
          <rPr>
            <sz val="9"/>
            <color indexed="81"/>
            <rFont val="Tahoma"/>
            <family val="2"/>
          </rPr>
          <t>JOHANE HEYWOOD_x000D_
http://yeinfo.com/family/I09011981.html_x000D_
https://www.google.com/search?q=JOHANE+HEYWOOD+1567+1667+BROWNE_x000D_
.born: 1567    -         ?England_x000D_
.died: 1667    -         ?, age:100y 0m 0d, _x000D_
.bapt: 1785GE_x000D_
.will: 2004MO_x000D_
.obit: 1890OH_x000D_
.bury: 1850IL _x000D_
.wpbt: 1826PA_x000D_
.anc#:ancestor_x000D_
citiz:US born_x000D_
#spos:1_x000D_
#srcs:1_x000D_
#comment:0_x000D_
#events:1_x000D_
#kids:1_x000D_
lived:?EN_x000D_
issue:_x000D_
.recs:Birth,Marriage,Death_x000D_
.imm?:no_x000D_
..Spo:WILLIAM BROWNE</t>
        </r>
      </text>
    </comment>
    <comment ref="M7340" authorId="0" shapeId="0" xr:uid="{D3E4A8B2-99F6-47EB-8E48-BFD0F274401E}">
      <text>
        <r>
          <rPr>
            <sz val="9"/>
            <color indexed="81"/>
            <rFont val="Tahoma"/>
            <family val="2"/>
          </rPr>
          <t>SUSAN BROWNE_x000D_
http://yeinfo.com/family/I09002995.html_x000D_
https://www.google.com/search?q=SUSAN+BROWNE+1617+1662+FISKE_x000D_
.born: 16170904-          Aldringham (Suffolk) England_x000D_
.died: 16620425-         ?Waterton (Middlesex) Massachusetts, age:44y 7m 21d, _x000D_
.bapt: 1785GE_x000D_
.will: 2004MO_x000D_
.obit: 1890OH_x000D_
.bury: 1850IL Old Burying Place_x000D_
.wpbt: 1826PA_x000D_
.anc#:ancestor_x000D_
citiz:immigrant_x000D_
#spos:1_x000D_
#srcs:6_x000D_
#comment:0_x000D_
#events:3_x000D_
#kids:6_x000D_
lived:?MAMIDDLWATERTO,ENSUFFOALDRING_x000D_
issue:_x000D_
.recs:Birth,Baptism,Marriage,Death,Interment/Burial_x000D_
.imm?:immigrant_x000D_
..Spo:NATHAN\DAVID FISKE</t>
        </r>
      </text>
    </comment>
    <comment ref="N7342" authorId="0" shapeId="0" xr:uid="{EEB527AE-FD4F-49C6-A3BF-A39A3C54D6F3}">
      <text>
        <r>
          <rPr>
            <sz val="9"/>
            <color indexed="81"/>
            <rFont val="Tahoma"/>
            <family val="2"/>
          </rPr>
          <t>Mrs. ALICE BROWNE_x000D_
http://yeinfo.com/family/I09005991.html_x000D_
https://www.google.com/search?q=ALICE+BROWNE+1595+1617+BROWNE_x000D_
.born:c1595    -          Waterton (Middlesex) Massachusetts_x000D_
.died: 1617    -          Waterton (Middlesex) Massachusetts, age:22y 0m 0d, _x000D_
.bapt: 1785GE_x000D_
.will: 2004MO_x000D_
.obit: 1890OH_x000D_
.bury: 1850IL _x000D_
.wpbt: 1826PA_x000D_
.anc#:ancestor_x000D_
citiz:US born_x000D_
#spos:1_x000D_
#srcs:4_x000D_
#comment:1_x000D_
#events:1_x000D_
#kids:1_x000D_
lived:ENMIDDLLONDON,MAMIDDLWATERTO_x000D_
issue:_x000D_
.recs:Birth,Marriage,Death_x000D_
.imm?:no_x000D_
..Spo:JOHN BROWNE</t>
        </r>
      </text>
    </comment>
    <comment ref="J7344" authorId="0" shapeId="0" xr:uid="{F5A77973-86A8-4B1F-9C25-256D7E7A2008}">
      <text>
        <r>
          <rPr>
            <sz val="9"/>
            <color indexed="81"/>
            <rFont val="Tahoma"/>
            <family val="2"/>
          </rPr>
          <t>JOSIAH GALE Sr._x000D_
http://yeinfo.com/family/I09000374.html_x000D_
https://www.google.com/search?q=JOSIAH+GALE+1722+1794+ELIZABETH_x000D_
.born: 17220408-          Waterton (Middlesex) Massachusetts_x000D_
.died: 17941207-          Sutton (Worcester) Massachusetts, age:72y 7m 29d, _x000D_
.bapt: 1785GE_x000D_
.will: 2004MO_x000D_
.obit: 1890OH_x000D_
.bury: 1850IL _x000D_
.wpbt: 1826PA_x000D_
.anc#:ancestor_x000D_
citiz:US born_x000D_
#spos:1_x000D_
#srcs:3_x000D_
#comment:0_x000D_
#events:1_x000D_
#kids:10_x000D_
lived:MAMIDDLSUDBURY,MAMIDDLWATERTO,MAWORCESUTTON_x000D_
issue:_x000D_
.recs:Birth,Marriage,Death_x000D_
.imm?:no_x000D_
..Spo:ELIZABETH CHADWICK</t>
        </r>
      </text>
    </comment>
    <comment ref="M7346" authorId="0" shapeId="0" xr:uid="{E76776D0-5AE2-40C6-A344-904A4C9C1336}">
      <text>
        <r>
          <rPr>
            <sz val="9"/>
            <color indexed="81"/>
            <rFont val="Tahoma"/>
            <family val="2"/>
          </rPr>
          <t>GEORGE PARKHURST Jr._x000D_
http://yeinfo.com/family/I09002996.html_x000D_
https://www.google.com/search?q=GEORGE+PARKHURST+1621+1644+SARAH_x000D_
.born: 16210605-          England_x000D_
.died: 1644    -1711      , age:22y 6m 27d, _x000D_
.bapt: 1785GE_x000D_
.will: 2004MO_x000D_
.obit: 1890OH_x000D_
.bury: 1850IL _x000D_
.wpbt: 1826PA_x000D_
.anc#:ancestor_x000D_
citiz:US born_x000D_
#spos:1_x000D_
#srcs:3_x000D_
#comment:0_x000D_
#events:2_x000D_
#kids:1_x000D_
lived:EN,MAMIDDLWATERTO_x000D_
issue:_x000D_
.recs:Birth,Marriage,Death_x000D_
.imm?:no_x000D_
..Spo:SARAH BROWNE</t>
        </r>
      </text>
    </comment>
    <comment ref="L7348" authorId="0" shapeId="0" xr:uid="{2929AEFB-DA85-44BF-91E4-81A03EFF174F}">
      <text>
        <r>
          <rPr>
            <sz val="9"/>
            <color indexed="81"/>
            <rFont val="Tahoma"/>
            <family val="2"/>
          </rPr>
          <t>JOHN PARKHURST_x000D_
http://yeinfo.com/family/I09001498.html_x000D_
https://www.google.com/search?q=JOHN+PARKHURST+1644+1725+ABIGAIL_x000D_
.born: 16440610-         ?Waterton (Middlesex) Massachusetts_x000D_
.died: 17250912-         ?Waterton (Middlesex) Massachusetts, age:81y 3m 2d, _x000D_
.bapt: 1785GE_x000D_
.will: 2004MO_x000D_
.obit: 1890OH_x000D_
.bury: 1850IL _x000D_
.wpbt: 1826PA_x000D_
.anc#:ancestor_x000D_
citiz:US born_x000D_
#spos:1_x000D_
#srcs:3_x000D_
#comment:0_x000D_
#events:1_x000D_
#kids:3_x000D_
lived:?MAMIDDLWATERTO_x000D_
issue:_x000D_
.recs:Birth,Marriage,Death_x000D_
.imm?:no_x000D_
..Spo:ABIGAIL GARFIELD</t>
        </r>
      </text>
    </comment>
    <comment ref="M7350" authorId="0" shapeId="0" xr:uid="{501F61CA-3849-4B2D-AF25-898734FCF9DC}">
      <text>
        <r>
          <rPr>
            <sz val="9"/>
            <color indexed="81"/>
            <rFont val="Tahoma"/>
            <family val="2"/>
          </rPr>
          <t>SARAH BROWNE_x000D_
http://yeinfo.com/family/I09002997.html_x000D_
https://www.google.com/search?q=SARAH+BROWNE+1621+1649+PARKHURST_x000D_
.born:?1621    -         ?Hawkedon (Suffolk) England_x000D_
.died: 164909  -         ?Waterton (Middlesex) Massachusetts, age:28y 8m 0d, _x000D_
.bapt: 1785GE_x000D_
.will: 2004MO_x000D_
.obit: 1890OH_x000D_
.bury: 1850IL _x000D_
.wpbt: 1826PA_x000D_
.anc#:ancestor_x000D_
citiz:immigrant_x000D_
#spos:1_x000D_
#srcs:2_x000D_
#comment:0_x000D_
#events:1_x000D_
#kids:1_x000D_
lived:?ENSUFFOHAWKEDO,?MAMIDDLWATERTO_x000D_
issue:_x000D_
.recs:Birth,Marriage,Death_x000D_
.imm?:immigrant_x000D_
..Spo:GEORGE PARKHURST</t>
        </r>
      </text>
    </comment>
    <comment ref="K7352" authorId="0" shapeId="0" xr:uid="{D1DB40A7-97AE-496A-9AF8-91FC7419AF1A}">
      <text>
        <r>
          <rPr>
            <sz val="9"/>
            <color indexed="81"/>
            <rFont val="Tahoma"/>
            <family val="2"/>
          </rPr>
          <t>RACHEL PARKHURST_x000D_
http://yeinfo.com/family/I09000749.html_x000D_
https://www.google.com/search?q=RACHEL+PARKHURST+1678+1767+GALE_x000D_
.born: 1678    -          Massachusetts_x000D_
.died: 1767    -          Massachusetts, age:89y 0m 0d, _x000D_
.bapt: 1785GE_x000D_
.will: 2004MO_x000D_
.obit: 1890OH_x000D_
.bury: 1850IL _x000D_
.wpbt: 1826PA_x000D_
.anc#:ancestor_x000D_
citiz:US born_x000D_
#spos:1_x000D_
#srcs:1_x000D_
#comment:0_x000D_
#events:1_x000D_
#kids:9_x000D_
lived:MA_x000D_
issue:_x000D_
.recs:Birth,Marriage,Death_x000D_
.imm?:no_x000D_
..Spo:ABRAHAM GALE</t>
        </r>
      </text>
    </comment>
    <comment ref="N7354" authorId="0" shapeId="0" xr:uid="{2C197F89-6DFC-4210-BFBD-F0913EAAB4C0}">
      <text>
        <r>
          <rPr>
            <sz val="9"/>
            <color indexed="81"/>
            <rFont val="Tahoma"/>
            <family val="2"/>
          </rPr>
          <t>EDWARD GARFIELD_x000D_
http://yeinfo.com/family/I09011496.html_x000D_
https://www.google.com/search?q=EDWARD+GARFIELD+1575+1672+AGNES\SARAH_x000D_
.born:c1575    -         ?England_x000D_
.died: 16720614-          Waterton (Middlesex) Massachusetts, age:97y 5m 13d, _x000D_
.bapt: 1785GE_x000D_
.will: 2004MO_x000D_
.obit: 1890OH_x000D_
.bury: 1850IL _x000D_
.wpbt: 1826PA_x000D_
.anc#:  quadruple ancestor_x000D_
citiz:immigrant_x000D_
#spos:1_x000D_
#srcs:11_x000D_
#comment:1_x000D_
#events:8_x000D_
#kids:1_x000D_
lived:?EN,?MAMIDDLWATERTO,MA_x000D_
issue:_x000D_
.recs:Birth,Marriage,Job/Occupation,Death,Freeman_x000D_
.imm?:immigrant_x000D_
..Spo:AGNES\SARAH GARFIELD</t>
        </r>
      </text>
    </comment>
    <comment ref="M7356" authorId="0" shapeId="0" xr:uid="{F96C1F52-805D-4D8B-9CDB-1AE135B4EC14}">
      <text>
        <r>
          <rPr>
            <sz val="9"/>
            <color indexed="81"/>
            <rFont val="Tahoma"/>
            <family val="2"/>
          </rPr>
          <t>EDWARD GARFIELD_x000D_
http://yeinfo.com/family/I09005748.html_x000D_
https://www.google.com/search?q=EDWARD+GARFIELD+1605+1672+REBECCA+GARFIELD_x000D_
.born: 1605    -         ?England_x000D_
.died: 16720604-          , age:67y 5m 3d, _x000D_
.bapt: 1785GE_x000D_
.will: 2004MO_x000D_
.obit: 1890OH_x000D_
.bury: 1850IL _x000D_
.wpbt: 1826PA_x000D_
.anc#:  quadruple ancestor_x000D_
citiz:US born_x000D_
#spos:2_x000D_
#srcs:10_x000D_
#comment:0_x000D_
#events:8_x000D_
#kids:6_x000D_
lived:?EN,MAMIDDLWATERTO_x000D_
issue:_x000D_
.recs:Birth,Marriage,Job/Occupation,Will Written,Death_x000D_
.imm?:no_x000D_
..Spo:REBECCA JOHNSON</t>
        </r>
      </text>
    </comment>
    <comment ref="N7358" authorId="0" shapeId="0" xr:uid="{41E04E71-F63E-46BB-A678-58B32AEC2370}">
      <text>
        <r>
          <rPr>
            <sz val="9"/>
            <color indexed="81"/>
            <rFont val="Tahoma"/>
            <family val="2"/>
          </rPr>
          <t>Mrs. AGNES\SARAH GARFIELD_x000D_
http://yeinfo.com/family/I09011497.html_x000D_
https://www.google.com/search?q=AGNES\SARAH+GARFIELD+1575+1605+GARFIELD_x000D_
.born:?1575    -         ?England_x000D_
.died: 1605    -1665      , age:30y 0m 0d, _x000D_
.bapt: 1785GE_x000D_
.will: 2004MO_x000D_
.obit: 1890OH_x000D_
.bury: 1850IL _x000D_
.wpbt: 1826PA_x000D_
.anc#:  quadruple ancestor_x000D_
citiz:US born_x000D_
#spos:1_x000D_
#srcs:2_x000D_
#comment:0_x000D_
#events:1_x000D_
#kids:1_x000D_
lived:?EN_x000D_
issue:_x000D_
.recs:Birth,Marriage,Death_x000D_
.imm?:no_x000D_
..Spo:EDWARD GARFIELD</t>
        </r>
      </text>
    </comment>
    <comment ref="L7360" authorId="0" shapeId="0" xr:uid="{8F5C6274-D0A9-4E70-80A4-260E629D9FF1}">
      <text>
        <r>
          <rPr>
            <sz val="9"/>
            <color indexed="81"/>
            <rFont val="Tahoma"/>
            <family val="2"/>
          </rPr>
          <t>ABIGAIL GARFIELD_x000D_
http://yeinfo.com/family/I09001499.html_x000D_
https://www.google.com/search?q=ABIGAIL+GARFIELD+1646+1725+PARKHURST_x000D_
.born: 16460629-         ?Waterton (Middlesex) Massachusetts_x000D_
.died: 1725    -         ?Massachusetts, age:78y 6m 3d, _x000D_
.bapt: 1785GE_x000D_
.will: 2004MO_x000D_
.obit: 1890OH_x000D_
.bury: 1850IL _x000D_
.wpbt: 1826PA_x000D_
.anc#:ancestor_x000D_
citiz:US born_x000D_
#spos:1_x000D_
#srcs:4_x000D_
#comment:0_x000D_
#events:1_x000D_
#kids:3_x000D_
lived:?MAMIDDLWATERTO_x000D_
issue:_x000D_
.recs:Birth,Marriage,Death_x000D_
.imm?:no_x000D_
..Spo:JOHN PARKHURST</t>
        </r>
      </text>
    </comment>
    <comment ref="N7362" authorId="0" shapeId="0" xr:uid="{92921BFE-C686-4ABD-9D91-69A77DB6A391}">
      <text>
        <r>
          <rPr>
            <sz val="9"/>
            <color indexed="81"/>
            <rFont val="Tahoma"/>
            <family val="2"/>
          </rPr>
          <t>EDWARD JOHNSON_x000D_
http://yeinfo.com/family/I09011498.html_x000D_
https://www.google.com/search?q=EDWARD+JOHNSON+1580+1672+KATHERINE_x000D_
.born: 1580    -          Wareham (Dorset) England_x000D_
.died: 16720614-          Waterton (Middlesex) Massachusetts, age:92y 5m 13d, _x000D_
.bapt: 1785GE_x000D_
.will: 2004MO_x000D_
.obit: 1890OH_x000D_
.bury: 1850IL _x000D_
.wpbt: 1826PA_x000D_
.anc#:  quadruple ancestor_x000D_
citiz:immigrant_x000D_
#spos:1_x000D_
#srcs:1_x000D_
#comment:0_x000D_
#events:1_x000D_
#kids:1_x000D_
lived:ENDORSEWAREHAM,MAMIDDLWATERTO_x000D_
issue:_x000D_
.recs:Birth,Marriage,Death_x000D_
.imm?:immigrant_x000D_
..Spo:KATHERINE FISHER</t>
        </r>
      </text>
    </comment>
    <comment ref="M7364" authorId="0" shapeId="0" xr:uid="{2E1A664A-901C-44A4-A562-6BD7C03F1351}">
      <text>
        <r>
          <rPr>
            <sz val="9"/>
            <color indexed="81"/>
            <rFont val="Tahoma"/>
            <family val="2"/>
          </rPr>
          <t>REBECCA JOHNSON_x000D_
http://yeinfo.com/family/I09005749.html_x000D_
https://www.google.com/search?q=REBECCA+JOHNSON+1609+1661+GARFIELD_x000D_
.born: 16090824-          Kendal (Westmorland) England_x000D_
.died: 16610416-          Waterton (Middlesex) Massachusetts, age:51y 7m 23d, _x000D_
.bapt: 1785GE_x000D_
.will: 2004MO_x000D_
.obit: 1890OH_x000D_
.bury: 1850IL _x000D_
.wpbt: 1826PA_x000D_
.anc#:  quadruple ancestor_x000D_
citiz:immigrant_x000D_
#spos:1_x000D_
#srcs:12_x000D_
#comment:0_x000D_
#events:1_x000D_
#kids:6_x000D_
lived:?MAMIDDLWATERTO,ENWMOREKENDAL_x000D_
issue:Died after Age 100_x000D_
.recs:Birth,Marriage,Death_x000D_
.imm?:immigrant_x000D_
..Spo:EDWARD GARFIELD</t>
        </r>
      </text>
    </comment>
    <comment ref="N7366" authorId="0" shapeId="0" xr:uid="{1B622C96-5861-4A5B-83A8-9D4065610D02}">
      <text>
        <r>
          <rPr>
            <sz val="9"/>
            <color indexed="81"/>
            <rFont val="Tahoma"/>
            <family val="2"/>
          </rPr>
          <t>KATHERINE FISHER_x000D_
http://yeinfo.com/family/I09011499.html_x000D_
https://www.google.com/search?q=KATHERINE+FISHER+1580+1609+JOHNSON_x000D_
.born:?1580    -         ?Dorset county England_x000D_
.died: 1609    -1670     ?Massachusetts, age:29y 0m 0d, _x000D_
.bapt: 1785GE_x000D_
.will: 2004MO_x000D_
.obit: 1890OH_x000D_
.bury: 1850IL _x000D_
.wpbt: 1826PA_x000D_
.anc#:  quadruple ancestor_x000D_
citiz:immigrant_x000D_
#spos:1_x000D_
#srcs:1_x000D_
#comment:0_x000D_
#events:1_x000D_
#kids:1_x000D_
lived:?ENDORSE,?MA,EN_x000D_
issue:_x000D_
.recs:Birth,Marriage,Death_x000D_
.imm?:immigrant_x000D_
..Spo:EDWARD JOHNSON</t>
        </r>
      </text>
    </comment>
    <comment ref="I7368" authorId="0" shapeId="0" xr:uid="{BE3FC372-759E-4E33-88DE-DCF4FE1C7BC3}">
      <text>
        <r>
          <rPr>
            <sz val="9"/>
            <color indexed="81"/>
            <rFont val="Tahoma"/>
            <family val="2"/>
          </rPr>
          <t>MERCY\MARY GALE_x000D_
http://yeinfo.com/family/I09000187.html_x000D_
https://www.google.com/search?q=MERCY\MARY+GALE+1756+1795+CARTER_x000D_
.born: 17561202-          Sutton (Worcester) Massachusetts_x000D_
.died: 1795    -1846      , age:38y 0m 30d, _x000D_
.bapt: 1785GE_x000D_
.will: 2004MO_x000D_
.obit: 1890OH_x000D_
.bury: 1850IL _x000D_
.wpbt: 1826PA_x000D_
.anc#:ancestor_x000D_
citiz:US born_x000D_
#spos:1_x000D_
#srcs:6_x000D_
#comment:1_x000D_
#events:1_x000D_
#kids:1_x000D_
lived:?MAFRKLNGILL,?VTWINDHNEWFANE,MAWORCESUTTON_x000D_
issue:_x000D_
.recs:Birth,Marriage,Death_x000D_
.imm?:no_x000D_
..Spo:BENJAMIN CARTER</t>
        </r>
      </text>
    </comment>
    <comment ref="P7370" authorId="0" shapeId="0" xr:uid="{7B7EFE21-40C0-44BE-9BA5-3465F0A3FEC3}">
      <text>
        <r>
          <rPr>
            <sz val="9"/>
            <color indexed="81"/>
            <rFont val="Tahoma"/>
            <family val="2"/>
          </rPr>
          <t>THOMAS CHADWICK_x000D_
http://yeinfo.com/family/I09024000.html_x000D_
https://www.google.com/search?q=THOMAS+CHADWICK+1488+1556+CATHERINE_x000D_
.born: 1488    -          Lancaster (Lancashire) England_x000D_
.died: 1556    -          Lancashire county England, age:68y 0m 0d, _x000D_
.bapt: 1785GE_x000D_
.will: 2004MO_x000D_
.obit: 1890OH_x000D_
.bury: 1850IL _x000D_
.wpbt: 1826PA_x000D_
.anc#:ancestor_x000D_
citiz:foreign_x000D_
#spos:1_x000D_
#srcs:2_x000D_
#comment:1_x000D_
#events:1_x000D_
#kids:1_x000D_
lived:ENLANCSBUCKLEY,ENLANCSLANCAST_x000D_
issue:_x000D_
.recs:Birth,Marriage,Death_x000D_
.imm?:no_x000D_
..Spo:CATHERINE BUCKLEY</t>
        </r>
      </text>
    </comment>
    <comment ref="O7372" authorId="0" shapeId="0" xr:uid="{8A2FD410-F0EF-4692-8BEE-6A0723F880DD}">
      <text>
        <r>
          <rPr>
            <sz val="9"/>
            <color indexed="81"/>
            <rFont val="Tahoma"/>
            <family val="2"/>
          </rPr>
          <t>JOHN CHADWICK_x000D_
http://yeinfo.com/family/I09012000.html_x000D_
https://www.google.com/search?q=JOHN+CHADWICK+1526+1615+AGNES_x000D_
.born: 1526    -          Rochdale (Lancashire) England_x000D_
.died: 16150130-          Manchester (Lancashire) England, age:89y 0m 29d, _x000D_
.bapt: 1785GE_x000D_
.will: 2004MO_x000D_
.obit: 1890OH_x000D_
.bury: 1850IL _x000D_
.wpbt: 1826PA_x000D_
.anc#:ancestor_x000D_
citiz:foreign_x000D_
#spos:1_x000D_
#srcs:2_x000D_
#comment:0_x000D_
#events:1_x000D_
#kids:1_x000D_
lived:ENLANCSLANCAST,ENLANCSMANCHES,ENLANCSROCHDAL_x000D_
issue:_x000D_
.recs:Birth,Marriage,Death_x000D_
.imm?:no_x000D_
..Spo:AGNES HEYWOOD</t>
        </r>
      </text>
    </comment>
    <comment ref="P7374" authorId="0" shapeId="0" xr:uid="{73A389C9-C744-4864-90C7-71BB3EBBF67D}">
      <text>
        <r>
          <rPr>
            <sz val="9"/>
            <color indexed="81"/>
            <rFont val="Tahoma"/>
            <family val="2"/>
          </rPr>
          <t>CATHERINE BUCKLEY_x000D_
http://yeinfo.com/family/I09024001.html_x000D_
https://www.google.com/search?q=CATHERINE+BUCKLEY+1494+1543+CHADWICK_x000D_
.born: 1494    -          Rochdale (Lancashire) England_x000D_
.died: 1543    -          Manchester (Lancashire) England, age:49y 0m 0d, _x000D_
.bapt: 1785GE_x000D_
.will: 2004MO_x000D_
.obit: 1890OH_x000D_
.bury: 1850IL _x000D_
.wpbt: 1826PA_x000D_
.anc#:ancestor_x000D_
citiz:foreign_x000D_
#spos:1_x000D_
#srcs:2_x000D_
#comment:1_x000D_
#events:1_x000D_
#kids:1_x000D_
lived:ENLANCSBUCKLEY,ENLANCSMANCHES,ENLANCSROCHDAL_x000D_
issue:_x000D_
.recs:Birth,Marriage,Death_x000D_
.imm?:no_x000D_
..Spo:THOMAS CHADWICK</t>
        </r>
      </text>
    </comment>
    <comment ref="N7376" authorId="0" shapeId="0" xr:uid="{E4513B26-FAD4-4BCE-8AC9-2C9F2BB2EC4F}">
      <text>
        <r>
          <rPr>
            <sz val="9"/>
            <color indexed="81"/>
            <rFont val="Tahoma"/>
            <family val="2"/>
          </rPr>
          <t>ALEXANDER CHADWICK_x000D_
http://yeinfo.com/family/I09006000.html_x000D_
https://www.google.com/search?q=ALEXANDER+CHADWICK+1564+1624+JOAN\ALEXANDRA_x000D_
.born:c1564    -          Rochdale (Lancashire) England_x000D_
.died: 16240420-          Rochdale (Lancashire) England, age:60y 3m 19d, _x000D_
.bapt: 1785GE_x000D_
.will: 2004MO_x000D_
.obit: 1890OH_x000D_
.bury: 1850IL _x000D_
.wpbt: 1826PA_x000D_
.anc#:ancestor_x000D_
citiz:foreign_x000D_
#spos:1_x000D_
#srcs:3_x000D_
#comment:0_x000D_
#events:1_x000D_
#kids:13_x000D_
lived:ENLANCSROCHDAL_x000D_
issue:_x000D_
.recs:Birth,Marriage,Death_x000D_
.imm?:no_x000D_
..Spo:JOAN\ALEXANDRA BENNET</t>
        </r>
      </text>
    </comment>
    <comment ref="P7378" authorId="0" shapeId="0" xr:uid="{93D8A164-86EE-493E-A633-3F4C60C0A69B}">
      <text>
        <r>
          <rPr>
            <sz val="9"/>
            <color indexed="81"/>
            <rFont val="Tahoma"/>
            <family val="2"/>
          </rPr>
          <t>JAMES HEYWOOD_x000D_
http://yeinfo.com/family/I09024002.html_x000D_
https://www.google.com/search?q=JAMES+HEYWOOD+1502+1561+MARY+ANN_x000D_
.born: 1502    -          Lancaster (Lancashire) England_x000D_
.died: 1561    -          Lancaster (Lancashire) England, age:59y 0m 0d, _x000D_
.bapt: 1785GE_x000D_
.will: 2004MO_x000D_
.obit: 1890OH_x000D_
.bury: 1850IL _x000D_
.wpbt: 1826PA_x000D_
.anc#:ancestor_x000D_
citiz:foreign_x000D_
#spos:1_x000D_
#srcs:2_x000D_
#comment:1_x000D_
#events:1_x000D_
#kids:1_x000D_
lived:ENLANCSLANCAST_x000D_
issue:_x000D_
.recs:Birth,Marriage,Death_x000D_
.imm?:no_x000D_
..Spo:MARY ANN RIDDEOUGH</t>
        </r>
      </text>
    </comment>
    <comment ref="O7380" authorId="0" shapeId="0" xr:uid="{4844A2E9-5A18-46ED-8C3C-0A4803134E25}">
      <text>
        <r>
          <rPr>
            <sz val="9"/>
            <color indexed="81"/>
            <rFont val="Tahoma"/>
            <family val="2"/>
          </rPr>
          <t>AGNES HEYWOOD_x000D_
http://yeinfo.com/family/I09012001.html_x000D_
https://www.google.com/search?q=AGNES+HEYWOOD+1530+1604+CHADWICK_x000D_
.born: 1530    -          Lancaster (Lancashire) England_x000D_
.died: 160404  -          Manchester (Lancashire) England, age:74y 3m 0d, _x000D_
.bapt: 1785GE_x000D_
.will: 2004MO_x000D_
.obit: 1890OH_x000D_
.bury: 1850IL _x000D_
.wpbt: 1826PA_x000D_
.anc#:ancestor_x000D_
citiz:foreign_x000D_
#spos:1_x000D_
#srcs:2_x000D_
#comment:0_x000D_
#events:1_x000D_
#kids:1_x000D_
lived:ENLANCSLANCAST,ENLANCSMANCHES_x000D_
issue:_x000D_
.recs:Birth,Marriage,Death_x000D_
.imm?:no_x000D_
..Spo:JOHN CHADWICK</t>
        </r>
      </text>
    </comment>
    <comment ref="P7382" authorId="0" shapeId="0" xr:uid="{65727293-0F80-4787-8296-162AF2A9BD51}">
      <text>
        <r>
          <rPr>
            <sz val="9"/>
            <color indexed="81"/>
            <rFont val="Tahoma"/>
            <family val="2"/>
          </rPr>
          <t>MARY ANN RIDDEOUGH_x000D_
http://yeinfo.com/family/I09024003.html_x000D_
https://www.google.com/search?q=MARY+ANN+RIDDEOUGH+1503+1530+HEYWOOD_x000D_
.born: 1503    -          Lancaster (Lancashire) England_x000D_
.died: 1530    -1593     ?Lancashire county England, age:27y 0m 0d, _x000D_
.bapt: 1785GE_x000D_
.will: 2004MO_x000D_
.obit: 1890OH_x000D_
.bury: 1850IL _x000D_
.wpbt: 1826PA_x000D_
.anc#:ancestor_x000D_
citiz:foreign_x000D_
#spos:1_x000D_
#srcs:2_x000D_
#comment:0_x000D_
#events:1_x000D_
#kids:1_x000D_
lived:ENLANCSLANCAST_x000D_
issue:_x000D_
.recs:Birth,Marriage,Death_x000D_
.imm?:no_x000D_
..Spo:JAMES HEYWOOD</t>
        </r>
      </text>
    </comment>
    <comment ref="M7384" authorId="0" shapeId="0" xr:uid="{BAFABAEF-CDE9-41E3-A2F2-C7AD378A890E}">
      <text>
        <r>
          <rPr>
            <sz val="9"/>
            <color indexed="81"/>
            <rFont val="Tahoma"/>
            <family val="2"/>
          </rPr>
          <t>JOHN CHADWICK Sr._x000D_
http://yeinfo.com/family/I09003000.html_x000D_
https://www.google.com/search?q=JOHN+CHADWICK+1601+1680+JOAN\MARY+BARLOW_x000D_
.born: 16010903-         ?England_x000D_
.died: 16801201-          Malden (Middlesex) Massachusetts, age:79y 2m 28d, _x000D_
.bapt: 1785GE_x000D_
.will: 2004MO_x000D_
.obit: 1890OH_x000D_
.bury: 1850IL Bell Rock Cemetery_x000D_
.wpbt: 1826PA_x000D_
.anc#:ancestor_x000D_
citiz:immigrant_x000D_
#spos:1_x000D_
#srcs:4_x000D_
#comment:0_x000D_
#events:2_x000D_
#kids:10_x000D_
lived:?EN,MAMIDDLMALDEN_x000D_
issue:_x000D_
.recs:Birth,Marriage,Death,Interment/Burial_x000D_
.imm?:immigrant_x000D_
..Spo:JOAN\MARY BARLOW SHEPHERD</t>
        </r>
      </text>
    </comment>
    <comment ref="P7386" authorId="0" shapeId="0" xr:uid="{55706C97-5893-4C07-A06F-3B8C55368AF8}">
      <text>
        <r>
          <rPr>
            <sz val="9"/>
            <color indexed="81"/>
            <rFont val="Tahoma"/>
            <family val="2"/>
          </rPr>
          <t>JAMES BENNETT_x000D_
http://yeinfo.com/family/I09024004.html_x000D_
https://www.google.com/search?q=JAMES+BENNETT+1513+1539+{_?_}_x000D_
.born: 1513    -          Rochdale (Lancashire) England_x000D_
.died: 1539    -1603     ?Lancashire county England, age:26y 0m 0d, _x000D_
.bapt: 1785GE_x000D_
.will: 2004MO_x000D_
.obit: 1890OH_x000D_
.bury: 1850IL _x000D_
.wpbt: 1826PA_x000D_
.anc#:ancestor_x000D_
citiz:foreign_x000D_
#spos:1_x000D_
#srcs:2_x000D_
#comment:0_x000D_
#events:1_x000D_
#kids:1_x000D_
lived:ENLANCSROCHDAL_x000D_
issue:_x000D_
.recs:Birth,Marriage,Death_x000D_
.imm?:no_x000D_
..Spo:{_?_} BENNETT</t>
        </r>
      </text>
    </comment>
    <comment ref="O7388" authorId="0" shapeId="0" xr:uid="{5F4F8F81-EEA6-4957-86F9-44B35FD044EE}">
      <text>
        <r>
          <rPr>
            <sz val="9"/>
            <color indexed="81"/>
            <rFont val="Tahoma"/>
            <family val="2"/>
          </rPr>
          <t>JAMES BENNETT_x000D_
http://yeinfo.com/family/I09012002.html_x000D_
https://www.google.com/search?q=JAMES+BENNETT+1539+1587+{_?_}_x000D_
.born: 1539    -          Rochdale (Lancashire) England_x000D_
.died: 158706  -          Canterbury (Kent) England, age:48y 5m 0d, _x000D_
.bapt: 1785GE_x000D_
.will: 2004MO_x000D_
.obit: 1890OH_x000D_
.bury: 1850IL _x000D_
.wpbt: 1826PA_x000D_
.anc#:ancestor_x000D_
citiz:foreign_x000D_
#spos:1_x000D_
#srcs:2_x000D_
#comment:0_x000D_
#events:1_x000D_
#kids:1_x000D_
lived:ENKENT CANTERB,ENLANCSROCHDAL_x000D_
issue:_x000D_
.recs:Birth,Marriage,Death_x000D_
.imm?:no_x000D_
..Spo:{_?_} BENNETT</t>
        </r>
      </text>
    </comment>
    <comment ref="P7390" authorId="0" shapeId="0" xr:uid="{59D77128-9D94-4146-94C4-BD29E4F1394C}">
      <text>
        <r>
          <rPr>
            <sz val="9"/>
            <color indexed="81"/>
            <rFont val="Tahoma"/>
            <family val="2"/>
          </rPr>
          <t>Mrs. {_?_} BENNETT_x000D_
http://yeinfo.com/family/I09024005.html_x000D_
https://www.google.com/search?q={_?_}+BENNETT+1517+1539+BENNETT_x000D_
.born: 1517    -          Rochdale (Lancashire) England_x000D_
.died: 1539    -1607      Rochdale (Lancashire) England, age:22y 0m 0d, _x000D_
.bapt: 1785GE_x000D_
.will: 2004MO_x000D_
.obit: 1890OH_x000D_
.bury: 1850IL _x000D_
.wpbt: 1826PA_x000D_
.anc#:ancestor_x000D_
citiz:foreign_x000D_
#spos:1_x000D_
#srcs:2_x000D_
#comment:0_x000D_
#events:1_x000D_
#kids:1_x000D_
lived:ENLANCSROCHDAL_x000D_
issue:_x000D_
.recs:Birth,Marriage,Death_x000D_
.imm?:no_x000D_
..Spo:JAMES BENNETT</t>
        </r>
      </text>
    </comment>
    <comment ref="N7392" authorId="0" shapeId="0" xr:uid="{D2320A3E-984E-4A5A-9EBB-8EF9C0C431D5}">
      <text>
        <r>
          <rPr>
            <sz val="9"/>
            <color indexed="81"/>
            <rFont val="Tahoma"/>
            <family val="2"/>
          </rPr>
          <t>JOAN\ALEXANDRA BENNET_x000D_
http://yeinfo.com/family/I09006001.html_x000D_
https://www.google.com/search?q=JOAN\ALEXANDRA+BENNET+1570+1623+CHADWICK_x000D_
.born:c1570    -          Rochdale (Lancashire) England_x000D_
.died: 16230521-          Rochdale (Lancashire) England, age:53y 4m 20d, _x000D_
.bapt: 1785GE_x000D_
.will: 2004MO_x000D_
.obit: 1890OH_x000D_
.bury: 1850IL _x000D_
.wpbt: 1826PA_x000D_
.anc#:ancestor_x000D_
citiz:foreign_x000D_
#spos:1_x000D_
#srcs:3_x000D_
#comment:0_x000D_
#events:1_x000D_
#kids:13_x000D_
lived:ENLANCSROCHDAL_x000D_
issue:Born before Parents Married,Died after Age 100_x000D_
.recs:Birth,Marriage,Death_x000D_
.imm?:no_x000D_
..Spo:ALEXANDER CHADWICK</t>
        </r>
      </text>
    </comment>
    <comment ref="O7394" authorId="0" shapeId="0" xr:uid="{3ADC12E3-3752-4257-871C-B34AD25C847B}">
      <text>
        <r>
          <rPr>
            <sz val="9"/>
            <color indexed="81"/>
            <rFont val="Tahoma"/>
            <family val="2"/>
          </rPr>
          <t>Mrs. {_?_} BENNETT_x000D_
http://yeinfo.com/family/I09012003.html_x000D_
https://www.google.com/search?q={_?_}+BENNETT+1543+1570+BENNETT_x000D_
.born: 1543    -          Rochdale (Lancashire) England_x000D_
.died: 1570    -1633      , age:27y 0m 0d, _x000D_
.bapt: 1785GE_x000D_
.will: 2004MO_x000D_
.obit: 1890OH_x000D_
.bury: 1850IL _x000D_
.wpbt: 1826PA_x000D_
.anc#:ancestor_x000D_
citiz:foreign_x000D_
#spos:1_x000D_
#srcs:2_x000D_
#comment:0_x000D_
#events:1_x000D_
#kids:1_x000D_
lived:ENLANCSROCHDAL_x000D_
issue:_x000D_
.recs:Birth,Marriage,Death_x000D_
.imm?:no_x000D_
..Spo:JAMES BENNETT</t>
        </r>
      </text>
    </comment>
    <comment ref="L7396" authorId="0" shapeId="0" xr:uid="{DB7312F7-7A28-48FC-9BEB-4B7DF2ECF0B6}">
      <text>
        <r>
          <rPr>
            <sz val="9"/>
            <color indexed="81"/>
            <rFont val="Tahoma"/>
            <family val="2"/>
          </rPr>
          <t>JOHN CHADWICK Jr._x000D_
http://yeinfo.com/family/I09001500.html_x000D_
https://www.google.com/search?q=JOHN+CHADWICK+1644+1711+SARAH_x000D_
.born: 16441222-          Waterton (Middlesex) Massachusetts_x000D_
.died: 17110205-          Waterton (Middlesex) Massachusetts, age:66y 1m 14d, _x000D_
.bapt: 1785GE_x000D_
.will: 2004MO_x000D_
.obit: 1890OH_x000D_
.bury: 1850IL Old Burying Place_x000D_
.wpbt: 1826PA_x000D_
.anc#:ancestor_x000D_
citiz:US born_x000D_
#spos:1_x000D_
#srcs:10_x000D_
#comment:0_x000D_
#events:2_x000D_
#kids:9_x000D_
lived:?MAPLYMO,MAESSEXW.BOXFO,MAMIDDLCAMBRID,MAMIDDLMALDEN,MAMIDDLWATERTO_x000D_
issue:_x000D_
.recs:Birth,Marriage,Death,Interment/Burial_x000D_
.imm?:no_x000D_
..Spo:SARAH MANNING</t>
        </r>
      </text>
    </comment>
    <comment ref="N7398" authorId="0" shapeId="0" xr:uid="{56779EF5-4E99-4796-88F1-1285F7A0F717}">
      <text>
        <r>
          <rPr>
            <sz val="9"/>
            <color indexed="81"/>
            <rFont val="Tahoma"/>
            <family val="2"/>
          </rPr>
          <t>JACOB SHEPHERD_x000D_
http://yeinfo.com/family/I09006002.html_x000D_
https://www.google.com/search?q=JACOB+SHEPHERD+1583+1637+JONIE_x000D_
.born: 1583    -         ?Essex county England_x000D_
.died: 1637    -          , age:54y 0m 0d, _x000D_
.bapt: 1785GE_x000D_
.will: 2004MO_x000D_
.obit: 1890OH_x000D_
.bury: 1850IL _x000D_
.wpbt: 1826PA_x000D_
.anc#:ancestor_x000D_
citiz:US born_x000D_
#spos:1_x000D_
#srcs:2_x000D_
#comment:0_x000D_
#events:1_x000D_
#kids:7_x000D_
lived:?ENESSEX_x000D_
issue:_x000D_
.recs:Birth,Marriage,Death_x000D_
.imm?:no_x000D_
..Spo:JONIE SHEPHERD</t>
        </r>
      </text>
    </comment>
    <comment ref="M7400" authorId="0" shapeId="0" xr:uid="{D2FD42A3-02F9-4196-B691-9825C0917F8C}">
      <text>
        <r>
          <rPr>
            <sz val="9"/>
            <color indexed="81"/>
            <rFont val="Tahoma"/>
            <family val="2"/>
          </rPr>
          <t>JOAN\MARY BARLOW SHEPHERD_x000D_
http://yeinfo.com/family/I09003001.html_x000D_
https://www.google.com/search?q=JOAN\MARY+BARLOW+SHEPHERD+1624+1674+CHADWICK_x000D_
.born: 1624    -          _x000D_
.died: 16740711-          , age:50y 6m 10d, _x000D_
.bapt: 1785GE_x000D_
.will: 2004MO_x000D_
.obit: 1890OH_x000D_
.bury: 1850IL Bell Rock Cemetery_x000D_
.wpbt: 1826PA_x000D_
.anc#:ancestor_x000D_
citiz:US born_x000D_
#spos:1_x000D_
#srcs:4_x000D_
#comment:0_x000D_
#events:2_x000D_
#kids:10_x000D_
lived:MAMIDDLMALDEN_x000D_
issue:_x000D_
.recs:Birth,Marriage,Death,Interment/Burial_x000D_
.imm?:no_x000D_
..Spo:JOHN CHADWICK</t>
        </r>
      </text>
    </comment>
    <comment ref="N7402" authorId="0" shapeId="0" xr:uid="{87093B76-CE17-433A-B967-4C404CE3DEE3}">
      <text>
        <r>
          <rPr>
            <sz val="9"/>
            <color indexed="81"/>
            <rFont val="Tahoma"/>
            <family val="2"/>
          </rPr>
          <t>Mrs. JONIE SHEPHERD_x000D_
http://yeinfo.com/family/I09006003.html_x000D_
https://www.google.com/search?q=JONIE+SHEPHERD+1585+1624+SHEPHERD_x000D_
.born: 1585    -         ?Essex county England_x000D_
.died: 1624    -1675      , age:39y 0m 0d, _x000D_
.bapt: 1785GE_x000D_
.will: 2004MO_x000D_
.obit: 1890OH_x000D_
.bury: 1850IL _x000D_
.wpbt: 1826PA_x000D_
.anc#:ancestor_x000D_
citiz:US born_x000D_
#spos:1_x000D_
#srcs:2_x000D_
#comment:0_x000D_
#events:1_x000D_
#kids:7_x000D_
lived:?ENESSEX_x000D_
issue:_x000D_
.recs:Birth,Marriage,Death_x000D_
.imm?:no_x000D_
..Spo:JACOB SHEPHERD</t>
        </r>
      </text>
    </comment>
    <comment ref="K7404" authorId="0" shapeId="0" xr:uid="{FF0215D3-6491-44BA-B3C0-919F39A5EC6E}">
      <text>
        <r>
          <rPr>
            <sz val="9"/>
            <color indexed="81"/>
            <rFont val="Tahoma"/>
            <family val="2"/>
          </rPr>
          <t>EBENEZER\SIMON\JOHN CHADWICK_x000D_
http://yeinfo.com/family/I09000750.html_x000D_
https://www.google.com/search?q=EBENEZER\SIMON\JOHN+CHADWICK+1683+1725+ABIGAIL_x000D_
.born: 16830503-          Waterton (Litchfield) Connecticut_x000D_
.died: 17250416-          Worcester (Worcester) Massachusetts, age:41y 11m 13d, _x000D_
.bapt: 1785GE_x000D_
.will: 2004MO_x000D_
.obit: 1890OH_x000D_
.bury: 1850IL _x000D_
.wpbt: 1826PA_x000D_
.anc#:ancestor_x000D_
citiz:US born_x000D_
#spos:1_x000D_
#srcs:6_x000D_
#comment:0_x000D_
#events:1_x000D_
#kids:13_x000D_
lived:CTLITCHWATERTO,MAWORCEWORCEST_x000D_
issue:Died before Birth_x000D_
.recs:Birth,Marriage,Death_x000D_
.imm?:no_x000D_
..Spo:ABIGAIL GRANT</t>
        </r>
      </text>
    </comment>
    <comment ref="O7406" authorId="0" shapeId="0" xr:uid="{0C406562-E92E-4B6C-B055-1B2986CF0C48}">
      <text>
        <r>
          <rPr>
            <sz val="9"/>
            <color indexed="81"/>
            <rFont val="Tahoma"/>
            <family val="2"/>
          </rPr>
          <t>WILLIAM\HENRY MANNING_x000D_
http://yeinfo.com/family/I09012008.html_x000D_
https://www.google.com/search?q=WILLIAM\HENRY+MANNING+1565+1592+SILVIA_x000D_
.born: 1565    -          England_x000D_
.died: 1592    -1655      , age:27y 0m 0d, _x000D_
.bapt: 1785GE_x000D_
.will: 2004MO_x000D_
.obit: 1890OH_x000D_
.bury: 1850IL _x000D_
.wpbt: 1826PA_x000D_
.anc#:ancestor_x000D_
citiz:foreign_x000D_
#spos:1_x000D_
#srcs:2_x000D_
#comment:0_x000D_
#events:1_x000D_
#kids:1_x000D_
lived:EN_x000D_
issue:_x000D_
.recs:Birth,Marriage,Death_x000D_
.imm?:no_x000D_
..Spo:SILVIA MANNING</t>
        </r>
      </text>
    </comment>
    <comment ref="N7408" authorId="0" shapeId="0" xr:uid="{D45ED51E-4727-4D09-8ED2-36CAC32ACDA9}">
      <text>
        <r>
          <rPr>
            <sz val="9"/>
            <color indexed="81"/>
            <rFont val="Tahoma"/>
            <family val="2"/>
          </rPr>
          <t>WILLIAM MANNING Sr._x000D_
http://yeinfo.com/family/I09006004.html_x000D_
https://www.google.com/search?q=WILLIAM+MANNING+1592+1665+HANNAH_x000D_
.born: 1592    -          Braintree (Essex) England_x000D_
.died: 1665    -          Boston (Suffolk) Massachusetts, age:73y 0m 0d, _x000D_
.bapt: 1785GE_x000D_
.will: 2004MO_x000D_
.obit: 1890OH_x000D_
.bury: 1850IL _x000D_
.wpbt: 1826PA_x000D_
.anc#:ancestor_x000D_
citiz:immigrant_x000D_
#spos:1_x000D_
#srcs:3_x000D_
#comment:0_x000D_
#events:1_x000D_
#kids:6_x000D_
lived:ENESSEXBRAINTR,MASUFFOBOSTON_x000D_
issue:_x000D_
.recs:Birth,Marriage,Death_x000D_
.imm?:immigrant_x000D_
..Spo:HANNAH DOE</t>
        </r>
      </text>
    </comment>
    <comment ref="O7410" authorId="0" shapeId="0" xr:uid="{FFAE6C91-2B72-4E83-8981-21144A95BA60}">
      <text>
        <r>
          <rPr>
            <sz val="9"/>
            <color indexed="81"/>
            <rFont val="Tahoma"/>
            <family val="2"/>
          </rPr>
          <t>Mrs. SILVIA MANNING_x000D_
http://yeinfo.com/family/I09012009.html_x000D_
https://www.google.com/search?q=SILVIA+MANNING+1570+1592+MANNING_x000D_
.born: 1570    -          England_x000D_
.died: 1592    -1660      , age:22y 0m 0d, _x000D_
.bapt: 1785GE_x000D_
.will: 2004MO_x000D_
.obit: 1890OH_x000D_
.bury: 1850IL _x000D_
.wpbt: 1826PA_x000D_
.anc#:ancestor_x000D_
citiz:foreign_x000D_
#spos:1_x000D_
#srcs:2_x000D_
#comment:0_x000D_
#events:1_x000D_
#kids:1_x000D_
lived:EN_x000D_
issue:_x000D_
.recs:Birth,Marriage,Death_x000D_
.imm?:no_x000D_
..Spo:WILLIAM\HENRY MANNING</t>
        </r>
      </text>
    </comment>
    <comment ref="M7412" authorId="0" shapeId="0" xr:uid="{384B85DC-77CB-4ADB-BEE6-3885E0923E01}">
      <text>
        <r>
          <rPr>
            <sz val="9"/>
            <color indexed="81"/>
            <rFont val="Tahoma"/>
            <family val="2"/>
          </rPr>
          <t>WILLIAM MANNING Jr._x000D_
http://yeinfo.com/family/I09003002.html_x000D_
https://www.google.com/search?q=WILLIAM+MANNING+1614+1690+DOROTHY_x000D_
.born: 1614    -          Braintree (Essex) England_x000D_
.died: 16900314-          Cambridge (Middlesex) Massachusetts, age:76y 2m 13d, _x000D_
.bapt: 1785GE_x000D_
.will: 2004MO_x000D_
.obit: 1890OH_x000D_
.bury: 1850IL _x000D_
.wpbt: 1826PA_x000D_
.anc#:ancestor_x000D_
citiz:immigrant_x000D_
#spos:1_x000D_
#srcs:2_x000D_
#comment:0_x000D_
#events:1_x000D_
#kids:8_x000D_
lived:?MAMIDDLCAMBRID,ENESSEXBRAINTR_x000D_
issue:_x000D_
.recs:Birth,Marriage,Death_x000D_
.imm?:immigrant_x000D_
..Spo:DOROTHY ADAMS</t>
        </r>
      </text>
    </comment>
    <comment ref="N7414" authorId="0" shapeId="0" xr:uid="{BAF4B2DF-DC83-4AE2-8715-FAE65C082CE5}">
      <text>
        <r>
          <rPr>
            <sz val="9"/>
            <color indexed="81"/>
            <rFont val="Tahoma"/>
            <family val="2"/>
          </rPr>
          <t>HANNAH DOE_x000D_
http://yeinfo.com/family/I09006005.html_x000D_
https://www.google.com/search?q=HANNAH+DOE+1592+1650+MANNING_x000D_
.born:c1592    -          England_x000D_
.died: 16501016-          Cambridge (Middlesex) Massachusetts, age:58y 9m 15d, _x000D_
.bapt: 1785GE_x000D_
.will: 2004MO_x000D_
.obit: 1890OH_x000D_
.bury: 1850IL _x000D_
.wpbt: 1826PA_x000D_
.anc#:ancestor_x000D_
citiz:immigrant_x000D_
#spos:1_x000D_
#srcs:2_x000D_
#comment:0_x000D_
#events:1_x000D_
#kids:6_x000D_
lived:ENESSEX,MAMIDDLCAMBRID_x000D_
issue:_x000D_
.recs:Birth,Marriage,Death_x000D_
.imm?:immigrant_x000D_
..Spo:WILLIAM MANNING</t>
        </r>
      </text>
    </comment>
    <comment ref="L7416" authorId="0" shapeId="0" xr:uid="{F0EEDB25-75EC-45D8-9B7E-49249C5690E3}">
      <text>
        <r>
          <rPr>
            <sz val="9"/>
            <color indexed="81"/>
            <rFont val="Tahoma"/>
            <family val="2"/>
          </rPr>
          <t>SARAH MANNING_x000D_
http://yeinfo.com/family/I09001501.html_x000D_
https://www.google.com/search?q=SARAH+MANNING+1645+1691+CHADWICK_x000D_
.born: 16450128-          _x000D_
.died: 1691    -          , age:45y 11m 4d, _x000D_
.bapt: 1785GE_x000D_
.will: 2004MO_x000D_
.obit: 1890OH_x000D_
.bury: 1850IL _x000D_
.wpbt: 1826PA_x000D_
.anc#:ancestor_x000D_
citiz:US born_x000D_
#spos:1_x000D_
#srcs:8_x000D_
#comment:1_x000D_
#events:1_x000D_
#kids:9_x000D_
lived:?MAPLYMO,CTHARTFHARTFOR_x000D_
issue:_x000D_
.recs:Birth,Marriage,Death_x000D_
.imm?:no_x000D_
..Spo:JOHN CHADWICK</t>
        </r>
      </text>
    </comment>
    <comment ref="N7418" authorId="0" shapeId="0" xr:uid="{FB8F4765-4467-447E-8C44-1E59087061DF}">
      <text>
        <r>
          <rPr>
            <sz val="9"/>
            <color indexed="81"/>
            <rFont val="Tahoma"/>
            <family val="2"/>
          </rPr>
          <t>JOHN ADAMS_x000D_
http://yeinfo.com/family/I09006006.html_x000D_
https://www.google.com/search?q=JOHN+ADAMS+1592+1612+ANN_x000D_
.born:?1592    -         ?England_x000D_
.died: 1612    -1677     ?England, age:20y 0m 0d, _x000D_
.bapt: 1785GE_x000D_
.will: 2004MO_x000D_
.obit: 1890OH_x000D_
.bury: 1850IL _x000D_
.wpbt: 1826PA_x000D_
.anc#:ancestor_x000D_
citiz:foreign_x000D_
#spos:1_x000D_
#srcs:2_x000D_
#comment:0_x000D_
#events:1_x000D_
#kids:1_x000D_
lived:?EN_x000D_
issue:_x000D_
.recs:Birth,Marriage,Death_x000D_
.imm?:no_x000D_
..Spo:ANN WRIGHT</t>
        </r>
      </text>
    </comment>
    <comment ref="M7420" authorId="0" shapeId="0" xr:uid="{2C3B1A9E-40BB-4B9A-AAB4-DD9A64D16A96}">
      <text>
        <r>
          <rPr>
            <sz val="9"/>
            <color indexed="81"/>
            <rFont val="Tahoma"/>
            <family val="2"/>
          </rPr>
          <t>DOROTHY ADAMS_x000D_
http://yeinfo.com/family/I09003003.html_x000D_
https://www.google.com/search?q=DOROTHY+ADAMS+1612+1692+MANNING_x000D_
.born: 1612    -          Yorkshire county England_x000D_
.died: 16920726-          Cambridge (Middlesex) Massachusetts, age:80y 6m 25d, _x000D_
.bapt: 1785GE_x000D_
.will: 2004MO_x000D_
.obit: 1890OH_x000D_
.bury: 1850IL Old Burying Ground_x000D_
.wpbt: 1826PA_x000D_
.anc#:ancestor_x000D_
citiz:immigrant_x000D_
#spos:1_x000D_
#srcs:4_x000D_
#comment:0_x000D_
#events:2_x000D_
#kids:8_x000D_
lived:?MAMIDDLCAMBRID,ENYORKS_x000D_
issue:_x000D_
.recs:Birth,Marriage,Death,Interment/Burial_x000D_
.imm?:immigrant_x000D_
..Spo:WILLIAM MANNING</t>
        </r>
      </text>
    </comment>
    <comment ref="N7422" authorId="0" shapeId="0" xr:uid="{504D9388-79E2-46C3-9E42-9A8DB7C8FEF2}">
      <text>
        <r>
          <rPr>
            <sz val="9"/>
            <color indexed="81"/>
            <rFont val="Tahoma"/>
            <family val="2"/>
          </rPr>
          <t>ANN WRIGHT_x000D_
http://yeinfo.com/family/I09006007.html_x000D_
https://www.google.com/search?q=ANN+WRIGHT+1592+1612+ADAMS_x000D_
.born:?1592    -         ?England_x000D_
.died: 1612    -1677     ?England, age:20y 0m 0d, _x000D_
.bapt: 1785GE_x000D_
.will: 2004MO_x000D_
.obit: 1890OH_x000D_
.bury: 1850IL _x000D_
.wpbt: 1826PA_x000D_
.anc#:ancestor_x000D_
citiz:foreign_x000D_
#spos:1_x000D_
#srcs:2_x000D_
#comment:0_x000D_
#events:1_x000D_
#kids:1_x000D_
lived:?EN_x000D_
issue:_x000D_
.recs:Birth,Marriage,Death_x000D_
.imm?:no_x000D_
..Spo:JOHN ADAMS</t>
        </r>
      </text>
    </comment>
    <comment ref="J7424" authorId="0" shapeId="0" xr:uid="{0769E587-85FD-4A95-A3EB-747EF01DC049}">
      <text>
        <r>
          <rPr>
            <sz val="9"/>
            <color indexed="81"/>
            <rFont val="Tahoma"/>
            <family val="2"/>
          </rPr>
          <t>ELIZABETH CHADWICK_x000D_
http://yeinfo.com/family/I09000375.html_x000D_
https://www.google.com/search?q=ELIZABETH+CHADWICK+1723+1802+GALE_x000D_
.born: 17230714-          _x000D_
.died: 18020303-          , age:78y 7m 17d, _x000D_
.bapt: 1785GE_x000D_
.will: 2004MO_x000D_
.obit: 1890OH_x000D_
.bury: 1850IL _x000D_
.wpbt: 1826PA_x000D_
.anc#:ancestor_x000D_
citiz:US born_x000D_
#spos:1_x000D_
#srcs:3_x000D_
#comment:0_x000D_
#events:1_x000D_
#kids:10_x000D_
lived:MAHAMPDSPRINGF,MAMIDDLSUDBURY_x000D_
issue:Born before Parents Married_x000D_
.recs:Birth,Marriage,Death_x000D_
.imm?:no_x000D_
..Spo:JOSIAH GALE</t>
        </r>
      </text>
    </comment>
    <comment ref="S7426" authorId="0" shapeId="0" xr:uid="{1281222C-A3B0-49B0-B326-0AF56745DBBC}">
      <text>
        <r>
          <rPr>
            <sz val="9"/>
            <color indexed="81"/>
            <rFont val="Tahoma"/>
            <family val="2"/>
          </rPr>
          <t>ADAM GRANT_x000D_
http://yeinfo.com/family/I09065746.html_x000D_
https://www.google.com/search?q=ADAM+GRANT+1401+1439+MAUD_x000D_
.born: 1401    -          Abergavenny (Monmouthshire) Wales_x000D_
.died: 1439    -1491      Warwickshire county England, age:38y 0m 0d, _x000D_
.bapt: 1785GE_x000D_
.will: 2004MO_x000D_
.obit: 1890OH_x000D_
.bury: 1850IL _x000D_
.wpbt: 1826PA_x000D_
.anc#:double ancestor_x000D_
citiz:foreign_x000D_
#spos:1_x000D_
#srcs:2_x000D_
#comment:1_x000D_
#events:1_x000D_
#kids:1_x000D_
lived:?ENWARWE,WLMONMSABERGAV_x000D_
issue:_x000D_
.recs:Birth,Marriage,Death_x000D_
.imm?:no_x000D_
..Spo:MAUD CHENOW</t>
        </r>
      </text>
    </comment>
    <comment ref="R7428" authorId="0" shapeId="0" xr:uid="{3C8EE446-8C25-447A-9EA2-A83DA9A0C2FC}">
      <text>
        <r>
          <rPr>
            <sz val="9"/>
            <color indexed="81"/>
            <rFont val="Tahoma"/>
            <family val="2"/>
          </rPr>
          <t>WILLIAM GRANT_x000D_
http://yeinfo.com/family/I09065615.html_x000D_
https://www.google.com/search?q=WILLIAM+GRANT+1439+1479+JANE_x000D_
.born: 1439    -          England_x000D_
.died: 1479    -1515     ?England, age:40y 0m 0d, _x000D_
.bapt: 1785GE_x000D_
.will: 2004MO_x000D_
.obit: 1890OH_x000D_
.bury: 1850IL _x000D_
.wpbt: 1826PA_x000D_
.anc#:double ancestor_x000D_
citiz:foreign_x000D_
#spos:1_x000D_
#srcs:2_x000D_
#comment:0_x000D_
#events:1_x000D_
#kids:1_x000D_
lived:?ENYORKS,EN_x000D_
issue:_x000D_
.recs:Birth,Marriage,Death_x000D_
.imm?:no_x000D_
..Spo:JANE GRANTLAND</t>
        </r>
      </text>
    </comment>
    <comment ref="S7430" authorId="0" shapeId="0" xr:uid="{CC4C74A5-3BBD-4DD6-B769-2D61FB565ABC}">
      <text>
        <r>
          <rPr>
            <sz val="9"/>
            <color indexed="81"/>
            <rFont val="Tahoma"/>
            <family val="2"/>
          </rPr>
          <t>MAUD CHENOW_x000D_
http://yeinfo.com/family/I09065747.html_x000D_
https://www.google.com/search?q=MAUD+CHENOW+1425+1445+GRANT_x000D_
.born: 1425    -         ?England_x000D_
.died: 1445    -1515      Warwickshire county England, age:20y 0m 0d, _x000D_
.bapt: 1785GE_x000D_
.will: 2004MO_x000D_
.obit: 1890OH_x000D_
.bury: 1850IL _x000D_
.wpbt: 1826PA_x000D_
.anc#:double ancestor_x000D_
citiz:foreign_x000D_
#spos:1_x000D_
#srcs:2_x000D_
#comment:0_x000D_
#events:1_x000D_
#kids:1_x000D_
lived:?ENWARWE_x000D_
issue:Died after Age 100_x000D_
.recs:Birth,Marriage,Death_x000D_
.imm?:no_x000D_
..Spo:ADAM GRANT</t>
        </r>
      </text>
    </comment>
    <comment ref="Q7432" authorId="0" shapeId="0" xr:uid="{CD4B7119-3052-40FB-B0DC-35FBF725A9FD}">
      <text>
        <r>
          <rPr>
            <sz val="9"/>
            <color indexed="81"/>
            <rFont val="Tahoma"/>
            <family val="2"/>
          </rPr>
          <t>WILLIAM GRANT_x000D_
http://yeinfo.com/family/I09048064.html_x000D_
https://www.google.com/search?q=WILLIAM+GRANT+1479+1550+JANE_x000D_
.born: 1479    -          _x000D_
.died: 1550    -          , age:71y 0m 0d, _x000D_
.bapt: 1785GE_x000D_
.will: 2004MO_x000D_
.obit: 1890OH_x000D_
.bury: 1850IL _x000D_
.wpbt: 1826PA_x000D_
.anc#:double ancestor_x000D_
citiz:foreign_x000D_
#spos:1_x000D_
#srcs:3_x000D_
#comment:0_x000D_
#events:1_x000D_
#kids:1_x000D_
lived:ENYORKS_x000D_
issue:Born after Mom Age 50_x000D_
.recs:Birth,Marriage,Death_x000D_
.imm?:no_x000D_
..Spo:JANE BURTON</t>
        </r>
      </text>
    </comment>
    <comment ref="R7434" authorId="0" shapeId="0" xr:uid="{956BA1E2-FC5A-41AF-A7BF-1BBEDBAC4790}">
      <text>
        <r>
          <rPr>
            <sz val="9"/>
            <color indexed="81"/>
            <rFont val="Tahoma"/>
            <family val="2"/>
          </rPr>
          <t>JANE GRANTLAND_x000D_
http://yeinfo.com/family/I09065616.html_x000D_
https://www.google.com/search?q=JANE+GRANTLAND+1422+1509+GRANT_x000D_
.born: 1422    -         ?England_x000D_
.died: 1509    -         ?England, age:87y 0m 0d, _x000D_
.bapt: 1785GE_x000D_
.will: 2004MO_x000D_
.obit: 1890OH_x000D_
.bury: 1850IL _x000D_
.wpbt: 1826PA_x000D_
.anc#:double ancestor_x000D_
citiz:foreign_x000D_
#spos:1_x000D_
#srcs:2_x000D_
#comment:0_x000D_
#events:1_x000D_
#kids:1_x000D_
lived:?ENYORKS_x000D_
issue:_x000D_
.recs:Birth,Marriage,Death_x000D_
.imm?:no_x000D_
..Spo:WILLIAM GRANT</t>
        </r>
      </text>
    </comment>
    <comment ref="P7436" authorId="0" shapeId="0" xr:uid="{0E47B25E-FF00-4A28-9ACD-43A2FAF9E9D0}">
      <text>
        <r>
          <rPr>
            <sz val="9"/>
            <color indexed="81"/>
            <rFont val="Tahoma"/>
            <family val="2"/>
          </rPr>
          <t>JOHN GRANT_x000D_
http://yeinfo.com/family/I09024032.html_x000D_
https://www.google.com/search?q=JOHN+GRANT+1505+1593+JANE_x000D_
.born: 1505    -          Roxby (Yorkshire) England_x000D_
.died: 15930722-          Roxby (Yorkshire) England, age:88y 6m 21d, _x000D_
.bapt: 1785GE_x000D_
.will: 2004MO_x000D_
.obit: 1890OH_x000D_
.bury: 1850IL _x000D_
.wpbt: 1826PA_x000D_
.anc#:double ancestor_x000D_
citiz:foreign_x000D_
#spos:1_x000D_
#srcs:3_x000D_
#comment:0_x000D_
#events:1_x000D_
#kids:1_x000D_
lived:ENYORKSROXBY_x000D_
issue:Died after Age 100_x000D_
.recs:Birth,Marriage,Death_x000D_
.imm?:no_x000D_
..Spo:JANE BELFORD</t>
        </r>
      </text>
    </comment>
    <comment ref="S7438" authorId="0" shapeId="0" xr:uid="{87E73F82-583B-47D7-847B-BF39CE135229}">
      <text>
        <r>
          <rPr>
            <sz val="9"/>
            <color indexed="81"/>
            <rFont val="Tahoma"/>
            <family val="2"/>
          </rPr>
          <t>WILLIAM BURTON_x000D_
http://yeinfo.com/family/I09065766.html_x000D_
https://www.google.com/search?q=WILLIAM+BURTON+1432+1500+{_?_}_x000D_
.born: 1432    -          Condover (Shropshire) England_x000D_
.died: 1500    -          , age:68y 0m 0d, _x000D_
.bapt: 1785GE_x000D_
.will: 2004MO_x000D_
.obit: 1890OH_x000D_
.bury: 1850IL _x000D_
.wpbt: 1826PA_x000D_
.anc#:double ancestor_x000D_
citiz:foreign_x000D_
#spos:1_x000D_
#srcs:1_x000D_
#comment:0_x000D_
#events:1_x000D_
#kids:1_x000D_
lived:ENSHROPCONDOVE_x000D_
issue:_x000D_
.recs:Birth,Marriage,Death_x000D_
.imm?:no_x000D_
..Spo:{_?_} BURTON</t>
        </r>
      </text>
    </comment>
    <comment ref="R7440" authorId="0" shapeId="0" xr:uid="{05FFE6A4-5535-4E44-88E5-7E71C77DB40C}">
      <text>
        <r>
          <rPr>
            <sz val="9"/>
            <color indexed="81"/>
            <rFont val="Tahoma"/>
            <family val="2"/>
          </rPr>
          <t>WILLIAM BURTON_x000D_
http://yeinfo.com/family/I09065617.html_x000D_
https://www.google.com/search?q=WILLIAM+BURTON+1456+1483+{_?_}_x000D_
.born:c1456    -          England_x000D_
.died: 1483    -1546      England, age:27y 0m 0d, _x000D_
.bapt: 1785GE_x000D_
.will: 2004MO_x000D_
.obit: 1890OH_x000D_
.bury: 1850IL _x000D_
.wpbt: 1826PA_x000D_
.anc#:double ancestor_x000D_
citiz:foreign_x000D_
#spos:1_x000D_
#srcs:4_x000D_
#comment:0_x000D_
#events:1_x000D_
#kids:1_x000D_
lived:EN_x000D_
issue:_x000D_
.recs:Birth,Marriage,Death_x000D_
.imm?:no_x000D_
..Spo:{_?_} BURTON</t>
        </r>
      </text>
    </comment>
    <comment ref="S7442" authorId="0" shapeId="0" xr:uid="{9AA6188D-2460-4CBD-B11E-8BCD64DF767D}">
      <text>
        <r>
          <rPr>
            <sz val="9"/>
            <color indexed="81"/>
            <rFont val="Tahoma"/>
            <family val="2"/>
          </rPr>
          <t>Mrs. {_?_} BURTON_x000D_
http://yeinfo.com/family/I09065681.html_x000D_
https://www.google.com/search?q={_?_}+BURTON+1435+1456+BURTON_x000D_
.born:?1435    -          Condover (Shropshire) England_x000D_
.died: 1456    -1525      , age:21y 0m 0d, _x000D_
.bapt: 1785GE_x000D_
.will: 2004MO_x000D_
.obit: 1890OH_x000D_
.bury: 1850IL _x000D_
.wpbt: 1826PA_x000D_
.anc#:double ancestor_x000D_
citiz:foreign_x000D_
#spos:1_x000D_
#srcs:0_x000D_
#comment:0_x000D_
#events:1_x000D_
#kids:1_x000D_
lived:ENSHROPCONDOVE_x000D_
issue:_x000D_
.recs:Birth,Marriage,Death_x000D_
.imm?:no_x000D_
..Spo:WILLIAM BURTON</t>
        </r>
      </text>
    </comment>
    <comment ref="Q7444" authorId="0" shapeId="0" xr:uid="{43D5B003-BCD7-49CF-999B-3181E4B74440}">
      <text>
        <r>
          <rPr>
            <sz val="9"/>
            <color indexed="81"/>
            <rFont val="Tahoma"/>
            <family val="2"/>
          </rPr>
          <t>JANE BURTON_x000D_
http://yeinfo.com/family/I09048065.html_x000D_
https://www.google.com/search?q=JANE+BURTON+1483+1507+GRANT_x000D_
.born: 1483    -          _x000D_
.died: 1507    -          , age:24y 0m 0d, _x000D_
.bapt: 1785GE_x000D_
.will: 2004MO_x000D_
.obit: 1890OH_x000D_
.bury: 1850IL _x000D_
.wpbt: 1826PA_x000D_
.anc#:double ancestor_x000D_
citiz:foreign_x000D_
#spos:1_x000D_
#srcs:4_x000D_
#comment:0_x000D_
#events:1_x000D_
#kids:1_x000D_
lived:ENYORKS_x000D_
issue:_x000D_
.recs:Birth,Marriage,Death_x000D_
.imm?:no_x000D_
..Spo:WILLIAM GRANT</t>
        </r>
      </text>
    </comment>
    <comment ref="R7446" authorId="0" shapeId="0" xr:uid="{1FFB3CB8-C469-4F42-A2E9-6D5A4E4BBAE5}">
      <text>
        <r>
          <rPr>
            <sz val="9"/>
            <color indexed="81"/>
            <rFont val="Tahoma"/>
            <family val="2"/>
          </rPr>
          <t>Mrs. {_?_} BURTON_x000D_
http://yeinfo.com/family/I09065618.html_x000D_
https://www.google.com/search?q={_?_}+BURTON+1479+1510+BURTON_x000D_
.born: 1479    -          _x000D_
.died: 1510    -          , age:31y 0m 0d, _x000D_
.bapt: 1785GE_x000D_
.will: 2004MO_x000D_
.obit: 1890OH_x000D_
.bury: 1850IL _x000D_
.wpbt: 1826PA_x000D_
.anc#:double ancestor_x000D_
citiz:foreign_x000D_
#spos:1_x000D_
#srcs:3_x000D_
#comment:0_x000D_
#events:1_x000D_
#kids:1_x000D_
lived:?EN_x000D_
issue:_x000D_
.recs:Birth,Marriage,Death_x000D_
.imm?:no_x000D_
..Spo:WILLIAM BURTON</t>
        </r>
      </text>
    </comment>
    <comment ref="O7448" authorId="0" shapeId="0" xr:uid="{C2928E94-ACF7-4F24-AC78-A0C136D7FD5E}">
      <text>
        <r>
          <rPr>
            <sz val="9"/>
            <color indexed="81"/>
            <rFont val="Tahoma"/>
            <family val="2"/>
          </rPr>
          <t>GEORGE GRANT_x000D_
http://yeinfo.com/family/I09012016.html_x000D_
https://www.google.com/search?q=GEORGE+GRANT+1542+1596+JULIAN_x000D_
.born: 15421107-          Roxby (Yorkshire) England_x000D_
.died: 15960321-          Roxby (Yorkshire) England, age:53y 4m 14d, _x000D_
.bapt: 1785GE_x000D_
.will: 2004MO_x000D_
.obit: 1890OH_x000D_
.bury: 1850IL _x000D_
.wpbt: 1826PA_x000D_
.anc#:double ancestor_x000D_
citiz:foreign_x000D_
#spos:1_x000D_
#srcs:1_x000D_
#comment:0_x000D_
#events:1_x000D_
#kids:4_x000D_
lived:ENYORKSROXBY_x000D_
issue:_x000D_
.recs:Birth,Marriage,Death_x000D_
.imm?:no_x000D_
..Spo:JULIAN CLARGENNET</t>
        </r>
      </text>
    </comment>
    <comment ref="R7450" authorId="0" shapeId="0" xr:uid="{A3DAEAC1-9231-44E4-9079-EC4CD748E574}">
      <text>
        <r>
          <rPr>
            <sz val="9"/>
            <color indexed="81"/>
            <rFont val="Tahoma"/>
            <family val="2"/>
          </rPr>
          <t>NICHOLAS BELFORD_x000D_
http://yeinfo.com/family/I09065619.html_x000D_
https://www.google.com/search?q=NICHOLAS+BELFORD+1420+1450+MARJORY_x000D_
.born: 1420    -         ?England_x000D_
.died: 1450    -1510     ?England, age:30y 0m 0d, _x000D_
.bapt: 1785GE_x000D_
.will: 2004MO_x000D_
.obit: 1890OH_x000D_
.bury: 1850IL _x000D_
.wpbt: 1826PA_x000D_
.anc#:double ancestor_x000D_
citiz:foreign_x000D_
#spos:1_x000D_
#srcs:2_x000D_
#comment:0_x000D_
#events:1_x000D_
#kids:1_x000D_
lived:?EN_x000D_
issue:Married before Age 16,Died before Birth_x000D_
.recs:Birth,Marriage,Death_x000D_
.imm?:no_x000D_
..Spo:MARJORY CHOKE</t>
        </r>
      </text>
    </comment>
    <comment ref="Q7452" authorId="0" shapeId="0" xr:uid="{94AE607E-F2E6-4648-86B1-B79F3701172A}">
      <text>
        <r>
          <rPr>
            <sz val="9"/>
            <color indexed="81"/>
            <rFont val="Tahoma"/>
            <family val="2"/>
          </rPr>
          <t>EDWARD BELFORD_x000D_
http://yeinfo.com/family/I09048066.html_x000D_
https://www.google.com/search?q=EDWARD+BELFORD+1450+1509+SARAH+CECILY_x000D_
.born:?1450    -          Exelby (Yorkshire) England_x000D_
.died: 1509    -1540     ?England, age:59y 0m 0d, _x000D_
.bapt: 1785GE_x000D_
.will: 2004MO_x000D_
.obit: 1890OH_x000D_
.bury: 1850IL _x000D_
.wpbt: 1826PA_x000D_
.anc#:double ancestor_x000D_
citiz:foreign_x000D_
#spos:1_x000D_
#srcs:2_x000D_
#comment:0_x000D_
#events:1_x000D_
#kids:1_x000D_
lived:ENYORKSEXELBY_x000D_
issue:Born before Parents Married_x000D_
.recs:Birth,Marriage,Death_x000D_
.imm?:no_x000D_
..Spo:SARAH CECILY BRANTINGHAM</t>
        </r>
      </text>
    </comment>
    <comment ref="R7454" authorId="0" shapeId="0" xr:uid="{E527EF23-24F3-447E-836B-2306F1B4A347}">
      <text>
        <r>
          <rPr>
            <sz val="9"/>
            <color indexed="81"/>
            <rFont val="Tahoma"/>
            <family val="2"/>
          </rPr>
          <t>MARJORY CHOKE_x000D_
http://yeinfo.com/family/I09065620.html_x000D_
https://www.google.com/search?q=MARJORY+CHOKE+1420+1450+BELFORD_x000D_
.born:?1420    -         ?England_x000D_
.died: 1450    -1510     ?England, age:30y 0m 0d, _x000D_
.bapt: 1785GE_x000D_
.will: 2004MO_x000D_
.obit: 1890OH_x000D_
.bury: 1850IL _x000D_
.wpbt: 1826PA_x000D_
.anc#:double ancestor_x000D_
citiz:foreign_x000D_
#spos:1_x000D_
#srcs:2_x000D_
#comment:0_x000D_
#events:1_x000D_
#kids:1_x000D_
lived:?EN_x000D_
issue:Married before Age 16,Died before Birth_x000D_
.recs:Birth,Marriage,Death_x000D_
.imm?:no_x000D_
..Spo:NICHOLAS BELFORD</t>
        </r>
      </text>
    </comment>
    <comment ref="P7456" authorId="0" shapeId="0" xr:uid="{C73601A7-60C0-4565-B29A-972868A18577}">
      <text>
        <r>
          <rPr>
            <sz val="9"/>
            <color indexed="81"/>
            <rFont val="Tahoma"/>
            <family val="2"/>
          </rPr>
          <t>JANE BELFORD_x000D_
http://yeinfo.com/family/I09024033.html_x000D_
https://www.google.com/search?q=JANE+BELFORD+1509+1593+GRANT_x000D_
.born: 150902  -          Brantingham (Yorkshire) England_x000D_
.died: 15930722-          Yorkshire county England, age:84y 5m 21d, _x000D_
.bapt: 1785GE_x000D_
.will: 2004MO_x000D_
.obit: 1890OH_x000D_
.bury: 1850IL _x000D_
.wpbt: 1826PA_x000D_
.anc#:double ancestor_x000D_
citiz:foreign_x000D_
#spos:1_x000D_
#srcs:2_x000D_
#comment:0_x000D_
#events:1_x000D_
#kids:1_x000D_
lived:ENYORKSBRANTIN_x000D_
issue:Died after Age 100_x000D_
.recs:Birth,Marriage,Death_x000D_
.imm?:no_x000D_
..Spo:JOHN GRANT</t>
        </r>
      </text>
    </comment>
    <comment ref="Q7458" authorId="0" shapeId="0" xr:uid="{8F6ABB6F-5787-4941-B56F-B51B9A80D79D}">
      <text>
        <r>
          <rPr>
            <sz val="9"/>
            <color indexed="81"/>
            <rFont val="Tahoma"/>
            <family val="2"/>
          </rPr>
          <t>SARAH CECILY BRANTINGHAM_x000D_
http://yeinfo.com/family/I09048067.html_x000D_
https://www.google.com/search?q=SARAH+CECILY+BRANTINGHAM+1470+1509+BELFORD_x000D_
.born:?1470    -         ?England_x000D_
.died: 1509    -1560     ?England, age:39y 0m 0d, _x000D_
.bapt: 1785GE_x000D_
.will: 2004MO_x000D_
.obit: 1890OH_x000D_
.bury: 1850IL _x000D_
.wpbt: 1826PA_x000D_
.anc#:double ancestor_x000D_
citiz:foreign_x000D_
#spos:1_x000D_
#srcs:2_x000D_
#comment:0_x000D_
#events:1_x000D_
#kids:1_x000D_
lived:?ENYORKS_x000D_
issue:_x000D_
.recs:Birth,Marriage,Death_x000D_
.imm?:no_x000D_
..Spo:EDWARD BELFORD</t>
        </r>
      </text>
    </comment>
    <comment ref="N7460" authorId="0" shapeId="0" xr:uid="{50CC2058-C49E-4B3A-BFDA-125656F559FC}">
      <text>
        <r>
          <rPr>
            <sz val="9"/>
            <color indexed="81"/>
            <rFont val="Tahoma"/>
            <family val="2"/>
          </rPr>
          <t>JOHN GRANT_x000D_
http://yeinfo.com/family/I09006008.html_x000D_
https://www.google.com/search?q=JOHN+GRANT+1573+1640+JANE+TURBERVILLE_x000D_
.born: 15730506-          England_x000D_
.died: 16400531-         ?, age:67y 0m 25d, _x000D_
.bapt: 1785GE_x000D_
.will: 2004MO_x000D_
.obit: 1890OH_x000D_
.bury: 1850IL _x000D_
.wpbt: 1826PA_x000D_
.anc#:double ancestor_x000D_
citiz:US born_x000D_
#spos:2_x000D_
#srcs:2_x000D_
#comment:0_x000D_
#events:2_x000D_
#kids:11_x000D_
lived:ENYORKSROXBY_x000D_
issue:AncFlags between Spouses Mismatched_x000D_
.recs:Birth,Marriage,Death_x000D_
.imm?:no_x000D_
..Spo:JANE WATSON</t>
        </r>
      </text>
    </comment>
    <comment ref="P7462" authorId="0" shapeId="0" xr:uid="{746990E7-07F9-4FB1-99CD-24A170F80E7C}">
      <text>
        <r>
          <rPr>
            <sz val="9"/>
            <color indexed="81"/>
            <rFont val="Tahoma"/>
            <family val="2"/>
          </rPr>
          <t>MARMANDUKE\MARMADUKE CLARGENNET_x000D_
http://yeinfo.com/family/I09024034.html_x000D_
https://www.google.com/search?q=MARMANDUKE\MARMADUKE+CLARGENNET+1503+1538+{_?_}_x000D_
.born:c1503    -         ?England_x000D_
.died: 1538    -1593      , age:35y 0m 0d, _x000D_
.bapt: 1785GE_x000D_
.will: 2004MO_x000D_
.obit: 1890OH_x000D_
.bury: 1850IL _x000D_
.wpbt: 1826PA_x000D_
.anc#:double ancestor_x000D_
citiz:foreign_x000D_
#spos:1_x000D_
#srcs:2_x000D_
#comment:0_x000D_
#events:1_x000D_
#kids:1_x000D_
lived:?EN_x000D_
issue:_x000D_
.recs:Birth,Marriage,Death_x000D_
.imm?:no_x000D_
..Spo:{_?_} CLARGENNET</t>
        </r>
      </text>
    </comment>
    <comment ref="O7464" authorId="0" shapeId="0" xr:uid="{F3333192-918E-4E4C-AF76-362C4A712EE2}">
      <text>
        <r>
          <rPr>
            <sz val="9"/>
            <color indexed="81"/>
            <rFont val="Tahoma"/>
            <family val="2"/>
          </rPr>
          <t>JULIAN CLARGENNET_x000D_
http://yeinfo.com/family/I09012017.html_x000D_
https://www.google.com/search?q=JULIAN+CLARGENNET+1538+1577+GRANT_x000D_
.born: 1538    -         ?England_x000D_
.died: 1577    -1628     ?England, age:39y 0m 0d, _x000D_
.bapt: 1785GE_x000D_
.will: 2004MO_x000D_
.obit: 1890OH_x000D_
.bury: 1850IL _x000D_
.wpbt: 1826PA_x000D_
.anc#:double ancestor_x000D_
citiz:foreign_x000D_
#spos:1_x000D_
#srcs:2_x000D_
#comment:0_x000D_
#events:1_x000D_
#kids:4_x000D_
lived:?EN,ENYORKSROXBY_x000D_
issue:_x000D_
.recs:Birth,Marriage,Death_x000D_
.imm?:no_x000D_
..Spo:GEORGE GRANT</t>
        </r>
      </text>
    </comment>
    <comment ref="P7466" authorId="0" shapeId="0" xr:uid="{889F02E7-B7BF-4DE3-BDF0-086339A3B242}">
      <text>
        <r>
          <rPr>
            <sz val="9"/>
            <color indexed="81"/>
            <rFont val="Tahoma"/>
            <family val="2"/>
          </rPr>
          <t>Mrs. {_?_} CLARGENNET_x000D_
http://yeinfo.com/family/I09024035.html_x000D_
https://www.google.com/search?q={_?_}+CLARGENNET+1505+1538+CLARGENNET_x000D_
.born:?1505    -         ?England_x000D_
.died: 1538    -1595     ?England, age:33y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..Spo:MARMANDUKE\MARMADUKE CLARGENNET</t>
        </r>
      </text>
    </comment>
    <comment ref="M7468" authorId="0" shapeId="0" xr:uid="{678EFFF8-374D-4899-9ADE-B6355390DDE2}">
      <text>
        <r>
          <rPr>
            <sz val="9"/>
            <color indexed="81"/>
            <rFont val="Tahoma"/>
            <family val="2"/>
          </rPr>
          <t>CHRISTOPHER\SIMON GRANT Sr._x000D_
http://yeinfo.com/family/I09003004.html_x000D_
https://www.google.com/search?q=CHRISTOPHER\SIMON+GRANT+1618+1685+MARY\ALICE+SARAH_x000D_
.born:c1618    -         ?England_x000D_
.died: 16850906-          Springfield (Hampden) Massachusetts, age:67y 8m 5d, _x000D_
.bapt: 1785GE_x000D_
.will: 2004MO_x000D_
.obit: 1890OH_x000D_
.bury: 1850IL _x000D_
.wpbt: 1826PA_x000D_
.anc#:ancestor_x000D_
citiz:immigrant_x000D_
#spos:1_x000D_
#srcs:6_x000D_
#comment:0_x000D_
#events:2_x000D_
#kids:13_x000D_
lived:?EN,?MAMIDDL,MAESSEXMARBLEH,MAHAMPDSPRINGF_x000D_
issue:Died after Age 100_x000D_
.recs:Birth,Marriage,Death_x000D_
.imm?:immigrant_x000D_
..Spo:MARY\ALICE SARAH BARTLETT</t>
        </r>
      </text>
    </comment>
    <comment ref="P7470" authorId="0" shapeId="0" xr:uid="{1FD55FDC-602B-4A21-98EB-E6AC0D961B2F}">
      <text>
        <r>
          <rPr>
            <sz val="9"/>
            <color indexed="81"/>
            <rFont val="Tahoma"/>
            <family val="2"/>
          </rPr>
          <t>THOMAS TURBERVILLE_x000D_
http://yeinfo.com/family/I09024036.html_x000D_
https://www.google.com/search?q=THOMAS+TURBERVILLE+1530+1577+MARGARET_x000D_
.born: 1530    -         ?England_x000D_
.died: 1577    -         ?England, age:47y 0m 0d, _x000D_
.bapt: 1785GE_x000D_
.will: 2004MO_x000D_
.obit: 1890OH_x000D_
.bury: 1850IL _x000D_
.wpbt: 1826PA_x000D_
.anc#:ancestor_x000D_
citiz:foreign_x000D_
#spos:1_x000D_
#srcs:1_x000D_
#comment:0_x000D_
#events:1_x000D_
#kids:5_x000D_
lived:?EN,ENDORSE_x000D_
issue:_x000D_
.recs:Birth,Marriage,Death_x000D_
.imm?:no_x000D_
..Spo:MARGARET GOLDESBOROUGH</t>
        </r>
      </text>
    </comment>
    <comment ref="O7472" authorId="0" shapeId="0" xr:uid="{2210B10E-D1EF-4A6E-8009-C3BCFE2229B7}">
      <text>
        <r>
          <rPr>
            <sz val="9"/>
            <color indexed="81"/>
            <rFont val="Tahoma"/>
            <family val="2"/>
          </rPr>
          <t>MATTHEW TURBERVILLE_x000D_
http://yeinfo.com/family/I09012018.html_x000D_
https://www.google.com/search?q=MATTHEW+TURBERVILLE+1556+1577+MARGARET\MARY_x000D_
.born:c1556    -          Woodbridge (Dorset) England_x000D_
.died: 1577    -1646      Woodbridge (Dorset) England, age:21y 0m 0d, _x000D_
.bapt: 1785GE_x000D_
.will: 2004MO_x000D_
.obit: 1890OH_x000D_
.bury: 1850IL _x000D_
.wpbt: 1826PA_x000D_
.anc#:ancestor_x000D_
citiz:foreign_x000D_
#spos:1_x000D_
#srcs:1_x000D_
#comment:0_x000D_
#events:1_x000D_
#kids:1_x000D_
lived:ENDORSEWOODBRI_x000D_
issue:_x000D_
.recs:Birth,Marriage,Death_x000D_
.imm?:no_x000D_
..Spo:MARGARET\MARY KYTCHIN</t>
        </r>
      </text>
    </comment>
    <comment ref="P7474" authorId="0" shapeId="0" xr:uid="{8DF8C60F-7192-490B-B0FB-316BA5E1D4F3}">
      <text>
        <r>
          <rPr>
            <sz val="9"/>
            <color indexed="81"/>
            <rFont val="Tahoma"/>
            <family val="2"/>
          </rPr>
          <t>MARGARET GOLDESBOROUGH_x000D_
http://yeinfo.com/family/I09024037.html_x000D_
https://www.google.com/search?q=MARGARET+GOLDESBOROUGH+1535+1566+TURBERVILLE_x000D_
.born: 1535    -         ?England_x000D_
.died: 1566    -1625     ?England, age:31y 0m 0d, _x000D_
.bapt: 1785GE_x000D_
.will: 2004MO_x000D_
.obit: 1890OH_x000D_
.bury: 1850IL _x000D_
.wpbt: 1826PA_x000D_
.anc#:ancestor_x000D_
citiz:foreign_x000D_
#spos:1_x000D_
#srcs:1_x000D_
#comment:0_x000D_
#events:1_x000D_
#kids:5_x000D_
lived:?EN,ENDORSE_x000D_
issue:_x000D_
.recs:Birth,Marriage,Death_x000D_
.imm?:no_x000D_
..Spo:THOMAS TURBERVILLE</t>
        </r>
      </text>
    </comment>
    <comment ref="N7476" authorId="0" shapeId="0" xr:uid="{C84E7215-020C-4ED9-9C80-DE553158C42B}">
      <text>
        <r>
          <rPr>
            <sz val="9"/>
            <color indexed="81"/>
            <rFont val="Tahoma"/>
            <family val="2"/>
          </rPr>
          <t>ALICE TURBERVILLE_x000D_
http://yeinfo.com/family/I09006009.html_x000D_
https://www.google.com/search?q=ALICE+TURBERVILLE+1577+1640+GRANT_x000D_
.born: 1577    -          Woodbridge (Dorset) England_x000D_
.died: 16400531-          Woodbridge (Dorset) England, age:63y 4m 30d, _x000D_
.bapt: 1785GE_x000D_
.will: 2004MO_x000D_
.obit: 1890OH_x000D_
.bury: 1850IL _x000D_
.wpbt: 1826PA_x000D_
.anc#:ancestor_x000D_
citiz:foreign_x000D_
#spos:1_x000D_
#srcs:1_x000D_
#comment:0_x000D_
#events:1_x000D_
#kids:2_x000D_
lived:ENDORSEWOODBRI,ENYORKSROXBY_x000D_
issue:AncFlags between Spouses Mismatched_x000D_
.recs:Birth,Marriage,Death_x000D_
.imm?:no_x000D_
..Spo:JOHN GRANT</t>
        </r>
      </text>
    </comment>
    <comment ref="O7478" authorId="0" shapeId="0" xr:uid="{935E45DC-4F62-41EA-BAB4-4E0F8B055011}">
      <text>
        <r>
          <rPr>
            <sz val="9"/>
            <color indexed="81"/>
            <rFont val="Tahoma"/>
            <family val="2"/>
          </rPr>
          <t>MARGARET\MARY KYTCHIN_x000D_
http://yeinfo.com/family/I09012019.html_x000D_
https://www.google.com/search?q=MARGARET\MARY+KYTCHIN+1556+1577+TURBERVILLE_x000D_
.born:?1556    -         ?Dorset county England_x000D_
.died: 1577    -1646     ?Dorset county England, age:21y 0m 0d, _x000D_
.bapt: 1785GE_x000D_
.will: 2004MO_x000D_
.obit: 1890OH_x000D_
.bury: 1850IL _x000D_
.wpbt: 1826PA_x000D_
.anc#:ancestor_x000D_
citiz:foreign_x000D_
#spos:1_x000D_
#srcs:1_x000D_
#comment:0_x000D_
#events:1_x000D_
#kids:1_x000D_
lived:ENDORSEWOODBRI_x000D_
issue:_x000D_
.recs:Birth,Marriage,Death_x000D_
.imm?:no_x000D_
..Spo:MATTHEW TURBERVILLE</t>
        </r>
      </text>
    </comment>
    <comment ref="L7480" authorId="0" shapeId="0" xr:uid="{92A5742C-83FD-4877-BE87-6A358599DB26}">
      <text>
        <r>
          <rPr>
            <sz val="9"/>
            <color indexed="81"/>
            <rFont val="Tahoma"/>
            <family val="2"/>
          </rPr>
          <t>CALEB GRANT Sr._x000D_
http://yeinfo.com/family/I09001502.html_x000D_
https://www.google.com/search?q=CALEB+GRANT+1639+1694+MARY_x000D_
.born: 16390908-         ?_x000D_
.died: 16941118-          Springfield (Hampden) Massachusetts, age:55y 2m 10d, _x000D_
.bapt: 1785GE_x000D_
.will: 2004MO_x000D_
.obit: 1890OH_x000D_
.bury: 1850IL _x000D_
.wpbt: 1826PA_x000D_
.anc#:ancestor_x000D_
citiz:US born_x000D_
#spos:1_x000D_
#srcs:4_x000D_
#comment:0_x000D_
#events:1_x000D_
#kids:13_x000D_
lived:?MAMIDDLWATERTO,MAHAMPDSPRINGF_x000D_
issue:_x000D_
.recs:Birth,Marriage,Death_x000D_
.imm?:no_x000D_
..Spo:MARY GRANT</t>
        </r>
      </text>
    </comment>
    <comment ref="N7482" authorId="0" shapeId="0" xr:uid="{0C3F5838-FA5B-4381-80DF-F19F293341CE}">
      <text>
        <r>
          <rPr>
            <sz val="9"/>
            <color indexed="81"/>
            <rFont val="Tahoma"/>
            <family val="2"/>
          </rPr>
          <t>HENRY BARTLETT_x000D_
http://yeinfo.com/family/I09006010.html_x000D_
https://www.google.com/search?q=HENRY+BARTLETT+1572+1630+MARY_x000D_
.born: 1572    -          Womersley (Yorkshire) England_x000D_
.died: 1630    -          Womersley (Yorkshire) England, age:58y 0m 0d, _x000D_
.bapt: 1785GE_x000D_
.will: 2004MO_x000D_
.obit: 1890OH_x000D_
.bury: 1850IL _x000D_
.wpbt: 1826PA_x000D_
.anc#:ancestor_x000D_
citiz:foreign_x000D_
#spos:1_x000D_
#srcs:1_x000D_
#comment:0_x000D_
#events:1_x000D_
#kids:1_x000D_
lived:ENYORKSWOMERSL_x000D_
issue:_x000D_
.recs:Birth,Marriage,Death_x000D_
.imm?:no_x000D_
..Spo:MARY DEIGHTON</t>
        </r>
      </text>
    </comment>
    <comment ref="M7484" authorId="0" shapeId="0" xr:uid="{24D10BF7-449B-476E-9568-EBB8B3338F50}">
      <text>
        <r>
          <rPr>
            <sz val="9"/>
            <color indexed="81"/>
            <rFont val="Tahoma"/>
            <family val="2"/>
          </rPr>
          <t>MARY\ALICE SARAH BARTLETT_x000D_
http://yeinfo.com/family/I09003005.html_x000D_
https://www.google.com/search?q=MARY\ALICE+SARAH+BARTLETT+1612+1692+GRANT_x000D_
.born:c1612    -          Womersley (Yorkshire) England_x000D_
.died: 16920119-          Springfield (Hampden) Massachusetts, age:80y 0m 18d, _x000D_
.bapt: 1785GE_x000D_
.will: 2004MO_x000D_
.obit: 1890OH_x000D_
.bury: 1850IL _x000D_
.wpbt: 1826PA_x000D_
.anc#:ancestor_x000D_
citiz:immigrant_x000D_
#spos:1_x000D_
#srcs:4_x000D_
#comment:1_x000D_
#events:1_x000D_
#kids:13_x000D_
lived:?MAMIDDL,CTHARTFWINDSOR,ENYORKSWOMERSL,MAHAMPDSPRINGF_x000D_
issue:_x000D_
.recs:Birth,Marriage,Death_x000D_
.imm?:immigrant_x000D_
..Spo:CHRISTOPHER\SIMON GRANT</t>
        </r>
      </text>
    </comment>
    <comment ref="N7486" authorId="0" shapeId="0" xr:uid="{9AEF2B36-90AA-4A7C-BF4A-7AC099E5E916}">
      <text>
        <r>
          <rPr>
            <sz val="9"/>
            <color indexed="81"/>
            <rFont val="Tahoma"/>
            <family val="2"/>
          </rPr>
          <t>MARY DEIGHTON_x000D_
http://yeinfo.com/family/I09006011.html_x000D_
https://www.google.com/search?q=MARY+DEIGHTON+1585+1640+BARTLETT_x000D_
.born:c1585    -          Saint Marton (Yorkshire) England_x000D_
.died: 16400917-          Saint Marton (Yorkshire) England, age:55y 8m 16d, _x000D_
.bapt: 1785GE_x000D_
.will: 2004MO_x000D_
.obit: 1890OH_x000D_
.bury: 1850IL _x000D_
.wpbt: 1826PA_x000D_
.anc#:ancestor_x000D_
citiz:foreign_x000D_
#spos:1_x000D_
#srcs:1_x000D_
#comment:0_x000D_
#events:1_x000D_
#kids:1_x000D_
lived:ENYORKSSTMARTO_x000D_
issue:_x000D_
.recs:Birth,Marriage,Death_x000D_
.imm?:no_x000D_
..Spo:HENRY BARTLETT</t>
        </r>
      </text>
    </comment>
    <comment ref="K7488" authorId="0" shapeId="0" xr:uid="{F3DA2048-E852-4226-9A33-0110FD2B3D8F}">
      <text>
        <r>
          <rPr>
            <sz val="9"/>
            <color indexed="81"/>
            <rFont val="Tahoma"/>
            <family val="2"/>
          </rPr>
          <t>ABIGAIL GRANT_x000D_
http://yeinfo.com/family/I09000751.html_x000D_
https://www.google.com/search?q=ABIGAIL+GRANT+1683+1769+CHADWICK_x000D_
.born: 16830102-          Springfield (Hampden) Massachusetts_x000D_
.died: 17691221-         ?Massachusetts, age:86y 11m 19d, _x000D_
.bapt: 1785GE_x000D_
.will: 2004MO_x000D_
.obit: 1890OH_x000D_
.bury: 1850IL _x000D_
.wpbt: 1826PA_x000D_
.anc#:ancestor_x000D_
citiz:US born_x000D_
#spos:1_x000D_
#srcs:4_x000D_
#comment:0_x000D_
#events:1_x000D_
#kids:13_x000D_
lived:MAHAMPDSPRINGF_x000D_
issue:_x000D_
.recs:Birth,Marriage,Death_x000D_
.imm?:no_x000D_
..Spo:EBENEZER\SIMON\JOHN CHADWICK</t>
        </r>
      </text>
    </comment>
    <comment ref="L7490" authorId="0" shapeId="0" xr:uid="{72A3CE37-B9F2-4A55-9CFB-FFC13395F506}">
      <text>
        <r>
          <rPr>
            <sz val="9"/>
            <color indexed="81"/>
            <rFont val="Tahoma"/>
            <family val="2"/>
          </rPr>
          <t>Mrs. MARY GRANT_x000D_
http://yeinfo.com/family/I09001503.html_x000D_
https://www.google.com/search?q=MARY+GRANT+1639+1693+GRANT_x000D_
.born: 16390908-         ?Waterton (Middlesex) Massachusetts_x000D_
.died: 16930201-         ?Waterton (Middlesex) Massachusetts, age:53y 4m 24d, _x000D_
.bapt: 1785GE_x000D_
.will: 2004MO_x000D_
.obit: 1890OH_x000D_
.bury: 1850IL _x000D_
.wpbt: 1826PA_x000D_
.anc#:ancestor_x000D_
citiz:US born_x000D_
#spos:1_x000D_
#srcs:4_x000D_
#comment:1_x000D_
#events:1_x000D_
#kids:13_x000D_
lived:?MAMIDDLWATERTO_x000D_
issue:_x000D_
.recs:Birth,Marriage,Death_x000D_
.imm?:no_x000D_
..Spo:CALEB GRANT</t>
        </r>
      </text>
    </comment>
    <comment ref="F7492" authorId="0" shapeId="0" xr:uid="{D6504E97-9029-404F-AAFB-95723C90F6F7}">
      <text>
        <r>
          <rPr>
            <sz val="9"/>
            <color indexed="81"/>
            <rFont val="Tahoma"/>
            <family val="2"/>
          </rPr>
          <t>MAVERETTE ANN MILLER_x000D_
http://yeinfo.com/family/I09000023.html_x000D_
https://www.google.com/search?q=MAVERETTE+ANN+MILLER+1845+1927+MOORE_x000D_
.born: 18451109-          Brattleboro (Windham) Vermont_x000D_
.died: 19270528-          Akron (Plymouth) Iowa, age:81y 6m 19d, multiple neuritis_x000D_
.bapt: 1785GE_x000D_
.will: 2004MO_x000D_
.obit: 1890OH_x000D_
.bury: 1850IL Riverside Cemetery_x000D_
.wpbt: 1826PA_x000D_
.anc#:ancestor_x000D_
citiz:US born_x000D_
#spos:1_x000D_
#srcs:11_x000D_
#comment:2_x000D_
#events:13_x000D_
#kids:11_x000D_
lived:IADUBUQDUBUQUE,IAPLYMOAKRON,VTWINDHBRATTLB,VTWINDHDUMMERS_x000D_
issue:_x000D_
.recs:Birth,Marriage,Death,Interment/Burial,Image_x000D_
.imm?:no_x000D_
..Spo:NEWELL SIDNEY MOORE</t>
        </r>
      </text>
    </comment>
    <comment ref="N7494" authorId="0" shapeId="0" xr:uid="{70BBCB85-6863-40A1-A598-01A36E27F505}">
      <text>
        <r>
          <rPr>
            <sz val="9"/>
            <color indexed="81"/>
            <rFont val="Tahoma"/>
            <family val="2"/>
          </rPr>
          <t>JOHN BARRETT_x000D_
http://yeinfo.com/family/I09006016.html_x000D_
https://www.google.com/search?q=JOHN+BARRETT+1620+1664+MARY_x000D_
.born:?1620    -         ?England_x000D_
.died: 1664    -         ?Wells (York) Maine, age:44y 0m 0d, _x000D_
.bapt: 1785GE_x000D_
.will: 2004MO_x000D_
.obit: 1890OH_x000D_
.bury: 1850IL _x000D_
.wpbt: 1826PA_x000D_
.anc#:ancestor_x000D_
citiz:immigrant_x000D_
#spos:1_x000D_
#srcs:14_x000D_
#comment:0_x000D_
#events:11_x000D_
#kids:2_x000D_
lived:?EN,MAESSEXSALISBU,MAMIDDLMALDEN,MEYORK WELLS_x000D_
issue:_x000D_
.recs:Birth,Military,Marriage,Job/Occupation,Will Written,Death,Oath Taken_x000D_
.imm?:immigrant_x000D_
..Spo:MARY LITTLEFIELD</t>
        </r>
      </text>
    </comment>
    <comment ref="M7496" authorId="0" shapeId="0" xr:uid="{259A835E-102D-4A85-BCB8-9A442AFF4AAF}">
      <text>
        <r>
          <rPr>
            <sz val="9"/>
            <color indexed="81"/>
            <rFont val="Tahoma"/>
            <family val="2"/>
          </rPr>
          <t>BENJAMIN BARRETT_x000D_
http://yeinfo.com/family/I09003008.html_x000D_
https://www.google.com/search?q=BENJAMIN+BARRETT+1653+1690+SARAH+Alexander_x000D_
.born:p16531217-          Malden (Middlesex) Massachusetts_x000D_
.died: 1690    -          Deerfield (Franklin) Massachusetts, age:36y 0m 15d, _x000D_
.bapt: 1785GE_x000D_
.will: 2004MO_x000D_
.obit: 1890OH_x000D_
.bury: 1850IL _x000D_
.wpbt: 1826PA_x000D_
.anc#:ancestor_x000D_
citiz:US born_x000D_
#spos:2_x000D_
#srcs:7_x000D_
#comment:0_x000D_
#events:7_x000D_
#kids:5_x000D_
lived:MAFRKLNDEERFIE,MAHAMPSHATFIEL,MAMIDDLMALDEN_x000D_
issue:_x000D_
.recs:Birth,Military,Marriage,Deed_x000D_
.imm?:no_x000D_
..Spo:SARAH GRAVES</t>
        </r>
      </text>
    </comment>
    <comment ref="O7498" authorId="0" shapeId="0" xr:uid="{BE41CA58-D45C-4EDA-9063-2325C5FAF5AC}">
      <text>
        <r>
          <rPr>
            <sz val="9"/>
            <color indexed="81"/>
            <rFont val="Tahoma"/>
            <family val="2"/>
          </rPr>
          <t>EDMUND\EDWARD LITTLEFIELD_x000D_
http://yeinfo.com/family/I09012034.html_x000D_
https://www.google.com/search?q=EDMUND\EDWARD+LITTLEFIELD+1591+1661+ANNIS+AGNES+Austen_x000D_
.born:c1591    -          Titchfield (Hampshire) England_x000D_
.died: 1661    -         ?Wells (York) Maine, age:70y 0m 0d, _x000D_
.bapt: 1785GE_x000D_
.will: 2004MO_x000D_
.obit: 1890OH_x000D_
.bury: 1850IL _x000D_
.wpbt: 1826PA_x000D_
.anc#:ancestor_x000D_
citiz:immigrant_x000D_
#spos:2_x000D_
#srcs:11_x000D_
#comment:1_x000D_
#events:13_x000D_
#kids:1_x000D_
lived:ENHAMPSTITCHFI,MASUFFOBOSTON,MEPENOBEXETER,MEYORK WELLS_x000D_
issue:_x000D_
.recs:Birth,Baptism,Will Written,Death,Immigrate_x000D_
.imm?:immigrant_x000D_
..Spo:ANNIS AGNES AUSTIN</t>
        </r>
      </text>
    </comment>
    <comment ref="N7500" authorId="0" shapeId="0" xr:uid="{60ADD7A6-B73B-458A-B3F7-A4996BB6F68F}">
      <text>
        <r>
          <rPr>
            <sz val="9"/>
            <color indexed="81"/>
            <rFont val="Tahoma"/>
            <family val="2"/>
          </rPr>
          <t>MARY LITTLEFIELD_x000D_
http://yeinfo.com/family/I09006017.html_x000D_
https://www.google.com/search?q=MARY+LITTLEFIELD+1625+1653+BARRETT_x000D_
.born:?1625    -         ?Titchfield (Hampshire) England_x000D_
.died: 1653    -1715     ?Wells (York) Maine, age:28y 0m 0d, _x000D_
.bapt: 1785GE_x000D_
.will: 2004MO_x000D_
.obit: 1890OH_x000D_
.bury: 1850IL _x000D_
.wpbt: 1826PA_x000D_
.anc#:ancestor_x000D_
citiz:immigrant_x000D_
#spos:1_x000D_
#srcs:6_x000D_
#comment:0_x000D_
#events:3_x000D_
#kids:2_x000D_
lived:?ENHAMPSTITCHFI,MAMIDDLMALDEN,MEYORK WELLS_x000D_
issue:_x000D_
.recs:Birth,Marriage,Death_x000D_
.imm?:immigrant_x000D_
..Spo:JOHN BARRETT</t>
        </r>
      </text>
    </comment>
    <comment ref="Q7502" authorId="0" shapeId="0" xr:uid="{61DE2139-B35B-4CAF-929A-54124B83DF34}">
      <text>
        <r>
          <rPr>
            <sz val="9"/>
            <color indexed="81"/>
            <rFont val="Tahoma"/>
            <family val="2"/>
          </rPr>
          <t>WILLIAM AUSTIN_x000D_
http://yeinfo.com/family/I09048140.html_x000D_
https://www.google.com/search?q=WILLIAM+AUSTIN+1516+1557+ALICE_x000D_
.born: 15160527-          Titchfield (Hampshire) England_x000D_
.died: 15571117-          Titchfield (Hampshire) England, age:41y 5m 21d, _x000D_
.bapt: 1785GE_x000D_
.will: 2004MO_x000D_
.obit: 1890OH_x000D_
.bury: 1850IL All Saints Church_x000D_
.wpbt: 1826PA_x000D_
.anc#:ancestor_x000D_
citiz:foreign_x000D_
#spos:1_x000D_
#srcs:6_x000D_
#comment:0_x000D_
#events:2_x000D_
#kids:1_x000D_
lived:ENHAMPSTITCHFI,ENKENT STAPLEH_x000D_
issue:_x000D_
.recs:Birth,Marriage,Death,Interment/Burial_x000D_
.imm?:no_x000D_
..Spo:ALICE LITTLEFIELD</t>
        </r>
      </text>
    </comment>
    <comment ref="P7504" authorId="0" shapeId="0" xr:uid="{427E59D6-2D82-46FD-AA8C-9DD8FB7AEA7D}">
      <text>
        <r>
          <rPr>
            <sz val="9"/>
            <color indexed="81"/>
            <rFont val="Tahoma"/>
            <family val="2"/>
          </rPr>
          <t>RICHARD AUSTIN Sr._x000D_
http://yeinfo.com/family/I09024070.html_x000D_
https://www.google.com/search?q=RICHARD+AUSTIN+1548+1623+ANN\ANNIS+AGNES_x000D_
.born: 1548    -          Titchfield (Hampshire) England_x000D_
.died:a16230215-          Winchester (Hampshire) England, age:75y 1m 14d, _x000D_
.bapt: 1785GE_x000D_
.will: 2004MO_x000D_
.obit: 1890OH_x000D_
.bury: 1850IL _x000D_
.wpbt: 1826PA_x000D_
.anc#:ancestor_x000D_
citiz:foreign_x000D_
#spos:1_x000D_
#srcs:6_x000D_
#comment:0_x000D_
#events:2_x000D_
#kids:1_x000D_
lived:ENHAMPSTITCHFI,ENHAMPSWINCHES_x000D_
issue:_x000D_
.recs:Birth,Marriage,Death_x000D_
.imm?:no_x000D_
..Spo:ANN\ANNIS AGNES AUSTIN</t>
        </r>
      </text>
    </comment>
    <comment ref="Q7506" authorId="0" shapeId="0" xr:uid="{226CB2B9-A678-47A7-AE65-0B6825ABAAC8}">
      <text>
        <r>
          <rPr>
            <sz val="9"/>
            <color indexed="81"/>
            <rFont val="Tahoma"/>
            <family val="2"/>
          </rPr>
          <t>ALICE LITTLEFIELD_x000D_
http://yeinfo.com/family/I09048141.html_x000D_
https://www.google.com/search?q=ALICE+LITTLEFIELD+1520+1567+AUSTIN_x000D_
.born: 1520    -          Titchfield (Hampshire) England_x000D_
.died:?1567    -          Titchfield (Hampshire) England, age:47y 0m 0d, _x000D_
.bapt: 1785GE_x000D_
.will: 2004MO_x000D_
.obit: 1890OH_x000D_
.bury: 1850IL _x000D_
.wpbt: 1826PA_x000D_
.anc#:ancestor_x000D_
citiz:foreign_x000D_
#spos:1_x000D_
#srcs:4_x000D_
#comment:0_x000D_
#events:1_x000D_
#kids:1_x000D_
lived:ENHAMPSTITCHFI_x000D_
issue:_x000D_
.recs:Birth,Marriage,Death_x000D_
.imm?:no_x000D_
..Spo:WILLIAM AUSTIN</t>
        </r>
      </text>
    </comment>
    <comment ref="O7508" authorId="0" shapeId="0" xr:uid="{77ABEF81-AF2D-409C-BBF7-0ED70865CA93}">
      <text>
        <r>
          <rPr>
            <sz val="9"/>
            <color indexed="81"/>
            <rFont val="Tahoma"/>
            <family val="2"/>
          </rPr>
          <t>ANNIS AGNES AUSTIN_x000D_
http://yeinfo.com/family/I09012035.html_x000D_
https://www.google.com/search?q=ANNIS+AGNES+AUSTIN+1596+1677+LITTLEFIELD_x000D_
.born:a15960201-         ?Titchfield (Hampshire) England_x000D_
.died: 16771212-          Wells (York) Maine, age:81y 10m 11d, _x000D_
.bapt: 1785GE_x000D_
.will: 2004MO_x000D_
.obit: 1890OH_x000D_
.bury: 1850IL _x000D_
.wpbt: 1826PA_x000D_
.anc#:ancestor_x000D_
citiz:immigrant_x000D_
#spos:1_x000D_
#srcs:6_x000D_
#comment:0_x000D_
#events:3_x000D_
#kids:1_x000D_
lived:?ENHAMPSTITCHFI,MEYORK WELLS_x000D_
issue:_x000D_
.recs:Birth,Baptism,Death,Immigrate_x000D_
.imm?:immigrant_x000D_
..Spo:EDMUND\EDWARD LITTLEFIELD</t>
        </r>
      </text>
    </comment>
    <comment ref="P7510" authorId="0" shapeId="0" xr:uid="{AA555A36-0403-4AFA-8496-ACA6F7968F10}">
      <text>
        <r>
          <rPr>
            <sz val="9"/>
            <color indexed="81"/>
            <rFont val="Tahoma"/>
            <family val="2"/>
          </rPr>
          <t>Mrs. ANN\ANNIS AGNES AUSTIN_x000D_
http://yeinfo.com/family/I09024071.html_x000D_
https://www.google.com/search?q=ANN\ANNIS+AGNES+AUSTIN+1558+1623+AUSTIN_x000D_
.born: 1558    -          Titchfield (Hampshire) England_x000D_
.died: 16230704-          Titchfield (Hampshire) England, age:65y 6m 3d, _x000D_
.bapt: 1785GE_x000D_
.will: 2004MO_x000D_
.obit: 1890OH_x000D_
.bury: 1850IL _x000D_
.wpbt: 1826PA_x000D_
.anc#:ancestor_x000D_
citiz:foreign_x000D_
#spos:1_x000D_
#srcs:6_x000D_
#comment:1_x000D_
#events:1_x000D_
#kids:1_x000D_
lived:ENHAMPSTITCHFI_x000D_
issue:_x000D_
.recs:Birth,Marriage,Death_x000D_
.imm?:no_x000D_
..Spo:RICHARD AUSTIN</t>
        </r>
      </text>
    </comment>
    <comment ref="L7512" authorId="0" shapeId="0" xr:uid="{578FA7FA-FF4E-484E-B55E-C70856A4B4BA}">
      <text>
        <r>
          <rPr>
            <sz val="9"/>
            <color indexed="81"/>
            <rFont val="Tahoma"/>
            <family val="2"/>
          </rPr>
          <t>BENJAMIN BARRETT_x000D_
http://yeinfo.com/family/I09001504.html_x000D_
https://www.google.com/search?q=BENJAMIN+BARRETT+1685+1728+HANNAH\ANNA_x000D_
.born:?1685    -         ?Deerfield (Franklin) Massachusetts_x000D_
.died: 17280117-          Sunderland (Franklin) Massachusetts, age:43y 0m 16d, _x000D_
.bapt: 1785GE_x000D_
.will: 2004MO_x000D_
.obit: 1890OH_x000D_
.bury: 1850IL _x000D_
.wpbt: 1826PA_x000D_
.anc#:ancestor_x000D_
citiz:US born_x000D_
#spos:1_x000D_
#srcs:6_x000D_
#comment:0_x000D_
#events:5_x000D_
#kids:8_x000D_
lived:?MAFRKLNDEERFIE,MAFRKLNSUNDERL,MAMIDDLCHELMSF_x000D_
issue:_x000D_
.recs:Birth,Marriage,Death_x000D_
.imm?:no_x000D_
..Spo:HANNAH\ANNA FOSTER</t>
        </r>
      </text>
    </comment>
    <comment ref="O7514" authorId="0" shapeId="0" xr:uid="{99812D09-21F0-45D2-AEBC-66109C7904F1}">
      <text>
        <r>
          <rPr>
            <sz val="9"/>
            <color indexed="81"/>
            <rFont val="Tahoma"/>
            <family val="2"/>
          </rPr>
          <t>THOMAS GRAVES_x000D_
http://yeinfo.com/family/I09012036.html_x000D_
https://www.google.com/search?q=THOMAS+GRAVES+1585+1662+SARAH_x000D_
.born: 1585    -         ?England_x000D_
.died: 166211  -          Hatfield (Hampshire) Massachusetts, age:77y 10m 0d, _x000D_
.bapt: 1785GE_x000D_
.will: 2004MO_x000D_
.obit: 1890OH_x000D_
.bury: 1850IL _x000D_
.wpbt: 1826PA_x000D_
.anc#:ancestor_x000D_
citiz:immigrant_x000D_
#spos:1_x000D_
#srcs:15_x000D_
#comment:0_x000D_
#events:5_x000D_
#kids:5_x000D_
lived:?EN,CTHARTFHARTFOR,MAHAMPSHADLEY,MAHAMPSHATFIEL_x000D_
issue:_x000D_
.recs:Birth,Marriage,Death_x000D_
.imm?:immigrant_x000D_
..Spo:SARAH SCOTT</t>
        </r>
      </text>
    </comment>
    <comment ref="N7516" authorId="0" shapeId="0" xr:uid="{EE721D35-A726-460F-B051-8B381E55FF7D}">
      <text>
        <r>
          <rPr>
            <sz val="9"/>
            <color indexed="81"/>
            <rFont val="Tahoma"/>
            <family val="2"/>
          </rPr>
          <t>ISAAC GRAVES_x000D_
http://yeinfo.com/family/I09006018.html_x000D_
https://www.google.com/search?q=ISAAC+GRAVES+1620+1677+MARY\HANNAH_x000D_
.born: 1620    -          Gravesend (Kent) England_x000D_
.died: 16770919-          Hatfield (Hampshire) Massachusetts, age:57y 8m 18d, _x000D_
.bapt: 1785GE_x000D_
.will: 2004MO_x000D_
.obit: 1890OH_x000D_
.bury: 1850IL _x000D_
.wpbt: 1826PA_x000D_
.anc#:ancestor_x000D_
citiz:immigrant_x000D_
#spos:1_x000D_
#srcs:11_x000D_
#comment:0_x000D_
#events:12_x000D_
#kids:10_x000D_
lived:CTHARTFHARTFOR,CTHARTFWETHERS,ENKENT GRAVESE,MAFRKLNDEERFIE,MAHAMPSHADLEY,MAHAMPSHATFIEL,MASUFFOBOSTON_x000D_
issue:_x000D_
.recs:Birth,Marriage,Death,Freeman_x000D_
.imm?:immigrant_x000D_
..Spo:MARY\HANNAH CHURCH</t>
        </r>
      </text>
    </comment>
    <comment ref="O7518" authorId="0" shapeId="0" xr:uid="{3BE29A3E-A4E4-4ABE-8F96-1886FA245BB2}">
      <text>
        <r>
          <rPr>
            <sz val="9"/>
            <color indexed="81"/>
            <rFont val="Tahoma"/>
            <family val="2"/>
          </rPr>
          <t>SARAH SCOTT_x000D_
http://yeinfo.com/family/I09012037.html_x000D_
https://www.google.com/search?q=SARAH+SCOTT+1597+1666+GRAVES_x000D_
.born:c1597    -         ?Hatfield Broad Oak (Essex) England_x000D_
.died: 16661217-          Hatfield (Hampshire) Massachusetts, age:69y 11m 16d, _x000D_
.bapt: 1785GE_x000D_
.will: 2004MO_x000D_
.obit: 1890OH_x000D_
.bury: 1850IL _x000D_
.wpbt: 1826PA_x000D_
.anc#:ancestor_x000D_
citiz:immigrant_x000D_
#spos:1_x000D_
#srcs:7_x000D_
#comment:0_x000D_
#events:1_x000D_
#kids:5_x000D_
lived:?ENESSEXHATFOAK,EN,MAHAMPSHATFIEL_x000D_
issue:_x000D_
.recs:Birth,Marriage,Death_x000D_
.imm?:immigrant_x000D_
..Spo:THOMAS GRAVES</t>
        </r>
      </text>
    </comment>
    <comment ref="M7520" authorId="0" shapeId="0" xr:uid="{A351D7F9-450B-4160-94A5-4E4D6B1E1B02}">
      <text>
        <r>
          <rPr>
            <sz val="9"/>
            <color indexed="81"/>
            <rFont val="Tahoma"/>
            <family val="2"/>
          </rPr>
          <t>SARAH GRAVES_x000D_
http://yeinfo.com/family/I09003009.html_x000D_
https://www.google.com/search?q=SARAH+GRAVES+1657+1687+BARRETT_x000D_
.born:?1657    -         ?Hartford (Hartford) Connecticut_x000D_
.died:?1687    -         ?Deerfield (Franklin) Massachusetts, age:30y 0m 0d, _x000D_
.bapt: 1785GE_x000D_
.will: 2004MO_x000D_
.obit: 1890OH_x000D_
.bury: 1850IL _x000D_
.wpbt: 1826PA_x000D_
.anc#:ancestor_x000D_
citiz:US born_x000D_
#spos:1_x000D_
#srcs:8_x000D_
#comment:0_x000D_
#events:1_x000D_
#kids:5_x000D_
lived:?CTHARTFHARTFOR,MAFRKLNDEERFIE_x000D_
issue:_x000D_
.recs:Birth,Marriage,Death_x000D_
.imm?:no_x000D_
..Spo:BENJAMIN BARRETT</t>
        </r>
      </text>
    </comment>
    <comment ref="Q7522" authorId="0" shapeId="0" xr:uid="{0A7F7260-3268-4703-8ABB-045C596CC663}">
      <text>
        <r>
          <rPr>
            <sz val="9"/>
            <color indexed="81"/>
            <rFont val="Tahoma"/>
            <family val="2"/>
          </rPr>
          <t>JOHN CHURCH_x000D_
http://yeinfo.com/family/I09048152.html_x000D_
https://www.google.com/search?q=JOHN+CHURCH+1548+1593+JOAN_x000D_
.born: 1548    -          London (Middlesex) England_x000D_
.died: 15931104-          London (Middlesex) England, age:45y 10m 3d, _x000D_
.bapt: 1785GE_x000D_
.will: 2004MO_x000D_
.obit: 1890OH_x000D_
.bury: 1850IL _x000D_
.wpbt: 1826PA_x000D_
.anc#:ancestor_x000D_
citiz:foreign_x000D_
#spos:1_x000D_
#srcs:1_x000D_
#comment:0_x000D_
#events:1_x000D_
#kids:1_x000D_
lived:ENMIDDLLONDON_x000D_
issue:_x000D_
.recs:Birth,Marriage,Death_x000D_
.imm?:no_x000D_
..Spo:JOAN TITERLE</t>
        </r>
      </text>
    </comment>
    <comment ref="P7524" authorId="0" shapeId="0" xr:uid="{89DD81A3-29FB-4A98-A027-A0A91FEF0D2C}">
      <text>
        <r>
          <rPr>
            <sz val="9"/>
            <color indexed="81"/>
            <rFont val="Tahoma"/>
            <family val="2"/>
          </rPr>
          <t>RICHARD CHURCH_x000D_
http://yeinfo.com/family/I09024076.html_x000D_
https://www.google.com/search?q=RICHARD+CHURCH+1570+1610+ALICE_x000D_
.born: 15700309-          London (Middlesex) England_x000D_
.died: 1610    -1660      Massachusetts, age:39y 9m 23d, _x000D_
.bapt: 1785GE_x000D_
.will: 2004MO_x000D_
.obit: 1890OH_x000D_
.bury: 1850IL _x000D_
.wpbt: 1826PA_x000D_
.anc#:ancestor_x000D_
citiz:immigrant_x000D_
#spos:1_x000D_
#srcs:3_x000D_
#comment:0_x000D_
#events:1_x000D_
#kids:1_x000D_
lived:ENMIDDLLONDON,MA_x000D_
issue:_x000D_
.recs:Birth,Marriage,Death_x000D_
.imm?:immigrant_x000D_
..Spo:ALICE CHURCH</t>
        </r>
      </text>
    </comment>
    <comment ref="Q7526" authorId="0" shapeId="0" xr:uid="{9BFB70DA-29B9-4AB6-A738-4A5F6CB94F4F}">
      <text>
        <r>
          <rPr>
            <sz val="9"/>
            <color indexed="81"/>
            <rFont val="Tahoma"/>
            <family val="2"/>
          </rPr>
          <t>JOAN TITERLE_x000D_
http://yeinfo.com/family/I09048153.html_x000D_
https://www.google.com/search?q=JOAN+TITERLE+1550+1570+CHURCH_x000D_
.born: 1550    -          London (Middlesex) England_x000D_
.died: 1570    -1640     ?, age:20y 0m 0d, _x000D_
.bapt: 1785GE_x000D_
.will: 2004MO_x000D_
.obit: 1890OH_x000D_
.bury: 1850IL _x000D_
.wpbt: 1826PA_x000D_
.anc#:ancestor_x000D_
citiz:foreign_x000D_
#spos:1_x000D_
#srcs:1_x000D_
#comment:0_x000D_
#events:1_x000D_
#kids:1_x000D_
lived:ENMIDDLLONDON_x000D_
issue:_x000D_
.recs:Birth,Marriage,Death_x000D_
.imm?:no_x000D_
..Spo:JOHN CHURCH</t>
        </r>
      </text>
    </comment>
    <comment ref="O7528" authorId="0" shapeId="0" xr:uid="{B95F50BC-CFD4-4E5D-AA3B-5607FE8325C2}">
      <text>
        <r>
          <rPr>
            <sz val="9"/>
            <color indexed="81"/>
            <rFont val="Tahoma"/>
            <family val="2"/>
          </rPr>
          <t>RICHARD CHURCH_x000D_
http://yeinfo.com/family/I09012038.html_x000D_
https://www.google.com/search?q=RICHARD+CHURCH+1610+1667+ANNA_x000D_
.born: 16100206-          Braintree (Essex) England_x000D_
.died: 16671216-          , age:57y 10m 10d, _x000D_
.bapt: 1785GE_x000D_
.will: 2004MO_x000D_
.obit: 1890OH_x000D_
.bury: 1850IL _x000D_
.wpbt: 1826PA_x000D_
.anc#:ancestor_x000D_
citiz:US born_x000D_
#spos:1_x000D_
#srcs:14_x000D_
#comment:0_x000D_
#events:7_x000D_
#kids:5_x000D_
lived:CTHARTFHARTFOR,ENESSEXBRAINTR,MAHAMPSHADLEY_x000D_
issue:_x000D_
.recs:Birth,Marriage,Death_x000D_
.imm?:no_x000D_
..Spo:ANNA MARSH</t>
        </r>
      </text>
    </comment>
    <comment ref="P7530" authorId="0" shapeId="0" xr:uid="{C3566B74-BD3A-4EEF-9890-A8CDE88ECDE2}">
      <text>
        <r>
          <rPr>
            <sz val="9"/>
            <color indexed="81"/>
            <rFont val="Tahoma"/>
            <family val="2"/>
          </rPr>
          <t>Mrs. ALICE CHURCH_x000D_
http://yeinfo.com/family/I09024077.html_x000D_
https://www.google.com/search?q=ALICE+CHURCH+1580+1610+CHURCH_x000D_
.born:?1580    -         ?England_x000D_
.died: 1610    -1670     ?, age:30y 0m 0d, _x000D_
.bapt: 1785GE_x000D_
.will: 2004MO_x000D_
.obit: 1890OH_x000D_
.bury: 1850IL _x000D_
.wpbt: 1826PA_x000D_
.anc#:ancestor_x000D_
citiz:US born_x000D_
#spos:1_x000D_
#srcs:3_x000D_
#comment:0_x000D_
#events:1_x000D_
#kids:1_x000D_
lived:?EN_x000D_
issue:_x000D_
.recs:Birth,Marriage,Death_x000D_
.imm?:no_x000D_
..Spo:RICHARD CHURCH</t>
        </r>
      </text>
    </comment>
    <comment ref="N7532" authorId="0" shapeId="0" xr:uid="{17319951-AE9D-466A-BC57-C03C662737E2}">
      <text>
        <r>
          <rPr>
            <sz val="9"/>
            <color indexed="81"/>
            <rFont val="Tahoma"/>
            <family val="2"/>
          </rPr>
          <t>MARY\HANNAH CHURCH_x000D_
http://yeinfo.com/family/I09006019.html_x000D_
https://www.google.com/search?q=MARY\HANNAH+CHURCH+1632+1695+GRAVES_x000D_
.born: 16321102-          _x000D_
.died: 16950609-          Hatfield (Hampshire) Massachusetts, age:62y 7m 7d, _x000D_
.bapt: 1785GE_x000D_
.will: 2004MO_x000D_
.obit: 1890OH_x000D_
.bury: 1850IL _x000D_
.wpbt: 1826PA_x000D_
.anc#:ancestor_x000D_
citiz:US born_x000D_
#spos:1_x000D_
#srcs:11_x000D_
#comment:0_x000D_
#events:3_x000D_
#kids:10_x000D_
lived:CTHARTFHARTFOR,MAHAMPSHATFIEL_x000D_
issue:Died after Age 100_x000D_
.recs:Birth,Marriage,Death_x000D_
.imm?:no_x000D_
..Spo:ISAAC GRAVES</t>
        </r>
      </text>
    </comment>
    <comment ref="P7534" authorId="0" shapeId="0" xr:uid="{3C50A249-FA69-4757-93E5-CB6488B5A960}">
      <text>
        <r>
          <rPr>
            <sz val="9"/>
            <color indexed="81"/>
            <rFont val="Tahoma"/>
            <family val="2"/>
          </rPr>
          <t>EDWARD MARSH_x000D_
http://yeinfo.com/family/I09024078.html_x000D_
https://www.google.com/search?q=EDWARD+MARSH+1575+1601+ALICE_x000D_
.born:?1575    -          England_x000D_
.died: 1601    -1665     ?Massachusetts, age:26y 0m 0d, _x000D_
.bapt: 1785GE_x000D_
.will: 2004MO_x000D_
.obit: 1890OH_x000D_
.bury: 1850IL _x000D_
.wpbt: 1826PA_x000D_
.anc#:ancestor_x000D_
citiz:immigrant_x000D_
#spos:1_x000D_
#srcs:2_x000D_
#comment:0_x000D_
#events:2_x000D_
#kids:1_x000D_
lived:EN,MANORFOBRAINTR_x000D_
issue:_x000D_
.recs:Birth,Marriage,Death_x000D_
.imm?:immigrant_x000D_
..Spo:ALICE MARSH</t>
        </r>
      </text>
    </comment>
    <comment ref="O7536" authorId="0" shapeId="0" xr:uid="{93F9DDEB-A51A-40BA-BA18-62B3FEBCC77C}">
      <text>
        <r>
          <rPr>
            <sz val="9"/>
            <color indexed="81"/>
            <rFont val="Tahoma"/>
            <family val="2"/>
          </rPr>
          <t>ANNA MARSH_x000D_
http://yeinfo.com/family/I09012039.html_x000D_
https://www.google.com/search?q=ANNA+MARSH+1601+1684+CHURCH_x000D_
.born: 1601    -          Braintree (Essex) England_x000D_
.died: 16840310-          , age:83y 2m 9d, _x000D_
.bapt: 1785GE_x000D_
.will: 2004MO_x000D_
.obit: 1890OH_x000D_
.bury: 1850IL _x000D_
.wpbt: 1826PA_x000D_
.anc#:ancestor_x000D_
citiz:US born_x000D_
#spos:1_x000D_
#srcs:10_x000D_
#comment:0_x000D_
#events:1_x000D_
#kids:5_x000D_
lived:ENESSEXBRAINTR,MAHAMPSHATFIEL_x000D_
issue:_x000D_
.recs:Birth,Marriage,Death_x000D_
.imm?:no_x000D_
..Spo:RICHARD CHURCH</t>
        </r>
      </text>
    </comment>
    <comment ref="P7538" authorId="0" shapeId="0" xr:uid="{DE18FDBD-AA53-4F56-A2AB-FB6891D9D225}">
      <text>
        <r>
          <rPr>
            <sz val="9"/>
            <color indexed="81"/>
            <rFont val="Tahoma"/>
            <family val="2"/>
          </rPr>
          <t>Mrs. ALICE MARSH_x000D_
http://yeinfo.com/family/I09024079.html_x000D_
https://www.google.com/search?q=ALICE+MARSH+1575+1601+MARSH_x000D_
.born:?1575    -          England_x000D_
.died: 1601    -1665      , age:26y 0m 0d, _x000D_
.bapt: 1785GE_x000D_
.will: 2004MO_x000D_
.obit: 1890OH_x000D_
.bury: 1850IL _x000D_
.wpbt: 1826PA_x000D_
.anc#:ancestor_x000D_
citiz:US born_x000D_
#spos:1_x000D_
#srcs:1_x000D_
#comment:0_x000D_
#events:1_x000D_
#kids:1_x000D_
lived:EN_x000D_
issue:_x000D_
.recs:Birth,Marriage,Death_x000D_
.imm?:no_x000D_
..Spo:EDWARD MARSH</t>
        </r>
      </text>
    </comment>
    <comment ref="K7540" authorId="0" shapeId="0" xr:uid="{2CE9C506-8BC3-45CD-A508-833D33CB025C}">
      <text>
        <r>
          <rPr>
            <sz val="9"/>
            <color indexed="81"/>
            <rFont val="Tahoma"/>
            <family val="2"/>
          </rPr>
          <t>ISAAC BARRETT_x000D_
http://yeinfo.com/family/I09000752.html_x000D_
https://www.google.com/search?q=ISAAC+BARRETT+1711+1786+SUSANNAH_x000D_
.born:?1711    -         ?Chelmsford (Middlesex) Massachusetts_x000D_
.died: 1786    -         ?Hinsdale (Cheshire) New Hampshire, age:75y 0m 0d, _x000D_
.bapt: 1785GE_x000D_
.will: 2004MO_x000D_
.obit: 1890OH_x000D_
.bury: 1850IL _x000D_
.wpbt: 1826PA_x000D_
.anc#:ancestor_x000D_
citiz:US born_x000D_
#spos:1_x000D_
#srcs:3_x000D_
#comment:0_x000D_
#events:8_x000D_
#kids:10_x000D_
lived:?MAFRKLNSUNDERL,?MAMIDDLCHELMSF,MAFRKLNMONTAGU,NHCHESHHINSDAL,NHCHESHKEENE_x000D_
issue:_x000D_
.recs:Birth,Marriage,Will Written,Death,Land Transaction_x000D_
.imm?:no_x000D_
..Spo:SUSANNAH NEWTON</t>
        </r>
      </text>
    </comment>
    <comment ref="O7542" authorId="0" shapeId="0" xr:uid="{427D9FD3-9BFC-4B31-AD93-DC534941AA0B}">
      <text>
        <r>
          <rPr>
            <sz val="9"/>
            <color indexed="81"/>
            <rFont val="Tahoma"/>
            <family val="2"/>
          </rPr>
          <t>JOHN FOSTER_x000D_
http://yeinfo.com/family/I09012040.html_x000D_
https://www.google.com/search?q=JOHN+FOSTER+1585+1619+{_?_}_x000D_
.born:?1585    -          York (Yorkshire) England_x000D_
.died: 1619    -1675     ?Yorkshire county England, age:34y 0m 0d, _x000D_
.bapt: 1785GE_x000D_
.will: 2004MO_x000D_
.obit: 1890OH_x000D_
.bury: 1850IL _x000D_
.wpbt: 1826PA_x000D_
.anc#:ancestor_x000D_
citiz:foreign_x000D_
#spos:1_x000D_
#srcs:1_x000D_
#comment:0_x000D_
#events:1_x000D_
#kids:1_x000D_
lived:ENYORKSYORK_x000D_
issue:_x000D_
.recs:Birth,Marriage,Death_x000D_
.imm?:no_x000D_
..Spo:{_?_} FOSTER</t>
        </r>
      </text>
    </comment>
    <comment ref="N7544" authorId="0" shapeId="0" xr:uid="{4FA2138E-7416-441B-80DA-F6FB3605D915}">
      <text>
        <r>
          <rPr>
            <sz val="9"/>
            <color indexed="81"/>
            <rFont val="Tahoma"/>
            <family val="2"/>
          </rPr>
          <t>SAMUEL ELI FOSTER Sr._x000D_
http://yeinfo.com/family/I09006020.html_x000D_
https://www.google.com/search?q=SAMUEL+ELI+FOSTER+1619+1702+ESTHER_x000D_
.born:?1619    -          York (Yorkshire) England_x000D_
.died: 17020710-          Chelmsford (Middlesex) Massachusetts, age:83y 6m 9d, _x000D_
.bapt: 1785GE_x000D_
.will: 2004MO_x000D_
.obit: 1890OH_x000D_
.bury: 1850IL _x000D_
.wpbt: 1826PA_x000D_
.anc#:ancestor_x000D_
citiz:immigrant_x000D_
#spos:1_x000D_
#srcs:1_x000D_
#comment:0_x000D_
#events:1_x000D_
#kids:1_x000D_
lived:ENYORKSYORK,MAMIDDLCHELMSF,MANORFODEDHAM_x000D_
issue:_x000D_
.recs:Birth,Marriage,Death_x000D_
.imm?:immigrant_x000D_
..Spo:ESTHER KEMPE</t>
        </r>
      </text>
    </comment>
    <comment ref="O7546" authorId="0" shapeId="0" xr:uid="{C94D7823-64A0-4545-A228-10B783CAF993}">
      <text>
        <r>
          <rPr>
            <sz val="9"/>
            <color indexed="81"/>
            <rFont val="Tahoma"/>
            <family val="2"/>
          </rPr>
          <t>Mrs. {_?_} FOSTER_x000D_
http://yeinfo.com/family/I09012041.html_x000D_
https://www.google.com/search?q={_?_}+FOSTER+1585+1619+FOSTER_x000D_
.born:?1585    -         ?Yorkshire county England_x000D_
.died: 1619    -1675     ?Yorkshire county England, age:34y 0m 0d, _x000D_
.bapt: 1785GE_x000D_
.will: 2004MO_x000D_
.obit: 1890OH_x000D_
.bury: 1850IL _x000D_
.wpbt: 1826PA_x000D_
.anc#:ancestor_x000D_
citiz:foreign_x000D_
#spos:1_x000D_
#srcs:1_x000D_
#comment:0_x000D_
#events:1_x000D_
#kids:1_x000D_
lived:?ENYORKS_x000D_
issue:_x000D_
.recs:Birth,Marriage,Death_x000D_
.imm?:no_x000D_
..Spo:JOHN FOSTER</t>
        </r>
      </text>
    </comment>
    <comment ref="M7548" authorId="0" shapeId="0" xr:uid="{499783A9-217B-4236-92C6-B75765A28827}">
      <text>
        <r>
          <rPr>
            <sz val="9"/>
            <color indexed="81"/>
            <rFont val="Tahoma"/>
            <family val="2"/>
          </rPr>
          <t>SAMUEL ELI FOSTER Jr._x000D_
http://yeinfo.com/family/I09003010.html_x000D_
https://www.google.com/search?q=SAMUEL+ELI+FOSTER+1650+1730+SARAH_x000D_
.born: 16500528-          Chelmsford (Middlesex) Massachusetts_x000D_
.died: 17300721-          Chelmsford (Middlesex) Massachusetts, age:80y 1m 23d, _x000D_
.bapt: 1785GE_x000D_
.will: 2004MO_x000D_
.obit: 1890OH_x000D_
.bury: 1850IL _x000D_
.wpbt: 1826PA_x000D_
.anc#:ancestor_x000D_
citiz:US born_x000D_
#spos:1_x000D_
#srcs:1_x000D_
#comment:0_x000D_
#events:1_x000D_
#kids:1_x000D_
lived:MAMIDDLCHELMSF_x000D_
issue:_x000D_
.recs:Birth,Marriage,Death_x000D_
.imm?:no_x000D_
..Spo:SARAH KEYES</t>
        </r>
      </text>
    </comment>
    <comment ref="V7550" authorId="0" shapeId="0" xr:uid="{1A7A45F8-4713-4795-BB70-92733013864A}">
      <text>
        <r>
          <rPr>
            <sz val="9"/>
            <color indexed="81"/>
            <rFont val="Tahoma"/>
            <family val="2"/>
          </rPr>
          <t>JOHN KEMPE_x000D_
http://yeinfo.com/family/I09066243.html_x000D_
https://www.google.com/search?q=JOHN+KEMPE+1405+1460+ALICE_x000D_
.born:?1405    -         ?England_x000D_
.died:c1460    -         ?England, age:55y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..Spo:ALICE DUKE</t>
        </r>
      </text>
    </comment>
    <comment ref="U7552" authorId="0" shapeId="0" xr:uid="{B6A63351-5EA8-445A-8BC8-79C6A3F5AB42}">
      <text>
        <r>
          <rPr>
            <sz val="9"/>
            <color indexed="81"/>
            <rFont val="Tahoma"/>
            <family val="2"/>
          </rPr>
          <t>ROBERT KEMPE_x000D_
http://yeinfo.com/family/I09066053.html_x000D_
https://www.google.com/search?q=ROBERT+KEMPE+1427+1485+MARGARET\ELIZABETH_x000D_
.born: 1427    -         ?England_x000D_
.died: 1485    -          Gissing (Norfolk) England, age:58y 0m 0d, _x000D_
.bapt: 1785GE_x000D_
.will: 2004MO_x000D_
.obit: 1890OH_x000D_
.bury: 1850IL _x000D_
.wpbt: 1826PA_x000D_
.anc#:ancestor_x000D_
citiz:foreign_x000D_
#spos:1_x000D_
#srcs:2_x000D_
#comment:0_x000D_
#events:1_x000D_
#kids:1_x000D_
lived:?EN,ENNORFOGISSING_x000D_
issue:_x000D_
.recs:Birth,Marriage,Death_x000D_
.imm?:no_x000D_
..Spo:MARGARET\ELIZABETH CURZON</t>
        </r>
      </text>
    </comment>
    <comment ref="W7554" authorId="0" shapeId="0" xr:uid="{9A61C043-BE31-490A-8610-7BE845E1ACBF}">
      <text>
        <r>
          <rPr>
            <sz val="9"/>
            <color indexed="81"/>
            <rFont val="Tahoma"/>
            <family val="2"/>
          </rPr>
          <t>ROBERT DUKE_x000D_
http://yeinfo.com/family/I09066395.html_x000D_
https://www.google.com/search?q=ROBERT+DUKE+1388+1408+JULIAN_x000D_
.born:?1388    -         ?England_x000D_
.died: 1408    -1478     ?England, age:20y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..Spo:JULIAN BUTVILLEYN</t>
        </r>
      </text>
    </comment>
    <comment ref="V7556" authorId="0" shapeId="0" xr:uid="{4BE0EA25-EB48-4DBA-A986-693CF40591D4}">
      <text>
        <r>
          <rPr>
            <sz val="9"/>
            <color indexed="81"/>
            <rFont val="Tahoma"/>
            <family val="2"/>
          </rPr>
          <t>ALICE DUKE_x000D_
http://yeinfo.com/family/I09066244.html_x000D_
https://www.google.com/search?q=ALICE+DUKE+1405+1427+KEMPE_x000D_
.born:?1405    -         ?England_x000D_
.died: 1427    -1495     ?England, age:22y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..Spo:JOHN KEMPE</t>
        </r>
      </text>
    </comment>
    <comment ref="W7558" authorId="0" shapeId="0" xr:uid="{9FA6C873-9D7E-430E-9EFA-6B9533DE7E89}">
      <text>
        <r>
          <rPr>
            <sz val="9"/>
            <color indexed="81"/>
            <rFont val="Tahoma"/>
            <family val="2"/>
          </rPr>
          <t>JULIAN BUTVILLEYN_x000D_
http://yeinfo.com/family/I09066396.html_x000D_
https://www.google.com/search?q=JULIAN+BUTVILLEYN+1390+1410+DUKE_x000D_
.born:?1390    -         ?England_x000D_
.died: 1410    -1480     ?England, age:20y 0m 0d, _x000D_
.bapt: 1785GE_x000D_
.will: 2004MO_x000D_
.obit: 1890OH_x000D_
.bury: 1850IL _x000D_
.wpbt: 1826PA_x000D_
.anc#:ancestor_x000D_
citiz:foreign_x000D_
#spos:1_x000D_
#srcs:1_x000D_
#comment:1_x000D_
#events:1_x000D_
#kids:1_x000D_
lived:?EN_x000D_
issue:Died after Age 100_x000D_
.recs:Birth,Marriage,Death_x000D_
.imm?:no_x000D_
..Spo:ROBERT DUKE</t>
        </r>
      </text>
    </comment>
    <comment ref="T7560" authorId="0" shapeId="0" xr:uid="{5CA1AFCB-92DA-4846-87C6-1EE696F2C93D}">
      <text>
        <r>
          <rPr>
            <sz val="9"/>
            <color indexed="81"/>
            <rFont val="Tahoma"/>
            <family val="2"/>
          </rPr>
          <t>ROBERT KEMPE_x000D_
http://yeinfo.com/family/I09065897.html_x000D_
https://www.google.com/search?q=ROBERT+KEMPE+1450+1526+ANNE_x000D_
.born: 1450    -          _x000D_
.died: 15261205-          Gissing (Norfolk) England, age:76y 11m 4d, _x000D_
.bapt: 1785GE_x000D_
.will: 2004MO_x000D_
.obit: 1890OH_x000D_
.bury: 1850IL _x000D_
.wpbt: 1826PA_x000D_
.anc#:ancestor_x000D_
citiz:foreign_x000D_
#spos:1_x000D_
#srcs:2_x000D_
#comment:0_x000D_
#events:2_x000D_
#kids:1_x000D_
lived:ENKENT,ENNORFOGISSING_x000D_
issue:Born before Parents Married_x000D_
.recs:Birth,Marriage,Will Written,Death_x000D_
.imm?:no_x000D_
..Spo:ANNE CLIFFORD</t>
        </r>
      </text>
    </comment>
    <comment ref="U7562" authorId="0" shapeId="0" xr:uid="{CD912375-21E0-4BB9-810A-CFEC4984E8F7}">
      <text>
        <r>
          <rPr>
            <sz val="9"/>
            <color indexed="81"/>
            <rFont val="Tahoma"/>
            <family val="2"/>
          </rPr>
          <t>MARGARET\ELIZABETH CURZON_x000D_
http://yeinfo.com/family/I09066054.html_x000D_
https://www.google.com/search?q=MARGARET\ELIZABETH+CURZON+1430+1526+KEMPE_x000D_
.born: 1430    -          _x000D_
.died: 1526    -          Brampton (Suffolk) England, age:96y 0m 0d, _x000D_
.bapt: 1785GE_x000D_
.will: 2004MO_x000D_
.obit: 1890OH_x000D_
.bury: 1850IL _x000D_
.wpbt: 1826PA_x000D_
.anc#:ancestor_x000D_
citiz:foreign_x000D_
#spos:1_x000D_
#srcs:2_x000D_
#comment:0_x000D_
#events:1_x000D_
#kids:1_x000D_
lived:ENSUFFOBRAMPTO_x000D_
issue:_x000D_
.recs:Birth,Marriage,Death_x000D_
.imm?:no_x000D_
..Spo:ROBERT KEMPE</t>
        </r>
      </text>
    </comment>
    <comment ref="S7564" authorId="0" shapeId="0" xr:uid="{EE3F48CA-D7F3-4E6F-B966-7DC45544F379}">
      <text>
        <r>
          <rPr>
            <sz val="9"/>
            <color indexed="81"/>
            <rFont val="Tahoma"/>
            <family val="2"/>
          </rPr>
          <t>BARTHOLOMEW KEMPE_x000D_
http://yeinfo.com/family/I09065748.html_x000D_
https://www.google.com/search?q=BARTHOLOMEW+KEMPE+1490+1554+ANNE_x000D_
.born:?1490    -          Norfolk county England_x000D_
.died: 1554    -          Gissing (Norfolk) England, age:64y 0m 0d, _x000D_
.bapt: 1785GE_x000D_
.will: 2004MO_x000D_
.obit: 1890OH_x000D_
.bury: 1850IL _x000D_
.wpbt: 1826PA_x000D_
.anc#:ancestor_x000D_
citiz:foreign_x000D_
#spos:1_x000D_
#srcs:1_x000D_
#comment:0_x000D_
#events:1_x000D_
#kids:1_x000D_
lived:ENNORFOGISSING_x000D_
issue:_x000D_
.recs:Birth,Marriage,Death_x000D_
.imm?:no_x000D_
..Spo:ANNE ALLYNE</t>
        </r>
      </text>
    </comment>
    <comment ref="T7566" authorId="0" shapeId="0" xr:uid="{E7B924E8-C531-4D0C-8D94-673A854FFD81}">
      <text>
        <r>
          <rPr>
            <sz val="9"/>
            <color indexed="81"/>
            <rFont val="Tahoma"/>
            <family val="2"/>
          </rPr>
          <t>ANNE CLIFFORD_x000D_
http://yeinfo.com/family/I09065898.html_x000D_
https://www.google.com/search?q=ANNE+CLIFFORD+1450+1501+KEMPE_x000D_
.born: 1450    -          Kent county England_x000D_
.died: 15010315-          Iwade (Kent) England, age:51y 2m 14d, _x000D_
.bapt: 1785GE_x000D_
.will: 2004MO_x000D_
.obit: 1890OH_x000D_
.bury: 1850IL _x000D_
.wpbt: 1826PA_x000D_
.anc#:ancestor_x000D_
citiz:foreign_x000D_
#spos:1_x000D_
#srcs:3_x000D_
#comment:0_x000D_
#events:1_x000D_
#kids:1_x000D_
lived:ENKENT IWADE,ENYORKSRIDING_x000D_
issue:_x000D_
.recs:Birth,Marriage,Death_x000D_
.imm?:no_x000D_
..Spo:ROBERT KEMPE</t>
        </r>
      </text>
    </comment>
    <comment ref="R7568" authorId="0" shapeId="0" xr:uid="{BE9C8D82-00A8-4FB3-BDBE-73805F12D0B0}">
      <text>
        <r>
          <rPr>
            <sz val="9"/>
            <color indexed="81"/>
            <rFont val="Tahoma"/>
            <family val="2"/>
          </rPr>
          <t>ROBERT KEMPE_x000D_
http://yeinfo.com/family/I09065621.html_x000D_
https://www.google.com/search?q=ROBERT+KEMPE+1520+1594+ELIZABETH+Gray_x000D_
.born:c1520    -          Norfolk county England_x000D_
.died: 15940427-          Gissing (Norfolk) England, age:74y 3m 26d, _x000D_
.bapt: 1785GE_x000D_
.will: 2004MO_x000D_
.obit: 1890OH_x000D_
.bury: 1850IL _x000D_
.wpbt: 1826PA_x000D_
.anc#:ancestor_x000D_
citiz:foreign_x000D_
#spos:2_x000D_
#srcs:1_x000D_
#comment:0_x000D_
#events:2_x000D_
#kids:1_x000D_
lived:ENNORFOGISSING_x000D_
issue:Died after Age 100_x000D_
.recs:Birth,Marriage,Death_x000D_
.imm?:no_x000D_
..Spo:ELIZABETH SMYTHWYN</t>
        </r>
      </text>
    </comment>
    <comment ref="T7570" authorId="0" shapeId="0" xr:uid="{E2680F53-80E3-4A04-87F9-BC84D1B87897}">
      <text>
        <r>
          <rPr>
            <sz val="9"/>
            <color indexed="81"/>
            <rFont val="Tahoma"/>
            <family val="2"/>
          </rPr>
          <t>JOHN ALLYNE_x000D_
http://yeinfo.com/family/I09065899.html_x000D_
https://www.google.com/search?q=JOHN+ALLYNE+1457+1512+CONSTANCE_x000D_
.born: 1457    -          _x000D_
.died: 1512    -          Gissing (Norfolk) England, age:55y 0m 0d, _x000D_
.bapt: 1785GE_x000D_
.will: 2004MO_x000D_
.obit: 1890OH_x000D_
.bury: 1850IL _x000D_
.wpbt: 1826PA_x000D_
.anc#:ancestor_x000D_
citiz:foreign_x000D_
#spos:1_x000D_
#srcs:2_x000D_
#comment:0_x000D_
#events:1_x000D_
#kids:1_x000D_
lived:ENNORFOGISSING_x000D_
issue:Married before Age 16,Died before Birth_x000D_
.recs:Birth,Marriage,Death_x000D_
.imm?:no_x000D_
..Spo:CONSTANCE GEDDINGE</t>
        </r>
      </text>
    </comment>
    <comment ref="S7572" authorId="0" shapeId="0" xr:uid="{8BC12B28-FED3-4141-A144-5D43A4F1F321}">
      <text>
        <r>
          <rPr>
            <sz val="9"/>
            <color indexed="81"/>
            <rFont val="Tahoma"/>
            <family val="2"/>
          </rPr>
          <t>ANNE ALLYNE_x000D_
http://yeinfo.com/family/I09065749.html_x000D_
https://www.google.com/search?q=ANNE+ALLYNE+1480+1531+KEMPE_x000D_
.born:?1480    -         ?Gissing (Norfolk) England_x000D_
.died: 1531    -          Gissing (Norfolk) England, age:51y 0m 0d, _x000D_
.bapt: 1785GE_x000D_
.will: 2004MO_x000D_
.obit: 1890OH_x000D_
.bury: 1850IL _x000D_
.wpbt: 1826PA_x000D_
.anc#:ancestor_x000D_
citiz:foreign_x000D_
#spos:1_x000D_
#srcs:2_x000D_
#comment:1_x000D_
#events:1_x000D_
#kids:1_x000D_
lived:?ENNORFOGISSING,EN_x000D_
issue:Born before Parents Married_x000D_
.recs:Birth,Marriage,Death_x000D_
.imm?:no_x000D_
..Spo:BARTHOLOMEW KEMPE</t>
        </r>
      </text>
    </comment>
    <comment ref="W7574" authorId="0" shapeId="0" xr:uid="{F35B4E7F-658D-4A5F-A436-7119F8426BA1}">
      <text>
        <r>
          <rPr>
            <sz val="9"/>
            <color indexed="81"/>
            <rFont val="Tahoma"/>
            <family val="2"/>
          </rPr>
          <t>WILLIAM GEDDINGE_x000D_
http://yeinfo.com/family/I09066397.html_x000D_
https://www.google.com/search?q=WILLIAM+GEDDINGE+1368+1400+MIRABELL_x000D_
.born: 1368    -          Lackford (Suffolk) England_x000D_
.died: 1400    -1458     ?England, age:32y 0m 0d, _x000D_
.bapt: 1785GE_x000D_
.will: 2004MO_x000D_
.obit: 1890OH_x000D_
.bury: 1850IL _x000D_
.wpbt: 1826PA_x000D_
.anc#:ancestor_x000D_
citiz:foreign_x000D_
#spos:1_x000D_
#srcs:1_x000D_
#comment:1_x000D_
#events:1_x000D_
#kids:1_x000D_
lived:ENSUFFOLACKFOR_x000D_
issue:_x000D_
.recs:Birth,Marriage,Death_x000D_
.imm?:no_x000D_
..Spo:MIRABELL ASPALE</t>
        </r>
      </text>
    </comment>
    <comment ref="V7576" authorId="0" shapeId="0" xr:uid="{1158803F-6DC1-4B93-A8C2-12E2F9B33153}">
      <text>
        <r>
          <rPr>
            <sz val="9"/>
            <color indexed="81"/>
            <rFont val="Tahoma"/>
            <family val="2"/>
          </rPr>
          <t>THOMAS GEDDINGE_x000D_
http://yeinfo.com/family/I09066245.html_x000D_
https://www.google.com/search?q=THOMAS+GEDDINGE+1400+1465+ANNE_x000D_
.born: 1400    -          Suffolk county England_x000D_
.died:c1465    -         ?England, age:65y 0m 0d, _x000D_
.bapt: 1785GE_x000D_
.will: 2004MO_x000D_
.obit: 1890OH_x000D_
.bury: 1850IL _x000D_
.wpbt: 1826PA_x000D_
.anc#:ancestor_x000D_
citiz:foreign_x000D_
#spos:1_x000D_
#srcs:1_x000D_
#comment:0_x000D_
#events:1_x000D_
#kids:1_x000D_
lived:ENSUFFO_x000D_
issue:_x000D_
.recs:Birth,Marriage,Death_x000D_
.imm?:no_x000D_
..Spo:ANNE ASTLEY</t>
        </r>
      </text>
    </comment>
    <comment ref="X7578" authorId="0" shapeId="0" xr:uid="{63533917-D072-4D59-A3CD-F32961459335}">
      <text>
        <r>
          <rPr>
            <sz val="9"/>
            <color indexed="81"/>
            <rFont val="Tahoma"/>
            <family val="2"/>
          </rPr>
          <t>JOHN ASPALE_x000D_
http://yeinfo.com/family/I09066737.html_x000D_
https://www.google.com/search?q=JOHN+ASPALE+1332+1369+KATHERINE_x000D_
.born: 1332    -          Lackford (Suffolk) England_x000D_
.died: 1369    -1377      England, age:37y 0m 0d, _x000D_
.bapt: 1785GE_x000D_
.will: 2004MO_x000D_
.obit: 1890OH_x000D_
.bury: 1850IL _x000D_
.wpbt: 1826PA_x000D_
.anc#:ancestor_x000D_
citiz:foreign_x000D_
#spos:1_x000D_
#srcs:2_x000D_
#comment:1_x000D_
#events:1_x000D_
#kids:1_x000D_
lived:ENSUFFOLACKFOR_x000D_
issue:_x000D_
.recs:Birth,Marriage,Death_x000D_
.imm?:no_x000D_
..Spo:KATHERINE PECCHE</t>
        </r>
      </text>
    </comment>
    <comment ref="W7580" authorId="0" shapeId="0" xr:uid="{87209A1C-6EB6-4709-8B6B-C8795BEC0F1F}">
      <text>
        <r>
          <rPr>
            <sz val="9"/>
            <color indexed="81"/>
            <rFont val="Tahoma"/>
            <family val="2"/>
          </rPr>
          <t>MIRABELL ASPALE_x000D_
http://yeinfo.com/family/I09066398.html_x000D_
https://www.google.com/search?q=MIRABELL+ASPALE+1370+1406+GEDDINGE_x000D_
.born:c1370    -          Lackford (Suffolk) England_x000D_
.died: 14060810-         ?England, age:36y 7m 9d, _x000D_
.bapt: 1785GE_x000D_
.will: 2004MO_x000D_
.obit: 1890OH_x000D_
.bury: 1850IL _x000D_
.wpbt: 1826PA_x000D_
.anc#:ancestor_x000D_
citiz:foreign_x000D_
#spos:1_x000D_
#srcs:1_x000D_
#comment:0_x000D_
#events:1_x000D_
#kids:1_x000D_
lived:ENSUFFOLACKFOR_x000D_
issue:Born after Parent Died,Died after Age 100_x000D_
.recs:Birth,Marriage,Death_x000D_
.imm?:no_x000D_
..Spo:WILLIAM GEDDINGE</t>
        </r>
      </text>
    </comment>
    <comment ref="Y7582" authorId="0" shapeId="0" xr:uid="{F66D4A26-B217-4C57-9BDD-0C2B23690ABD}">
      <text>
        <r>
          <rPr>
            <sz val="9"/>
            <color indexed="81"/>
            <rFont val="Tahoma"/>
            <family val="2"/>
          </rPr>
          <t>GILBERT PECCHE_x000D_
http://yeinfo.com/family/I09066739.html_x000D_
https://www.google.com/search?q=GILBERT+PECCHE+1306+1349+JOAN_x000D_
.born: 1306    -          Great Thurlow (Suffolk) England_x000D_
.died:c13490824-         ?Suffolk county England, age:43y 7m 23d, _x000D_
.bapt: 1785GE_x000D_
.will: 2004MO_x000D_
.obit: 1890OH_x000D_
.bury: 1850IL _x000D_
.wpbt: 1826PA_x000D_
.anc#:ancestor_x000D_
citiz:foreign_x000D_
#spos:1_x000D_
#srcs:2_x000D_
#comment:1_x000D_
#events:1_x000D_
#kids:1_x000D_
lived:ENSUFFOGREAT T_x000D_
issue:_x000D_
.recs:Birth,Marriage,Death_x000D_
.imm?:no_x000D_
..Spo:JOAN PECCHE</t>
        </r>
      </text>
    </comment>
    <comment ref="X7584" authorId="0" shapeId="0" xr:uid="{CB31BEDF-D15E-4250-9B98-FE1A25EA1B3E}">
      <text>
        <r>
          <rPr>
            <sz val="9"/>
            <color indexed="81"/>
            <rFont val="Tahoma"/>
            <family val="2"/>
          </rPr>
          <t>KATHERINE PECCHE_x000D_
http://yeinfo.com/family/I09066738.html_x000D_
https://www.google.com/search?q=KATHERINE+PECCHE+1339+1406+ASPALE_x000D_
.born: 1339    -          Great Thurlow (Suffolk) England_x000D_
.died: 14060808-          Chelmsford (Essex) England, age:67y 7m 7d, _x000D_
.bapt: 1785GE_x000D_
.will: 2004MO_x000D_
.obit: 1890OH_x000D_
.bury: 1850IL _x000D_
.wpbt: 1826PA_x000D_
.anc#:ancestor_x000D_
citiz:foreign_x000D_
#spos:1_x000D_
#srcs:2_x000D_
#comment:0_x000D_
#events:1_x000D_
#kids:1_x000D_
lived:ENESSEXCHELMSF,ENSUFFOGREAT T,ENSUFFOLACKFOR_x000D_
issue:_x000D_
.recs:Birth,Marriage,Death_x000D_
.imm?:no_x000D_
..Spo:JOHN ASPALE</t>
        </r>
      </text>
    </comment>
    <comment ref="Y7586" authorId="0" shapeId="0" xr:uid="{0C9CCA52-B9A0-4E86-AA18-8BEFA58E776E}">
      <text>
        <r>
          <rPr>
            <sz val="9"/>
            <color indexed="81"/>
            <rFont val="Tahoma"/>
            <family val="2"/>
          </rPr>
          <t>Mrs. JOAN PECCHE_x000D_
http://yeinfo.com/family/I09066740.html_x000D_
https://www.google.com/search?q=JOAN+PECCHE+1319+1341+PECCHE_x000D_
.born:?1319    -         ?Suffolk county England_x000D_
.died: 1341    -1404     ?Suffolk county England, age:22y 0m 0d, _x000D_
.bapt: 1785GE_x000D_
.will: 2004MO_x000D_
.obit: 1890OH_x000D_
.bury: 1850IL _x000D_
.wpbt: 1826PA_x000D_
.anc#:ancestor_x000D_
citiz:foreign_x000D_
#spos:1_x000D_
#srcs:2_x000D_
#comment:0_x000D_
#events:1_x000D_
#kids:1_x000D_
lived:?ENSUFFO_x000D_
issue:_x000D_
.recs:Birth,Marriage,Death_x000D_
.imm?:no_x000D_
..Spo:GILBERT PECCHE</t>
        </r>
      </text>
    </comment>
    <comment ref="U7588" authorId="0" shapeId="0" xr:uid="{5911620F-C047-495D-AB1A-D2493F7129DA}">
      <text>
        <r>
          <rPr>
            <sz val="9"/>
            <color indexed="81"/>
            <rFont val="Tahoma"/>
            <family val="2"/>
          </rPr>
          <t>WILLIAM GEDDINGE_x000D_
http://yeinfo.com/family/I09066055.html_x000D_
https://www.google.com/search?q=WILLIAM+GEDDINGE+1427+1494+MARGERIE_x000D_
.born: 1427    -          Suffolk county England_x000D_
.died: 1494    -          Suffolk county England, age:67y 0m 0d, _x000D_
.bapt: 1785GE_x000D_
.will: 2004MO_x000D_
.obit: 1890OH_x000D_
.bury: 1850IL _x000D_
.wpbt: 1826PA_x000D_
.anc#:ancestor_x000D_
citiz:foreign_x000D_
#spos:1_x000D_
#srcs:1_x000D_
#comment:0_x000D_
#events:1_x000D_
#kids:1_x000D_
lived:ENSUFFO_x000D_
issue:_x000D_
.recs:Birth,Marriage,Death_x000D_
.imm?:no_x000D_
..Spo:MARGERIE WATKINS</t>
        </r>
      </text>
    </comment>
    <comment ref="X7590" authorId="0" shapeId="0" xr:uid="{64D689DA-309F-4BC0-81D0-B54AFA83CF7C}">
      <text>
        <r>
          <rPr>
            <sz val="9"/>
            <color indexed="81"/>
            <rFont val="Tahoma"/>
            <family val="2"/>
          </rPr>
          <t>THOMAS ASTLEY_x000D_
http://yeinfo.com/family/I09066741.html_x000D_
https://www.google.com/search?q=THOMAS+ASTLEY+1351+1384+CATHERINE_x000D_
.born: 1351    -          Hillmorton (Warwick) England_x000D_
.died: 1384    -          Hillmorton (Warwick) England, age:33y 0m 0d, _x000D_
.bapt: 1785GE_x000D_
.will: 2004MO_x000D_
.obit: 1890OH_x000D_
.bury: 1850IL _x000D_
.wpbt: 1826PA_x000D_
.anc#:ancestor_x000D_
citiz:foreign_x000D_
#spos:1_x000D_
#srcs:3_x000D_
#comment:1_x000D_
#events:1_x000D_
#kids:1_x000D_
lived:ENWARWIHILLMOR_x000D_
issue:_x000D_
.recs:Birth,Marriage,Death_x000D_
.imm?:no_x000D_
..Spo:CATHERINE BACON</t>
        </r>
      </text>
    </comment>
    <comment ref="W7592" authorId="0" shapeId="0" xr:uid="{2D2F9421-BE7E-48D5-97FA-F2A5C6CF5D4B}">
      <text>
        <r>
          <rPr>
            <sz val="9"/>
            <color indexed="81"/>
            <rFont val="Tahoma"/>
            <family val="2"/>
          </rPr>
          <t>THOMAS ASTLEY_x000D_
http://yeinfo.com/family/I09066399.html_x000D_
https://www.google.com/search?q=THOMAS+ASTLEY+1385+1423+ELIZABETH_x000D_
.born: 1385    -          Hillmorton (Warwickshire) England_x000D_
.died:c1423    -          Melton Constable (Norfolk) England, age:38y 0m 0d, _x000D_
.bapt: 1785GE_x000D_
.will: 2004MO_x000D_
.obit: 1890OH_x000D_
.bury: 1850IL _x000D_
.wpbt: 1826PA_x000D_
.anc#:ancestor_x000D_
citiz:foreign_x000D_
#spos:1_x000D_
#srcs:3_x000D_
#comment:1_x000D_
#events:1_x000D_
#kids:1_x000D_
lived:ENNORFOMELTONC,ENWARWEHILLMOR_x000D_
issue:Born after Parent Died_x000D_
.recs:Birth,Marriage,Death_x000D_
.imm?:no_x000D_
..Spo:ELIZABETH DACRE</t>
        </r>
      </text>
    </comment>
    <comment ref="X7594" authorId="0" shapeId="0" xr:uid="{E289523D-F845-4D13-96C9-219AED653E2F}">
      <text>
        <r>
          <rPr>
            <sz val="9"/>
            <color indexed="81"/>
            <rFont val="Tahoma"/>
            <family val="2"/>
          </rPr>
          <t>CATHERINE BACON_x000D_
http://yeinfo.com/family/I09066742.html_x000D_
https://www.google.com/search?q=CATHERINE+BACON+1355+1384+ASTLEY_x000D_
.born: 1355    -          England_x000D_
.died: 1384    -1449      England, age:29y 0m 0d, _x000D_
.bapt: 1785GE_x000D_
.will: 2004MO_x000D_
.obit: 1890OH_x000D_
.bury: 1850IL _x000D_
.wpbt: 1826PA_x000D_
.anc#:ancestor_x000D_
citiz:foreign_x000D_
#spos:1_x000D_
#srcs:3_x000D_
#comment:1_x000D_
#events:1_x000D_
#kids:1_x000D_
lived:EN_x000D_
issue:_x000D_
.recs:Birth,Marriage,Death_x000D_
.imm?:no_x000D_
..Spo:THOMAS ASTLEY</t>
        </r>
      </text>
    </comment>
    <comment ref="V7596" authorId="0" shapeId="0" xr:uid="{5592254F-5B5D-46AE-94FA-A864FF1F31C0}">
      <text>
        <r>
          <rPr>
            <sz val="9"/>
            <color indexed="81"/>
            <rFont val="Tahoma"/>
            <family val="2"/>
          </rPr>
          <t>ANNE ASTLEY_x000D_
http://yeinfo.com/family/I09066246.html_x000D_
https://www.google.com/search?q=ANNE+ASTLEY+1408+1428+GEDDINGE_x000D_
.born: 1408    -          Melton Constable (Norfolk) England_x000D_
.died: 1428    -1498      Hillmorton (Warwickshire) England, age:20y 0m 0d, _x000D_
.bapt: 1785GE_x000D_
.will: 2004MO_x000D_
.obit: 1890OH_x000D_
.bury: 1850IL _x000D_
.wpbt: 1826PA_x000D_
.anc#:ancestor_x000D_
citiz:foreign_x000D_
#spos:1_x000D_
#srcs:1_x000D_
#comment:0_x000D_
#events:1_x000D_
#kids:1_x000D_
lived:ENNORFOMELTONC,ENSUFFO,ENWARWEHILLMOR_x000D_
issue:_x000D_
.recs:Birth,Marriage,Death_x000D_
.imm?:no_x000D_
..Spo:THOMAS GEDDINGE</t>
        </r>
      </text>
    </comment>
    <comment ref="W7598" authorId="0" shapeId="0" xr:uid="{69904926-E2F2-4E54-BB5E-219475BCE8C6}">
      <text>
        <r>
          <rPr>
            <sz val="9"/>
            <color indexed="81"/>
            <rFont val="Tahoma"/>
            <family val="2"/>
          </rPr>
          <t>ELIZABETH DACRE_x000D_
http://yeinfo.com/family/I09066400.html_x000D_
https://www.google.com/search?q=ELIZABETH+DACRE+1390+1410+ASTLEY_x000D_
.born: 1390    -          Brampton (Cumbria) England_x000D_
.died: 1410    -1480     ?England, age:20y 0m 0d, _x000D_
.bapt: 1785GE_x000D_
.will: 2004MO_x000D_
.obit: 1890OH_x000D_
.bury: 1850IL _x000D_
.wpbt: 1826PA_x000D_
.anc#:ancestor_x000D_
citiz:foreign_x000D_
#spos:1_x000D_
#srcs:1_x000D_
#comment:1_x000D_
#events:1_x000D_
#kids:1_x000D_
lived:ENCUMBRBRAMPTO,ENWARWEHILLMOR_x000D_
issue:_x000D_
.recs:Birth,Marriage,Death_x000D_
.imm?:no_x000D_
..Spo:THOMAS ASTLEY</t>
        </r>
      </text>
    </comment>
    <comment ref="T7600" authorId="0" shapeId="0" xr:uid="{08AAC6B6-5472-4F3E-88AF-28ED0DC5177D}">
      <text>
        <r>
          <rPr>
            <sz val="9"/>
            <color indexed="81"/>
            <rFont val="Tahoma"/>
            <family val="2"/>
          </rPr>
          <t>CONSTANCE GEDDINGE_x000D_
http://yeinfo.com/family/I09065900.html_x000D_
https://www.google.com/search?q=CONSTANCE+GEDDINGE+1453+1480+ALLYNE_x000D_
.born: 1453    -          Icklingham (Suffolk) England_x000D_
.died: 1480    -1543      Suffolk county England, age:27y 0m 0d, _x000D_
.bapt: 1785GE_x000D_
.will: 2004MO_x000D_
.obit: 1890OH_x000D_
.bury: 1850IL _x000D_
.wpbt: 1826PA_x000D_
.anc#:ancestor_x000D_
citiz:foreign_x000D_
#spos:1_x000D_
#srcs:1_x000D_
#comment:0_x000D_
#events:1_x000D_
#kids:1_x000D_
lived:ENSUFFOICKLING_x000D_
issue:Married before Age 16,Died before Birth_x000D_
.recs:Birth,Marriage,Death_x000D_
.imm?:no_x000D_
..Spo:JOHN ALLYNE</t>
        </r>
      </text>
    </comment>
    <comment ref="V7602" authorId="0" shapeId="0" xr:uid="{46CE3E5B-D593-4A99-A9CF-E05E095F816A}">
      <text>
        <r>
          <rPr>
            <sz val="9"/>
            <color indexed="81"/>
            <rFont val="Tahoma"/>
            <family val="2"/>
          </rPr>
          <t>JOHN WATKINS_x000D_
http://yeinfo.com/family/I09066247.html_x000D_
https://www.google.com/search?q=JOHN+WATKINS+1405+1470+ANNE_x000D_
.born: 1405    -          Buckingham (Buckinghamshire) England_x000D_
.died: 1470    -         ?England, age:65y 0m 0d, _x000D_
.bapt: 1785GE_x000D_
.will: 2004MO_x000D_
.obit: 1890OH_x000D_
.bury: 1850IL _x000D_
.wpbt: 1826PA_x000D_
.anc#:ancestor_x000D_
citiz:foreign_x000D_
#spos:1_x000D_
#srcs:1_x000D_
#comment:0_x000D_
#events:1_x000D_
#kids:1_x000D_
lived:ENBUCKEBUCKING_x000D_
issue:_x000D_
.recs:Birth,Marriage,Death_x000D_
.imm?:no_x000D_
..Spo:ANNE CHENEY</t>
        </r>
      </text>
    </comment>
    <comment ref="U7604" authorId="0" shapeId="0" xr:uid="{303F2012-4BFB-419D-9C6F-382428FAB533}">
      <text>
        <r>
          <rPr>
            <sz val="9"/>
            <color indexed="81"/>
            <rFont val="Tahoma"/>
            <family val="2"/>
          </rPr>
          <t>MARGERIE WATKINS_x000D_
http://yeinfo.com/family/I09066056.html_x000D_
https://www.google.com/search?q=MARGERIE+WATKINS+1431+1488+GEDDINGE_x000D_
.born: 1431    -          Suffolk county England_x000D_
.died: 1488    -          Suffolk county England, age:57y 0m 0d, _x000D_
.bapt: 1785GE_x000D_
.will: 2004MO_x000D_
.obit: 1890OH_x000D_
.bury: 1850IL _x000D_
.wpbt: 1826PA_x000D_
.anc#:ancestor_x000D_
citiz:foreign_x000D_
#spos:1_x000D_
#srcs:1_x000D_
#comment:0_x000D_
#events:1_x000D_
#kids:1_x000D_
lived:ENSUFFO_x000D_
issue:_x000D_
.recs:Birth,Marriage,Death_x000D_
.imm?:no_x000D_
..Spo:WILLIAM GEDDINGE</t>
        </r>
      </text>
    </comment>
    <comment ref="W7606" authorId="0" shapeId="0" xr:uid="{E82ADFFA-5D95-4BB4-B16F-CA2532EA9207}">
      <text>
        <r>
          <rPr>
            <sz val="9"/>
            <color indexed="81"/>
            <rFont val="Tahoma"/>
            <family val="2"/>
          </rPr>
          <t>ROGER CHENEY_x000D_
http://yeinfo.com/family/I09066401.html_x000D_
https://www.google.com/search?q=ROGER+CHENEY+1362+1414+AGNES_x000D_
.born: 13620801-          Drayton Parslow (Buckinghamshire) England_x000D_
.died: 14140514-          Drayton Parslow (Buckinghamshire) England, age:51y 9m 13d, _x000D_
.bapt: 1785GE_x000D_
.will: 2004MO_x000D_
.obit: 1890OH_x000D_
.bury: 1850IL _x000D_
.wpbt: 1826PA_x000D_
.anc#:ancestor_x000D_
citiz:foreign_x000D_
#spos:1_x000D_
#srcs:1_x000D_
#comment:1_x000D_
#events:1_x000D_
#kids:1_x000D_
lived:ENBUCKEDRAYTOP_x000D_
issue:_x000D_
.recs:Birth,Marriage,Death_x000D_
.imm?:no_x000D_
..Spo:AGNES CARLETON</t>
        </r>
      </text>
    </comment>
    <comment ref="V7608" authorId="0" shapeId="0" xr:uid="{D5FE2FC6-3FAF-43EA-9E14-E4453101C492}">
      <text>
        <r>
          <rPr>
            <sz val="9"/>
            <color indexed="81"/>
            <rFont val="Tahoma"/>
            <family val="2"/>
          </rPr>
          <t>ANNE CHENEY_x000D_
http://yeinfo.com/family/I09066248.html_x000D_
https://www.google.com/search?q=ANNE+CHENEY+1412+1431+WATKINS_x000D_
.born: 1412    -          Buckingham (Buckinghamshire) England_x000D_
.died:c1431    -         ?England, age:19y 0m 0d, _x000D_
.bapt: 1785GE_x000D_
.will: 2004MO_x000D_
.obit: 1890OH_x000D_
.bury: 1850IL _x000D_
.wpbt: 1826PA_x000D_
.anc#:ancestor_x000D_
citiz:foreign_x000D_
#spos:1_x000D_
#srcs:1_x000D_
#comment:0_x000D_
#events:1_x000D_
#kids:1_x000D_
lived:ENBUCKEBUCKING_x000D_
issue:_x000D_
.recs:Birth,Marriage,Death_x000D_
.imm?:no_x000D_
..Spo:JOHN WATKINS</t>
        </r>
      </text>
    </comment>
    <comment ref="W7610" authorId="0" shapeId="0" xr:uid="{83F46F3A-3B0C-41B7-B067-CD2967FAD54F}">
      <text>
        <r>
          <rPr>
            <sz val="9"/>
            <color indexed="81"/>
            <rFont val="Tahoma"/>
            <family val="2"/>
          </rPr>
          <t>AGNES CARLETON_x000D_
http://yeinfo.com/family/I09066402.html_x000D_
https://www.google.com/search?q=AGNES+CARLETON+1374+1412+CHENEY_x000D_
.born: 1374    -          Buckinghamshire county England_x000D_
.died: 1412    -1464     ?England, age:38y 0m 0d, _x000D_
.bapt: 1785GE_x000D_
.will: 2004MO_x000D_
.obit: 1890OH_x000D_
.bury: 1850IL _x000D_
.wpbt: 1826PA_x000D_
.anc#:ancestor_x000D_
citiz:foreign_x000D_
#spos:1_x000D_
#srcs:1_x000D_
#comment:0_x000D_
#events:1_x000D_
#kids:1_x000D_
lived:ENBUCKE_x000D_
issue:_x000D_
.recs:Birth,Marriage,Death_x000D_
.imm?:no_x000D_
..Spo:ROGER CHENEY</t>
        </r>
      </text>
    </comment>
    <comment ref="Q7612" authorId="0" shapeId="0" xr:uid="{EC4F5781-5C4E-458A-9DF0-6C6B6835DCD6}">
      <text>
        <r>
          <rPr>
            <sz val="9"/>
            <color indexed="81"/>
            <rFont val="Tahoma"/>
            <family val="2"/>
          </rPr>
          <t>RICHARD KEMPE_x000D_
http://yeinfo.com/family/I09048168.html_x000D_
https://www.google.com/search?q=RICHARD+KEMPE+1542+1600+ALICE_x000D_
.born:c1542    -          Gissing (Norfolk) England_x000D_
.died: 16000517-          Gissing (Norfolk) England, age:58y 4m 16d, _x000D_
.bapt: 1785GE_x000D_
.will: 2004MO_x000D_
.obit: 1890OH_x000D_
.bury: 1850IL _x000D_
.wpbt: 1826PA_x000D_
.anc#:ancestor_x000D_
citiz:foreign_x000D_
#spos:1_x000D_
#srcs:1_x000D_
#comment:0_x000D_
#events:1_x000D_
#kids:1_x000D_
lived:ENMIDDLHAMPSTE,ENNORFOGISSING_x000D_
issue:_x000D_
.recs:Birth,Marriage,Death_x000D_
.imm?:no_x000D_
..Spo:ALICE COCKERHAM</t>
        </r>
      </text>
    </comment>
    <comment ref="S7614" authorId="0" shapeId="0" xr:uid="{77CD02C7-757B-423C-AD7D-73E2E4C981BF}">
      <text>
        <r>
          <rPr>
            <sz val="9"/>
            <color indexed="81"/>
            <rFont val="Tahoma"/>
            <family val="2"/>
          </rPr>
          <t>EDMUND JOHN SMYTHWYN_x000D_
http://yeinfo.com/family/I09065750.html_x000D_
https://www.google.com/search?q=EDMUND+JOHN+SMYTHWYN+1500+1520+{_?_}_x000D_
.born:?1500    -          Buckinghamshire county England_x000D_
.died: 1520    -1590      England, age:20y 0m 0d, _x000D_
.bapt: 1785GE_x000D_
.will: 2004MO_x000D_
.obit: 1890OH_x000D_
.bury: 1850IL _x000D_
.wpbt: 1826PA_x000D_
.anc#:ancestor_x000D_
citiz:foreign_x000D_
#spos:1_x000D_
#srcs:1_x000D_
#comment:0_x000D_
#events:1_x000D_
#kids:1_x000D_
lived:ENBUCKE_x000D_
issue:_x000D_
.recs:Birth,Marriage,Death_x000D_
.imm?:no_x000D_
..Spo:{_?_} SMYTHWYN</t>
        </r>
      </text>
    </comment>
    <comment ref="R7616" authorId="0" shapeId="0" xr:uid="{2664D0E6-64B4-4943-B672-C1875381766B}">
      <text>
        <r>
          <rPr>
            <sz val="9"/>
            <color indexed="81"/>
            <rFont val="Tahoma"/>
            <family val="2"/>
          </rPr>
          <t>ELIZABETH SMYTHWYN_x000D_
http://yeinfo.com/family/I09065622.html_x000D_
https://www.google.com/search?q=ELIZABETH+SMYTHWYN+1520+1553+KEMPE_x000D_
.born: 1520    -          Gissing (Norfolk) England_x000D_
.died: 1553    -          Gissing (Norfolk) England, age:33y 0m 0d, _x000D_
.bapt: 1785GE_x000D_
.will: 2004MO_x000D_
.obit: 1890OH_x000D_
.bury: 1850IL _x000D_
.wpbt: 1826PA_x000D_
.anc#:ancestor_x000D_
citiz:foreign_x000D_
#spos:1_x000D_
#srcs:1_x000D_
#comment:0_x000D_
#events:1_x000D_
#kids:1_x000D_
lived:ENNORFOGISSING_x000D_
issue:Died after Age 100_x000D_
.recs:Birth,Marriage,Death_x000D_
.imm?:no_x000D_
..Spo:ROBERT KEMPE</t>
        </r>
      </text>
    </comment>
    <comment ref="S7618" authorId="0" shapeId="0" xr:uid="{5DCA884B-2591-4683-8B10-2831F435FC6D}">
      <text>
        <r>
          <rPr>
            <sz val="9"/>
            <color indexed="81"/>
            <rFont val="Tahoma"/>
            <family val="2"/>
          </rPr>
          <t>Mrs. {_?_} SMYTHWYN_x000D_
http://yeinfo.com/family/I09065751.html_x000D_
https://www.google.com/search?q={_?_}+SMYTHWYN+1500+1520+SMYTHWYN_x000D_
.born:?1500    -          England_x000D_
.died: 1520    -1590     ?England, age:20y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..Spo:EDMUND JOHN SMYTHWYN</t>
        </r>
      </text>
    </comment>
    <comment ref="P7620" authorId="0" shapeId="0" xr:uid="{823C7DA9-6526-479B-A604-58165D85EE85}">
      <text>
        <r>
          <rPr>
            <sz val="9"/>
            <color indexed="81"/>
            <rFont val="Tahoma"/>
            <family val="2"/>
          </rPr>
          <t>ROBERT KEMPE_x000D_
http://yeinfo.com/family/I09024084.html_x000D_
https://www.google.com/search?q=ROBERT+KEMPE+1567+1612+DOROTHY_x000D_
.born:c15671228-          Hampstead (Middlesex) England_x000D_
.died: 16121023-          Gissing (Norfolk) England, age:44y 9m 25d, _x000D_
.bapt: 1785GE_x000D_
.will: 2004MO_x000D_
.obit: 1890OH_x000D_
.bury: 1850IL Saint Mary Churchyard_x000D_
.wpbt: 1826PA_x000D_
.anc#:ancestor_x000D_
citiz:foreign_x000D_
#spos:1_x000D_
#srcs:2_x000D_
#comment:0_x000D_
#events:2_x000D_
#kids:1_x000D_
lived:ENMIDDLHAMPSTE,ENNORFOGISSING_x000D_
issue:_x000D_
.recs:Birth,Marriage,Death,Interment/Burial_x000D_
.imm?:no_x000D_
..Spo:DOROTHY HARRIS</t>
        </r>
      </text>
    </comment>
    <comment ref="R7622" authorId="0" shapeId="0" xr:uid="{3AC306F9-7206-4ACA-8712-A6A55D0C936B}">
      <text>
        <r>
          <rPr>
            <sz val="9"/>
            <color indexed="81"/>
            <rFont val="Tahoma"/>
            <family val="2"/>
          </rPr>
          <t>PHILIP COCKERHAM_x000D_
http://yeinfo.com/family/I09065623.html_x000D_
https://www.google.com/search?q=PHILIP+COCKERHAM+1519+1545+ELIZABETH_x000D_
.born: 1519    -          Hampstead (Middlesex) England_x000D_
.died: 1545    -1609      Hampstead (Middlesex) England, age:26y 0m 0d, _x000D_
.bapt: 1785GE_x000D_
.will: 2004MO_x000D_
.obit: 1890OH_x000D_
.bury: 1850IL _x000D_
.wpbt: 1826PA_x000D_
.anc#:ancestor_x000D_
citiz:foreign_x000D_
#spos:1_x000D_
#srcs:1_x000D_
#comment:0_x000D_
#events:1_x000D_
#kids:1_x000D_
lived:ENMIDDLHAMPSTE_x000D_
issue:_x000D_
.recs:Birth,Marriage,Death_x000D_
.imm?:no_x000D_
..Spo:ELIZABETH SPENCER</t>
        </r>
      </text>
    </comment>
    <comment ref="Q7624" authorId="0" shapeId="0" xr:uid="{A89022AF-6E0B-418C-BE0F-E7D7EEA7F0FA}">
      <text>
        <r>
          <rPr>
            <sz val="9"/>
            <color indexed="81"/>
            <rFont val="Tahoma"/>
            <family val="2"/>
          </rPr>
          <t>ALICE COCKERHAM_x000D_
http://yeinfo.com/family/I09048169.html_x000D_
https://www.google.com/search?q=ALICE+COCKERHAM+1545+1645+KEMPE+Edmund_x000D_
.born: 1545    -          Hampstead (Middlesex) England_x000D_
.died: 1645    -          Gissing (Norfolk) England, age:100y 0m 0d, _x000D_
.bapt: 1785GE_x000D_
.will: 2004MO_x000D_
.obit: 1890OH_x000D_
.bury: 1850IL _x000D_
.wpbt: 1826PA_x000D_
.anc#:ancestor_x000D_
citiz:foreign_x000D_
#spos:2_x000D_
#srcs:1_x000D_
#comment:0_x000D_
#events:2_x000D_
#kids:1_x000D_
lived:ENMIDDLHAMPSTE,ENNORFOGISSING_x000D_
issue:_x000D_
.recs:Birth,Marriage,Death_x000D_
.imm?:no_x000D_
..Spo:RICHARD KEMPE</t>
        </r>
      </text>
    </comment>
    <comment ref="R7626" authorId="0" shapeId="0" xr:uid="{5C128379-B189-4B07-A605-25036C2F5C07}">
      <text>
        <r>
          <rPr>
            <sz val="9"/>
            <color indexed="81"/>
            <rFont val="Tahoma"/>
            <family val="2"/>
          </rPr>
          <t>ELIZABETH SPENCER_x000D_
http://yeinfo.com/family/I09065624.html_x000D_
https://www.google.com/search?q=ELIZABETH+SPENCER+1520+1545+COCKERHAM_x000D_
.born:?1520    -          England_x000D_
.died: 1545    -1610      England, age:25y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..Spo:PHILIP COCKERHAM</t>
        </r>
      </text>
    </comment>
    <comment ref="O7628" authorId="0" shapeId="0" xr:uid="{CAC3F7D7-AEA8-4302-B34C-780469B94637}">
      <text>
        <r>
          <rPr>
            <sz val="9"/>
            <color indexed="81"/>
            <rFont val="Tahoma"/>
            <family val="2"/>
          </rPr>
          <t>EDWARD KEMPE_x000D_
http://yeinfo.com/family/I09012042.html_x000D_
https://www.google.com/search?q=EDWARD+KEMPE+1610+1668+ANNE\ESTHER_x000D_
.born:?1610    -          Gissing (Norfolk) England_x000D_
.died: 16681217-          Chelmsford (Middlesex) Massachusetts, age:58y 11m 16d, _x000D_
.bapt: 1785GE_x000D_
.will: 2004MO_x000D_
.obit: 1890OH_x000D_
.bury: 1850IL _x000D_
.wpbt: 1826PA_x000D_
.anc#:ancestor_x000D_
citiz:immigrant_x000D_
#spos:1_x000D_
#srcs:1_x000D_
#comment:0_x000D_
#events:1_x000D_
#kids:1_x000D_
lived:ENNORFODISS,ENNORFOGISSING,MAMIDDLCHELMSF_x000D_
issue:_x000D_
.recs:Birth,Marriage,Death_x000D_
.imm?:immigrant_x000D_
..Spo:ANNE\ESTHER BECKENHAM</t>
        </r>
      </text>
    </comment>
    <comment ref="R7630" authorId="0" shapeId="0" xr:uid="{C7D8C24C-57BD-4240-AFAF-033B00218233}">
      <text>
        <r>
          <rPr>
            <sz val="9"/>
            <color indexed="81"/>
            <rFont val="Tahoma"/>
            <family val="2"/>
          </rPr>
          <t>WILLIAM HARRIS I_x000D_
http://yeinfo.com/family/I09065625.html_x000D_
https://www.google.com/search?q=WILLIAM+HARRIS+1505+1527+JOAN_x000D_
.born:c1505    -          Willingale Doe (Essex) England_x000D_
.died: 1527    -1595     ?England, age:22y 0m 0d, _x000D_
.bapt: 1785GE_x000D_
.will: 2004MO_x000D_
.obit: 1890OH_x000D_
.bury: 1850IL _x000D_
.wpbt: 1826PA_x000D_
.anc#:ancestor_x000D_
citiz:foreign_x000D_
#spos:1_x000D_
#srcs:2_x000D_
#comment:1_x000D_
#events:1_x000D_
#kids:1_x000D_
lived:ENESSEXWILLDOE_x000D_
issue:Died before Birth_x000D_
.recs:Birth,Marriage,Death_x000D_
.imm?:no_x000D_
..Spo:JOAN COOKE</t>
        </r>
      </text>
    </comment>
    <comment ref="Q7632" authorId="0" shapeId="0" xr:uid="{7B6241E2-5458-4FDA-AA5D-4093605B0073}">
      <text>
        <r>
          <rPr>
            <sz val="9"/>
            <color indexed="81"/>
            <rFont val="Tahoma"/>
            <family val="2"/>
          </rPr>
          <t>ARTHUR HARRIS_x000D_
http://yeinfo.com/family/I09048170.html_x000D_
https://www.google.com/search?q=ARTHUR+HARRIS+1527+1597+DOROTHY_x000D_
.born:?1527    -          Woodham Ferrers (Essex) England_x000D_
.died: 15970630-          Woodham Ferrers (Essex) England, age:70y 5m 29d, _x000D_
.bapt: 1785GE_x000D_
.will: 2004MO_x000D_
.obit: 1890OH_x000D_
.bury: 1850IL _x000D_
.wpbt: 1826PA_x000D_
.anc#:ancestor_x000D_
citiz:foreign_x000D_
#spos:1_x000D_
#srcs:1_x000D_
#comment:0_x000D_
#events:1_x000D_
#kids:1_x000D_
lived:ENESSEXWOODHFE_x000D_
issue:Born before Parents Married_x000D_
.recs:Birth,Marriage,Death_x000D_
.imm?:no_x000D_
..Spo:DOROTHY WALDEGRAVE</t>
        </r>
      </text>
    </comment>
    <comment ref="R7634" authorId="0" shapeId="0" xr:uid="{0BB0E6D7-F92D-4426-AA14-38E85D2449BD}">
      <text>
        <r>
          <rPr>
            <sz val="9"/>
            <color indexed="81"/>
            <rFont val="Tahoma"/>
            <family val="2"/>
          </rPr>
          <t>JOAN COOKE_x000D_
http://yeinfo.com/family/I09065626.html_x000D_
https://www.google.com/search?q=JOAN+COOKE+1500+1527+HARRIS_x000D_
.born:c1500    -          Bocking (Essex) England_x000D_
.died: 1527    -1590      Woodham Ferrers (Essex) England, age:27y 0m 0d, _x000D_
.bapt: 1785GE_x000D_
.will: 2004MO_x000D_
.obit: 1890OH_x000D_
.bury: 1850IL _x000D_
.wpbt: 1826PA_x000D_
.anc#:ancestor_x000D_
citiz:foreign_x000D_
#spos:1_x000D_
#srcs:1_x000D_
#comment:0_x000D_
#events:1_x000D_
#kids:1_x000D_
lived:ENESSEXBOCKING,ENESSEXWOODHFE_x000D_
issue:Died before Birth_x000D_
.recs:Birth,Marriage,Death_x000D_
.imm?:no_x000D_
..Spo:WILLIAM HARRIS</t>
        </r>
      </text>
    </comment>
    <comment ref="P7636" authorId="0" shapeId="0" xr:uid="{31A7EB11-7ADF-4C2A-B21E-7B72BE54F1DA}">
      <text>
        <r>
          <rPr>
            <sz val="9"/>
            <color indexed="81"/>
            <rFont val="Tahoma"/>
            <family val="2"/>
          </rPr>
          <t>DOROTHY HARRIS_x000D_
http://yeinfo.com/family/I09024085.html_x000D_
https://www.google.com/search?q=DOROTHY+HARRIS+1567+1610+KEMPE_x000D_
.born: 1567    -          Creeksea (Essex) England_x000D_
.died: 1610    -1657      Kent county England, age:43y 0m 0d, _x000D_
.bapt: 1785GE_x000D_
.will: 2004MO_x000D_
.obit: 1890OH_x000D_
.bury: 1850IL _x000D_
.wpbt: 1826PA_x000D_
.anc#:ancestor_x000D_
citiz:foreign_x000D_
#spos:1_x000D_
#srcs:1_x000D_
#comment:0_x000D_
#events:1_x000D_
#kids:1_x000D_
lived:ENESSEXCREEKSE,ENKENT_x000D_
issue:_x000D_
.recs:Birth,Marriage,Death_x000D_
.imm?:no_x000D_
..Spo:ROBERT KEMPE</t>
        </r>
      </text>
    </comment>
    <comment ref="W7638" authorId="0" shapeId="0" xr:uid="{05396643-622F-4D6B-A003-E2C48E337FD5}">
      <text>
        <r>
          <rPr>
            <sz val="9"/>
            <color indexed="81"/>
            <rFont val="Tahoma"/>
            <family val="2"/>
          </rPr>
          <t>RICHARD WALDEGRAVE_x000D_
http://yeinfo.com/family/I09066403.html_x000D_
https://www.google.com/search?q=RICHARD+WALDEGRAVE+1380+1434+JANE_x000D_
.born:a1380    -          Smallbridge (Suffolk) England_x000D_
.died: 14340511-          Smallbridge (Suffolk) England, age:54y 4m 10d, _x000D_
.bapt: 1785GE_x000D_
.will: 2004MO_x000D_
.obit: 1890OH_x000D_
.bury: 1850IL _x000D_
.wpbt: 1826PA_x000D_
.anc#:ancestor_x000D_
citiz:foreign_x000D_
#spos:1_x000D_
#srcs:1_x000D_
#comment:0_x000D_
#events:1_x000D_
#kids:1_x000D_
lived:ENSUFFOSMBRIDG_x000D_
issue:_x000D_
.recs:Birth,Marriage,Death_x000D_
.imm?:no_x000D_
..Spo:JANE MUNCHENSY</t>
        </r>
      </text>
    </comment>
    <comment ref="V7640" authorId="0" shapeId="0" xr:uid="{5AFDBEE0-14C9-4237-AA6E-CD7E6C5A956D}">
      <text>
        <r>
          <rPr>
            <sz val="9"/>
            <color indexed="81"/>
            <rFont val="Tahoma"/>
            <family val="2"/>
          </rPr>
          <t>WILLIAM WALDEGRAVE_x000D_
http://yeinfo.com/family/I09066249.html_x000D_
https://www.google.com/search?q=WILLIAM+WALDEGRAVE+1400+1454+JOANE_x000D_
.born:c1400    -          Northamptonshire county England_x000D_
.died: 14540511-          Sudbury (Suffolk) England, age:54y 4m 10d, _x000D_
.bapt: 1785GE_x000D_
.will: 2004MO_x000D_
.obit: 1890OH_x000D_
.bury: 1850IL _x000D_
.wpbt: 1826PA_x000D_
.anc#:ancestor_x000D_
citiz:foreign_x000D_
#spos:1_x000D_
#srcs:1_x000D_
#comment:0_x000D_
#events:1_x000D_
#kids:1_x000D_
lived:ENNORTA,ENSUFFOSUDBURY_x000D_
issue:_x000D_
.recs:Birth,Marriage,Death_x000D_
.imm?:no_x000D_
..Spo:JOANE DURWARD</t>
        </r>
      </text>
    </comment>
    <comment ref="W7642" authorId="0" shapeId="0" xr:uid="{22537FBF-5C61-4B2E-BF47-2A7084CB79D6}">
      <text>
        <r>
          <rPr>
            <sz val="9"/>
            <color indexed="81"/>
            <rFont val="Tahoma"/>
            <family val="2"/>
          </rPr>
          <t>JANE MUNCHENSY_x000D_
http://yeinfo.com/family/I09066404.html_x000D_
https://www.google.com/search?q=JANE+MUNCHENSY+1371+1450+WALDEGRAVE_x000D_
.born: 1371    -          Edwardstone (Suffolk) England_x000D_
.died: 14501009-          Smallbridge (Suffolk) England, age:79y 9m 8d, _x000D_
.bapt: 1785GE_x000D_
.will: 2004MO_x000D_
.obit: 1890OH_x000D_
.bury: 1850IL _x000D_
.wpbt: 1826PA_x000D_
.anc#:ancestor_x000D_
citiz:foreign_x000D_
#spos:1_x000D_
#srcs:2_x000D_
#comment:1_x000D_
#events:1_x000D_
#kids:1_x000D_
lived:ENSUFFOEDWARDE,ENSUFFOSMBRIDG_x000D_
issue:_x000D_
.recs:Birth,Marriage,Death_x000D_
.imm?:no_x000D_
..Spo:RICHARD WALDEGRAVE</t>
        </r>
      </text>
    </comment>
    <comment ref="U7644" authorId="0" shapeId="0" xr:uid="{B5DD029B-254B-4A94-A4E0-BF4B3400F64E}">
      <text>
        <r>
          <rPr>
            <sz val="9"/>
            <color indexed="81"/>
            <rFont val="Tahoma"/>
            <family val="2"/>
          </rPr>
          <t>THOMAS WALDEGRAVE_x000D_
http://yeinfo.com/family/I09066057.html_x000D_
https://www.google.com/search?q=THOMAS+WALDEGRAVE+1437+1472+ELIZABETH_x000D_
.born:c1437    -          Smallbridge (Suffolk) England_x000D_
.died: 14720428-          Smallbridge (Suffolk) England, age:35y 3m 27d, _x000D_
.bapt: 1785GE_x000D_
.will: 2004MO_x000D_
.obit: 1890OH_x000D_
.bury: 1850IL _x000D_
.wpbt: 1826PA_x000D_
.anc#:ancestor_x000D_
citiz:foreign_x000D_
#spos:1_x000D_
#srcs:1_x000D_
#comment:0_x000D_
#events:1_x000D_
#kids:1_x000D_
lived:ENSUFFOSMBRIDG_x000D_
issue:_x000D_
.recs:Birth,Marriage,Death_x000D_
.imm?:no_x000D_
..Spo:ELIZABETH FRAY</t>
        </r>
      </text>
    </comment>
    <comment ref="W7646" authorId="0" shapeId="0" xr:uid="{23D64D62-4656-47A9-8B58-1887448C7EDA}">
      <text>
        <r>
          <rPr>
            <sz val="9"/>
            <color indexed="81"/>
            <rFont val="Tahoma"/>
            <family val="2"/>
          </rPr>
          <t>JOHN\WILLIAM DURWARD_x000D_
http://yeinfo.com/family/I09066405.html_x000D_
https://www.google.com/search?q=JOHN\WILLIAM+DURWARD+1368+1420+KATHERINE_x000D_
.born:?1368    -          England_x000D_
.died: 14201112-          Bocking (Essex) England, age:52y 10m 11d, _x000D_
.bapt: 1785GE_x000D_
.will: 2004MO_x000D_
.obit: 1890OH_x000D_
.bury: 1850IL _x000D_
.wpbt: 1826PA_x000D_
.anc#:ancestor_x000D_
citiz:foreign_x000D_
#spos:1_x000D_
#srcs:1_x000D_
#comment:0_x000D_
#events:1_x000D_
#kids:1_x000D_
lived:ENESSEXBOCKING_x000D_
issue:_x000D_
.recs:Birth,Marriage,Death_x000D_
.imm?:no_x000D_
..Spo:KATHERINE WALLCOTT</t>
        </r>
      </text>
    </comment>
    <comment ref="V7648" authorId="0" shapeId="0" xr:uid="{97E4C190-AD97-4D8C-8337-5DFD97E1330B}">
      <text>
        <r>
          <rPr>
            <sz val="9"/>
            <color indexed="81"/>
            <rFont val="Tahoma"/>
            <family val="2"/>
          </rPr>
          <t>JOANE DURWARD_x000D_
http://yeinfo.com/family/I09066250.html_x000D_
https://www.google.com/search?q=JOANE+DURWARD+1390+1437+WALDEGRAVE_x000D_
.born:?1390    -         ?England_x000D_
.died: 1437    -1480     ?England, age:47y 0m 0d, _x000D_
.bapt: 1785GE_x000D_
.will: 2004MO_x000D_
.obit: 1890OH_x000D_
.bury: 1850IL _x000D_
.wpbt: 1826PA_x000D_
.anc#:ancestor_x000D_
citiz:foreign_x000D_
#spos:1_x000D_
#srcs:2_x000D_
#comment:1_x000D_
#events:1_x000D_
#kids:1_x000D_
lived:?EN_x000D_
issue:_x000D_
.recs:Birth,Marriage,Death_x000D_
.imm?:no_x000D_
..Spo:WILLIAM WALDEGRAVE</t>
        </r>
      </text>
    </comment>
    <comment ref="W7650" authorId="0" shapeId="0" xr:uid="{E750818F-BEEE-4BA5-8CA7-A21F7CC9D4E6}">
      <text>
        <r>
          <rPr>
            <sz val="9"/>
            <color indexed="81"/>
            <rFont val="Tahoma"/>
            <family val="2"/>
          </rPr>
          <t>KATHERINE WALLCOTT_x000D_
http://yeinfo.com/family/I09066406.html_x000D_
https://www.google.com/search?q=KATHERINE+WALLCOTT+1368+1397+DURWARD_x000D_
.born: 1368    -          Essex county England_x000D_
.died:?1397    -          Bocking (Essex) England, age:29y 0m 0d, _x000D_
.bapt: 1785GE_x000D_
.will: 2004MO_x000D_
.obit: 1890OH_x000D_
.bury: 1850IL _x000D_
.wpbt: 1826PA_x000D_
.anc#:ancestor_x000D_
citiz:foreign_x000D_
#spos:1_x000D_
#srcs:1_x000D_
#comment:0_x000D_
#events:1_x000D_
#kids:1_x000D_
lived:ENESSEXBOCKING_x000D_
issue:_x000D_
.recs:Birth,Marriage,Death_x000D_
.imm?:no_x000D_
..Spo:JOHN\WILLIAM DURWARD</t>
        </r>
      </text>
    </comment>
    <comment ref="T7652" authorId="0" shapeId="0" xr:uid="{B03560DC-7E49-4D10-8263-3B46ECA0C5D7}">
      <text>
        <r>
          <rPr>
            <sz val="9"/>
            <color indexed="81"/>
            <rFont val="Tahoma"/>
            <family val="2"/>
          </rPr>
          <t>WILLIAM WALDEGRAVE_x000D_
http://yeinfo.com/family/I09065901.html_x000D_
https://www.google.com/search?q=WILLIAM+WALDEGRAVE+1455+1527+MARGERY_x000D_
.born:?1455    -          Essex county England_x000D_
.died: 15270630-         ?England, age:72y 5m 29d, _x000D_
.bapt: 1785GE_x000D_
.will: 2004MO_x000D_
.obit: 1890OH_x000D_
.bury: 1850IL _x000D_
.wpbt: 1826PA_x000D_
.anc#:ancestor_x000D_
citiz:foreign_x000D_
#spos:1_x000D_
#srcs:2_x000D_
#comment:0_x000D_
#events:1_x000D_
#kids:1_x000D_
lived:ENESSEX_x000D_
issue:Born before Parents Married_x000D_
.recs:Birth,Marriage,Death_x000D_
.imm?:no_x000D_
..Spo:MARGERY WENTWORTH</t>
        </r>
      </text>
    </comment>
    <comment ref="W7654" authorId="0" shapeId="0" xr:uid="{A5B5423D-477A-4252-848D-D1F15A08D9C7}">
      <text>
        <r>
          <rPr>
            <sz val="9"/>
            <color indexed="81"/>
            <rFont val="Tahoma"/>
            <family val="2"/>
          </rPr>
          <t>WILLIAM\JOHN FRAY_x000D_
http://yeinfo.com/family/I09066407.html_x000D_
https://www.google.com/search?q=WILLIAM\JOHN+FRAY+1383+1419+HARRIET_x000D_
.born: 1383    -          Staffordshire county England_x000D_
.died: 1419    -          England, age:36y 0m 0d, _x000D_
.bapt: 1785GE_x000D_
.will: 2004MO_x000D_
.obit: 1890OH_x000D_
.bury: 1850IL _x000D_
.wpbt: 1826PA_x000D_
.anc#:ancestor_x000D_
citiz:foreign_x000D_
#spos:1_x000D_
#srcs:1_x000D_
#comment:0_x000D_
#events:1_x000D_
#kids:1_x000D_
lived:ENSTAFS_x000D_
issue:_x000D_
.recs:Birth,Marriage,Death_x000D_
.imm?:no_x000D_
..Spo:HARRIET MONTGOMERY</t>
        </r>
      </text>
    </comment>
    <comment ref="V7656" authorId="0" shapeId="0" xr:uid="{162001FA-9C27-4CD0-A78C-CBF5C55A8E3F}">
      <text>
        <r>
          <rPr>
            <sz val="9"/>
            <color indexed="81"/>
            <rFont val="Tahoma"/>
            <family val="2"/>
          </rPr>
          <t>JOHN FRAY_x000D_
http://yeinfo.com/family/I09066251.html_x000D_
https://www.google.com/search?q=JOHN+FRAY+1419+1466+AGNES_x000D_
.born: 1419    -          Lancashire county England_x000D_
.died: 14661070-          Smithfield (Middlesex) England, age:47y 9m 69d, _x000D_
.bapt: 1785GE_x000D_
.will: 2004MO_x000D_
.obit: 1890OH_x000D_
.bury: 1850IL _x000D_
.wpbt: 1826PA_x000D_
.anc#:ancestor_x000D_
citiz:foreign_x000D_
#spos:1_x000D_
#srcs:1_x000D_
#comment:1_x000D_
#events:1_x000D_
#kids:1_x000D_
lived:ENLANCS,ENMIDDLSMITHFI_x000D_
issue:_x000D_
.recs:Birth,Marriage,Death_x000D_
.imm?:no_x000D_
..Spo:AGNES DANVERS</t>
        </r>
      </text>
    </comment>
    <comment ref="W7658" authorId="0" shapeId="0" xr:uid="{BFAD81EB-2EBE-4356-A938-66F3C1804C30}">
      <text>
        <r>
          <rPr>
            <sz val="9"/>
            <color indexed="81"/>
            <rFont val="Tahoma"/>
            <family val="2"/>
          </rPr>
          <t>HARRIET MONTGOMERY_x000D_
http://yeinfo.com/family/I09066408.html_x000D_
https://www.google.com/search?q=HARRIET+MONTGOMERY+1385+1419+FRAY_x000D_
.born: 1385    -          England_x000D_
.died: 1419    -          England, age:34y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..Spo:WILLIAM\JOHN FRAY</t>
        </r>
      </text>
    </comment>
    <comment ref="U7660" authorId="0" shapeId="0" xr:uid="{8D22F761-2BF5-460C-B989-C7637330363D}">
      <text>
        <r>
          <rPr>
            <sz val="9"/>
            <color indexed="81"/>
            <rFont val="Tahoma"/>
            <family val="2"/>
          </rPr>
          <t>ELIZABETH FRAY_x000D_
http://yeinfo.com/family/I09066058.html_x000D_
https://www.google.com/search?q=ELIZABETH+FRAY+1441+1461+WALDEGRAVE+William_x000D_
.born:c1441    -          Banbury (Oxfordshire) England_x000D_
.died: 1461    -1531      Smallbridge (Suffolk) England, age:20y 0m 0d, _x000D_
.bapt: 1785GE_x000D_
.will: 2004MO_x000D_
.obit: 1890OH_x000D_
.bury: 1850IL _x000D_
.wpbt: 1826PA_x000D_
.anc#:ancestor_x000D_
citiz:foreign_x000D_
#spos:2_x000D_
#srcs:1_x000D_
#comment:0_x000D_
#events:2_x000D_
#kids:1_x000D_
lived:ENOXFOSBANBURY,ENSUFFOSMBRIDG_x000D_
issue:Died before Birth_x000D_
.recs:Birth,Marriage,Death_x000D_
.imm?:no_x000D_
..Spo:THOMAS WALDEGRAVE</t>
        </r>
      </text>
    </comment>
    <comment ref="Z7662" authorId="0" shapeId="0" xr:uid="{1296F547-7C76-4C8C-AC72-837EDE0DFA3A}">
      <text>
        <r>
          <rPr>
            <sz val="9"/>
            <color indexed="81"/>
            <rFont val="Tahoma"/>
            <family val="2"/>
          </rPr>
          <t>SIMON DANVERS_x000D_
http://yeinfo.com/family/I09066319.html_x000D_
https://www.google.com/search?q=SIMON+DANVERS+1256+1331+ALICE_x000D_
.born: 1256    -          Tetsworth (Oxfordshire) England_x000D_
.died:?1331    -          Oxfordshire county England, age:75y 0m 0d, _x000D_
.bapt: 1785GE_x000D_
.will: 2004MO_x000D_
.obit: 1890OH_x000D_
.bury: 1850IL _x000D_
.wpbt: 1826PA_x000D_
.anc#:  triple ancestor_x000D_
citiz:foreign_x000D_
#spos:1_x000D_
#srcs:1_x000D_
#comment:0_x000D_
#events:1_x000D_
#kids:1_x000D_
lived:ENOXFOSTETSWOR_x000D_
issue:_x000D_
.recs:Birth,Marriage,Death_x000D_
.imm?:no_x000D_
..Spo:ALICE COOK</t>
        </r>
      </text>
    </comment>
    <comment ref="Y7664" authorId="0" shapeId="0" xr:uid="{F1FD256C-31AA-4A6A-80F0-2E1D5D3A148C}">
      <text>
        <r>
          <rPr>
            <sz val="9"/>
            <color indexed="81"/>
            <rFont val="Tahoma"/>
            <family val="2"/>
          </rPr>
          <t>JOHN DANVERS_x000D_
http://yeinfo.com/family/I09066139.html_x000D_
https://www.google.com/search?q=JOHN+DANVERS+1295+1347+ISABEL_x000D_
.born: 1295    -          Oxfordshire county England_x000D_
.died:c1347    -          Oxfordshire county England, age:52y 0m 0d, _x000D_
.bapt: 1785GE_x000D_
.will: 2004MO_x000D_
.obit: 1890OH_x000D_
.bury: 1850IL _x000D_
.wpbt: 1826PA_x000D_
.anc#:  triple ancestor_x000D_
citiz:foreign_x000D_
#spos:1_x000D_
#srcs:1_x000D_
#comment:1_x000D_
#events:1_x000D_
#kids:1_x000D_
lived:ENOXFOS_x000D_
issue:_x000D_
.recs:Birth,Marriage,Death_x000D_
.imm?:no_x000D_
..Spo:ISABEL LEE</t>
        </r>
      </text>
    </comment>
    <comment ref="Z7666" authorId="0" shapeId="0" xr:uid="{93AEDC76-BB45-4747-AFCB-9F123631106A}">
      <text>
        <r>
          <rPr>
            <sz val="9"/>
            <color indexed="81"/>
            <rFont val="Tahoma"/>
            <family val="2"/>
          </rPr>
          <t>ALICE COOK_x000D_
http://yeinfo.com/family/I09066320.html_x000D_
https://www.google.com/search?q=ALICE+COOK+1262+1364+DANVERS_x000D_
.born:c1262    -          Oxfordshire county England_x000D_
.died: 1364    -          Oxfordshire county England, age:102y 0m 0d, _x000D_
.bapt: 1785GE_x000D_
.will: 2004MO_x000D_
.obit: 1890OH_x000D_
.bury: 1850IL _x000D_
.wpbt: 1826PA_x000D_
.anc#:  triple ancestor_x000D_
citiz:foreign_x000D_
#spos:1_x000D_
#srcs:1_x000D_
#comment:0_x000D_
#events:1_x000D_
#kids:1_x000D_
lived:ENOXFOS_x000D_
issue:Married after Age 60_x000D_
.recs:Birth,Marriage,Death_x000D_
.imm?:no_x000D_
..Spo:SIMON DANVERS</t>
        </r>
      </text>
    </comment>
    <comment ref="X7668" authorId="0" shapeId="0" xr:uid="{598D67EA-28B4-40C0-993E-AABB8373A271}">
      <text>
        <r>
          <rPr>
            <sz val="9"/>
            <color indexed="81"/>
            <rFont val="Tahoma"/>
            <family val="2"/>
          </rPr>
          <t>RICHARD DANVERS_x000D_
http://yeinfo.com/family/I09065963.html_x000D_
https://www.google.com/search?q=RICHARD+DANVERS+1330+1409+AGNES_x000D_
.born:c1330    -          Oxfordshire county England_x000D_
.died:c1409    -          Oxfordshire county England, age:79y 0m 0d, _x000D_
.bapt: 1785GE_x000D_
.will: 2004MO_x000D_
.obit: 1890OH_x000D_
.bury: 1850IL _x000D_
.wpbt: 1826PA_x000D_
.anc#:  triple ancestor_x000D_
citiz:foreign_x000D_
#spos:1_x000D_
#srcs:1_x000D_
#comment:0_x000D_
#events:1_x000D_
#kids:1_x000D_
lived:ENOXFOS_x000D_
issue:Married before Age 16,Spouse Age more than 30-Year Difference_x000D_
.recs:Birth,Marriage,Death_x000D_
.imm?:no_x000D_
..Spo:AGNES BRANCESTRE</t>
        </r>
      </text>
    </comment>
    <comment ref="Y7670" authorId="0" shapeId="0" xr:uid="{102691E1-ACBE-4274-AE6C-E0634F2CD372}">
      <text>
        <r>
          <rPr>
            <sz val="9"/>
            <color indexed="81"/>
            <rFont val="Tahoma"/>
            <family val="2"/>
          </rPr>
          <t>ISABEL LEE_x000D_
http://yeinfo.com/family/I09066140.html_x000D_
https://www.google.com/search?q=ISABEL+LEE+1310+1330+DANVERS_x000D_
.born:c1310    -          Swalcliffe (Oxfordshire) England_x000D_
.died: 1330    -          Doncaster (Yorkshire) England, age:20y 0m 0d, _x000D_
.bapt: 1785GE_x000D_
.will: 2004MO_x000D_
.obit: 1890OH_x000D_
.bury: 1850IL _x000D_
.wpbt: 1826PA_x000D_
.anc#:  triple ancestor_x000D_
citiz:foreign_x000D_
#spos:1_x000D_
#srcs:1_x000D_
#comment:1_x000D_
#events:1_x000D_
#kids:1_x000D_
lived:ENOXFOSSWALCLI,ENYORKSDONCAST_x000D_
issue:_x000D_
.recs:Birth,Marriage,Death_x000D_
.imm?:no_x000D_
..Spo:JOHN DANVERS</t>
        </r>
      </text>
    </comment>
    <comment ref="W7672" authorId="0" shapeId="0" xr:uid="{A723AA66-A896-44F3-B6BF-4DE3EF64470D}">
      <text>
        <r>
          <rPr>
            <sz val="9"/>
            <color indexed="81"/>
            <rFont val="Tahoma"/>
            <family val="2"/>
          </rPr>
          <t>JOHN DANVERS_x000D_
http://yeinfo.com/family/I09065809.html_x000D_
https://www.google.com/search?q=JOHN+DANVERS+1390+1449+ALICE+BRULEY_x000D_
.born:c1390    -          Oxfordshire county England_x000D_
.died: 1449    -          Oxfordshire county England, age:59y 0m 0d, _x000D_
.bapt: 1785GE_x000D_
.will: 2004MO_x000D_
.obit: 1890OH_x000D_
.bury: 1850IL _x000D_
.wpbt: 1826PA_x000D_
.anc#:  triple ancestor_x000D_
citiz:foreign_x000D_
#spos:2_x000D_
#srcs:1_x000D_
#comment:1_x000D_
#events:2_x000D_
#kids:2_x000D_
lived:ENOXFOS_x000D_
issue:Born before Parents Married,Died after Age 100,AncFlags between Spouses Mismatched_x000D_
.recs:Birth,Marriage,Death_x000D_
.imm?:no_x000D_
..Spo:ALICE VERNEY</t>
        </r>
      </text>
    </comment>
    <comment ref="Y7674" authorId="0" shapeId="0" xr:uid="{BE824C96-CC81-4A25-8F07-B08F56A34A58}">
      <text>
        <r>
          <rPr>
            <sz val="9"/>
            <color indexed="81"/>
            <rFont val="Tahoma"/>
            <family val="2"/>
          </rPr>
          <t>JOHN\RICHARD BRANCESTRE_x000D_
http://yeinfo.com/family/I09066141.html_x000D_
https://www.google.com/search?q=JOHN\RICHARD+BRANCESTRE+1340+1392+MARGARET\AGNES_x000D_
.born:?1340    -         ?England_x000D_
.died: 1392    -         ?England, age:52y 0m 0d, _x000D_
.bapt: 1785GE_x000D_
.will: 2004MO_x000D_
.obit: 1890OH_x000D_
.bury: 1850IL _x000D_
.wpbt: 1826PA_x000D_
.anc#:  triple ancestor_x000D_
citiz:foreign_x000D_
#spos:1_x000D_
#srcs:3_x000D_
#comment:0_x000D_
#events:1_x000D_
#kids:1_x000D_
lived:?ENOXFOS_x000D_
issue:_x000D_
.recs:Birth,Marriage,Death_x000D_
.imm?:no_x000D_
..Spo:MARGARET\AGNES MILE</t>
        </r>
      </text>
    </comment>
    <comment ref="X7676" authorId="0" shapeId="0" xr:uid="{09EAD800-D6C1-4EB3-B661-8D8F566CB93C}">
      <text>
        <r>
          <rPr>
            <sz val="9"/>
            <color indexed="81"/>
            <rFont val="Tahoma"/>
            <family val="2"/>
          </rPr>
          <t>AGNES BRANCESTRE_x000D_
http://yeinfo.com/family/I09065964.html_x000D_
https://www.google.com/search?q=AGNES+BRANCESTRE+1365+1394+DANVERS_x000D_
.born:c1365    -          Oxfordshire county England_x000D_
.died: 1394    -1464      Oxfordshire county England, age:29y 0m 0d, _x000D_
.bapt: 1785GE_x000D_
.will: 2004MO_x000D_
.obit: 1890OH_x000D_
.bury: 1850IL _x000D_
.wpbt: 1826PA_x000D_
.anc#:  triple ancestor_x000D_
citiz:foreign_x000D_
#spos:1_x000D_
#srcs:3_x000D_
#comment:0_x000D_
#events:1_x000D_
#kids:1_x000D_
lived:ENOXFOS_x000D_
issue:Born before Parents Married,Died before Birth,Spouse Age more than 30-Year Difference_x000D_
.recs:Birth,Marriage,Death_x000D_
.imm?:no_x000D_
..Spo:RICHARD DANVERS</t>
        </r>
      </text>
    </comment>
    <comment ref="Y7678" authorId="0" shapeId="0" xr:uid="{69F87A7D-C7B1-4A43-904B-F34B079F24C0}">
      <text>
        <r>
          <rPr>
            <sz val="9"/>
            <color indexed="81"/>
            <rFont val="Tahoma"/>
            <family val="2"/>
          </rPr>
          <t>MARGARET\AGNES MILE_x000D_
http://yeinfo.com/family/I09066142.html_x000D_
https://www.google.com/search?q=MARGARET\AGNES+MILE+1330+1374+BRANCESTRE_x000D_
.born: 1330    -          Kineton (Warwickshire) England_x000D_
.died: 1374    -1444     ?England, age:44y 0m 0d, _x000D_
.bapt: 1785GE_x000D_
.will: 2004MO_x000D_
.obit: 1890OH_x000D_
.bury: 1850IL _x000D_
.wpbt: 1826PA_x000D_
.anc#:  triple ancestor_x000D_
citiz:foreign_x000D_
#spos:1_x000D_
#srcs:3_x000D_
#comment:1_x000D_
#events:1_x000D_
#kids:1_x000D_
lived:?ENOXFOS,ENWARWEKINETON_x000D_
issue:_x000D_
.recs:Birth,Marriage,Death_x000D_
.imm?:no_x000D_
..Spo:JOHN\RICHARD BRANCESTRE</t>
        </r>
      </text>
    </comment>
    <comment ref="V7680" authorId="0" shapeId="0" xr:uid="{8C0CC0E8-646B-46CB-B54F-EF34B39A0C15}">
      <text>
        <r>
          <rPr>
            <sz val="9"/>
            <color indexed="81"/>
            <rFont val="Tahoma"/>
            <family val="2"/>
          </rPr>
          <t>AGNES DANVERS_x000D_
http://yeinfo.com/family/I09066252.html_x000D_
https://www.google.com/search?q=AGNES+DANVERS+1408+1478+FRAY_x000D_
.born:c1408    -          Banbury (Oxfordshire) England_x000D_
.died: 147806  -          Adderbury (Oxfordshire) England, age:70y 5m 0d, _x000D_
.bapt: 1785GE_x000D_
.will: 2004MO_x000D_
.obit: 1890OH_x000D_
.bury: 1850IL _x000D_
.wpbt: 1826PA_x000D_
.anc#:ancestor_x000D_
citiz:foreign_x000D_
#spos:1_x000D_
#srcs:1_x000D_
#comment:1_x000D_
#events:1_x000D_
#kids:1_x000D_
lived:ENOXFOSADDERBU,ENOXFOSBANBURY_x000D_
issue:_x000D_
.recs:Birth,Marriage,Death_x000D_
.imm?:no_x000D_
..Spo:JOHN FRAY</t>
        </r>
      </text>
    </comment>
    <comment ref="W7682" authorId="0" shapeId="0" xr:uid="{C088C049-A187-4253-954A-CE39D53F4090}">
      <text>
        <r>
          <rPr>
            <sz val="9"/>
            <color indexed="81"/>
            <rFont val="Tahoma"/>
            <family val="2"/>
          </rPr>
          <t>ALICE VERNEY_x000D_
http://yeinfo.com/family/I09066409.html_x000D_
https://www.google.com/search?q=ALICE+VERNEY+1380+1429+DANVERS_x000D_
.born:?1380    -          England_x000D_
.died: 1429    -          Calthorpe (Norfolk) England, age:49y 0m 0d, _x000D_
.bapt: 1785GE_x000D_
.will: 2004MO_x000D_
.obit: 1890OH_x000D_
.bury: 1850IL _x000D_
.wpbt: 1826PA_x000D_
.anc#:ancestor_x000D_
citiz:foreign_x000D_
#spos:1_x000D_
#srcs:1_x000D_
#comment:0_x000D_
#events:1_x000D_
#kids:1_x000D_
lived:ENNORFOCALTHOR_x000D_
issue:AncFlags between Spouses Mismatched_x000D_
.recs:Birth,Marriage,Death_x000D_
.imm?:no_x000D_
..Spo:JOHN DANVERS</t>
        </r>
      </text>
    </comment>
    <comment ref="S7684" authorId="0" shapeId="0" xr:uid="{C6568ED7-FA70-4D40-A0CF-0436CF1C4E69}">
      <text>
        <r>
          <rPr>
            <sz val="9"/>
            <color indexed="81"/>
            <rFont val="Tahoma"/>
            <family val="2"/>
          </rPr>
          <t>GEORGE WALDEGRAVE_x000D_
http://yeinfo.com/family/I09065752.html_x000D_
https://www.google.com/search?q=GEORGE+WALDEGRAVE+1483+1528+ANNE_x000D_
.born:?1483    -         ?England_x000D_
.died: 15280708-         ?England, age:45y 6m 7d, _x000D_
.bapt: 1785GE_x000D_
.will: 2004MO_x000D_
.obit: 1890OH_x000D_
.bury: 1850IL _x000D_
.wpbt: 1826PA_x000D_
.anc#:ancestor_x000D_
citiz:foreign_x000D_
#spos:1_x000D_
#srcs:2_x000D_
#comment:1_x000D_
#events:1_x000D_
#kids:1_x000D_
lived:?ENESSEX_x000D_
issue:_x000D_
.recs:Birth,Marriage,Death_x000D_
.imm?:no_x000D_
..Spo:ANNE DRURY</t>
        </r>
      </text>
    </comment>
    <comment ref="W7686" authorId="0" shapeId="0" xr:uid="{97CE5B5C-AD19-4D23-B0E9-27A4E83CD256}">
      <text>
        <r>
          <rPr>
            <sz val="9"/>
            <color indexed="81"/>
            <rFont val="Tahoma"/>
            <family val="2"/>
          </rPr>
          <t>JOHN WENTWORTH_x000D_
http://yeinfo.com/family/I09066410.html_x000D_
https://www.google.com/search?q=JOHN+WENTWORTH+1370+1400+AGNES_x000D_
.born:?1370    -         ?Yorkshire county England_x000D_
.died: 1400    -1460      , age:30y 0m 0d, _x000D_
.bapt: 1785GE_x000D_
.will: 2004MO_x000D_
.obit: 1890OH_x000D_
.bury: 1850IL _x000D_
.wpbt: 1826PA_x000D_
.anc#:ancestor_x000D_
citiz:foreign_x000D_
#spos:1_x000D_
#srcs:3_x000D_
#comment:0_x000D_
#events:1_x000D_
#kids:3_x000D_
lived:?ENYORKS,EN_x000D_
issue:_x000D_
.recs:Birth,Marriage,Death_x000D_
.imm?:no_x000D_
..Spo:AGNES DRONSFIELD</t>
        </r>
      </text>
    </comment>
    <comment ref="V7688" authorId="0" shapeId="0" xr:uid="{83FC939F-6FC0-4749-9A7D-12EC592B1D4D}">
      <text>
        <r>
          <rPr>
            <sz val="9"/>
            <color indexed="81"/>
            <rFont val="Tahoma"/>
            <family val="2"/>
          </rPr>
          <t>ROGER\RICHARD WENTWORTH_x000D_
http://yeinfo.com/family/I09066253.html_x000D_
https://www.google.com/search?q=ROGER\RICHARD+WENTWORTH+1400+1452+MARGERY_x000D_
.born:?1400    -         ?England_x000D_
.died: 14521024-         ?Kirby (Yorkshire) England, age:52y 9m 23d, _x000D_
.bapt: 1785GE_x000D_
.will: 2004MO_x000D_
.obit: 1890OH_x000D_
.bury: 1850IL _x000D_
.wpbt: 1826PA_x000D_
.anc#:ancestor_x000D_
citiz:foreign_x000D_
#spos:1_x000D_
#srcs:3_x000D_
#comment:0_x000D_
#events:1_x000D_
#kids:4_x000D_
lived:?ENYORKSKIRBY_x000D_
issue:_x000D_
.recs:Birth,Marriage,Death_x000D_
.imm?:no_x000D_
..Spo:MARGERY DESPENSER</t>
        </r>
      </text>
    </comment>
    <comment ref="W7690" authorId="0" shapeId="0" xr:uid="{7223CDA2-8B88-4A58-AB66-EE8897B2F132}">
      <text>
        <r>
          <rPr>
            <sz val="9"/>
            <color indexed="81"/>
            <rFont val="Tahoma"/>
            <family val="2"/>
          </rPr>
          <t>AGNES DRONSFIELD_x000D_
http://yeinfo.com/family/I09066411.html_x000D_
https://www.google.com/search?q=AGNES+DRONSFIELD+1373+1437+WENTWORTH_x000D_
.born: 1373    -          West Bretton (Yorkshire) England_x000D_
.died: 14371003-          North Elmsall (Yorkshire) England, age:64y 9m 2d, _x000D_
.bapt: 1785GE_x000D_
.will: 2004MO_x000D_
.obit: 1890OH_x000D_
.bury: 1850IL _x000D_
.wpbt: 1826PA_x000D_
.anc#:ancestor_x000D_
citiz:foreign_x000D_
#spos:1_x000D_
#srcs:4_x000D_
#comment:1_x000D_
#events:1_x000D_
#kids:3_x000D_
lived:ENYORKSNORTH E,ENYORKSWEST BR_x000D_
issue:_x000D_
.recs:Birth,Marriage,Death_x000D_
.imm?:no_x000D_
..Spo:JOHN WENTWORTH</t>
        </r>
      </text>
    </comment>
    <comment ref="U7692" authorId="0" shapeId="0" xr:uid="{823F722A-F233-40B3-8435-CD83B8A6C6CD}">
      <text>
        <r>
          <rPr>
            <sz val="9"/>
            <color indexed="81"/>
            <rFont val="Tahoma"/>
            <family val="2"/>
          </rPr>
          <t>HENRY WENTWORTH_x000D_
http://yeinfo.com/family/I09066059.html_x000D_
https://www.google.com/search?q=HENRY+WENTWORTH+1426+1483+ELIZABETH+FitzSimon_x000D_
.born:c1426    -          Nettlestead (Suffolk) England_x000D_
.died: 14830322-         ?England, age:57y 2m 21d, _x000D_
.bapt: 1785GE_x000D_
.will: 2004MO_x000D_
.obit: 1890OH_x000D_
.bury: 1850IL _x000D_
.wpbt: 1826PA_x000D_
.anc#:ancestor_x000D_
citiz:foreign_x000D_
#spos:2_x000D_
#srcs:2_x000D_
#comment:0_x000D_
#events:2_x000D_
#kids:1_x000D_
lived:ENESSEX,ENSUFFONETTLES_x000D_
issue:_x000D_
.recs:Birth,Marriage,Death_x000D_
.imm?:no_x000D_
..Spo:ELIZABETH HOWARD</t>
        </r>
      </text>
    </comment>
    <comment ref="W7694" authorId="0" shapeId="0" xr:uid="{DF253BC2-DAF7-44E1-9835-6D284FAA242B}">
      <text>
        <r>
          <rPr>
            <sz val="9"/>
            <color indexed="81"/>
            <rFont val="Tahoma"/>
            <family val="2"/>
          </rPr>
          <t>PHILIP DESPENSER_x000D_
http://yeinfo.com/family/I09066412.html_x000D_
https://www.google.com/search?q=PHILIP+DESPENSER+1375+1435+ELIZABETH_x000D_
.born:?1375    -         ?England_x000D_
.died: 1435    -1460     ?England, age:60y 0m 0d, _x000D_
.bapt: 1785GE_x000D_
.will: 2004MO_x000D_
.obit: 1890OH_x000D_
.bury: 1850IL _x000D_
.wpbt: 1826PA_x000D_
.anc#:ancestor_x000D_
citiz:foreign_x000D_
#spos:1_x000D_
#srcs:3_x000D_
#comment:1_x000D_
#events:1_x000D_
#kids:1_x000D_
lived:?EN,ENSUFFOSMBRIDG_x000D_
issue:Died after Age 100_x000D_
.recs:Birth,Marriage,Death_x000D_
.imm?:no_x000D_
..Spo:ELIZABETH TIPTOFT</t>
        </r>
      </text>
    </comment>
    <comment ref="V7696" authorId="0" shapeId="0" xr:uid="{FDC8C7CC-BEA4-4075-A7A6-D367E95E6187}">
      <text>
        <r>
          <rPr>
            <sz val="9"/>
            <color indexed="81"/>
            <rFont val="Tahoma"/>
            <family val="2"/>
          </rPr>
          <t>MARGERY DESPENSER_x000D_
http://yeinfo.com/family/I09066254.html_x000D_
https://www.google.com/search?q=MARGERY+DESPENSER+1400+1478+WENTWORTH_x000D_
.born:?1400    -          Brigg (Lincolnshire) England_x000D_
.died: 14780420-         ?England, age:78y 3m 19d, _x000D_
.bapt: 1785GE_x000D_
.will: 2004MO_x000D_
.obit: 1890OH_x000D_
.bury: 1850IL _x000D_
.wpbt: 1826PA_x000D_
.anc#:ancestor_x000D_
citiz:foreign_x000D_
#spos:1_x000D_
#srcs:4_x000D_
#comment:0_x000D_
#events:1_x000D_
#kids:4_x000D_
lived:ENLINCSBRIGG_x000D_
issue:_x000D_
.recs:Birth,Marriage,Death_x000D_
.imm?:no_x000D_
..Spo:ROGER\RICHARD WENTWORTH</t>
        </r>
      </text>
    </comment>
    <comment ref="W7698" authorId="0" shapeId="0" xr:uid="{547E6035-89E1-46E4-B3F2-B3A741802A33}">
      <text>
        <r>
          <rPr>
            <sz val="9"/>
            <color indexed="81"/>
            <rFont val="Tahoma"/>
            <family val="2"/>
          </rPr>
          <t>ELIZABETH TIPTOFT_x000D_
http://yeinfo.com/family/I09066413.html_x000D_
https://www.google.com/search?q=ELIZABETH+TIPTOFT+1370+1435+DESPENSER_x000D_
.born: 1370    -          Nottinghamshire county England_x000D_
.died: 1435    -1460      Toppesfield (Essex) England, age:65y 0m 0d, _x000D_
.bapt: 1785GE_x000D_
.will: 2004MO_x000D_
.obit: 1890OH_x000D_
.bury: 1850IL _x000D_
.wpbt: 1826PA_x000D_
.anc#:ancestor_x000D_
citiz:foreign_x000D_
#spos:1_x000D_
#srcs:2_x000D_
#comment:0_x000D_
#events:1_x000D_
#kids:1_x000D_
lived:ENESSEXTOPPESF,ENNOTTI,ENSUFFOSMBRIDG_x000D_
issue:Died after Age 100_x000D_
.recs:Birth,Marriage,Death_x000D_
.imm?:no_x000D_
..Spo:PHILIP DESPENSER</t>
        </r>
      </text>
    </comment>
    <comment ref="T7700" authorId="0" shapeId="0" xr:uid="{4280BA5D-5D56-41CE-9FC6-5C81B835BE1C}">
      <text>
        <r>
          <rPr>
            <sz val="9"/>
            <color indexed="81"/>
            <rFont val="Tahoma"/>
            <family val="2"/>
          </rPr>
          <t>MARGERY WENTWORTH_x000D_
http://yeinfo.com/family/I09065902.html_x000D_
https://www.google.com/search?q=MARGERY+WENTWORTH+1453+1540+WALDEGRAVE_x000D_
.born: 1453    -          Yorkshire county England_x000D_
.died: 15400506-          , age:87y 4m 5d, _x000D_
.bapt: 1785GE_x000D_
.will: 2004MO_x000D_
.obit: 1890OH_x000D_
.bury: 1850IL _x000D_
.wpbt: 1826PA_x000D_
.anc#:ancestor_x000D_
citiz:foreign_x000D_
#spos:1_x000D_
#srcs:3_x000D_
#comment:1_x000D_
#events:1_x000D_
#kids:1_x000D_
lived:ENYORKS_x000D_
issue:_x000D_
.recs:Birth,Marriage,Death_x000D_
.imm?:no_x000D_
..Spo:WILLIAM WALDEGRAVE</t>
        </r>
      </text>
    </comment>
    <comment ref="W7702" authorId="0" shapeId="0" xr:uid="{139F9499-3D8E-4640-A010-524EEA5FC8A8}">
      <text>
        <r>
          <rPr>
            <sz val="9"/>
            <color indexed="81"/>
            <rFont val="Tahoma"/>
            <family val="2"/>
          </rPr>
          <t>JOHN HOWARD_x000D_
http://yeinfo.com/family/I09066414.html_x000D_
https://www.google.com/search?q=JOHN+HOWARD+1366+1437+ALICE_x000D_
.born:c1366    -          _x000D_
.died: 14371117-          , age:71y 10m 16d, _x000D_
.bapt: 1785GE_x000D_
.will: 2004MO_x000D_
.obit: 1890OH_x000D_
.bury: 1850IL _x000D_
.wpbt: 1826PA_x000D_
.anc#:ancestor_x000D_
citiz:foreign_x000D_
#spos:1_x000D_
#srcs:2_x000D_
#comment:0_x000D_
#events:1_x000D_
#kids:1_x000D_
lived:EN_x000D_
issue:_x000D_
.recs:Birth,Marriage,Death_x000D_
.imm?:no_x000D_
..Spo:ALICE TENDRING</t>
        </r>
      </text>
    </comment>
    <comment ref="V7704" authorId="0" shapeId="0" xr:uid="{EFEE75A2-F4F8-46F9-8F90-BC84127F8C92}">
      <text>
        <r>
          <rPr>
            <sz val="9"/>
            <color indexed="81"/>
            <rFont val="Tahoma"/>
            <family val="2"/>
          </rPr>
          <t>HENRY HOWARD_x000D_
http://yeinfo.com/family/I09066255.html_x000D_
https://www.google.com/search?q=HENRY+HOWARD+1395+1436+MARY\MARGARET_x000D_
.born:a1395    -          Tendring (Essex) England_x000D_
.died: 1436    -          Norfolk county England, age:41y 0m 0d, _x000D_
.bapt: 1785GE_x000D_
.will: 2004MO_x000D_
.obit: 1890OH_x000D_
.bury: 1850IL _x000D_
.wpbt: 1826PA_x000D_
.anc#:ancestor_x000D_
citiz:foreign_x000D_
#spos:1_x000D_
#srcs:1_x000D_
#comment:0_x000D_
#events:1_x000D_
#kids:1_x000D_
lived:ENESSEXTENDRIN,ENNORFO_x000D_
issue:Died after Age 100_x000D_
.recs:Birth,Marriage,Death_x000D_
.imm?:no_x000D_
..Spo:MARY\MARGARET HUSSEY</t>
        </r>
      </text>
    </comment>
    <comment ref="W7706" authorId="0" shapeId="0" xr:uid="{050DA54F-F5CA-44C0-9409-D6402F30259E}">
      <text>
        <r>
          <rPr>
            <sz val="9"/>
            <color indexed="81"/>
            <rFont val="Tahoma"/>
            <family val="2"/>
          </rPr>
          <t>ALICE TENDRING_x000D_
http://yeinfo.com/family/I09066415.html_x000D_
https://www.google.com/search?q=ALICE+TENDRING+1366+1395+HOWARD_x000D_
.born:?1366    -          Wiggenhall Saint Mary Magdalen (Norfolk) England_x000D_
.died: 1395    -1456      Stoke by Nayland (Suffolk) England, age:29y 0m 0d, _x000D_
.bapt: 1785GE_x000D_
.will: 2004MO_x000D_
.obit: 1890OH_x000D_
.bury: 1850IL _x000D_
.wpbt: 1826PA_x000D_
.anc#:ancestor_x000D_
citiz:foreign_x000D_
#spos:1_x000D_
#srcs:2_x000D_
#comment:1_x000D_
#events:1_x000D_
#kids:1_x000D_
lived:ENNORFOWIGGENH,ENSUFFOSTOKE B_x000D_
issue:_x000D_
.recs:Birth,Marriage,Death_x000D_
.imm?:no_x000D_
..Spo:JOHN HOWARD</t>
        </r>
      </text>
    </comment>
    <comment ref="U7708" authorId="0" shapeId="0" xr:uid="{21A5CBAE-6410-4D23-80AF-33190BB1AF8D}">
      <text>
        <r>
          <rPr>
            <sz val="9"/>
            <color indexed="81"/>
            <rFont val="Tahoma"/>
            <family val="2"/>
          </rPr>
          <t>ELIZABETH HOWARD_x000D_
http://yeinfo.com/family/I09066060.html_x000D_
https://www.google.com/search?q=ELIZABETH+HOWARD+1430+1478+WENTWORTH_x000D_
.born:?1430    -         ?England_x000D_
.died: 14780420-         ?England, age:48y 3m 19d, _x000D_
.bapt: 1785GE_x000D_
.will: 2004MO_x000D_
.obit: 1890OH_x000D_
.bury: 1850IL _x000D_
.wpbt: 1826PA_x000D_
.anc#:ancestor_x000D_
citiz:foreign_x000D_
#spos:1_x000D_
#srcs:3_x000D_
#comment:0_x000D_
#events:1_x000D_
#kids:1_x000D_
lived:?EN_x000D_
issue:_x000D_
.recs:Birth,Marriage,Death_x000D_
.imm?:no_x000D_
..Spo:HENRY WENTWORTH</t>
        </r>
      </text>
    </comment>
    <comment ref="W7710" authorId="0" shapeId="0" xr:uid="{EEAE3E17-9A25-43B4-AF47-5249766BC143}">
      <text>
        <r>
          <rPr>
            <sz val="9"/>
            <color indexed="81"/>
            <rFont val="Tahoma"/>
            <family val="2"/>
          </rPr>
          <t>HENRY HUSSEY_x000D_
http://yeinfo.com/family/I09066416.html_x000D_
https://www.google.com/search?q=HENRY+HUSSEY+1343+1389+MARGERIA_x000D_
.born:c1343    -          Holbrook (Somerset) England_x000D_
.died: 1389    -1433      Somerset county England, age:46y 0m 0d, _x000D_
.bapt: 1785GE_x000D_
.will: 2004MO_x000D_
.obit: 1890OH_x000D_
.bury: 1850IL _x000D_
.wpbt: 1826PA_x000D_
.anc#:ancestor_x000D_
citiz:foreign_x000D_
#spos:1_x000D_
#srcs:1_x000D_
#comment:0_x000D_
#events:1_x000D_
#kids:1_x000D_
lived:ENSOMESHOLBROO_x000D_
issue:Spouse Age more than 30-Year Difference_x000D_
.recs:Birth,Marriage,Death_x000D_
.imm?:no_x000D_
..Spo:MARGERIA HOWARD</t>
        </r>
      </text>
    </comment>
    <comment ref="V7712" authorId="0" shapeId="0" xr:uid="{E4D43999-63B1-4EB8-8088-215335F8F82C}">
      <text>
        <r>
          <rPr>
            <sz val="9"/>
            <color indexed="81"/>
            <rFont val="Tahoma"/>
            <family val="2"/>
          </rPr>
          <t>MARY\MARGARET HUSSEY_x000D_
http://yeinfo.com/family/I09066256.html_x000D_
https://www.google.com/search?q=MARY\MARGARET+HUSSEY+1389+1430+HOWARD_x000D_
.born: 1389    -          Holbrook (Somerset) England_x000D_
.died: 1430    -1479      Chelsea (Middlesex) England, age:41y 0m 0d, _x000D_
.bapt: 1785GE_x000D_
.will: 2004MO_x000D_
.obit: 1890OH_x000D_
.bury: 1850IL _x000D_
.wpbt: 1826PA_x000D_
.anc#:ancestor_x000D_
citiz:foreign_x000D_
#spos:1_x000D_
#srcs:1_x000D_
#comment:0_x000D_
#events:1_x000D_
#kids:1_x000D_
lived:ENMIDDLCHELSEA,ENSOMESHOLBROO_x000D_
issue:_x000D_
.recs:Birth,Marriage,Death_x000D_
.imm?:no_x000D_
..Spo:HENRY HOWARD</t>
        </r>
      </text>
    </comment>
    <comment ref="W7714" authorId="0" shapeId="0" xr:uid="{334F5944-48E7-42BF-85FA-63F7017CA531}">
      <text>
        <r>
          <rPr>
            <sz val="9"/>
            <color indexed="81"/>
            <rFont val="Tahoma"/>
            <family val="2"/>
          </rPr>
          <t>MARGERIA HOWARD_x000D_
http://yeinfo.com/family/I09066417.html_x000D_
https://www.google.com/search?q=MARGERIA+HOWARD+1375+1395+HUSSEY_x000D_
.born: 1375    -          Holbrook (Somerset) England_x000D_
.died: 1395    -1465      England, age:20y 0m 0d, _x000D_
.bapt: 1785GE_x000D_
.will: 2004MO_x000D_
.obit: 1890OH_x000D_
.bury: 1850IL _x000D_
.wpbt: 1826PA_x000D_
.anc#:ancestor_x000D_
citiz:foreign_x000D_
#spos:1_x000D_
#srcs:1_x000D_
#comment:0_x000D_
#events:1_x000D_
#kids:1_x000D_
lived:ENSOMESHOLBROO_x000D_
issue:Died after Age 100,Spouse Age more than 30-Year Difference_x000D_
.recs:Birth,Marriage,Death_x000D_
.imm?:no_x000D_
..Spo:HENRY HUSSEY</t>
        </r>
      </text>
    </comment>
    <comment ref="R7716" authorId="0" shapeId="0" xr:uid="{EC84F51C-364E-4705-9F80-2D8925A9BB14}">
      <text>
        <r>
          <rPr>
            <sz val="9"/>
            <color indexed="81"/>
            <rFont val="Tahoma"/>
            <family val="2"/>
          </rPr>
          <t>WILLIAM WALDEGRAVE_x000D_
http://yeinfo.com/family/I09065627.html_x000D_
https://www.google.com/search?q=WILLIAM+WALDEGRAVE+1505+1554+JULIAN_x000D_
.born:c15050612-          Smallbridge (Suffolk) England_x000D_
.died: 15541212-          Calais (Nord-Pas-de-Calais) France, age:49y 6m 0d, _x000D_
.bapt: 1785GE_x000D_
.will: 2004MO_x000D_
.obit: 1890OH_x000D_
.bury: 1850IL _x000D_
.wpbt: 1826PA_x000D_
.anc#:ancestor_x000D_
citiz:foreign_x000D_
#spos:1_x000D_
#srcs:1_x000D_
#comment:0_x000D_
#events:1_x000D_
#kids:1_x000D_
lived:?ENESSEX,ENSUFFOSMBRIDG,FRNORDPCALAIS_x000D_
issue:Born before Parents Married_x000D_
.recs:Birth,Marriage,Death_x000D_
.imm?:no_x000D_
..Spo:JULIAN RAINSFORD</t>
        </r>
      </text>
    </comment>
    <comment ref="W7718" authorId="0" shapeId="0" xr:uid="{2BCC4D72-631A-4E89-96D8-DFD0D26BA4D3}">
      <text>
        <r>
          <rPr>
            <sz val="9"/>
            <color indexed="81"/>
            <rFont val="Tahoma"/>
            <family val="2"/>
          </rPr>
          <t>NICHOLAS DRURY_x000D_
http://yeinfo.com/family/I09066418.html_x000D_
https://www.google.com/search?q=NICHOLAS+DRURY+1310+1385+JOANE_x000D_
.born:c1310    -          England_x000D_
.died:c1385    -          England, age:75y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..Spo:JOANE SAXHAM</t>
        </r>
      </text>
    </comment>
    <comment ref="V7720" authorId="0" shapeId="0" xr:uid="{C08F80C4-D2FF-43C1-82D9-C60AB4405C1C}">
      <text>
        <r>
          <rPr>
            <sz val="9"/>
            <color indexed="81"/>
            <rFont val="Tahoma"/>
            <family val="2"/>
          </rPr>
          <t>NICHOLAS DRURY_x000D_
http://yeinfo.com/family/I09066257.html_x000D_
https://www.google.com/search?q=NICHOLAS+DRURY+1365+1456+JOAN_x000D_
.born:c1365    -          Thurston (Suffolk) England_x000D_
.died: 14560902-          Thurston (Suffolk) England, age:91y 8m 1d, _x000D_
.bapt: 1785GE_x000D_
.will: 2004MO_x000D_
.obit: 1890OH_x000D_
.bury: 1850IL _x000D_
.wpbt: 1826PA_x000D_
.anc#:ancestor_x000D_
citiz:foreign_x000D_
#spos:1_x000D_
#srcs:1_x000D_
#comment:0_x000D_
#events:1_x000D_
#kids:1_x000D_
lived:ENSUFFOTHURSTO_x000D_
issue:Spouse Age more than 30-Year Difference_x000D_
.recs:Birth,Marriage,Death_x000D_
.imm?:no_x000D_
..Spo:JOAN HETHE</t>
        </r>
      </text>
    </comment>
    <comment ref="W7722" authorId="0" shapeId="0" xr:uid="{D4DA3EB8-28E5-4735-B0D4-70FE96E64CE4}">
      <text>
        <r>
          <rPr>
            <sz val="9"/>
            <color indexed="81"/>
            <rFont val="Tahoma"/>
            <family val="2"/>
          </rPr>
          <t>JOANE SAXHAM_x000D_
http://yeinfo.com/family/I09066419.html_x000D_
https://www.google.com/search?q=JOANE+SAXHAM+1330+1411+DRURY_x000D_
.born:c1330    -          Great Saxham (Suffolk) England_x000D_
.died:c1411    -          England, age:81y 0m 0d, _x000D_
.bapt: 1785GE_x000D_
.will: 2004MO_x000D_
.obit: 1890OH_x000D_
.bury: 1850IL _x000D_
.wpbt: 1826PA_x000D_
.anc#:ancestor_x000D_
citiz:foreign_x000D_
#spos:1_x000D_
#srcs:1_x000D_
#comment:0_x000D_
#events:1_x000D_
#kids:1_x000D_
lived:ENSUFFOGREAT S_x000D_
issue:Died after Age 100_x000D_
.recs:Birth,Marriage,Death_x000D_
.imm?:no_x000D_
..Spo:NICHOLAS DRURY</t>
        </r>
      </text>
    </comment>
    <comment ref="U7724" authorId="0" shapeId="0" xr:uid="{B298B9FB-149F-4B9C-93F8-3AC44F17EEE5}">
      <text>
        <r>
          <rPr>
            <sz val="9"/>
            <color indexed="81"/>
            <rFont val="Tahoma"/>
            <family val="2"/>
          </rPr>
          <t>ROGER DRURY_x000D_
http://yeinfo.com/family/I09066061.html_x000D_
https://www.google.com/search?q=ROGER+DRURY+1422+1496+FELICE_x000D_
.born:c1422    -          Hawstead (Suffolk) England_x000D_
.died: 14960120-          Hawstead (Suffolk) England, age:74y 0m 19d, _x000D_
.bapt: 1785GE_x000D_
.will: 2004MO_x000D_
.obit: 1890OH_x000D_
.bury: 1850IL _x000D_
.wpbt: 1826PA_x000D_
.anc#:ancestor_x000D_
citiz:foreign_x000D_
#spos:1_x000D_
#srcs:1_x000D_
#comment:0_x000D_
#events:1_x000D_
#kids:1_x000D_
lived:ENSUFFOHAWSTEA_x000D_
issue:_x000D_
.recs:Birth,Marriage,Death_x000D_
.imm?:no_x000D_
..Spo:FELICE DENSTON</t>
        </r>
      </text>
    </comment>
    <comment ref="W7726" authorId="0" shapeId="0" xr:uid="{56FDDD63-903F-44F7-8816-8D71F1DF8FE7}">
      <text>
        <r>
          <rPr>
            <sz val="9"/>
            <color indexed="81"/>
            <rFont val="Tahoma"/>
            <family val="2"/>
          </rPr>
          <t>THOMAS HETHE_x000D_
http://yeinfo.com/family/I09066420.html_x000D_
https://www.google.com/search?q=THOMAS+HETHE+1360+1440+ELIZABETH_x000D_
.born:c1360    -          Mildenhall (Suffolk) England_x000D_
.died:c1440    -          England, age:80y 0m 0d, _x000D_
.bapt: 1785GE_x000D_
.will: 2004MO_x000D_
.obit: 1890OH_x000D_
.bury: 1850IL _x000D_
.wpbt: 1826PA_x000D_
.anc#:ancestor_x000D_
citiz:foreign_x000D_
#spos:1_x000D_
#srcs:1_x000D_
#comment:0_x000D_
#events:1_x000D_
#kids:1_x000D_
lived:ENSUFFOMILDENH_x000D_
issue:_x000D_
.recs:Birth,Marriage,Death_x000D_
.imm?:no_x000D_
..Spo:ELIZABETH MUNDEFORD</t>
        </r>
      </text>
    </comment>
    <comment ref="V7728" authorId="0" shapeId="0" xr:uid="{0FDA6F24-5A7D-46B7-82B7-08D0F872072D}">
      <text>
        <r>
          <rPr>
            <sz val="9"/>
            <color indexed="81"/>
            <rFont val="Tahoma"/>
            <family val="2"/>
          </rPr>
          <t>JOAN HETHE_x000D_
http://yeinfo.com/family/I09066258.html_x000D_
https://www.google.com/search?q=JOAN+HETHE+1396+1497+DRURY_x000D_
.born: 1396    -          Mildenhall (Suffolk) England_x000D_
.died: 14971030-          Essex county England, age:101y 9m 29d, _x000D_
.bapt: 1785GE_x000D_
.will: 2004MO_x000D_
.obit: 1890OH_x000D_
.bury: 1850IL _x000D_
.wpbt: 1826PA_x000D_
.anc#:ancestor_x000D_
citiz:foreign_x000D_
#spos:1_x000D_
#srcs:1_x000D_
#comment:0_x000D_
#events:1_x000D_
#kids:1_x000D_
lived:ENESSEX,ENSUFFOMILDENH_x000D_
issue:Died after Age 100,Married after Age 60,Spouse Age more than 30-Year Difference_x000D_
.recs:Birth,Marriage,Death_x000D_
.imm?:no_x000D_
..Spo:NICHOLAS DRURY</t>
        </r>
      </text>
    </comment>
    <comment ref="W7730" authorId="0" shapeId="0" xr:uid="{FE2243AE-AA93-48C4-B412-3AA1C3D4D1E7}">
      <text>
        <r>
          <rPr>
            <sz val="9"/>
            <color indexed="81"/>
            <rFont val="Tahoma"/>
            <family val="2"/>
          </rPr>
          <t>ELIZABETH MUNDEFORD_x000D_
http://yeinfo.com/family/I09066421.html_x000D_
https://www.google.com/search?q=ELIZABETH+MUNDEFORD+1360+1396+HETHE_x000D_
.born:?1360    -          England_x000D_
.died: 1396    -1450      England, age:36y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..Spo:THOMAS HETHE</t>
        </r>
      </text>
    </comment>
    <comment ref="T7732" authorId="0" shapeId="0" xr:uid="{99DAF425-DD47-4423-8AD8-1389920C961C}">
      <text>
        <r>
          <rPr>
            <sz val="9"/>
            <color indexed="81"/>
            <rFont val="Tahoma"/>
            <family val="2"/>
          </rPr>
          <t>ROBERT DRURY_x000D_
http://yeinfo.com/family/I09065903.html_x000D_
https://www.google.com/search?q=ROBERT+DRURY+1455+1535+ANNE+Jerningham_x000D_
.born:c1455    -          Hawstead (Suffolk) England_x000D_
.died: 15350302-          Bury Saint Edmunds (Suffolk) England, age:80y 2m 1d, _x000D_
.bapt: 1785GE_x000D_
.will: 2004MO_x000D_
.obit: 1890OH_x000D_
.bury: 1850IL _x000D_
.wpbt: 1826PA_x000D_
.anc#:ancestor_x000D_
citiz:foreign_x000D_
#spos:2_x000D_
#srcs:1_x000D_
#comment:0_x000D_
#events:2_x000D_
#kids:1_x000D_
lived:ENSUFFOBURY SE,ENSUFFOHAWSTEA_x000D_
issue:_x000D_
.recs:Birth,Marriage,Death_x000D_
.imm?:no_x000D_
..Spo:ANNE CALTHORPE</t>
        </r>
      </text>
    </comment>
    <comment ref="V7734" authorId="0" shapeId="0" xr:uid="{96461201-45BA-4DD0-8172-F15EC863F724}">
      <text>
        <r>
          <rPr>
            <sz val="9"/>
            <color indexed="81"/>
            <rFont val="Tahoma"/>
            <family val="2"/>
          </rPr>
          <t>WILLIAM\JOHN DENSTON_x000D_
http://yeinfo.com/family/I09066259.html_x000D_
https://www.google.com/search?q=WILLIAM\JOHN+DENSTON+1406+1439+ANNE_x000D_
.born: 1406    -          _x000D_
.died: 1439    -          , age:33y 0m 0d, _x000D_
.bapt: 1785GE_x000D_
.will: 2004MO_x000D_
.obit: 1890OH_x000D_
.bury: 1850IL _x000D_
.wpbt: 1826PA_x000D_
.anc#:ancestor_x000D_
citiz:foreign_x000D_
#spos:1_x000D_
#srcs:3_x000D_
#comment:0_x000D_
#events:1_x000D_
#kids:1_x000D_
lived:EN_x000D_
issue:_x000D_
.recs:Birth,Marriage,Death_x000D_
.imm?:no_x000D_
..Spo:ANNE CALTHORPE</t>
        </r>
      </text>
    </comment>
    <comment ref="U7736" authorId="0" shapeId="0" xr:uid="{02C3F064-2F4B-4B60-9FDE-1B09487B643E}">
      <text>
        <r>
          <rPr>
            <sz val="9"/>
            <color indexed="81"/>
            <rFont val="Tahoma"/>
            <family val="2"/>
          </rPr>
          <t>FELICE DENSTON_x000D_
http://yeinfo.com/family/I09066062.html_x000D_
https://www.google.com/search?q=FELICE+DENSTON+1433+1523+DRURY_x000D_
.born:a1433    -          Besthorpe (Norfolk) England_x000D_
.died: 15230112-          Hawstead (Suffolk) England, age:90y 0m 11d, _x000D_
.bapt: 1785GE_x000D_
.will: 2004MO_x000D_
.obit: 1890OH_x000D_
.bury: 1850IL _x000D_
.wpbt: 1826PA_x000D_
.anc#:ancestor_x000D_
citiz:foreign_x000D_
#spos:1_x000D_
#srcs:1_x000D_
#comment:0_x000D_
#events:1_x000D_
#kids:1_x000D_
lived:ENNORFOBESTHOR,ENSUFFOHAWSTEA_x000D_
issue:Died after Age 100_x000D_
.recs:Birth,Marriage,Death_x000D_
.imm?:no_x000D_
..Spo:ROGER DRURY</t>
        </r>
      </text>
    </comment>
    <comment ref="W7738" authorId="0" shapeId="0" xr:uid="{6096ABAF-64FB-436B-8CBC-7ADB4049D49D}">
      <text>
        <r>
          <rPr>
            <sz val="9"/>
            <color indexed="81"/>
            <rFont val="Tahoma"/>
            <family val="2"/>
          </rPr>
          <t>WILLIAM CALTHORPE_x000D_
http://yeinfo.com/family/I09066422.html_x000D_
https://www.google.com/search?q=WILLIAM+CALTHORPE+1352+1420+ALIANORE\ELEANOR+ST.OMER_x000D_
.born:c1352    -          Burnham Thorpe (Norfolk) England_x000D_
.died: 142012  -          Burnham Thorpe (Norfolk) England, age:68y 11m 0d, _x000D_
.bapt: 1785GE_x000D_
.will: 2004MO_x000D_
.obit: 1890OH_x000D_
.bury: 1850IL _x000D_
.wpbt: 1826PA_x000D_
.anc#:double ancestor_x000D_
citiz:foreign_x000D_
#spos:2_x000D_
#srcs:1_x000D_
#comment:2_x000D_
#events:2_x000D_
#kids:5_x000D_
lived:ENNORFOBURNTHO_x000D_
issue:_x000D_
.recs:Birth,Marriage,Death_x000D_
.imm?:no_x000D_
..Spo:ALIANORE\ELEANOR MAUTBY</t>
        </r>
      </text>
    </comment>
    <comment ref="V7740" authorId="0" shapeId="0" xr:uid="{7BA6339C-5BEA-49F2-8B69-D7D57C6BE741}">
      <text>
        <r>
          <rPr>
            <sz val="9"/>
            <color indexed="81"/>
            <rFont val="Tahoma"/>
            <family val="2"/>
          </rPr>
          <t>ANNE CALTHORPE_x000D_
http://yeinfo.com/family/I09066260.html_x000D_
https://www.google.com/search?q=ANNE+CALTHORPE+1398+1433+DENSTON_x000D_
.born: 1398    -          _x000D_
.died: 1433    -1488      , age:35y 0m 0d, _x000D_
.bapt: 1785GE_x000D_
.will: 2004MO_x000D_
.obit: 1890OH_x000D_
.bury: 1850IL _x000D_
.wpbt: 1826PA_x000D_
.anc#:ancestor_x000D_
citiz:foreign_x000D_
#spos:1_x000D_
#srcs:2_x000D_
#comment:0_x000D_
#events:1_x000D_
#kids:1_x000D_
lived:EN_x000D_
issue:_x000D_
.recs:Birth,Marriage,Death_x000D_
.imm?:no_x000D_
..Spo:WILLIAM\JOHN DENSTON</t>
        </r>
      </text>
    </comment>
    <comment ref="W7742" authorId="0" shapeId="0" xr:uid="{033AE500-64C8-45A2-B3B9-17B8F60CD643}">
      <text>
        <r>
          <rPr>
            <sz val="9"/>
            <color indexed="81"/>
            <rFont val="Tahoma"/>
            <family val="2"/>
          </rPr>
          <t>ALIANORE\ELEANOR MAUTBY_x000D_
http://yeinfo.com/family/I09066423.html_x000D_
https://www.google.com/search?q=ALIANORE\ELEANOR+MAUTBY+1355+1398+CALTHORPE_x000D_
.born:?1355    -          Burnham Thorpe (Norfolk) England_x000D_
.died:?1398    -          Burnham Thorpe (Norfolk) England, age:43y 0m 0d, _x000D_
.bapt: 1785GE_x000D_
.will: 2004MO_x000D_
.obit: 1890OH_x000D_
.bury: 1850IL _x000D_
.wpbt: 1826PA_x000D_
.anc#:double ancestor_x000D_
citiz:foreign_x000D_
#spos:1_x000D_
#srcs:1_x000D_
#comment:1_x000D_
#events:1_x000D_
#kids:3_x000D_
lived:ENNORFOBURNTHO_x000D_
issue:_x000D_
.recs:Birth,Marriage,Death_x000D_
.imm?:no_x000D_
..Spo:WILLIAM CALTHORPE</t>
        </r>
      </text>
    </comment>
    <comment ref="S7744" authorId="0" shapeId="0" xr:uid="{0FA975F9-02EB-401B-8026-8CC33C9891AD}">
      <text>
        <r>
          <rPr>
            <sz val="9"/>
            <color indexed="81"/>
            <rFont val="Tahoma"/>
            <family val="2"/>
          </rPr>
          <t>ANNE DRURY_x000D_
http://yeinfo.com/family/I09065753.html_x000D_
https://www.google.com/search?q=ANNE+DRURY+1480+1572+WALDEGRAVE+Thomas_x000D_
.born:c1480    -          Hawstead (Suffolk) England_x000D_
.died: 15720608-          Rushbrooke (Suffolk) England, age:92y 5m 7d, _x000D_
.bapt: 1785GE_x000D_
.will: 2004MO_x000D_
.obit: 1890OH_x000D_
.bury: 1850IL _x000D_
.wpbt: 1826PA_x000D_
.anc#:ancestor_x000D_
citiz:foreign_x000D_
#spos:2_x000D_
#srcs:1_x000D_
#comment:0_x000D_
#events:2_x000D_
#kids:1_x000D_
lived:?ENESSEX,ENSUFFOHAWSTEA,ENSUFFORUSHBRO_x000D_
issue:Born before Parents Married_x000D_
.recs:Birth,Marriage,Death_x000D_
.imm?:no_x000D_
..Spo:GEORGE WALDEGRAVE</t>
        </r>
      </text>
    </comment>
    <comment ref="W7746" authorId="0" shapeId="0" xr:uid="{5A0E1C66-7D8C-4ED7-A40F-1640EABCE1DF}">
      <text>
        <r>
          <rPr>
            <sz val="9"/>
            <color indexed="81"/>
            <rFont val="Tahoma"/>
            <family val="2"/>
          </rPr>
          <t>WILLIAM CALTHORPE_x000D_
http://yeinfo.com/family/I09066422.html_x000D_
https://www.google.com/search?q=WILLIAM+CALTHORPE+1352+1420+ALIANORE\ELEANOR+ST.OMER_x000D_
.born:c1352    -          Burnham Thorpe (Norfolk) England_x000D_
.died: 142012  -          Burnham Thorpe (Norfolk) England, age:68y 11m 0d, _x000D_
.bapt: 1785GE_x000D_
.will: 2004MO_x000D_
.obit: 1890OH_x000D_
.bury: 1850IL _x000D_
.wpbt: 1826PA_x000D_
.anc#:double ancestor_x000D_
citiz:foreign_x000D_
#spos:2_x000D_
#srcs:1_x000D_
#comment:2_x000D_
#events:2_x000D_
#kids:5_x000D_
lived:ENNORFOBURNTHO_x000D_
issue:_x000D_
.recs:Birth,Marriage,Death_x000D_
.imm?:no_x000D_
..Spo:ALIANORE\ELEANOR MAUTBY</t>
        </r>
      </text>
    </comment>
    <comment ref="V7748" authorId="0" shapeId="0" xr:uid="{714B1246-174E-496E-B437-BCA1C07F2BF3}">
      <text>
        <r>
          <rPr>
            <sz val="9"/>
            <color indexed="81"/>
            <rFont val="Tahoma"/>
            <family val="2"/>
          </rPr>
          <t>JOHN CALTHORPE_x000D_
http://yeinfo.com/family/I09066261.html_x000D_
https://www.google.com/search?q=JOHN+CALTHORPE+1380+1410+ANNE\ANNA_x000D_
.born:?1380    -          Burnham Thorpe (Norfolk) England_x000D_
.died: 1410    -1470      Burnham Thorpe (Norfolk) England, age:30y 0m 0d, _x000D_
.bapt: 1785GE_x000D_
.will: 2004MO_x000D_
.obit: 1890OH_x000D_
.bury: 1850IL _x000D_
.wpbt: 1826PA_x000D_
.anc#:ancestor_x000D_
citiz:foreign_x000D_
#spos:1_x000D_
#srcs:1_x000D_
#comment:1_x000D_
#events:1_x000D_
#kids:1_x000D_
lived:ENNORFOBURNTHO_x000D_
issue:_x000D_
.recs:Birth,Marriage,Death_x000D_
.imm?:no_x000D_
..Spo:ANNE\ANNA WYTHE</t>
        </r>
      </text>
    </comment>
    <comment ref="W7750" authorId="0" shapeId="0" xr:uid="{B714902C-5B67-4E00-96F6-6A5DEF54FDAC}">
      <text>
        <r>
          <rPr>
            <sz val="9"/>
            <color indexed="81"/>
            <rFont val="Tahoma"/>
            <family val="2"/>
          </rPr>
          <t>ALIANORE\ELEANOR MAUTBY_x000D_
http://yeinfo.com/family/I09066423.html_x000D_
https://www.google.com/search?q=ALIANORE\ELEANOR+MAUTBY+1355+1398+CALTHORPE_x000D_
.born:?1355    -          Burnham Thorpe (Norfolk) England_x000D_
.died:?1398    -          Burnham Thorpe (Norfolk) England, age:43y 0m 0d, _x000D_
.bapt: 1785GE_x000D_
.will: 2004MO_x000D_
.obit: 1890OH_x000D_
.bury: 1850IL _x000D_
.wpbt: 1826PA_x000D_
.anc#:double ancestor_x000D_
citiz:foreign_x000D_
#spos:1_x000D_
#srcs:1_x000D_
#comment:1_x000D_
#events:1_x000D_
#kids:3_x000D_
lived:ENNORFOBURNTHO_x000D_
issue:_x000D_
.recs:Birth,Marriage,Death_x000D_
.imm?:no_x000D_
..Spo:WILLIAM CALTHORPE</t>
        </r>
      </text>
    </comment>
    <comment ref="U7752" authorId="0" shapeId="0" xr:uid="{9B560C9F-1875-4469-8B30-FA38CE322A0F}">
      <text>
        <r>
          <rPr>
            <sz val="9"/>
            <color indexed="81"/>
            <rFont val="Tahoma"/>
            <family val="2"/>
          </rPr>
          <t>WILLIAM CALTHORPE_x000D_
http://yeinfo.com/family/I09066063.html_x000D_
https://www.google.com/search?q=WILLIAM+CALTHORPE+1410+1494+ELIZABETH_x000D_
.born: 14100130-          Burnham Thorpe (Norfolk) England_x000D_
.died: 14941115-          Norwich (Norfolk) England, age:84y 9m 16d, _x000D_
.bapt: 1785GE_x000D_
.will: 2004MO_x000D_
.obit: 1890OH_x000D_
.bury: 1850IL _x000D_
.wpbt: 1826PA_x000D_
.anc#:ancestor_x000D_
citiz:foreign_x000D_
#spos:1_x000D_
#srcs:1_x000D_
#comment:0_x000D_
#events:1_x000D_
#kids:1_x000D_
lived:ENNORFOBURNTHO,ENNORFONORWICH_x000D_
issue:Spouse Age more than 30-Year Difference_x000D_
.recs:Birth,Marriage,Death_x000D_
.imm?:no_x000D_
..Spo:ELIZABETH STAPLETON</t>
        </r>
      </text>
    </comment>
    <comment ref="W7754" authorId="0" shapeId="0" xr:uid="{6284B4F9-544C-4764-9737-B3D0ECE4B695}">
      <text>
        <r>
          <rPr>
            <sz val="9"/>
            <color indexed="81"/>
            <rFont val="Tahoma"/>
            <family val="2"/>
          </rPr>
          <t>JOHN WYTHE_x000D_
http://yeinfo.com/family/I09066424.html_x000D_
https://www.google.com/search?q=JOHN+WYTHE+1370+1390+SYBIL\SYBILLA_x000D_
.born: 1370    -          Smallburgh (Norfolk) England_x000D_
.died: 1390    -1460      Beeston (Nottinghamshire) England, age:20y 0m 0d, _x000D_
.bapt: 1785GE_x000D_
.will: 2004MO_x000D_
.obit: 1890OH_x000D_
.bury: 1850IL _x000D_
.wpbt: 1826PA_x000D_
.anc#:ancestor_x000D_
citiz:foreign_x000D_
#spos:1_x000D_
#srcs:1_x000D_
#comment:0_x000D_
#events:1_x000D_
#kids:1_x000D_
lived:ENNORFOBURNTHO,ENNORFOSMALLBU,ENNOTTIBEESTON_x000D_
issue:_x000D_
.recs:Birth,Marriage,Death_x000D_
.imm?:no_x000D_
..Spo:SYBIL\SYBILLA ST.OMER</t>
        </r>
      </text>
    </comment>
    <comment ref="V7756" authorId="0" shapeId="0" xr:uid="{1BE67E7C-B983-42DB-9A6F-46926A68D85D}">
      <text>
        <r>
          <rPr>
            <sz val="9"/>
            <color indexed="81"/>
            <rFont val="Tahoma"/>
            <family val="2"/>
          </rPr>
          <t>ANNE\ANNA WYTHE_x000D_
http://yeinfo.com/family/I09066262.html_x000D_
https://www.google.com/search?q=ANNE\ANNA+WYTHE+1390+1416+CALTHORPE_x000D_
.born: 1390    -          Burnham Thorpe (Norfolk) England_x000D_
.died: 1416    -          Burnham Thorpe (Norfolk) England, age:26y 0m 0d, _x000D_
.bapt: 1785GE_x000D_
.will: 2004MO_x000D_
.obit: 1890OH_x000D_
.bury: 1850IL _x000D_
.wpbt: 1826PA_x000D_
.anc#:ancestor_x000D_
citiz:foreign_x000D_
#spos:1_x000D_
#srcs:1_x000D_
#comment:1_x000D_
#events:1_x000D_
#kids:1_x000D_
lived:ENNORFOBURNTHO_x000D_
issue:_x000D_
.recs:Birth,Marriage,Death_x000D_
.imm?:no_x000D_
..Spo:JOHN CALTHORPE</t>
        </r>
      </text>
    </comment>
    <comment ref="W7758" authorId="0" shapeId="0" xr:uid="{A559848F-39DA-40CD-BB3A-ECE16CE0F6F9}">
      <text>
        <r>
          <rPr>
            <sz val="9"/>
            <color indexed="81"/>
            <rFont val="Tahoma"/>
            <family val="2"/>
          </rPr>
          <t>SYBIL\SYBILLA ST.OMER_x000D_
http://yeinfo.com/family/I09066425.html_x000D_
https://www.google.com/search?q=SYBIL\SYBILLA+ST.OMER+1374+1420+WYTHE+WILLIAM_x000D_
.born: 1374    -          Burnham Thorpe (Norfolk) England_x000D_
.died: 14201210-          Burnham Thorpe (Norfolk) England, age:46y 11m 9d, _x000D_
.bapt: 1785GE_x000D_
.will: 2004MO_x000D_
.obit: 1890OH_x000D_
.bury: 1850IL _x000D_
.wpbt: 1826PA_x000D_
.anc#:ancestor_x000D_
citiz:foreign_x000D_
#spos:2_x000D_
#srcs:3_x000D_
#comment:2_x000D_
#events:2_x000D_
#kids:3_x000D_
lived:ENNORFOBURNTHO_x000D_
issue:Died after Age 100_x000D_
.recs:Birth,Marriage,Death_x000D_
.imm?:no_x000D_
..Spo:JOHN WYTHE</t>
        </r>
      </text>
    </comment>
    <comment ref="T7760" authorId="0" shapeId="0" xr:uid="{0B2D8097-17E4-4788-8A6A-DF012125903D}">
      <text>
        <r>
          <rPr>
            <sz val="9"/>
            <color indexed="81"/>
            <rFont val="Tahoma"/>
            <family val="2"/>
          </rPr>
          <t>ANNE CALTHORPE_x000D_
http://yeinfo.com/family/I09065904.html_x000D_
https://www.google.com/search?q=ANNE+CALTHORPE+1460+1480+DRURY_x000D_
.born:c1460    -          Suffolk county England_x000D_
.died: 1480    -1550      Bury Saint Edmunds (Suffolk) England, age:20y 0m 0d, _x000D_
.bapt: 1785GE_x000D_
.will: 2004MO_x000D_
.obit: 1890OH_x000D_
.bury: 1850IL _x000D_
.wpbt: 1826PA_x000D_
.anc#:ancestor_x000D_
citiz:foreign_x000D_
#spos:1_x000D_
#srcs:1_x000D_
#comment:0_x000D_
#events:1_x000D_
#kids:1_x000D_
lived:ENSUFFOBURY SE_x000D_
issue:Died before Birth_x000D_
.recs:Birth,Marriage,Death_x000D_
.imm?:no_x000D_
..Spo:ROBERT DRURY</t>
        </r>
      </text>
    </comment>
    <comment ref="W7762" authorId="0" shapeId="0" xr:uid="{2875D142-740F-47BF-8B45-C4366DEE4959}">
      <text>
        <r>
          <rPr>
            <sz val="9"/>
            <color indexed="81"/>
            <rFont val="Tahoma"/>
            <family val="2"/>
          </rPr>
          <t>BRIAN\BRYAN STAPLETON_x000D_
http://yeinfo.com/family/I09066426.html_x000D_
https://www.google.com/search?q=BRIAN\BRYAN+STAPLETON+1379+1438+CECILY_x000D_
.born: 1379    -          Ingham (Norfolk) England_x000D_
.died: 14380807-          Ingham (Norfolk) England, age:59y 7m 6d, _x000D_
.bapt: 1785GE_x000D_
.will: 2004MO_x000D_
.obit: 1890OH_x000D_
.bury: 1850IL _x000D_
.wpbt: 1826PA_x000D_
.anc#:ancestor_x000D_
citiz:foreign_x000D_
#spos:1_x000D_
#srcs:2_x000D_
#comment:0_x000D_
#events:1_x000D_
#kids:1_x000D_
lived:ENNORFOINGHAM_x000D_
issue:_x000D_
.recs:Birth,Marriage,Death_x000D_
.imm?:no_x000D_
..Spo:CECILY BARDOLF</t>
        </r>
      </text>
    </comment>
    <comment ref="V7764" authorId="0" shapeId="0" xr:uid="{A916E17D-9F1E-456B-8B37-D986A19B8576}">
      <text>
        <r>
          <rPr>
            <sz val="9"/>
            <color indexed="81"/>
            <rFont val="Tahoma"/>
            <family val="2"/>
          </rPr>
          <t>MILES STAPLETON_x000D_
http://yeinfo.com/family/I09066263.html_x000D_
https://www.google.com/search?q=MILES+STAPLETON+1408+1466+KATHERINE_x000D_
.born: 1408    -          Ingham (Norfolk) England_x000D_
.died: 14661001-          Norfolk county England, age:58y 9m 0d, _x000D_
.bapt: 1785GE_x000D_
.will: 2004MO_x000D_
.obit: 1890OH_x000D_
.bury: 1850IL _x000D_
.wpbt: 1826PA_x000D_
.anc#:ancestor_x000D_
citiz:foreign_x000D_
#spos:1_x000D_
#srcs:1_x000D_
#comment:0_x000D_
#events:1_x000D_
#kids:1_x000D_
lived:ENNORFOINGHAM_x000D_
issue:_x000D_
.recs:Birth,Marriage,Death_x000D_
.imm?:no_x000D_
..Spo:KATHERINE LAPOLE</t>
        </r>
      </text>
    </comment>
    <comment ref="X7766" authorId="0" shapeId="0" xr:uid="{5784B06A-26DC-4669-A3F7-D10043C5A005}">
      <text>
        <r>
          <rPr>
            <sz val="9"/>
            <color indexed="81"/>
            <rFont val="Tahoma"/>
            <family val="2"/>
          </rPr>
          <t>WILLIAM BARDOLF_x000D_
http://yeinfo.com/family/I09066777.html_x000D_
https://www.google.com/search?q=WILLIAM+BARDOLF+1349+1386+AGNES_x000D_
.born: 13491021-          Wormegay (Norfolk) England_x000D_
.died: 13860129-          Lynn Kings (Norfolk) England, age:36y 3m 8d, _x000D_
.bapt: 1785GE_x000D_
.will: 2004MO_x000D_
.obit: 1890OH_x000D_
.bury: 1850IL _x000D_
.wpbt: 1826PA_x000D_
.anc#:ancestor_x000D_
citiz:foreign_x000D_
#spos:1_x000D_
#srcs:2_x000D_
#comment:2_x000D_
#events:1_x000D_
#kids:1_x000D_
lived:ENNORFOLYNN KI,ENNORFOWORMEGA_x000D_
issue:_x000D_
.recs:Birth,Marriage,Death_x000D_
.imm?:no_x000D_
..Spo:AGNES POYNINGS</t>
        </r>
      </text>
    </comment>
    <comment ref="W7768" authorId="0" shapeId="0" xr:uid="{43117016-DA48-4290-8EE1-3374747698DF}">
      <text>
        <r>
          <rPr>
            <sz val="9"/>
            <color indexed="81"/>
            <rFont val="Tahoma"/>
            <family val="2"/>
          </rPr>
          <t>CECILY BARDOLF_x000D_
http://yeinfo.com/family/I09066427.html_x000D_
https://www.google.com/search?q=CECILY+BARDOLF+1375+1432+STAPLETON_x000D_
.born:c1375    -          Birling (Kent) England_x000D_
.died: 14320929-          Bedale (Yorkshire) England, age:57y 8m 28d, _x000D_
.bapt: 1785GE_x000D_
.will: 2004MO_x000D_
.obit: 1890OH_x000D_
.bury: 1850IL Holy Trinity Churchyard of North Norfolk_x000D_
.wpbt: 1826PA_x000D_
.anc#:ancestor_x000D_
citiz:foreign_x000D_
#spos:1_x000D_
#srcs:3_x000D_
#comment:0_x000D_
#events:2_x000D_
#kids:1_x000D_
lived:ENKENT BIRLING,ENNORFOINGHAM,ENYORKSBEDALE_x000D_
issue:_x000D_
.recs:Birth,Marriage,Death,Interment/Burial_x000D_
.imm?:no_x000D_
..Spo:BRIAN\BRYAN STAPLETON</t>
        </r>
      </text>
    </comment>
    <comment ref="X7770" authorId="0" shapeId="0" xr:uid="{CB4873A8-B08B-49C3-85F9-301687FF07D1}">
      <text>
        <r>
          <rPr>
            <sz val="9"/>
            <color indexed="81"/>
            <rFont val="Tahoma"/>
            <family val="2"/>
          </rPr>
          <t>AGNES POYNINGS_x000D_
http://yeinfo.com/family/I09066825.html_x000D_
https://www.google.com/search?q=AGNES+POYNINGS+1350+1403+BARDOLF_x000D_
.born:?1350    -          Slaugham (Sussex) England_x000D_
.died: 14030612-          London (Middlesex) England, age:53y 5m 11d, _x000D_
.bapt: 1785GE_x000D_
.will: 2004MO_x000D_
.obit: 1890OH_x000D_
.bury: 1850IL _x000D_
.wpbt: 1826PA_x000D_
.anc#:ancestor_x000D_
citiz:foreign_x000D_
#spos:1_x000D_
#srcs:2_x000D_
#comment:2_x000D_
#events:1_x000D_
#kids:1_x000D_
lived:ENMIDDLLONDON,ENSUSSESLAUGHA_x000D_
issue:_x000D_
.recs:Birth,Marriage,Death_x000D_
.imm?:no_x000D_
..Spo:WILLIAM BARDOLF</t>
        </r>
      </text>
    </comment>
    <comment ref="U7772" authorId="0" shapeId="0" xr:uid="{801B5D97-B32A-4F51-947C-68645E24E390}">
      <text>
        <r>
          <rPr>
            <sz val="9"/>
            <color indexed="81"/>
            <rFont val="Tahoma"/>
            <family val="2"/>
          </rPr>
          <t>ELIZABETH STAPLETON_x000D_
http://yeinfo.com/family/I09066064.html_x000D_
https://www.google.com/search?q=ELIZABETH+STAPLETON+1441+1505+CALTHORPE+Edward_x000D_
.born:c1441    -          Ingham (Norfolk) England_x000D_
.died: 15050218-          Burnham Thorpe (Norfolk) England, age:64y 1m 17d, _x000D_
.bapt: 1785GE_x000D_
.will: 2004MO_x000D_
.obit: 1890OH_x000D_
.bury: 1850IL _x000D_
.wpbt: 1826PA_x000D_
.anc#:ancestor_x000D_
citiz:foreign_x000D_
#spos:2_x000D_
#srcs:1_x000D_
#comment:1_x000D_
#events:2_x000D_
#kids:1_x000D_
lived:ENNORFOBURNTHO,ENNORFOINGHAM_x000D_
issue:Died after Age 100,Spouse Age more than 30-Year Difference_x000D_
.recs:Birth,Marriage,Death_x000D_
.imm?:no_x000D_
..Spo:WILLIAM CALTHORPE</t>
        </r>
      </text>
    </comment>
    <comment ref="W7774" authorId="0" shapeId="0" xr:uid="{D61F3036-E33C-4AC3-9EB8-2DB3CCAA28A1}">
      <text>
        <r>
          <rPr>
            <sz val="9"/>
            <color indexed="81"/>
            <rFont val="Tahoma"/>
            <family val="2"/>
          </rPr>
          <t>THOMAS LAPOLE_x000D_
http://yeinfo.com/family/I09066428.html_x000D_
https://www.google.com/search?q=THOMAS+LAPOLE+1396+1416+ANNE_x000D_
.born: 13961016-          Kingston upon Hull (Yorkshire) England_x000D_
.died:?14160502-          Grafton Regis (Northamptonshire) England, age:19y 6m 16d, _x000D_
.bapt: 1785GE_x000D_
.will: 2004MO_x000D_
.obit: 1890OH_x000D_
.bury: 1850IL _x000D_
.wpbt: 1826PA_x000D_
.anc#:ancestor_x000D_
citiz:foreign_x000D_
#spos:1_x000D_
#srcs:1_x000D_
#comment:0_x000D_
#events:1_x000D_
#kids:1_x000D_
lived:ENNORTAGRAFTRE,ENYORKSKINGHUL_x000D_
issue:Died before Birth_x000D_
.recs:Birth,Marriage,Death_x000D_
.imm?:no_x000D_
..Spo:ANNE CHENEY</t>
        </r>
      </text>
    </comment>
    <comment ref="V7776" authorId="0" shapeId="0" xr:uid="{A4293E94-B837-441D-8288-5A8DE0F3CE47}">
      <text>
        <r>
          <rPr>
            <sz val="9"/>
            <color indexed="81"/>
            <rFont val="Tahoma"/>
            <family val="2"/>
          </rPr>
          <t>KATHERINE LAPOLE_x000D_
http://yeinfo.com/family/I09066264.html_x000D_
https://www.google.com/search?q=KATHERINE+LAPOLE+1416+1488+STAPLETON_x000D_
.born: 1416    -          Cotton (Suffolk) England_x000D_
.died:c14881014-          Staffordshire county England, age:72y 9m 13d, _x000D_
.bapt: 1785GE_x000D_
.will: 2004MO_x000D_
.obit: 1890OH_x000D_
.bury: 1850IL _x000D_
.wpbt: 1826PA_x000D_
.anc#:ancestor_x000D_
citiz:foreign_x000D_
#spos:1_x000D_
#srcs:1_x000D_
#comment:0_x000D_
#events:1_x000D_
#kids:1_x000D_
lived:ENSTAFS,ENSUFFOCOTTON_x000D_
issue:Born before Parents Married_x000D_
.recs:Birth,Marriage,Death_x000D_
.imm?:no_x000D_
..Spo:MILES STAPLETON</t>
        </r>
      </text>
    </comment>
    <comment ref="W7778" authorId="0" shapeId="0" xr:uid="{239D4966-707A-47BA-B253-E9AABD135B6B}">
      <text>
        <r>
          <rPr>
            <sz val="9"/>
            <color indexed="81"/>
            <rFont val="Tahoma"/>
            <family val="2"/>
          </rPr>
          <t>ANNE CHENEY_x000D_
http://yeinfo.com/family/I09066429.html_x000D_
https://www.google.com/search?q=ANNE+CHENEY+1398+1416+LAPOLE_x000D_
.born:c1398    -          Brackley (Northamptonshire) England_x000D_
.died: 1416    -1488      England, age:18y 0m 0d, _x000D_
.bapt: 1785GE_x000D_
.will: 2004MO_x000D_
.obit: 1890OH_x000D_
.bury: 1850IL _x000D_
.wpbt: 1826PA_x000D_
.anc#:ancestor_x000D_
citiz:foreign_x000D_
#spos:1_x000D_
#srcs:1_x000D_
#comment:0_x000D_
#events:1_x000D_
#kids:1_x000D_
lived:ENNORTABRACKLE_x000D_
issue:Died before Birth_x000D_
.recs:Birth,Marriage,Death_x000D_
.imm?:no_x000D_
..Spo:THOMAS LAPOLE</t>
        </r>
      </text>
    </comment>
    <comment ref="Q7780" authorId="0" shapeId="0" xr:uid="{4810560C-56D1-4D61-9871-272A429F6B49}">
      <text>
        <r>
          <rPr>
            <sz val="9"/>
            <color indexed="81"/>
            <rFont val="Tahoma"/>
            <family val="2"/>
          </rPr>
          <t>DOROTHY WALDEGRAVE_x000D_
http://yeinfo.com/family/I09048171.html_x000D_
https://www.google.com/search?q=DOROTHY+WALDEGRAVE+1530+1597+HARRIS_x000D_
.born: 15300309-          Smallbridge (Suffolk) England_x000D_
.died:c15970630-          Suffolk county England, age:67y 3m 21d, _x000D_
.bapt: 1785GE_x000D_
.will: 2004MO_x000D_
.obit: 1890OH_x000D_
.bury: 1850IL _x000D_
.wpbt: 1826PA_x000D_
.anc#:ancestor_x000D_
citiz:foreign_x000D_
#spos:1_x000D_
#srcs:1_x000D_
#comment:0_x000D_
#events:1_x000D_
#kids:1_x000D_
lived:ENESSEXWOODHFE,ENSUFFOSMBRIDG_x000D_
issue:_x000D_
.recs:Birth,Marriage,Death_x000D_
.imm?:no_x000D_
..Spo:ARTHUR HARRIS</t>
        </r>
      </text>
    </comment>
    <comment ref="U7782" authorId="0" shapeId="0" xr:uid="{620F241E-281B-43E0-BBAF-7E1762EB75A5}">
      <text>
        <r>
          <rPr>
            <sz val="9"/>
            <color indexed="81"/>
            <rFont val="Tahoma"/>
            <family val="2"/>
          </rPr>
          <t>WILLIAM RAINSFORD_x000D_
http://yeinfo.com/family/I09066065.html_x000D_
https://www.google.com/search?q=WILLIAM+RAINSFORD+1395+1419+ELEANOR_x000D_
.born:c1395    -          Alpheton (Suffolk) England_x000D_
.died: 1419    -1485      England, age:24y 0m 0d, _x000D_
.bapt: 1785GE_x000D_
.will: 2004MO_x000D_
.obit: 1890OH_x000D_
.bury: 1850IL _x000D_
.wpbt: 1826PA_x000D_
.anc#:ancestor_x000D_
citiz:foreign_x000D_
#spos:1_x000D_
#srcs:1_x000D_
#comment:0_x000D_
#events:1_x000D_
#kids:1_x000D_
lived:ENSUFFOALPHETO_x000D_
issue:_x000D_
.recs:Birth,Marriage,Death_x000D_
.imm?:no_x000D_
..Spo:ELEANOR BROCKSBORNE</t>
        </r>
      </text>
    </comment>
    <comment ref="T7784" authorId="0" shapeId="0" xr:uid="{04E8C112-9719-4F5C-86DC-39B753A6235D}">
      <text>
        <r>
          <rPr>
            <sz val="9"/>
            <color indexed="81"/>
            <rFont val="Tahoma"/>
            <family val="2"/>
          </rPr>
          <t>LAWRENCE RAINSFORD_x000D_
http://yeinfo.com/family/I09065905.html_x000D_
https://www.google.com/search?q=LAWRENCE+RAINSFORD+1419+1490+ELIZABETH+Percy_x000D_
.born:c1419    -          Essex county England_x000D_
.died: 14900918-          England, age:71y 8m 17d, _x000D_
.bapt: 1785GE_x000D_
.will: 2004MO_x000D_
.obit: 1890OH_x000D_
.bury: 1850IL _x000D_
.wpbt: 1826PA_x000D_
.anc#:ancestor_x000D_
citiz:foreign_x000D_
#spos:2_x000D_
#srcs:1_x000D_
#comment:0_x000D_
#events:2_x000D_
#kids:1_x000D_
lived:ENESSEX_x000D_
issue:_x000D_
.recs:Birth,Marriage,Death_x000D_
.imm?:no_x000D_
..Spo:ELIZABETH FIENNES</t>
        </r>
      </text>
    </comment>
    <comment ref="V7786" authorId="0" shapeId="0" xr:uid="{71CE8AE9-74BD-4C06-8ED1-9A20D93E4A81}">
      <text>
        <r>
          <rPr>
            <sz val="9"/>
            <color indexed="81"/>
            <rFont val="Tahoma"/>
            <family val="2"/>
          </rPr>
          <t>EDMUND BROCKSBORNE_x000D_
http://yeinfo.com/family/I09066265.html_x000D_
https://www.google.com/search?q=EDMUND+BROCKSBORNE+1370+1398+{_?_}_x000D_
.born:c1370    -          Bradfield (Essex) England_x000D_
.died: 1398    -1460     ?England, age:28y 0m 0d, _x000D_
.bapt: 1785GE_x000D_
.will: 2004MO_x000D_
.obit: 1890OH_x000D_
.bury: 1850IL _x000D_
.wpbt: 1826PA_x000D_
.anc#:ancestor_x000D_
citiz:foreign_x000D_
#spos:1_x000D_
#srcs:1_x000D_
#comment:0_x000D_
#events:1_x000D_
#kids:1_x000D_
lived:ENESSEXBRADFIE_x000D_
issue:_x000D_
.recs:Birth,Marriage,Death_x000D_
.imm?:no_x000D_
..Spo:{_?_} BROCKSBORNE</t>
        </r>
      </text>
    </comment>
    <comment ref="U7788" authorId="0" shapeId="0" xr:uid="{9ADCFC1A-0C21-43E3-9EBE-89EB3736D580}">
      <text>
        <r>
          <rPr>
            <sz val="9"/>
            <color indexed="81"/>
            <rFont val="Tahoma"/>
            <family val="2"/>
          </rPr>
          <t>ELEANOR BROCKSBORNE_x000D_
http://yeinfo.com/family/I09066066.html_x000D_
https://www.google.com/search?q=ELEANOR+BROCKSBORNE+1398+1419+RAINSFORD_x000D_
.born:c1398    -          Bradfield (Essex) England_x000D_
.died: 1419    -1488      England, age:21y 0m 0d, _x000D_
.bapt: 1785GE_x000D_
.will: 2004MO_x000D_
.obit: 1890OH_x000D_
.bury: 1850IL _x000D_
.wpbt: 1826PA_x000D_
.anc#:ancestor_x000D_
citiz:foreign_x000D_
#spos:1_x000D_
#srcs:1_x000D_
#comment:0_x000D_
#events:1_x000D_
#kids:1_x000D_
lived:ENESSEXBRADFIE_x000D_
issue:_x000D_
.recs:Birth,Marriage,Death_x000D_
.imm?:no_x000D_
..Spo:WILLIAM RAINSFORD</t>
        </r>
      </text>
    </comment>
    <comment ref="V7790" authorId="0" shapeId="0" xr:uid="{0D718C83-F3CA-4787-93F8-235994AA587A}">
      <text>
        <r>
          <rPr>
            <sz val="9"/>
            <color indexed="81"/>
            <rFont val="Tahoma"/>
            <family val="2"/>
          </rPr>
          <t>Mrs. {_?_} BROCKSBORNE_x000D_
http://yeinfo.com/family/I09066266.html_x000D_
https://www.google.com/search?q={_?_}+BROCKSBORNE+1370+1398+BROCKSBORNE_x000D_
.born:?1370    -         ?England_x000D_
.died: 1398    -1460     ?England, age:28y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..Spo:EDMUND BROCKSBORNE</t>
        </r>
      </text>
    </comment>
    <comment ref="S7792" authorId="0" shapeId="0" xr:uid="{44E18309-67B0-4C50-9BA1-537E24100356}">
      <text>
        <r>
          <rPr>
            <sz val="9"/>
            <color indexed="81"/>
            <rFont val="Tahoma"/>
            <family val="2"/>
          </rPr>
          <t>JOHN RAINSFORD_x000D_
http://yeinfo.com/family/I09065754.html_x000D_
https://www.google.com/search?q=JOHN+RAINSFORD+1461+1505+ALICE_x000D_
.born:c1461    -         ?England_x000D_
.died: 1505    -1551     ?England, age:44y 0m 0d, _x000D_
.bapt: 1785GE_x000D_
.will: 2004MO_x000D_
.obit: 1890OH_x000D_
.bury: 1850IL _x000D_
.wpbt: 1826PA_x000D_
.anc#:ancestor_x000D_
citiz:foreign_x000D_
#spos:1_x000D_
#srcs:1_x000D_
#comment:0_x000D_
#events:1_x000D_
#kids:1_x000D_
lived:?EN_x000D_
issue:Born after Mom Age 50_x000D_
.recs:Birth,Marriage,Death_x000D_
.imm?:no_x000D_
..Spo:ALICE DANVERS</t>
        </r>
      </text>
    </comment>
    <comment ref="V7794" authorId="0" shapeId="0" xr:uid="{D413874A-56DC-4125-A04C-4F2819C8B39A}">
      <text>
        <r>
          <rPr>
            <sz val="9"/>
            <color indexed="81"/>
            <rFont val="Tahoma"/>
            <family val="2"/>
          </rPr>
          <t>WILLIAM FIENNES_x000D_
http://yeinfo.com/family/I09066267.html_x000D_
https://www.google.com/search?q=WILLIAM+FIENNES+1357+1402+ELIZABETH_x000D_
.born:a13570801-          Henstead (Suffolk) England_x000D_
.died:c14020118-          Kemsing (Kent) England, age:44y 5m 17d, _x000D_
.bapt: 1785GE_x000D_
.will: 2004MO_x000D_
.obit: 1890OH_x000D_
.bury: 1850IL _x000D_
.wpbt: 1826PA_x000D_
.anc#:ancestor_x000D_
citiz:foreign_x000D_
#spos:1_x000D_
#srcs:2_x000D_
#comment:1_x000D_
#events:1_x000D_
#kids:1_x000D_
lived:ENKENT KEMSING,ENSUFFOHENSTEA_x000D_
issue:_x000D_
.recs:Birth,Marriage,Death_x000D_
.imm?:no_x000D_
..Spo:ELIZABETH BATTISFORD</t>
        </r>
      </text>
    </comment>
    <comment ref="U7796" authorId="0" shapeId="0" xr:uid="{8107BD5D-886E-49EE-B573-BD19598D5454}">
      <text>
        <r>
          <rPr>
            <sz val="9"/>
            <color indexed="81"/>
            <rFont val="Tahoma"/>
            <family val="2"/>
          </rPr>
          <t>JAMES FIENNES_x000D_
http://yeinfo.com/family/I09066067.html_x000D_
https://www.google.com/search?q=JAMES+FIENNES+1384+1450+EMMELINE_x000D_
.born: 13840922-         ?England_x000D_
.died: 14500704-          London (Middlesex) England, age:65y 9m 12d, _x000D_
.bapt: 1785GE_x000D_
.will: 2004MO_x000D_
.obit: 1890OH_x000D_
.bury: 1850IL _x000D_
.wpbt: 1826PA_x000D_
.anc#:ancestor_x000D_
citiz:foreign_x000D_
#spos:1_x000D_
#srcs:3_x000D_
#comment:0_x000D_
#events:1_x000D_
#kids:1_x000D_
lived:?EN,ENMIDDLLONDON_x000D_
issue:Born before Parents Married_x000D_
.recs:Birth,Marriage,Death_x000D_
.imm?:no_x000D_
..Spo:EMMELINE CROWMER</t>
        </r>
      </text>
    </comment>
    <comment ref="V7798" authorId="0" shapeId="0" xr:uid="{5EAF7DA3-973E-4B79-BE49-EBD4CB8F3B45}">
      <text>
        <r>
          <rPr>
            <sz val="9"/>
            <color indexed="81"/>
            <rFont val="Tahoma"/>
            <family val="2"/>
          </rPr>
          <t>ELIZABETH BATTISFORD_x000D_
http://yeinfo.com/family/I09066268.html_x000D_
https://www.google.com/search?q=ELIZABETH+BATTISFORD+1357+1384+FIENNES_x000D_
.born:?1357    -         ?Henstead (Suffolk) England_x000D_
.died: 1384    -1447      Henstead (Suffolk) England, age:27y 0m 0d, _x000D_
.bapt: 1785GE_x000D_
.will: 2004MO_x000D_
.obit: 1890OH_x000D_
.bury: 1850IL _x000D_
.wpbt: 1826PA_x000D_
.anc#:ancestor_x000D_
citiz:foreign_x000D_
#spos:1_x000D_
#srcs:1_x000D_
#comment:0_x000D_
#events:1_x000D_
#kids:1_x000D_
lived:?ENSUFFOHENSTEA_x000D_
issue:Died before Birth_x000D_
.recs:Birth,Marriage,Death_x000D_
.imm?:no_x000D_
..Spo:WILLIAM FIENNES</t>
        </r>
      </text>
    </comment>
    <comment ref="T7800" authorId="0" shapeId="0" xr:uid="{9266EB4A-6CFB-433E-90B2-BA0B1AF779D0}">
      <text>
        <r>
          <rPr>
            <sz val="9"/>
            <color indexed="81"/>
            <rFont val="Tahoma"/>
            <family val="2"/>
          </rPr>
          <t>ELIZABETH FIENNES_x000D_
http://yeinfo.com/family/I09065906.html_x000D_
https://www.google.com/search?q=ELIZABETH+FIENNES+1408+1461+RAINSFORD_x000D_
.born:?1408    -         ?England_x000D_
.died: 1461    -1490     ?England, age:53y 0m 0d, _x000D_
.bapt: 1785GE_x000D_
.will: 2004MO_x000D_
.obit: 1890OH_x000D_
.bury: 1850IL _x000D_
.wpbt: 1826PA_x000D_
.anc#:ancestor_x000D_
citiz:foreign_x000D_
#spos:1_x000D_
#srcs:2_x000D_
#comment:0_x000D_
#events:1_x000D_
#kids:1_x000D_
lived:?EN_x000D_
issue:Born before Parents Married_x000D_
.recs:Birth,Marriage,Death_x000D_
.imm?:no_x000D_
..Spo:LAWRENCE RAINSFORD</t>
        </r>
      </text>
    </comment>
    <comment ref="V7802" authorId="0" shapeId="0" xr:uid="{3E5607B9-528B-4290-9C2D-D3D3B24438DF}">
      <text>
        <r>
          <rPr>
            <sz val="9"/>
            <color indexed="81"/>
            <rFont val="Tahoma"/>
            <family val="2"/>
          </rPr>
          <t>WILLIAM CROWMER_x000D_
http://yeinfo.com/family/I09066269.html_x000D_
https://www.google.com/search?q=WILLIAM+CROWMER+1375+1433+MARGARET_x000D_
.born:?1375    -          London (Middlesex) England_x000D_
.died: 143301  -         ?England, age:58y 0m 0d, _x000D_
.bapt: 1785GE_x000D_
.will: 2004MO_x000D_
.obit: 1890OH_x000D_
.bury: 1850IL _x000D_
.wpbt: 1826PA_x000D_
.anc#:ancestor_x000D_
citiz:foreign_x000D_
#spos:1_x000D_
#srcs:1_x000D_
#comment:1_x000D_
#events:1_x000D_
#kids:1_x000D_
lived:ENMIDDLLONDON_x000D_
issue:_x000D_
.recs:Birth,Marriage,Death_x000D_
.imm?:no_x000D_
..Spo:MARGARET SQUERY</t>
        </r>
      </text>
    </comment>
    <comment ref="U7804" authorId="0" shapeId="0" xr:uid="{B037B9F4-29E1-47DE-BC5C-34943757472C}">
      <text>
        <r>
          <rPr>
            <sz val="9"/>
            <color indexed="81"/>
            <rFont val="Tahoma"/>
            <family val="2"/>
          </rPr>
          <t>EMMELINE CROWMER_x000D_
http://yeinfo.com/family/I09066068.html_x000D_
https://www.google.com/search?q=EMMELINE+CROWMER+1398+1418+FIENNES_x000D_
.born: 1398    -          _x000D_
.died: 1418    -1488      , age:20y 0m 0d, _x000D_
.bapt: 1785GE_x000D_
.will: 2004MO_x000D_
.obit: 1890OH_x000D_
.bury: 1850IL _x000D_
.wpbt: 1826PA_x000D_
.anc#:ancestor_x000D_
citiz:foreign_x000D_
#spos:1_x000D_
#srcs:2_x000D_
#comment:0_x000D_
#events:1_x000D_
#kids:1_x000D_
lived:?EN_x000D_
issue:Died before Birth_x000D_
.recs:Birth,Marriage,Death_x000D_
.imm?:no_x000D_
..Spo:JAMES FIENNES</t>
        </r>
      </text>
    </comment>
    <comment ref="V7806" authorId="0" shapeId="0" xr:uid="{F57DAE7C-91D2-4A63-A02E-926F55FE1446}">
      <text>
        <r>
          <rPr>
            <sz val="9"/>
            <color indexed="81"/>
            <rFont val="Tahoma"/>
            <family val="2"/>
          </rPr>
          <t>MARGARET SQUERY_x000D_
http://yeinfo.com/family/I09066270.html_x000D_
https://www.google.com/search?q=MARGARET+SQUERY+1375+1446+CROWMER_x000D_
.born:?1375    -          Tunstall (Kent) England_x000D_
.died: 1446    -         ?England, age:71y 0m 0d, _x000D_
.bapt: 1785GE_x000D_
.will: 2004MO_x000D_
.obit: 1890OH_x000D_
.bury: 1850IL _x000D_
.wpbt: 1826PA_x000D_
.anc#:ancestor_x000D_
citiz:foreign_x000D_
#spos:1_x000D_
#srcs:1_x000D_
#comment:1_x000D_
#events:1_x000D_
#kids:1_x000D_
lived:ENKENT TUNSTAL_x000D_
issue:_x000D_
.recs:Birth,Marriage,Death_x000D_
.imm?:no_x000D_
..Spo:WILLIAM CROWMER</t>
        </r>
      </text>
    </comment>
    <comment ref="R7808" authorId="0" shapeId="0" xr:uid="{A3C98ACA-BCE0-4D20-A08B-5D786A56E66C}">
      <text>
        <r>
          <rPr>
            <sz val="9"/>
            <color indexed="81"/>
            <rFont val="Tahoma"/>
            <family val="2"/>
          </rPr>
          <t>JULIAN RAINSFORD_x000D_
http://yeinfo.com/family/I09065628.html_x000D_
https://www.google.com/search?q=JULIAN+RAINSFORD+1505+1559+WALDEGRAVE_x000D_
.born:c1505    -          Colchester (Essex) England_x000D_
.died: 15591127-          Smallbridge (Suffolk) England, age:54y 10m 26d, _x000D_
.bapt: 1785GE_x000D_
.will: 2004MO_x000D_
.obit: 1890OH_x000D_
.bury: 1850IL _x000D_
.wpbt: 1826PA_x000D_
.anc#:ancestor_x000D_
citiz:foreign_x000D_
#spos:1_x000D_
#srcs:1_x000D_
#comment:0_x000D_
#events:1_x000D_
#kids:1_x000D_
lived:ENESSEXCOLCHES,ENSUFFOSMBRIDG_x000D_
issue:_x000D_
.recs:Birth,Marriage,Death_x000D_
.imm?:no_x000D_
..Spo:WILLIAM WALDEGRAVE</t>
        </r>
      </text>
    </comment>
    <comment ref="S7810" authorId="0" shapeId="0" xr:uid="{6E983E79-3BC9-412B-BB8C-5DAA95C8BA19}">
      <text>
        <r>
          <rPr>
            <sz val="9"/>
            <color indexed="81"/>
            <rFont val="Tahoma"/>
            <family val="2"/>
          </rPr>
          <t>ALICE DANVERS_x000D_
http://yeinfo.com/family/I09065755.html_x000D_
https://www.google.com/search?q=ALICE+DANVERS+1470+1505+RAINSFORD_x000D_
.born:?1470    -         ?England_x000D_
.died: 1505    -1560     ?England, age:35y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..Spo:JOHN RAINSFORD</t>
        </r>
      </text>
    </comment>
    <comment ref="N7812" authorId="0" shapeId="0" xr:uid="{3A56F9DB-EE41-4035-AE56-BE64C2693221}">
      <text>
        <r>
          <rPr>
            <sz val="9"/>
            <color indexed="81"/>
            <rFont val="Tahoma"/>
            <family val="2"/>
          </rPr>
          <t>ESTHER KEMPE_x000D_
http://yeinfo.com/family/I09006021.html_x000D_
https://www.google.com/search?q=ESTHER+KEMPE+1632+1702+FOSTER_x000D_
.born:?1632    -          Wenham (Essex) Massachusetts_x000D_
.died: 17020416-          Chelmsford (Middlesex) Massachusetts, age:70y 3m 15d, _x000D_
.bapt: 1785GE_x000D_
.will: 2004MO_x000D_
.obit: 1890OH_x000D_
.bury: 1850IL _x000D_
.wpbt: 1826PA_x000D_
.anc#:ancestor_x000D_
citiz:US born_x000D_
#spos:1_x000D_
#srcs:1_x000D_
#comment:0_x000D_
#events:1_x000D_
#kids:1_x000D_
lived:MAESSEXWENHAM,MAMIDDLCHELMSF,MANORFODEDHAM_x000D_
issue:_x000D_
.recs:Birth,Marriage,Death_x000D_
.imm?:no_x000D_
..Spo:SAMUEL ELI FOSTER</t>
        </r>
      </text>
    </comment>
    <comment ref="O7814" authorId="0" shapeId="0" xr:uid="{3E6B18ED-0BC0-4F86-A09D-BF1CDECA2DD9}">
      <text>
        <r>
          <rPr>
            <sz val="9"/>
            <color indexed="81"/>
            <rFont val="Tahoma"/>
            <family val="2"/>
          </rPr>
          <t>ANNE\ESTHER BECKENHAM_x000D_
http://yeinfo.com/family/I09012043.html_x000D_
https://www.google.com/search?q=ANNE\ESTHER+BECKENHAM+1598+1666+KEMPE_x000D_
.born:?1598    -          England_x000D_
.died: 16660417-          Chelmsford (Middlesex) Massachusetts, age:68y 3m 16d, _x000D_
.bapt: 1785GE_x000D_
.will: 2004MO_x000D_
.obit: 1890OH_x000D_
.bury: 1850IL _x000D_
.wpbt: 1826PA_x000D_
.anc#:ancestor_x000D_
citiz:immigrant_x000D_
#spos:1_x000D_
#srcs:1_x000D_
#comment:0_x000D_
#events:1_x000D_
#kids:1_x000D_
lived:ENNORFODISS,MAMIDDLCHELMSF_x000D_
issue:_x000D_
.recs:Birth,Marriage,Death_x000D_
.imm?:immigrant_x000D_
..Spo:EDWARD KEMPE</t>
        </r>
      </text>
    </comment>
    <comment ref="L7816" authorId="0" shapeId="0" xr:uid="{2EFCF611-9818-4CB1-B5C2-73CEFE5D434A}">
      <text>
        <r>
          <rPr>
            <sz val="9"/>
            <color indexed="81"/>
            <rFont val="Tahoma"/>
            <family val="2"/>
          </rPr>
          <t>HANNAH\ANNA FOSTER_x000D_
http://yeinfo.com/family/I09001505.html_x000D_
https://www.google.com/search?q=HANNAH\ANNA+FOSTER+1684+1749+BARRETT_x000D_
.born: 16841203-          Chelmsford (Middlesex) Massachusetts_x000D_
.died: 1749    -          Sunderland (Franklin) Massachusetts, age:64y 0m 29d, _x000D_
.bapt: 1785GE_x000D_
.will: 2004MO_x000D_
.obit: 1890OH_x000D_
.bury: 1850IL _x000D_
.wpbt: 1826PA_x000D_
.anc#:ancestor_x000D_
citiz:US born_x000D_
#spos:1_x000D_
#srcs:3_x000D_
#comment:0_x000D_
#events:2_x000D_
#kids:8_x000D_
lived:MAFRKLNSUNDERL,MAMIDDLCHELMSF_x000D_
issue:_x000D_
.recs:Birth,Marriage,Death_x000D_
.imm?:no_x000D_
..Spo:BENJAMIN BARRETT</t>
        </r>
      </text>
    </comment>
    <comment ref="P7818" authorId="0" shapeId="0" xr:uid="{F86B83B4-B1C8-4C79-87F2-7C59F2181DCA}">
      <text>
        <r>
          <rPr>
            <sz val="9"/>
            <color indexed="81"/>
            <rFont val="Tahoma"/>
            <family val="2"/>
          </rPr>
          <t>JOHN KEYES_x000D_
http://yeinfo.com/family/I09024088.html_x000D_
https://www.google.com/search?q=JOHN+KEYES+1580+1602+SUSAN_x000D_
.born:c1580    -         ?England_x000D_
.died: 1602    -1670      , age:22y 0m 0d, _x000D_
.bapt: 1785GE_x000D_
.will: 2004MO_x000D_
.obit: 1890OH_x000D_
.bury: 1850IL _x000D_
.wpbt: 1826PA_x000D_
.anc#:ancestor_x000D_
citiz:US born_x000D_
#spos:1_x000D_
#srcs:1_x000D_
#comment:0_x000D_
#events:1_x000D_
#kids:1_x000D_
lived:?EN_x000D_
issue:_x000D_
.recs:Birth,Marriage,Death_x000D_
.imm?:no_x000D_
..Spo:SUSAN NAWES</t>
        </r>
      </text>
    </comment>
    <comment ref="O7820" authorId="0" shapeId="0" xr:uid="{D90C6DF4-479D-4097-B943-55A46F83F287}">
      <text>
        <r>
          <rPr>
            <sz val="9"/>
            <color indexed="81"/>
            <rFont val="Tahoma"/>
            <family val="2"/>
          </rPr>
          <t>ROBERT KEYES_x000D_
http://yeinfo.com/family/I09012044.html_x000D_
https://www.google.com/search?q=ROBERT+KEYES+1602+1647+SARAH+KEYES_x000D_
.born: 1602    -          Kent county England_x000D_
.died: 16470716-          Essex county England, age:45y 6m 15d, _x000D_
.bapt: 1785GE_x000D_
.will: 2004MO_x000D_
.obit: 1890OH_x000D_
.bury: 1850IL _x000D_
.wpbt: 1826PA_x000D_
.anc#:ancestor_x000D_
citiz:foreign_x000D_
#spos:2_x000D_
#srcs:2_x000D_
#comment:0_x000D_
#events:2_x000D_
#kids:8_x000D_
lived:ENESSEX,ENKENT_x000D_
issue:_x000D_
.recs:Birth,Marriage,Death_x000D_
.imm?:no_x000D_
..Spo:SARAH ALLEN</t>
        </r>
      </text>
    </comment>
    <comment ref="P7822" authorId="0" shapeId="0" xr:uid="{499CD057-0438-470C-8FC7-1796947C9291}">
      <text>
        <r>
          <rPr>
            <sz val="9"/>
            <color indexed="81"/>
            <rFont val="Tahoma"/>
            <family val="2"/>
          </rPr>
          <t>SUSAN NAWES_x000D_
http://yeinfo.com/family/I09024089.html_x000D_
https://www.google.com/search?q=SUSAN+NAWES+1580+1602+KEYES_x000D_
.born:c1580    -         ?England_x000D_
.died: 1602    -1670      , age:22y 0m 0d, _x000D_
.bapt: 1785GE_x000D_
.will: 2004MO_x000D_
.obit: 1890OH_x000D_
.bury: 1850IL _x000D_
.wpbt: 1826PA_x000D_
.anc#:ancestor_x000D_
citiz:US born_x000D_
#spos:1_x000D_
#srcs:1_x000D_
#comment:0_x000D_
#events:1_x000D_
#kids:1_x000D_
lived:?EN_x000D_
issue:_x000D_
.recs:Birth,Marriage,Death_x000D_
.imm?:no_x000D_
..Spo:JOHN KEYES</t>
        </r>
      </text>
    </comment>
    <comment ref="N7824" authorId="0" shapeId="0" xr:uid="{4DA17419-2FDE-4FF7-B188-1070AD44F98A}">
      <text>
        <r>
          <rPr>
            <sz val="9"/>
            <color indexed="81"/>
            <rFont val="Tahoma"/>
            <family val="2"/>
          </rPr>
          <t>SOLOMON KEYES_x000D_
http://yeinfo.com/family/I09006022.html_x000D_
https://www.google.com/search?q=SOLOMON+KEYES+1630+1702+FRANCES\SARAH_x000D_
.born: 1630    -          Yorkshire county England_x000D_
.died: 17020328-          Chelmsford (Middlesex) Massachusetts, age:72y 2m 27d, _x000D_
.bapt: 1785GE_x000D_
.will: 2004MO_x000D_
.obit: 1890OH_x000D_
.bury: 1850IL _x000D_
.wpbt: 1826PA_x000D_
.anc#:ancestor_x000D_
citiz:immigrant_x000D_
#spos:1_x000D_
#srcs:1_x000D_
#comment:0_x000D_
#events:1_x000D_
#kids:1_x000D_
lived:ENYORKS,MAESSEXNEWBURY,MAMIDDLCHELMSF_x000D_
issue:_x000D_
.recs:Birth,Marriage,Death_x000D_
.imm?:immigrant_x000D_
..Spo:FRANCES\SARAH GRANT</t>
        </r>
      </text>
    </comment>
    <comment ref="O7826" authorId="0" shapeId="0" xr:uid="{07A987C3-19CF-4E2F-A41B-F690A39DC75B}">
      <text>
        <r>
          <rPr>
            <sz val="9"/>
            <color indexed="81"/>
            <rFont val="Tahoma"/>
            <family val="2"/>
          </rPr>
          <t>SARAH ALLEN_x000D_
http://yeinfo.com/family/I09012045.html_x000D_
https://www.google.com/search?q=SARAH+ALLEN+1611+1681+KEYES+John_x000D_
.born: 1611    -          England_x000D_
.died: 16810707-          Newbury (Essex) Massachusetts, age:70y 6m 6d, _x000D_
.bapt: 1785GE_x000D_
.will: 2004MO_x000D_
.obit: 1890OH_x000D_
.bury: 1850IL _x000D_
.wpbt: 1826PA_x000D_
.anc#:ancestor_x000D_
citiz:immigrant_x000D_
#spos:2_x000D_
#srcs:1_x000D_
#comment:0_x000D_
#events:2_x000D_
#kids:8_x000D_
lived:EN,MAESSEXIPSWICH,MAESSEXNEWBURY_x000D_
issue:_x000D_
.recs:Birth,Marriage,Death_x000D_
.imm?:immigrant_x000D_
..Spo:ROBERT KEYES</t>
        </r>
      </text>
    </comment>
    <comment ref="M7828" authorId="0" shapeId="0" xr:uid="{30685C28-5F7B-4993-974F-D91D76C616C0}">
      <text>
        <r>
          <rPr>
            <sz val="9"/>
            <color indexed="81"/>
            <rFont val="Tahoma"/>
            <family val="2"/>
          </rPr>
          <t>SARAH KEYES_x000D_
http://yeinfo.com/family/I09003011.html_x000D_
https://www.google.com/search?q=SARAH+KEYES+1656+1718+FOSTER_x000D_
.born: 16560824-          Newbury (Essex) Massachusetts_x000D_
.died: 17180127-          Chelmsford (Middlesex) Massachusetts, age:61y 5m 3d, _x000D_
.bapt: 1785GE_x000D_
.will: 2004MO_x000D_
.obit: 1890OH_x000D_
.bury: 1850IL _x000D_
.wpbt: 1826PA_x000D_
.anc#:ancestor_x000D_
citiz:US born_x000D_
#spos:1_x000D_
#srcs:1_x000D_
#comment:0_x000D_
#events:1_x000D_
#kids:1_x000D_
lived:MAESSEXNEWBURY,MAMIDDLCHELMSF_x000D_
issue:_x000D_
.recs:Birth,Marriage,Death_x000D_
.imm?:no_x000D_
..Spo:SAMUEL ELI FOSTER</t>
        </r>
      </text>
    </comment>
    <comment ref="U7830" authorId="0" shapeId="0" xr:uid="{72F85CB4-C742-4DF1-8EAC-D790424655A5}">
      <text>
        <r>
          <rPr>
            <sz val="9"/>
            <color indexed="81"/>
            <rFont val="Tahoma"/>
            <family val="2"/>
          </rPr>
          <t>ADAM GRANT_x000D_
http://yeinfo.com/family/I09065746.html_x000D_
https://www.google.com/search?q=ADAM+GRANT+1401+1439+MAUD_x000D_
.born: 1401    -          Abergavenny (Monmouthshire) Wales_x000D_
.died: 1439    -1491      Warwickshire county England, age:38y 0m 0d, _x000D_
.bapt: 1785GE_x000D_
.will: 2004MO_x000D_
.obit: 1890OH_x000D_
.bury: 1850IL _x000D_
.wpbt: 1826PA_x000D_
.anc#:double ancestor_x000D_
citiz:foreign_x000D_
#spos:1_x000D_
#srcs:2_x000D_
#comment:1_x000D_
#events:1_x000D_
#kids:1_x000D_
lived:?ENWARWE,WLMONMSABERGAV_x000D_
issue:_x000D_
.recs:Birth,Marriage,Death_x000D_
.imm?:no_x000D_
..Spo:MAUD CHENOW</t>
        </r>
      </text>
    </comment>
    <comment ref="T7832" authorId="0" shapeId="0" xr:uid="{15238EAB-4FA2-4F4D-A1D1-E44079EC59CB}">
      <text>
        <r>
          <rPr>
            <sz val="9"/>
            <color indexed="81"/>
            <rFont val="Tahoma"/>
            <family val="2"/>
          </rPr>
          <t>WILLIAM GRANT_x000D_
http://yeinfo.com/family/I09065615.html_x000D_
https://www.google.com/search?q=WILLIAM+GRANT+1439+1479+JANE_x000D_
.born: 1439    -          England_x000D_
.died: 1479    -1515     ?England, age:40y 0m 0d, _x000D_
.bapt: 1785GE_x000D_
.will: 2004MO_x000D_
.obit: 1890OH_x000D_
.bury: 1850IL _x000D_
.wpbt: 1826PA_x000D_
.anc#:double ancestor_x000D_
citiz:foreign_x000D_
#spos:1_x000D_
#srcs:2_x000D_
#comment:0_x000D_
#events:1_x000D_
#kids:1_x000D_
lived:?ENYORKS,EN_x000D_
issue:_x000D_
.recs:Birth,Marriage,Death_x000D_
.imm?:no_x000D_
..Spo:JANE GRANTLAND</t>
        </r>
      </text>
    </comment>
    <comment ref="U7834" authorId="0" shapeId="0" xr:uid="{759E7F07-A60F-4851-A1E7-5BC790D8BD43}">
      <text>
        <r>
          <rPr>
            <sz val="9"/>
            <color indexed="81"/>
            <rFont val="Tahoma"/>
            <family val="2"/>
          </rPr>
          <t>MAUD CHENOW_x000D_
http://yeinfo.com/family/I09065747.html_x000D_
https://www.google.com/search?q=MAUD+CHENOW+1425+1445+GRANT_x000D_
.born: 1425    -         ?England_x000D_
.died: 1445    -1515      Warwickshire county England, age:20y 0m 0d, _x000D_
.bapt: 1785GE_x000D_
.will: 2004MO_x000D_
.obit: 1890OH_x000D_
.bury: 1850IL _x000D_
.wpbt: 1826PA_x000D_
.anc#:double ancestor_x000D_
citiz:foreign_x000D_
#spos:1_x000D_
#srcs:2_x000D_
#comment:0_x000D_
#events:1_x000D_
#kids:1_x000D_
lived:?ENWARWE_x000D_
issue:Died after Age 100_x000D_
.recs:Birth,Marriage,Death_x000D_
.imm?:no_x000D_
..Spo:ADAM GRANT</t>
        </r>
      </text>
    </comment>
    <comment ref="S7836" authorId="0" shapeId="0" xr:uid="{795F8400-CF60-4D11-9B70-BE71FA70E488}">
      <text>
        <r>
          <rPr>
            <sz val="9"/>
            <color indexed="81"/>
            <rFont val="Tahoma"/>
            <family val="2"/>
          </rPr>
          <t>WILLIAM GRANT_x000D_
http://yeinfo.com/family/I09048064.html_x000D_
https://www.google.com/search?q=WILLIAM+GRANT+1479+1550+JANE_x000D_
.born: 1479    -          _x000D_
.died: 1550    -          , age:71y 0m 0d, _x000D_
.bapt: 1785GE_x000D_
.will: 2004MO_x000D_
.obit: 1890OH_x000D_
.bury: 1850IL _x000D_
.wpbt: 1826PA_x000D_
.anc#:double ancestor_x000D_
citiz:foreign_x000D_
#spos:1_x000D_
#srcs:3_x000D_
#comment:0_x000D_
#events:1_x000D_
#kids:1_x000D_
lived:ENYORKS_x000D_
issue:Born after Mom Age 50_x000D_
.recs:Birth,Marriage,Death_x000D_
.imm?:no_x000D_
..Spo:JANE BURTON</t>
        </r>
      </text>
    </comment>
    <comment ref="T7838" authorId="0" shapeId="0" xr:uid="{E96868DA-6D05-4EE4-9A9D-16D06B3E3A9D}">
      <text>
        <r>
          <rPr>
            <sz val="9"/>
            <color indexed="81"/>
            <rFont val="Tahoma"/>
            <family val="2"/>
          </rPr>
          <t>JANE GRANTLAND_x000D_
http://yeinfo.com/family/I09065616.html_x000D_
https://www.google.com/search?q=JANE+GRANTLAND+1422+1509+GRANT_x000D_
.born: 1422    -         ?England_x000D_
.died: 1509    -         ?England, age:87y 0m 0d, _x000D_
.bapt: 1785GE_x000D_
.will: 2004MO_x000D_
.obit: 1890OH_x000D_
.bury: 1850IL _x000D_
.wpbt: 1826PA_x000D_
.anc#:double ancestor_x000D_
citiz:foreign_x000D_
#spos:1_x000D_
#srcs:2_x000D_
#comment:0_x000D_
#events:1_x000D_
#kids:1_x000D_
lived:?ENYORKS_x000D_
issue:_x000D_
.recs:Birth,Marriage,Death_x000D_
.imm?:no_x000D_
..Spo:WILLIAM GRANT</t>
        </r>
      </text>
    </comment>
    <comment ref="R7840" authorId="0" shapeId="0" xr:uid="{EC3E7F0D-9C82-4915-BBE6-5B3F1CD1D684}">
      <text>
        <r>
          <rPr>
            <sz val="9"/>
            <color indexed="81"/>
            <rFont val="Tahoma"/>
            <family val="2"/>
          </rPr>
          <t>JOHN GRANT_x000D_
http://yeinfo.com/family/I09024032.html_x000D_
https://www.google.com/search?q=JOHN+GRANT+1505+1593+JANE_x000D_
.born: 1505    -          Roxby (Yorkshire) England_x000D_
.died: 15930722-          Roxby (Yorkshire) England, age:88y 6m 21d, _x000D_
.bapt: 1785GE_x000D_
.will: 2004MO_x000D_
.obit: 1890OH_x000D_
.bury: 1850IL _x000D_
.wpbt: 1826PA_x000D_
.anc#:double ancestor_x000D_
citiz:foreign_x000D_
#spos:1_x000D_
#srcs:3_x000D_
#comment:0_x000D_
#events:1_x000D_
#kids:1_x000D_
lived:ENYORKSROXBY_x000D_
issue:Died after Age 100_x000D_
.recs:Birth,Marriage,Death_x000D_
.imm?:no_x000D_
..Spo:JANE BELFORD</t>
        </r>
      </text>
    </comment>
    <comment ref="U7842" authorId="0" shapeId="0" xr:uid="{38DEDB51-14B0-47EE-A608-E85321034F08}">
      <text>
        <r>
          <rPr>
            <sz val="9"/>
            <color indexed="81"/>
            <rFont val="Tahoma"/>
            <family val="2"/>
          </rPr>
          <t>WILLIAM BURTON_x000D_
http://yeinfo.com/family/I09065766.html_x000D_
https://www.google.com/search?q=WILLIAM+BURTON+1432+1500+{_?_}_x000D_
.born: 1432    -          Condover (Shropshire) England_x000D_
.died: 1500    -          , age:68y 0m 0d, _x000D_
.bapt: 1785GE_x000D_
.will: 2004MO_x000D_
.obit: 1890OH_x000D_
.bury: 1850IL _x000D_
.wpbt: 1826PA_x000D_
.anc#:double ancestor_x000D_
citiz:foreign_x000D_
#spos:1_x000D_
#srcs:1_x000D_
#comment:0_x000D_
#events:1_x000D_
#kids:1_x000D_
lived:ENSHROPCONDOVE_x000D_
issue:_x000D_
.recs:Birth,Marriage,Death_x000D_
.imm?:no_x000D_
..Spo:{_?_} BURTON</t>
        </r>
      </text>
    </comment>
    <comment ref="T7844" authorId="0" shapeId="0" xr:uid="{367A4734-1669-4ED6-9D5A-34F29B8F22DB}">
      <text>
        <r>
          <rPr>
            <sz val="9"/>
            <color indexed="81"/>
            <rFont val="Tahoma"/>
            <family val="2"/>
          </rPr>
          <t>WILLIAM BURTON_x000D_
http://yeinfo.com/family/I09065617.html_x000D_
https://www.google.com/search?q=WILLIAM+BURTON+1456+1483+{_?_}_x000D_
.born:c1456    -          England_x000D_
.died: 1483    -1546      England, age:27y 0m 0d, _x000D_
.bapt: 1785GE_x000D_
.will: 2004MO_x000D_
.obit: 1890OH_x000D_
.bury: 1850IL _x000D_
.wpbt: 1826PA_x000D_
.anc#:double ancestor_x000D_
citiz:foreign_x000D_
#spos:1_x000D_
#srcs:4_x000D_
#comment:0_x000D_
#events:1_x000D_
#kids:1_x000D_
lived:EN_x000D_
issue:_x000D_
.recs:Birth,Marriage,Death_x000D_
.imm?:no_x000D_
..Spo:{_?_} BURTON</t>
        </r>
      </text>
    </comment>
    <comment ref="U7846" authorId="0" shapeId="0" xr:uid="{7D9BB433-B6BA-4871-9E33-9E9904DDF869}">
      <text>
        <r>
          <rPr>
            <sz val="9"/>
            <color indexed="81"/>
            <rFont val="Tahoma"/>
            <family val="2"/>
          </rPr>
          <t>Mrs. {_?_} BURTON_x000D_
http://yeinfo.com/family/I09065681.html_x000D_
https://www.google.com/search?q={_?_}+BURTON+1435+1456+BURTON_x000D_
.born:?1435    -          Condover (Shropshire) England_x000D_
.died: 1456    -1525      , age:21y 0m 0d, _x000D_
.bapt: 1785GE_x000D_
.will: 2004MO_x000D_
.obit: 1890OH_x000D_
.bury: 1850IL _x000D_
.wpbt: 1826PA_x000D_
.anc#:double ancestor_x000D_
citiz:foreign_x000D_
#spos:1_x000D_
#srcs:0_x000D_
#comment:0_x000D_
#events:1_x000D_
#kids:1_x000D_
lived:ENSHROPCONDOVE_x000D_
issue:_x000D_
.recs:Birth,Marriage,Death_x000D_
.imm?:no_x000D_
..Spo:WILLIAM BURTON</t>
        </r>
      </text>
    </comment>
    <comment ref="S7848" authorId="0" shapeId="0" xr:uid="{E107E4C0-9978-4A50-A0FA-3E582D765BE0}">
      <text>
        <r>
          <rPr>
            <sz val="9"/>
            <color indexed="81"/>
            <rFont val="Tahoma"/>
            <family val="2"/>
          </rPr>
          <t>JANE BURTON_x000D_
http://yeinfo.com/family/I09048065.html_x000D_
https://www.google.com/search?q=JANE+BURTON+1483+1507+GRANT_x000D_
.born: 1483    -          _x000D_
.died: 1507    -          , age:24y 0m 0d, _x000D_
.bapt: 1785GE_x000D_
.will: 2004MO_x000D_
.obit: 1890OH_x000D_
.bury: 1850IL _x000D_
.wpbt: 1826PA_x000D_
.anc#:double ancestor_x000D_
citiz:foreign_x000D_
#spos:1_x000D_
#srcs:4_x000D_
#comment:0_x000D_
#events:1_x000D_
#kids:1_x000D_
lived:ENYORKS_x000D_
issue:_x000D_
.recs:Birth,Marriage,Death_x000D_
.imm?:no_x000D_
..Spo:WILLIAM GRANT</t>
        </r>
      </text>
    </comment>
    <comment ref="T7850" authorId="0" shapeId="0" xr:uid="{03C472AD-708A-43D1-A4F0-658F0B7E9634}">
      <text>
        <r>
          <rPr>
            <sz val="9"/>
            <color indexed="81"/>
            <rFont val="Tahoma"/>
            <family val="2"/>
          </rPr>
          <t>Mrs. {_?_} BURTON_x000D_
http://yeinfo.com/family/I09065618.html_x000D_
https://www.google.com/search?q={_?_}+BURTON+1479+1510+BURTON_x000D_
.born: 1479    -          _x000D_
.died: 1510    -          , age:31y 0m 0d, _x000D_
.bapt: 1785GE_x000D_
.will: 2004MO_x000D_
.obit: 1890OH_x000D_
.bury: 1850IL _x000D_
.wpbt: 1826PA_x000D_
.anc#:double ancestor_x000D_
citiz:foreign_x000D_
#spos:1_x000D_
#srcs:3_x000D_
#comment:0_x000D_
#events:1_x000D_
#kids:1_x000D_
lived:?EN_x000D_
issue:_x000D_
.recs:Birth,Marriage,Death_x000D_
.imm?:no_x000D_
..Spo:WILLIAM BURTON</t>
        </r>
      </text>
    </comment>
    <comment ref="Q7852" authorId="0" shapeId="0" xr:uid="{2995E9C7-5AFB-4B44-A723-59B915E4975C}">
      <text>
        <r>
          <rPr>
            <sz val="9"/>
            <color indexed="81"/>
            <rFont val="Tahoma"/>
            <family val="2"/>
          </rPr>
          <t>GEORGE GRANT_x000D_
http://yeinfo.com/family/I09012016.html_x000D_
https://www.google.com/search?q=GEORGE+GRANT+1542+1596+JULIAN_x000D_
.born: 15421107-          Roxby (Yorkshire) England_x000D_
.died: 15960321-          Roxby (Yorkshire) England, age:53y 4m 14d, _x000D_
.bapt: 1785GE_x000D_
.will: 2004MO_x000D_
.obit: 1890OH_x000D_
.bury: 1850IL _x000D_
.wpbt: 1826PA_x000D_
.anc#:double ancestor_x000D_
citiz:foreign_x000D_
#spos:1_x000D_
#srcs:1_x000D_
#comment:0_x000D_
#events:1_x000D_
#kids:4_x000D_
lived:ENYORKSROXBY_x000D_
issue:_x000D_
.recs:Birth,Marriage,Death_x000D_
.imm?:no_x000D_
..Spo:JULIAN CLARGENNET</t>
        </r>
      </text>
    </comment>
    <comment ref="T7854" authorId="0" shapeId="0" xr:uid="{D49A5C87-E431-4E8D-A39B-180BA5504FBB}">
      <text>
        <r>
          <rPr>
            <sz val="9"/>
            <color indexed="81"/>
            <rFont val="Tahoma"/>
            <family val="2"/>
          </rPr>
          <t>NICHOLAS BELFORD_x000D_
http://yeinfo.com/family/I09065619.html_x000D_
https://www.google.com/search?q=NICHOLAS+BELFORD+1420+1450+MARJORY_x000D_
.born: 1420    -         ?England_x000D_
.died: 1450    -1510     ?England, age:30y 0m 0d, _x000D_
.bapt: 1785GE_x000D_
.will: 2004MO_x000D_
.obit: 1890OH_x000D_
.bury: 1850IL _x000D_
.wpbt: 1826PA_x000D_
.anc#:double ancestor_x000D_
citiz:foreign_x000D_
#spos:1_x000D_
#srcs:2_x000D_
#comment:0_x000D_
#events:1_x000D_
#kids:1_x000D_
lived:?EN_x000D_
issue:Married before Age 16,Died before Birth_x000D_
.recs:Birth,Marriage,Death_x000D_
.imm?:no_x000D_
..Spo:MARJORY CHOKE</t>
        </r>
      </text>
    </comment>
    <comment ref="S7856" authorId="0" shapeId="0" xr:uid="{0154CF9A-C4CD-4EFE-85CC-05469A1D07EE}">
      <text>
        <r>
          <rPr>
            <sz val="9"/>
            <color indexed="81"/>
            <rFont val="Tahoma"/>
            <family val="2"/>
          </rPr>
          <t>EDWARD BELFORD_x000D_
http://yeinfo.com/family/I09048066.html_x000D_
https://www.google.com/search?q=EDWARD+BELFORD+1450+1509+SARAH+CECILY_x000D_
.born:?1450    -          Exelby (Yorkshire) England_x000D_
.died: 1509    -1540     ?England, age:59y 0m 0d, _x000D_
.bapt: 1785GE_x000D_
.will: 2004MO_x000D_
.obit: 1890OH_x000D_
.bury: 1850IL _x000D_
.wpbt: 1826PA_x000D_
.anc#:double ancestor_x000D_
citiz:foreign_x000D_
#spos:1_x000D_
#srcs:2_x000D_
#comment:0_x000D_
#events:1_x000D_
#kids:1_x000D_
lived:ENYORKSEXELBY_x000D_
issue:Born before Parents Married_x000D_
.recs:Birth,Marriage,Death_x000D_
.imm?:no_x000D_
..Spo:SARAH CECILY BRANTINGHAM</t>
        </r>
      </text>
    </comment>
    <comment ref="T7858" authorId="0" shapeId="0" xr:uid="{62D0B524-DF14-467D-B4E7-472AA1CADB0E}">
      <text>
        <r>
          <rPr>
            <sz val="9"/>
            <color indexed="81"/>
            <rFont val="Tahoma"/>
            <family val="2"/>
          </rPr>
          <t>MARJORY CHOKE_x000D_
http://yeinfo.com/family/I09065620.html_x000D_
https://www.google.com/search?q=MARJORY+CHOKE+1420+1450+BELFORD_x000D_
.born:?1420    -         ?England_x000D_
.died: 1450    -1510     ?England, age:30y 0m 0d, _x000D_
.bapt: 1785GE_x000D_
.will: 2004MO_x000D_
.obit: 1890OH_x000D_
.bury: 1850IL _x000D_
.wpbt: 1826PA_x000D_
.anc#:double ancestor_x000D_
citiz:foreign_x000D_
#spos:1_x000D_
#srcs:2_x000D_
#comment:0_x000D_
#events:1_x000D_
#kids:1_x000D_
lived:?EN_x000D_
issue:Married before Age 16,Died before Birth_x000D_
.recs:Birth,Marriage,Death_x000D_
.imm?:no_x000D_
..Spo:NICHOLAS BELFORD</t>
        </r>
      </text>
    </comment>
    <comment ref="R7860" authorId="0" shapeId="0" xr:uid="{83CFC279-07CA-4471-9783-C15566F02969}">
      <text>
        <r>
          <rPr>
            <sz val="9"/>
            <color indexed="81"/>
            <rFont val="Tahoma"/>
            <family val="2"/>
          </rPr>
          <t>JANE BELFORD_x000D_
http://yeinfo.com/family/I09024033.html_x000D_
https://www.google.com/search?q=JANE+BELFORD+1509+1593+GRANT_x000D_
.born: 150902  -          Brantingham (Yorkshire) England_x000D_
.died: 15930722-          Yorkshire county England, age:84y 5m 21d, _x000D_
.bapt: 1785GE_x000D_
.will: 2004MO_x000D_
.obit: 1890OH_x000D_
.bury: 1850IL _x000D_
.wpbt: 1826PA_x000D_
.anc#:double ancestor_x000D_
citiz:foreign_x000D_
#spos:1_x000D_
#srcs:2_x000D_
#comment:0_x000D_
#events:1_x000D_
#kids:1_x000D_
lived:ENYORKSBRANTIN_x000D_
issue:Died after Age 100_x000D_
.recs:Birth,Marriage,Death_x000D_
.imm?:no_x000D_
..Spo:JOHN GRANT</t>
        </r>
      </text>
    </comment>
    <comment ref="S7862" authorId="0" shapeId="0" xr:uid="{EA051764-1BE9-4E87-A0B5-F28569664D8B}">
      <text>
        <r>
          <rPr>
            <sz val="9"/>
            <color indexed="81"/>
            <rFont val="Tahoma"/>
            <family val="2"/>
          </rPr>
          <t>SARAH CECILY BRANTINGHAM_x000D_
http://yeinfo.com/family/I09048067.html_x000D_
https://www.google.com/search?q=SARAH+CECILY+BRANTINGHAM+1470+1509+BELFORD_x000D_
.born:?1470    -         ?England_x000D_
.died: 1509    -1560     ?England, age:39y 0m 0d, _x000D_
.bapt: 1785GE_x000D_
.will: 2004MO_x000D_
.obit: 1890OH_x000D_
.bury: 1850IL _x000D_
.wpbt: 1826PA_x000D_
.anc#:double ancestor_x000D_
citiz:foreign_x000D_
#spos:1_x000D_
#srcs:2_x000D_
#comment:0_x000D_
#events:1_x000D_
#kids:1_x000D_
lived:?ENYORKS_x000D_
issue:_x000D_
.recs:Birth,Marriage,Death_x000D_
.imm?:no_x000D_
..Spo:EDWARD BELFORD</t>
        </r>
      </text>
    </comment>
    <comment ref="P7864" authorId="0" shapeId="0" xr:uid="{D53AA919-9369-4DA6-95C0-96139A432C97}">
      <text>
        <r>
          <rPr>
            <sz val="9"/>
            <color indexed="81"/>
            <rFont val="Tahoma"/>
            <family val="2"/>
          </rPr>
          <t>JOHN GRANT_x000D_
http://yeinfo.com/family/I09006008.html_x000D_
https://www.google.com/search?q=JOHN+GRANT+1573+1640+JANE+TURBERVILLE_x000D_
.born: 15730506-          England_x000D_
.died: 16400531-         ?, age:67y 0m 25d, _x000D_
.bapt: 1785GE_x000D_
.will: 2004MO_x000D_
.obit: 1890OH_x000D_
.bury: 1850IL _x000D_
.wpbt: 1826PA_x000D_
.anc#:double ancestor_x000D_
citiz:US born_x000D_
#spos:2_x000D_
#srcs:2_x000D_
#comment:0_x000D_
#events:2_x000D_
#kids:11_x000D_
lived:ENYORKSROXBY_x000D_
issue:AncFlags between Spouses Mismatched_x000D_
.recs:Birth,Marriage,Death_x000D_
.imm?:no_x000D_
..Spo:JANE WATSON</t>
        </r>
      </text>
    </comment>
    <comment ref="R7866" authorId="0" shapeId="0" xr:uid="{9EE5330B-1BE8-4E1B-9C3A-13C49CB19087}">
      <text>
        <r>
          <rPr>
            <sz val="9"/>
            <color indexed="81"/>
            <rFont val="Tahoma"/>
            <family val="2"/>
          </rPr>
          <t>MARMANDUKE\MARMADUKE CLARGENNET_x000D_
http://yeinfo.com/family/I09024034.html_x000D_
https://www.google.com/search?q=MARMANDUKE\MARMADUKE+CLARGENNET+1503+1538+{_?_}_x000D_
.born:c1503    -         ?England_x000D_
.died: 1538    -1593      , age:35y 0m 0d, _x000D_
.bapt: 1785GE_x000D_
.will: 2004MO_x000D_
.obit: 1890OH_x000D_
.bury: 1850IL _x000D_
.wpbt: 1826PA_x000D_
.anc#:double ancestor_x000D_
citiz:foreign_x000D_
#spos:1_x000D_
#srcs:2_x000D_
#comment:0_x000D_
#events:1_x000D_
#kids:1_x000D_
lived:?EN_x000D_
issue:_x000D_
.recs:Birth,Marriage,Death_x000D_
.imm?:no_x000D_
..Spo:{_?_} CLARGENNET</t>
        </r>
      </text>
    </comment>
    <comment ref="Q7868" authorId="0" shapeId="0" xr:uid="{0DA4873F-96EA-4BCB-B068-E61A19A57F67}">
      <text>
        <r>
          <rPr>
            <sz val="9"/>
            <color indexed="81"/>
            <rFont val="Tahoma"/>
            <family val="2"/>
          </rPr>
          <t>JULIAN CLARGENNET_x000D_
http://yeinfo.com/family/I09012017.html_x000D_
https://www.google.com/search?q=JULIAN+CLARGENNET+1538+1577+GRANT_x000D_
.born: 1538    -         ?England_x000D_
.died: 1577    -1628     ?England, age:39y 0m 0d, _x000D_
.bapt: 1785GE_x000D_
.will: 2004MO_x000D_
.obit: 1890OH_x000D_
.bury: 1850IL _x000D_
.wpbt: 1826PA_x000D_
.anc#:double ancestor_x000D_
citiz:foreign_x000D_
#spos:1_x000D_
#srcs:2_x000D_
#comment:0_x000D_
#events:1_x000D_
#kids:4_x000D_
lived:?EN,ENYORKSROXBY_x000D_
issue:_x000D_
.recs:Birth,Marriage,Death_x000D_
.imm?:no_x000D_
..Spo:GEORGE GRANT</t>
        </r>
      </text>
    </comment>
    <comment ref="R7870" authorId="0" shapeId="0" xr:uid="{F7966447-AE3A-4C53-9D68-0D9FB562494C}">
      <text>
        <r>
          <rPr>
            <sz val="9"/>
            <color indexed="81"/>
            <rFont val="Tahoma"/>
            <family val="2"/>
          </rPr>
          <t>Mrs. {_?_} CLARGENNET_x000D_
http://yeinfo.com/family/I09024035.html_x000D_
https://www.google.com/search?q={_?_}+CLARGENNET+1505+1538+CLARGENNET_x000D_
.born:?1505    -         ?England_x000D_
.died: 1538    -1595     ?England, age:33y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..Spo:MARMANDUKE\MARMADUKE CLARGENNET</t>
        </r>
      </text>
    </comment>
    <comment ref="O7872" authorId="0" shapeId="0" xr:uid="{596995DD-1959-4021-826A-78813494EADE}">
      <text>
        <r>
          <rPr>
            <sz val="9"/>
            <color indexed="81"/>
            <rFont val="Tahoma"/>
            <family val="2"/>
          </rPr>
          <t>THOMAS GRANT_x000D_
http://yeinfo.com/family/I09012046.html_x000D_
https://www.google.com/search?q=THOMAS+GRANT+1600+1643+JANE\HANNAH_x000D_
.born:c16000212-          Yorkshire county England_x000D_
.died:c1643    -          Rowley (Essex) Massachusetts, age:42y 10m 20d, _x000D_
.bapt: 1785GE_x000D_
.will: 2004MO_x000D_
.obit: 1890OH_x000D_
.bury: 1850IL _x000D_
.wpbt: 1826PA_x000D_
.anc#:ancestor_x000D_
citiz:immigrant_x000D_
#spos:1_x000D_
#srcs:1_x000D_
#comment:0_x000D_
#events:1_x000D_
#kids:1_x000D_
lived:ENYORKS,MAESSEXROWLEY_x000D_
issue:_x000D_
.recs:Birth,Marriage,Death_x000D_
.imm?:immigrant_x000D_
..Spo:JANE\HANNAH HABURNE</t>
        </r>
      </text>
    </comment>
    <comment ref="P7874" authorId="0" shapeId="0" xr:uid="{10EDF368-D1A2-427D-AFB0-168B50A57E42}">
      <text>
        <r>
          <rPr>
            <sz val="9"/>
            <color indexed="81"/>
            <rFont val="Tahoma"/>
            <family val="2"/>
          </rPr>
          <t>JANE WATSON_x000D_
http://yeinfo.com/family/I09024093.html_x000D_
https://www.google.com/search?q=JANE+WATSON+1567+1606+GRANT_x000D_
.born: 15670923-          York (Yorkshire) England_x000D_
.died: 16060117-          Yorkshire county England, age:38y 3m 25d, _x000D_
.bapt: 1785GE_x000D_
.will: 2004MO_x000D_
.obit: 1890OH_x000D_
.bury: 1850IL _x000D_
.wpbt: 1826PA_x000D_
.anc#:ancestor_x000D_
citiz:foreign_x000D_
#spos:1_x000D_
#srcs:1_x000D_
#comment:0_x000D_
#events:1_x000D_
#kids:9_x000D_
lived:ENYORKSYORK_x000D_
issue:AncFlags between Spouses Mismatched_x000D_
.recs:Birth,Marriage,Death_x000D_
.imm?:no_x000D_
..Spo:JOHN GRANT</t>
        </r>
      </text>
    </comment>
    <comment ref="N7876" authorId="0" shapeId="0" xr:uid="{2E1957F9-FFAB-4C73-8345-6BCE8676281F}">
      <text>
        <r>
          <rPr>
            <sz val="9"/>
            <color indexed="81"/>
            <rFont val="Tahoma"/>
            <family val="2"/>
          </rPr>
          <t>FRANCES\SARAH GRANT_x000D_
http://yeinfo.com/family/I09006023.html_x000D_
https://www.google.com/search?q=FRANCES\SARAH+GRANT+1634+1708+KEYES_x000D_
.born: 16340612-          Cottingham (Yorkshire) England_x000D_
.died: 17080229-          , age:73y 8m 17d, _x000D_
.bapt: 1785GE_x000D_
.will: 2004MO_x000D_
.obit: 1890OH_x000D_
.bury: 1850IL _x000D_
.wpbt: 1826PA_x000D_
.anc#:ancestor_x000D_
citiz:US born_x000D_
#spos:1_x000D_
#srcs:2_x000D_
#comment:0_x000D_
#events:1_x000D_
#kids:1_x000D_
lived:ENYORKSCOTTING,MAESSEXNEWBURY,MAMIDDLWATERTO_x000D_
issue:_x000D_
.recs:Birth,Marriage,Death_x000D_
.imm?:no_x000D_
..Spo:SOLOMON KEYES</t>
        </r>
      </text>
    </comment>
    <comment ref="Q7878" authorId="0" shapeId="0" xr:uid="{24156D90-5B4F-4931-BD26-EC13D8DAD278}">
      <text>
        <r>
          <rPr>
            <sz val="9"/>
            <color indexed="81"/>
            <rFont val="Tahoma"/>
            <family val="2"/>
          </rPr>
          <t>JOHN HABURNE_x000D_
http://yeinfo.com/family/I09048188.html_x000D_
https://www.google.com/search?q=JOHN+HABURNE+1518+1579+ANNA_x000D_
.born:?1518    -         ?England_x000D_
.died:c1579    -         ?England, age:61y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..Spo:ANNA HABURNE</t>
        </r>
      </text>
    </comment>
    <comment ref="P7880" authorId="0" shapeId="0" xr:uid="{01515593-BF55-4B50-8231-64A5EBC62875}">
      <text>
        <r>
          <rPr>
            <sz val="9"/>
            <color indexed="81"/>
            <rFont val="Tahoma"/>
            <family val="2"/>
          </rPr>
          <t>RALPH HABURNE_x000D_
http://yeinfo.com/family/I09024094.html_x000D_
https://www.google.com/search?q=RALPH+HABURNE+1567+1630+MAUD\MAGDALENA+MATILDA+Metcalf_x000D_
.born: 15670101-          Yorkshire county England_x000D_
.died: 16300417-          Yorkshire county England, age:63y 3m 16d, _x000D_
.bapt: 1785GE_x000D_
.will: 2004MO_x000D_
.obit: 1890OH_x000D_
.bury: 1850IL _x000D_
.wpbt: 1826PA_x000D_
.anc#:ancestor_x000D_
citiz:foreign_x000D_
#spos:2_x000D_
#srcs:1_x000D_
#comment:0_x000D_
#events:2_x000D_
#kids:1_x000D_
lived:ENYORKSCOTTING_x000D_
issue:_x000D_
.recs:Birth,Marriage,Death_x000D_
.imm?:no_x000D_
..Spo:MAUD\MAGDALENA MATILDA JECKLES</t>
        </r>
      </text>
    </comment>
    <comment ref="Q7882" authorId="0" shapeId="0" xr:uid="{C24B551A-13A2-41BF-B5F0-E1262F50DFEC}">
      <text>
        <r>
          <rPr>
            <sz val="9"/>
            <color indexed="81"/>
            <rFont val="Tahoma"/>
            <family val="2"/>
          </rPr>
          <t>Mrs. ANNA HABURNE_x000D_
http://yeinfo.com/family/I09048189.html_x000D_
https://www.google.com/search?q=ANNA+HABURNE+1525+1623+HABURNE_x000D_
.born:?1525    -         ?England_x000D_
.died: 16230217-         ?England, age:98y 1m 16d,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..Spo:JOHN HABURNE</t>
        </r>
      </text>
    </comment>
    <comment ref="O7884" authorId="0" shapeId="0" xr:uid="{F9716002-279F-496C-8E81-E6129F27B102}">
      <text>
        <r>
          <rPr>
            <sz val="9"/>
            <color indexed="81"/>
            <rFont val="Tahoma"/>
            <family val="2"/>
          </rPr>
          <t>JANE\HANNAH HABURNE_x000D_
http://yeinfo.com/family/I09012047.html_x000D_
https://www.google.com/search?q=JANE\HANNAH+HABURNE+1602+1696+GRANT_x000D_
.born: 16021010-          Yorkshire county England_x000D_
.died: 16960701-          Rowley (Essex) Massachusetts, age:93y 8m 21d, _x000D_
.bapt: 1785GE_x000D_
.will: 2004MO_x000D_
.obit: 1890OH_x000D_
.bury: 1850IL _x000D_
.wpbt: 1826PA_x000D_
.anc#:ancestor_x000D_
citiz:immigrant_x000D_
#spos:1_x000D_
#srcs:1_x000D_
#comment:0_x000D_
#events:1_x000D_
#kids:1_x000D_
lived:ENYORKS,MAESSEXROWLEY_x000D_
issue:_x000D_
.recs:Birth,Marriage,Death_x000D_
.imm?:immigrant_x000D_
..Spo:THOMAS GRANT</t>
        </r>
      </text>
    </comment>
    <comment ref="P7886" authorId="0" shapeId="0" xr:uid="{DE955043-D9E8-43E5-88C0-FCD8E7FCCC93}">
      <text>
        <r>
          <rPr>
            <sz val="9"/>
            <color indexed="81"/>
            <rFont val="Tahoma"/>
            <family val="2"/>
          </rPr>
          <t>MAUD\MAGDALENA MATILDA JECKLES_x000D_
http://yeinfo.com/family/I09024095.html_x000D_
https://www.google.com/search?q=MAUD\MAGDALENA+MATILDA+JECKLES+1571+1623+HABURNE_x000D_
.born:?1571    -          Yorkshire county England_x000D_
.died:c16230505-          Yorkshire county England, age:52y 4m 4d, _x000D_
.bapt: 1785GE_x000D_
.will: 2004MO_x000D_
.obit: 1890OH_x000D_
.bury: 1850IL _x000D_
.wpbt: 1826PA_x000D_
.anc#:ancestor_x000D_
citiz:foreign_x000D_
#spos:1_x000D_
#srcs:1_x000D_
#comment:1_x000D_
#events:1_x000D_
#kids:1_x000D_
lived:ENYORKSCOTTING_x000D_
issue:_x000D_
.recs:Birth,Marriage,Death_x000D_
.imm?:no_x000D_
..Spo:RALPH HABURNE</t>
        </r>
      </text>
    </comment>
    <comment ref="J7888" authorId="0" shapeId="0" xr:uid="{44834821-E412-475F-A230-1DC9B9956AAA}">
      <text>
        <r>
          <rPr>
            <sz val="9"/>
            <color indexed="81"/>
            <rFont val="Tahoma"/>
            <family val="2"/>
          </rPr>
          <t>ISAAC BARRETT_x000D_
http://yeinfo.com/family/I09000376.html_x000D_
https://www.google.com/search?q=ISAAC+BARRETT+1744+1830+PHILINDA_x000D_
.born:c17440528-         ?Franklin county Massachusetts_x000D_
.died: 18300628-          Brattleboro (Windham) Vermont, age:86y 1m 0d, _x000D_
.bapt: 1785GE_x000D_
.will: 2004MO_x000D_
.obit: 1890OH_x000D_
.bury: 1850IL Meeting House Hill Cemetery_x000D_
.wpbt: 1826PA_x000D_
.anc#:ancestor_x000D_
citiz:US born_x000D_
#spos:1_x000D_
#srcs:3_x000D_
#comment:0_x000D_
#events:13_x000D_
#kids:7_x000D_
lived:?MAFRKLN,MAMIDDLCHELMSF,NHCHESHHINSDAL,VTWINDHBRATTLB,VTWINDHMARLBOR_x000D_
issue:_x000D_
.recs:Birth,Military,Marriage,Job/Occupation,Death,Interment/Burial,Land Transaction_x000D_
.imm?:no_x000D_
..Spo:PHILINDA WHITMORE</t>
        </r>
      </text>
    </comment>
    <comment ref="N7890" authorId="0" shapeId="0" xr:uid="{987A6126-7C13-4DA8-980F-3ED80B001A4D}">
      <text>
        <r>
          <rPr>
            <sz val="9"/>
            <color indexed="81"/>
            <rFont val="Tahoma"/>
            <family val="2"/>
          </rPr>
          <t>RICHARD NEWTON_x000D_
http://yeinfo.com/family/I09006024.html_x000D_
https://www.google.com/search?q=RICHARD+NEWTON+1601+1701+ANNE\ANNA+HANNAH_x000D_
.born: 16010824-         ?England_x000D_
.died: 17010824-          Marlboro (Middlesex) Massachusetts, age:100y 0m 0d, _x000D_
.bapt: 1785GE_x000D_
.will: 2004MO_x000D_
.obit: 1890OH_x000D_
.bury: 1850IL _x000D_
.wpbt: 1826PA_x000D_
.anc#:double ancestor_x000D_
citiz:immigrant_x000D_
#spos:1_x000D_
#srcs:12_x000D_
#comment:1_x000D_
#events:9_x000D_
#kids:11_x000D_
lived:?EN,ENSUFFOBURES,MAMIDDLMARLBOR,MAMIDDLSUDBURY_x000D_
issue:_x000D_
.recs:Birth,Marriage,Will Written,Death,Freeman_x000D_
.imm?:immigrant_x000D_
..Spo:ANNE\ANNA HANNAH LOKER</t>
        </r>
      </text>
    </comment>
    <comment ref="M7892" authorId="0" shapeId="0" xr:uid="{ACA2FB24-6D0C-4AC7-BD36-A070F47F8B10}">
      <text>
        <r>
          <rPr>
            <sz val="9"/>
            <color indexed="81"/>
            <rFont val="Tahoma"/>
            <family val="2"/>
          </rPr>
          <t>DANIEL NEWTON_x000D_
http://yeinfo.com/family/I09003012.html_x000D_
https://www.google.com/search?q=DANIEL+NEWTON+1655+1702+SUSANNAH_x000D_
.born: 16551221-          Sudbury (Middlesex) Massachusetts_x000D_
.died:?1702    -          Southborough (Worcester) Massachusetts, age:46y 0m 11d, _x000D_
.bapt: 1785GE_x000D_
.will: 2004MO_x000D_
.obit: 1890OH_x000D_
.bury: 1850IL _x000D_
.wpbt: 1826PA_x000D_
.anc#:ancestor_x000D_
citiz:US born_x000D_
#spos:1_x000D_
#srcs:4_x000D_
#comment:1_x000D_
#events:2_x000D_
#kids:11_x000D_
lived:?MAMIDDLWATERTO,MAMIDDLMARLBOR,MAMIDDLSUDBURY,MAWORCESOUTHBO_x000D_
issue:_x000D_
.recs:Birth,Marriage,Death_x000D_
.imm?:no_x000D_
..Spo:SUSANNAH MORSE</t>
        </r>
      </text>
    </comment>
    <comment ref="Q7894" authorId="0" shapeId="0" xr:uid="{FE90D935-DC0C-4F45-A4F9-AE8709299438}">
      <text>
        <r>
          <rPr>
            <sz val="9"/>
            <color indexed="81"/>
            <rFont val="Tahoma"/>
            <family val="2"/>
          </rPr>
          <t>JOHN LOKER_x000D_
http://yeinfo.com/family/I09048200.html_x000D_
https://www.google.com/search?q=JOHN+LOKER+1508+1552+JOAN_x000D_
.born: 1508    -          _x000D_
.died: 15520915-          Essex county England, age:44y 8m 14d, _x000D_
.bapt: 1785GE_x000D_
.will: 2004MO_x000D_
.obit: 1890OH_x000D_
.bury: 1850IL _x000D_
.wpbt: 1826PA_x000D_
.anc#:  triple ancestor_x000D_
citiz:foreign_x000D_
#spos:1_x000D_
#srcs:2_x000D_
#comment:0_x000D_
#events:1_x000D_
#kids:1_x000D_
lived:ENESSEX,ENSUFFOBURES_x000D_
issue:_x000D_
.recs:Birth,Marriage,Death_x000D_
.imm?:no_x000D_
..Spo:JOAN RIDDLESDALE</t>
        </r>
      </text>
    </comment>
    <comment ref="P7896" authorId="0" shapeId="0" xr:uid="{C960A432-F3F8-49DB-97EA-FBB0A95CB4AF}">
      <text>
        <r>
          <rPr>
            <sz val="9"/>
            <color indexed="81"/>
            <rFont val="Tahoma"/>
            <family val="2"/>
          </rPr>
          <t>ROBERT LOKER_x000D_
http://yeinfo.com/family/I09024100.html_x000D_
https://www.google.com/search?q=ROBERT+LOKER+1534+1592+LUCY_x000D_
.born: 1534    -          Essex county England_x000D_
.died: 1592    -          Essex county England, age:58y 0m 0d, _x000D_
.bapt: 1785GE_x000D_
.will: 2004MO_x000D_
.obit: 1890OH_x000D_
.bury: 1850IL _x000D_
.wpbt: 1826PA_x000D_
.anc#:  triple ancestor_x000D_
citiz:foreign_x000D_
#spos:1_x000D_
#srcs:3_x000D_
#comment:0_x000D_
#events:1_x000D_
#kids:7_x000D_
lived:ENESSEX,ENSUFFOBURES_x000D_
issue:_x000D_
.recs:Birth,Marriage,Death_x000D_
.imm?:no_x000D_
..Spo:LUCY RIDDLESDALE</t>
        </r>
      </text>
    </comment>
    <comment ref="Q7898" authorId="0" shapeId="0" xr:uid="{C0FB2361-9D5F-49E3-AFF0-39B429B08F87}">
      <text>
        <r>
          <rPr>
            <sz val="9"/>
            <color indexed="81"/>
            <rFont val="Tahoma"/>
            <family val="2"/>
          </rPr>
          <t>JOAN RIDDLESDALE_x000D_
http://yeinfo.com/family/I09048201.html_x000D_
https://www.google.com/search?q=JOAN+RIDDLESDALE+1512+1561+LOKER_x000D_
.born: 1512    -          Bures (Suffolk) England_x000D_
.died: 15610430-          Bures (Suffolk) England, age:49y 3m 29d, _x000D_
.bapt: 1785GE_x000D_
.will: 2004MO_x000D_
.obit: 1890OH_x000D_
.bury: 1850IL St.Mary the Virgin,Babergh District_x000D_
.wpbt: 1826PA_x000D_
.anc#:  triple ancestor_x000D_
citiz:foreign_x000D_
#spos:1_x000D_
#srcs:4_x000D_
#comment:0_x000D_
#events:2_x000D_
#kids:1_x000D_
lived:ENSUFFOBURES_x000D_
issue:_x000D_
.recs:Birth,Marriage,Death,Interment/Burial_x000D_
.imm?:no_x000D_
..Spo:JOHN LOKER</t>
        </r>
      </text>
    </comment>
    <comment ref="O7900" authorId="0" shapeId="0" xr:uid="{233A70D7-9140-4FF2-8F50-D762AA91863F}">
      <text>
        <r>
          <rPr>
            <sz val="9"/>
            <color indexed="81"/>
            <rFont val="Tahoma"/>
            <family val="2"/>
          </rPr>
          <t>HENRY LOKER Jr._x000D_
http://yeinfo.com/family/I09012050.html_x000D_
https://www.google.com/search?q=HENRY+LOKER+1577+1631+ELIZABETH_x000D_
.born: 15770207-          Essex county England_x000D_
.died: 16310417-          Essex county England, age:54y 2m 10d, _x000D_
.bapt: 1785GE_x000D_
.will: 2004MO_x000D_
.obit: 1890OH_x000D_
.bury: 1850IL St.Mary the Virgin Churchyard_x000D_
.wpbt: 1826PA_x000D_
.anc#:  triple ancestor_x000D_
citiz:foreign_x000D_
#spos:1_x000D_
#srcs:11_x000D_
#comment:1_x000D_
#events:3_x000D_
#kids:5_x000D_
lived:ENESSEX,ENSUFFOBURES_x000D_
issue:Died before Birth_x000D_
.recs:Birth,Marriage,Death,Interment/Burial_x000D_
.imm?:no_x000D_
..Spo:ELIZABETH FRENCH</t>
        </r>
      </text>
    </comment>
    <comment ref="Q7902" authorId="0" shapeId="0" xr:uid="{38446C98-9479-4EFB-9366-67E3469F097D}">
      <text>
        <r>
          <rPr>
            <sz val="9"/>
            <color indexed="81"/>
            <rFont val="Tahoma"/>
            <family val="2"/>
          </rPr>
          <t>JOHN RIDDLESDALE_x000D_
http://yeinfo.com/family/I09048202.html_x000D_
https://www.google.com/search?q=JOHN+RIDDLESDALE+1510+1552+LUCY\JOAN_x000D_
.born: 1510    -          Bures (Suffolk) England_x000D_
.died: 1552    -         ?Bures (Suffolk) England, age:42y 0m 0d, _x000D_
.bapt: 1785GE_x000D_
.will: 2004MO_x000D_
.obit: 1890OH_x000D_
.bury: 1850IL _x000D_
.wpbt: 1826PA_x000D_
.anc#:  triple ancestor_x000D_
citiz:foreign_x000D_
#spos:1_x000D_
#srcs:1_x000D_
#comment:0_x000D_
#events:2_x000D_
#kids:1_x000D_
lived:ENSUFFOBURES_x000D_
issue:_x000D_
.recs:Birth,Marriage,Death_x000D_
.imm?:no_x000D_
..Spo:LUCY\JOAN RIDDLESDALE</t>
        </r>
      </text>
    </comment>
    <comment ref="P7904" authorId="0" shapeId="0" xr:uid="{ACE944FB-875F-4465-825A-6DB29A63996B}">
      <text>
        <r>
          <rPr>
            <sz val="9"/>
            <color indexed="81"/>
            <rFont val="Tahoma"/>
            <family val="2"/>
          </rPr>
          <t>LUCY RIDDLESDALE_x000D_
http://yeinfo.com/family/I09024101.html_x000D_
https://www.google.com/search?q=LUCY+RIDDLESDALE+1536+1592+LOKER_x000D_
.born: 1536    -          Essex county England_x000D_
.died: 15920228-          Essex county England, age:56y 1m 27d, _x000D_
.bapt: 1785GE_x000D_
.will: 2004MO_x000D_
.obit: 1890OH_x000D_
.bury: 1850IL _x000D_
.wpbt: 1826PA_x000D_
.anc#:  triple ancestor_x000D_
citiz:foreign_x000D_
#spos:1_x000D_
#srcs:3_x000D_
#comment:0_x000D_
#events:1_x000D_
#kids:7_x000D_
lived:ENESSEX,ENSUFFOBURES_x000D_
issue:_x000D_
.recs:Birth,Marriage,Death_x000D_
.imm?:no_x000D_
..Spo:ROBERT LOKER</t>
        </r>
      </text>
    </comment>
    <comment ref="Q7906" authorId="0" shapeId="0" xr:uid="{14C23A97-9ECF-4836-BC28-A6B1CA2CC26D}">
      <text>
        <r>
          <rPr>
            <sz val="9"/>
            <color indexed="81"/>
            <rFont val="Tahoma"/>
            <family val="2"/>
          </rPr>
          <t>Mrs. LUCY\JOAN RIDDLESDALE_x000D_
http://yeinfo.com/family/I09048203.html_x000D_
https://www.google.com/search?q=LUCY\JOAN+RIDDLESDALE+1512+1536+RIDDLESDALE_x000D_
.born:c1512    -         ?Essex county England_x000D_
.died: 1536    -1602     ?Bures (Suffolk) England, age:24y 0m 0d, _x000D_
.bapt: 1785GE_x000D_
.will: 2004MO_x000D_
.obit: 1890OH_x000D_
.bury: 1850IL _x000D_
.wpbt: 1826PA_x000D_
.anc#:  triple ancestor_x000D_
citiz:foreign_x000D_
#spos:1_x000D_
#srcs:2_x000D_
#comment:0_x000D_
#events:1_x000D_
#kids:1_x000D_
lived:?ENESSEX,?ENSUFFOBURES_x000D_
issue:_x000D_
.recs:Birth,Marriage,Death_x000D_
.imm?:no_x000D_
..Spo:JOHN RIDDLESDALE</t>
        </r>
      </text>
    </comment>
    <comment ref="N7908" authorId="0" shapeId="0" xr:uid="{DBAD3B36-CF0B-43B0-B7A4-3DB70058DBE9}">
      <text>
        <r>
          <rPr>
            <sz val="9"/>
            <color indexed="81"/>
            <rFont val="Tahoma"/>
            <family val="2"/>
          </rPr>
          <t>ANNE\ANNA HANNAH LOKER_x000D_
http://yeinfo.com/family/I09006025.html_x000D_
https://www.google.com/search?q=ANNE\ANNA+HANNAH+LOKER+1606+1697+NEWTON_x000D_
.born: 16060801-          Suffolk county England_x000D_
.died: 16971205-          , age:91y 4m 4d, _x000D_
.bapt: 1785GE_x000D_
.will: 2004MO_x000D_
.obit: 1890OH_x000D_
.bury: 1850IL _x000D_
.wpbt: 1826PA_x000D_
.anc#:double ancestor_x000D_
citiz:US born_x000D_
#spos:1_x000D_
#srcs:4_x000D_
#comment:0_x000D_
#events:1_x000D_
#kids:11_x000D_
lived:ENSUFFO,MAMIDDLMARLBO_x000D_
issue:Born before Parents Married_x000D_
.recs:Birth,Marriage,Death_x000D_
.imm?:no_x000D_
..Spo:RICHARD NEWTON</t>
        </r>
      </text>
    </comment>
    <comment ref="O7910" authorId="0" shapeId="0" xr:uid="{97467687-5774-4884-9B19-3FC7CCE131F9}">
      <text>
        <r>
          <rPr>
            <sz val="9"/>
            <color indexed="81"/>
            <rFont val="Tahoma"/>
            <family val="2"/>
          </rPr>
          <t>ELIZABETH FRENCH_x000D_
http://yeinfo.com/family/I09012051.html_x000D_
https://www.google.com/search?q=ELIZABETH+FRENCH+1580+1648+LOKER_x000D_
.born:?1580    -         ?England_x000D_
.died: 16480518-          Sudbury (Middlesex) Massachusetts, age:68y 4m 17d, _x000D_
.bapt: 1785GE_x000D_
.will: 2004MO_x000D_
.obit: 1890OH_x000D_
.bury: 1850IL _x000D_
.wpbt: 1826PA_x000D_
.anc#:  triple ancestor_x000D_
citiz:immigrant_x000D_
#spos:1_x000D_
#srcs:4_x000D_
#comment:0_x000D_
#events:1_x000D_
#kids:5_x000D_
lived:?EN,ENSUFFOBURES,MAMIDDLSUDBURY_x000D_
issue:_x000D_
.recs:Birth,Marriage,Death_x000D_
.imm?:immigrant_x000D_
..Spo:HENRY LOKER</t>
        </r>
      </text>
    </comment>
    <comment ref="L7912" authorId="0" shapeId="0" xr:uid="{8E4FDA25-D957-4749-B734-A68BC98D7FEF}">
      <text>
        <r>
          <rPr>
            <sz val="9"/>
            <color indexed="81"/>
            <rFont val="Tahoma"/>
            <family val="2"/>
          </rPr>
          <t>EPHRAIM NEWTON_x000D_
http://yeinfo.com/family/I09001506.html_x000D_
https://www.google.com/search?q=EPHRAIM+NEWTON+1689+1761+CHRISTIAN_x000D_
.born: 16890212-          Marlboro (Middlesex) Massachusetts_x000D_
.died: 176102  -          Leicestershire county England, age:71y 11m 20d, _x000D_
.bapt: 1785GE_x000D_
.will: 2004MO_x000D_
.obit: 1890OH_x000D_
.bury: 1850IL _x000D_
.wpbt: 1826PA_x000D_
.anc#:ancestor_x000D_
citiz:US born_x000D_
#spos:1_x000D_
#srcs:2_x000D_
#comment:0_x000D_
#events:1_x000D_
#kids:1_x000D_
lived:ENLEICE,MAMIDDLMARLBOR_x000D_
issue:_x000D_
.recs:Birth,Marriage,Death_x000D_
.imm?:no_x000D_
..Spo:CHRISTIAN RIPLEY</t>
        </r>
      </text>
    </comment>
    <comment ref="Q7914" authorId="0" shapeId="0" xr:uid="{E0E11B08-82B1-40F9-BD53-91D688ADAA94}">
      <text>
        <r>
          <rPr>
            <sz val="9"/>
            <color indexed="81"/>
            <rFont val="Tahoma"/>
            <family val="2"/>
          </rPr>
          <t>THOMAS RICHARD MORSE_x000D_
http://yeinfo.com/family/I09048208.html_x000D_
https://www.google.com/search?q=THOMAS+RICHARD+MORSE+1553+1603+JOAN_x000D_
.born: 1553    -          Stoke by Nayland (Suffolk) England_x000D_
.died: 16030630-          Stoke by Nayland (Suffolk) England, age:50y 5m 29d, _x000D_
.bapt: 1785GE_x000D_
.will: 2004MO_x000D_
.obit: 1890OH_x000D_
.bury: 1850IL _x000D_
.wpbt: 1826PA_x000D_
.anc#:ancestor_x000D_
citiz:foreign_x000D_
#spos:1_x000D_
#srcs:1_x000D_
#comment:0_x000D_
#events:1_x000D_
#kids:1_x000D_
lived:ENSUFFOSTOKE B_x000D_
issue:_x000D_
.recs:Birth,Marriage,Death_x000D_
.imm?:no_x000D_
..Spo:JOAN DOWNES</t>
        </r>
      </text>
    </comment>
    <comment ref="P7916" authorId="0" shapeId="0" xr:uid="{C1E030AD-ED73-40FA-A24F-E6A0BF8CB147}">
      <text>
        <r>
          <rPr>
            <sz val="9"/>
            <color indexed="81"/>
            <rFont val="Tahoma"/>
            <family val="2"/>
          </rPr>
          <t>JOSEPH MORSE_x000D_
http://yeinfo.com/family/I09024104.html_x000D_
https://www.google.com/search?q=JOSEPH+MORSE+1580+1646+DOROTHY_x000D_
.born:?1580    -         ?England_x000D_
.died: 16460928-         ?Massachusetts, age:66y 8m 27d, _x000D_
.bapt: 1785GE_x000D_
.will: 2004MO_x000D_
.obit: 1890OH_x000D_
.bury: 1850IL _x000D_
.wpbt: 1826PA_x000D_
.anc#:ancestor_x000D_
citiz:immigrant_x000D_
#spos:1_x000D_
#srcs:8_x000D_
#comment:1_x000D_
#events:8_x000D_
#kids:1_x000D_
lived:?EN,ENSUFFO,MAESSEXIPSWICH_x000D_
issue:_x000D_
.recs:Birth,Marriage,Job/Occupation,Will Written,Death,Inventory_x000D_
.imm?:immigrant_x000D_
..Spo:DOROTHY BARBER</t>
        </r>
      </text>
    </comment>
    <comment ref="Q7918" authorId="0" shapeId="0" xr:uid="{7F9FCA70-9D9D-4326-916E-6887EAC2591D}">
      <text>
        <r>
          <rPr>
            <sz val="9"/>
            <color indexed="81"/>
            <rFont val="Tahoma"/>
            <family val="2"/>
          </rPr>
          <t>JOAN DOWNES_x000D_
http://yeinfo.com/family/I09048209.html_x000D_
https://www.google.com/search?q=JOAN+DOWNES+1553+1580+MORSE_x000D_
.born: 1553    -         ?England_x000D_
.died: 1580    -1643      England, age:27y 0m 0d, _x000D_
.bapt: 1785GE_x000D_
.will: 2004MO_x000D_
.obit: 1890OH_x000D_
.bury: 1850IL _x000D_
.wpbt: 1826PA_x000D_
.anc#:ancestor_x000D_
citiz:foreign_x000D_
#spos:1_x000D_
#srcs:1_x000D_
#comment:0_x000D_
#events:1_x000D_
#kids:1_x000D_
lived:?EN,ENSUFFOSTOKE B_x000D_
issue:_x000D_
.recs:Birth,Marriage,Death_x000D_
.imm?:no_x000D_
..Spo:THOMAS RICHARD MORSE</t>
        </r>
      </text>
    </comment>
    <comment ref="O7920" authorId="0" shapeId="0" xr:uid="{9C20BF6C-9B5F-472B-81CD-A02E6DB47CF2}">
      <text>
        <r>
          <rPr>
            <sz val="9"/>
            <color indexed="81"/>
            <rFont val="Tahoma"/>
            <family val="2"/>
          </rPr>
          <t>JOSEPH MORSE Jr._x000D_
http://yeinfo.com/family/I09012052.html_x000D_
https://www.google.com/search?q=JOSEPH+MORSE+1613+1691+ESTHER\HESTER_x000D_
.born: 161304  -          Henham (Essex) England_x000D_
.died: 1691    -          , age:77y 9m 0d, _x000D_
.bapt: 1785GE_x000D_
.will: 2004MO_x000D_
.obit: 1890OH_x000D_
.bury: 1850IL _x000D_
.wpbt: 1826PA_x000D_
.anc#:ancestor_x000D_
citiz:US born_x000D_
#spos:1_x000D_
#srcs:16_x000D_
#comment:1_x000D_
#events:5_x000D_
#kids:1_x000D_
lived:ENESSEXHENHAM,ENSUFFOIPSWICH,MAMIDDLWATERTO_x000D_
issue:_x000D_
.recs:Birth,Marriage,Ship Passenger List,Death,Freeman_x000D_
.imm?:no_x000D_
..Spo:ESTHER\HESTER PIERCE</t>
        </r>
      </text>
    </comment>
    <comment ref="Q7922" authorId="0" shapeId="0" xr:uid="{14995117-BED9-41D9-9668-62A2D8F96DAD}">
      <text>
        <r>
          <rPr>
            <sz val="9"/>
            <color indexed="81"/>
            <rFont val="Tahoma"/>
            <family val="2"/>
          </rPr>
          <t>THOMAS BARBER_x000D_
http://yeinfo.com/family/I09048210.html_x000D_
https://www.google.com/search?q=THOMAS+BARBER+1552+1592+{_?_}_x000D_
.born:c1552    -          England_x000D_
.died: 1592    -1642     ?, age:40y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..Spo:{_?_} BARBER</t>
        </r>
      </text>
    </comment>
    <comment ref="P7924" authorId="0" shapeId="0" xr:uid="{F64BCA97-DA5A-49D9-8F03-7D4E5917375A}">
      <text>
        <r>
          <rPr>
            <sz val="9"/>
            <color indexed="81"/>
            <rFont val="Tahoma"/>
            <family val="2"/>
          </rPr>
          <t>DOROTHY BARBER_x000D_
http://yeinfo.com/family/I09024105.html_x000D_
https://www.google.com/search?q=DOROTHY+BARBER+1592+1613+MORSE_x000D_
.born:c1592    -          Ipswich (Suffolk) England_x000D_
.died: 1613    -1682      Waterton (Middlesex) Massachusetts, age:21y 0m 0d, _x000D_
.bapt: 1785GE_x000D_
.will: 2004MO_x000D_
.obit: 1890OH_x000D_
.bury: 1850IL _x000D_
.wpbt: 1826PA_x000D_
.anc#:ancestor_x000D_
citiz:immigrant_x000D_
#spos:1_x000D_
#srcs:4_x000D_
#comment:0_x000D_
#events:1_x000D_
#kids:1_x000D_
lived:ENSUFFOIPSWICH,MAMIDDLWATERTO_x000D_
issue:_x000D_
.recs:Birth,Marriage,Death_x000D_
.imm?:immigrant_x000D_
..Spo:JOSEPH MORSE</t>
        </r>
      </text>
    </comment>
    <comment ref="Q7926" authorId="0" shapeId="0" xr:uid="{3A8B20A0-36D1-4E71-B701-548D8628EC6E}">
      <text>
        <r>
          <rPr>
            <sz val="9"/>
            <color indexed="81"/>
            <rFont val="Tahoma"/>
            <family val="2"/>
          </rPr>
          <t>Mrs. {_?_} BARBER_x000D_
http://yeinfo.com/family/I09048211.html_x000D_
https://www.google.com/search?q={_?_}+BARBER+1555+1592+BARBER_x000D_
.born:?1555    -          England_x000D_
.died: 1592    -1645     ?, age:37y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..Spo:THOMAS BARBER</t>
        </r>
      </text>
    </comment>
    <comment ref="N7928" authorId="0" shapeId="0" xr:uid="{03F38F70-CE8B-4118-BD0D-6B490871A308}">
      <text>
        <r>
          <rPr>
            <sz val="9"/>
            <color indexed="81"/>
            <rFont val="Tahoma"/>
            <family val="2"/>
          </rPr>
          <t>JOSEPH MORSE_x000D_
http://yeinfo.com/family/I09006026.html_x000D_
https://www.google.com/search?q=JOSEPH+MORSE+1637+1677+SUSANNA_x000D_
.born:p16370402-          Waterton (Middlesex) Massachusetts_x000D_
.died: 1677    -          , age:39y 8m 30d, _x000D_
.bapt: 1785GE_x000D_
.will: 2004MO_x000D_
.obit: 1890OH_x000D_
.bury: 1850IL _x000D_
.wpbt: 1826PA_x000D_
.anc#:ancestor_x000D_
citiz:US born_x000D_
#spos:1_x000D_
#srcs:7_x000D_
#comment:1_x000D_
#events:3_x000D_
#kids:5_x000D_
lived:MAMIDDLGROTON,MAMIDDLWATERTO_x000D_
issue:_x000D_
.recs:Birth,Marriage,Death_x000D_
.imm?:no_x000D_
..Spo:SUSANNA SHATTUCK</t>
        </r>
      </text>
    </comment>
    <comment ref="P7930" authorId="0" shapeId="0" xr:uid="{11628D86-0711-463B-8C55-6202B6A75C5B}">
      <text>
        <r>
          <rPr>
            <sz val="9"/>
            <color indexed="81"/>
            <rFont val="Tahoma"/>
            <family val="2"/>
          </rPr>
          <t>JOHN PIERCE_x000D_
http://yeinfo.com/family/I09011890.html_x000D_
https://www.google.com/search?q=JOHN+PIERCE+1585+1661+ELIZABETH_x000D_
.born: 1585    -          Norwich (Norfolk) England_x000D_
.died: 16610819-          Waterton (Middlesex) Massachusetts, age:76y 7m 18d, _x000D_
.bapt: 1785GE_x000D_
.will: 2004MO_x000D_
.obit: 1890OH_x000D_
.bury: 1850IL _x000D_
.wpbt: 1826PA_x000D_
.anc#:double ancestor_x000D_
citiz:immigrant_x000D_
#spos:1_x000D_
#srcs:20_x000D_
#comment:1_x000D_
#events:13_x000D_
#kids:8_x000D_
lived:ENNORFONORWICH,MAMIDDLWATERTO,MASUFFODORCHES,MAWORCELANCAST_x000D_
issue:_x000D_
.recs:Birth,Marriage,Ship Passenger List,Job/Occupation,Will Written,Death,Freeman,Oath Taken_x000D_
.imm?:immigrant_x000D_
..Spo:ELIZABETH TRULL</t>
        </r>
      </text>
    </comment>
    <comment ref="O7932" authorId="0" shapeId="0" xr:uid="{6F0BDC0D-FCE0-4D0E-A7B8-127A66780784}">
      <text>
        <r>
          <rPr>
            <sz val="9"/>
            <color indexed="81"/>
            <rFont val="Tahoma"/>
            <family val="2"/>
          </rPr>
          <t>ESTHER\HESTER PIERCE_x000D_
http://yeinfo.com/family/I09012053.html_x000D_
https://www.google.com/search?q=ESTHER\HESTER+PIERCE+1612+1637+MORSE_x000D_
.born: 16120806-          Norwich (Norfolk) England_x000D_
.died: 1637    -1702     ?Waterton (Middlesex) Massachusetts, age:24y 4m 26d, _x000D_
.bapt: 1785GE_x000D_
.will: 2004MO_x000D_
.obit: 1890OH_x000D_
.bury: 1850IL _x000D_
.wpbt: 1826PA_x000D_
.anc#:ancestor_x000D_
citiz:immigrant_x000D_
#spos:1_x000D_
#srcs:12_x000D_
#comment:0_x000D_
#events:1_x000D_
#kids:1_x000D_
lived:ENNORFONORWICH,MAMIDDLWATERTO_x000D_
issue:_x000D_
.recs:Birth,Marriage,Death_x000D_
.imm?:immigrant_x000D_
..Spo:JOSEPH MORSE</t>
        </r>
      </text>
    </comment>
    <comment ref="Q7934" authorId="0" shapeId="0" xr:uid="{39D13F49-8CF5-4999-9E17-2B73F27A319B}">
      <text>
        <r>
          <rPr>
            <sz val="9"/>
            <color indexed="81"/>
            <rFont val="Tahoma"/>
            <family val="2"/>
          </rPr>
          <t>ROBERT TRULL_x000D_
http://yeinfo.com/family/I09023782.html_x000D_
https://www.google.com/search?q=ROBERT+TRULL+1535+1590+Margaret+LADYMAN_x000D_
.born: 1535    -          England_x000D_
.died: 1590    -1610      England, age:55y 0m 0d, _x000D_
.bapt: 1785GE_x000D_
.will: 2004MO_x000D_
.obit: 1890OH_x000D_
.bury: 1850IL Norwich St. Augustine_x000D_
.wpbt: 1826PA_x000D_
.anc#:double ancestor_x000D_
citiz:foreign_x000D_
#spos:2_x000D_
#srcs:1_x000D_
#comment:0_x000D_
#events:3_x000D_
#kids:5_x000D_
lived:ENNORFONORWICH_x000D_
issue:_x000D_
.recs:Birth,Marriage,Death,Interment/Burial_x000D_
.imm?:no_x000D_
..Spo:Margaret SKETE</t>
        </r>
      </text>
    </comment>
    <comment ref="P7936" authorId="0" shapeId="0" xr:uid="{EB0C498D-CA85-4999-92E0-009FA9BD8778}">
      <text>
        <r>
          <rPr>
            <sz val="9"/>
            <color indexed="81"/>
            <rFont val="Tahoma"/>
            <family val="2"/>
          </rPr>
          <t>ELIZABETH TRULL_x000D_
http://yeinfo.com/family/I09011891.html_x000D_
https://www.google.com/search?q=ELIZABETH+TRULL+1590+1667+PIERCE_x000D_
.born:?1590    -          England_x000D_
.died: 16670312-         ?Waterton (Middlesex) Massachusetts, age:77y 2m 11d, _x000D_
.bapt: 1785GE_x000D_
.will: 2004MO_x000D_
.obit: 1890OH_x000D_
.bury: 1850IL _x000D_
.wpbt: 1826PA_x000D_
.anc#:double ancestor_x000D_
citiz:immigrant_x000D_
#spos:1_x000D_
#srcs:15_x000D_
#comment:0_x000D_
#events:3_x000D_
#kids:8_x000D_
lived:?MAMIDDLWATERTO,EN_x000D_
issue:_x000D_
.recs:Birth,Marriage,Will Written,Death_x000D_
.imm?:immigrant_x000D_
..Spo:JOHN PIERCE</t>
        </r>
      </text>
    </comment>
    <comment ref="Q7938" authorId="0" shapeId="0" xr:uid="{06870B62-35A3-4894-9B9E-85785BE6388C}">
      <text>
        <r>
          <rPr>
            <sz val="9"/>
            <color indexed="81"/>
            <rFont val="Tahoma"/>
            <family val="2"/>
          </rPr>
          <t>MARY LADYMAN_x000D_
http://yeinfo.com/family/I09023783.html_x000D_
https://www.google.com/search?q=MARY+LADYMAN+1556+1590+TRULL_x000D_
.born: 1556    -          England_x000D_
.died: 1590    -1646      England, age:34y 0m 0d, _x000D_
.bapt: 1785GE_x000D_
.will: 2004MO_x000D_
.obit: 1890OH_x000D_
.bury: 1850IL _x000D_
.wpbt: 1826PA_x000D_
.anc#:double ancestor_x000D_
citiz:foreign_x000D_
#spos:1_x000D_
#srcs:1_x000D_
#comment:0_x000D_
#events:1_x000D_
#kids:4_x000D_
lived:ENNORFONORWICH_x000D_
issue:_x000D_
.recs:Birth,Marriage,Death_x000D_
.imm?:no_x000D_
..Spo:ROBERT TRULL</t>
        </r>
      </text>
    </comment>
    <comment ref="M7940" authorId="0" shapeId="0" xr:uid="{3438FD89-54DC-4E7D-91B9-783EB8074086}">
      <text>
        <r>
          <rPr>
            <sz val="9"/>
            <color indexed="81"/>
            <rFont val="Tahoma"/>
            <family val="2"/>
          </rPr>
          <t>SUSANNAH MORSE_x000D_
http://yeinfo.com/family/I09003013.html_x000D_
https://www.google.com/search?q=SUSANNAH+MORSE+1662+1729+NEWTON_x000D_
.born: 16620111-          Groton (Middlesex) Massachusetts_x000D_
.died: 17290513-          , age:67y 4m 2d, _x000D_
.bapt: 1785GE_x000D_
.will: 2004MO_x000D_
.obit: 1890OH_x000D_
.bury: 1850IL _x000D_
.wpbt: 1826PA_x000D_
.anc#:ancestor_x000D_
citiz:US born_x000D_
#spos:1_x000D_
#srcs:6_x000D_
#comment:0_x000D_
#events:1_x000D_
#kids:11_x000D_
lived:?MAMIDDLWATERTO,MAMIDDLGROTON,MAWORCESOUTHBO_x000D_
issue:_x000D_
.recs:Birth,Marriage,Death_x000D_
.imm?:no_x000D_
..Spo:DANIEL NEWTON</t>
        </r>
      </text>
    </comment>
    <comment ref="O7942" authorId="0" shapeId="0" xr:uid="{DE9A8AEA-620A-4E9F-BF5D-CAEB35B90BAD}">
      <text>
        <r>
          <rPr>
            <sz val="9"/>
            <color indexed="81"/>
            <rFont val="Tahoma"/>
            <family val="2"/>
          </rPr>
          <t>WILLIAM SHATTUCK_x000D_
http://yeinfo.com/family/I09012054.html_x000D_
https://www.google.com/search?q=WILLIAM+SHATTUCK+1621+1672+SUSANNA\ABIGAIL_x000D_
.born:c1621    -          England_x000D_
.died: 16720814-          , age:51y 7m 13d, _x000D_
.bapt: 1785GE_x000D_
.will: 2004MO_x000D_
.obit: 1890OH_x000D_
.bury: 1850IL _x000D_
.wpbt: 1826PA_x000D_
.anc#:ancestor_x000D_
citiz:US born_x000D_
#spos:1_x000D_
#srcs:11_x000D_
#comment:1_x000D_
#events:4_x000D_
#kids:1_x000D_
lived:EN,MAMIDDLWATERTO_x000D_
issue:_x000D_
.recs:Birth,Marriage,Death,Land Transaction_x000D_
.imm?:no_x000D_
..Spo:SUSANNA\ABIGAIL HAYDEN</t>
        </r>
      </text>
    </comment>
    <comment ref="N7944" authorId="0" shapeId="0" xr:uid="{50A405FC-5139-488C-A6A8-F2C602DDBAC5}">
      <text>
        <r>
          <rPr>
            <sz val="9"/>
            <color indexed="81"/>
            <rFont val="Tahoma"/>
            <family val="2"/>
          </rPr>
          <t>SUSANNA SHATTUCK_x000D_
http://yeinfo.com/family/I09006027.html_x000D_
https://www.google.com/search?q=SUSANNA+SHATTUCK+1643+1716+MORSE+John_x000D_
.born: 1643    -          _x000D_
.died: 1716    -          , age:73y 0m 0d, _x000D_
.bapt: 1785GE_x000D_
.will: 2004MO_x000D_
.obit: 1890OH_x000D_
.bury: 1850IL _x000D_
.wpbt: 1826PA_x000D_
.anc#:ancestor_x000D_
citiz:US born_x000D_
#spos:3_x000D_
#srcs:3_x000D_
#comment:0_x000D_
#events:3_x000D_
#kids:5_x000D_
lived:?MAMIDDLMARLBOR,MAMIDDLWATERTO_x000D_
issue:_x000D_
.recs:Birth,Marriage,Death_x000D_
.imm?:no_x000D_
..Spo:JOSEPH MORSE</t>
        </r>
      </text>
    </comment>
    <comment ref="O7946" authorId="0" shapeId="0" xr:uid="{30F2553D-BECC-4872-9383-CEA0C409922B}">
      <text>
        <r>
          <rPr>
            <sz val="9"/>
            <color indexed="81"/>
            <rFont val="Tahoma"/>
            <family val="2"/>
          </rPr>
          <t>SUSANNA\ABIGAIL HAYDEN_x000D_
http://yeinfo.com/family/I09012055.html_x000D_
https://www.google.com/search?q=SUSANNA\ABIGAIL+HAYDEN+1615+1686+SHATTUCK+Richard_x000D_
.born:?1615    -         ?England_x000D_
.died: 16861211-          Waterton (Middlesex) Massachusetts, age:71y 11m 10d, _x000D_
.bapt: 1785GE_x000D_
.will: 2004MO_x000D_
.obit: 1890OH_x000D_
.bury: 1850IL _x000D_
.wpbt: 1826PA_x000D_
.anc#:ancestor_x000D_
citiz:immigrant_x000D_
#spos:2_x000D_
#srcs:8_x000D_
#comment:0_x000D_
#events:2_x000D_
#kids:1_x000D_
lived:?EN,MAMIDDLWATERTO_x000D_
issue:_x000D_
.recs:Birth,Marriage,Death_x000D_
.imm?:immigrant_x000D_
..Spo:WILLIAM SHATTUCK</t>
        </r>
      </text>
    </comment>
    <comment ref="K7948" authorId="0" shapeId="0" xr:uid="{2FF0E6F2-A550-43C4-A2EC-860F6B0C8EC3}">
      <text>
        <r>
          <rPr>
            <sz val="9"/>
            <color indexed="81"/>
            <rFont val="Tahoma"/>
            <family val="2"/>
          </rPr>
          <t>SUSANNAH NEWTON_x000D_
http://yeinfo.com/family/I09000753.html_x000D_
https://www.google.com/search?q=SUSANNAH+NEWTON+1720+1764+BARRETT_x000D_
.born: 17200210-         ?Massachusetts_x000D_
.died: 1764    -1810     ?Hinsdale (Cheshire) New Hampshire, age:43y 10m 22d, _x000D_
.bapt: 1785GE_x000D_
.will: 2004MO_x000D_
.obit: 1890OH_x000D_
.bury: 1850IL _x000D_
.wpbt: 1826PA_x000D_
.anc#:ancestor_x000D_
citiz:US born_x000D_
#spos:1_x000D_
#srcs:2_x000D_
#comment:0_x000D_
#events:1_x000D_
#kids:10_x000D_
lived:?MAFRKLNSUNDERL,?NHCHESHHINSDAL_x000D_
issue:_x000D_
.recs:Birth,Marriage,Death_x000D_
.imm?:no_x000D_
..Spo:ISAAC BARRETT</t>
        </r>
      </text>
    </comment>
    <comment ref="M7950" authorId="0" shapeId="0" xr:uid="{15CAB463-0FD8-4685-83D8-AC5915AC84CB}">
      <text>
        <r>
          <rPr>
            <sz val="9"/>
            <color indexed="81"/>
            <rFont val="Tahoma"/>
            <family val="2"/>
          </rPr>
          <t>GEORGE RIPLEY_x000D_
http://yeinfo.com/family/I09003014.html_x000D_
https://www.google.com/search?q=GEORGE+RIPLEY+1663+1719+SARAH_x000D_
.born: 1663    -          Marlborough (Middlesex) Massachusetts_x000D_
.died: 17190429-         ?Marlborough (Middlesex) Massachusetts, age:56y 3m 28d, _x000D_
.bapt: 1785GE_x000D_
.will: 2004MO_x000D_
.obit: 1890OH_x000D_
.bury: 1850IL _x000D_
.wpbt: 1826PA_x000D_
.anc#:ancestor_x000D_
citiz:US born_x000D_
#spos:1_x000D_
#srcs:12_x000D_
#comment:0_x000D_
#events:3_x000D_
#kids:1_x000D_
lived:ENYORKSLEEDS,MAMIDDLMARLBOR,MASUFFOBOSTON,NY_x000D_
issue:Died after Age 100_x000D_
.recs:Birth,Marriage,Death_x000D_
.imm?:no_x000D_
..Spo:SARAH METCALF</t>
        </r>
      </text>
    </comment>
    <comment ref="L7952" authorId="0" shapeId="0" xr:uid="{810BE3CB-24ED-4443-BCAC-497BBB7C4B92}">
      <text>
        <r>
          <rPr>
            <sz val="9"/>
            <color indexed="81"/>
            <rFont val="Tahoma"/>
            <family val="2"/>
          </rPr>
          <t>CHRISTIAN RIPLEY_x000D_
http://yeinfo.com/family/I09001507.html_x000D_
https://www.google.com/search?q=CHRISTIAN+RIPLEY+1689+1780+NEWTON_x000D_
.born: 16890227-          Marlborough (Middlesex) Massachusetts_x000D_
.died: 17801002-         ?Boylston (Worcester) Massachusetts, age:91y 7m 5d, _x000D_
.bapt: 1785GE_x000D_
.will: 2004MO_x000D_
.obit: 1890OH_x000D_
.bury: 1850IL _x000D_
.wpbt: 1826PA_x000D_
.anc#:ancestor_x000D_
citiz:US born_x000D_
#spos:1_x000D_
#srcs:3_x000D_
#comment:0_x000D_
#events:1_x000D_
#kids:1_x000D_
lived:?MAWORCEBOYLSTO,ENLEICE,MAMIDDLMARLBOR_x000D_
issue:_x000D_
.recs:Birth,Marriage,Death_x000D_
.imm?:no_x000D_
..Spo:EPHRAIM NEWTON</t>
        </r>
      </text>
    </comment>
    <comment ref="M7954" authorId="0" shapeId="0" xr:uid="{FECCB0E5-6213-41D0-9912-B50B1BDC448A}">
      <text>
        <r>
          <rPr>
            <sz val="9"/>
            <color indexed="81"/>
            <rFont val="Tahoma"/>
            <family val="2"/>
          </rPr>
          <t>SARAH METCALF_x000D_
http://yeinfo.com/family/I09003015.html_x000D_
https://www.google.com/search?q=SARAH+METCALF+1665+1689+RIPLEY_x000D_
.born:?1665    -         ?New York_x000D_
.died: 1689    -1755     ?New York, age:24y 0m 0d, _x000D_
.bapt: 1785GE_x000D_
.will: 2004MO_x000D_
.obit: 1890OH_x000D_
.bury: 1850IL _x000D_
.wpbt: 1826PA_x000D_
.anc#:ancestor_x000D_
citiz:US born_x000D_
#spos:1_x000D_
#srcs:7_x000D_
#comment:0_x000D_
#events:1_x000D_
#kids:1_x000D_
lived:?NY,ENYORKSLEEDS_x000D_
issue:Died after Age 100_x000D_
.recs:Birth,Marriage,Death_x000D_
.imm?:no_x000D_
..Spo:GEORGE RIPLEY</t>
        </r>
      </text>
    </comment>
    <comment ref="I7956" authorId="0" shapeId="0" xr:uid="{B0C52914-CEF9-4A6D-BEDC-111B73BCA1C4}">
      <text>
        <r>
          <rPr>
            <sz val="9"/>
            <color indexed="81"/>
            <rFont val="Tahoma"/>
            <family val="2"/>
          </rPr>
          <t>WHITMORE BARRETT_x000D_
http://yeinfo.com/family/I09000188.html_x000D_
https://www.google.com/search?q=WHITMORE+BARRETT+1775+1835+LOVISA_x000D_
.born:c17750109-         ?Marlborough (Windham) Vermont_x000D_
.died: 18351025-          Brattleboro (Windham) Vermont, age:60y 9m 16d, _x000D_
.bapt: 1785GE_x000D_
.will: 2004MO_x000D_
.obit: 1890OH_x000D_
.bury: 1850IL Meeting House Hill Cemetery_x000D_
.wpbt: 1826PA_x000D_
.anc#:ancestor_x000D_
citiz:US born_x000D_
#spos:1_x000D_
#srcs:6_x000D_
#comment:1_x000D_
#events:8_x000D_
#kids:8_x000D_
lived:?VTWINDHMARLBOR,VTWINDHBRATTLB_x000D_
issue:_x000D_
.recs:Birth,Marriage,Death,Interment/Burial,Land Transaction_x000D_
.imm?:no_x000D_
..Spo:LOVISA MILLER</t>
        </r>
      </text>
    </comment>
    <comment ref="O7958" authorId="0" shapeId="0" xr:uid="{A27D5E30-A7D0-4672-A611-AA3A2EEDED5D}">
      <text>
        <r>
          <rPr>
            <sz val="9"/>
            <color indexed="81"/>
            <rFont val="Tahoma"/>
            <family val="2"/>
          </rPr>
          <t>NICHOLAS WHITMORE_x000D_
http://yeinfo.com/family/I09012064.html_x000D_
https://www.google.com/search?q=NICHOLAS+WHITMORE+1600+1625+{_?_}_x000D_
.born:?1600    -          England_x000D_
.died: 1625    -1690      , age:25y 0m 0d, _x000D_
.bapt: 1785GE_x000D_
.will: 2004MO_x000D_
.obit: 1890OH_x000D_
.bury: 1850IL _x000D_
.wpbt: 1826PA_x000D_
.anc#:ancestor_x000D_
citiz:US born_x000D_
#spos:1_x000D_
#srcs:1_x000D_
#comment:1_x000D_
#events:1_x000D_
#kids:1_x000D_
lived:EN_x000D_
issue:_x000D_
.recs:Birth,Marriage,Death_x000D_
.imm?:no_x000D_
..Spo:{_?_} WHITMORE</t>
        </r>
      </text>
    </comment>
    <comment ref="N7960" authorId="0" shapeId="0" xr:uid="{9DDDDC88-2BC3-42F2-872B-1A7C5A1BDB27}">
      <text>
        <r>
          <rPr>
            <sz val="9"/>
            <color indexed="81"/>
            <rFont val="Tahoma"/>
            <family val="2"/>
          </rPr>
          <t>FRANCIS WHITMORE_x000D_
http://yeinfo.com/family/I09006032.html_x000D_
https://www.google.com/search?q=FRANCIS+WHITMORE+1625+1685+ISABEL+Harty_x000D_
.born: 1625    -          Hitchin (Hertfordshire) England_x000D_
.died: 16851012-          Cambridge (Middlesex) Massachusetts, age:60y 9m 11d, _x000D_
.bapt: 1785GE_x000D_
.will: 2004MO_x000D_
.obit: 1890OH_x000D_
.bury: 1850IL _x000D_
.wpbt: 1826PA_x000D_
.anc#:ancestor_x000D_
citiz:immigrant_x000D_
#spos:2_x000D_
#srcs:8_x000D_
#comment:0_x000D_
#events:8_x000D_
#kids:12_x000D_
lived:ENHERTFHITCHIN,MAMIDDLCAMBRID,MAMIDDLLEXINGT,MASUFFOBOSTON_x000D_
issue:_x000D_
.recs:Birth,Marriage,Will Written,Death_x000D_
.imm?:immigrant_x000D_
..Spo:ISABEL PARKE</t>
        </r>
      </text>
    </comment>
    <comment ref="O7962" authorId="0" shapeId="0" xr:uid="{4FCF2158-8EAF-4135-9E0A-3EE39774E16A}">
      <text>
        <r>
          <rPr>
            <sz val="9"/>
            <color indexed="81"/>
            <rFont val="Tahoma"/>
            <family val="2"/>
          </rPr>
          <t>Mrs. {_?_} WHITMORE_x000D_
http://yeinfo.com/family/I09012065.html_x000D_
https://www.google.com/search?q={_?_}+WHITMORE+1600+1625+WHITMORE_x000D_
.born:?1600    -          England_x000D_
.died: 1625    -1690      , age:25y 0m 0d, _x000D_
.bapt: 1785GE_x000D_
.will: 2004MO_x000D_
.obit: 1890OH_x000D_
.bury: 1850IL _x000D_
.wpbt: 1826PA_x000D_
.anc#:ancestor_x000D_
citiz:US born_x000D_
#spos:1_x000D_
#srcs:0_x000D_
#comment:0_x000D_
#events:1_x000D_
#kids:1_x000D_
lived:EN_x000D_
issue:_x000D_
.recs:Birth,Marriage,Death_x000D_
.imm?:no_x000D_
..Spo:NICHOLAS WHITMORE</t>
        </r>
      </text>
    </comment>
    <comment ref="M7964" authorId="0" shapeId="0" xr:uid="{8D63C78F-2AEA-457B-AD06-8D1E96CB7D52}">
      <text>
        <r>
          <rPr>
            <sz val="9"/>
            <color indexed="81"/>
            <rFont val="Tahoma"/>
            <family val="2"/>
          </rPr>
          <t>FRANCIS WHITMORE_x000D_
http://yeinfo.com/family/I09003016.html_x000D_
https://www.google.com/search?q=FRANCIS+WHITMORE+1650+1700+HANNAH_x000D_
.born: 16501012-         ?Middlesex county Massachusetts_x000D_
.died: 1700    -         ?Middlesex county Connecticut, age:49y 2m 20d, _x000D_
.bapt: 1785GE_x000D_
.will: 2004MO_x000D_
.obit: 1890OH_x000D_
.bury: 1850IL _x000D_
.wpbt: 1826PA_x000D_
.anc#:ancestor_x000D_
citiz:US born_x000D_
#spos:1_x000D_
#srcs:4_x000D_
#comment:0_x000D_
#events:3_x000D_
#kids:8_x000D_
lived:?MAMIDDL,CTHARTFWETHERS,CTMIDDLMIDDLET_x000D_
issue:_x000D_
.recs:Birth,Marriage,Death_x000D_
.imm?:no_x000D_
..Spo:HANNAH HARRIS</t>
        </r>
      </text>
    </comment>
    <comment ref="O7966" authorId="0" shapeId="0" xr:uid="{96504686-6618-4EFD-8E38-70490096A55F}">
      <text>
        <r>
          <rPr>
            <sz val="9"/>
            <color indexed="81"/>
            <rFont val="Tahoma"/>
            <family val="2"/>
          </rPr>
          <t>RICHARD PARKE_x000D_
http://yeinfo.com/family/I09012066.html_x000D_
https://www.google.com/search?q=RICHARD+PARKE+1602+1665+MARGERY+Collier_x000D_
.born: 1602    -          England_x000D_
.died: 1665    -          Newton (Middlesex) Massachusetts, age:63y 0m 0d, _x000D_
.bapt: 1785GE_x000D_
.will: 2004MO_x000D_
.obit: 1890OH_x000D_
.bury: 1850IL _x000D_
.wpbt: 1826PA_x000D_
.anc#:ancestor_x000D_
citiz:immigrant_x000D_
#spos:2_x000D_
#srcs:11_x000D_
#comment:0_x000D_
#events:13_x000D_
#kids:4_x000D_
lived:?MAMIDDLNEWTON,ENMIDDLLONDON,MAMIDDLCAMBRID,MAMIDDLLEXINGT,MASUFFO_x000D_
issue:_x000D_
.recs:Birth,Marriage,Ship Passenger List,Job/Occupation,Will Written,Death,Land Transaction_x000D_
.imm?:immigrant_x000D_
..Spo:MARGERY CRANE</t>
        </r>
      </text>
    </comment>
    <comment ref="N7968" authorId="0" shapeId="0" xr:uid="{737EF2DA-B6C7-4F11-B789-373039F3AFC8}">
      <text>
        <r>
          <rPr>
            <sz val="9"/>
            <color indexed="81"/>
            <rFont val="Tahoma"/>
            <family val="2"/>
          </rPr>
          <t>ISABEL PARKE_x000D_
http://yeinfo.com/family/I09006033.html_x000D_
https://www.google.com/search?q=ISABEL+PARKE+1627+1665+WHITMORE_x000D_
.born:?1627    -          England_x000D_
.died: 16650331-          Middlesex county Massachusetts, age:38y 2m 30d, _x000D_
.bapt: 1785GE_x000D_
.will: 2004MO_x000D_
.obit: 1890OH_x000D_
.bury: 1850IL _x000D_
.wpbt: 1826PA_x000D_
.anc#:ancestor_x000D_
citiz:immigrant_x000D_
#spos:1_x000D_
#srcs:3_x000D_
#comment:0_x000D_
#events:1_x000D_
#kids:7_x000D_
lived:?MAMIDDL,EN_x000D_
issue:_x000D_
.recs:Birth,Marriage,Death_x000D_
.imm?:immigrant_x000D_
..Spo:FRANCIS WHITMORE</t>
        </r>
      </text>
    </comment>
    <comment ref="O7970" authorId="0" shapeId="0" xr:uid="{06FAB06A-7CBD-46DC-ABE2-43A32C2768C2}">
      <text>
        <r>
          <rPr>
            <sz val="9"/>
            <color indexed="81"/>
            <rFont val="Tahoma"/>
            <family val="2"/>
          </rPr>
          <t>MARGERY CRANE_x000D_
http://yeinfo.com/family/I09012067.html_x000D_
https://www.google.com/search?q=MARGERY+CRANE+1595+1650+PARKE_x000D_
.born:?1595    -          England_x000D_
.died:c1650    -         ?Cambridge (Middlesex) Massachusetts, age:55y 0m 0d, _x000D_
.bapt: 1785GE_x000D_
.will: 2004MO_x000D_
.obit: 1890OH_x000D_
.bury: 1850IL _x000D_
.wpbt: 1826PA_x000D_
.anc#:ancestor_x000D_
citiz:immigrant_x000D_
#spos:1_x000D_
#srcs:2_x000D_
#comment:1_x000D_
#events:1_x000D_
#kids:4_x000D_
lived:?MAMIDDLCAMBRID,EN_x000D_
issue:_x000D_
.recs:Birth,Marriage,Death_x000D_
.imm?:immigrant_x000D_
..Spo:RICHARD PARKE</t>
        </r>
      </text>
    </comment>
    <comment ref="L7972" authorId="0" shapeId="0" xr:uid="{5C8975ED-CFEF-421D-970D-C8139EE8F7DC}">
      <text>
        <r>
          <rPr>
            <sz val="9"/>
            <color indexed="81"/>
            <rFont val="Tahoma"/>
            <family val="2"/>
          </rPr>
          <t>JOSEPH WHITMORE_x000D_
http://yeinfo.com/family/I09001508.html_x000D_
https://www.google.com/search?q=JOSEPH+WHITMORE+1687+1725+MARY_x000D_
.born: 16870801-         ?Middletown (Middlesex) Connecticut_x000D_
.died: 1725    -1770      Lyme (New London) Connecticut, age:37y 5m 0d, _x000D_
.bapt: 1785GE_x000D_
.will: 2004MO_x000D_
.obit: 1890OH_x000D_
.bury: 1850IL _x000D_
.wpbt: 1826PA_x000D_
.anc#:ancestor_x000D_
citiz:US born_x000D_
#spos:1_x000D_
#srcs:2_x000D_
#comment:0_x000D_
#events:3_x000D_
#kids:10_x000D_
lived:?CTMIDDLMIDDLET,CTNEW LLYME_x000D_
issue:_x000D_
.recs:Birth,Marriage,Death_x000D_
.imm?:no_x000D_
..Spo:MARY WARNER</t>
        </r>
      </text>
    </comment>
    <comment ref="P7974" authorId="0" shapeId="0" xr:uid="{931BBA59-41C1-4EC5-AC38-C4F0BD49C041}">
      <text>
        <r>
          <rPr>
            <sz val="9"/>
            <color indexed="81"/>
            <rFont val="Tahoma"/>
            <family val="2"/>
          </rPr>
          <t>WILLIAM HARRIS_x000D_
http://yeinfo.com/family/I09024136.html_x000D_
https://www.google.com/search?q=WILLIAM+HARRIS+1545+1590+AGNES_x000D_
.born:?1545    -         ?England_x000D_
.died: 1590    -1635     ?England, age:45y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..Spo:AGNES MASON</t>
        </r>
      </text>
    </comment>
    <comment ref="O7976" authorId="0" shapeId="0" xr:uid="{F7527CA1-6836-4010-8E60-08C265386AAF}">
      <text>
        <r>
          <rPr>
            <sz val="9"/>
            <color indexed="81"/>
            <rFont val="Tahoma"/>
            <family val="2"/>
          </rPr>
          <t>THOMAS HARRIS_x000D_
http://yeinfo.com/family/I09012068.html_x000D_
https://www.google.com/search?q=THOMAS+HARRIS+1590+1635+ELIZABETH_x000D_
.born:?1590    -         ?England_x000D_
.died:a1635    -         ?Boston (Suffolk) Massachusetts, age:45y 0m 0d, _x000D_
.bapt: 1785GE_x000D_
.will: 2004MO_x000D_
.obit: 1890OH_x000D_
.bury: 1850IL _x000D_
.wpbt: 1826PA_x000D_
.anc#:ancestor_x000D_
citiz:immigrant_x000D_
#spos:1_x000D_
#srcs:2_x000D_
#comment:1_x000D_
#events:2_x000D_
#kids:6_x000D_
lived:?EN,?MASUFFOBOSTON_x000D_
issue:_x000D_
.recs:Birth,Marriage,Death_x000D_
.imm?:immigrant_x000D_
..Spo:ELIZABETH HILL</t>
        </r>
      </text>
    </comment>
    <comment ref="P7978" authorId="0" shapeId="0" xr:uid="{CDAE71C1-EC7A-4860-A5BF-C778DE4B4E33}">
      <text>
        <r>
          <rPr>
            <sz val="9"/>
            <color indexed="81"/>
            <rFont val="Tahoma"/>
            <family val="2"/>
          </rPr>
          <t>AGNES MASON_x000D_
http://yeinfo.com/family/I09024137.html_x000D_
https://www.google.com/search?q=AGNES+MASON+1545+1590+HARRIS_x000D_
.born:?1545    -         ?England_x000D_
.died: 1590    -1635     ?England, age:45y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..Spo:WILLIAM HARRIS</t>
        </r>
      </text>
    </comment>
    <comment ref="N7980" authorId="0" shapeId="0" xr:uid="{FA9CFC4E-5975-4BF1-9DFF-FD073F0378DF}">
      <text>
        <r>
          <rPr>
            <sz val="9"/>
            <color indexed="81"/>
            <rFont val="Tahoma"/>
            <family val="2"/>
          </rPr>
          <t>WILLIAM HARRIS_x000D_
http://yeinfo.com/family/I09006034.html_x000D_
https://www.google.com/search?q=WILLIAM+HARRIS+1620+1717+EDITH+Wright_x000D_
.born:?1620    -         ?England_x000D_
.died: 1717    -         ?Middletown (Middlesex) Connecticut, age:97y 0m 0d, _x000D_
.bapt: 1785GE_x000D_
.will: 2004MO_x000D_
.obit: 1890OH_x000D_
.bury: 1850IL _x000D_
.wpbt: 1826PA_x000D_
.anc#:ancestor_x000D_
citiz:immigrant_x000D_
#spos:2_x000D_
#srcs:6_x000D_
#comment:0_x000D_
#events:6_x000D_
#kids:5_x000D_
lived:?EN,CTMIDDLMIDDLET,MAESSEXROWLEY,MASUFFOCHAZTWN_x000D_
issue:Married before Age 16_x000D_
.recs:Birth,Marriage,Job/Occupation,Death_x000D_
.imm?:immigrant_x000D_
..Spo:EDITH BLIGH</t>
        </r>
      </text>
    </comment>
    <comment ref="O7982" authorId="0" shapeId="0" xr:uid="{443B8827-E1DB-41E9-AC25-A3ABF876430B}">
      <text>
        <r>
          <rPr>
            <sz val="9"/>
            <color indexed="81"/>
            <rFont val="Tahoma"/>
            <family val="2"/>
          </rPr>
          <t>ELIZABETH HILL_x000D_
http://yeinfo.com/family/I09012069.html_x000D_
https://www.google.com/search?q=ELIZABETH+HILL+1590+1670+HARRIS+William_x000D_
.born:?1590    -         ?England_x000D_
.died:?16700216-         ?Massachusetts, age:80y 1m 15d, _x000D_
.bapt: 1785GE_x000D_
.will: 2004MO_x000D_
.obit: 1890OH_x000D_
.bury: 1850IL _x000D_
.wpbt: 1826PA_x000D_
.anc#:ancestor_x000D_
citiz:immigrant_x000D_
#spos:2_x000D_
#srcs:2_x000D_
#comment:0_x000D_
#events:2_x000D_
#kids:6_x000D_
lived:?EN,?MA_x000D_
issue:_x000D_
.recs:Birth,Marriage,Death_x000D_
.imm?:immigrant_x000D_
..Spo:THOMAS HARRIS</t>
        </r>
      </text>
    </comment>
    <comment ref="M7984" authorId="0" shapeId="0" xr:uid="{81B8AA31-A353-4CEF-A9AB-9E1BD88D70F4}">
      <text>
        <r>
          <rPr>
            <sz val="9"/>
            <color indexed="81"/>
            <rFont val="Tahoma"/>
            <family val="2"/>
          </rPr>
          <t>HANNAH HARRIS_x000D_
http://yeinfo.com/family/I09003017.html_x000D_
https://www.google.com/search?q=HANNAH+HARRIS+1652+1698+WHITMORE_x000D_
.born:?1652    -         ?Rowley (Essex) Massachusetts_x000D_
.died: 1698    -1742     ?Middlesex county Connecticut, age:46y 0m 0d, _x000D_
.bapt: 1785GE_x000D_
.will: 2004MO_x000D_
.obit: 1890OH_x000D_
.bury: 1850IL _x000D_
.wpbt: 1826PA_x000D_
.anc#:ancestor_x000D_
citiz:US born_x000D_
#spos:1_x000D_
#srcs:4_x000D_
#comment:0_x000D_
#events:1_x000D_
#kids:8_x000D_
lived:?CTMIDDLMIDDLET,?MAESSEXROWLEY_x000D_
issue:_x000D_
.recs:Birth,Marriage,Death_x000D_
.imm?:no_x000D_
..Spo:FRANCIS WHITMORE</t>
        </r>
      </text>
    </comment>
    <comment ref="N7986" authorId="0" shapeId="0" xr:uid="{C318778B-CCC6-4A9C-8789-FE691D151EA1}">
      <text>
        <r>
          <rPr>
            <sz val="9"/>
            <color indexed="81"/>
            <rFont val="Tahoma"/>
            <family val="2"/>
          </rPr>
          <t>EDITH BLIGH_x000D_
http://yeinfo.com/family/I09006035.html_x000D_
https://www.google.com/search?q=EDITH+BLIGH+1620+1685+HARRIS_x000D_
.born:?1620    -         ?England_x000D_
.died: 1685    -         ?Middletown (Middlesex) Connecticut, age:65y 0m 0d, _x000D_
.bapt: 1785GE_x000D_
.will: 2004MO_x000D_
.obit: 1890OH_x000D_
.bury: 1850IL _x000D_
.wpbt: 1826PA_x000D_
.anc#:ancestor_x000D_
citiz:immigrant_x000D_
#spos:1_x000D_
#srcs:7_x000D_
#comment:1_x000D_
#events:1_x000D_
#kids:5_x000D_
lived:?CTMIDDLMIDDLET,?EN,?MA_x000D_
issue:_x000D_
.recs:Birth,Marriage,Death_x000D_
.imm?:immigrant_x000D_
..Spo:WILLIAM HARRIS</t>
        </r>
      </text>
    </comment>
    <comment ref="K7988" authorId="0" shapeId="0" xr:uid="{24078A6E-1F96-4C30-A1AD-486BA1334EFE}">
      <text>
        <r>
          <rPr>
            <sz val="9"/>
            <color indexed="81"/>
            <rFont val="Tahoma"/>
            <family val="2"/>
          </rPr>
          <t>FRANCIS WHITMORE_x000D_
http://yeinfo.com/family/I09000754.html_x000D_
https://www.google.com/search?q=FRANCIS+WHITMORE+1725+1755+ELIZABETH_x000D_
.born: 17250408-         ?Middletown (Middlesex) Connecticut_x000D_
.died: 1755    -1815     ?Marlborough (Windham) Vermont, age:29y 8m 24d, _x000D_
.bapt: 1785GE_x000D_
.will: 2004MO_x000D_
.obit: 1890OH_x000D_
.bury: 1850IL _x000D_
.wpbt: 1826PA_x000D_
.anc#:ancestor_x000D_
citiz:US born_x000D_
#spos:1_x000D_
#srcs:3_x000D_
#comment:0_x000D_
#events:4_x000D_
#kids:3_x000D_
lived:?CTMIDDLMIDDLET,VTWINDHMARLBOR_x000D_
issue:_x000D_
.recs:Birth,Marriage,Death_x000D_
.imm?:no_x000D_
..Spo:ELIZABETH HALE</t>
        </r>
      </text>
    </comment>
    <comment ref="Q7990" authorId="0" shapeId="0" xr:uid="{3DFFE86A-EB75-4375-9B1A-534F5DAC4ADB}">
      <text>
        <r>
          <rPr>
            <sz val="9"/>
            <color indexed="81"/>
            <rFont val="Tahoma"/>
            <family val="2"/>
          </rPr>
          <t>JOHN WARNER_x000D_
http://yeinfo.com/family/I09041460.html_x000D_
https://www.google.com/search?q=JOHN+WARNER+1545+1584+MARGARET_x000D_
.born:?1545    -          England_x000D_
.died: 1584    -          England, age:39y 0m 0d, _x000D_
.bapt: 1785GE_x000D_
.will: 2004MO_x000D_
.obit: 1890OH_x000D_
.bury: 1850IL _x000D_
.wpbt: 1826PA_x000D_
.anc#:  quadruple ancestor_x000D_
citiz:foreign_x000D_
#spos:1_x000D_
#srcs:1_x000D_
#comment:0_x000D_
#events:5_x000D_
#kids:9_x000D_
lived:ENESSEXGREATWA_x000D_
issue:_x000D_
.recs:Birth,Marriage,Will Written,Death_x000D_
.imm?:no_x000D_
..Spo:MARGARET WARNER</t>
        </r>
      </text>
    </comment>
    <comment ref="P7992" authorId="0" shapeId="0" xr:uid="{351D12D4-9E17-4D5F-BE7B-1D7D7B2C177E}">
      <text>
        <r>
          <rPr>
            <sz val="9"/>
            <color indexed="81"/>
            <rFont val="Tahoma"/>
            <family val="2"/>
          </rPr>
          <t>JOHN WARNER_x000D_
http://yeinfo.com/family/I09020730.html_x000D_
https://www.google.com/search?q=JOHN+WARNER+1570+1614+MARY_x000D_
.born:?1570    -          England_x000D_
.died: 1614    -1660     ?Hatfield Broad Oak (Essex) England, age:44y 0m 0d, _x000D_
.bapt: 1785GE_x000D_
.will: 2004MO_x000D_
.obit: 1890OH_x000D_
.bury: 1850IL _x000D_
.wpbt: 1826PA_x000D_
.anc#:  quadruple ancestor_x000D_
citiz:foreign_x000D_
#spos:1_x000D_
#srcs:3_x000D_
#comment:0_x000D_
#events:6_x000D_
#kids:6_x000D_
lived:ENESSEXHATFOAK_x000D_
issue:_x000D_
.recs:Birth,Marriage,Will Written,Death_x000D_
.imm?:no_x000D_
..Spo:MARY PURCHAS</t>
        </r>
      </text>
    </comment>
    <comment ref="Q7994" authorId="0" shapeId="0" xr:uid="{7D67350C-C273-47A4-9C8B-F78076115451}">
      <text>
        <r>
          <rPr>
            <sz val="9"/>
            <color indexed="81"/>
            <rFont val="Tahoma"/>
            <family val="2"/>
          </rPr>
          <t>Mrs. MARGARET WARNER_x000D_
http://yeinfo.com/family/I09041461.html_x000D_
https://www.google.com/search?q=MARGARET+WARNER+1545+1570+WARNER_x000D_
.born:?1545    -          England_x000D_
.died: 1570    -1635      , age:25y 0m 0d, _x000D_
.bapt: 1785GE_x000D_
.will: 2004MO_x000D_
.obit: 1890OH_x000D_
.bury: 1850IL _x000D_
.wpbt: 1826PA_x000D_
.anc#:  quadruple ancestor_x000D_
citiz:foreign_x000D_
#spos:1_x000D_
#srcs:1_x000D_
#comment:0_x000D_
#events:1_x000D_
#kids:9_x000D_
lived:EN_x000D_
issue:_x000D_
.recs:Birth,Marriage,Death_x000D_
.imm?:no_x000D_
..Spo:JOHN WARNER</t>
        </r>
      </text>
    </comment>
    <comment ref="O7996" authorId="0" shapeId="0" xr:uid="{ECA31B3F-9826-4AF8-AA85-3FDDC292D719}">
      <text>
        <r>
          <rPr>
            <sz val="9"/>
            <color indexed="81"/>
            <rFont val="Tahoma"/>
            <family val="2"/>
          </rPr>
          <t>ANDREW WARNER_x000D_
http://yeinfo.com/family/I09002696.html_x000D_
https://www.google.com/search?q=ANDREW+WARNER+1595+1684+MARY+WAKEMAN_x000D_
.born:c1595    -         ?Great Waltham (Essex) England_x000D_
.died: 16841218-          Hadley (Hampshire) Massachusetts, age:89y 11m 17d, _x000D_
.bapt: 1785GE_x000D_
.will: 2004MO_x000D_
.obit: 1890OH_x000D_
.bury: 1850IL _x000D_
.wpbt: 1826PA_x000D_
.anc#:double ancestor_x000D_
citiz:immigrant_x000D_
#spos:2_x000D_
#srcs:12_x000D_
#comment:2_x000D_
#events:20_x000D_
#kids:9_x000D_
lived:?ENESSEXGREATWA,CTHARTFFARMING,CTHARTFHARTFOR,ENESSEXHATFOAK,ENESSEXTHAXTED,MAFRKLNDEERFIE,MAHAMPSHADLEY,MAMIDDLCAMBRID_x000D_
issue:AncFlags between Spouses Mismatched_x000D_
.recs:Birth,Marriage,Job/Occupation,Will Written,Death,Land Transaction,Freeman,Inventory_x000D_
.imm?:immigrant_x000D_
..Spo:MARY HUMPHREY</t>
        </r>
      </text>
    </comment>
    <comment ref="Q7998" authorId="0" shapeId="0" xr:uid="{F44C12DC-01E8-4F8A-8920-97D1E1C1BADF}">
      <text>
        <r>
          <rPr>
            <sz val="9"/>
            <color indexed="81"/>
            <rFont val="Tahoma"/>
            <family val="2"/>
          </rPr>
          <t>JOHN PURCHAS_x000D_
http://yeinfo.com/family/I09041462.html_x000D_
https://www.google.com/search?q=JOHN+PURCHAS+1550+1585+MARGARET_x000D_
.born:?1550    -          England_x000D_
.died: 1585    -          England, age:35y 0m 0d, _x000D_
.bapt: 1785GE_x000D_
.will: 2004MO_x000D_
.obit: 1890OH_x000D_
.bury: 1850IL _x000D_
.wpbt: 1826PA_x000D_
.anc#:  quadruple ancestor_x000D_
citiz:foreign_x000D_
#spos:1_x000D_
#srcs:1_x000D_
#comment:0_x000D_
#events:4_x000D_
#kids:1_x000D_
lived:ENESSEXGREATWA_x000D_
issue:_x000D_
.recs:Birth,Marriage,Job/Occupation,Will Written,Death_x000D_
.imm?:no_x000D_
..Spo:MARGARET KREABLES</t>
        </r>
      </text>
    </comment>
    <comment ref="P8000" authorId="0" shapeId="0" xr:uid="{779DEC5A-6F04-45E5-9B13-7B3981BF69E9}">
      <text>
        <r>
          <rPr>
            <sz val="9"/>
            <color indexed="81"/>
            <rFont val="Tahoma"/>
            <family val="2"/>
          </rPr>
          <t>MARY PURCHAS_x000D_
http://yeinfo.com/family/I09020731.html_x000D_
https://www.google.com/search?q=MARY+PURCHAS+1570+1627+WARNER_x000D_
.born:?1570    -          England_x000D_
.died: 1627    -          England, age:57y 0m 0d, _x000D_
.bapt: 1785GE_x000D_
.will: 2004MO_x000D_
.obit: 1890OH_x000D_
.bury: 1850IL _x000D_
.wpbt: 1826PA_x000D_
.anc#:  quadruple ancestor_x000D_
citiz:foreign_x000D_
#spos:1_x000D_
#srcs:2_x000D_
#comment:1_x000D_
#events:3_x000D_
#kids:6_x000D_
lived:ENHERTFBISHOST_x000D_
issue:_x000D_
.recs:Birth,Marriage,Will Written,Death_x000D_
.imm?:no_x000D_
..Spo:JOHN WARNER</t>
        </r>
      </text>
    </comment>
    <comment ref="Q8002" authorId="0" shapeId="0" xr:uid="{6511C656-5F2A-427F-A6EF-E3619E77564C}">
      <text>
        <r>
          <rPr>
            <sz val="9"/>
            <color indexed="81"/>
            <rFont val="Tahoma"/>
            <family val="2"/>
          </rPr>
          <t>MARGARET KREABLES_x000D_
http://yeinfo.com/family/I09041463.html_x000D_
https://www.google.com/search?q=MARGARET+KREABLES+1550+1570+PURCHAS_x000D_
.born:?1550    -          England_x000D_
.died: 1570    -1640      , age:20y 0m 0d, _x000D_
.bapt: 1785GE_x000D_
.will: 2004MO_x000D_
.obit: 1890OH_x000D_
.bury: 1850IL _x000D_
.wpbt: 1826PA_x000D_
.anc#:  quadruple ancestor_x000D_
citiz:foreign_x000D_
#spos:1_x000D_
#srcs:1_x000D_
#comment:0_x000D_
#events:1_x000D_
#kids:1_x000D_
lived:EN_x000D_
issue:_x000D_
.recs:Birth,Marriage,Death_x000D_
.imm?:no_x000D_
..Spo:JOHN PURCHAS</t>
        </r>
      </text>
    </comment>
    <comment ref="N8004" authorId="0" shapeId="0" xr:uid="{4D075E40-86A7-4A20-B90D-D1C6E51D7C84}">
      <text>
        <r>
          <rPr>
            <sz val="9"/>
            <color indexed="81"/>
            <rFont val="Tahoma"/>
            <family val="2"/>
          </rPr>
          <t>ROBERT WARNER_x000D_
http://yeinfo.com/family/I09006036.html_x000D_
https://www.google.com/search?q=ROBERT+WARNER+1629+1690+ELIZABETH+Hawes_x000D_
.born:?1629    -          England_x000D_
.died: 16900410-          Middletown (Middlesex) Connecticut, age:61y 3m 9d, _x000D_
.bapt: 1785GE_x000D_
.will: 2004MO_x000D_
.obit: 1890OH_x000D_
.bury: 1850IL _x000D_
.wpbt: 1826PA_x000D_
.anc#:ancestor_x000D_
citiz:immigrant_x000D_
#spos:2_x000D_
#srcs:8_x000D_
#comment:0_x000D_
#events:8_x000D_
#kids:10_x000D_
lived:?CTMIDDLMIDDLET,CTHARTFHARTFOR,EN_x000D_
issue:_x000D_
.recs:Birth,Marriage,Death,Land Transaction,Freeman,Inventory_x000D_
.imm?:immigrant_x000D_
..Spo:ELIZABETH GRANT</t>
        </r>
      </text>
    </comment>
    <comment ref="P8006" authorId="0" shapeId="0" xr:uid="{BDF25730-51CC-4FAF-B2A2-FEF8EA775884}">
      <text>
        <r>
          <rPr>
            <sz val="9"/>
            <color indexed="81"/>
            <rFont val="Tahoma"/>
            <family val="2"/>
          </rPr>
          <t>ROBERT HUMPHREY_x000D_
http://yeinfo.com/family/I09024146.html_x000D_
https://www.google.com/search?q=ROBERT+HUMPHREY+1573+1637+ANN+HUMPHREY_x000D_
.born:c1573    -          _x000D_
.died: 163712  -          , age:64y 11m 0d, _x000D_
.bapt: 1785GE_x000D_
.will: 2004MO_x000D_
.obit: 1890OH_x000D_
.bury: 1850IL _x000D_
.wpbt: 1826PA_x000D_
.anc#:ancestor_x000D_
citiz:US born_x000D_
#spos:3_x000D_
#srcs:3_x000D_
#comment:0_x000D_
#events:5_x000D_
#kids:6_x000D_
lived:ENESSEXLINDSEL,ENESSEXTHAXTED,ENESSEXWIMBISH_x000D_
issue:_x000D_
.recs:Birth,Marriage,Death_x000D_
.imm?:no_x000D_
..Spo:ANN HOLLAND</t>
        </r>
      </text>
    </comment>
    <comment ref="O8008" authorId="0" shapeId="0" xr:uid="{163AD22E-927A-4F8A-AE0B-14E75DF5DF89}">
      <text>
        <r>
          <rPr>
            <sz val="9"/>
            <color indexed="81"/>
            <rFont val="Tahoma"/>
            <family val="2"/>
          </rPr>
          <t>MARY HUMPHREY_x000D_
http://yeinfo.com/family/I09012073.html_x000D_
https://www.google.com/search?q=MARY+HUMPHREY+1602+1660+WARNER_x000D_
.born:?1602    -         ?Essex county England_x000D_
.died: 1660    -1692      Hadley (Hampshire) Massachusetts, age:58y 0m 0d, _x000D_
.bapt: 1785GE_x000D_
.will: 2004MO_x000D_
.obit: 1890OH_x000D_
.bury: 1850IL _x000D_
.wpbt: 1826PA_x000D_
.anc#:ancestor_x000D_
citiz:immigrant_x000D_
#spos:1_x000D_
#srcs:6_x000D_
#comment:1_x000D_
#events:2_x000D_
#kids:8_x000D_
lived:ENESSEXTHAXTED,MAHAMPSHADLEY_x000D_
issue:AncFlags between Spouses Mismatched_x000D_
.recs:Birth,Baptism,Marriage,Death_x000D_
.imm?:immigrant_x000D_
..Spo:ANDREW WARNER</t>
        </r>
      </text>
    </comment>
    <comment ref="P8010" authorId="0" shapeId="0" xr:uid="{9D5E7DBD-427B-41CD-908C-40C103FFEA35}">
      <text>
        <r>
          <rPr>
            <sz val="9"/>
            <color indexed="81"/>
            <rFont val="Tahoma"/>
            <family val="2"/>
          </rPr>
          <t>ANN HOLLAND_x000D_
http://yeinfo.com/family/I09024147.html_x000D_
https://www.google.com/search?q=ANN+HOLLAND+1575+1603+HUMPHREY_x000D_
.born:?1575    -          _x000D_
.died: 160305  -         ?England, age:28y 4m 0d, _x000D_
.bapt: 1785GE_x000D_
.will: 2004MO_x000D_
.obit: 1890OH_x000D_
.bury: 1850IL _x000D_
.wpbt: 1826PA_x000D_
.anc#:ancestor_x000D_
citiz:US born_x000D_
#spos:1_x000D_
#srcs:3_x000D_
#comment:0_x000D_
#events:2_x000D_
#kids:2_x000D_
lived:ENESSEXTHAXTED,ENESSEXWIMBISH_x000D_
issue:_x000D_
.recs:Birth,Marriage,Death_x000D_
.imm?:no_x000D_
..Spo:ROBERT HUMPHREY</t>
        </r>
      </text>
    </comment>
    <comment ref="M8012" authorId="0" shapeId="0" xr:uid="{9EAE5DDC-4DDD-4680-BDFB-A3A55FE22DFF}">
      <text>
        <r>
          <rPr>
            <sz val="9"/>
            <color indexed="81"/>
            <rFont val="Tahoma"/>
            <family val="2"/>
          </rPr>
          <t>SETH WARNER_x000D_
http://yeinfo.com/family/I09003018.html_x000D_
https://www.google.com/search?q=SETH+WARNER+1658+1713+MARY_x000D_
.born: 16580301-          Middletown (Middlesex) Connecticut_x000D_
.died: 17131128-          Middletown (Middlesex) Connecticut, age:55y 8m 27d, _x000D_
.bapt: 1785GE_x000D_
.will: 2004MO_x000D_
.obit: 1890OH_x000D_
.bury: 1850IL _x000D_
.wpbt: 1826PA_x000D_
.anc#:ancestor_x000D_
citiz:US born_x000D_
#spos:1_x000D_
#srcs:2_x000D_
#comment:0_x000D_
#events:3_x000D_
#kids:4_x000D_
lived:CTMIDDLMIDDLET_x000D_
issue:_x000D_
.recs:Birth,Marriage,Death,Inventory_x000D_
.imm?:no_x000D_
..Spo:MARY WARD</t>
        </r>
      </text>
    </comment>
    <comment ref="O8014" authorId="0" shapeId="0" xr:uid="{98A78F0D-6203-4D80-9330-30CB9A127A1C}">
      <text>
        <r>
          <rPr>
            <sz val="9"/>
            <color indexed="81"/>
            <rFont val="Tahoma"/>
            <family val="2"/>
          </rPr>
          <t>SETH GRANT_x000D_
http://yeinfo.com/family/I09012074.html_x000D_
https://www.google.com/search?q=SETH+GRANT+1610+1636+ELIZABETH\MARGERY_x000D_
.born:?1610    -          England_x000D_
.died: 1636    -1700      , age:26y 0m 0d, _x000D_
.bapt: 1785GE_x000D_
.will: 2004MO_x000D_
.obit: 1890OH_x000D_
.bury: 1850IL _x000D_
.wpbt: 1826PA_x000D_
.anc#:ancestor_x000D_
citiz:US born_x000D_
#spos:1_x000D_
#srcs:12_x000D_
#comment:1_x000D_
#events:10_x000D_
#kids:4_x000D_
lived:CTHARTFHARTFOR,CTHARTFWINDSOR,EN,MAMIDDLCAMBRID_x000D_
issue:_x000D_
.recs:Birth,Marriage,Ship Passenger List,Job/Occupation,Death,Church,Inventory_x000D_
.imm?:no_x000D_
..Spo:ELIZABETH\MARGERY GREGORY</t>
        </r>
      </text>
    </comment>
    <comment ref="N8016" authorId="0" shapeId="0" xr:uid="{0EA9D62E-9482-4805-8B0E-8F23720C718A}">
      <text>
        <r>
          <rPr>
            <sz val="9"/>
            <color indexed="81"/>
            <rFont val="Tahoma"/>
            <family val="2"/>
          </rPr>
          <t>ELIZABETH GRANT_x000D_
http://yeinfo.com/family/I09006037.html_x000D_
https://www.google.com/search?q=ELIZABETH+GRANT+1630+1673+WARNER_x000D_
.born:?1630    -          England_x000D_
.died: 16731226-         ?Middletown (Middlesex) Connecticut, age:43y 11m 25d, _x000D_
.bapt: 1785GE_x000D_
.will: 2004MO_x000D_
.obit: 1890OH_x000D_
.bury: 1850IL _x000D_
.wpbt: 1826PA_x000D_
.anc#:ancestor_x000D_
citiz:immigrant_x000D_
#spos:1_x000D_
#srcs:3_x000D_
#comment:0_x000D_
#events:1_x000D_
#kids:7_x000D_
lived:?CTMIDDLMIDDLET,EN_x000D_
issue:_x000D_
.recs:Birth,Marriage,Death_x000D_
.imm?:immigrant_x000D_
..Spo:ROBERT WARNER</t>
        </r>
      </text>
    </comment>
    <comment ref="O8018" authorId="0" shapeId="0" xr:uid="{36BCE3EF-76AE-49CB-903F-850582D548DC}">
      <text>
        <r>
          <rPr>
            <sz val="9"/>
            <color indexed="81"/>
            <rFont val="Tahoma"/>
            <family val="2"/>
          </rPr>
          <t>ELIZABETH\MARGERY GREGORY_x000D_
http://yeinfo.com/family/I09012075.html_x000D_
https://www.google.com/search?q=ELIZABETH\MARGERY+GREGORY+1612+1681+GRANT+Richard_x000D_
.born:?1612    -          Nottinghamshire county England_x000D_
.died: 16810124-          Norwalk (Fairfield) Connecticut, age:69y 0m 23d, _x000D_
.bapt: 1785GE_x000D_
.will: 2004MO_x000D_
.obit: 1890OH_x000D_
.bury: 1850IL _x000D_
.wpbt: 1826PA_x000D_
.anc#:ancestor_x000D_
citiz:immigrant_x000D_
#spos:2_x000D_
#srcs:4_x000D_
#comment:0_x000D_
#events:2_x000D_
#kids:4_x000D_
lived:CTFAIRDNORWALK,ENNOTTI_x000D_
issue:_x000D_
.recs:Birth,Marriage,Death_x000D_
.imm?:immigrant_x000D_
..Spo:SETH GRANT</t>
        </r>
      </text>
    </comment>
    <comment ref="L8020" authorId="0" shapeId="0" xr:uid="{3309737B-2DFC-4BE0-9654-CDB36E20926B}">
      <text>
        <r>
          <rPr>
            <sz val="9"/>
            <color indexed="81"/>
            <rFont val="Tahoma"/>
            <family val="2"/>
          </rPr>
          <t>MARY WARNER_x000D_
http://yeinfo.com/family/I09001509.html_x000D_
https://www.google.com/search?q=MARY+WARNER+1687+1732+WHITMORE_x000D_
.born: 168712  -          Middletown (Middlesex) Connecticut_x000D_
.died: 17320502-          Middletown (Middlesex) Connecticut, age:44y 5m 1d, _x000D_
.bapt: 1785GE_x000D_
.will: 2004MO_x000D_
.obit: 1890OH_x000D_
.bury: 1850IL _x000D_
.wpbt: 1826PA_x000D_
.anc#:ancestor_x000D_
citiz:US born_x000D_
#spos:1_x000D_
#srcs:2_x000D_
#comment:0_x000D_
#events:3_x000D_
#kids:10_x000D_
lived:CTMIDDLMIDDLET_x000D_
issue:_x000D_
.recs:Birth,Marriage,Death_x000D_
.imm?:no_x000D_
..Spo:JOSEPH WHITMORE</t>
        </r>
      </text>
    </comment>
    <comment ref="N8022" authorId="0" shapeId="0" xr:uid="{49873AC8-E0AE-44FA-850C-47DA4329CE55}">
      <text>
        <r>
          <rPr>
            <sz val="9"/>
            <color indexed="81"/>
            <rFont val="Tahoma"/>
            <family val="2"/>
          </rPr>
          <t>SAMUEL WARD_x000D_
http://yeinfo.com/family/I09006038.html_x000D_
https://www.google.com/search?q=SAMUEL+WARD+1635+1669+EDITH_x000D_
.born:?1635    -         ?England_x000D_
.died: 1669    -1725      , age:34y 0m 0d, _x000D_
.bapt: 1785GE_x000D_
.will: 2004MO_x000D_
.obit: 1890OH_x000D_
.bury: 1850IL _x000D_
.wpbt: 1826PA_x000D_
.anc#:ancestor_x000D_
citiz:US born_x000D_
#spos:1_x000D_
#srcs:10_x000D_
#comment:0_x000D_
#events:1_x000D_
#kids:3_x000D_
lived:?CT,?EN,?MA_x000D_
issue:_x000D_
.recs:Birth,Marriage,Death_x000D_
.imm?:no_x000D_
..Spo:EDITH WARD</t>
        </r>
      </text>
    </comment>
    <comment ref="M8024" authorId="0" shapeId="0" xr:uid="{1787D393-CB20-4D2B-BE1C-98E25436EB1C}">
      <text>
        <r>
          <rPr>
            <sz val="9"/>
            <color indexed="81"/>
            <rFont val="Tahoma"/>
            <family val="2"/>
          </rPr>
          <t>MARY WARD_x000D_
http://yeinfo.com/family/I09003019.html_x000D_
https://www.google.com/search?q=MARY+WARD+1662+1729+WARNER_x000D_
.born:?1662    -         ?Connecticut_x000D_
.died: 17290717-          Middletown (Middlesex) Connecticut, age:67y 6m 16d, _x000D_
.bapt: 1785GE_x000D_
.will: 2004MO_x000D_
.obit: 1890OH_x000D_
.bury: 1850IL _x000D_
.wpbt: 1826PA_x000D_
.anc#:ancestor_x000D_
citiz:US born_x000D_
#spos:1_x000D_
#srcs:2_x000D_
#comment:0_x000D_
#events:1_x000D_
#kids:4_x000D_
lived:?CTMIDDLMIDDLET,?EN,?MA_x000D_
issue:_x000D_
.recs:Birth,Marriage,Death_x000D_
.imm?:no_x000D_
..Spo:SETH WARNER</t>
        </r>
      </text>
    </comment>
    <comment ref="N8026" authorId="0" shapeId="0" xr:uid="{3692D681-CAB3-425F-87B6-D30596120632}">
      <text>
        <r>
          <rPr>
            <sz val="9"/>
            <color indexed="81"/>
            <rFont val="Tahoma"/>
            <family val="2"/>
          </rPr>
          <t>Mrs. EDITH WARD_x000D_
http://yeinfo.com/family/I09006039.html_x000D_
https://www.google.com/search?q=EDITH+WARD+1635+1662+WARD_x000D_
.born:?1635    -         ?England_x000D_
.died: 1662    -1725      , age:27y 0m 0d, _x000D_
.bapt: 1785GE_x000D_
.will: 2004MO_x000D_
.obit: 1890OH_x000D_
.bury: 1850IL _x000D_
.wpbt: 1826PA_x000D_
.anc#:ancestor_x000D_
citiz:US born_x000D_
#spos:1_x000D_
#srcs:1_x000D_
#comment:0_x000D_
#events:1_x000D_
#kids:3_x000D_
lived:?CT,?EN_x000D_
issue:_x000D_
.recs:Birth,Marriage,Death_x000D_
.imm?:no_x000D_
..Spo:SAMUEL WARD</t>
        </r>
      </text>
    </comment>
    <comment ref="J8028" authorId="0" shapeId="0" xr:uid="{B9AD66A9-3844-46D9-9C84-02B1C85F870A}">
      <text>
        <r>
          <rPr>
            <sz val="9"/>
            <color indexed="81"/>
            <rFont val="Tahoma"/>
            <family val="2"/>
          </rPr>
          <t>PHILINDA WHITMORE_x000D_
http://yeinfo.com/family/I09000377.html_x000D_
https://www.google.com/search?q=PHILINDA+WHITMORE+1755+1817+BARRETT_x000D_
.born: 17550308-          Walling Corners (New Haven) Connecticut_x000D_
.died: 18170214-          Brattleboro (Windham) Vermont, age:61y 11m 6d, _x000D_
.bapt: 1785GE_x000D_
.will: 2004MO_x000D_
.obit: 1890OH_x000D_
.bury: 1850IL Meeting House Hill Cemetery_x000D_
.wpbt: 1826PA_x000D_
.anc#:ancestor_x000D_
citiz:US born_x000D_
#spos:1_x000D_
#srcs:3_x000D_
#comment:0_x000D_
#events:3_x000D_
#kids:7_x000D_
lived:CTNEW HWALLING,NHCHESHHINSDAL,VTWINDHBRATTLB_x000D_
issue:Died after Age 100_x000D_
.recs:Birth,Marriage,Death,Interment/Burial_x000D_
.imm?:no_x000D_
..Spo:ISAAC BARRETT</t>
        </r>
      </text>
    </comment>
    <comment ref="N8030" authorId="0" shapeId="0" xr:uid="{229DC6D8-6774-4603-9EED-C5175EA838CC}">
      <text>
        <r>
          <rPr>
            <sz val="9"/>
            <color indexed="81"/>
            <rFont val="Tahoma"/>
            <family val="2"/>
          </rPr>
          <t>SAMUEL HALE_x000D_
http://yeinfo.com/family/I09006040.html_x000D_
https://www.google.com/search?q=SAMUEL+HALE+1610+1693+MARY+Bracy_x000D_
.born: 1610    -          Tring (Hertfordshire) England_x000D_
.died: 16931109-          Glastonbury (Hartford) Connecticut, age:83y 10m 8d, _x000D_
.bapt: 1785GE_x000D_
.will: 2004MO_x000D_
.obit: 1890OH_x000D_
.bury: 1850IL _x000D_
.wpbt: 1826PA_x000D_
.anc#:ancestor_x000D_
citiz:immigrant_x000D_
#spos:2_x000D_
#srcs:12_x000D_
#comment:0_x000D_
#events:24_x000D_
#kids:8_x000D_
lived:CTFAIRDNORWALK,CTHARTFGLASTBU,CTHARTFHARTFOR,CTHARTFWETHERS,ENHERTFTRING_x000D_
issue:_x000D_
.recs:Birth,Baptism,Military,Will Written,Death,Land Transaction,Gov't Court,Freeman,Church,Immigrate_x000D_
.imm?:immigrant_x000D_
..Spo:MARY SMITH</t>
        </r>
      </text>
    </comment>
    <comment ref="M8032" authorId="0" shapeId="0" xr:uid="{64454944-DB29-4ED2-8A59-3D8C4074BCAA}">
      <text>
        <r>
          <rPr>
            <sz val="9"/>
            <color indexed="81"/>
            <rFont val="Tahoma"/>
            <family val="2"/>
          </rPr>
          <t>JOHN HALE_x000D_
http://yeinfo.com/family/I09003020.html_x000D_
https://www.google.com/search?q=JOHN+HALE+1647+1709+HANNAH_x000D_
.born: 16470221-          Wethersfield (Hartford) Connecticut_x000D_
.died: 17090719-          Glastonbury (Hartford) Connecticut, age:62y 4m 28d, _x000D_
.bapt: 1785GE_x000D_
.will: 2004MO_x000D_
.obit: 1890OH_x000D_
.bury: 1850IL _x000D_
.wpbt: 1826PA_x000D_
.anc#:ancestor_x000D_
citiz:US born_x000D_
#spos:1_x000D_
#srcs:4_x000D_
#comment:0_x000D_
#events:2_x000D_
#kids:6_x000D_
lived:CTHARTFGLASTBU,CTHARTFWETHERS_x000D_
issue:_x000D_
.recs:Birth,Marriage,Death,Gov't Court_x000D_
.imm?:no_x000D_
..Spo:HANNAH NOTT</t>
        </r>
      </text>
    </comment>
    <comment ref="O8034" authorId="0" shapeId="0" xr:uid="{DAE66559-5A5A-47F6-B8BE-AEF01B8E8DE9}">
      <text>
        <r>
          <rPr>
            <sz val="9"/>
            <color indexed="81"/>
            <rFont val="Tahoma"/>
            <family val="2"/>
          </rPr>
          <t>HENRY SMITH_x000D_
http://yeinfo.com/family/I09012082.html_x000D_
https://www.google.com/search?q=HENRY+SMITH+1588+1648+{_?_}+Cotton_x000D_
.born:c1588    -          England_x000D_
.died: 16480809-          Wethersfield (Hartford) Connecticut, age:60y 7m 8d, _x000D_
.bapt: 1785GE_x000D_
.will: 2004MO_x000D_
.obit: 1890OH_x000D_
.bury: 1850IL _x000D_
.wpbt: 1826PA_x000D_
.anc#:ancestor_x000D_
citiz:immigrant_x000D_
#spos:2_x000D_
#srcs:14_x000D_
#comment:0_x000D_
#events:9_x000D_
#kids:8_x000D_
lived:CTHARTFWETHERS,ENCAMBSCAMBRID,MAHAMPDSPRINGF,MAMIDDLWATERTO_x000D_
issue:_x000D_
.recs:Birth,College,Marriage,Will Written,Death,Church_x000D_
.imm?:immigrant_x000D_
..Spo:{_?_} SMITH</t>
        </r>
      </text>
    </comment>
    <comment ref="N8036" authorId="0" shapeId="0" xr:uid="{BAA9C42B-CC2D-46D6-9C2B-4809FCA7792C}">
      <text>
        <r>
          <rPr>
            <sz val="9"/>
            <color indexed="81"/>
            <rFont val="Tahoma"/>
            <family val="2"/>
          </rPr>
          <t>MARY SMITH_x000D_
http://yeinfo.com/family/I09006041.html_x000D_
https://www.google.com/search?q=MARY+SMITH+1624+1650+HALE_x000D_
.born: 1624    -          _x000D_
.died: 1650    -1714      , age:26y 0m 0d, _x000D_
.bapt: 1785GE_x000D_
.will: 2004MO_x000D_
.obit: 1890OH_x000D_
.bury: 1850IL _x000D_
.wpbt: 1826PA_x000D_
.anc#:ancestor_x000D_
citiz:US born_x000D_
#spos:1_x000D_
#srcs:4_x000D_
#comment:0_x000D_
#events:1_x000D_
#kids:8_x000D_
lived:?CTHARTFHARTFOR_x000D_
issue:_x000D_
.recs:Birth,Marriage,Death_x000D_
.imm?:no_x000D_
..Spo:SAMUEL HALE</t>
        </r>
      </text>
    </comment>
    <comment ref="O8038" authorId="0" shapeId="0" xr:uid="{BF61CCB7-4A24-4A3A-BB17-E2E71A1CDA5E}">
      <text>
        <r>
          <rPr>
            <sz val="9"/>
            <color indexed="81"/>
            <rFont val="Tahoma"/>
            <family val="2"/>
          </rPr>
          <t>Mrs. {_?_} SMITH_x000D_
http://yeinfo.com/family/I09012083.html_x000D_
https://www.google.com/search?q={_?_}+SMITH+1605+1625+SMITH_x000D_
.born:?1605    -          England_x000D_
.died: 1625    -1695     ?Connecticut, age:20y 0m 0d, _x000D_
.bapt: 1785GE_x000D_
.will: 2004MO_x000D_
.obit: 1890OH_x000D_
.bury: 1850IL _x000D_
.wpbt: 1826PA_x000D_
.anc#:ancestor_x000D_
citiz:immigrant_x000D_
#spos:1_x000D_
#srcs:2_x000D_
#comment:0_x000D_
#events:1_x000D_
#kids:3_x000D_
lived:?CT,EN_x000D_
issue:_x000D_
.recs:Birth,Marriage,Death_x000D_
.imm?:immigrant_x000D_
..Spo:HENRY SMITH</t>
        </r>
      </text>
    </comment>
    <comment ref="L8040" authorId="0" shapeId="0" xr:uid="{B83E43D1-3784-49FF-95D7-ED5D419A59BE}">
      <text>
        <r>
          <rPr>
            <sz val="9"/>
            <color indexed="81"/>
            <rFont val="Tahoma"/>
            <family val="2"/>
          </rPr>
          <t>EBENEZER HALE_x000D_
http://yeinfo.com/family/I09001510.html_x000D_
https://www.google.com/search?q=EBENEZER+HALE+1682+1760+Ruth+MILLER_x000D_
.born: 16821224-         ?Hartford county Connecticut_x000D_
.died: 1760    -1772     ?Middletown (Middlesex) Connecticut, age:77y 0m 8d, _x000D_
.bapt: 1785GE_x000D_
.will: 2004MO_x000D_
.obit: 1890OH_x000D_
.bury: 1850IL _x000D_
.wpbt: 1826PA_x000D_
.anc#:ancestor_x000D_
citiz:US born_x000D_
#spos:2_x000D_
#srcs:2_x000D_
#comment:1_x000D_
#events:6_x000D_
#kids:12_x000D_
lived:?CTMIDDLMIDDLET,CTHARTFWETHERS_x000D_
issue:_x000D_
.recs:Birth,Marriage,Deed,Church_x000D_
.imm?:no_x000D_
..Spo:Ruth Curtis</t>
        </r>
      </text>
    </comment>
    <comment ref="N8042" authorId="0" shapeId="0" xr:uid="{A5518B4D-5564-473E-9A3D-1A1E7E7C8672}">
      <text>
        <r>
          <rPr>
            <sz val="9"/>
            <color indexed="81"/>
            <rFont val="Tahoma"/>
            <family val="2"/>
          </rPr>
          <t>JOHN NOTT_x000D_
http://yeinfo.com/family/I09006042.html_x000D_
https://www.google.com/search?q=JOHN+NOTT+1620+1682+ANN_x000D_
.born:?1620    -         ?England_x000D_
.died: 16820125-          Wethersfield (Hartford) Connecticut, age:62y 0m 24d, _x000D_
.bapt: 1785GE_x000D_
.will: 2004MO_x000D_
.obit: 1890OH_x000D_
.bury: 1850IL _x000D_
.wpbt: 1826PA_x000D_
.anc#:ancestor_x000D_
citiz:immigrant_x000D_
#spos:1_x000D_
#srcs:7_x000D_
#comment:0_x000D_
#events:5_x000D_
#kids:3_x000D_
lived:?CTHARTFWETHERS,?EN_x000D_
issue:_x000D_
.recs:Birth,Marriage,Will Written,Death_x000D_
.imm?:immigrant_x000D_
..Spo:ANN BELLOWS</t>
        </r>
      </text>
    </comment>
    <comment ref="M8044" authorId="0" shapeId="0" xr:uid="{5540EE6D-961F-4395-A34E-3213ACEA0435}">
      <text>
        <r>
          <rPr>
            <sz val="9"/>
            <color indexed="81"/>
            <rFont val="Tahoma"/>
            <family val="2"/>
          </rPr>
          <t>HANNAH NOTT_x000D_
http://yeinfo.com/family/I09003021.html_x000D_
https://www.google.com/search?q=HANNAH+NOTT+1649+1732+HALE_x000D_
.born: 16490110-          Wethersfield (Hartford) Connecticut_x000D_
.died: 17321108-          Glastonbury (Hartford) Connecticut, age:83y 9m 29d, _x000D_
.bapt: 1785GE_x000D_
.will: 2004MO_x000D_
.obit: 1890OH_x000D_
.bury: 1850IL _x000D_
.wpbt: 1826PA_x000D_
.anc#:ancestor_x000D_
citiz:US born_x000D_
#spos:1_x000D_
#srcs:8_x000D_
#comment:0_x000D_
#events:1_x000D_
#kids:6_x000D_
lived:CTHARTFGLASTBU,CTHARTFWETHERS_x000D_
issue:_x000D_
.recs:Birth,Marriage,Death_x000D_
.imm?:no_x000D_
..Spo:JOHN HALE</t>
        </r>
      </text>
    </comment>
    <comment ref="N8046" authorId="0" shapeId="0" xr:uid="{381A542B-535A-4273-A5F0-40C5539F90AA}">
      <text>
        <r>
          <rPr>
            <sz val="9"/>
            <color indexed="81"/>
            <rFont val="Tahoma"/>
            <family val="2"/>
          </rPr>
          <t>ANN BELLOWS_x000D_
http://yeinfo.com/family/I09006043.html_x000D_
https://www.google.com/search?q=ANN+BELLOWS+1620+1651+NOTT_x000D_
.born:?1620    -         ?England_x000D_
.died: 1651    -1710     ?Connecticut, age:31y 0m 0d, _x000D_
.bapt: 1785GE_x000D_
.will: 2004MO_x000D_
.obit: 1890OH_x000D_
.bury: 1850IL _x000D_
.wpbt: 1826PA_x000D_
.anc#:ancestor_x000D_
citiz:immigrant_x000D_
#spos:1_x000D_
#srcs:4_x000D_
#comment:0_x000D_
#events:1_x000D_
#kids:3_x000D_
lived:?CT,?EN_x000D_
issue:_x000D_
.recs:Birth,Marriage,Death_x000D_
.imm?:immigrant_x000D_
..Spo:JOHN NOTT</t>
        </r>
      </text>
    </comment>
    <comment ref="K8048" authorId="0" shapeId="0" xr:uid="{48E20ADC-EACD-4298-BD47-000BD4D6F28F}">
      <text>
        <r>
          <rPr>
            <sz val="9"/>
            <color indexed="81"/>
            <rFont val="Tahoma"/>
            <family val="2"/>
          </rPr>
          <t>ELIZABETH HALE_x000D_
http://yeinfo.com/family/I09000755.html_x000D_
https://www.google.com/search?q=ELIZABETH+HALE+1729+1814+WHITMORE+Amos_x000D_
.born: 17290129-          Middletown (Middlesex) Connecticut_x000D_
.died: 18140525-         ?Marlborough (Windham) Vermont, age:85y 3m 26d, _x000D_
.bapt: 1785GE_x000D_
.will: 2004MO_x000D_
.obit: 1890OH_x000D_
.bury: 1850IL Meeting House Hill Cemetery_x000D_
.wpbt: 1826PA_x000D_
.anc#:ancestor_x000D_
citiz:US born_x000D_
#spos:2_x000D_
#srcs:7_x000D_
#comment:0_x000D_
#events:4_x000D_
#kids:3_x000D_
lived:?VTWINDHMARLBOR,CTMIDDLMIDDLET,VTWINDHBRATTLB_x000D_
issue:Married before Age 16_x000D_
.recs:Birth,Baptism,Marriage,Death,Interment/Burial_x000D_
.imm?:no_x000D_
..Spo:FRANCIS WHITMORE</t>
        </r>
      </text>
    </comment>
    <comment ref="O8050" authorId="0" shapeId="0" xr:uid="{8293C798-7AAF-46BF-9479-E184796C2A9A}">
      <text>
        <r>
          <rPr>
            <sz val="9"/>
            <color indexed="81"/>
            <rFont val="Tahoma"/>
            <family val="2"/>
          </rPr>
          <t>JOHN MILLER_x000D_
http://yeinfo.com/family/I09012088.html_x000D_
https://www.google.com/search?q=JOHN+MILLER+1560+1633+MARY_x000D_
.born:?1560    -         ?England_x000D_
.died: 16331011-          Bishops Stortford (Hertfordshire) England, age:73y 9m 10d, _x000D_
.bapt: 1785GE_x000D_
.will: 2004MO_x000D_
.obit: 1890OH_x000D_
.bury: 1850IL _x000D_
.wpbt: 1826PA_x000D_
.anc#:ancestor_x000D_
citiz:foreign_x000D_
#spos:1_x000D_
#srcs:1_x000D_
#comment:0_x000D_
#events:1_x000D_
#kids:1_x000D_
lived:?EN,ENHERTFBISHOST_x000D_
issue:_x000D_
.recs:Birth,Marriage,Death_x000D_
.imm?:no_x000D_
..Spo:MARY PYLSTON</t>
        </r>
      </text>
    </comment>
    <comment ref="N8052" authorId="0" shapeId="0" xr:uid="{8F3E7D72-73F1-4CBA-8711-EE1EB6CB5030}">
      <text>
        <r>
          <rPr>
            <sz val="9"/>
            <color indexed="81"/>
            <rFont val="Tahoma"/>
            <family val="2"/>
          </rPr>
          <t>THOMAS MILLER_x000D_
http://yeinfo.com/family/I09006044.html_x000D_
https://www.google.com/search?q=THOMAS+MILLER+1609+1680+Isabel+NETTLETON_x000D_
.born: 1609    -          Bishops Stortford (Hertfordshire) England_x000D_
.died: 16800814-          Middletown (Middlesex) Connecticut, age:71y 7m 13d, _x000D_
.bapt: 1785GE_x000D_
.will: 2004MO_x000D_
.obit: 1890OH_x000D_
.bury: 1850IL _x000D_
.wpbt: 1826PA_x000D_
.anc#:ancestor_x000D_
citiz:immigrant_x000D_
#spos:2_x000D_
#srcs:10_x000D_
#comment:1_x000D_
#events:14_x000D_
#kids:8_x000D_
lived:CTMIDDLMIDDLET,ENHERTFBISHOST,ENWARWEBIRMING,MAESSEXROWLEY,MASUFFODORCHES_x000D_
issue:Spouse Age more than 30-Year Difference_x000D_
.recs:Birth,Baptism,Marriage,Job/Occupation,Will Written,Death,Inventory_x000D_
.imm?:immigrant_x000D_
..Spo:Isabel MILLER</t>
        </r>
      </text>
    </comment>
    <comment ref="O8054" authorId="0" shapeId="0" xr:uid="{F560D373-218D-4827-A175-2FFCE13563AE}">
      <text>
        <r>
          <rPr>
            <sz val="9"/>
            <color indexed="81"/>
            <rFont val="Tahoma"/>
            <family val="2"/>
          </rPr>
          <t>MARY PYLSTON_x000D_
http://yeinfo.com/family/I09012089.html_x000D_
https://www.google.com/search?q=MARY+PYLSTON+1564+1621+MILLER_x000D_
.born:?1564    -         ?England_x000D_
.died: 16210406-          Bishops Stortford (Hertfordshire) England, age:57y 3m 5d, _x000D_
.bapt: 1785GE_x000D_
.will: 2004MO_x000D_
.obit: 1890OH_x000D_
.bury: 1850IL _x000D_
.wpbt: 1826PA_x000D_
.anc#:ancestor_x000D_
citiz:foreign_x000D_
#spos:1_x000D_
#srcs:1_x000D_
#comment:0_x000D_
#events:1_x000D_
#kids:1_x000D_
lived:?EN,ENHERTFBISHOST_x000D_
issue:_x000D_
.recs:Birth,Marriage,Death_x000D_
.imm?:no_x000D_
..Spo:JOHN MILLER</t>
        </r>
      </text>
    </comment>
    <comment ref="M8056" authorId="0" shapeId="0" xr:uid="{08137608-619E-4CD1-861A-A2415D6A33BA}">
      <text>
        <r>
          <rPr>
            <sz val="9"/>
            <color indexed="81"/>
            <rFont val="Tahoma"/>
            <family val="2"/>
          </rPr>
          <t>THOMAS\SAMUEL MILLER_x000D_
http://yeinfo.com/family/I09003022.html_x000D_
https://www.google.com/search?q=THOMAS\SAMUEL+MILLER+1666+1727+ELIZABETH+Rowell_x000D_
.born: 16660506-          _x000D_
.died: 1727    -         ?Middletown (Middlesex) Connecticut, age:60y 7m 26d, _x000D_
.bapt: 1785GE_x000D_
.will: 2004MO_x000D_
.obit: 1890OH_x000D_
.bury: 1850IL _x000D_
.wpbt: 1826PA_x000D_
.anc#:ancestor_x000D_
citiz:US born_x000D_
#spos:2_x000D_
#srcs:4_x000D_
#comment:0_x000D_
#events:2_x000D_
#kids:1_x000D_
lived:CTMIDDLMIDDLET_x000D_
issue:_x000D_
.recs:Birth,Marriage,Death_x000D_
.imm?:no_x000D_
..Spo:ELIZABETH TURNER</t>
        </r>
      </text>
    </comment>
    <comment ref="P8058" authorId="0" shapeId="0" xr:uid="{466CFBAF-8023-4B85-AD2F-DB2BD0EC42D3}">
      <text>
        <r>
          <rPr>
            <sz val="9"/>
            <color indexed="81"/>
            <rFont val="Tahoma"/>
            <family val="2"/>
          </rPr>
          <t>ROBERT NETTLETON_x000D_
http://yeinfo.com/family/I09024180.html_x000D_
https://www.google.com/search?q=ROBERT+NETTLETON+1579+1605+HANNAH\MARIA_x000D_
.born: 1579    -         ?Yorkshire county England_x000D_
.died: 1605    -1669      Fairfield (Fairfield) Connecticut, age:26y 0m 0d, _x000D_
.bapt: 1785GE_x000D_
.will: 2004MO_x000D_
.obit: 1890OH_x000D_
.bury: 1850IL _x000D_
.wpbt: 1826PA_x000D_
.anc#:ancestor_x000D_
citiz:immigrant_x000D_
#spos:1_x000D_
#srcs:2_x000D_
#comment:0_x000D_
#events:1_x000D_
#kids:1_x000D_
lived:?ENYORKS,CTFAIRDFAIRFIE_x000D_
issue:_x000D_
.recs:Birth,Marriage,Death_x000D_
.imm?:immigrant_x000D_
..Spo:HANNAH\MARIA NETTLETON</t>
        </r>
      </text>
    </comment>
    <comment ref="O8060" authorId="0" shapeId="0" xr:uid="{03A34EA0-E979-4551-B6FD-38E0926BB69A}">
      <text>
        <r>
          <rPr>
            <sz val="9"/>
            <color indexed="81"/>
            <rFont val="Tahoma"/>
            <family val="2"/>
          </rPr>
          <t>SAMUEL NETTLETON_x000D_
http://yeinfo.com/family/I09012090.html_x000D_
https://www.google.com/search?q=SAMUEL+NETTLETON+1605+1656+MARIA+MARY_x000D_
.born: 1605    -          Warwickshire county England_x000D_
.died: 16561029-          Fairfield (Fairfield) Connecticut, age:51y 9m 28d, _x000D_
.bapt: 1785GE_x000D_
.will: 2004MO_x000D_
.obit: 1890OH_x000D_
.bury: 1850IL _x000D_
.wpbt: 1826PA_x000D_
.anc#:ancestor_x000D_
citiz:immigrant_x000D_
#spos:1_x000D_
#srcs:8_x000D_
#comment:1_x000D_
#events:4_x000D_
#kids:9_x000D_
lived:?CTNEW HBRANFOR,CTFAIRDFAIRFIE,CTHARTFWETHERS,CTNEW HMILFORD,ENWARWE_x000D_
issue:_x000D_
.recs:Birth,Marriage,Death_x000D_
.imm?:immigrant_x000D_
..Spo:MARIA MARY MERRILL</t>
        </r>
      </text>
    </comment>
    <comment ref="P8062" authorId="0" shapeId="0" xr:uid="{C5595914-6C6B-447B-AEF8-95B433DD2CC9}">
      <text>
        <r>
          <rPr>
            <sz val="9"/>
            <color indexed="81"/>
            <rFont val="Tahoma"/>
            <family val="2"/>
          </rPr>
          <t>Mrs. HANNAH\MARIA NETTLETON_x000D_
http://yeinfo.com/family/I09024181.html_x000D_
https://www.google.com/search?q=HANNAH\MARIA+NETTLETON+1583+1605+NETTLETON_x000D_
.born: 1583    -          Dewsbury (Yorkshire) England_x000D_
.died: 1605    -1673      Branford (New Haven) Connecticut, age:22y 0m 0d, _x000D_
.bapt: 1785GE_x000D_
.will: 2004MO_x000D_
.obit: 1890OH_x000D_
.bury: 1850IL _x000D_
.wpbt: 1826PA_x000D_
.anc#:ancestor_x000D_
citiz:immigrant_x000D_
#spos:1_x000D_
#srcs:2_x000D_
#comment:0_x000D_
#events:1_x000D_
#kids:1_x000D_
lived:CTNEW HBRANFOR,ENYORKSDEWSBUR_x000D_
issue:_x000D_
.recs:Birth,Marriage,Death_x000D_
.imm?:immigrant_x000D_
..Spo:ROBERT NETTLETON</t>
        </r>
      </text>
    </comment>
    <comment ref="N8064" authorId="0" shapeId="0" xr:uid="{CFD9E277-614C-438B-BB8A-5FDD8D87E3BE}">
      <text>
        <r>
          <rPr>
            <sz val="9"/>
            <color indexed="81"/>
            <rFont val="Tahoma"/>
            <family val="2"/>
          </rPr>
          <t>SARAH NETTLETON_x000D_
http://yeinfo.com/family/I09006045.html_x000D_
https://www.google.com/search?q=SARAH+NETTLETON+1642+1728+MILLER+Thomas_x000D_
.born: 1642    -          Bishops Stortford (Hertfordshire) England_x000D_
.died: 17280320-          , age:86y 2m 19d, _x000D_
.bapt: 1785GE_x000D_
.will: 2004MO_x000D_
.obit: 1890OH_x000D_
.bury: 1850IL _x000D_
.wpbt: 1826PA_x000D_
.anc#:ancestor_x000D_
citiz:US born_x000D_
#spos:2_x000D_
#srcs:3_x000D_
#comment:0_x000D_
#events:3_x000D_
#kids:1_x000D_
lived:CTMIDDLMIDDLET,CTNEW HMILFORD,ENHERTFBISHOST_x000D_
issue:Spouse Age more than 30-Year Difference_x000D_
.recs:Birth,Marriage,Will Written,Death_x000D_
.imm?:no_x000D_
..Spo:THOMAS MILLER</t>
        </r>
      </text>
    </comment>
    <comment ref="O8066" authorId="0" shapeId="0" xr:uid="{160F623F-A38D-4887-9223-E20266179A8E}">
      <text>
        <r>
          <rPr>
            <sz val="9"/>
            <color indexed="81"/>
            <rFont val="Tahoma"/>
            <family val="2"/>
          </rPr>
          <t>MARIA MARY MERRILL_x000D_
http://yeinfo.com/family/I09012091.html_x000D_
https://www.google.com/search?q=MARIA+MARY+MERRILL+1610+1656+NETTLETON_x000D_
.born:?1610    -         ?England_x000D_
.died: 16561029-         ?Connecticut, age:46y 9m 28d, _x000D_
.bapt: 1785GE_x000D_
.will: 2004MO_x000D_
.obit: 1890OH_x000D_
.bury: 1850IL _x000D_
.wpbt: 1826PA_x000D_
.anc#:ancestor_x000D_
citiz:immigrant_x000D_
#spos:1_x000D_
#srcs:3_x000D_
#comment:0_x000D_
#events:1_x000D_
#kids:9_x000D_
lived:?EN,CTNEW HBRANFOR_x000D_
issue:_x000D_
.recs:Birth,Marriage,Death_x000D_
.imm?:immigrant_x000D_
..Spo:SAMUEL NETTLETON</t>
        </r>
      </text>
    </comment>
    <comment ref="L8068" authorId="0" shapeId="0" xr:uid="{64F1A032-0563-46E1-BE39-CD2CAD1505E4}">
      <text>
        <r>
          <rPr>
            <sz val="9"/>
            <color indexed="81"/>
            <rFont val="Tahoma"/>
            <family val="2"/>
          </rPr>
          <t>ABIGAIL MILLER_x000D_
http://yeinfo.com/family/I09001511.html_x000D_
https://www.google.com/search?q=ABIGAIL+MILLER+1694+1730+HALE_x000D_
.born: 16940910-          Middletown (Middlesex) Connecticut_x000D_
.died: 1730    -1784     ?Hebron (Tolland) Connecticut, age:35y 3m 22d, _x000D_
.bapt: 1785GE_x000D_
.will: 2004MO_x000D_
.obit: 1890OH_x000D_
.bury: 1850IL _x000D_
.wpbt: 1826PA_x000D_
.anc#:ancestor_x000D_
citiz:US born_x000D_
#spos:1_x000D_
#srcs:4_x000D_
#comment:0_x000D_
#events:1_x000D_
#kids:4_x000D_
lived:?CTTOLLAHEBRON,CTMIDDLMIDDLET,MAHAMPSHATFIEL_x000D_
issue:_x000D_
.recs:Birth,Marriage,Death_x000D_
.imm?:no_x000D_
..Spo:EBENEZER HALE</t>
        </r>
      </text>
    </comment>
    <comment ref="P8070" authorId="0" shapeId="0" xr:uid="{9131452C-E2DC-4B41-AAB7-6DBDE20A1E89}">
      <text>
        <r>
          <rPr>
            <sz val="9"/>
            <color indexed="81"/>
            <rFont val="Tahoma"/>
            <family val="2"/>
          </rPr>
          <t>JOHN TURNER_x000D_
http://yeinfo.com/family/I09024184.html_x000D_
https://www.google.com/search?q=JOHN+TURNER+1564+1621+JOAN_x000D_
.born: 15641030-          Kent county England_x000D_
.died: 1621    -          Scituate (Plymouth) Massachusetts, age:56y 2m 2d, _x000D_
.bapt: 1785GE_x000D_
.will: 2004MO_x000D_
.obit: 1890OH_x000D_
.bury: 1850IL _x000D_
.wpbt: 1826PA_x000D_
.anc#:ancestor_x000D_
citiz:immigrant_x000D_
#spos:1_x000D_
#srcs:1_x000D_
#comment:0_x000D_
#events:3_x000D_
#kids:1_x000D_
lived:ENDEVONPLYMOUT,ENKENT,MAPLYMOSCITUAT_x000D_
issue:_x000D_
.recs:Birth,Marriage,Ship Passenger List,Death_x000D_
.imm?:immigrant_x000D_
..Spo:JOAN LILY</t>
        </r>
      </text>
    </comment>
    <comment ref="O8072" authorId="0" shapeId="0" xr:uid="{D03764B9-CE91-47C4-B9D9-1E1AB783840C}">
      <text>
        <r>
          <rPr>
            <sz val="9"/>
            <color indexed="81"/>
            <rFont val="Tahoma"/>
            <family val="2"/>
          </rPr>
          <t>ARNOLD TURNER_x000D_
http://yeinfo.com/family/I09012092.html_x000D_
https://www.google.com/search?q=ARNOLD+TURNER+1608+1660+MARY_x000D_
.born: 16081203-          England_x000D_
.died: 1660    -          Middletown (Middlesex) Connecticut, age:51y 0m 29d, _x000D_
.bapt: 1785GE_x000D_
.will: 2004MO_x000D_
.obit: 1890OH_x000D_
.bury: 1850IL _x000D_
.wpbt: 1826PA_x000D_
.anc#:ancestor_x000D_
citiz:immigrant_x000D_
#spos:1_x000D_
#srcs:1_x000D_
#comment:0_x000D_
#events:1_x000D_
#kids:1_x000D_
lived:CTMIDDLMIDDLET,EN_x000D_
issue:_x000D_
.recs:Birth,Marriage,Death_x000D_
.imm?:immigrant_x000D_
..Spo:MARY SMITH</t>
        </r>
      </text>
    </comment>
    <comment ref="P8074" authorId="0" shapeId="0" xr:uid="{0B84BAF4-E2DD-4D61-8122-7D65562D112A}">
      <text>
        <r>
          <rPr>
            <sz val="9"/>
            <color indexed="81"/>
            <rFont val="Tahoma"/>
            <family val="2"/>
          </rPr>
          <t>JOAN LILY_x000D_
http://yeinfo.com/family/I09024185.html_x000D_
https://www.google.com/search?q=JOAN+LILY+1568+1620+TURNER_x000D_
.born: 1568    -          England_x000D_
.died: 1620    -          Plymouth (Plymouth) Massachusetts, age:52y 0m 0d, _x000D_
.bapt: 1785GE_x000D_
.will: 2004MO_x000D_
.obit: 1890OH_x000D_
.bury: 1850IL _x000D_
.wpbt: 1826PA_x000D_
.anc#:ancestor_x000D_
citiz:immigrant_x000D_
#spos:1_x000D_
#srcs:1_x000D_
#comment:0_x000D_
#events:2_x000D_
#kids:1_x000D_
lived:ENDEVONPLYMOUT_x000D_
issue:_x000D_
.recs:Birth,Marriage,Ship Passenger List,Death_x000D_
.imm?:immigrant_x000D_
..Spo:JOHN TURNER</t>
        </r>
      </text>
    </comment>
    <comment ref="N8076" authorId="0" shapeId="0" xr:uid="{A0E68310-4C3B-4142-A6DA-7965DCFC183B}">
      <text>
        <r>
          <rPr>
            <sz val="9"/>
            <color indexed="81"/>
            <rFont val="Tahoma"/>
            <family val="2"/>
          </rPr>
          <t>EDWARD LEVI TURNER_x000D_
http://yeinfo.com/family/I09006046.html_x000D_
https://www.google.com/search?q=EDWARD+LEVI+TURNER+1633+1717+MARY_x000D_
.born: 16331203-          Middletown (Middlesex) Connecticut_x000D_
.died: 17170404-          Middletown (Middlesex) Connecticut, age:83y 4m 1d, _x000D_
.bapt: 1785GE_x000D_
.will: 2004MO_x000D_
.obit: 1890OH_x000D_
.bury: 1850IL Riverside Cemetery_x000D_
.wpbt: 1826PA_x000D_
.anc#:ancestor_x000D_
citiz:US born_x000D_
#spos:1_x000D_
#srcs:7_x000D_
#comment:0_x000D_
#events:6_x000D_
#kids:2_x000D_
lived:CTMIDDLMIDDLET,CTNEW HMILFORD,MASUFFOBOSTON_x000D_
issue:_x000D_
.recs:Birth,Marriage,Death,Interment/Burial_x000D_
.imm?:no_x000D_
..Spo:MARY SANFORD</t>
        </r>
      </text>
    </comment>
    <comment ref="O8078" authorId="0" shapeId="0" xr:uid="{C43C0C5C-120E-44BB-83EE-E342A0F6E414}">
      <text>
        <r>
          <rPr>
            <sz val="9"/>
            <color indexed="81"/>
            <rFont val="Tahoma"/>
            <family val="2"/>
          </rPr>
          <t>MARY SMITH_x000D_
http://yeinfo.com/family/I09012093.html_x000D_
https://www.google.com/search?q=MARY+SMITH+1610+1680+TURNER_x000D_
.born: 1610    -          England_x000D_
.died: 1680    -          Middletown (Middlesex) Connecticut, age:70y 0m 0d, _x000D_
.bapt: 1785GE_x000D_
.will: 2004MO_x000D_
.obit: 1890OH_x000D_
.bury: 1850IL _x000D_
.wpbt: 1826PA_x000D_
.anc#:ancestor_x000D_
citiz:immigrant_x000D_
#spos:1_x000D_
#srcs:1_x000D_
#comment:0_x000D_
#events:1_x000D_
#kids:1_x000D_
lived:CTMIDDLMIDDLET,EN_x000D_
issue:_x000D_
.recs:Birth,Marriage,Death_x000D_
.imm?:immigrant_x000D_
..Spo:ARNOLD TURNER</t>
        </r>
      </text>
    </comment>
    <comment ref="M8080" authorId="0" shapeId="0" xr:uid="{DB01AA12-B541-4876-95B9-E07D92CC7C51}">
      <text>
        <r>
          <rPr>
            <sz val="9"/>
            <color indexed="81"/>
            <rFont val="Tahoma"/>
            <family val="2"/>
          </rPr>
          <t>ELIZABETH TURNER_x000D_
http://yeinfo.com/family/I09003023.html_x000D_
https://www.google.com/search?q=ELIZABETH+TURNER+1668+1694+MILLER_x000D_
.born: 16681214-          Middletown (Middlesex) Connecticut_x000D_
.died: 1694    -          Middletown (Middlesex) Connecticut, age:25y 0m 18d, _x000D_
.bapt: 1785GE_x000D_
.will: 2004MO_x000D_
.obit: 1890OH_x000D_
.bury: 1850IL _x000D_
.wpbt: 1826PA_x000D_
.anc#:ancestor_x000D_
citiz:US born_x000D_
#spos:1_x000D_
#srcs:4_x000D_
#comment:0_x000D_
#events:1_x000D_
#kids:1_x000D_
lived:CTMIDDLMIDDLET_x000D_
issue:_x000D_
.recs:Birth,Marriage,Death_x000D_
.imm?:no_x000D_
..Spo:THOMAS\SAMUEL MILLER</t>
        </r>
      </text>
    </comment>
    <comment ref="O8082" authorId="0" shapeId="0" xr:uid="{B0DE385B-8B24-41B0-B583-1B31A982FDC6}">
      <text>
        <r>
          <rPr>
            <sz val="9"/>
            <color indexed="81"/>
            <rFont val="Tahoma"/>
            <family val="2"/>
          </rPr>
          <t>RICHARD SANFORD_x000D_
http://yeinfo.com/family/I09012094.html_x000D_
https://www.google.com/search?q=RICHARD+SANFORD+1594+1676+MARGERY_x000D_
.born: 1594    -          Hertfordshire county England_x000D_
.died:?1676    -         ?Swansea (Bristol) Massachusetts, age:82y 0m 0d, _x000D_
.bapt: 1785GE_x000D_
.will: 2004MO_x000D_
.obit: 1890OH_x000D_
.bury: 1850IL _x000D_
.wpbt: 1826PA_x000D_
.anc#:ancestor_x000D_
citiz:immigrant_x000D_
#spos:1_x000D_
#srcs:7_x000D_
#comment:0_x000D_
#events:7_x000D_
#kids:3_x000D_
lived:?MABRISTSWANSEA,ENHERTF,MASUFFOBOSTON_x000D_
issue:_x000D_
.recs:Birth,Marriage,Death,Freeman_x000D_
.imm?:immigrant_x000D_
..Spo:MARGERY COX</t>
        </r>
      </text>
    </comment>
    <comment ref="N8084" authorId="0" shapeId="0" xr:uid="{EB6D6D9C-1E98-4E62-9320-777D68999D13}">
      <text>
        <r>
          <rPr>
            <sz val="9"/>
            <color indexed="81"/>
            <rFont val="Tahoma"/>
            <family val="2"/>
          </rPr>
          <t>MARY SANFORD_x000D_
http://yeinfo.com/family/I09006047.html_x000D_
https://www.google.com/search?q=MARY+SANFORD+1635+1668+TURNER_x000D_
.born: 163502  -          Sedgemoor (Somerset) England_x000D_
.died: 1668    -1725      Charlestown (Suffolk) Massachusetts, age:32y 11m 0d, _x000D_
.bapt: 1785GE_x000D_
.will: 2004MO_x000D_
.obit: 1890OH_x000D_
.bury: 1850IL _x000D_
.wpbt: 1826PA_x000D_
.anc#:ancestor_x000D_
citiz:immigrant_x000D_
#spos:1_x000D_
#srcs:7_x000D_
#comment:0_x000D_
#events:1_x000D_
#kids:2_x000D_
lived:ENSOMESSEDGEMO,MASUFFOBOSTON,MASUFFOCHAZTWN_x000D_
issue:_x000D_
.recs:Birth,Marriage,Death_x000D_
.imm?:immigrant_x000D_
..Spo:EDWARD LEVI TURNER</t>
        </r>
      </text>
    </comment>
    <comment ref="O8086" authorId="0" shapeId="0" xr:uid="{2B46C095-AA34-448D-90E9-756545E1E949}">
      <text>
        <r>
          <rPr>
            <sz val="9"/>
            <color indexed="81"/>
            <rFont val="Tahoma"/>
            <family val="2"/>
          </rPr>
          <t>MARGERY COX_x000D_
http://yeinfo.com/family/I09012095.html_x000D_
https://www.google.com/search?q=MARGERY+COX+1600+1640+SANFORD_x000D_
.born: 160011  -          Sedgley (Staffordshire) England_x000D_
.died: 1640    -         ?Massachusetts, age:39y 2m 0d, _x000D_
.bapt: 1785GE_x000D_
.will: 2004MO_x000D_
.obit: 1890OH_x000D_
.bury: 1850IL _x000D_
.wpbt: 1826PA_x000D_
.anc#:ancestor_x000D_
citiz:immigrant_x000D_
#spos:1_x000D_
#srcs:3_x000D_
#comment:0_x000D_
#events:1_x000D_
#kids:3_x000D_
lived:?MA,ENSTAFSSEDGLEY_x000D_
issue:_x000D_
.recs:Birth,Marriage,Death_x000D_
.imm?:immigrant_x000D_
..Spo:RICHARD SANFORD</t>
        </r>
      </text>
    </comment>
    <comment ref="H8088" authorId="0" shapeId="0" xr:uid="{D69C8A2D-AE0F-4221-86FF-78D117295D56}">
      <text>
        <r>
          <rPr>
            <sz val="9"/>
            <color indexed="81"/>
            <rFont val="Tahoma"/>
            <family val="2"/>
          </rPr>
          <t>RANSEL BARRETT_x000D_
http://yeinfo.com/family/I09000094.html_x000D_
https://www.google.com/search?q=RANSEL+BARRETT+1797+1881+PHILENA\PHILINDA+Richardson_x000D_
.born: 17970214-          Brattleboro (Windham) Vermont_x000D_
.died: 18810104-          Brattleboro (Windham) Vermont, age:83y 10m 21d, old age_x000D_
.bapt: 1785GE_x000D_
.will: 2004MO_x000D_
.obit: 1890OH_x000D_
.bury: 1850IL _x000D_
.wpbt: 1826PA_x000D_
.anc#:ancestor_x000D_
citiz:US born_x000D_
#spos:2_x000D_
#srcs:3_x000D_
#comment:1_x000D_
#events:14_x000D_
#kids:4_x000D_
lived:VTWINDHBRATTLB,VTWINDHMARLBOR_x000D_
issue:Married before Age 16_x000D_
.recs:Birth,Marriage,Will Written,Death_x000D_
.imm?:no_x000D_
..Spo:PHILENA\PHILINDA PERRY</t>
        </r>
      </text>
    </comment>
    <comment ref="O8090" authorId="0" shapeId="0" xr:uid="{D0F4F06C-6FFE-4775-ABD0-92D236D5897F}">
      <text>
        <r>
          <rPr>
            <sz val="9"/>
            <color indexed="81"/>
            <rFont val="Tahoma"/>
            <family val="2"/>
          </rPr>
          <t>ROBERT MILLER_x000D_
http://yeinfo.com/family/I09005888.html_x000D_
https://www.google.com/search?q=ROBERT+MILLER+1600+1624+ELIZABETH+ETHEL_x000D_
.born:?1600    -         ?England_x000D_
.died: 1624    -1690     ?Massachusetts, age:24y 0m 0d, _x000D_
.bapt: 1785GE_x000D_
.will: 2004MO_x000D_
.obit: 1890OH_x000D_
.bury: 1850IL _x000D_
.wpbt: 1826PA_x000D_
.anc#:double ancestor_x000D_
citiz:immigrant_x000D_
#spos:1_x000D_
#srcs:1_x000D_
#comment:0_x000D_
#events:1_x000D_
#kids:2_x000D_
lived:?EN,?MA_x000D_
issue:_x000D_
.recs:Birth,Marriage,Death_x000D_
.imm?:immigrant_x000D_
..Spo:ELIZABETH ETHEL NICHOLSON</t>
        </r>
      </text>
    </comment>
    <comment ref="N8092" authorId="0" shapeId="0" xr:uid="{D69E9921-77A7-4422-BAD3-853BCD9BBCCC}">
      <text>
        <r>
          <rPr>
            <sz val="9"/>
            <color indexed="81"/>
            <rFont val="Tahoma"/>
            <family val="2"/>
          </rPr>
          <t>THOMAS MILLER_x000D_
http://yeinfo.com/family/I09002944.html_x000D_
https://www.google.com/search?q=THOMAS+MILLER+1624+1675+SARAH_x000D_
.born:c1624    -         ?England_x000D_
.died: 16751005-         ?Springfield (Hampden) Massachusetts, age:51y 9m 4d, _x000D_
.bapt: 1785GE_x000D_
.will: 2004MO_x000D_
.obit: 1890OH_x000D_
.bury: 1850IL _x000D_
.wpbt: 1826PA_x000D_
.anc#:double ancestor_x000D_
citiz:immigrant_x000D_
#spos:1_x000D_
#srcs:7_x000D_
#comment:1_x000D_
#events:2_x000D_
#kids:1_x000D_
lived:?EN,MAHAMPDSPRINGF_x000D_
issue:_x000D_
.recs:Birth,Marriage,Death_x000D_
.imm?:immigrant_x000D_
..Spo:SARAH MARSHFIELD</t>
        </r>
      </text>
    </comment>
    <comment ref="O8094" authorId="0" shapeId="0" xr:uid="{90C7F791-A9E5-418A-B7E1-6C9B0A66EE8B}">
      <text>
        <r>
          <rPr>
            <sz val="9"/>
            <color indexed="81"/>
            <rFont val="Tahoma"/>
            <family val="2"/>
          </rPr>
          <t>ELIZABETH ETHEL NICHOLSON_x000D_
http://yeinfo.com/family/I09005889.html_x000D_
https://www.google.com/search?q=ELIZABETH+ETHEL+NICHOLSON+1600+1624+MILLER_x000D_
.born:?1600    -         ?England_x000D_
.died: 1624    -1690     ?Massachusetts, age:24y 0m 0d, _x000D_
.bapt: 1785GE_x000D_
.will: 2004MO_x000D_
.obit: 1890OH_x000D_
.bury: 1850IL _x000D_
.wpbt: 1826PA_x000D_
.anc#:double ancestor_x000D_
citiz:immigrant_x000D_
#spos:1_x000D_
#srcs:1_x000D_
#comment:0_x000D_
#events:1_x000D_
#kids:2_x000D_
lived:?EN,?MA_x000D_
issue:_x000D_
.recs:Birth,Marriage,Death_x000D_
.imm?:immigrant_x000D_
..Spo:ROBERT MILLER</t>
        </r>
      </text>
    </comment>
    <comment ref="M8096" authorId="0" shapeId="0" xr:uid="{F6679BEE-8D1B-408C-AABE-E7C3269D121B}">
      <text>
        <r>
          <rPr>
            <sz val="9"/>
            <color indexed="81"/>
            <rFont val="Tahoma"/>
            <family val="2"/>
          </rPr>
          <t>SAMUEL MILLER Sr._x000D_
http://yeinfo.com/family/I09001472.html_x000D_
https://www.google.com/search?q=SAMUEL+MILLER+1655+1727+RUTH_x000D_
.born: 16550420-         ?Massachusetts_x000D_
.died: 17270211-         ?Springfield (Hampden) Massachusetts, age:71y 9m 22d, _x000D_
.bapt: 1785GE_x000D_
.will: 2004MO_x000D_
.obit: 1890OH_x000D_
.bury: 1850IL _x000D_
.wpbt: 1826PA_x000D_
.anc#:double ancestor_x000D_
citiz:US born_x000D_
#spos:1_x000D_
#srcs:6_x000D_
#comment:0_x000D_
#events:2_x000D_
#kids:1_x000D_
lived:?MA,MAHAMPDSPRINGF_x000D_
issue:_x000D_
.recs:Birth,Marriage,Death,Freeman_x000D_
.imm?:no_x000D_
..Spo:RUTH BEAMOND</t>
        </r>
      </text>
    </comment>
    <comment ref="O8098" authorId="0" shapeId="0" xr:uid="{66EDE422-D462-4D46-95E7-DBDE0D407FDC}">
      <text>
        <r>
          <rPr>
            <sz val="9"/>
            <color indexed="81"/>
            <rFont val="Tahoma"/>
            <family val="2"/>
          </rPr>
          <t>THOMAS MARSHFIELD_x000D_
http://yeinfo.com/family/I09005890.html_x000D_
https://www.google.com/search?q=THOMAS+MARSHFIELD+1600+1641+MERCY+PRISCILLA_x000D_
.born:?1600    -         ?England_x000D_
.died: 1641    -1690      , age:41y 0m 0d, _x000D_
.bapt: 1785GE_x000D_
.will: 2004MO_x000D_
.obit: 1890OH_x000D_
.bury: 1850IL _x000D_
.wpbt: 1826PA_x000D_
.anc#:double ancestor_x000D_
citiz:US born_x000D_
#spos:1_x000D_
#srcs:6_x000D_
#comment:1_x000D_
#events:4_x000D_
#kids:3_x000D_
lived:?EN,?MA,CTHARTFWINDSOR_x000D_
issue:_x000D_
.recs:Birth,Marriage,Letter Written,Death,Estate_x000D_
.imm?:no_x000D_
..Spo:MERCY PRISCILLA GOODY</t>
        </r>
      </text>
    </comment>
    <comment ref="N8100" authorId="0" shapeId="0" xr:uid="{5D931828-9E6D-4785-8253-B7277925B541}">
      <text>
        <r>
          <rPr>
            <sz val="9"/>
            <color indexed="81"/>
            <rFont val="Tahoma"/>
            <family val="2"/>
          </rPr>
          <t>SARAH MARSHFIELD_x000D_
http://yeinfo.com/family/I09002945.html_x000D_
https://www.google.com/search?q=SARAH+MARSHFIELD+1621+1709+MILLER+Edward_x000D_
.born: 1621    -          Northumberland county England_x000D_
.died: 1709    -          Springfield (Hampden) Massachusetts, age:88y 0m 0d, _x000D_
.bapt: 1785GE_x000D_
.will: 2004MO_x000D_
.obit: 1890OH_x000D_
.bury: 1850IL _x000D_
.wpbt: 1826PA_x000D_
.anc#:double ancestor_x000D_
citiz:immigrant_x000D_
#spos:2_x000D_
#srcs:6_x000D_
#comment:0_x000D_
#events:2_x000D_
#kids:1_x000D_
lived:ENNORTU,MAHAMPDSPRINGF_x000D_
issue:Born before Parents Married,Married before Age 16_x000D_
.recs:Birth,Marriage,Death_x000D_
.imm?:immigrant_x000D_
..Spo:THOMAS MILLER</t>
        </r>
      </text>
    </comment>
    <comment ref="Q8102" authorId="0" shapeId="0" xr:uid="{7D3957E5-2EDB-499B-B540-56A03A4DB73F}">
      <text>
        <r>
          <rPr>
            <sz val="9"/>
            <color indexed="81"/>
            <rFont val="Tahoma"/>
            <family val="2"/>
          </rPr>
          <t>ANDREW GOODY_x000D_
http://yeinfo.com/family/I09023564.html_x000D_
https://www.google.com/search?q=ANDREW+GOODY+1543+1617+JONE_x000D_
.born:c1543    -          Brenchley (Kent) England_x000D_
.died:c1617    -         ?Brenchley (Kent) England, age:74y 0m 0d, _x000D_
.bapt: 1785GE_x000D_
.will: 2004MO_x000D_
.obit: 1890OH_x000D_
.bury: 1850IL _x000D_
.wpbt: 1826PA_x000D_
.anc#:double ancestor_x000D_
citiz:foreign_x000D_
#spos:1_x000D_
#srcs:2_x000D_
#comment:0_x000D_
#events:2_x000D_
#kids:1_x000D_
lived:ENKENT BRENCHL_x000D_
issue:_x000D_
.recs:Birth,Marriage,Death_x000D_
.imm?:no_x000D_
..Spo:JONE DOWKE</t>
        </r>
      </text>
    </comment>
    <comment ref="P8104" authorId="0" shapeId="0" xr:uid="{E9BB74DF-6129-4332-BA37-35E929D0481B}">
      <text>
        <r>
          <rPr>
            <sz val="9"/>
            <color indexed="81"/>
            <rFont val="Tahoma"/>
            <family val="2"/>
          </rPr>
          <t>GEORGE GOODY_x000D_
http://yeinfo.com/family/I09011782.html_x000D_
https://www.google.com/search?q=GEORGE+GOODY+1577+1641+SARAH+CUTTER_x000D_
.born: 15770428-          Ormesby (Norfolk) England_x000D_
.died: 1641    -          Stratford (Fairfield) Connecticut, age:63y 8m 4d, _x000D_
.bapt: 1785GE_x000D_
.will: 2004MO_x000D_
.obit: 1890OH_x000D_
.bury: 1850IL _x000D_
.wpbt: 1826PA_x000D_
.anc#:double ancestor_x000D_
citiz:immigrant_x000D_
#spos:1_x000D_
#srcs:2_x000D_
#comment:0_x000D_
#events:2_x000D_
#kids:1_x000D_
lived:CTFAIRDFAIRFIE,CTFAIRDSTRATFO,ENNORFOORMESBY_x000D_
issue:Died after Age 100_x000D_
.recs:Birth,Marriage,Death_x000D_
.imm?:immigrant_x000D_
..Spo:SARAH CUTTER LOCKE</t>
        </r>
      </text>
    </comment>
    <comment ref="Q8106" authorId="0" shapeId="0" xr:uid="{8EBD288A-83C9-4704-BC0D-30443F1131D3}">
      <text>
        <r>
          <rPr>
            <sz val="9"/>
            <color indexed="81"/>
            <rFont val="Tahoma"/>
            <family val="2"/>
          </rPr>
          <t>JONE DOWKE_x000D_
http://yeinfo.com/family/I09023565.html_x000D_
https://www.google.com/search?q=JONE+DOWKE+1549+1595+GOODY_x000D_
.born:c1549    -          Brenchley (Kent) England_x000D_
.died:c1595    -          Kent county England, age:46y 0m 0d, _x000D_
.bapt: 1785GE_x000D_
.will: 2004MO_x000D_
.obit: 1890OH_x000D_
.bury: 1850IL _x000D_
.wpbt: 1826PA_x000D_
.anc#:double ancestor_x000D_
citiz:foreign_x000D_
#spos:1_x000D_
#srcs:2_x000D_
#comment:0_x000D_
#events:1_x000D_
#kids:1_x000D_
lived:ENKENT BRENCHL_x000D_
issue:_x000D_
.recs:Birth,Marriage,Death_x000D_
.imm?:no_x000D_
..Spo:ANDREW GOODY</t>
        </r>
      </text>
    </comment>
    <comment ref="O8108" authorId="0" shapeId="0" xr:uid="{0B41A026-99E4-4227-987E-63D940429A18}">
      <text>
        <r>
          <rPr>
            <sz val="9"/>
            <color indexed="81"/>
            <rFont val="Tahoma"/>
            <family val="2"/>
          </rPr>
          <t>MERCY PRISCILLA GOODY_x000D_
http://yeinfo.com/family/I09005891.html_x000D_
https://www.google.com/search?q=MERCY+PRISCILLA+GOODY+1604+1654+MARSHFIELD_x000D_
.born: 1604    -          Exeter (Devon) England_x000D_
.died: 16540730-          Springfield (Hampden) Massachusetts, age:50y 6m 29d, _x000D_
.bapt: 1785GE_x000D_
.will: 2004MO_x000D_
.obit: 1890OH_x000D_
.bury: 1850IL _x000D_
.wpbt: 1826PA_x000D_
.anc#:double ancestor_x000D_
citiz:immigrant_x000D_
#spos:1_x000D_
#srcs:6_x000D_
#comment:0_x000D_
#events:1_x000D_
#kids:3_x000D_
lived:ENDEVONEXETER,MAHAMPDSPRINGF_x000D_
issue:_x000D_
.recs:Birth,Marriage,Death_x000D_
.imm?:immigrant_x000D_
..Spo:THOMAS MARSHFIELD</t>
        </r>
      </text>
    </comment>
    <comment ref="S8110" authorId="0" shapeId="0" xr:uid="{23A71237-0851-4E3F-ADBB-A0B3A1E67C27}">
      <text>
        <r>
          <rPr>
            <sz val="9"/>
            <color indexed="81"/>
            <rFont val="Tahoma"/>
            <family val="2"/>
          </rPr>
          <t>THOMAS LOCKE_x000D_
http://yeinfo.com/family/I09065658.html_x000D_
https://www.google.com/search?q=THOMAS+LOCKE+1434+1507+JOAN_x000D_
.born: 1434    -          Wiltshire county England_x000D_
.died: 1507    -          London (Middlesex) England, age:73y 0m 0d, _x000D_
.bapt: 1785GE_x000D_
.will: 2004MO_x000D_
.obit: 1890OH_x000D_
.bury: 1850IL _x000D_
.wpbt: 1826PA_x000D_
.anc#:double ancestor_x000D_
citiz:foreign_x000D_
#spos:1_x000D_
#srcs:2_x000D_
#comment:0_x000D_
#events:1_x000D_
#kids:1_x000D_
lived:ENMIDDLLONDON,ENWILTS_x000D_
issue:_x000D_
.recs:Birth,Marriage,Death_x000D_
.imm?:no_x000D_
..Spo:JOAN WILCOCKS</t>
        </r>
      </text>
    </comment>
    <comment ref="R8112" authorId="0" shapeId="0" xr:uid="{C385DF1C-52AD-435C-9072-DEAF011B24F9}">
      <text>
        <r>
          <rPr>
            <sz val="9"/>
            <color indexed="81"/>
            <rFont val="Tahoma"/>
            <family val="2"/>
          </rPr>
          <t>WILLIAM LOCKE_x000D_
http://yeinfo.com/family/I09047132.html_x000D_
https://www.google.com/search?q=WILLIAM+LOCKE+1480+1550+ELIZABETH+ALICE_x000D_
.born: 14800824-          London (Middlesex) England_x000D_
.died: 15500824-          London (Middlesex) England, age:70y 0m 0d, _x000D_
.bapt: 1785GE_x000D_
.will: 2004MO_x000D_
.obit: 1890OH_x000D_
.bury: 1850IL Mercers Chapel, St.Thomas, Acres Nook_x000D_
.wpbt: 1826PA_x000D_
.anc#:double ancestor_x000D_
citiz:foreign_x000D_
#spos:1_x000D_
#srcs:2_x000D_
#comment:0_x000D_
#events:2_x000D_
#kids:1_x000D_
lived:ENMIDDLLONDON,ENSTAFS_x000D_
issue:_x000D_
.recs:Birth,Marriage,Death,Interment/Burial_x000D_
.imm?:no_x000D_
..Spo:ELIZABETH ALICE SPENCER</t>
        </r>
      </text>
    </comment>
    <comment ref="S8114" authorId="0" shapeId="0" xr:uid="{28DD72D1-1764-4E74-82A0-1BD30EDDAC39}">
      <text>
        <r>
          <rPr>
            <sz val="9"/>
            <color indexed="81"/>
            <rFont val="Tahoma"/>
            <family val="2"/>
          </rPr>
          <t>JOAN WILCOCKS_x000D_
http://yeinfo.com/family/I09065673.html_x000D_
https://www.google.com/search?q=JOAN+WILCOCKS+1440+1512+LOCKE_x000D_
.born: 1440    -         ?England_x000D_
.died: 1512    -          England, age:72y 0m 0d, _x000D_
.bapt: 1785GE_x000D_
.will: 2004MO_x000D_
.obit: 1890OH_x000D_
.bury: 1850IL _x000D_
.wpbt: 1826PA_x000D_
.anc#:double ancestor_x000D_
citiz:foreign_x000D_
#spos:1_x000D_
#srcs:2_x000D_
#comment:0_x000D_
#events:1_x000D_
#kids:1_x000D_
lived:?EN,ENMIDDLLONDON_x000D_
issue:_x000D_
.recs:Birth,Marriage,Death_x000D_
.imm?:no_x000D_
..Spo:THOMAS LOCKE</t>
        </r>
      </text>
    </comment>
    <comment ref="Q8116" authorId="0" shapeId="0" xr:uid="{0C466BEF-7FEC-40B6-A6FC-CE9E3F29E8DA}">
      <text>
        <r>
          <rPr>
            <sz val="9"/>
            <color indexed="81"/>
            <rFont val="Tahoma"/>
            <family val="2"/>
          </rPr>
          <t>MICHAEL WILLIAM LOCKE_x000D_
http://yeinfo.com/family/I09023566.html_x000D_
https://www.google.com/search?q=MICHAEL+WILLIAM+LOCKE+1532+1621+JANE_x000D_
.born: 1532    -          London (Middlesex) England_x000D_
.died: 16210824-          London (Middlesex) England, age:89y 7m 23d, _x000D_
.bapt: 1785GE_x000D_
.will: 2004MO_x000D_
.obit: 1890OH_x000D_
.bury: 1850IL _x000D_
.wpbt: 1826PA_x000D_
.anc#:double ancestor_x000D_
citiz:foreign_x000D_
#spos:1_x000D_
#srcs:2_x000D_
#comment:0_x000D_
#events:1_x000D_
#kids:1_x000D_
lived:ENMIDDLLONDON_x000D_
issue:Born after Parent Died,Died after Age 100_x000D_
.recs:Birth,Marriage,Death_x000D_
.imm?:no_x000D_
..Spo:JANE WILKINSON</t>
        </r>
      </text>
    </comment>
    <comment ref="S8118" authorId="0" shapeId="0" xr:uid="{2D9633C9-8F2B-4B3D-8DDF-1FCCA0CF5C7D}">
      <text>
        <r>
          <rPr>
            <sz val="9"/>
            <color indexed="81"/>
            <rFont val="Tahoma"/>
            <family val="2"/>
          </rPr>
          <t>WILLIAM SPENCER III_x000D_
http://yeinfo.com/family/I09065669.html_x000D_
https://www.google.com/search?q=WILLIAM+SPENCER+1470+1532+AGNES_x000D_
.born: 1470    -          Northamptonshire county England_x000D_
.died: 15320522-          Northamptonshire county England, age:62y 4m 21d, _x000D_
.bapt: 1785GE_x000D_
.will: 2004MO_x000D_
.obit: 1890OH_x000D_
.bury: 1850IL _x000D_
.wpbt: 1826PA_x000D_
.anc#:double ancestor_x000D_
citiz:foreign_x000D_
#spos:1_x000D_
#srcs:2_x000D_
#comment:0_x000D_
#events:1_x000D_
#kids:1_x000D_
lived:ENNORTA,ENWARWEBURTOND_x000D_
issue:_x000D_
.recs:Birth,Marriage,Death_x000D_
.imm?:no_x000D_
..Spo:AGNES HERITAGE</t>
        </r>
      </text>
    </comment>
    <comment ref="R8120" authorId="0" shapeId="0" xr:uid="{2D9EF1B0-484C-499B-82A6-D47EDA9B0CE5}">
      <text>
        <r>
          <rPr>
            <sz val="9"/>
            <color indexed="81"/>
            <rFont val="Tahoma"/>
            <family val="2"/>
          </rPr>
          <t>ELIZABETH ALICE SPENCER_x000D_
http://yeinfo.com/family/I09047133.html_x000D_
https://www.google.com/search?q=ELIZABETH+ALICE+SPENCER+1490+1522+LOCKE_x000D_
.born:?1490    -          London (Middlesex) England_x000D_
.died: 1522    -          London (Middlesex) England, age:32y 0m 0d, _x000D_
.bapt: 1785GE_x000D_
.will: 2004MO_x000D_
.obit: 1890OH_x000D_
.bury: 1850IL _x000D_
.wpbt: 1826PA_x000D_
.anc#:double ancestor_x000D_
citiz:foreign_x000D_
#spos:1_x000D_
#srcs:2_x000D_
#comment:0_x000D_
#events:1_x000D_
#kids:1_x000D_
lived:ENMIDDLLONDON_x000D_
issue:Born before Parents Married_x000D_
.recs:Birth,Marriage,Death_x000D_
.imm?:no_x000D_
..Spo:WILLIAM LOCKE</t>
        </r>
      </text>
    </comment>
    <comment ref="V8122" authorId="0" shapeId="0" xr:uid="{DA97E094-9445-44BB-A3CE-2AD8DDDB9F1F}">
      <text>
        <r>
          <rPr>
            <sz val="9"/>
            <color indexed="81"/>
            <rFont val="Tahoma"/>
            <family val="2"/>
          </rPr>
          <t>JOHN HERITAGE_x000D_
http://yeinfo.com/family/I09066096.html_x000D_
https://www.google.com/search?q=JOHN+HERITAGE+1378+1443+{_?_}_x000D_
.born: 1378    -          Bishops Itchington (Warwickshire) England_x000D_
.died: 1443    -          Bishops Itchington (Warwickshire) England, age:65y 0m 0d, _x000D_
.bapt: 1785GE_x000D_
.will: 2004MO_x000D_
.obit: 1890OH_x000D_
.bury: 1850IL _x000D_
.wpbt: 1826PA_x000D_
.anc#:double ancestor_x000D_
citiz:foreign_x000D_
#spos:1_x000D_
#srcs:2_x000D_
#comment:0_x000D_
#events:1_x000D_
#kids:1_x000D_
lived:ENWARWEBISHITC_x000D_
issue:_x000D_
.recs:Birth,Marriage,Death_x000D_
.imm?:no_x000D_
..Spo:{_?_} HERITAGE</t>
        </r>
      </text>
    </comment>
    <comment ref="U8124" authorId="0" shapeId="0" xr:uid="{3DDA6B07-6B23-4E5A-B860-6B9B3181C1E9}">
      <text>
        <r>
          <rPr>
            <sz val="9"/>
            <color indexed="81"/>
            <rFont val="Tahoma"/>
            <family val="2"/>
          </rPr>
          <t>THOMAS HERITAGE_x000D_
http://yeinfo.com/family/I09065928.html_x000D_
https://www.google.com/search?q=THOMAS+HERITAGE+1400+1482+MARY_x000D_
.born:c1400    -          Burton Dassett (Warwickshire) England_x000D_
.died: 1482    -          Berwick upon Tweed (Northumberland) England, age:82y 0m 0d, _x000D_
.bapt: 1785GE_x000D_
.will: 2004MO_x000D_
.obit: 1890OH_x000D_
.bury: 1850IL _x000D_
.wpbt: 1826PA_x000D_
.anc#:double ancestor_x000D_
citiz:foreign_x000D_
#spos:1_x000D_
#srcs:2_x000D_
#comment:0_x000D_
#events:1_x000D_
#kids:1_x000D_
lived:ENNORTUBERWICT,ENWARWEAVON DA,ENWARWEBURTOND_x000D_
issue:_x000D_
.recs:Birth,Marriage,Death_x000D_
.imm?:no_x000D_
..Spo:MARY TIMMS</t>
        </r>
      </text>
    </comment>
    <comment ref="V8126" authorId="0" shapeId="0" xr:uid="{2676DDB8-6C90-40CD-9167-32DFBBF33DF0}">
      <text>
        <r>
          <rPr>
            <sz val="9"/>
            <color indexed="81"/>
            <rFont val="Tahoma"/>
            <family val="2"/>
          </rPr>
          <t>Mrs. {_?_} HERITAGE_x000D_
http://yeinfo.com/family/I09066095.html_x000D_
https://www.google.com/search?q={_?_}+HERITAGE+1380+1400+HERITAGE_x000D_
.born:?1380    -         ?Bishops Itchington (Warwickshire) England_x000D_
.died: 1400    -1470     ?Bishops Itchington (Warwickshire) England, age:20y 0m 0d, _x000D_
.bapt: 1785GE_x000D_
.will: 2004MO_x000D_
.obit: 1890OH_x000D_
.bury: 1850IL _x000D_
.wpbt: 1826PA_x000D_
.anc#:double ancestor_x000D_
citiz:foreign_x000D_
#spos:1_x000D_
#srcs:2_x000D_
#comment:0_x000D_
#events:1_x000D_
#kids:1_x000D_
lived:?ENWARWEBISHITC_x000D_
issue:_x000D_
.recs:Birth,Marriage,Death_x000D_
.imm?:no_x000D_
..Spo:JOHN HERITAGE</t>
        </r>
      </text>
    </comment>
    <comment ref="T8128" authorId="0" shapeId="0" xr:uid="{9E4ED1FE-C9ED-4EB7-9F88-33400803655B}">
      <text>
        <r>
          <rPr>
            <sz val="9"/>
            <color indexed="81"/>
            <rFont val="Tahoma"/>
            <family val="2"/>
          </rPr>
          <t>THOMAS HERITAGE_x000D_
http://yeinfo.com/family/I09065781.html_x000D_
https://www.google.com/search?q=THOMAS+HERITAGE+1452+1495+DOROTHY_x000D_
.born: 1452    -          Burton Dassett (Warwickshire) England_x000D_
.died: 1495    -          Berwick upon Tweed (Northumberland) England, age:43y 0m 0d, _x000D_
.bapt: 1785GE_x000D_
.will: 2004MO_x000D_
.obit: 1890OH_x000D_
.bury: 1850IL _x000D_
.wpbt: 1826PA_x000D_
.anc#:double ancestor_x000D_
citiz:foreign_x000D_
#spos:1_x000D_
#srcs:2_x000D_
#comment:0_x000D_
#events:1_x000D_
#kids:1_x000D_
lived:ENNORTUBERWICT,ENWARWEBURTOND_x000D_
issue:_x000D_
.recs:Birth,Marriage,Death_x000D_
.imm?:no_x000D_
..Spo:DOROTHY SPENCER</t>
        </r>
      </text>
    </comment>
    <comment ref="U8130" authorId="0" shapeId="0" xr:uid="{F9581E44-B51C-478B-B533-2F3EDC0F0D2C}">
      <text>
        <r>
          <rPr>
            <sz val="9"/>
            <color indexed="81"/>
            <rFont val="Tahoma"/>
            <family val="2"/>
          </rPr>
          <t>MARY TIMMS_x000D_
http://yeinfo.com/family/I09065948.html_x000D_
https://www.google.com/search?q=MARY+TIMMS+1410+1505+HERITAGE_x000D_
.born:c1410    -          Burton Dassett (Warwickshire) England_x000D_
.died: 1505    -          Burton Dassett (Warwickshire) England, age:95y 0m 0d, _x000D_
.bapt: 1785GE_x000D_
.will: 2004MO_x000D_
.obit: 1890OH_x000D_
.bury: 1850IL _x000D_
.wpbt: 1826PA_x000D_
.anc#:double ancestor_x000D_
citiz:foreign_x000D_
#spos:1_x000D_
#srcs:2_x000D_
#comment:0_x000D_
#events:1_x000D_
#kids:1_x000D_
lived:ENWARWEAVON DA,ENWARWEBURTOND_x000D_
issue:_x000D_
.recs:Birth,Marriage,Death_x000D_
.imm?:no_x000D_
..Spo:THOMAS HERITAGE</t>
        </r>
      </text>
    </comment>
    <comment ref="S8132" authorId="0" shapeId="0" xr:uid="{0F255842-4EC1-41C5-BC48-2B874D7CB5FB}">
      <text>
        <r>
          <rPr>
            <sz val="9"/>
            <color indexed="81"/>
            <rFont val="Tahoma"/>
            <family val="2"/>
          </rPr>
          <t>AGNES HERITAGE_x000D_
http://yeinfo.com/family/I09065651.html_x000D_
https://www.google.com/search?q=AGNES+HERITAGE+1478+1510+SPENCER_x000D_
.born: 14780101-          Burton Dassett (Warwickshire) England_x000D_
.died: 1510    -          Kington (Worcestershire) England, age:32y 0m 0d, _x000D_
.bapt: 1785GE_x000D_
.will: 2004MO_x000D_
.obit: 1890OH_x000D_
.bury: 1850IL _x000D_
.wpbt: 1826PA_x000D_
.anc#:double ancestor_x000D_
citiz:foreign_x000D_
#spos:1_x000D_
#srcs:2_x000D_
#comment:0_x000D_
#events:1_x000D_
#kids:1_x000D_
lived:ENWARWEBURTOND,ENWORCSKINGTON_x000D_
issue:_x000D_
.recs:Birth,Marriage,Death_x000D_
.imm?:no_x000D_
..Spo:WILLIAM SPENCER</t>
        </r>
      </text>
    </comment>
    <comment ref="W8134" authorId="0" shapeId="0" xr:uid="{45CE956F-45CE-44B7-B538-A8C62BC8B9D7}">
      <text>
        <r>
          <rPr>
            <sz val="9"/>
            <color indexed="81"/>
            <rFont val="Tahoma"/>
            <family val="2"/>
          </rPr>
          <t>JOHN SPENCER_x000D_
http://yeinfo.com/family/I09066308.html_x000D_
https://www.google.com/search?q=JOHN+SPENCER+1370+1406+JONE_x000D_
.born: 1370    -         ?Bedfordshire county England_x000D_
.died: 1406    -1460     ?Bedfordshire county England, age:36y 0m 0d, _x000D_
.bapt: 1785GE_x000D_
.will: 2004MO_x000D_
.obit: 1890OH_x000D_
.bury: 1850IL _x000D_
.wpbt: 1826PA_x000D_
.anc#:double ancestor_x000D_
citiz:foreign_x000D_
#spos:1_x000D_
#srcs:2_x000D_
#comment:0_x000D_
#events:1_x000D_
#kids:1_x000D_
lived:?ENBEDFO_x000D_
issue:_x000D_
.recs:Birth,Marriage,Death_x000D_
.imm?:no_x000D_
..Spo:JONE SPENCER</t>
        </r>
      </text>
    </comment>
    <comment ref="V8136" authorId="0" shapeId="0" xr:uid="{22078459-1E6C-40CB-83A7-FA452A1B99B7}">
      <text>
        <r>
          <rPr>
            <sz val="9"/>
            <color indexed="81"/>
            <rFont val="Tahoma"/>
            <family val="2"/>
          </rPr>
          <t>ROBERT SPENCER_x000D_
http://yeinfo.com/family/I09066113.html_x000D_
https://www.google.com/search?q=ROBERT+SPENCER+1406+1477+ANNE+FOCKE_x000D_
.born: 1406    -          Colmworth (Bedfordshire) England_x000D_
.died: 1477    -         ?Bedfordshire county England, age:71y 0m 0d, _x000D_
.bapt: 1785GE_x000D_
.will: 2004MO_x000D_
.obit: 1890OH_x000D_
.bury: 1850IL _x000D_
.wpbt: 1826PA_x000D_
.anc#:double ancestor_x000D_
citiz:foreign_x000D_
#spos:1_x000D_
#srcs:2_x000D_
#comment:0_x000D_
#events:1_x000D_
#kids:1_x000D_
lived:ENBEDFOCOLMWOR,ENNORTABADBY_x000D_
issue:_x000D_
.recs:Birth,Marriage,Death_x000D_
.imm?:no_x000D_
..Spo:ANNE FOCKE SMYTHE</t>
        </r>
      </text>
    </comment>
    <comment ref="W8138" authorId="0" shapeId="0" xr:uid="{0EFADF65-01BD-4042-ABDD-626D2B955692}">
      <text>
        <r>
          <rPr>
            <sz val="9"/>
            <color indexed="81"/>
            <rFont val="Tahoma"/>
            <family val="2"/>
          </rPr>
          <t>Mrs. JONE SPENCER_x000D_
http://yeinfo.com/family/I09066307.html_x000D_
https://www.google.com/search?q=JONE+SPENCER+1370+1406+SPENCER_x000D_
.born: 1370    -         ?Bedfordshire county England_x000D_
.died: 1406    -1460     ?Bedfordshire county England, age:36y 0m 0d, _x000D_
.bapt: 1785GE_x000D_
.will: 2004MO_x000D_
.obit: 1890OH_x000D_
.bury: 1850IL _x000D_
.wpbt: 1826PA_x000D_
.anc#:double ancestor_x000D_
citiz:foreign_x000D_
#spos:1_x000D_
#srcs:2_x000D_
#comment:0_x000D_
#events:1_x000D_
#kids:1_x000D_
lived:?ENBEDFO_x000D_
issue:_x000D_
.recs:Birth,Marriage,Death_x000D_
.imm?:no_x000D_
..Spo:JOHN SPENCER</t>
        </r>
      </text>
    </comment>
    <comment ref="U8140" authorId="0" shapeId="0" xr:uid="{8D9E1DCB-AA97-4B89-9C67-55DC13E9C98A}">
      <text>
        <r>
          <rPr>
            <sz val="9"/>
            <color indexed="81"/>
            <rFont val="Tahoma"/>
            <family val="2"/>
          </rPr>
          <t>JOHN SPENCER_x000D_
http://yeinfo.com/family/I09065944.html_x000D_
https://www.google.com/search?q=JOHN+SPENCER+1434+1475+ISABEL_x000D_
.born: 1434    -          Southill (Bedfordshire) England_x000D_
.died:c1475    -          Bedfordshire county England, age:41y 0m 0d, _x000D_
.bapt: 1785GE_x000D_
.will: 2004MO_x000D_
.obit: 1890OH_x000D_
.bury: 1850IL _x000D_
.wpbt: 1826PA_x000D_
.anc#:double ancestor_x000D_
citiz:foreign_x000D_
#spos:1_x000D_
#srcs:2_x000D_
#comment:0_x000D_
#events:1_x000D_
#kids:1_x000D_
lived:ENBEDFOSOUTHIL_x000D_
issue:_x000D_
.recs:Birth,Marriage,Death_x000D_
.imm?:no_x000D_
..Spo:ISABEL LINCOLN</t>
        </r>
      </text>
    </comment>
    <comment ref="X8142" authorId="0" shapeId="0" xr:uid="{D9B91C7D-6633-47D3-8FBF-9CE0831CB043}">
      <text>
        <r>
          <rPr>
            <sz val="9"/>
            <color indexed="81"/>
            <rFont val="Tahoma"/>
            <family val="2"/>
          </rPr>
          <t>JOHN JARVIS SMYTHE_x000D_
http://yeinfo.com/family/I09066477.html_x000D_
https://www.google.com/search?q=JOHN+JARVIS+SMYTHE+1350+1387+ANNE_x000D_
.born: 1350    -          Brierscliffe (Lancashire) England_x000D_
.died: 1387    -1430      Berkeley (Gloucestershire) England, age:37y 0m 0d, _x000D_
.bapt: 1785GE_x000D_
.will: 2004MO_x000D_
.obit: 1890OH_x000D_
.bury: 1850IL _x000D_
.wpbt: 1826PA_x000D_
.anc#:double ancestor_x000D_
citiz:foreign_x000D_
#spos:1_x000D_
#srcs:2_x000D_
#comment:0_x000D_
#events:1_x000D_
#kids:1_x000D_
lived:ENGLOUSBERKELE,ENLANCSBRIERSC,ENNOTTI_x000D_
issue:_x000D_
.recs:Birth,Marriage,Death_x000D_
.imm?:no_x000D_
..Spo:ANNE GARVAYS</t>
        </r>
      </text>
    </comment>
    <comment ref="W8144" authorId="0" shapeId="0" xr:uid="{1DFAF454-1248-41C9-838C-8C134969F551}">
      <text>
        <r>
          <rPr>
            <sz val="9"/>
            <color indexed="81"/>
            <rFont val="Tahoma"/>
            <family val="2"/>
          </rPr>
          <t>JOHN SMYTHE_x000D_
http://yeinfo.com/family/I09066306.html_x000D_
https://www.google.com/search?q=JOHN+SMYTHE+1387+1423+JOAN_x000D_
.born: 1387    -          Lincolnshire county England_x000D_
.died: 1423    -          Gloucestershire county England, age:36y 0m 0d, _x000D_
.bapt: 1785GE_x000D_
.will: 2004MO_x000D_
.obit: 1890OH_x000D_
.bury: 1850IL _x000D_
.wpbt: 1826PA_x000D_
.anc#:double ancestor_x000D_
citiz:foreign_x000D_
#spos:1_x000D_
#srcs:2_x000D_
#comment:0_x000D_
#events:2_x000D_
#kids:1_x000D_
lived:ENGLOUS,ENLINCS,ENNORTACLAY CO,ENNOTTINORWELL_x000D_
issue:_x000D_
.recs:Birth,Marriage,Death_x000D_
.imm?:no_x000D_
..Spo:JOAN BINN</t>
        </r>
      </text>
    </comment>
    <comment ref="X8146" authorId="0" shapeId="0" xr:uid="{309865F7-14A9-4CE6-A0A9-C5FBE10880EB}">
      <text>
        <r>
          <rPr>
            <sz val="9"/>
            <color indexed="81"/>
            <rFont val="Tahoma"/>
            <family val="2"/>
          </rPr>
          <t>ANNE GARVAYS_x000D_
http://yeinfo.com/family/I09066462.html_x000D_
https://www.google.com/search?q=ANNE+GARVAYS+1350+1387+SMYTHE_x000D_
.born: 1350    -          England_x000D_
.died: 1387    -1440      Berkeley (Gloucestershire) England, age:37y 0m 0d, _x000D_
.bapt: 1785GE_x000D_
.will: 2004MO_x000D_
.obit: 1890OH_x000D_
.bury: 1850IL _x000D_
.wpbt: 1826PA_x000D_
.anc#:double ancestor_x000D_
citiz:foreign_x000D_
#spos:1_x000D_
#srcs:2_x000D_
#comment:0_x000D_
#events:2_x000D_
#kids:1_x000D_
lived:ENGLOUSBERKELE,ENNORTADALLING,ENNOTTI_x000D_
issue:_x000D_
.recs:Birth,Marriage,Death_x000D_
.imm?:no_x000D_
..Spo:JOHN JARVIS SMYTHE</t>
        </r>
      </text>
    </comment>
    <comment ref="V8148" authorId="0" shapeId="0" xr:uid="{20761841-CCF2-48A3-8A60-FA369055AE76}">
      <text>
        <r>
          <rPr>
            <sz val="9"/>
            <color indexed="81"/>
            <rFont val="Tahoma"/>
            <family val="2"/>
          </rPr>
          <t>ANNE FOCKE SMYTHE_x000D_
http://yeinfo.com/family/I09066112.html_x000D_
https://www.google.com/search?q=ANNE+FOCKE+SMYTHE+1410+1504+SPENCER_x000D_
.born: 1410    -          Bedfordshire county England_x000D_
.died: 1504    -          Bedfordshire county England, age:94y 0m 0d, _x000D_
.bapt: 1785GE_x000D_
.will: 2004MO_x000D_
.obit: 1890OH_x000D_
.bury: 1850IL _x000D_
.wpbt: 1826PA_x000D_
.anc#:double ancestor_x000D_
citiz:foreign_x000D_
#spos:1_x000D_
#srcs:2_x000D_
#comment:0_x000D_
#events:1_x000D_
#kids:1_x000D_
lived:ENBEDFO,ENNORTABADBY_x000D_
issue:_x000D_
.recs:Birth,Marriage,Death_x000D_
.imm?:no_x000D_
..Spo:ROBERT SPENCER</t>
        </r>
      </text>
    </comment>
    <comment ref="X8150" authorId="0" shapeId="0" xr:uid="{57777552-27C6-4D90-BD37-8EF136873D30}">
      <text>
        <r>
          <rPr>
            <sz val="9"/>
            <color indexed="81"/>
            <rFont val="Tahoma"/>
            <family val="2"/>
          </rPr>
          <t>JOHN BINN_x000D_
http://yeinfo.com/family/I09066443.html_x000D_
https://www.google.com/search?q=JOHN+BINN+1370+1433+JOELEAN_x000D_
.born: 1370    -          Nottinghamshire county England_x000D_
.died: 1433    -          Putney (Surrey) England, age:63y 0m 0d, _x000D_
.bapt: 1785GE_x000D_
.will: 2004MO_x000D_
.obit: 1890OH_x000D_
.bury: 1850IL _x000D_
.wpbt: 1826PA_x000D_
.anc#:double ancestor_x000D_
citiz:foreign_x000D_
#spos:1_x000D_
#srcs:2_x000D_
#comment:0_x000D_
#events:1_x000D_
#kids:1_x000D_
lived:ENNOTTI,ENSURREPUTNEY_x000D_
issue:_x000D_
.recs:Birth,Marriage,Death_x000D_
.imm?:no_x000D_
..Spo:JOELEAN WALTHERS</t>
        </r>
      </text>
    </comment>
    <comment ref="W8152" authorId="0" shapeId="0" xr:uid="{5676C620-A301-4BBF-B990-C41A3641C3D2}">
      <text>
        <r>
          <rPr>
            <sz val="9"/>
            <color indexed="81"/>
            <rFont val="Tahoma"/>
            <family val="2"/>
          </rPr>
          <t>JOAN BINN_x000D_
http://yeinfo.com/family/I09066280.html_x000D_
https://www.google.com/search?q=JOAN+BINN+1390+1421+SMYTHE_x000D_
.born:c1390    -          Tattershall (Lincolnshire) England_x000D_
.died: 14210509-          Norwell (Nottinghamshire) England, age:31y 4m 8d, _x000D_
.bapt: 1785GE_x000D_
.will: 2004MO_x000D_
.obit: 1890OH_x000D_
.bury: 1850IL _x000D_
.wpbt: 1826PA_x000D_
.anc#:double ancestor_x000D_
citiz:foreign_x000D_
#spos:1_x000D_
#srcs:2_x000D_
#comment:0_x000D_
#events:1_x000D_
#kids:1_x000D_
lived:ENLINCSTATTERS,ENNOTTINORWELL_x000D_
issue:_x000D_
.recs:Birth,Marriage,Death_x000D_
.imm?:no_x000D_
..Spo:JOHN SMYTHE</t>
        </r>
      </text>
    </comment>
    <comment ref="X8154" authorId="0" shapeId="0" xr:uid="{8ACFD306-6822-4B22-8D11-B0BD4F3D7BF9}">
      <text>
        <r>
          <rPr>
            <sz val="9"/>
            <color indexed="81"/>
            <rFont val="Tahoma"/>
            <family val="2"/>
          </rPr>
          <t>JOELEAN WALTHERS_x000D_
http://yeinfo.com/family/I09066484.html_x000D_
https://www.google.com/search?q=JOELEAN+WALTHERS+1372+1421+BINN_x000D_
.born: 1372    -          Putney (Surrey) England_x000D_
.died: 14210509-          Utterby (Lincolnshire) England, age:49y 4m 8d, _x000D_
.bapt: 1785GE_x000D_
.will: 2004MO_x000D_
.obit: 1890OH_x000D_
.bury: 1850IL _x000D_
.wpbt: 1826PA_x000D_
.anc#:double ancestor_x000D_
citiz:foreign_x000D_
#spos:1_x000D_
#srcs:2_x000D_
#comment:0_x000D_
#events:1_x000D_
#kids:1_x000D_
lived:ENLINCSUTTERBY,ENSURREPUTNEY_x000D_
issue:_x000D_
.recs:Birth,Marriage,Death_x000D_
.imm?:no_x000D_
..Spo:JOHN BINN</t>
        </r>
      </text>
    </comment>
    <comment ref="T8156" authorId="0" shapeId="0" xr:uid="{2DC75533-8405-417D-90EF-0D5CE03A325D}">
      <text>
        <r>
          <rPr>
            <sz val="9"/>
            <color indexed="81"/>
            <rFont val="Tahoma"/>
            <family val="2"/>
          </rPr>
          <t>DOROTHY SPENCER_x000D_
http://yeinfo.com/family/I09065799.html_x000D_
https://www.google.com/search?q=DOROTHY+SPENCER+1455+1505+HERITAGE_x000D_
.born: 1455    -          Burton Dassett (Warwickshire) England_x000D_
.died: 1505    -          England, age:50y 0m 0d, _x000D_
.bapt: 1785GE_x000D_
.will: 2004MO_x000D_
.obit: 1890OH_x000D_
.bury: 1850IL _x000D_
.wpbt: 1826PA_x000D_
.anc#:double ancestor_x000D_
citiz:foreign_x000D_
#spos:1_x000D_
#srcs:2_x000D_
#comment:0_x000D_
#events:1_x000D_
#kids:1_x000D_
lived:ENWARWEBURTOND_x000D_
issue:Died after Age 100_x000D_
.recs:Birth,Marriage,Death_x000D_
.imm?:no_x000D_
..Spo:THOMAS HERITAGE</t>
        </r>
      </text>
    </comment>
    <comment ref="U8158" authorId="0" shapeId="0" xr:uid="{512024C9-A2C2-4B74-B1D7-12205C6C0B45}">
      <text>
        <r>
          <rPr>
            <sz val="9"/>
            <color indexed="81"/>
            <rFont val="Tahoma"/>
            <family val="2"/>
          </rPr>
          <t>ISABEL LINCOLN_x000D_
http://yeinfo.com/family/I09065930.html_x000D_
https://www.google.com/search?q=ISABEL+LINCOLN+1434+1455+SPENCER_x000D_
.born:c1434    -          Bedfordshire county England_x000D_
.died: 1455    -1524     ?Bedfordshire county England, age:21y 0m 0d, _x000D_
.bapt: 1785GE_x000D_
.will: 2004MO_x000D_
.obit: 1890OH_x000D_
.bury: 1850IL _x000D_
.wpbt: 1826PA_x000D_
.anc#:double ancestor_x000D_
citiz:foreign_x000D_
#spos:1_x000D_
#srcs:2_x000D_
#comment:0_x000D_
#events:1_x000D_
#kids:1_x000D_
lived:ENBEDFO_x000D_
issue:_x000D_
.recs:Birth,Marriage,Death_x000D_
.imm?:no_x000D_
..Spo:JOHN SPENCER</t>
        </r>
      </text>
    </comment>
    <comment ref="P8160" authorId="0" shapeId="0" xr:uid="{AB0588DB-00FE-4F81-8588-1FF44A6D6DDB}">
      <text>
        <r>
          <rPr>
            <sz val="9"/>
            <color indexed="81"/>
            <rFont val="Tahoma"/>
            <family val="2"/>
          </rPr>
          <t>SARAH CUTTER LOCKE_x000D_
http://yeinfo.com/family/I09011783.html_x000D_
https://www.google.com/search?q=SARAH+CUTTER+LOCKE+1574+1625+GOODY_x000D_
.born: 1574    -          Norfolk county England_x000D_
.died: 1625    -          Norfolk county England, age:51y 0m 0d, _x000D_
.bapt: 1785GE_x000D_
.will: 2004MO_x000D_
.obit: 1890OH_x000D_
.bury: 1850IL _x000D_
.wpbt: 1826PA_x000D_
.anc#:double ancestor_x000D_
citiz:foreign_x000D_
#spos:1_x000D_
#srcs:1_x000D_
#comment:0_x000D_
#events:2_x000D_
#kids:1_x000D_
lived:ENNORFOORMESBY_x000D_
issue:Born after Mom Age 50_x000D_
.recs:Birth,Marriage,Death_x000D_
.imm?:no_x000D_
..Spo:GEORGE GOODY</t>
        </r>
      </text>
    </comment>
    <comment ref="R8162" authorId="0" shapeId="0" xr:uid="{DC80C983-2847-44B1-A9EC-E5E111E6C7EC}">
      <text>
        <r>
          <rPr>
            <sz val="9"/>
            <color indexed="81"/>
            <rFont val="Tahoma"/>
            <family val="2"/>
          </rPr>
          <t>WILLIAM WILKINSON_x000D_
http://yeinfo.com/family/I09047134.html_x000D_
https://www.google.com/search?q=WILLIAM+WILKINSON+1481+1530+JANE_x000D_
.born: 1481    -          London (Middlesex) England_x000D_
.died: 1530    -          Surrey county England, age:49y 0m 0d, _x000D_
.bapt: 1785GE_x000D_
.will: 2004MO_x000D_
.obit: 1890OH_x000D_
.bury: 1850IL _x000D_
.wpbt: 1826PA_x000D_
.anc#:double ancestor_x000D_
citiz:foreign_x000D_
#spos:1_x000D_
#srcs:2_x000D_
#comment:0_x000D_
#events:1_x000D_
#kids:1_x000D_
lived:ENMIDDLLONDON,ENSURRE_x000D_
issue:_x000D_
.recs:Birth,Marriage,Death_x000D_
.imm?:no_x000D_
..Spo:JANE MERCER</t>
        </r>
      </text>
    </comment>
    <comment ref="Q8164" authorId="0" shapeId="0" xr:uid="{68D176F1-2580-4CA5-9512-B46A608A2211}">
      <text>
        <r>
          <rPr>
            <sz val="9"/>
            <color indexed="81"/>
            <rFont val="Tahoma"/>
            <family val="2"/>
          </rPr>
          <t>JANE WILKINSON_x000D_
http://yeinfo.com/family/I09023567.html_x000D_
https://www.google.com/search?q=JANE+WILKINSON+1520+1577+LOCKE_x000D_
.born: 1520    -          London (Middlesex) England_x000D_
.died: 15770209-          London (Middlesex) England, age:57y 1m 8d, _x000D_
.bapt: 1785GE_x000D_
.will: 2004MO_x000D_
.obit: 1890OH_x000D_
.bury: 1850IL St. Dunstan-in-the-West_x000D_
.wpbt: 1826PA_x000D_
.anc#:double ancestor_x000D_
citiz:foreign_x000D_
#spos:1_x000D_
#srcs:2_x000D_
#comment:0_x000D_
#events:2_x000D_
#kids:1_x000D_
lived:ENMIDDLLONDON_x000D_
issue:Died after Age 100_x000D_
.recs:Birth,Marriage,Death,Interment/Burial_x000D_
.imm?:no_x000D_
..Spo:MICHAEL WILLIAM LOCKE</t>
        </r>
      </text>
    </comment>
    <comment ref="R8166" authorId="0" shapeId="0" xr:uid="{7E3BE456-8EC7-49EC-A06A-F85BB9C8EE71}">
      <text>
        <r>
          <rPr>
            <sz val="9"/>
            <color indexed="81"/>
            <rFont val="Tahoma"/>
            <family val="2"/>
          </rPr>
          <t>JANE MERCER_x000D_
http://yeinfo.com/family/I09047135.html_x000D_
https://www.google.com/search?q=JANE+MERCER+1505+1539+WILKINSON_x000D_
.born: 1505    -          London (Middlesex) England_x000D_
.died:c1539    -          London (Middlesex) England, age:34y 0m 0d, _x000D_
.bapt: 1785GE_x000D_
.will: 2004MO_x000D_
.obit: 1890OH_x000D_
.bury: 1850IL _x000D_
.wpbt: 1826PA_x000D_
.anc#:double ancestor_x000D_
citiz:foreign_x000D_
#spos:1_x000D_
#srcs:2_x000D_
#comment:0_x000D_
#events:1_x000D_
#kids:1_x000D_
lived:ENMIDDLLONDON_x000D_
issue:Died after Age 100_x000D_
.recs:Birth,Marriage,Death_x000D_
.imm?:no_x000D_
..Spo:WILLIAM WILKINSON</t>
        </r>
      </text>
    </comment>
    <comment ref="L8168" authorId="0" shapeId="0" xr:uid="{DC11066A-1A93-448C-9857-2BC82374C422}">
      <text>
        <r>
          <rPr>
            <sz val="9"/>
            <color indexed="81"/>
            <rFont val="Tahoma"/>
            <family val="2"/>
          </rPr>
          <t>THOMAS MILLER Jr._x000D_
http://yeinfo.com/family/I09000736.html_x000D_
https://www.google.com/search?q=THOMAS+MILLER+1693+1759+SARAH+MARY_x000D_
.born: 1693    -         ?Massachusetts_x000D_
.died: 1759    -         ?Massachusetts, age:66y 0m 0d, _x000D_
.bapt: 1785GE_x000D_
.will: 2004MO_x000D_
.obit: 1890OH_x000D_
.bury: 1850IL _x000D_
.wpbt: 1826PA_x000D_
.anc#:double ancestor_x000D_
citiz:US born_x000D_
#spos:1_x000D_
#srcs:2_x000D_
#comment:1_x000D_
#events:2_x000D_
#kids:1_x000D_
lived:?MA,MAHAMPDSPRINGF_x000D_
issue:_x000D_
.recs:Birth,Marriage Intention/Bonds,Death_x000D_
.imm?:no_x000D_
..Spo:SARAH MARY MEEKINS</t>
        </r>
      </text>
    </comment>
    <comment ref="Q8170" authorId="0" shapeId="0" xr:uid="{DF2F4D79-AAC7-4B9A-93DF-ADB44814068D}">
      <text>
        <r>
          <rPr>
            <sz val="9"/>
            <color indexed="81"/>
            <rFont val="Tahoma"/>
            <family val="2"/>
          </rPr>
          <t>JOHN BEAMOND II_x000D_
http://yeinfo.com/family/I09023568.html_x000D_
https://www.google.com/search?q=JOHN+BEAMOND+1520+1584+MARGARET_x000D_
.born: 1520    -          Quatt Malvern (Shropshire) England_x000D_
.died: 15840409-          Quatt Malvern (Shropshire) England, age:64y 3m 8d, _x000D_
.bapt: 1785GE_x000D_
.will: 2004MO_x000D_
.obit: 1890OH_x000D_
.bury: 1850IL _x000D_
.wpbt: 1826PA_x000D_
.anc#:double ancestor_x000D_
citiz:foreign_x000D_
#spos:1_x000D_
#srcs:1_x000D_
#comment:0_x000D_
#events:1_x000D_
#kids:1_x000D_
lived:ENSHROPQUATT M_x000D_
issue:_x000D_
.recs:Birth,Marriage,Death_x000D_
.imm?:no_x000D_
..Spo:MARGARET WHITE</t>
        </r>
      </text>
    </comment>
    <comment ref="P8172" authorId="0" shapeId="0" xr:uid="{DAF27B59-5E9E-4B10-BFDA-2C812D9E31FB}">
      <text>
        <r>
          <rPr>
            <sz val="9"/>
            <color indexed="81"/>
            <rFont val="Tahoma"/>
            <family val="2"/>
          </rPr>
          <t>WILLIAM BEAMOND_x000D_
http://yeinfo.com/family/I09011784.html_x000D_
https://www.google.com/search?q=WILLIAM+BEAMOND+1550+1589+ISABEL_x000D_
.born: 1550    -          Quatt Malvern (Shropshire) England_x000D_
.died: 15890702-         ?Shropshire county England, age:39y 6m 1d, _x000D_
.bapt: 1785GE_x000D_
.will: 2004MO_x000D_
.obit: 1890OH_x000D_
.bury: 1850IL _x000D_
.wpbt: 1826PA_x000D_
.anc#:double ancestor_x000D_
citiz:foreign_x000D_
#spos:1_x000D_
#srcs:3_x000D_
#comment:0_x000D_
#events:1_x000D_
#kids:1_x000D_
lived:ENSHROPQUATT M_x000D_
issue:_x000D_
.recs:Birth,Marriage,Death_x000D_
.imm?:no_x000D_
..Spo:ISABEL WILINGTON</t>
        </r>
      </text>
    </comment>
    <comment ref="Q8174" authorId="0" shapeId="0" xr:uid="{6908F9A1-205B-4487-9A21-4A40B5F4981D}">
      <text>
        <r>
          <rPr>
            <sz val="9"/>
            <color indexed="81"/>
            <rFont val="Tahoma"/>
            <family val="2"/>
          </rPr>
          <t>MARGARET WHITE_x000D_
http://yeinfo.com/family/I09023569.html_x000D_
https://www.google.com/search?q=MARGARET+WHITE+1524+1550+BEAMOND_x000D_
.born: 1524    -          Quatt Malvern (Shropshire) England_x000D_
.died: 1550    -1614     ?Shropshire county England, age:26y 0m 0d, _x000D_
.bapt: 1785GE_x000D_
.will: 2004MO_x000D_
.obit: 1890OH_x000D_
.bury: 1850IL _x000D_
.wpbt: 1826PA_x000D_
.anc#:double ancestor_x000D_
citiz:foreign_x000D_
#spos:1_x000D_
#srcs:1_x000D_
#comment:0_x000D_
#events:1_x000D_
#kids:1_x000D_
lived:ENSHROPQUATT M_x000D_
issue:_x000D_
.recs:Birth,Marriage,Death_x000D_
.imm?:no_x000D_
..Spo:JOHN BEAMOND</t>
        </r>
      </text>
    </comment>
    <comment ref="O8176" authorId="0" shapeId="0" xr:uid="{26324F95-940E-4DF3-8DEB-B231479D8005}">
      <text>
        <r>
          <rPr>
            <sz val="9"/>
            <color indexed="81"/>
            <rFont val="Tahoma"/>
            <family val="2"/>
          </rPr>
          <t>ADAM BEAMOND_x000D_
http://yeinfo.com/family/I09005892.html_x000D_
https://www.google.com/search?q=ADAM+BEAMOND+1570+1656+HELENA_x000D_
.born: 1570    -          Biddulph (Staffordshire) England_x000D_
.died: 1656    -          Staffordshire county England, age:86y 0m 0d, _x000D_
.bapt: 1785GE_x000D_
.will: 2004MO_x000D_
.obit: 1890OH_x000D_
.bury: 1850IL St.Mary Magadalene Churchyard_x000D_
.wpbt: 1826PA_x000D_
.anc#:double ancestor_x000D_
citiz:foreign_x000D_
#spos:1_x000D_
#srcs:2_x000D_
#comment:1_x000D_
#events:3_x000D_
#kids:1_x000D_
lived:ENSHROPQUATFOR,ENSTAFSBIDDULP_x000D_
issue:_x000D_
.recs:Birth,Military,Marriage,Death,Interment/Burial_x000D_
.imm?:no_x000D_
..Spo:HELENA KNIGHTSFORD</t>
        </r>
      </text>
    </comment>
    <comment ref="P8178" authorId="0" shapeId="0" xr:uid="{4BE68EFF-D335-46BD-92BE-72CBD889E00B}">
      <text>
        <r>
          <rPr>
            <sz val="9"/>
            <color indexed="81"/>
            <rFont val="Tahoma"/>
            <family val="2"/>
          </rPr>
          <t>ISABEL WILINGTON_x000D_
http://yeinfo.com/family/I09011785.html_x000D_
https://www.google.com/search?q=ISABEL+WILINGTON+1550+1570+BEAMOND_x000D_
.born:?1550    -          England_x000D_
.died: 1570    -1640      Quatt Malvern (Shropshire) England, age:20y 0m 0d, _x000D_
.bapt: 1785GE_x000D_
.will: 2004MO_x000D_
.obit: 1890OH_x000D_
.bury: 1850IL _x000D_
.wpbt: 1826PA_x000D_
.anc#:double ancestor_x000D_
citiz:foreign_x000D_
#spos:1_x000D_
#srcs:1_x000D_
#comment:0_x000D_
#events:1_x000D_
#kids:1_x000D_
lived:ENSHROPQUATT M_x000D_
issue:_x000D_
.recs:Birth,Marriage,Death_x000D_
.imm?:no_x000D_
..Spo:WILLIAM BEAMOND</t>
        </r>
      </text>
    </comment>
    <comment ref="N8180" authorId="0" shapeId="0" xr:uid="{A44EF333-E0AA-40CC-97DC-28C4B8B5E241}">
      <text>
        <r>
          <rPr>
            <sz val="9"/>
            <color indexed="81"/>
            <rFont val="Tahoma"/>
            <family val="2"/>
          </rPr>
          <t>SIMON BEAMOND_x000D_
http://yeinfo.com/family/I09002946.html_x000D_
https://www.google.com/search?q=SIMON+BEAMOND+1627+1676+ALICE_x000D_
.born:c1627    -          Shropshire county England_x000D_
.died: 16760926-          Springfield (Hampden) Massachusetts, age:49y 8m 25d, _x000D_
.bapt: 1785GE_x000D_
.will: 2004MO_x000D_
.obit: 1890OH_x000D_
.bury: 1850IL Springfield Cemetery plot 2-97_x000D_
.wpbt: 1826PA_x000D_
.anc#:double ancestor_x000D_
citiz:immigrant_x000D_
#spos:1_x000D_
#srcs:3_x000D_
#comment:0_x000D_
#events:2_x000D_
#kids:13_x000D_
lived:ENSHROP,MAHAMPDSPRINGF_x000D_
issue:Born after Mom Age 50_x000D_
.recs:Birth,Marriage,Death,Interment/Burial_x000D_
.imm?:immigrant_x000D_
..Spo:ALICE YOUNG</t>
        </r>
      </text>
    </comment>
    <comment ref="O8182" authorId="0" shapeId="0" xr:uid="{6819C0A2-F958-4610-8B04-A7FCC6F44042}">
      <text>
        <r>
          <rPr>
            <sz val="9"/>
            <color indexed="81"/>
            <rFont val="Tahoma"/>
            <family val="2"/>
          </rPr>
          <t>HELENA KNIGHTSFORD_x000D_
http://yeinfo.com/family/I09005893.html_x000D_
https://www.google.com/search?q=HELENA+KNIGHTSFORD+1575+1629+BEAMOND_x000D_
.born: 15750101-          Biddulph (Staffordshire) England_x000D_
.died: 1629    -          Biddulph (Staffordshire) England, age:54y 0m 0d, _x000D_
.bapt: 1785GE_x000D_
.will: 2004MO_x000D_
.obit: 1890OH_x000D_
.bury: 1850IL _x000D_
.wpbt: 1826PA_x000D_
.anc#:double ancestor_x000D_
citiz:foreign_x000D_
#spos:1_x000D_
#srcs:2_x000D_
#comment:0_x000D_
#events:1_x000D_
#kids:1_x000D_
lived:ENSTAFSBIDDULP_x000D_
issue:_x000D_
.recs:Birth,Marriage,Death_x000D_
.imm?:no_x000D_
..Spo:ADAM BEAMOND</t>
        </r>
      </text>
    </comment>
    <comment ref="M8184" authorId="0" shapeId="0" xr:uid="{A9131927-1120-4B92-80D1-BCAC520F4558}">
      <text>
        <r>
          <rPr>
            <sz val="9"/>
            <color indexed="81"/>
            <rFont val="Tahoma"/>
            <family val="2"/>
          </rPr>
          <t>RUTH BEAMOND_x000D_
http://yeinfo.com/family/I09001473.html_x000D_
https://www.google.com/search?q=RUTH+BEAMOND+1660+1704+MILLER_x000D_
.born:a16601230-          Springfield (Hampden) Massachusetts_x000D_
.died: 17040508-          Springfield (Hampden) Massachusetts, age:43y 4m 8d, _x000D_
.bapt: 1785GE_x000D_
.will: 2004MO_x000D_
.obit: 1890OH_x000D_
.bury: 1850IL _x000D_
.wpbt: 1826PA_x000D_
.anc#:double ancestor_x000D_
citiz:US born_x000D_
#spos:1_x000D_
#srcs:14_x000D_
#comment:0_x000D_
#events:1_x000D_
#kids:1_x000D_
lived:MAHAMPDSPRINGF_x000D_
issue:_x000D_
.recs:Birth,Marriage,Death_x000D_
.imm?:no_x000D_
..Spo:SAMUEL MILLER</t>
        </r>
      </text>
    </comment>
    <comment ref="O8186" authorId="0" shapeId="0" xr:uid="{789FA3FE-848A-4906-8AF9-D5718771CF98}">
      <text>
        <r>
          <rPr>
            <sz val="9"/>
            <color indexed="81"/>
            <rFont val="Tahoma"/>
            <family val="2"/>
          </rPr>
          <t>JOHN YOUNG_x000D_
http://yeinfo.com/family/I09005894.html_x000D_
https://www.google.com/search?q=JOHN+YOUNG+1600+1661+ALICE_x000D_
.born:c1600    -          England_x000D_
.died: 16610407-          Stratford (Fairfield) Connecticut, age:61y 3m 6d, _x000D_
.bapt: 1785GE_x000D_
.will: 2004MO_x000D_
.obit: 1890OH_x000D_
.bury: 1850IL _x000D_
.wpbt: 1826PA_x000D_
.anc#:double ancestor_x000D_
citiz:immigrant_x000D_
#spos:1_x000D_
#srcs:2_x000D_
#comment:0_x000D_
#events:1_x000D_
#kids:1_x000D_
lived:CTFAIRDSTRATFO,EN_x000D_
issue:_x000D_
.recs:Birth,Marriage,Death_x000D_
.imm?:immigrant_x000D_
..Spo:ALICE YOUNG</t>
        </r>
      </text>
    </comment>
    <comment ref="N8188" authorId="0" shapeId="0" xr:uid="{625E6A3C-BE21-49C1-811A-5B8D323841C9}">
      <text>
        <r>
          <rPr>
            <sz val="9"/>
            <color indexed="81"/>
            <rFont val="Tahoma"/>
            <family val="2"/>
          </rPr>
          <t>ALICE YOUNG_x000D_
http://yeinfo.com/family/I09002947.html_x000D_
https://www.google.com/search?q=ALICE+YOUNG+1634+1708+BEAMOND_x000D_
.born:c1634    -         ?Connecticut_x000D_
.died: 17081005-          Springfield (Hampden) Massachusetts, age:74y 9m 4d, _x000D_
.bapt: 1785GE_x000D_
.will: 2004MO_x000D_
.obit: 1890OH_x000D_
.bury: 1850IL Springfield Cemetery plot 2-97_x000D_
.wpbt: 1826PA_x000D_
.anc#:double ancestor_x000D_
citiz:US born_x000D_
#spos:1_x000D_
#srcs:3_x000D_
#comment:1_x000D_
#events:2_x000D_
#kids:13_x000D_
lived:?CT,MAHAMPDSPRINGF_x000D_
issue:Born before Parents Married_x000D_
.recs:Birth,Marriage,Death,Interment/Burial_x000D_
.imm?:no_x000D_
..Spo:SIMON BEAMOND</t>
        </r>
      </text>
    </comment>
    <comment ref="O8190" authorId="0" shapeId="0" xr:uid="{E3AD9DA8-823A-4380-A0A4-29E515E4F581}">
      <text>
        <r>
          <rPr>
            <sz val="9"/>
            <color indexed="81"/>
            <rFont val="Tahoma"/>
            <family val="2"/>
          </rPr>
          <t>Mrs. ALICE YOUNG_x000D_
http://yeinfo.com/family/I09005895.html_x000D_
https://www.google.com/search?q=ALICE+YOUNG+1600+1647+YOUNG_x000D_
.born: 1600    -          England_x000D_
.died: 16470526-          Hartford (Hartford) Connecticut, age:47y 4m 25d, _x000D_
.bapt: 1785GE_x000D_
.will: 2004MO_x000D_
.obit: 1890OH_x000D_
.bury: 1850IL _x000D_
.wpbt: 1826PA_x000D_
.anc#:double ancestor_x000D_
citiz:immigrant_x000D_
#spos:1_x000D_
#srcs:2_x000D_
#comment:0_x000D_
#events:1_x000D_
#kids:1_x000D_
lived:CTHARTFHARTFOR,EN_x000D_
issue:_x000D_
.recs:Birth,Marriage,Death_x000D_
.imm?:immigrant_x000D_
..Spo:JOHN YOUNG</t>
        </r>
      </text>
    </comment>
    <comment ref="K8192" authorId="0" shapeId="0" xr:uid="{33032822-0732-4DD1-AA63-56A413FD4E8E}">
      <text>
        <r>
          <rPr>
            <sz val="9"/>
            <color indexed="81"/>
            <rFont val="Tahoma"/>
            <family val="2"/>
          </rPr>
          <t>DAVID MILLER Sr._x000D_
http://yeinfo.com/family/I09000368.html_x000D_
https://www.google.com/search?q=DAVID+MILLER+1736+1808+ANNAH+MIXER_x000D_
.born: 1736    -         ?West Springfield (Hampden) Massachusetts_x000D_
.died: 18080507-         ?Marlborough (Windham) Vermont, age:72y 4m 6d, _x000D_
.bapt: 1785GE_x000D_
.will: 2004MO_x000D_
.obit: 1890OH_x000D_
.bury: 1850IL Marlboro Center Cemetery_x000D_
.wpbt: 1826PA_x000D_
.anc#:double ancestor_x000D_
citiz:US born_x000D_
#spos:2_x000D_
#srcs:1_x000D_
#comment:2_x000D_
#events:7_x000D_
#kids:7_x000D_
lived:?MAHAMPDW.SPRIN,VTWINDHMARLBOR_x000D_
issue:Married before Age 16_x000D_
.recs:Birth,Baptism,Marriage,Death,Interment/Burial_x000D_
.imm?:no_x000D_
..Spo:ANNAH MILLER</t>
        </r>
      </text>
    </comment>
    <comment ref="Q8194" authorId="0" shapeId="0" xr:uid="{B81A6908-84A1-4260-BFBB-E073873913A4}">
      <text>
        <r>
          <rPr>
            <sz val="9"/>
            <color indexed="81"/>
            <rFont val="Tahoma"/>
            <family val="2"/>
          </rPr>
          <t>THOMAS MEEKINS_x000D_
http://yeinfo.com/family/I09023584.html_x000D_
https://www.google.com/search?q=THOMAS+MEEKINS+1550+1646+HELLEN_x000D_
.born: 1550    -          England_x000D_
.died: 16460504-          Northamptonshire county England, age:96y 4m 3d, _x000D_
.bapt: 1785GE_x000D_
.will: 2004MO_x000D_
.obit: 1890OH_x000D_
.bury: 1850IL _x000D_
.wpbt: 1826PA_x000D_
.anc#:  quadruple ancestor_x000D_
citiz:foreign_x000D_
#spos:1_x000D_
#srcs:10_x000D_
#comment:1_x000D_
#events:1_x000D_
#kids:1_x000D_
lived:ENNORTA_x000D_
issue:_x000D_
.recs:Birth,Marriage,Death_x000D_
.imm?:no_x000D_
..Spo:HELLEN GREENE</t>
        </r>
      </text>
    </comment>
    <comment ref="P8196" authorId="0" shapeId="0" xr:uid="{8EB9CB2B-A300-41E9-A487-406A6592A600}">
      <text>
        <r>
          <rPr>
            <sz val="9"/>
            <color indexed="81"/>
            <rFont val="Tahoma"/>
            <family val="2"/>
          </rPr>
          <t>THOMAS MEEKINS_x000D_
http://yeinfo.com/family/I09011792.html_x000D_
https://www.google.com/search?q=THOMAS+MEEKINS+1585+1656+KATHERINE_x000D_
.born:c1585    -          Achurch (Northamptonshire) England_x000D_
.died:c1656    -          Boston (Suffolk) Massachusetts, age:71y 0m 0d, _x000D_
.bapt: 1785GE_x000D_
.will: 2004MO_x000D_
.obit: 1890OH_x000D_
.bury: 1850IL _x000D_
.wpbt: 1826PA_x000D_
.anc#:  quadruple ancestor_x000D_
citiz:immigrant_x000D_
#spos:1_x000D_
#srcs:10_x000D_
#comment:0_x000D_
#events:1_x000D_
#kids:1_x000D_
lived:ENNORTAACHURCH,MASUFFOBOSTON_x000D_
issue:_x000D_
.recs:Birth,Marriage,Death_x000D_
.imm?:immigrant_x000D_
..Spo:KATHERINE GREENE</t>
        </r>
      </text>
    </comment>
    <comment ref="Q8198" authorId="0" shapeId="0" xr:uid="{841D9308-E5FA-4755-B62F-AB377BE59351}">
      <text>
        <r>
          <rPr>
            <sz val="9"/>
            <color indexed="81"/>
            <rFont val="Tahoma"/>
            <family val="2"/>
          </rPr>
          <t>HELLEN GREENE_x000D_
http://yeinfo.com/family/I09023585.html_x000D_
https://www.google.com/search?q=HELLEN+GREENE+1553+1636+MEEKINS_x000D_
.born: 1553    -         ?England_x000D_
.died: 1636    -         ?Suffolk county Massachusetts, age:83y 0m 0d, _x000D_
.bapt: 1785GE_x000D_
.will: 2004MO_x000D_
.obit: 1890OH_x000D_
.bury: 1850IL _x000D_
.wpbt: 1826PA_x000D_
.anc#:  quadruple ancestor_x000D_
citiz:immigrant_x000D_
#spos:1_x000D_
#srcs:10_x000D_
#comment:0_x000D_
#events:1_x000D_
#kids:1_x000D_
lived:?EN,?MASUFFO_x000D_
issue:_x000D_
.recs:Birth,Marriage,Death_x000D_
.imm?:immigrant_x000D_
..Spo:THOMAS MEEKINS</t>
        </r>
      </text>
    </comment>
    <comment ref="O8200" authorId="0" shapeId="0" xr:uid="{2E09DD19-8425-4AA2-9EC2-B6737140E939}">
      <text>
        <r>
          <rPr>
            <sz val="9"/>
            <color indexed="81"/>
            <rFont val="Tahoma"/>
            <family val="2"/>
          </rPr>
          <t>THOMAS MEEKINS_x000D_
http://yeinfo.com/family/I09005896.html_x000D_
https://www.google.com/search?q=THOMAS+MEEKINS+1609+1687+SARAH+CATHERINE_x000D_
.born:c1609    -          Achurch (Northamptonshire) England_x000D_
.died: 16871210-          Hatfield (Hampshire) Massachusetts, age:78y 11m 9d, _x000D_
.bapt: 1785GE_x000D_
.will: 2004MO_x000D_
.obit: 1890OH_x000D_
.bury: 1850IL _x000D_
.wpbt: 1826PA_x000D_
.anc#:  quadruple ancestor_x000D_
citiz:immigrant_x000D_
#spos:1_x000D_
#srcs:10_x000D_
#comment:0_x000D_
#events:1_x000D_
#kids:2_x000D_
lived:?CTHARTF,ENNORTAACHURCH,MAHAMPSHATFIEL_x000D_
issue:_x000D_
.recs:Birth,Marriage,Death_x000D_
.imm?:immigrant_x000D_
..Spo:SARAH CATHERINE BEARDSLEY</t>
        </r>
      </text>
    </comment>
    <comment ref="P8202" authorId="0" shapeId="0" xr:uid="{5A8BF16D-E623-4A99-9F50-E0F0D2A58281}">
      <text>
        <r>
          <rPr>
            <sz val="9"/>
            <color indexed="81"/>
            <rFont val="Tahoma"/>
            <family val="2"/>
          </rPr>
          <t>KATHERINE GREENE_x000D_
http://yeinfo.com/family/I09011793.html_x000D_
https://www.google.com/search?q=KATHERINE+GREENE+1584+1651+MEEKINS_x000D_
.born: 1584    -          Achurch (Northamptonshire) England_x000D_
.died: 16510203-          Roxbury (Suffolk) Massachusetts, age:67y 1m 2d, _x000D_
.bapt: 1785GE_x000D_
.will: 2004MO_x000D_
.obit: 1890OH_x000D_
.bury: 1850IL _x000D_
.wpbt: 1826PA_x000D_
.anc#:  quadruple ancestor_x000D_
citiz:immigrant_x000D_
#spos:1_x000D_
#srcs:10_x000D_
#comment:1_x000D_
#events:1_x000D_
#kids:1_x000D_
lived:ENNORTAACHURCH,MASUFFOROXBURY_x000D_
issue:_x000D_
.recs:Birth,Marriage,Death_x000D_
.imm?:immigrant_x000D_
..Spo:THOMAS MEEKINS</t>
        </r>
      </text>
    </comment>
    <comment ref="N8204" authorId="0" shapeId="0" xr:uid="{90BB1743-3A8E-414D-91B4-DC40ABA7993D}">
      <text>
        <r>
          <rPr>
            <sz val="9"/>
            <color indexed="81"/>
            <rFont val="Tahoma"/>
            <family val="2"/>
          </rPr>
          <t>THOMAS MEEKINGS_x000D_
http://yeinfo.com/family/I09002948.html_x000D_
https://www.google.com/search?q=THOMAS+MEEKINGS+1643+1675+MARY+MEEKINS_x000D_
.born: 16430608-          Braintree (Norfolk) Massachusetts_x000D_
.died: 16751019-          Hatfield (Hampshire) Massachusetts, age:32y 4m 11d, _x000D_
.bapt: 1785GE_x000D_
.will: 2004MO_x000D_
.obit: 1890OH_x000D_
.bury: 1850IL _x000D_
.wpbt: 1826PA_x000D_
.anc#:double ancestor_x000D_
citiz:US born_x000D_
#spos:2_x000D_
#srcs:10_x000D_
#comment:0_x000D_
#events:2_x000D_
#kids:1_x000D_
lived:MAHAMPSHATFIEL,MANORFOBRAINTR_x000D_
issue:_x000D_
.recs:Birth,Marriage,Death_x000D_
.imm?:no_x000D_
..Spo:MARY BUNCE</t>
        </r>
      </text>
    </comment>
    <comment ref="O8206" authorId="0" shapeId="0" xr:uid="{106AF9EB-3919-4540-AD13-BFF7022370DD}">
      <text>
        <r>
          <rPr>
            <sz val="9"/>
            <color indexed="81"/>
            <rFont val="Tahoma"/>
            <family val="2"/>
          </rPr>
          <t>SARAH CATHERINE BEARDSLEY_x000D_
http://yeinfo.com/family/I09005897.html_x000D_
https://www.google.com/search?q=SARAH+CATHERINE+BEARDSLEY+1613+1651+MEEKINS_x000D_
.born:a16130606-          England_x000D_
.died: 16510121-          Roxbury (Suffolk) Massachusetts, age:37y 7m 15d, _x000D_
.bapt: 1785GE_x000D_
.will: 2004MO_x000D_
.obit: 1890OH_x000D_
.bury: 1850IL _x000D_
.wpbt: 1826PA_x000D_
.anc#:  quadruple ancestor_x000D_
citiz:immigrant_x000D_
#spos:1_x000D_
#srcs:10_x000D_
#comment:1_x000D_
#events:1_x000D_
#kids:2_x000D_
lived:?CTHARTF,EN,MASUFFOROXBURY_x000D_
issue:_x000D_
.recs:Birth,Marriage,Death_x000D_
.imm?:immigrant_x000D_
..Spo:THOMAS MEEKINS</t>
        </r>
      </text>
    </comment>
    <comment ref="M8208" authorId="0" shapeId="0" xr:uid="{1E54E323-199A-40C4-8910-AB8F677D9353}">
      <text>
        <r>
          <rPr>
            <sz val="9"/>
            <color indexed="81"/>
            <rFont val="Tahoma"/>
            <family val="2"/>
          </rPr>
          <t>JOHN MEEKINGS_x000D_
http://yeinfo.com/family/I09001474.html_x000D_
https://www.google.com/search?q=JOHN+MEEKINGS+1672+1754+RUTH_x000D_
.born: 16720112-         ?Massachusetts_x000D_
.died: 1754    -         ?Massachusetts, age:81y 11m 20d, _x000D_
.bapt: 1785GE_x000D_
.will: 2004MO_x000D_
.obit: 1890OH_x000D_
.bury: 1850IL _x000D_
.wpbt: 1826PA_x000D_
.anc#:double ancestor_x000D_
citiz:US born_x000D_
#spos:1_x000D_
#srcs:10_x000D_
#comment:0_x000D_
#events:1_x000D_
#kids:1_x000D_
lived:?MA_x000D_
issue:_x000D_
.recs:Birth,Marriage,Death_x000D_
.imm?:no_x000D_
..Spo:RUTH BELKNAP</t>
        </r>
      </text>
    </comment>
    <comment ref="O8210" authorId="0" shapeId="0" xr:uid="{8A1D6265-B2B1-4727-84EC-D3902B5D780E}">
      <text>
        <r>
          <rPr>
            <sz val="9"/>
            <color indexed="81"/>
            <rFont val="Tahoma"/>
            <family val="2"/>
          </rPr>
          <t>THOMAS BUNCE_x000D_
http://yeinfo.com/family/I09005898.html_x000D_
https://www.google.com/search?q=THOMAS+BUNCE+1612+1683+SARAH_x000D_
.born: 1612    -          Westhorpe (Suffolk) England_x000D_
.died: 168308  -          Hartford (Hartford) Connecticut, age:71y 7m 0d, _x000D_
.bapt: 1785GE_x000D_
.will: 2004MO_x000D_
.obit: 1890OH_x000D_
.bury: 1850IL _x000D_
.wpbt: 1826PA_x000D_
.anc#:double ancestor_x000D_
citiz:immigrant_x000D_
#spos:1_x000D_
#srcs:10_x000D_
#comment:0_x000D_
#events:1_x000D_
#kids:5_x000D_
lived:CTHARTFHARTFOR,ENSUFFOWESTHOR_x000D_
issue:_x000D_
.recs:Birth,Marriage,Death_x000D_
.imm?:immigrant_x000D_
..Spo:SARAH BUNCE</t>
        </r>
      </text>
    </comment>
    <comment ref="N8212" authorId="0" shapeId="0" xr:uid="{8CA91261-0A83-44B5-A3C3-C0C4ABEE3D88}">
      <text>
        <r>
          <rPr>
            <sz val="9"/>
            <color indexed="81"/>
            <rFont val="Tahoma"/>
            <family val="2"/>
          </rPr>
          <t>MARY BUNCE_x000D_
http://yeinfo.com/family/I09002949.html_x000D_
https://www.google.com/search?q=MARY+BUNCE+1645+1672+MEEKINGS_x000D_
.born: 16450917-          Hartford county Connecticut_x000D_
.died: 1672    -1735      Hartford (Hartford) Connecticut, age:26y 3m 15d, _x000D_
.bapt: 1785GE_x000D_
.will: 2004MO_x000D_
.obit: 1890OH_x000D_
.bury: 1850IL _x000D_
.wpbt: 1826PA_x000D_
.anc#:double ancestor_x000D_
citiz:US born_x000D_
#spos:1_x000D_
#srcs:10_x000D_
#comment:0_x000D_
#events:1_x000D_
#kids:1_x000D_
lived:?MAHAMPS,CTHARTFHARTFOR_x000D_
issue:_x000D_
.recs:Birth,Marriage,Death_x000D_
.imm?:no_x000D_
..Spo:THOMAS MEEKINGS</t>
        </r>
      </text>
    </comment>
    <comment ref="O8214" authorId="0" shapeId="0" xr:uid="{A334ECE8-746F-475E-A4AD-0EC154CCE0F0}">
      <text>
        <r>
          <rPr>
            <sz val="9"/>
            <color indexed="81"/>
            <rFont val="Tahoma"/>
            <family val="2"/>
          </rPr>
          <t>Mrs. SARAH BUNCE_x000D_
http://yeinfo.com/family/I09005899.html_x000D_
https://www.google.com/search?q=SARAH+BUNCE+1612+1692+BUNCE_x000D_
.born:c1612    -          London (Middlesex) England_x000D_
.died: 16920102-          Hartford (Hartford) Connecticut, age:80y 0m 1d, _x000D_
.bapt: 1785GE_x000D_
.will: 2004MO_x000D_
.obit: 1890OH_x000D_
.bury: 1850IL _x000D_
.wpbt: 1826PA_x000D_
.anc#:double ancestor_x000D_
citiz:immigrant_x000D_
#spos:1_x000D_
#srcs:10_x000D_
#comment:0_x000D_
#events:1_x000D_
#kids:5_x000D_
lived:CTHARTFHARTFOR,ENMIDDLLONDON_x000D_
issue:_x000D_
.recs:Birth,Marriage,Death_x000D_
.imm?:immigrant_x000D_
..Spo:THOMAS BUNCE</t>
        </r>
      </text>
    </comment>
    <comment ref="L8216" authorId="0" shapeId="0" xr:uid="{8A816806-308C-4019-A27A-3CECBBDADD4B}">
      <text>
        <r>
          <rPr>
            <sz val="9"/>
            <color indexed="81"/>
            <rFont val="Tahoma"/>
            <family val="2"/>
          </rPr>
          <t>SARAH MARY MEEKINS_x000D_
http://yeinfo.com/family/I09000737.html_x000D_
https://www.google.com/search?q=SARAH+MARY+MEEKINS+1693+1777+MILLER_x000D_
.born: 16930514-          Hatfield (Hampshire) Massachusetts_x000D_
.died: 17770221-          Springfield (Hampden) Massachusetts, age:83y 9m 7d, _x000D_
.bapt: 1785GE_x000D_
.will: 2004MO_x000D_
.obit: 1890OH_x000D_
.bury: 1850IL _x000D_
.wpbt: 1826PA_x000D_
.anc#:double ancestor_x000D_
citiz:US born_x000D_
#spos:1_x000D_
#srcs:4_x000D_
#comment:0_x000D_
#events:2_x000D_
#kids:1_x000D_
lived:MAHAMPDSPRINGF,MAHAMPSHATFIEL_x000D_
issue:_x000D_
.recs:Birth,Marriage Intention/Bonds,Death_x000D_
.imm?:no_x000D_
..Spo:THOMAS MILLER</t>
        </r>
      </text>
    </comment>
    <comment ref="N8218" authorId="0" shapeId="0" xr:uid="{C7E3E32C-4F62-4742-9329-8673CFAF431D}">
      <text>
        <r>
          <rPr>
            <sz val="9"/>
            <color indexed="81"/>
            <rFont val="Tahoma"/>
            <family val="2"/>
          </rPr>
          <t>JOSEPH BELKNAP Sr._x000D_
http://yeinfo.com/family/I09002950.html_x000D_
https://www.google.com/search?q=JOSEPH+BELKNAP+1633+1712+HANNAH+Ingalls_x000D_
.born: 16330512-          Sawbridgeworth (Hertfordshire) England_x000D_
.died: 17121114-          Boston (Suffolk) Massachusetts, age:79y 6m 2d, _x000D_
.bapt: 1785GE_x000D_
.will: 2004MO_x000D_
.obit: 1890OH_x000D_
.bury: 1850IL _x000D_
.wpbt: 1826PA_x000D_
.anc#:double ancestor_x000D_
citiz:immigrant_x000D_
#spos:2_x000D_
#srcs:10_x000D_
#comment:1_x000D_
#events:2_x000D_
#kids:1_x000D_
lived:?MASUFFOBOSTON,ENHERTFSAWBRID_x000D_
issue:_x000D_
.recs:Birth,Marriage,Death_x000D_
.imm?:immigrant_x000D_
..Spo:HANNAH MEEKINS</t>
        </r>
      </text>
    </comment>
    <comment ref="M8220" authorId="0" shapeId="0" xr:uid="{8D8DADA2-AE33-4284-A9C8-76FDE5ABA360}">
      <text>
        <r>
          <rPr>
            <sz val="9"/>
            <color indexed="81"/>
            <rFont val="Tahoma"/>
            <family val="2"/>
          </rPr>
          <t>RUTH BELKNAP_x000D_
http://yeinfo.com/family/I09001475.html_x000D_
https://www.google.com/search?q=RUTH+BELKNAP+1672+1767+MEEKINGS_x000D_
.born: 1672    -          Massachusetts_x000D_
.died:c1767    -         ?Massachusetts, age:95y 0m 0d, _x000D_
.bapt: 1785GE_x000D_
.will: 2004MO_x000D_
.obit: 1890OH_x000D_
.bury: 1850IL _x000D_
.wpbt: 1826PA_x000D_
.anc#:double ancestor_x000D_
citiz:US born_x000D_
#spos:1_x000D_
#srcs:10_x000D_
#comment:0_x000D_
#events:1_x000D_
#kids:1_x000D_
lived:MA_x000D_
issue:_x000D_
.recs:Birth,Marriage,Death_x000D_
.imm?:no_x000D_
..Spo:JOHN MEEKINGS</t>
        </r>
      </text>
    </comment>
    <comment ref="Q8222" authorId="0" shapeId="0" xr:uid="{E47D0788-BB5B-4AFD-AAAD-99D5D28554A7}">
      <text>
        <r>
          <rPr>
            <sz val="9"/>
            <color indexed="81"/>
            <rFont val="Tahoma"/>
            <family val="2"/>
          </rPr>
          <t>THOMAS MEEKINS_x000D_
http://yeinfo.com/family/I09023584.html_x000D_
https://www.google.com/search?q=THOMAS+MEEKINS+1550+1646+HELLEN_x000D_
.born: 1550    -          England_x000D_
.died: 16460504-          Northamptonshire county England, age:96y 4m 3d, _x000D_
.bapt: 1785GE_x000D_
.will: 2004MO_x000D_
.obit: 1890OH_x000D_
.bury: 1850IL _x000D_
.wpbt: 1826PA_x000D_
.anc#:  quadruple ancestor_x000D_
citiz:foreign_x000D_
#spos:1_x000D_
#srcs:10_x000D_
#comment:1_x000D_
#events:1_x000D_
#kids:1_x000D_
lived:ENNORTA_x000D_
issue:_x000D_
.recs:Birth,Marriage,Death_x000D_
.imm?:no_x000D_
..Spo:HELLEN GREENE</t>
        </r>
      </text>
    </comment>
    <comment ref="P8224" authorId="0" shapeId="0" xr:uid="{FF618F44-6621-4FFD-A366-E2A0C91E2FE3}">
      <text>
        <r>
          <rPr>
            <sz val="9"/>
            <color indexed="81"/>
            <rFont val="Tahoma"/>
            <family val="2"/>
          </rPr>
          <t>THOMAS MEEKINS_x000D_
http://yeinfo.com/family/I09011792.html_x000D_
https://www.google.com/search?q=THOMAS+MEEKINS+1585+1656+KATHERINE_x000D_
.born:c1585    -          Achurch (Northamptonshire) England_x000D_
.died:c1656    -          Boston (Suffolk) Massachusetts, age:71y 0m 0d, _x000D_
.bapt: 1785GE_x000D_
.will: 2004MO_x000D_
.obit: 1890OH_x000D_
.bury: 1850IL _x000D_
.wpbt: 1826PA_x000D_
.anc#:  quadruple ancestor_x000D_
citiz:immigrant_x000D_
#spos:1_x000D_
#srcs:10_x000D_
#comment:0_x000D_
#events:1_x000D_
#kids:1_x000D_
lived:ENNORTAACHURCH,MASUFFOBOSTON_x000D_
issue:_x000D_
.recs:Birth,Marriage,Death_x000D_
.imm?:immigrant_x000D_
..Spo:KATHERINE GREENE</t>
        </r>
      </text>
    </comment>
    <comment ref="Q8226" authorId="0" shapeId="0" xr:uid="{FC206144-DEEF-4191-93F8-F94E43CF10EF}">
      <text>
        <r>
          <rPr>
            <sz val="9"/>
            <color indexed="81"/>
            <rFont val="Tahoma"/>
            <family val="2"/>
          </rPr>
          <t>HELLEN GREENE_x000D_
http://yeinfo.com/family/I09023585.html_x000D_
https://www.google.com/search?q=HELLEN+GREENE+1553+1636+MEEKINS_x000D_
.born: 1553    -         ?England_x000D_
.died: 1636    -         ?Suffolk county Massachusetts, age:83y 0m 0d, _x000D_
.bapt: 1785GE_x000D_
.will: 2004MO_x000D_
.obit: 1890OH_x000D_
.bury: 1850IL _x000D_
.wpbt: 1826PA_x000D_
.anc#:  quadruple ancestor_x000D_
citiz:immigrant_x000D_
#spos:1_x000D_
#srcs:10_x000D_
#comment:0_x000D_
#events:1_x000D_
#kids:1_x000D_
lived:?EN,?MASUFFO_x000D_
issue:_x000D_
.recs:Birth,Marriage,Death_x000D_
.imm?:immigrant_x000D_
..Spo:THOMAS MEEKINS</t>
        </r>
      </text>
    </comment>
    <comment ref="O8228" authorId="0" shapeId="0" xr:uid="{975CB815-D161-43F2-B405-E08BDB170627}">
      <text>
        <r>
          <rPr>
            <sz val="9"/>
            <color indexed="81"/>
            <rFont val="Tahoma"/>
            <family val="2"/>
          </rPr>
          <t>THOMAS MEEKINS_x000D_
http://yeinfo.com/family/I09005896.html_x000D_
https://www.google.com/search?q=THOMAS+MEEKINS+1609+1687+SARAH+CATHERINE_x000D_
.born:c1609    -          Achurch (Northamptonshire) England_x000D_
.died: 16871210-          Hatfield (Hampshire) Massachusetts, age:78y 11m 9d, _x000D_
.bapt: 1785GE_x000D_
.will: 2004MO_x000D_
.obit: 1890OH_x000D_
.bury: 1850IL _x000D_
.wpbt: 1826PA_x000D_
.anc#:  quadruple ancestor_x000D_
citiz:immigrant_x000D_
#spos:1_x000D_
#srcs:10_x000D_
#comment:0_x000D_
#events:1_x000D_
#kids:2_x000D_
lived:?CTHARTF,ENNORTAACHURCH,MAHAMPSHATFIEL_x000D_
issue:_x000D_
.recs:Birth,Marriage,Death_x000D_
.imm?:immigrant_x000D_
..Spo:SARAH CATHERINE BEARDSLEY</t>
        </r>
      </text>
    </comment>
    <comment ref="P8230" authorId="0" shapeId="0" xr:uid="{1EF614C6-0D6F-4D43-A271-E642E50CBFC4}">
      <text>
        <r>
          <rPr>
            <sz val="9"/>
            <color indexed="81"/>
            <rFont val="Tahoma"/>
            <family val="2"/>
          </rPr>
          <t>KATHERINE GREENE_x000D_
http://yeinfo.com/family/I09011793.html_x000D_
https://www.google.com/search?q=KATHERINE+GREENE+1584+1651+MEEKINS_x000D_
.born: 1584    -          Achurch (Northamptonshire) England_x000D_
.died: 16510203-          Roxbury (Suffolk) Massachusetts, age:67y 1m 2d, _x000D_
.bapt: 1785GE_x000D_
.will: 2004MO_x000D_
.obit: 1890OH_x000D_
.bury: 1850IL _x000D_
.wpbt: 1826PA_x000D_
.anc#:  quadruple ancestor_x000D_
citiz:immigrant_x000D_
#spos:1_x000D_
#srcs:10_x000D_
#comment:1_x000D_
#events:1_x000D_
#kids:1_x000D_
lived:ENNORTAACHURCH,MASUFFOROXBURY_x000D_
issue:_x000D_
.recs:Birth,Marriage,Death_x000D_
.imm?:immigrant_x000D_
..Spo:THOMAS MEEKINS</t>
        </r>
      </text>
    </comment>
    <comment ref="N8232" authorId="0" shapeId="0" xr:uid="{E860A284-F6C6-4171-827D-147108BE0B7F}">
      <text>
        <r>
          <rPr>
            <sz val="9"/>
            <color indexed="81"/>
            <rFont val="Tahoma"/>
            <family val="2"/>
          </rPr>
          <t>HANNAH MEEKINS_x000D_
http://yeinfo.com/family/I09002951.html_x000D_
https://www.google.com/search?q=HANNAH+MEEKINS+1647+1688+BELKNAP_x000D_
.born: 16470313-          Roxbury (Suffolk) Massachusetts_x000D_
.died: 16881226-          Roxbury (Suffolk) Massachusetts, age:41y 9m 13d, _x000D_
.bapt: 1785GE_x000D_
.will: 2004MO_x000D_
.obit: 1890OH_x000D_
.bury: 1850IL _x000D_
.wpbt: 1826PA_x000D_
.anc#:double ancestor_x000D_
citiz:US born_x000D_
#spos:1_x000D_
#srcs:10_x000D_
#comment:0_x000D_
#events:1_x000D_
#kids:1_x000D_
lived:?MASUFFOBOSTON,MASUFFOROXBURY_x000D_
issue:Died after Age 100_x000D_
.recs:Birth,Marriage,Death_x000D_
.imm?:no_x000D_
..Spo:JOSEPH BELKNAP</t>
        </r>
      </text>
    </comment>
    <comment ref="O8234" authorId="0" shapeId="0" xr:uid="{79CDFA40-9708-4728-8849-163A727C1095}">
      <text>
        <r>
          <rPr>
            <sz val="9"/>
            <color indexed="81"/>
            <rFont val="Tahoma"/>
            <family val="2"/>
          </rPr>
          <t>SARAH CATHERINE BEARDSLEY_x000D_
http://yeinfo.com/family/I09005897.html_x000D_
https://www.google.com/search?q=SARAH+CATHERINE+BEARDSLEY+1613+1651+MEEKINS_x000D_
.born:a16130606-          England_x000D_
.died: 16510121-          Roxbury (Suffolk) Massachusetts, age:37y 7m 15d, _x000D_
.bapt: 1785GE_x000D_
.will: 2004MO_x000D_
.obit: 1890OH_x000D_
.bury: 1850IL _x000D_
.wpbt: 1826PA_x000D_
.anc#:  quadruple ancestor_x000D_
citiz:immigrant_x000D_
#spos:1_x000D_
#srcs:10_x000D_
#comment:1_x000D_
#events:1_x000D_
#kids:2_x000D_
lived:?CTHARTF,EN,MASUFFOROXBURY_x000D_
issue:_x000D_
.recs:Birth,Marriage,Death_x000D_
.imm?:immigrant_x000D_
..Spo:THOMAS MEEKINS</t>
        </r>
      </text>
    </comment>
    <comment ref="J8236" authorId="0" shapeId="0" xr:uid="{0FA5DA19-C61A-4F4A-9A55-A22A2F9624D2}">
      <text>
        <r>
          <rPr>
            <sz val="9"/>
            <color indexed="81"/>
            <rFont val="Tahoma"/>
            <family val="2"/>
          </rPr>
          <t>DAVID MILLER Jr._x000D_
http://yeinfo.com/family/I09000378.html_x000D_
https://www.google.com/search?q=DAVID+MILLER+1757+1813+MARGARET_x000D_
.born: 17571008-          Springfield (Hampden) Massachusetts_x000D_
.died: 18130102-          Marlborough (Windham) Vermont, age:55y 2m 25d, _x000D_
.bapt: 1785GE_x000D_
.will: 2004MO_x000D_
.obit: 1890OH_x000D_
.bury: 1850IL Marlboro Center Cemetery_x000D_
.wpbt: 1826PA_x000D_
.anc#:ancestor_x000D_
citiz:US born_x000D_
#spos:1_x000D_
#srcs:2_x000D_
#comment:1_x000D_
#events:3_x000D_
#kids:10_x000D_
lived:?MAHAMPDW.SPRIN,MAHAMPDSPRINGF,VTWINDHMARLBOR_x000D_
issue:_x000D_
.recs:Birth,Marriage Intention/Bonds,Death_x000D_
.imm?:no_x000D_
..Spo:MARGARET MIGHILL</t>
        </r>
      </text>
    </comment>
    <comment ref="K8238" authorId="0" shapeId="0" xr:uid="{54B4883F-FCB2-46F9-B6B5-9DE6F821795B}">
      <text>
        <r>
          <rPr>
            <sz val="9"/>
            <color indexed="81"/>
            <rFont val="Tahoma"/>
            <family val="2"/>
          </rPr>
          <t>Mrs. ANNAH MILLER_x000D_
http://yeinfo.com/family/I09000369.html_x000D_
https://www.google.com/search?q=ANNAH+MILLER+1733+1807+MILLER_x000D_
.born: 17330327-          Brimfield (Hampden) Massachusetts_x000D_
.died: 18070715-         ?Marlborough (Windham) Vermont, age:74y 3m 18d, _x000D_
.bapt: 1785GE_x000D_
.will: 2004MO_x000D_
.obit: 1890OH_x000D_
.bury: 1850IL Marlboro Center Cemetery_x000D_
.wpbt: 1826PA_x000D_
.anc#:double ancestor_x000D_
citiz:US born_x000D_
#spos:1_x000D_
#srcs:1_x000D_
#comment:1_x000D_
#events:3_x000D_
#kids:7_x000D_
lived:?VTWINDHMARLBOR,MAHAMPDBRIMFIE,MAHAMPDSPRINGF_x000D_
issue:_x000D_
.recs:Birth,Baptism,Marriage,Death,Interment/Burial_x000D_
.imm?:no_x000D_
..Spo:DAVID MILLER</t>
        </r>
      </text>
    </comment>
    <comment ref="I8240" authorId="0" shapeId="0" xr:uid="{3C2F5AA7-CEC3-43F5-8509-8CCB05DF1C87}">
      <text>
        <r>
          <rPr>
            <sz val="9"/>
            <color indexed="81"/>
            <rFont val="Tahoma"/>
            <family val="2"/>
          </rPr>
          <t>LOVISA MILLER_x000D_
http://yeinfo.com/family/I09000189.html_x000D_
https://www.google.com/search?q=LOVISA+MILLER+1777+1846+BARRETT_x000D_
.born: 17770108-          West Springfield (Hampden) Massachusetts_x000D_
.died: 18460127-          Brattleboro (Windham) Vermont, age:69y 0m 19d, _x000D_
.bapt: 1785GE_x000D_
.will: 2004MO_x000D_
.obit: 1890OH_x000D_
.bury: 1850IL Meeting House Hill Cemetery_x000D_
.wpbt: 1826PA_x000D_
.anc#:ancestor_x000D_
citiz:US born_x000D_
#spos:1_x000D_
#srcs:3_x000D_
#comment:1_x000D_
#events:4_x000D_
#kids:8_x000D_
lived:MAHAMPDW.SPRIN,VTWINDHBRATTLB,VTWINDHMARLBOR_x000D_
issue:_x000D_
.recs:Birth,Marriage,Will Written,Death,Interment/Burial_x000D_
.imm?:no_x000D_
..Spo:WHITMORE BARRETT</t>
        </r>
      </text>
    </comment>
    <comment ref="O8242" authorId="0" shapeId="0" xr:uid="{AD84D8AF-67A6-4615-94BC-F38103BCDF4B}">
      <text>
        <r>
          <rPr>
            <sz val="9"/>
            <color indexed="81"/>
            <rFont val="Tahoma"/>
            <family val="2"/>
          </rPr>
          <t>THOMAS MIGHILL_x000D_
http://yeinfo.com/family/I09012128.html_x000D_
https://www.google.com/search?q=THOMAS+MIGHILL+1575+1654+ELLEN_x000D_
.born: 1575    -          York (Yorkshire) England_x000D_
.died: 16540514-          Rowley (Yorkshire) England, age:79y 4m 13d, _x000D_
.bapt: 1785GE_x000D_
.will: 2004MO_x000D_
.obit: 1890OH_x000D_
.bury: 1850IL _x000D_
.wpbt: 1826PA_x000D_
.anc#:ancestor_x000D_
citiz:foreign_x000D_
#spos:1_x000D_
#srcs:2_x000D_
#comment:0_x000D_
#events:1_x000D_
#kids:1_x000D_
lived:ENYORKSROWLEY,ENYORKSYORK_x000D_
issue:_x000D_
.recs:Birth,Marriage,Death_x000D_
.imm?:no_x000D_
..Spo:ELLEN THOMAS</t>
        </r>
      </text>
    </comment>
    <comment ref="N8244" authorId="0" shapeId="0" xr:uid="{BAA1C823-F8D9-4F70-BE72-EEF7705FAB5F}">
      <text>
        <r>
          <rPr>
            <sz val="9"/>
            <color indexed="81"/>
            <rFont val="Tahoma"/>
            <family val="2"/>
          </rPr>
          <t>THOMAS MIGHILL_x000D_
http://yeinfo.com/family/I09006064.html_x000D_
https://www.google.com/search?q=THOMAS+MIGHILL+1606+1654+ELLEN\BETHUIA\ELLIN+Parrat_x000D_
.born: 1606    -          Rowley (Yorkshire) England_x000D_
.died:c1654    -         ?Rowley (Essex) Massachusetts, age:48y 0m 0d, _x000D_
.bapt: 1785GE_x000D_
.will: 2004MO_x000D_
.obit: 1890OH_x000D_
.bury: 1850IL _x000D_
.wpbt: 1826PA_x000D_
.anc#:ancestor_x000D_
citiz:immigrant_x000D_
#spos:2_x000D_
#srcs:2_x000D_
#comment:0_x000D_
#events:3_x000D_
#kids:1_x000D_
lived:ENYORKSROWLEY,MAESSEXROWLEY_x000D_
issue:Died after Age 100_x000D_
.recs:Birth,Marriage,Will Written,Death_x000D_
.imm?:immigrant_x000D_
..Spo:ELLEN\BETHUIA\ELLIN WARD</t>
        </r>
      </text>
    </comment>
    <comment ref="O8246" authorId="0" shapeId="0" xr:uid="{A7DC1470-59FC-452F-A693-BEED3ECA8638}">
      <text>
        <r>
          <rPr>
            <sz val="9"/>
            <color indexed="81"/>
            <rFont val="Tahoma"/>
            <family val="2"/>
          </rPr>
          <t>ELLEN THOMAS_x000D_
http://yeinfo.com/family/I09012129.html_x000D_
https://www.google.com/search?q=ELLEN+THOMAS+1578+1640+MIGHILL_x000D_
.born: 1578    -          York (Yorkshire) England_x000D_
.died: 16400112-          Rowley (Yorkshire) England, age:62y 0m 11d, _x000D_
.bapt: 1785GE_x000D_
.will: 2004MO_x000D_
.obit: 1890OH_x000D_
.bury: 1850IL _x000D_
.wpbt: 1826PA_x000D_
.anc#:ancestor_x000D_
citiz:foreign_x000D_
#spos:1_x000D_
#srcs:1_x000D_
#comment:0_x000D_
#events:1_x000D_
#kids:1_x000D_
lived:ENYORKSROWLEY,ENYORKSYORK_x000D_
issue:_x000D_
.recs:Birth,Marriage,Death_x000D_
.imm?:no_x000D_
..Spo:THOMAS MIGHILL</t>
        </r>
      </text>
    </comment>
    <comment ref="M8248" authorId="0" shapeId="0" xr:uid="{D0C21329-51B5-4F5F-A259-6778D5526B57}">
      <text>
        <r>
          <rPr>
            <sz val="9"/>
            <color indexed="81"/>
            <rFont val="Tahoma"/>
            <family val="2"/>
          </rPr>
          <t>JOHN MIGHILL_x000D_
http://yeinfo.com/family/I09003032.html_x000D_
https://www.google.com/search?q=JOHN+MIGHILL+1634+1702+SARAH_x000D_
.born: 1634    -          _x000D_
.died: 1702    -          , age:68y 0m 0d, _x000D_
.bapt: 1785GE_x000D_
.will: 2004MO_x000D_
.obit: 1890OH_x000D_
.bury: 1850IL _x000D_
.wpbt: 1826PA_x000D_
.anc#:ancestor_x000D_
citiz:US born_x000D_
#spos:1_x000D_
#srcs:2_x000D_
#comment:0_x000D_
#events:1_x000D_
#kids:10_x000D_
lived:MAHAMPS_x000D_
issue:_x000D_
.recs:Birth,Marriage,Death_x000D_
.imm?:no_x000D_
..Spo:SARAH BATT</t>
        </r>
      </text>
    </comment>
    <comment ref="N8250" authorId="0" shapeId="0" xr:uid="{8FE63B29-00F3-414A-8196-C659BA659E97}">
      <text>
        <r>
          <rPr>
            <sz val="9"/>
            <color indexed="81"/>
            <rFont val="Tahoma"/>
            <family val="2"/>
          </rPr>
          <t>ELLEN\BETHUIA\ELLIN WARD_x000D_
http://yeinfo.com/family/I09006065.html_x000D_
https://www.google.com/search?q=ELLEN\BETHUIA\ELLIN+WARD+1588+1640+MIGHILL_x000D_
.born: 1588    -          England_x000D_
.died: 16400712-          , age:52y 6m 11d, _x000D_
.bapt: 1785GE_x000D_
.will: 2004MO_x000D_
.obit: 1890OH_x000D_
.bury: 1850IL _x000D_
.wpbt: 1826PA_x000D_
.anc#:ancestor_x000D_
citiz:US born_x000D_
#spos:1_x000D_
#srcs:2_x000D_
#comment:0_x000D_
#events:1_x000D_
#kids:1_x000D_
lived:?ENYORKS,EN_x000D_
issue:_x000D_
.recs:Birth,Marriage,Death_x000D_
.imm?:no_x000D_
..Spo:THOMAS MIGHILL</t>
        </r>
      </text>
    </comment>
    <comment ref="L8252" authorId="0" shapeId="0" xr:uid="{2A93A44D-90D7-4E4A-A8A2-906F8DD5AC55}">
      <text>
        <r>
          <rPr>
            <sz val="9"/>
            <color indexed="81"/>
            <rFont val="Tahoma"/>
            <family val="2"/>
          </rPr>
          <t>NATHANIEL\JOHN MIGHILL_x000D_
http://yeinfo.com/family/I09001516.html_x000D_
https://www.google.com/search?q=NATHANIEL\JOHN+MIGHILL+1672+1709+SARAH_x000D_
.born: 1672    -          Newbury (Essex) Massachusetts_x000D_
.died: 17090209-          Hampshire county Massachusetts, age:37y 1m 8d, _x000D_
.bapt: 1785GE_x000D_
.will: 2004MO_x000D_
.obit: 1890OH_x000D_
.bury: 1850IL _x000D_
.wpbt: 1826PA_x000D_
.anc#:ancestor_x000D_
citiz:US born_x000D_
#spos:1_x000D_
#srcs:3_x000D_
#comment:0_x000D_
#events:1_x000D_
#kids:1_x000D_
lived:CTWINDHPLAINFI,MAESSEXNEWBURY,MAHAMPS_x000D_
issue:_x000D_
.recs:Birth,Marriage,Death_x000D_
.imm?:no_x000D_
..Spo:SARAH BLISS</t>
        </r>
      </text>
    </comment>
    <comment ref="P8254" authorId="0" shapeId="0" xr:uid="{B12D80D3-F7EF-4140-AC4B-F0A2CE3FB5C5}">
      <text>
        <r>
          <rPr>
            <sz val="9"/>
            <color indexed="81"/>
            <rFont val="Tahoma"/>
            <family val="2"/>
          </rPr>
          <t>JOHN BATT_x000D_
http://yeinfo.com/family/I09024264.html_x000D_
https://www.google.com/search?q=JOHN+BATT+1541+1600+ELIZABETH_x000D_
.born:c1541    -          Devizes (Wiltshire) England_x000D_
.died: 16000423-         ?England, age:59y 3m 22d, _x000D_
.bapt: 1785GE_x000D_
.will: 2004MO_x000D_
.obit: 1890OH_x000D_
.bury: 1850IL _x000D_
.wpbt: 1826PA_x000D_
.anc#:ancestor_x000D_
citiz:foreign_x000D_
#spos:1_x000D_
#srcs:1_x000D_
#comment:0_x000D_
#events:2_x000D_
#kids:1_x000D_
lived:ENWILTSDEVIZES_x000D_
issue:_x000D_
.recs:Birth,Marriage,Death_x000D_
.imm?:no_x000D_
..Spo:ELIZABETH TUCKER</t>
        </r>
      </text>
    </comment>
    <comment ref="O8256" authorId="0" shapeId="0" xr:uid="{4F1B3EEC-2AF4-425C-9F6B-7C8689E7D8DE}">
      <text>
        <r>
          <rPr>
            <sz val="9"/>
            <color indexed="81"/>
            <rFont val="Tahoma"/>
            <family val="2"/>
          </rPr>
          <t>RICHARD BATT II_x000D_
http://yeinfo.com/family/I09012132.html_x000D_
https://www.google.com/search?q=RICHARD+BATT+1571+1612+AGNES_x000D_
.born: 1571    -          Devizes (Wiltshire) England_x000D_
.died: 1612    -1661     ?England, age:41y 0m 0d, _x000D_
.bapt: 1785GE_x000D_
.will: 2004MO_x000D_
.obit: 1890OH_x000D_
.bury: 1850IL _x000D_
.wpbt: 1826PA_x000D_
.anc#:ancestor_x000D_
citiz:foreign_x000D_
#spos:1_x000D_
#srcs:2_x000D_
#comment:0_x000D_
#events:2_x000D_
#kids:1_x000D_
lived:ENWILTSDEVIZES_x000D_
issue:_x000D_
.recs:Birth,Marriage,Death_x000D_
.imm?:no_x000D_
..Spo:AGNES DANIELL</t>
        </r>
      </text>
    </comment>
    <comment ref="P8258" authorId="0" shapeId="0" xr:uid="{61C7F802-A1B4-4523-ABCB-1043F77B7B98}">
      <text>
        <r>
          <rPr>
            <sz val="9"/>
            <color indexed="81"/>
            <rFont val="Tahoma"/>
            <family val="2"/>
          </rPr>
          <t>ELIZABETH TUCKER_x000D_
http://yeinfo.com/family/I09024265.html_x000D_
https://www.google.com/search?q=ELIZABETH+TUCKER+1545+1612+BATT_x000D_
.born: 1545    -          Devizes (Wiltshire) England_x000D_
.died: 1612    -1635      , age:67y 0m 0d, _x000D_
.bapt: 1785GE_x000D_
.will: 2004MO_x000D_
.obit: 1890OH_x000D_
.bury: 1850IL _x000D_
.wpbt: 1826PA_x000D_
.anc#:ancestor_x000D_
citiz:US born_x000D_
#spos:1_x000D_
#srcs:1_x000D_
#comment:0_x000D_
#events:1_x000D_
#kids:1_x000D_
lived:ENWILTSDEVIZES_x000D_
issue:_x000D_
.recs:Birth,Marriage,Death_x000D_
.imm?:no_x000D_
..Spo:JOHN BATT</t>
        </r>
      </text>
    </comment>
    <comment ref="N8260" authorId="0" shapeId="0" xr:uid="{636BD58B-6BFC-43C7-A0C7-51481F584F05}">
      <text>
        <r>
          <rPr>
            <sz val="9"/>
            <color indexed="81"/>
            <rFont val="Tahoma"/>
            <family val="2"/>
          </rPr>
          <t>NICHOLAS BATT_x000D_
http://yeinfo.com/family/I09006066.html_x000D_
https://www.google.com/search?q=NICHOLAS+BATT+1612+1677+LUCY_x000D_
.born: 16121109-          Devizes (Wiltshire) England_x000D_
.died: 16771206-         ?Massachusetts, age:65y 0m 27d, _x000D_
.bapt: 1785GE_x000D_
.will: 2004MO_x000D_
.obit: 1890OH_x000D_
.bury: 1850IL _x000D_
.wpbt: 1826PA_x000D_
.anc#:ancestor_x000D_
citiz:immigrant_x000D_
#spos:1_x000D_
#srcs:3_x000D_
#comment:0_x000D_
#events:5_x000D_
#kids:2_x000D_
lived:ENWILTSDEVIZES,MAESSEXNEWBURY_x000D_
issue:_x000D_
.recs:Birth,Marriage,Job/Occupation,Will Written,Death_x000D_
.imm?:immigrant_x000D_
..Spo:LUCY NEWBURG</t>
        </r>
      </text>
    </comment>
    <comment ref="O8262" authorId="0" shapeId="0" xr:uid="{DFD60F5A-3C89-4034-89DA-05EA68AB0401}">
      <text>
        <r>
          <rPr>
            <sz val="9"/>
            <color indexed="81"/>
            <rFont val="Tahoma"/>
            <family val="2"/>
          </rPr>
          <t>AGNES DANIELL_x000D_
http://yeinfo.com/family/I09012133.html_x000D_
https://www.google.com/search?q=AGNES+DANIELL+1570+1612+BATT_x000D_
.born:c1570    -          Devizes (Wiltshire) England_x000D_
.died: 1612    -1660      , age:42y 0m 0d, _x000D_
.bapt: 1785GE_x000D_
.will: 2004MO_x000D_
.obit: 1890OH_x000D_
.bury: 1850IL _x000D_
.wpbt: 1826PA_x000D_
.anc#:ancestor_x000D_
citiz:US born_x000D_
#spos:1_x000D_
#srcs:3_x000D_
#comment:0_x000D_
#events:2_x000D_
#kids:1_x000D_
lived:ENWILTSDEVIZES_x000D_
issue:_x000D_
.recs:Birth,Marriage,Death_x000D_
.imm?:no_x000D_
..Spo:RICHARD BATT</t>
        </r>
      </text>
    </comment>
    <comment ref="M8264" authorId="0" shapeId="0" xr:uid="{63AE2A5D-4B77-424A-B033-DAED47474C7B}">
      <text>
        <r>
          <rPr>
            <sz val="9"/>
            <color indexed="81"/>
            <rFont val="Tahoma"/>
            <family val="2"/>
          </rPr>
          <t>SARAH BATT_x000D_
http://yeinfo.com/family/I09003033.html_x000D_
https://www.google.com/search?q=SARAH+BATT+1640+1714+MIGHILL_x000D_
.born: 16400612-          Newbury (Essex) Massachusetts_x000D_
.died: 17140504-          Enfield (Hartford) Connecticut, age:73y 10m 22d, _x000D_
.bapt: 1785GE_x000D_
.will: 2004MO_x000D_
.obit: 1890OH_x000D_
.bury: 1850IL _x000D_
.wpbt: 1826PA_x000D_
.anc#:ancestor_x000D_
citiz:US born_x000D_
#spos:1_x000D_
#srcs:2_x000D_
#comment:0_x000D_
#events:1_x000D_
#kids:10_x000D_
lived:CTHARTFENFIELD,MAESSEXNEWBURY_x000D_
issue:_x000D_
.recs:Birth,Marriage,Death_x000D_
.imm?:no_x000D_
..Spo:JOHN MIGHILL</t>
        </r>
      </text>
    </comment>
    <comment ref="N8266" authorId="0" shapeId="0" xr:uid="{F941D9E8-B7E0-49DA-87C1-3DEF19D53C8D}">
      <text>
        <r>
          <rPr>
            <sz val="9"/>
            <color indexed="81"/>
            <rFont val="Tahoma"/>
            <family val="2"/>
          </rPr>
          <t>LUCY NEWBURG_x000D_
http://yeinfo.com/family/I09006067.html_x000D_
https://www.google.com/search?q=LUCY+NEWBURG+1614+1640+BATT_x000D_
.born: 1614    -         ?Essex county England_x000D_
.died: 1640    -1704      , age:26y 0m 0d, _x000D_
.bapt: 1785GE_x000D_
.will: 2004MO_x000D_
.obit: 1890OH_x000D_
.bury: 1850IL _x000D_
.wpbt: 1826PA_x000D_
.anc#:ancestor_x000D_
citiz:US born_x000D_
#spos:1_x000D_
#srcs:3_x000D_
#comment:0_x000D_
#events:1_x000D_
#kids:2_x000D_
lived:?ENESSEX,EN_x000D_
issue:Died after Age 100_x000D_
.recs:Birth,Marriage,Death_x000D_
.imm?:no_x000D_
..Spo:NICHOLAS BATT</t>
        </r>
      </text>
    </comment>
    <comment ref="K8268" authorId="0" shapeId="0" xr:uid="{93C854E0-C786-40D0-943F-58B64D3910B9}">
      <text>
        <r>
          <rPr>
            <sz val="9"/>
            <color indexed="81"/>
            <rFont val="Tahoma"/>
            <family val="2"/>
          </rPr>
          <t>NATHANIEL BLISS MIGHILL_x000D_
http://yeinfo.com/family/I09000758.html_x000D_
https://www.google.com/search?q=NATHANIEL+BLISS+MIGHILL+1709+1788+ANNA\SARAH_x000D_
.born: 1709    -          _x000D_
.died: 17880326-          Plainfield (Windham) Connecticut, age:79y 2m 25d, _x000D_
.bapt: 1785GE_x000D_
.will: 2004MO_x000D_
.obit: 1890OH_x000D_
.bury: 1850IL _x000D_
.wpbt: 1826PA_x000D_
.anc#:ancestor_x000D_
citiz:US born_x000D_
#spos:1_x000D_
#srcs:2_x000D_
#comment:0_x000D_
#events:1_x000D_
#kids:1_x000D_
lived:?MA,CTWINDHPLAINFI_x000D_
issue:Spouse Age more than 30-Year Difference_x000D_
.recs:Birth,Marriage,Death_x000D_
.imm?:no_x000D_
..Spo:ANNA\SARAH MIGHILL</t>
        </r>
      </text>
    </comment>
    <comment ref="O8270" authorId="0" shapeId="0" xr:uid="{2E5F87E0-4BDC-496D-9A84-0361F86A2F02}">
      <text>
        <r>
          <rPr>
            <sz val="9"/>
            <color indexed="81"/>
            <rFont val="Tahoma"/>
            <family val="2"/>
          </rPr>
          <t>THOMAS BLISS Jr._x000D_
http://yeinfo.com/family/I09012136.html_x000D_
https://www.google.com/search?q=THOMAS+BLISS+1583+1644+MARGARET_x000D_
.born:p15830319-          Gloucestershire county England_x000D_
.died: 1644    -1660     ?, age:60y 9m 13d, _x000D_
.bapt: 1785GE_x000D_
.will: 2004MO_x000D_
.obit: 1890OH_x000D_
.bury: 1850IL _x000D_
.wpbt: 1826PA_x000D_
.anc#:ancestor_x000D_
citiz:US born_x000D_
#spos:1_x000D_
#srcs:3_x000D_
#comment:0_x000D_
#events:1_x000D_
#kids:10_x000D_
lived:ENGLOUS_x000D_
issue:_x000D_
.recs:Birth,Marriage,Death_x000D_
.imm?:no_x000D_
..Spo:MARGARET HULINS</t>
        </r>
      </text>
    </comment>
    <comment ref="N8272" authorId="0" shapeId="0" xr:uid="{D070170D-AE18-4880-876F-0A320983DB82}">
      <text>
        <r>
          <rPr>
            <sz val="9"/>
            <color indexed="81"/>
            <rFont val="Tahoma"/>
            <family val="2"/>
          </rPr>
          <t>NATHANIEL BLISS_x000D_
http://yeinfo.com/family/I09006068.html_x000D_
https://www.google.com/search?q=NATHANIEL+BLISS+1622+1647+CATHERINE\HANNAH_x000D_
.born: 16221228-          _x000D_
.died: 1647    -1712      Springfield (Hampden) Massachusetts, age:24y 0m 4d, _x000D_
.bapt: 1785GE_x000D_
.will: 2004MO_x000D_
.obit: 1890OH_x000D_
.bury: 1850IL _x000D_
.wpbt: 1826PA_x000D_
.anc#:ancestor_x000D_
citiz:US born_x000D_
#spos:1_x000D_
#srcs:2_x000D_
#comment:0_x000D_
#events:1_x000D_
#kids:1_x000D_
lived:EN,MAHAMPDSPRINGF_x000D_
issue:_x000D_
.recs:Birth,Marriage,Death_x000D_
.imm?:no_x000D_
..Spo:CATHERINE\HANNAH CHAPIN</t>
        </r>
      </text>
    </comment>
    <comment ref="P8274" authorId="0" shapeId="0" xr:uid="{0D2B4856-FF5A-45DC-862C-2BB392A78601}">
      <text>
        <r>
          <rPr>
            <sz val="9"/>
            <color indexed="81"/>
            <rFont val="Tahoma"/>
            <family val="2"/>
          </rPr>
          <t>JOHN HULINS_x000D_
http://yeinfo.com/family/I09024274.html_x000D_
https://www.google.com/search?q=JOHN+HULINS+1565+1595+MARGARET_x000D_
.born:c1565    -         ?England_x000D_
.died: 1595    -1655      Rodborough (Gloucestershire) England, age:30y 0m 0d, _x000D_
.bapt: 1785GE_x000D_
.will: 2004MO_x000D_
.obit: 1890OH_x000D_
.bury: 1850IL _x000D_
.wpbt: 1826PA_x000D_
.anc#:ancestor_x000D_
citiz:foreign_x000D_
#spos:1_x000D_
#srcs:2_x000D_
#comment:0_x000D_
#events:1_x000D_
#kids:1_x000D_
lived:?EN,ENGLOUSRODBORO_x000D_
issue:_x000D_
.recs:Birth,Marriage,Death_x000D_
.imm?:no_x000D_
..Spo:MARGARET LAWRENCE</t>
        </r>
      </text>
    </comment>
    <comment ref="O8276" authorId="0" shapeId="0" xr:uid="{8A0B717C-0B2E-4119-AD87-269BB4AD32AC}">
      <text>
        <r>
          <rPr>
            <sz val="9"/>
            <color indexed="81"/>
            <rFont val="Tahoma"/>
            <family val="2"/>
          </rPr>
          <t>MARGARET HULINS_x000D_
http://yeinfo.com/family/I09012137.html_x000D_
https://www.google.com/search?q=MARGARET+HULINS+1595+1684+BLISS_x000D_
.born: 15950715-          Gloucestershire county England_x000D_
.died: 16840828-          , age:89y 1m 13d, _x000D_
.bapt: 1785GE_x000D_
.will: 2004MO_x000D_
.obit: 1890OH_x000D_
.bury: 1850IL _x000D_
.wpbt: 1826PA_x000D_
.anc#:ancestor_x000D_
citiz:US born_x000D_
#spos:1_x000D_
#srcs:3_x000D_
#comment:0_x000D_
#events:1_x000D_
#kids:10_x000D_
lived:ENGLOUS_x000D_
issue:_x000D_
.recs:Birth,Marriage,Death_x000D_
.imm?:no_x000D_
..Spo:THOMAS BLISS</t>
        </r>
      </text>
    </comment>
    <comment ref="P8278" authorId="0" shapeId="0" xr:uid="{F02A61DA-FB4A-4EE3-97EA-994F549DE83E}">
      <text>
        <r>
          <rPr>
            <sz val="9"/>
            <color indexed="81"/>
            <rFont val="Tahoma"/>
            <family val="2"/>
          </rPr>
          <t>MARGARET LAWRENCE_x000D_
http://yeinfo.com/family/I09024275.html_x000D_
https://www.google.com/search?q=MARGARET+LAWRENCE+1575+1595+HULINS_x000D_
.born:?1575    -         ?England_x000D_
.died: 1595    -1665     ?, age:20y 0m 0d, _x000D_
.bapt: 1785GE_x000D_
.will: 2004MO_x000D_
.obit: 1890OH_x000D_
.bury: 1850IL _x000D_
.wpbt: 1826PA_x000D_
.anc#:ancestor_x000D_
citiz:foreign_x000D_
#spos:1_x000D_
#srcs:2_x000D_
#comment:0_x000D_
#events:1_x000D_
#kids:1_x000D_
lived:?EN_x000D_
issue:_x000D_
.recs:Birth,Marriage,Death_x000D_
.imm?:no_x000D_
..Spo:JOHN HULINS</t>
        </r>
      </text>
    </comment>
    <comment ref="M8280" authorId="0" shapeId="0" xr:uid="{851A376D-3684-4DB6-B806-AB80D2E3C1B6}">
      <text>
        <r>
          <rPr>
            <sz val="9"/>
            <color indexed="81"/>
            <rFont val="Tahoma"/>
            <family val="2"/>
          </rPr>
          <t>SAMUEL BLISS_x000D_
http://yeinfo.com/family/I09003034.html_x000D_
https://www.google.com/search?q=SAMUEL+BLISS+1647+1749+SARAH_x000D_
.born: 16471107-          Springfield (Hampden) Massachusetts_x000D_
.died: 17490119-          Springfield (Hampden) Massachusetts, age:101y 2m 12d, _x000D_
.bapt: 1785GE_x000D_
.will: 2004MO_x000D_
.obit: 1890OH_x000D_
.bury: 1850IL _x000D_
.wpbt: 1826PA_x000D_
.anc#:ancestor_x000D_
citiz:US born_x000D_
#spos:1_x000D_
#srcs:1_x000D_
#comment:0_x000D_
#events:1_x000D_
#kids:1_x000D_
lived:MAHAMPDSPRINGF_x000D_
issue:Married after Age 60_x000D_
.recs:Birth,Marriage,Death_x000D_
.imm?:no_x000D_
..Spo:SARAH STEBBINS</t>
        </r>
      </text>
    </comment>
    <comment ref="O8282" authorId="0" shapeId="0" xr:uid="{8FB2C99C-34BB-410A-9DC8-34D8F900EA77}">
      <text>
        <r>
          <rPr>
            <sz val="9"/>
            <color indexed="81"/>
            <rFont val="Tahoma"/>
            <family val="2"/>
          </rPr>
          <t>SAMUEL CHAPIN_x000D_
http://yeinfo.com/family/I09012138.html_x000D_
https://www.google.com/search?q=SAMUEL+CHAPIN+1598+1675+CICELY_x000D_
.born:c15981008-          _x000D_
.died: 16751111-          Springfield (Hampden) Massachusetts, age:77y 1m 3d, _x000D_
.bapt: 1785GE_x000D_
.will: 2004MO_x000D_
.obit: 1890OH_x000D_
.bury: 1850IL _x000D_
.wpbt: 1826PA_x000D_
.anc#:ancestor_x000D_
citiz:US born_x000D_
#spos:1_x000D_
#srcs:2_x000D_
#comment:0_x000D_
#events:1_x000D_
#kids:1_x000D_
lived:?ENDEVON,MAHAMPDSPRINGF_x000D_
issue:Died after Age 100_x000D_
.recs:Birth,Marriage,Death_x000D_
.imm?:no_x000D_
..Spo:CICELY PENNY</t>
        </r>
      </text>
    </comment>
    <comment ref="N8284" authorId="0" shapeId="0" xr:uid="{63EA3D94-E58B-4B89-8903-F9DC3B1ED6B9}">
      <text>
        <r>
          <rPr>
            <sz val="9"/>
            <color indexed="81"/>
            <rFont val="Tahoma"/>
            <family val="2"/>
          </rPr>
          <t>CATHERINE\HANNAH CHAPIN_x000D_
http://yeinfo.com/family/I09006069.html_x000D_
https://www.google.com/search?q=CATHERINE\HANNAH+CHAPIN+1626+1711+BLISS_x000D_
.born: 16260506-          Berry Pomeroy (Devon) England_x000D_
.died: 17110204-          Springfield (Hampden) Massachusetts, age:84y 8m 29d, _x000D_
.bapt: 1785GE_x000D_
.will: 2004MO_x000D_
.obit: 1890OH_x000D_
.bury: 1850IL _x000D_
.wpbt: 1826PA_x000D_
.anc#:ancestor_x000D_
citiz:immigrant_x000D_
#spos:1_x000D_
#srcs:3_x000D_
#comment:0_x000D_
#events:1_x000D_
#kids:1_x000D_
lived:ENDEVONBERRY P,MAHAMPDSPRINGF_x000D_
issue:_x000D_
.recs:Birth,Marriage,Death_x000D_
.imm?:immigrant_x000D_
..Spo:NATHANIEL BLISS</t>
        </r>
      </text>
    </comment>
    <comment ref="O8286" authorId="0" shapeId="0" xr:uid="{5BBE7597-9DBC-4B82-B06C-67484EF80E20}">
      <text>
        <r>
          <rPr>
            <sz val="9"/>
            <color indexed="81"/>
            <rFont val="Tahoma"/>
            <family val="2"/>
          </rPr>
          <t>CICELY PENNY_x000D_
http://yeinfo.com/family/I09012139.html_x000D_
https://www.google.com/search?q=CICELY+PENNY+1601+1683+CHAPIN_x000D_
.born:c16010221-          Paignton (Devon) England_x000D_
.died: 16830208-          Springfield (Hampden) Massachusetts, age:81y 11m 18d, _x000D_
.bapt: 1785GE_x000D_
.will: 2004MO_x000D_
.obit: 1890OH_x000D_
.bury: 1850IL _x000D_
.wpbt: 1826PA_x000D_
.anc#:ancestor_x000D_
citiz:immigrant_x000D_
#spos:1_x000D_
#srcs:2_x000D_
#comment:0_x000D_
#events:1_x000D_
#kids:1_x000D_
lived:ENDEVONPAIGNTO,MAHAMPDSPRINGF_x000D_
issue:Died after Age 100_x000D_
.recs:Birth,Marriage,Death_x000D_
.imm?:immigrant_x000D_
..Spo:SAMUEL CHAPIN</t>
        </r>
      </text>
    </comment>
    <comment ref="L8288" authorId="0" shapeId="0" xr:uid="{FBB713AA-AA78-4B21-A373-63BEA83FAAC1}">
      <text>
        <r>
          <rPr>
            <sz val="9"/>
            <color indexed="81"/>
            <rFont val="Tahoma"/>
            <family val="2"/>
          </rPr>
          <t>SARAH BLISS_x000D_
http://yeinfo.com/family/I09001517.html_x000D_
https://www.google.com/search?q=SARAH+BLISS+1684+1751+MIGHILL+William_x000D_
.born: 16841011-          Newbury (Essex) Massachusetts_x000D_
.died: 17510226-          Enfield (Hartford) Connecticut, age:66y 4m 15d, _x000D_
.bapt: 1785GE_x000D_
.will: 2004MO_x000D_
.obit: 1890OH_x000D_
.bury: 1850IL _x000D_
.wpbt: 1826PA_x000D_
.anc#:ancestor_x000D_
citiz:US born_x000D_
#spos:2_x000D_
#srcs:2_x000D_
#comment:0_x000D_
#events:2_x000D_
#kids:1_x000D_
lived:CTHARTFENFIELD,MAESSEXNEWBURY_x000D_
issue:_x000D_
.recs:Birth,Marriage,Death_x000D_
.imm?:no_x000D_
..Spo:NATHANIEL\JOHN MIGHILL</t>
        </r>
      </text>
    </comment>
    <comment ref="O8290" authorId="0" shapeId="0" xr:uid="{EAD0586A-A275-4494-A49C-5F0710BED652}">
      <text>
        <r>
          <rPr>
            <sz val="9"/>
            <color indexed="81"/>
            <rFont val="Tahoma"/>
            <family val="2"/>
          </rPr>
          <t>ROWLAND STEBBINS_x000D_
http://yeinfo.com/family/I09012140.html_x000D_
https://www.google.com/search?q=ROWLAND+STEBBINS+1592+1671+SARAH_x000D_
.born: 15921105-          Bocking (Essex) England_x000D_
.died: 16711214-          Northam (Devon) England, age:79y 1m 9d, _x000D_
.bapt: 1785GE_x000D_
.will: 2004MO_x000D_
.obit: 1890OH_x000D_
.bury: 1850IL _x000D_
.wpbt: 1826PA_x000D_
.anc#:ancestor_x000D_
citiz:foreign_x000D_
#spos:1_x000D_
#srcs:1_x000D_
#comment:0_x000D_
#events:1_x000D_
#kids:1_x000D_
lived:ENDEVONNORTHAM,ENESSEXBOCKING_x000D_
issue:_x000D_
.recs:Birth,Marriage,Death_x000D_
.imm?:no_x000D_
..Spo:SARAH WHITING</t>
        </r>
      </text>
    </comment>
    <comment ref="N8292" authorId="0" shapeId="0" xr:uid="{D28E4408-57A1-4C00-97B8-B0D47C7C6A28}">
      <text>
        <r>
          <rPr>
            <sz val="9"/>
            <color indexed="81"/>
            <rFont val="Tahoma"/>
            <family val="2"/>
          </rPr>
          <t>THOMAS STEBBINS_x000D_
http://yeinfo.com/family/I09006070.html_x000D_
https://www.google.com/search?q=THOMAS+STEBBINS+1619+1683+HANNAH+Burt_x000D_
.born:c1619    -          Bocking (Essex) England_x000D_
.died: 16830925-          Springfield (Hampden) Massachusetts, age:64y 8m 24d, _x000D_
.bapt: 1785GE_x000D_
.will: 2004MO_x000D_
.obit: 1890OH_x000D_
.bury: 1850IL _x000D_
.wpbt: 1826PA_x000D_
.anc#:ancestor_x000D_
citiz:immigrant_x000D_
#spos:2_x000D_
#srcs:1_x000D_
#comment:0_x000D_
#events:2_x000D_
#kids:1_x000D_
lived:ENESSEXBOCKING,MAHAMPDSPRINGF_x000D_
issue:Born before Parents Married_x000D_
.recs:Birth,Marriage,Death_x000D_
.imm?:immigrant_x000D_
..Spo:HANNAH WRIGHT</t>
        </r>
      </text>
    </comment>
    <comment ref="O8294" authorId="0" shapeId="0" xr:uid="{BDE450CF-2E75-4C87-9D64-ECAD04F41720}">
      <text>
        <r>
          <rPr>
            <sz val="9"/>
            <color indexed="81"/>
            <rFont val="Tahoma"/>
            <family val="2"/>
          </rPr>
          <t>SARAH WHITING_x000D_
http://yeinfo.com/family/I09012141.html_x000D_
https://www.google.com/search?q=SARAH+WHITING+1591+1649+STEBBINS_x000D_
.born: 15911130-          Bocking (Essex) England_x000D_
.died: 16491004-          Springfield (Hampden) Massachusetts, age:57y 10m 4d, _x000D_
.bapt: 1785GE_x000D_
.will: 2004MO_x000D_
.obit: 1890OH_x000D_
.bury: 1850IL _x000D_
.wpbt: 1826PA_x000D_
.anc#:ancestor_x000D_
citiz:immigrant_x000D_
#spos:1_x000D_
#srcs:1_x000D_
#comment:0_x000D_
#events:1_x000D_
#kids:1_x000D_
lived:ENESSEXBOCKING,MAHAMPDSPRINGF_x000D_
issue:_x000D_
.recs:Birth,Marriage,Death_x000D_
.imm?:immigrant_x000D_
..Spo:ROWLAND STEBBINS</t>
        </r>
      </text>
    </comment>
    <comment ref="M8296" authorId="0" shapeId="0" xr:uid="{6CD49874-0683-4DCB-B0F0-97D615513C86}">
      <text>
        <r>
          <rPr>
            <sz val="9"/>
            <color indexed="81"/>
            <rFont val="Tahoma"/>
            <family val="2"/>
          </rPr>
          <t>SARAH STEBBINS_x000D_
http://yeinfo.com/family/I09003035.html_x000D_
https://www.google.com/search?q=SARAH+STEBBINS+1654+1721+BLISS_x000D_
.born: 16540818-          Springfield (Hampden) Massachusetts_x000D_
.died: 17211106-          Springfield (Hampden) Massachusetts, age:67y 2m 19d, _x000D_
.bapt: 1785GE_x000D_
.will: 2004MO_x000D_
.obit: 1890OH_x000D_
.bury: 1850IL _x000D_
.wpbt: 1826PA_x000D_
.anc#:ancestor_x000D_
citiz:US born_x000D_
#spos:1_x000D_
#srcs:1_x000D_
#comment:0_x000D_
#events:1_x000D_
#kids:1_x000D_
lived:MAHAMPDSPRINGF_x000D_
issue:_x000D_
.recs:Birth,Marriage,Death_x000D_
.imm?:no_x000D_
..Spo:SAMUEL BLISS</t>
        </r>
      </text>
    </comment>
    <comment ref="N8298" authorId="0" shapeId="0" xr:uid="{C88C10E6-4456-4454-AFE7-B545250346D5}">
      <text>
        <r>
          <rPr>
            <sz val="9"/>
            <color indexed="81"/>
            <rFont val="Tahoma"/>
            <family val="2"/>
          </rPr>
          <t>HANNAH WRIGHT_x000D_
http://yeinfo.com/family/I09006071.html_x000D_
https://www.google.com/search?q=HANNAH+WRIGHT+1626+1660+STEBBINS_x000D_
.born: 16260826-          Essex county England_x000D_
.died: 16601016-          Springfield (Hampden) Massachusetts, age:34y 1m 20d, _x000D_
.bapt: 1785GE_x000D_
.will: 2004MO_x000D_
.obit: 1890OH_x000D_
.bury: 1850IL _x000D_
.wpbt: 1826PA_x000D_
.anc#:ancestor_x000D_
citiz:immigrant_x000D_
#spos:1_x000D_
#srcs:1_x000D_
#comment:1_x000D_
#events:1_x000D_
#kids:1_x000D_
lived:ENESSEX,MAHAMPDSPRINGF_x000D_
issue:_x000D_
.recs:Birth,Marriage,Death_x000D_
.imm?:immigrant_x000D_
..Spo:THOMAS STEBBINS</t>
        </r>
      </text>
    </comment>
    <comment ref="J8300" authorId="0" shapeId="0" xr:uid="{5BBC0A35-5BB3-409D-A816-A4A626D03925}">
      <text>
        <r>
          <rPr>
            <sz val="9"/>
            <color indexed="81"/>
            <rFont val="Tahoma"/>
            <family val="2"/>
          </rPr>
          <t>MARGARET MIGHILL_x000D_
http://yeinfo.com/family/I09000379.html_x000D_
https://www.google.com/search?q=MARGARET+MIGHILL+1752+1816+MILLER_x000D_
.born: 17520919-          Brimfield (Hampden) Massachusetts_x000D_
.died: 18161227-          Marlborough (Windham) Vermont, age:64y 3m 8d, _x000D_
.bapt: 1785GE_x000D_
.will: 2004MO_x000D_
.obit: 1890OH_x000D_
.bury: 1850IL Marlboro Center Cemetery_x000D_
.wpbt: 1826PA_x000D_
.anc#:ancestor_x000D_
citiz:US born_x000D_
#spos:2_x000D_
#srcs:6_x000D_
#comment:1_x000D_
#events:4_x000D_
#kids:10_x000D_
lived:?MAHAMPDW.SPRIN,MAHAMPDBRIMFIE,VTWINDHMARLBOR_x000D_
issue:_x000D_
.recs:Birth,Marriage Intention/Bonds,Death_x000D_
.imm?:no_x000D_
..Spo:DAVID MILLER</t>
        </r>
      </text>
    </comment>
    <comment ref="K8302" authorId="0" shapeId="0" xr:uid="{99750895-E11B-47C3-8EB6-A63A6D948320}">
      <text>
        <r>
          <rPr>
            <sz val="9"/>
            <color indexed="81"/>
            <rFont val="Tahoma"/>
            <family val="2"/>
          </rPr>
          <t>Mrs. ANNA\SARAH MIGHILL_x000D_
http://yeinfo.com/family/I09000759.html_x000D_
https://www.google.com/search?q=ANNA\SARAH+MIGHILL+1752+1816+MIGHILL_x000D_
.born:?1752    -          Springfield (Hampden) Massachusetts_x000D_
.died:c1816    -          Brimfield (Hampden) Massachusetts, age:64y 0m 0d, _x000D_
.bapt: 1785GE_x000D_
.will: 2004MO_x000D_
.obit: 1890OH_x000D_
.bury: 1850IL _x000D_
.wpbt: 1826PA_x000D_
.anc#:ancestor_x000D_
citiz:US born_x000D_
#spos:1_x000D_
#srcs:2_x000D_
#comment:0_x000D_
#events:1_x000D_
#kids:1_x000D_
lived:MAHAMPDBRIMFIE,MAHAMPDSPRINGF_x000D_
issue:_x000D_
.recs:Birth,Marriage,Death_x000D_
.imm?:no_x000D_
..Spo:NATHANIEL BLISS MIGHILL</t>
        </r>
      </text>
    </comment>
    <comment ref="G8304" authorId="0" shapeId="0" xr:uid="{FCE663FB-67D3-4ACE-B0B5-174106829E3E}">
      <text>
        <r>
          <rPr>
            <sz val="9"/>
            <color indexed="81"/>
            <rFont val="Tahoma"/>
            <family val="2"/>
          </rPr>
          <t>JANE ANN BARRETT_x000D_
http://yeinfo.com/family/I09000047.html_x000D_
https://www.google.com/search?q=JANE+ANN+BARRETT+1828+1918+MILLER+Elijah+Francis_x000D_
.born: 182806  -          Marlborough (Windham) Vermont_x000D_
.died: 19180902-          Brattleboro (Windham) Vermont, age:90y 3m 1d, _x000D_
.bapt: 1785GE_x000D_
.will: 2004MO_x000D_
.obit: 1890OH_x000D_
.bury: 1850IL _x000D_
.wpbt: 1826PA_x000D_
.anc#:ancestor_x000D_
citiz:US born_x000D_
#spos:2_x000D_
#srcs:8_x000D_
#comment:0_x000D_
#events:9_x000D_
#kids:11_x000D_
lived:ME,VTWINDHBRATTLB,VTWINDHDUMMERS,VTWINDHGUILFOR,VTWINDHMARLBOR_x000D_
issue:_x000D_
.recs:Birth,Marriage,Death,Image_x000D_
.imm?:no_x000D_
..Spo:JOHN B. MILLER</t>
        </r>
      </text>
    </comment>
    <comment ref="N8306" authorId="0" shapeId="0" xr:uid="{BEAD06AD-4855-4AA5-8E9F-E4AD7D0A4539}">
      <text>
        <r>
          <rPr>
            <sz val="9"/>
            <color indexed="81"/>
            <rFont val="Tahoma"/>
            <family val="2"/>
          </rPr>
          <t>WILLIAM PERRY_x000D_
http://yeinfo.com/family/I09006080.html_x000D_
https://www.google.com/search?q=WILLIAM+PERRY+1606+1683+SUSANNA+JOHANNA_x000D_
.born: 1606    -          Farnborough (Hampshire) England_x000D_
.died: 16830909-          Waterton (Middlesex) Massachusetts, age:77y 8m 8d, _x000D_
.bapt: 1785GE_x000D_
.will: 2004MO_x000D_
.obit: 1890OH_x000D_
.bury: 1850IL _x000D_
.wpbt: 1826PA_x000D_
.anc#:ancestor_x000D_
citiz:immigrant_x000D_
#spos:1_x000D_
#srcs:3_x000D_
#comment:2_x000D_
#events:2_x000D_
#kids:1_x000D_
lived:ENHAMPSFARNBOR,MAMIDDLWATERTO_x000D_
issue:_x000D_
.recs:Birth,Marriage,Death_x000D_
.imm?:immigrant_x000D_
..Spo:SUSANNA JOHANNA HOLLAND</t>
        </r>
      </text>
    </comment>
    <comment ref="M8308" authorId="0" shapeId="0" xr:uid="{5DE3EE0A-006D-41EE-84AC-4F4159E09235}">
      <text>
        <r>
          <rPr>
            <sz val="9"/>
            <color indexed="81"/>
            <rFont val="Tahoma"/>
            <family val="2"/>
          </rPr>
          <t>OBIDIAH PERRY_x000D_
http://yeinfo.com/family/I09003040.html_x000D_
https://www.google.com/search?q=OBIDIAH+PERRY+1640+1691+ESTHER_x000D_
.born: 1640    -          Waterton (Middlesex) Massachusetts_x000D_
.died: 16910928-          Dunstable (Middlesex) Massachusetts, age:51y 8m 27d, killed by Penacook Indians on the banks_x000D_
.bapt: 1785GE_x000D_
.will: 2004MO_x000D_
.obit: 1890OH_x000D_
.bury: 1850IL _x000D_
.wpbt: 1826PA_x000D_
.anc#:ancestor_x000D_
citiz:US born_x000D_
#spos:1_x000D_
#srcs:4_x000D_
#comment:1_x000D_
#events:2_x000D_
#kids:1_x000D_
lived:MAMIDDLDUNSTAB,MAMIDDLWATERTO_x000D_
issue:_x000D_
.recs:Birth,Marriage,Death_x000D_
.imm?:no_x000D_
..Spo:ESTHER HASSELL</t>
        </r>
      </text>
    </comment>
    <comment ref="N8310" authorId="0" shapeId="0" xr:uid="{AE2A5191-80C9-462F-AC39-AF0D0011FB27}">
      <text>
        <r>
          <rPr>
            <sz val="9"/>
            <color indexed="81"/>
            <rFont val="Tahoma"/>
            <family val="2"/>
          </rPr>
          <t>SUSANNA JOHANNA HOLLAND_x000D_
http://yeinfo.com/family/I09006081.html_x000D_
https://www.google.com/search?q=SUSANNA+JOHANNA+HOLLAND+1614+1667+PERRY_x000D_
.born: 1614    -          London (Middlesex) England_x000D_
.died: 16670908-          Waterton (Middlesex) Massachusetts, age:53y 8m 7d, _x000D_
.bapt: 1785GE_x000D_
.will: 2004MO_x000D_
.obit: 1890OH_x000D_
.bury: 1850IL _x000D_
.wpbt: 1826PA_x000D_
.anc#:ancestor_x000D_
citiz:immigrant_x000D_
#spos:1_x000D_
#srcs:3_x000D_
#comment:1_x000D_
#events:2_x000D_
#kids:1_x000D_
lived:ENHAMPSFARNBOR,ENMIDDLLONDON,MAMIDDLWATERTO_x000D_
issue:Died after Age 100_x000D_
.recs:Birth,Marriage,Death_x000D_
.imm?:immigrant_x000D_
..Spo:WILLIAM PERRY</t>
        </r>
      </text>
    </comment>
    <comment ref="L8312" authorId="0" shapeId="0" xr:uid="{9DFCF076-C2B6-4A6F-8448-E8E10469AF2C}">
      <text>
        <r>
          <rPr>
            <sz val="9"/>
            <color indexed="81"/>
            <rFont val="Tahoma"/>
            <family val="2"/>
          </rPr>
          <t>EBENEZER PERRY_x000D_
http://yeinfo.com/family/I09001520.html_x000D_
https://www.google.com/search?q=EBENEZER+PERRY+1671+1732+MERCY\MARY_x000D_
.born: 16711120-          Waterton (Middlesex) Massachusetts_x000D_
.died: 17321021-          Sudbury (Middlesex) Massachusetts, age:60y 11m 1d, _x000D_
.bapt: 1785GE_x000D_
.will: 2004MO_x000D_
.obit: 1890OH_x000D_
.bury: 1850IL _x000D_
.wpbt: 1826PA_x000D_
.anc#:ancestor_x000D_
citiz:US born_x000D_
#spos:1_x000D_
#srcs:5_x000D_
#comment:2_x000D_
#events:3_x000D_
#kids:1_x000D_
lived:?MAMIDDLFRAMING,MAMIDDLSUDBURY,MAMIDDLWATERTO_x000D_
issue:_x000D_
.recs:Birth,Marriage,Death_x000D_
.imm?:no_x000D_
..Spo:MERCY\MARY BRIGHAM</t>
        </r>
      </text>
    </comment>
    <comment ref="N8314" authorId="0" shapeId="0" xr:uid="{8D30C85C-974B-4341-B22E-9D98A0F4E831}">
      <text>
        <r>
          <rPr>
            <sz val="9"/>
            <color indexed="81"/>
            <rFont val="Tahoma"/>
            <family val="2"/>
          </rPr>
          <t>RICHARD HASSELL_x000D_
http://yeinfo.com/family/I09006082.html_x000D_
https://www.google.com/search?q=RICHARD+HASSELL+1622+1691+JOANNA_x000D_
.born: 1622    -          Axbridge (Somerset) England_x000D_
.died: 16910902-          Dunstable (Middlesex) Massachusetts, age:69y 8m 1d, _x000D_
.bapt: 1785GE_x000D_
.will: 2004MO_x000D_
.obit: 1890OH_x000D_
.bury: 1850IL _x000D_
.wpbt: 1826PA_x000D_
.anc#:ancestor_x000D_
citiz:immigrant_x000D_
#spos:1_x000D_
#srcs:3_x000D_
#comment:1_x000D_
#events:1_x000D_
#kids:1_x000D_
lived:ENSOMESAXBRIDG,MAMIDDLDUNSTAB_x000D_
issue:_x000D_
.recs:Birth,Marriage,Death_x000D_
.imm?:immigrant_x000D_
..Spo:JOANNA BATEMAN</t>
        </r>
      </text>
    </comment>
    <comment ref="M8316" authorId="0" shapeId="0" xr:uid="{5B4B7748-38B7-4274-86B4-6EB17A3C62FF}">
      <text>
        <r>
          <rPr>
            <sz val="9"/>
            <color indexed="81"/>
            <rFont val="Tahoma"/>
            <family val="2"/>
          </rPr>
          <t>ESTHER HASSELL_x000D_
http://yeinfo.com/family/I09003041.html_x000D_
https://www.google.com/search?q=ESTHER+HASSELL+1648+1692+PERRY_x000D_
.born: 16481206-          Cambridge (Middlesex) Massachusetts_x000D_
.died: 16921006-          Waterton (Middlesex) Massachusetts, age:43y 10m 0d, _x000D_
.bapt: 1785GE_x000D_
.will: 2004MO_x000D_
.obit: 1890OH_x000D_
.bury: 1850IL _x000D_
.wpbt: 1826PA_x000D_
.anc#:ancestor_x000D_
citiz:US born_x000D_
#spos:1_x000D_
#srcs:3_x000D_
#comment:1_x000D_
#events:2_x000D_
#kids:1_x000D_
lived:MAMIDDLCAMBRID,MAMIDDLDUNSTAB,MAMIDDLWATERTO_x000D_
issue:_x000D_
.recs:Birth,Marriage,Death_x000D_
.imm?:no_x000D_
..Spo:OBIDIAH PERRY</t>
        </r>
      </text>
    </comment>
    <comment ref="N8318" authorId="0" shapeId="0" xr:uid="{67EB746E-128F-41D6-8AD9-0148B7199DCE}">
      <text>
        <r>
          <rPr>
            <sz val="9"/>
            <color indexed="81"/>
            <rFont val="Tahoma"/>
            <family val="2"/>
          </rPr>
          <t>JOANNA BATEMAN_x000D_
http://yeinfo.com/family/I09006083.html_x000D_
https://www.google.com/search?q=JOANNA+BATEMAN+1625+1691+HASSELL_x000D_
.born: 1625    -          Dorset county England_x000D_
.died: 16910902-          Dunstable (Middlesex) Massachusetts, age:66y 8m 1d, _x000D_
.bapt: 1785GE_x000D_
.will: 2004MO_x000D_
.obit: 1890OH_x000D_
.bury: 1850IL _x000D_
.wpbt: 1826PA_x000D_
.anc#:ancestor_x000D_
citiz:immigrant_x000D_
#spos:1_x000D_
#srcs:3_x000D_
#comment:1_x000D_
#events:1_x000D_
#kids:1_x000D_
lived:ENDORSE,MAMIDDLDUNSTAB_x000D_
issue:_x000D_
.recs:Birth,Marriage,Death_x000D_
.imm?:immigrant_x000D_
..Spo:RICHARD HASSELL</t>
        </r>
      </text>
    </comment>
    <comment ref="K8320" authorId="0" shapeId="0" xr:uid="{3874A687-3557-476F-95F7-2B7163273A48}">
      <text>
        <r>
          <rPr>
            <sz val="9"/>
            <color indexed="81"/>
            <rFont val="Tahoma"/>
            <family val="2"/>
          </rPr>
          <t>JAPHET\JAFIT PERRY_x000D_
http://yeinfo.com/family/I09000760.html_x000D_
https://www.google.com/search?q=JAPHET\JAFIT+PERRY+1702+1756+LYDIA_x000D_
.born: 1702    -          Framingham (Middlesex) Massachusetts_x000D_
.died: 1756    -         ?Massachusetts, age:54y 0m 0d, _x000D_
.bapt: 1785GE_x000D_
.will: 2004MO_x000D_
.obit: 1890OH_x000D_
.bury: 1850IL _x000D_
.wpbt: 1826PA_x000D_
.anc#:ancestor_x000D_
citiz:US born_x000D_
#spos:1_x000D_
#srcs:2_x000D_
#comment:1_x000D_
#events:1_x000D_
#kids:4_x000D_
lived:MAMIDDLFRAMING_x000D_
issue:_x000D_
.recs:Birth,Marriage,Death_x000D_
.imm?:no_x000D_
..Spo:LYDIA HOWE</t>
        </r>
      </text>
    </comment>
    <comment ref="N8322" authorId="0" shapeId="0" xr:uid="{D8B77172-6675-4E52-A3D4-AC45E439A43C}">
      <text>
        <r>
          <rPr>
            <sz val="9"/>
            <color indexed="81"/>
            <rFont val="Tahoma"/>
            <family val="2"/>
          </rPr>
          <t>THOMAS BRIGHAM_x000D_
http://yeinfo.com/family/I09006084.html_x000D_
https://www.google.com/search?q=THOMAS+BRIGHAM+1603+1653+MERCY\MARY_x000D_
.born: 1603    -          Holme upon Spalding Moor (Yorkshire) England_x000D_
.died: 16531208-          Cambridge (Middlesex) Massachusetts, age:50y 11m 7d, _x000D_
.bapt: 1785GE_x000D_
.will: 2004MO_x000D_
.obit: 1890OH_x000D_
.bury: 1850IL _x000D_
.wpbt: 1826PA_x000D_
.anc#:ancestor_x000D_
citiz:immigrant_x000D_
#spos:1_x000D_
#srcs:4_x000D_
#comment:3_x000D_
#events:4_x000D_
#kids:0_x000D_
lived:ENYORKSHOLME U,MAMIDDLCAMBRID,MANORFOBROOKLI_x000D_
issue:_x000D_
.recs:Birth,Will Written,Death,Immigrate_x000D_
.imm?:immigrant_x000D_
..Spo:MERCY\MARY HURD</t>
        </r>
      </text>
    </comment>
    <comment ref="M8324" authorId="0" shapeId="0" xr:uid="{75D8EF09-5BFA-41D5-956D-7C334F477451}">
      <text>
        <r>
          <rPr>
            <sz val="9"/>
            <color indexed="81"/>
            <rFont val="Tahoma"/>
            <family val="2"/>
          </rPr>
          <t>JOHN BRIGHAM_x000D_
http://yeinfo.com/family/I09003042.html_x000D_
https://www.google.com/search?q=JOHN+BRIGHAM+1643+1728+SARAH_x000D_
.born: 16430309-          Cambridge (Middlesex) Massachusetts_x000D_
.died: 17280916-          Sudbury (Middlesex) Massachusetts, age:85y 6m 7d, _x000D_
.bapt: 1785GE_x000D_
.will: 2004MO_x000D_
.obit: 1890OH_x000D_
.bury: 1850IL _x000D_
.wpbt: 1826PA_x000D_
.anc#:ancestor_x000D_
citiz:US born_x000D_
#spos:1_x000D_
#srcs:4_x000D_
#comment:1_x000D_
#events:1_x000D_
#kids:1_x000D_
lived:MAMIDDLCAMBRID,MAMIDDLSUDBURY_x000D_
issue:_x000D_
.recs:Birth,Marriage,Death_x000D_
.imm?:no_x000D_
..Spo:SARAH DAVIS</t>
        </r>
      </text>
    </comment>
    <comment ref="N8326" authorId="0" shapeId="0" xr:uid="{19D91617-154A-475D-8F9D-E63B02C3F06B}">
      <text>
        <r>
          <rPr>
            <sz val="9"/>
            <color indexed="81"/>
            <rFont val="Tahoma"/>
            <family val="2"/>
          </rPr>
          <t>MERCY\MARY HURD_x000D_
http://yeinfo.com/family/I09006085.html_x000D_
https://www.google.com/search?q=MERCY\MARY+HURD+1613+1693+BRIGHAM+EDMUND_x000D_
.born: 1613    -          Cambridge (Middlesex) Massachusetts_x000D_
.died: 16931222-          Marlborough (Middlesex) Massachusetts, age:80y 11m 21d, _x000D_
.bapt: 1785GE_x000D_
.will: 2004MO_x000D_
.obit: 1890OH_x000D_
.bury: 1850IL _x000D_
.wpbt: 1826PA_x000D_
.anc#:ancestor_x000D_
citiz:US born_x000D_
#spos:3_x000D_
#srcs:12_x000D_
#comment:1_x000D_
#events:3_x000D_
#kids:2_x000D_
lived:MAMIDDLCAMBRID,MAMIDDLMARLBOR,MAMIDDLSUDBURY,MANORFOBROOKLI_x000D_
issue:_x000D_
.recs:Birth,Marriage,Death_x000D_
.imm?:no_x000D_
..Spo:THOMAS BRIGHAM</t>
        </r>
      </text>
    </comment>
    <comment ref="L8328" authorId="0" shapeId="0" xr:uid="{964116E2-6C59-458A-9E18-3F3DD6DA274E}">
      <text>
        <r>
          <rPr>
            <sz val="9"/>
            <color indexed="81"/>
            <rFont val="Tahoma"/>
            <family val="2"/>
          </rPr>
          <t>MERCY\MARY BRIGHAM_x000D_
http://yeinfo.com/family/I09001521.html_x000D_
https://www.google.com/search?q=MERCY\MARY+BRIGHAM+1689+1751+PERRY_x000D_
.born: 1689    -          Sudbury (Middlesex) Massachusetts_x000D_
.died: 175111  -          Marlborough (Middlesex) Massachusetts, age:62y 10m 0d, _x000D_
.bapt: 1785GE_x000D_
.will: 2004MO_x000D_
.obit: 1890OH_x000D_
.bury: 1850IL _x000D_
.wpbt: 1826PA_x000D_
.anc#:ancestor_x000D_
citiz:US born_x000D_
#spos:1_x000D_
#srcs:3_x000D_
#comment:1_x000D_
#events:1_x000D_
#kids:1_x000D_
lived:?MAMIDDLFRAMING,MAMIDDLMARLBOR,MAMIDDLSUDBURY_x000D_
issue:Died after Age 100_x000D_
.recs:Birth,Marriage,Death_x000D_
.imm?:no_x000D_
..Spo:EBENEZER PERRY</t>
        </r>
      </text>
    </comment>
    <comment ref="N8330" authorId="0" shapeId="0" xr:uid="{5DC320A3-8046-4E5A-AB45-F517F481EC45}">
      <text>
        <r>
          <rPr>
            <sz val="9"/>
            <color indexed="81"/>
            <rFont val="Tahoma"/>
            <family val="2"/>
          </rPr>
          <t>ROBERT DAVIS_x000D_
http://yeinfo.com/family/I09006086.html_x000D_
https://www.google.com/search?q=ROBERT+DAVIS+1608+1655+BRIDGETT_x000D_
.born: 160804  -          London (Middlesex) England_x000D_
.died: 16550719-          Sudbury (Middlesex) Massachusetts, age:47y 3m 18d, _x000D_
.bapt: 1785GE_x000D_
.will: 2004MO_x000D_
.obit: 1890OH_x000D_
.bury: 1850IL _x000D_
.wpbt: 1826PA_x000D_
.anc#:ancestor_x000D_
citiz:immigrant_x000D_
#spos:1_x000D_
#srcs:4_x000D_
#comment:1_x000D_
#events:1_x000D_
#kids:1_x000D_
lived:?MAMIDDLSUDBURY,ENMIDDLLONDON_x000D_
issue:_x000D_
.recs:Birth,Marriage,Death_x000D_
.imm?:immigrant_x000D_
..Spo:BRIDGETT LOKER</t>
        </r>
      </text>
    </comment>
    <comment ref="M8332" authorId="0" shapeId="0" xr:uid="{01988909-81B9-40C5-B848-D6494085166A}">
      <text>
        <r>
          <rPr>
            <sz val="9"/>
            <color indexed="81"/>
            <rFont val="Tahoma"/>
            <family val="2"/>
          </rPr>
          <t>SARAH DAVIS_x000D_
http://yeinfo.com/family/I09003043.html_x000D_
https://www.google.com/search?q=SARAH+DAVIS+1646+1698+BRIGHAM_x000D_
.born: 16460410-          Sudbury (Middlesex) Massachusetts_x000D_
.died: 1698    -          Northborough (Worcester) Massachusetts, age:51y 8m 22d, _x000D_
.bapt: 1785GE_x000D_
.will: 2004MO_x000D_
.obit: 1890OH_x000D_
.bury: 1850IL _x000D_
.wpbt: 1826PA_x000D_
.anc#:ancestor_x000D_
citiz:US born_x000D_
#spos:1_x000D_
#srcs:4_x000D_
#comment:1_x000D_
#events:1_x000D_
#kids:1_x000D_
lived:MAMIDDLSUDBURY,MAWORCENORTHBO_x000D_
issue:_x000D_
.recs:Birth,Marriage,Death_x000D_
.imm?:no_x000D_
..Spo:JOHN BRIGHAM</t>
        </r>
      </text>
    </comment>
    <comment ref="Q8334" authorId="0" shapeId="0" xr:uid="{1E1F878E-0B2E-4132-8470-AB48B831BC70}">
      <text>
        <r>
          <rPr>
            <sz val="9"/>
            <color indexed="81"/>
            <rFont val="Tahoma"/>
            <family val="2"/>
          </rPr>
          <t>JOHN LOKER_x000D_
http://yeinfo.com/family/I09048200.html_x000D_
https://www.google.com/search?q=JOHN+LOKER+1508+1552+JOAN_x000D_
.born: 1508    -          _x000D_
.died: 15520915-          Essex county England, age:44y 8m 14d, _x000D_
.bapt: 1785GE_x000D_
.will: 2004MO_x000D_
.obit: 1890OH_x000D_
.bury: 1850IL _x000D_
.wpbt: 1826PA_x000D_
.anc#:  triple ancestor_x000D_
citiz:foreign_x000D_
#spos:1_x000D_
#srcs:2_x000D_
#comment:0_x000D_
#events:1_x000D_
#kids:1_x000D_
lived:ENESSEX,ENSUFFOBURES_x000D_
issue:_x000D_
.recs:Birth,Marriage,Death_x000D_
.imm?:no_x000D_
..Spo:JOAN RIDDLESDALE</t>
        </r>
      </text>
    </comment>
    <comment ref="P8336" authorId="0" shapeId="0" xr:uid="{82758890-2263-42C9-BA28-020676526F8D}">
      <text>
        <r>
          <rPr>
            <sz val="9"/>
            <color indexed="81"/>
            <rFont val="Tahoma"/>
            <family val="2"/>
          </rPr>
          <t>ROBERT LOKER_x000D_
http://yeinfo.com/family/I09024100.html_x000D_
https://www.google.com/search?q=ROBERT+LOKER+1534+1592+LUCY_x000D_
.born: 1534    -          Essex county England_x000D_
.died: 1592    -          Essex county England, age:58y 0m 0d, _x000D_
.bapt: 1785GE_x000D_
.will: 2004MO_x000D_
.obit: 1890OH_x000D_
.bury: 1850IL _x000D_
.wpbt: 1826PA_x000D_
.anc#:  triple ancestor_x000D_
citiz:foreign_x000D_
#spos:1_x000D_
#srcs:3_x000D_
#comment:0_x000D_
#events:1_x000D_
#kids:7_x000D_
lived:ENESSEX,ENSUFFOBURES_x000D_
issue:_x000D_
.recs:Birth,Marriage,Death_x000D_
.imm?:no_x000D_
..Spo:LUCY RIDDLESDALE</t>
        </r>
      </text>
    </comment>
    <comment ref="Q8338" authorId="0" shapeId="0" xr:uid="{089A470A-2103-4910-A256-704A1037DDCE}">
      <text>
        <r>
          <rPr>
            <sz val="9"/>
            <color indexed="81"/>
            <rFont val="Tahoma"/>
            <family val="2"/>
          </rPr>
          <t>JOAN RIDDLESDALE_x000D_
http://yeinfo.com/family/I09048201.html_x000D_
https://www.google.com/search?q=JOAN+RIDDLESDALE+1512+1561+LOKER_x000D_
.born: 1512    -          Bures (Suffolk) England_x000D_
.died: 15610430-          Bures (Suffolk) England, age:49y 3m 29d, _x000D_
.bapt: 1785GE_x000D_
.will: 2004MO_x000D_
.obit: 1890OH_x000D_
.bury: 1850IL St.Mary the Virgin,Babergh District_x000D_
.wpbt: 1826PA_x000D_
.anc#:  triple ancestor_x000D_
citiz:foreign_x000D_
#spos:1_x000D_
#srcs:4_x000D_
#comment:0_x000D_
#events:2_x000D_
#kids:1_x000D_
lived:ENSUFFOBURES_x000D_
issue:_x000D_
.recs:Birth,Marriage,Death,Interment/Burial_x000D_
.imm?:no_x000D_
..Spo:JOHN LOKER</t>
        </r>
      </text>
    </comment>
    <comment ref="O8340" authorId="0" shapeId="0" xr:uid="{FE3EE3FF-6830-484D-9146-098CA4EC48E0}">
      <text>
        <r>
          <rPr>
            <sz val="9"/>
            <color indexed="81"/>
            <rFont val="Tahoma"/>
            <family val="2"/>
          </rPr>
          <t>HENRY LOKER Jr._x000D_
http://yeinfo.com/family/I09012050.html_x000D_
https://www.google.com/search?q=HENRY+LOKER+1577+1631+ELIZABETH_x000D_
.born: 15770207-          Essex county England_x000D_
.died: 16310417-          Essex county England, age:54y 2m 10d, _x000D_
.bapt: 1785GE_x000D_
.will: 2004MO_x000D_
.obit: 1890OH_x000D_
.bury: 1850IL St.Mary the Virgin Churchyard_x000D_
.wpbt: 1826PA_x000D_
.anc#:  triple ancestor_x000D_
citiz:foreign_x000D_
#spos:1_x000D_
#srcs:11_x000D_
#comment:1_x000D_
#events:3_x000D_
#kids:5_x000D_
lived:ENESSEX,ENSUFFOBURES_x000D_
issue:Died before Birth_x000D_
.recs:Birth,Marriage,Death,Interment/Burial_x000D_
.imm?:no_x000D_
..Spo:ELIZABETH FRENCH</t>
        </r>
      </text>
    </comment>
    <comment ref="Q8342" authorId="0" shapeId="0" xr:uid="{1D0F2F9A-CF60-4D39-8037-79F169CBE160}">
      <text>
        <r>
          <rPr>
            <sz val="9"/>
            <color indexed="81"/>
            <rFont val="Tahoma"/>
            <family val="2"/>
          </rPr>
          <t>JOHN RIDDLESDALE_x000D_
http://yeinfo.com/family/I09048202.html_x000D_
https://www.google.com/search?q=JOHN+RIDDLESDALE+1510+1552+LUCY\JOAN_x000D_
.born: 1510    -          Bures (Suffolk) England_x000D_
.died: 1552    -         ?Bures (Suffolk) England, age:42y 0m 0d, _x000D_
.bapt: 1785GE_x000D_
.will: 2004MO_x000D_
.obit: 1890OH_x000D_
.bury: 1850IL _x000D_
.wpbt: 1826PA_x000D_
.anc#:  triple ancestor_x000D_
citiz:foreign_x000D_
#spos:1_x000D_
#srcs:1_x000D_
#comment:0_x000D_
#events:2_x000D_
#kids:1_x000D_
lived:ENSUFFOBURES_x000D_
issue:_x000D_
.recs:Birth,Marriage,Death_x000D_
.imm?:no_x000D_
..Spo:LUCY\JOAN RIDDLESDALE</t>
        </r>
      </text>
    </comment>
    <comment ref="P8344" authorId="0" shapeId="0" xr:uid="{8FC23E2F-A72A-4323-AEE3-17596DED0055}">
      <text>
        <r>
          <rPr>
            <sz val="9"/>
            <color indexed="81"/>
            <rFont val="Tahoma"/>
            <family val="2"/>
          </rPr>
          <t>LUCY RIDDLESDALE_x000D_
http://yeinfo.com/family/I09024101.html_x000D_
https://www.google.com/search?q=LUCY+RIDDLESDALE+1536+1592+LOKER_x000D_
.born: 1536    -          Essex county England_x000D_
.died: 15920228-          Essex county England, age:56y 1m 27d, _x000D_
.bapt: 1785GE_x000D_
.will: 2004MO_x000D_
.obit: 1890OH_x000D_
.bury: 1850IL _x000D_
.wpbt: 1826PA_x000D_
.anc#:  triple ancestor_x000D_
citiz:foreign_x000D_
#spos:1_x000D_
#srcs:3_x000D_
#comment:0_x000D_
#events:1_x000D_
#kids:7_x000D_
lived:ENESSEX,ENSUFFOBURES_x000D_
issue:_x000D_
.recs:Birth,Marriage,Death_x000D_
.imm?:no_x000D_
..Spo:ROBERT LOKER</t>
        </r>
      </text>
    </comment>
    <comment ref="Q8346" authorId="0" shapeId="0" xr:uid="{FAC5E2CD-62C2-498E-93A2-F828017E4D52}">
      <text>
        <r>
          <rPr>
            <sz val="9"/>
            <color indexed="81"/>
            <rFont val="Tahoma"/>
            <family val="2"/>
          </rPr>
          <t>Mrs. LUCY\JOAN RIDDLESDALE_x000D_
http://yeinfo.com/family/I09048203.html_x000D_
https://www.google.com/search?q=LUCY\JOAN+RIDDLESDALE+1512+1536+RIDDLESDALE_x000D_
.born:c1512    -         ?Essex county England_x000D_
.died: 1536    -1602     ?Bures (Suffolk) England, age:24y 0m 0d, _x000D_
.bapt: 1785GE_x000D_
.will: 2004MO_x000D_
.obit: 1890OH_x000D_
.bury: 1850IL _x000D_
.wpbt: 1826PA_x000D_
.anc#:  triple ancestor_x000D_
citiz:foreign_x000D_
#spos:1_x000D_
#srcs:2_x000D_
#comment:0_x000D_
#events:1_x000D_
#kids:1_x000D_
lived:?ENESSEX,?ENSUFFOBURES_x000D_
issue:_x000D_
.recs:Birth,Marriage,Death_x000D_
.imm?:no_x000D_
..Spo:JOHN RIDDLESDALE</t>
        </r>
      </text>
    </comment>
    <comment ref="N8348" authorId="0" shapeId="0" xr:uid="{6EC8104D-EB43-4647-BFCB-EEF7F25224B3}">
      <text>
        <r>
          <rPr>
            <sz val="9"/>
            <color indexed="81"/>
            <rFont val="Tahoma"/>
            <family val="2"/>
          </rPr>
          <t>BRIDGETT LOKER_x000D_
http://yeinfo.com/family/I09006087.html_x000D_
https://www.google.com/search?q=BRIDGETT+LOKER+1613+1685+DAVIS_x000D_
.born: 1613    -          Suffolk county England_x000D_
.died: 16850311-          Marlborough (Middlesex) Massachusetts, age:72y 2m 10d, _x000D_
.bapt: 1785GE_x000D_
.will: 2004MO_x000D_
.obit: 1890OH_x000D_
.bury: 1850IL _x000D_
.wpbt: 1826PA_x000D_
.anc#:ancestor_x000D_
citiz:immigrant_x000D_
#spos:1_x000D_
#srcs:4_x000D_
#comment:1_x000D_
#events:1_x000D_
#kids:1_x000D_
lived:?MAMIDDLSUDBURY,ENSUFFO,MAMIDDLMARLBOR_x000D_
issue:Born before Parents Married,Died after Age 100_x000D_
.recs:Birth,Marriage,Death_x000D_
.imm?:immigrant_x000D_
..Spo:ROBERT DAVIS</t>
        </r>
      </text>
    </comment>
    <comment ref="O8350" authorId="0" shapeId="0" xr:uid="{0220D11F-5B5D-490B-8BEC-9448BA07F168}">
      <text>
        <r>
          <rPr>
            <sz val="9"/>
            <color indexed="81"/>
            <rFont val="Tahoma"/>
            <family val="2"/>
          </rPr>
          <t>ELIZABETH FRENCH_x000D_
http://yeinfo.com/family/I09012051.html_x000D_
https://www.google.com/search?q=ELIZABETH+FRENCH+1580+1648+LOKER_x000D_
.born:?1580    -         ?England_x000D_
.died: 16480518-          Sudbury (Middlesex) Massachusetts, age:68y 4m 17d, _x000D_
.bapt: 1785GE_x000D_
.will: 2004MO_x000D_
.obit: 1890OH_x000D_
.bury: 1850IL _x000D_
.wpbt: 1826PA_x000D_
.anc#:  triple ancestor_x000D_
citiz:immigrant_x000D_
#spos:1_x000D_
#srcs:4_x000D_
#comment:0_x000D_
#events:1_x000D_
#kids:5_x000D_
lived:?EN,ENSUFFOBURES,MAMIDDLSUDBURY_x000D_
issue:_x000D_
.recs:Birth,Marriage,Death_x000D_
.imm?:immigrant_x000D_
..Spo:HENRY LOKER</t>
        </r>
      </text>
    </comment>
    <comment ref="J8352" authorId="0" shapeId="0" xr:uid="{DBA96916-F8C1-4D17-81FD-489A9D0487A2}">
      <text>
        <r>
          <rPr>
            <sz val="9"/>
            <color indexed="81"/>
            <rFont val="Tahoma"/>
            <family val="2"/>
          </rPr>
          <t>DANIEL PERRY_x000D_
http://yeinfo.com/family/I09000380.html_x000D_
https://www.google.com/search?q=DANIEL+PERRY+1742+1829+MARY+Merriman_x000D_
.born: 17420908-          Framingham (Middlesex) Massachusetts_x000D_
.died: 18290408-          Newfane (Windham) Vermont, age:86y 7m 0d, _x000D_
.bapt: 1785GE_x000D_
.will: 2004MO_x000D_
.obit: 1890OH_x000D_
.bury: 1850IL _x000D_
.wpbt: 1826PA_x000D_
.anc#:ancestor_x000D_
citiz:US born_x000D_
#spos:2_x000D_
#srcs:8_x000D_
#comment:1_x000D_
#events:7_x000D_
#kids:3_x000D_
lived:MAMIDDLFRAMING,MAWORCELANCAST,MAWORCESHREWSB,VTWINDHBRATTLB,VTWINDHNEWFANE_x000D_
issue:_x000D_
.recs:Birth,Baptism,Marriage Intention/Bonds,Will Written,Death,Obituary_x000D_
.imm?:no_x000D_
..Spo:MARY NEWTON</t>
        </r>
      </text>
    </comment>
    <comment ref="R8354" authorId="0" shapeId="0" xr:uid="{BE71F903-D08B-43AE-BBED-6F08D459BD99}">
      <text>
        <r>
          <rPr>
            <sz val="9"/>
            <color indexed="81"/>
            <rFont val="Tahoma"/>
            <family val="2"/>
          </rPr>
          <t>WILLIAM HOWE_x000D_
http://yeinfo.com/family/I09066695.html_x000D_
https://www.google.com/search?q=WILLIAM+HOWE+1501+1558+{_?_}_x000D_
.born:?1501    -          England_x000D_
.died:p15580825-          Essex county England, age:57y 7m 24d, _x000D_
.bapt: 1785GE_x000D_
.will: 2004MO_x000D_
.obit: 1890OH_x000D_
.bury: 1850IL _x000D_
.wpbt: 1826PA_x000D_
.anc#:double ancestor_x000D_
citiz:foreign_x000D_
#spos:1_x000D_
#srcs:1_x000D_
#comment:0_x000D_
#events:1_x000D_
#kids:1_x000D_
lived:ENESSEX_x000D_
issue:_x000D_
.recs:Birth,Marriage,Death_x000D_
.imm?:no_x000D_
..Spo:{_?_} HOWE</t>
        </r>
      </text>
    </comment>
    <comment ref="Q8356" authorId="0" shapeId="0" xr:uid="{A6411729-4C92-4A2B-9F09-D5FAECF8189C}">
      <text>
        <r>
          <rPr>
            <sz val="9"/>
            <color indexed="81"/>
            <rFont val="Tahoma"/>
            <family val="2"/>
          </rPr>
          <t>JOHN HOWE_x000D_
http://yeinfo.com/family/I09048704.html_x000D_
https://www.google.com/search?q=JOHN+HOWE+1530+1591+JOAN_x000D_
.born: 1530    -          Hatfield (Essex) England_x000D_
.died: 15910207-          Magdalen Laver (Essex) England, age:61y 1m 6d, _x000D_
.bapt: 1785GE_x000D_
.will: 2004MO_x000D_
.obit: 1890OH_x000D_
.bury: 1850IL _x000D_
.wpbt: 1826PA_x000D_
.anc#:double ancestor_x000D_
citiz:foreign_x000D_
#spos:1_x000D_
#srcs:1_x000D_
#comment:0_x000D_
#events:2_x000D_
#kids:1_x000D_
lived:ENESSEXBOBBING,ENESSEXGREAHLY,ENESSEXHATFIEL,ENESSEXMAGLAVR_x000D_
issue:_x000D_
.recs:Birth,Marriage,Death_x000D_
.imm?:no_x000D_
..Spo:JOAN WELLES</t>
        </r>
      </text>
    </comment>
    <comment ref="R8358" authorId="0" shapeId="0" xr:uid="{D3CCDABA-B7DF-48FB-B4F5-D7C7C7212476}">
      <text>
        <r>
          <rPr>
            <sz val="9"/>
            <color indexed="81"/>
            <rFont val="Tahoma"/>
            <family val="2"/>
          </rPr>
          <t>Mrs. {_?_} HOWE_x000D_
http://yeinfo.com/family/I09066694.html_x000D_
https://www.google.com/search?q={_?_}+HOWE+1501+1530+HOWE_x000D_
.born: 1501    -          England_x000D_
.died: 1530    -1600     ?England, age:29y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..Spo:WILLIAM HOWE</t>
        </r>
      </text>
    </comment>
    <comment ref="P8360" authorId="0" shapeId="0" xr:uid="{85BA2AD0-F96D-4620-884B-CEE9EDC503E2}">
      <text>
        <r>
          <rPr>
            <sz val="9"/>
            <color indexed="81"/>
            <rFont val="Tahoma"/>
            <family val="2"/>
          </rPr>
          <t>ROBERT HOWE_x000D_
http://yeinfo.com/family/I09024352.html_x000D_
https://www.google.com/search?q=ROBERT+HOWE+1570+1632+EME_x000D_
.born: 15700212-          Hatfield Broad Oak (Essex) England_x000D_
.died: 1632    -          Hatfield Broad Oak (Essex) England, age:61y 10m 20d, _x000D_
.bapt: 1785GE_x000D_
.will: 2004MO_x000D_
.obit: 1890OH_x000D_
.bury: 1850IL _x000D_
.wpbt: 1826PA_x000D_
.anc#:double ancestor_x000D_
citiz:foreign_x000D_
#spos:1_x000D_
#srcs:1_x000D_
#comment:0_x000D_
#events:2_x000D_
#kids:4_x000D_
lived:ENESSEXHATFOAK,ENESSEXLITTCAF,ENESSEXMAGLAVR_x000D_
issue:_x000D_
.recs:Birth,Baptism,Marriage,Death_x000D_
.imm?:no_x000D_
..Spo:EME INGOLD</t>
        </r>
      </text>
    </comment>
    <comment ref="Q8362" authorId="0" shapeId="0" xr:uid="{E694FD07-AAFC-494F-8BBB-E334373370EB}">
      <text>
        <r>
          <rPr>
            <sz val="9"/>
            <color indexed="81"/>
            <rFont val="Tahoma"/>
            <family val="2"/>
          </rPr>
          <t>JOAN WELLES_x000D_
http://yeinfo.com/family/I09048705.html_x000D_
https://www.google.com/search?q=JOAN+WELLES+1542+1591+HOWE_x000D_
.born: 1542    -          England_x000D_
.died: 15910207-         ?England, age:49y 1m 6d, _x000D_
.bapt: 1785GE_x000D_
.will: 2004MO_x000D_
.obit: 1890OH_x000D_
.bury: 1850IL _x000D_
.wpbt: 1826PA_x000D_
.anc#:double ancestor_x000D_
citiz:foreign_x000D_
#spos:1_x000D_
#srcs:1_x000D_
#comment:0_x000D_
#events:1_x000D_
#kids:1_x000D_
lived:ENESSEXBOBBING_x000D_
issue:_x000D_
.recs:Birth,Marriage,Death_x000D_
.imm?:no_x000D_
..Spo:JOHN HOWE</t>
        </r>
      </text>
    </comment>
    <comment ref="O8364" authorId="0" shapeId="0" xr:uid="{667458EB-185F-4FA2-BBFC-D7DD2FD934B4}">
      <text>
        <r>
          <rPr>
            <sz val="9"/>
            <color indexed="81"/>
            <rFont val="Tahoma"/>
            <family val="2"/>
          </rPr>
          <t>ABRAHAM HOWE Sr._x000D_
http://yeinfo.com/family/I09012176.html_x000D_
https://www.google.com/search?q=ABRAHAM+HOWE+1600+1676+ELIZABETH_x000D_
.born:?1600    -          Hatfield Broad Oak (Essex) England_x000D_
.died: 1676    -          Boston (Suffolk) Massachusetts, age:76y 0m 0d, _x000D_
.bapt: 1785GE_x000D_
.will: 2004MO_x000D_
.obit: 1890OH_x000D_
.bury: 1850IL _x000D_
.wpbt: 1826PA_x000D_
.anc#:ancestor_x000D_
citiz:immigrant_x000D_
#spos:1_x000D_
#srcs:1_x000D_
#comment:1_x000D_
#events:3_x000D_
#kids:1_x000D_
lived:ENESSEXHATFOAK,MASUFFOBOSTON_x000D_
issue:_x000D_
.recs:Birth,Death,Freeman,Immigrate_x000D_
.imm?:immigrant_x000D_
..Spo:ELIZABETH HOWE</t>
        </r>
      </text>
    </comment>
    <comment ref="P8366" authorId="0" shapeId="0" xr:uid="{627062EB-63E8-4E23-95A5-6EBFA72E40FF}">
      <text>
        <r>
          <rPr>
            <sz val="9"/>
            <color indexed="81"/>
            <rFont val="Tahoma"/>
            <family val="2"/>
          </rPr>
          <t>EME INGOLD_x000D_
http://yeinfo.com/family/I09024353.html_x000D_
https://www.google.com/search?q=EME+INGOLD+1577+1634+HOWE_x000D_
.born:c1577    -          Somerset county England_x000D_
.died: 16340121-          Boston (Suffolk) Massachusetts, age:57y 0m 20d, _x000D_
.bapt: 1785GE_x000D_
.will: 2004MO_x000D_
.obit: 1890OH_x000D_
.bury: 1850IL _x000D_
.wpbt: 1826PA_x000D_
.anc#:double ancestor_x000D_
citiz:immigrant_x000D_
#spos:1_x000D_
#srcs:1_x000D_
#comment:0_x000D_
#events:1_x000D_
#kids:4_x000D_
lived:ENESSEXMAGLAVR,ENSOMES,MASUFFOBOSTON_x000D_
issue:_x000D_
.recs:Birth,Marriage,Death_x000D_
.imm?:immigrant_x000D_
..Spo:ROBERT HOWE</t>
        </r>
      </text>
    </comment>
    <comment ref="N8368" authorId="0" shapeId="0" xr:uid="{2A7FC1FF-ABF8-44E0-874A-92F7806CCA1D}">
      <text>
        <r>
          <rPr>
            <sz val="9"/>
            <color indexed="81"/>
            <rFont val="Tahoma"/>
            <family val="2"/>
          </rPr>
          <t>ABRAHAM HOWE Jr._x000D_
http://yeinfo.com/family/I09006088.html_x000D_
https://www.google.com/search?q=ABRAHAM+HOWE+1633+1683+ALICE_x000D_
.born:?1633    -          England_x000D_
.died: 16831121-          Roxbury (Suffolk) Massachusetts, age:50y 10m 20d, _x000D_
.bapt: 1785GE_x000D_
.will: 2004MO_x000D_
.obit: 1890OH_x000D_
.bury: 1850IL _x000D_
.wpbt: 1826PA_x000D_
.anc#:ancestor_x000D_
citiz:immigrant_x000D_
#spos:1_x000D_
#srcs:1_x000D_
#comment:0_x000D_
#events:1_x000D_
#kids:1_x000D_
lived:EN,MASUFFOROXBURY_x000D_
issue:_x000D_
.recs:Birth,Marriage,Death_x000D_
.imm?:immigrant_x000D_
..Spo:ALICE MATTOCKS</t>
        </r>
      </text>
    </comment>
    <comment ref="O8370" authorId="0" shapeId="0" xr:uid="{D81DB3B0-47B1-40BF-B053-18127573234A}">
      <text>
        <r>
          <rPr>
            <sz val="9"/>
            <color indexed="81"/>
            <rFont val="Tahoma"/>
            <family val="2"/>
          </rPr>
          <t>Mrs. ELIZABETH HOWE_x000D_
http://yeinfo.com/family/I09012177.html_x000D_
https://www.google.com/search?q=ELIZABETH+HOWE+1605+1645+HOWE_x000D_
.born: 1605    -          Essex county England_x000D_
.died: 16451207-          Roxbury (Suffolk) Massachusetts, age:40y 11m 6d, _x000D_
.bapt: 1785GE_x000D_
.will: 2004MO_x000D_
.obit: 1890OH_x000D_
.bury: 1850IL _x000D_
.wpbt: 1826PA_x000D_
.anc#:ancestor_x000D_
citiz:immigrant_x000D_
#spos:1_x000D_
#srcs:1_x000D_
#comment:0_x000D_
#events:1_x000D_
#kids:1_x000D_
lived:ENESSEX,MASUFFOROXBURY_x000D_
issue:_x000D_
.recs:Birth,Marriage,Death_x000D_
.imm?:immigrant_x000D_
..Spo:ABRAHAM HOWE</t>
        </r>
      </text>
    </comment>
    <comment ref="M8372" authorId="0" shapeId="0" xr:uid="{AF706A87-E74D-4842-816A-59613C3AFF31}">
      <text>
        <r>
          <rPr>
            <sz val="9"/>
            <color indexed="81"/>
            <rFont val="Tahoma"/>
            <family val="2"/>
          </rPr>
          <t>ISAAC HOWE_x000D_
http://yeinfo.com/family/I09003044.html_x000D_
https://www.google.com/search?q=ISAAC+HOWE+1656+1718+DEBORAH_x000D_
.born: 165603  -          Roxbury (Suffolk) Massachusetts_x000D_
.died: 1718    -          Charlestown (Suffolk) Massachusetts, age:61y 10m 0d, _x000D_
.bapt: 1785GE_x000D_
.will: 2004MO_x000D_
.obit: 1890OH_x000D_
.bury: 1850IL _x000D_
.wpbt: 1826PA_x000D_
.anc#:ancestor_x000D_
citiz:US born_x000D_
#spos:1_x000D_
#srcs:1_x000D_
#comment:1_x000D_
#events:2_x000D_
#kids:1_x000D_
lived:MASUFFOCHAZTWN,MASUFFOROXBURY_x000D_
issue:_x000D_
.recs:Birth,Baptism,Marriage,Death_x000D_
.imm?:no_x000D_
..Spo:DEBORAH HOWE</t>
        </r>
      </text>
    </comment>
    <comment ref="Q8374" authorId="0" shapeId="0" xr:uid="{F7819F92-F8AE-45A9-AEFD-AAE17BD4A1A9}">
      <text>
        <r>
          <rPr>
            <sz val="9"/>
            <color indexed="81"/>
            <rFont val="Tahoma"/>
            <family val="2"/>
          </rPr>
          <t>JOHN THOMAS MATTOCKS_x000D_
http://yeinfo.com/family/I09048712.html_x000D_
https://www.google.com/search?q=JOHN+THOMAS+MATTOCKS+1563+1626+MARGARET_x000D_
.born: 15630330-          Cropwell Bishop (Nottinghamshire) England_x000D_
.died: 16260407-          Cropwell Bishop (Nottinghamshire) England, age:63y 0m 8d, _x000D_
.bapt: 1785GE_x000D_
.will: 2004MO_x000D_
.obit: 1890OH_x000D_
.bury: 1850IL St. Giles Church Cemetery_x000D_
.wpbt: 1826PA_x000D_
.anc#:ancestor_x000D_
citiz:foreign_x000D_
#spos:1_x000D_
#srcs:1_x000D_
#comment:1_x000D_
#events:3_x000D_
#kids:1_x000D_
lived:ENNOTTICROPBIS_x000D_
issue:_x000D_
.recs:Birth,Baptism,Marriage,Death,Interment/Burial_x000D_
.imm?:no_x000D_
..Spo:MARGARET ASSEKENNE</t>
        </r>
      </text>
    </comment>
    <comment ref="P8376" authorId="0" shapeId="0" xr:uid="{BA9FD08A-D30C-49C0-B724-471A38444325}">
      <text>
        <r>
          <rPr>
            <sz val="9"/>
            <color indexed="81"/>
            <rFont val="Tahoma"/>
            <family val="2"/>
          </rPr>
          <t>JAMES MATTOCKS Sr._x000D_
http://yeinfo.com/family/I09024356.html_x000D_
https://www.google.com/search?q=JAMES+MATTOCKS+1583+1667+SARAH_x000D_
.born:?1583    -          England_x000D_
.died: 16670801-          Boston (Suffolk) Massachusetts, age:84y 7m 0d, _x000D_
.bapt: 1785GE_x000D_
.will: 2004MO_x000D_
.obit: 1890OH_x000D_
.bury: 1850IL _x000D_
.wpbt: 1826PA_x000D_
.anc#:ancestor_x000D_
citiz:immigrant_x000D_
#spos:1_x000D_
#srcs:1_x000D_
#comment:0_x000D_
#events:1_x000D_
#kids:1_x000D_
lived:EN,MASUFFOBOSTON_x000D_
issue:Born before Parents Married,Spouse Age more than 30-Year Difference_x000D_
.recs:Birth,Marriage,Death_x000D_
.imm?:immigrant_x000D_
..Spo:SARAH PIERCE</t>
        </r>
      </text>
    </comment>
    <comment ref="Q8378" authorId="0" shapeId="0" xr:uid="{150FF407-6FA3-42E0-AF3B-21FA5D6A67A4}">
      <text>
        <r>
          <rPr>
            <sz val="9"/>
            <color indexed="81"/>
            <rFont val="Tahoma"/>
            <family val="2"/>
          </rPr>
          <t>MARGARET ASSEKENNE_x000D_
http://yeinfo.com/family/I09048713.html_x000D_
https://www.google.com/search?q=MARGARET+ASSEKENNE+1565+1614+MATTOCKS_x000D_
.born: 15650619-          Cropwell Bishop (Nottinghamshire) England_x000D_
.died: 161410  -          Cropwell Bishop (Nottinghamshire) England, age:49y 3m 12d, _x000D_
.bapt: 1785GE_x000D_
.will: 2004MO_x000D_
.obit: 1890OH_x000D_
.bury: 1850IL _x000D_
.wpbt: 1826PA_x000D_
.anc#:ancestor_x000D_
citiz:foreign_x000D_
#spos:1_x000D_
#srcs:1_x000D_
#comment:1_x000D_
#events:2_x000D_
#kids:1_x000D_
lived:ENNOTTICROPBIS_x000D_
issue:_x000D_
.recs:Birth,Baptism,Marriage,Death_x000D_
.imm?:no_x000D_
..Spo:JOHN THOMAS MATTOCKS</t>
        </r>
      </text>
    </comment>
    <comment ref="O8380" authorId="0" shapeId="0" xr:uid="{6A4B3E60-98A8-4357-B26E-2CD8B7B5F77C}">
      <text>
        <r>
          <rPr>
            <sz val="9"/>
            <color indexed="81"/>
            <rFont val="Tahoma"/>
            <family val="2"/>
          </rPr>
          <t>JAMES MATTOCKS Jr._x000D_
http://yeinfo.com/family/I09012178.html_x000D_
https://www.google.com/search?q=JAMES+MATTOCKS+1600+1667+MARY_x000D_
.born: 1600    -          England_x000D_
.died: 1667    -          Boston (Suffolk) Massachusetts, age:67y 0m 0d, _x000D_
.bapt: 1785GE_x000D_
.will: 2004MO_x000D_
.obit: 1890OH_x000D_
.bury: 1850IL _x000D_
.wpbt: 1826PA_x000D_
.anc#:ancestor_x000D_
citiz:immigrant_x000D_
#spos:1_x000D_
#srcs:1_x000D_
#comment:0_x000D_
#events:1_x000D_
#kids:1_x000D_
lived:EN,MASUFFOBOSTON_x000D_
issue:Born before Mom Age 16_x000D_
.recs:Birth,Marriage,Death_x000D_
.imm?:immigrant_x000D_
..Spo:MARY SPOORE</t>
        </r>
      </text>
    </comment>
    <comment ref="T8382" authorId="0" shapeId="0" xr:uid="{51208BF8-9040-40D9-B3A0-940702BEE89E}">
      <text>
        <r>
          <rPr>
            <sz val="9"/>
            <color indexed="81"/>
            <rFont val="Tahoma"/>
            <family val="2"/>
          </rPr>
          <t>THOMAS PIERCE Sr._x000D_
http://yeinfo.com/family/I09066700.html_x000D_
https://www.google.com/search?q=THOMAS+PIERCE+1583+1666+ELIZABETH_x000D_
.born: 1583    -         ?England_x000D_
.died: 16661007-          Charlestown (Suffolk) Massachusetts, age:83y 9m 6d, _x000D_
.bapt: 1785GE_x000D_
.will: 2004MO_x000D_
.obit: 1890OH_x000D_
.bury: 1850IL _x000D_
.wpbt: 1826PA_x000D_
.anc#:ancestor_x000D_
citiz:immigrant_x000D_
#spos:1_x000D_
#srcs:1_x000D_
#comment:1_x000D_
#events:1_x000D_
#kids:1_x000D_
lived:?EN,MASUFFOCHAZTWN_x000D_
issue:_x000D_
.recs:Birth,Marriage,Death_x000D_
.imm?:immigrant_x000D_
..Spo:ELIZABETH CAREW</t>
        </r>
      </text>
    </comment>
    <comment ref="S8384" authorId="0" shapeId="0" xr:uid="{B128B3E4-8684-42EB-9D60-93270F2F08C6}">
      <text>
        <r>
          <rPr>
            <sz val="9"/>
            <color indexed="81"/>
            <rFont val="Tahoma"/>
            <family val="2"/>
          </rPr>
          <t>THOMAS PIERCE Jr._x000D_
http://yeinfo.com/family/I09066699.html_x000D_
https://www.google.com/search?q=THOMAS+PIERCE+1612+1683+ELIZABETH_x000D_
.born:?1612    -          England_x000D_
.died: 16831106-          Woburn (Middlesex) Massachusetts, age:71y 10m 5d, _x000D_
.bapt: 1785GE_x000D_
.will: 2004MO_x000D_
.obit: 1890OH_x000D_
.bury: 1850IL _x000D_
.wpbt: 1826PA_x000D_
.anc#:ancestor_x000D_
citiz:immigrant_x000D_
#spos:1_x000D_
#srcs:1_x000D_
#comment:0_x000D_
#events:1_x000D_
#kids:1_x000D_
lived:EN,MAMIDDLWOBURN_x000D_
issue:_x000D_
.recs:Birth,Marriage,Death_x000D_
.imm?:immigrant_x000D_
..Spo:ELIZABETH COLE</t>
        </r>
      </text>
    </comment>
    <comment ref="T8386" authorId="0" shapeId="0" xr:uid="{74A4F4D4-4C04-43D8-9AE2-05D3DBA6BFF8}">
      <text>
        <r>
          <rPr>
            <sz val="9"/>
            <color indexed="81"/>
            <rFont val="Tahoma"/>
            <family val="2"/>
          </rPr>
          <t>ELIZABETH CAREW_x000D_
http://yeinfo.com/family/I09066687.html_x000D_
https://www.google.com/search?q=ELIZABETH+CAREW+1596+1667+PIERCE_x000D_
.born:?1596    -          England_x000D_
.died:p16670322-          Woburn (Middlesex) Massachusetts, age:71y 2m 21d, _x000D_
.bapt: 1785GE_x000D_
.will: 2004MO_x000D_
.obit: 1890OH_x000D_
.bury: 1850IL _x000D_
.wpbt: 1826PA_x000D_
.anc#:ancestor_x000D_
citiz:immigrant_x000D_
#spos:1_x000D_
#srcs:1_x000D_
#comment:1_x000D_
#events:1_x000D_
#kids:1_x000D_
lived:EN,MAMIDDLWOBURN_x000D_
issue:Died after Age 100_x000D_
.recs:Birth,Marriage,Death_x000D_
.imm?:immigrant_x000D_
..Spo:THOMAS PIERCE</t>
        </r>
      </text>
    </comment>
    <comment ref="R8388" authorId="0" shapeId="0" xr:uid="{4DBFD436-5209-4F14-A9E5-FDCCF7A92D04}">
      <text>
        <r>
          <rPr>
            <sz val="9"/>
            <color indexed="81"/>
            <rFont val="Tahoma"/>
            <family val="2"/>
          </rPr>
          <t>SAMUEL THOMAS PIERCE_x000D_
http://yeinfo.com/family/I09066698.html_x000D_
https://www.google.com/search?q=SAMUEL+THOMAS+PIERCE+1656+1721+LYDIA+READ_x000D_
.born: 16560407-          Woburn (Middlesex) Massachusetts_x000D_
.died: 17210705-          Woburn (Middlesex) Massachusetts, age:65y 2m 28d, _x000D_
.bapt: 1785GE_x000D_
.will: 2004MO_x000D_
.obit: 1890OH_x000D_
.bury: 1850IL _x000D_
.wpbt: 1826PA_x000D_
.anc#:ancestor_x000D_
citiz:US born_x000D_
#spos:1_x000D_
#srcs:1_x000D_
#comment:0_x000D_
#events:1_x000D_
#kids:1_x000D_
lived:MAMIDDLWOBURN_x000D_
issue:_x000D_
.recs:Birth,Marriage,Death_x000D_
.imm?:no_x000D_
..Spo:LYDIA READ BACON</t>
        </r>
      </text>
    </comment>
    <comment ref="T8390" authorId="0" shapeId="0" xr:uid="{686E037E-7230-4C88-AA89-BE2D295E35E9}">
      <text>
        <r>
          <rPr>
            <sz val="9"/>
            <color indexed="81"/>
            <rFont val="Tahoma"/>
            <family val="2"/>
          </rPr>
          <t>RICE COLE_x000D_
http://yeinfo.com/family/I09066689.html_x000D_
https://www.google.com/search?q=RICE+COLE+1587+1646+ARRALD_x000D_
.born: 158709  -          Great Bowden (Leicestershire) England_x000D_
.died: 16460515-          Charlestown (Suffolk) Massachusetts, age:58y 8m 14d, _x000D_
.bapt: 1785GE_x000D_
.will: 2004MO_x000D_
.obit: 1890OH_x000D_
.bury: 1850IL _x000D_
.wpbt: 1826PA_x000D_
.anc#:ancestor_x000D_
citiz:immigrant_x000D_
#spos:1_x000D_
#srcs:1_x000D_
#comment:1_x000D_
#events:1_x000D_
#kids:1_x000D_
lived:ENLEICEGREABOW,MASUFFOCHAZTWN_x000D_
issue:_x000D_
.recs:Birth,Marriage,Death_x000D_
.imm?:immigrant_x000D_
..Spo:ARRALD DUNNINGTON</t>
        </r>
      </text>
    </comment>
    <comment ref="S8392" authorId="0" shapeId="0" xr:uid="{48F08980-0D08-406C-9F4C-450C4D6B1DEB}">
      <text>
        <r>
          <rPr>
            <sz val="9"/>
            <color indexed="81"/>
            <rFont val="Tahoma"/>
            <family val="2"/>
          </rPr>
          <t>ELIZABETH COLE_x000D_
http://yeinfo.com/family/I09066688.html_x000D_
https://www.google.com/search?q=ELIZABETH+COLE+1619+1688+PIERCE_x000D_
.born: 1619    -          Great Bowden (Leicestershire) England_x000D_
.died: 16880305-          Woburn (Middlesex) Massachusetts, age:69y 2m 4d, _x000D_
.bapt: 1785GE_x000D_
.will: 2004MO_x000D_
.obit: 1890OH_x000D_
.bury: 1850IL _x000D_
.wpbt: 1826PA_x000D_
.anc#:ancestor_x000D_
citiz:immigrant_x000D_
#spos:1_x000D_
#srcs:1_x000D_
#comment:0_x000D_
#events:1_x000D_
#kids:1_x000D_
lived:ENLEICEGREABOW,MAMIDDLWOBURN_x000D_
issue:_x000D_
.recs:Birth,Marriage,Death_x000D_
.imm?:immigrant_x000D_
..Spo:THOMAS PIERCE</t>
        </r>
      </text>
    </comment>
    <comment ref="T8394" authorId="0" shapeId="0" xr:uid="{E9813E94-646E-4F86-AEAF-47BAE51CA766}">
      <text>
        <r>
          <rPr>
            <sz val="9"/>
            <color indexed="81"/>
            <rFont val="Tahoma"/>
            <family val="2"/>
          </rPr>
          <t>ARRALD DUNNINGTON_x000D_
http://yeinfo.com/family/I09066690.html_x000D_
https://www.google.com/search?q=ARRALD+DUNNINGTON+1587+1661+COLE_x000D_
.born: 15870921-          Great Bowden (Leicestershire) England_x000D_
.died: 16611225-          Charlestown (Suffolk) Massachusetts, age:74y 3m 4d, _x000D_
.bapt: 1785GE_x000D_
.will: 2004MO_x000D_
.obit: 1890OH_x000D_
.bury: 1850IL _x000D_
.wpbt: 1826PA_x000D_
.anc#:ancestor_x000D_
citiz:immigrant_x000D_
#spos:1_x000D_
#srcs:1_x000D_
#comment:1_x000D_
#events:1_x000D_
#kids:1_x000D_
lived:ENLEICEGREABOW,MASUFFOCHAZTWN_x000D_
issue:_x000D_
.recs:Birth,Marriage,Death_x000D_
.imm?:immigrant_x000D_
..Spo:RICE COLE</t>
        </r>
      </text>
    </comment>
    <comment ref="Q8396" authorId="0" shapeId="0" xr:uid="{E27B1780-8639-4603-B9FB-6C415E8B6D75}">
      <text>
        <r>
          <rPr>
            <sz val="9"/>
            <color indexed="81"/>
            <rFont val="Tahoma"/>
            <family val="2"/>
          </rPr>
          <t>ISAAC PIERCE Sr._x000D_
http://yeinfo.com/family/I09048714.html_x000D_
https://www.google.com/search?q=ISAAC+PIERCE+1687+1722+GRACE_x000D_
.born: 16870328-          Woburn (Middlesex) Massachusetts_x000D_
.died: 1722    -1770     ?Massachusetts, age:34y 9m 4d, _x000D_
.bapt: 1785GE_x000D_
.will: 2004MO_x000D_
.obit: 1890OH_x000D_
.bury: 1850IL _x000D_
.wpbt: 1826PA_x000D_
.anc#:ancestor_x000D_
citiz:US born_x000D_
#spos:1_x000D_
#srcs:1_x000D_
#comment:0_x000D_
#events:1_x000D_
#kids:1_x000D_
lived:MAMIDDLWOBURN,MASUFFOBOSTON_x000D_
issue:_x000D_
.recs:Birth,Marriage,Death_x000D_
.imm?:no_x000D_
..Spo:GRACE TUCKER</t>
        </r>
      </text>
    </comment>
    <comment ref="X8398" authorId="0" shapeId="0" xr:uid="{EED1FFEE-7947-4B39-9CFE-B744F42F97E5}">
      <text>
        <r>
          <rPr>
            <sz val="9"/>
            <color indexed="81"/>
            <rFont val="Tahoma"/>
            <family val="2"/>
          </rPr>
          <t>JOHN BACON_x000D_
http://yeinfo.com/family/I09066749.html_x000D_
https://www.google.com/search?q=JOHN+BACON+1454+1535+AGNES_x000D_
.born:?1454    -          Drinkstone (Suffolk) England_x000D_
.died: 15350225-          Helmingham (Suffolk) England, age:81y 1m 24d, _x000D_
.bapt: 1785GE_x000D_
.will: 2004MO_x000D_
.obit: 1890OH_x000D_
.bury: 1850IL _x000D_
.wpbt: 1826PA_x000D_
.anc#:ancestor_x000D_
citiz:foreign_x000D_
#spos:1_x000D_
#srcs:1_x000D_
#comment:1_x000D_
#events:2_x000D_
#kids:1_x000D_
lived:ENSUFFODRINKST,ENSUFFOHELMHAM_x000D_
issue:_x000D_
.recs:Birth,Marriage,Death_x000D_
.imm?:no_x000D_
..Spo:AGNES COKESFIELD</t>
        </r>
      </text>
    </comment>
    <comment ref="W8400" authorId="0" shapeId="0" xr:uid="{22E99456-7471-42D9-8559-2448EEF4F765}">
      <text>
        <r>
          <rPr>
            <sz val="9"/>
            <color indexed="81"/>
            <rFont val="Tahoma"/>
            <family val="2"/>
          </rPr>
          <t>THOMAS BACON_x000D_
http://yeinfo.com/family/I09066747.html_x000D_
https://www.google.com/search?q=THOMAS+BACON+1480+1535+JOHANNA_x000D_
.born:?1480    -          Drinkstone (Suffolk) England_x000D_
.died: 15350228-          Helmingham (Suffolk) England, age:55y 1m 27d, _x000D_
.bapt: 1785GE_x000D_
.will: 2004MO_x000D_
.obit: 1890OH_x000D_
.bury: 1850IL _x000D_
.wpbt: 1826PA_x000D_
.anc#:ancestor_x000D_
citiz:foreign_x000D_
#spos:1_x000D_
#srcs:1_x000D_
#comment:0_x000D_
#events:5_x000D_
#kids:1_x000D_
lived:ENSUFFODRINKST,ENSUFFOHELMHAM_x000D_
issue:_x000D_
.recs:Birth,Marriage,Will Written,Death_x000D_
.imm?:no_x000D_
..Spo:JOHANNA WADE</t>
        </r>
      </text>
    </comment>
    <comment ref="X8402" authorId="0" shapeId="0" xr:uid="{B286549C-9494-460E-A277-0E6BBF5E4787}">
      <text>
        <r>
          <rPr>
            <sz val="9"/>
            <color indexed="81"/>
            <rFont val="Tahoma"/>
            <family val="2"/>
          </rPr>
          <t>AGNES COKESFIELD_x000D_
http://yeinfo.com/family/I09066750.html_x000D_
https://www.google.com/search?q=AGNES+COKESFIELD+1457+1503+BACON_x000D_
.born: 1457    -          Drinkstone (Suffolk) England_x000D_
.died: 1503    -          Baconsthorpe (Norfolk) England, age:46y 0m 0d, _x000D_
.bapt: 1785GE_x000D_
.will: 2004MO_x000D_
.obit: 1890OH_x000D_
.bury: 1850IL _x000D_
.wpbt: 1826PA_x000D_
.anc#:ancestor_x000D_
citiz:foreign_x000D_
#spos:1_x000D_
#srcs:1_x000D_
#comment:1_x000D_
#events:2_x000D_
#kids:1_x000D_
lived:ENNORFOBACONST,ENSUFFODRINKST_x000D_
issue:_x000D_
.recs:Birth,Marriage,Death_x000D_
.imm?:no_x000D_
..Spo:JOHN BACON</t>
        </r>
      </text>
    </comment>
    <comment ref="V8404" authorId="0" shapeId="0" xr:uid="{70E43A02-B86A-4B8E-9467-EB02430A12FB}">
      <text>
        <r>
          <rPr>
            <sz val="9"/>
            <color indexed="81"/>
            <rFont val="Tahoma"/>
            <family val="2"/>
          </rPr>
          <t>JOHN BACON_x000D_
http://yeinfo.com/family/I09066745.html_x000D_
https://www.google.com/search?q=JOHN+BACON+1507+1557+MARGARET_x000D_
.born: 1507    -          Helmingham (Suffolk) England_x000D_
.died: 15571216-          Helmingham (Suffolk) England, age:50y 11m 15d, _x000D_
.bapt: 1785GE_x000D_
.will: 2004MO_x000D_
.obit: 1890OH_x000D_
.bury: 1850IL _x000D_
.wpbt: 1826PA_x000D_
.anc#:ancestor_x000D_
citiz:foreign_x000D_
#spos:1_x000D_
#srcs:1_x000D_
#comment:0_x000D_
#events:4_x000D_
#kids:1_x000D_
lived:ENSUFFOHELMHAM,ENSUFFOIPSWICH,ENSUFFOWINSTON_x000D_
issue:_x000D_
.recs:Birth,Marriage,Will Written,Death_x000D_
.imm?:no_x000D_
..Spo:MARGARET HALL</t>
        </r>
      </text>
    </comment>
    <comment ref="W8406" authorId="0" shapeId="0" xr:uid="{5F1B752C-6947-407F-A41D-B7F4DFD9F03A}">
      <text>
        <r>
          <rPr>
            <sz val="9"/>
            <color indexed="81"/>
            <rFont val="Tahoma"/>
            <family val="2"/>
          </rPr>
          <t>JOHANNA WADE_x000D_
http://yeinfo.com/family/I09066748.html_x000D_
https://www.google.com/search?q=JOHANNA+WADE+1484+1540+BACON_x000D_
.born:?1484    -          Helmingham (Suffolk) England_x000D_
.died: 154012  -          Suffolk county England, age:56y 11m 0d, _x000D_
.bapt: 1785GE_x000D_
.will: 2004MO_x000D_
.obit: 1890OH_x000D_
.bury: 1850IL _x000D_
.wpbt: 1826PA_x000D_
.anc#:ancestor_x000D_
citiz:foreign_x000D_
#spos:1_x000D_
#srcs:1_x000D_
#comment:0_x000D_
#events:4_x000D_
#kids:1_x000D_
lived:ENSUFFOHELMHAM,ENSUFFOIPSWICH_x000D_
issue:_x000D_
.recs:Birth,Marriage,Will Written,Death_x000D_
.imm?:no_x000D_
..Spo:THOMAS BACON</t>
        </r>
      </text>
    </comment>
    <comment ref="U8408" authorId="0" shapeId="0" xr:uid="{92C6CD05-F06E-4E5F-94F3-99A00F86C7BF}">
      <text>
        <r>
          <rPr>
            <sz val="9"/>
            <color indexed="81"/>
            <rFont val="Tahoma"/>
            <family val="2"/>
          </rPr>
          <t>MICHAEL BACON Sr._x000D_
http://yeinfo.com/family/I09066686.html_x000D_
https://www.google.com/search?q=MICHAEL+BACON+1535+1615+ELIZABETH_x000D_
.born:?1535    -          Suffolk county England_x000D_
.died:a16150325-          Winston (Suffolk) England, age:80y 2m 24d, _x000D_
.bapt: 1785GE_x000D_
.will: 2004MO_x000D_
.obit: 1890OH_x000D_
.bury: 1850IL St.Andrews Churchyard_x000D_
.wpbt: 1826PA_x000D_
.anc#:ancestor_x000D_
citiz:foreign_x000D_
#spos:2_x000D_
#srcs:2_x000D_
#comment:1_x000D_
#events:7_x000D_
#kids:1_x000D_
lived:ENDURHAWINSTON,ENSUFFOHELMHAM,ENSUFFOIPSWICH_x000D_
issue:_x000D_
.recs:Birth,Marriage,Inheritance,Will Written,Death,Land Transaction_x000D_
.imm?:no_x000D_
..Spo:ELIZABETH WYLIE</t>
        </r>
      </text>
    </comment>
    <comment ref="X8410" authorId="0" shapeId="0" xr:uid="{BFD8604F-3A27-4DF1-B3CC-9AE4F307A937}">
      <text>
        <r>
          <rPr>
            <sz val="9"/>
            <color indexed="81"/>
            <rFont val="Tahoma"/>
            <family val="2"/>
          </rPr>
          <t>ROBERT THOMAS HALL VII_x000D_
http://yeinfo.com/family/I09066753.html_x000D_
https://www.google.com/search?q=ROBERT+THOMAS+HALL+1445+1515+FLORENCE+CAROLINE_x000D_
.born: 1445    -          Bradford (Wiltshire) England_x000D_
.died: 1515    -          Bradford (Wiltshire) England, age:70y 0m 0d, _x000D_
.bapt: 1785GE_x000D_
.will: 2004MO_x000D_
.obit: 1890OH_x000D_
.bury: 1850IL _x000D_
.wpbt: 1826PA_x000D_
.anc#:ancestor_x000D_
citiz:foreign_x000D_
#spos:1_x000D_
#srcs:1_x000D_
#comment:1_x000D_
#events:1_x000D_
#kids:1_x000D_
lived:ENWILTSBRADFOR_x000D_
issue:_x000D_
.recs:Birth,Marriage,Death_x000D_
.imm?:no_x000D_
..Spo:FLORENCE CAROLINE BYESTONE</t>
        </r>
      </text>
    </comment>
    <comment ref="W8412" authorId="0" shapeId="0" xr:uid="{7837F69E-B41E-4E02-8C05-AEE93C1E48A0}">
      <text>
        <r>
          <rPr>
            <sz val="9"/>
            <color indexed="81"/>
            <rFont val="Tahoma"/>
            <family val="2"/>
          </rPr>
          <t>WILLIAM HALL_x000D_
http://yeinfo.com/family/I09066751.html_x000D_
https://www.google.com/search?q=WILLIAM+HALL+1495+1550+ELIZABETH_x000D_
.born: 1495    -          Hathern (Leicestershire) England_x000D_
.died: 1550    -          Yorkshire county England, age:55y 0m 0d, _x000D_
.bapt: 1785GE_x000D_
.will: 2004MO_x000D_
.obit: 1890OH_x000D_
.bury: 1850IL _x000D_
.wpbt: 1826PA_x000D_
.anc#:ancestor_x000D_
citiz:foreign_x000D_
#spos:1_x000D_
#srcs:1_x000D_
#comment:0_x000D_
#events:2_x000D_
#kids:1_x000D_
lived:ENLEICEHATHERN,ENYORKSRIDING,ENYORKSSWILLIN_x000D_
issue:_x000D_
.recs:Birth,Marriage,Death_x000D_
.imm?:no_x000D_
..Spo:ELIZABETH TROPENELL</t>
        </r>
      </text>
    </comment>
    <comment ref="X8414" authorId="0" shapeId="0" xr:uid="{CDD39C5D-555B-47E3-A2B0-93F8C45C590E}">
      <text>
        <r>
          <rPr>
            <sz val="9"/>
            <color indexed="81"/>
            <rFont val="Tahoma"/>
            <family val="2"/>
          </rPr>
          <t>FLORENCE CAROLINE BYESTONE_x000D_
http://yeinfo.com/family/I09066754.html_x000D_
https://www.google.com/search?q=FLORENCE+CAROLINE+BYESTONE+1470+1527+HALL_x000D_
.born: 1470    -          Debden (Essex) England_x000D_
.died: 1527    -          Debden (Essex) England, age:57y 0m 0d, _x000D_
.bapt: 1785GE_x000D_
.will: 2004MO_x000D_
.obit: 1890OH_x000D_
.bury: 1850IL _x000D_
.wpbt: 1826PA_x000D_
.anc#:ancestor_x000D_
citiz:foreign_x000D_
#spos:1_x000D_
#srcs:1_x000D_
#comment:1_x000D_
#events:2_x000D_
#kids:1_x000D_
lived:ENESSEXDEBDEN,ENWILTSBRADFOR_x000D_
issue:_x000D_
.recs:Birth,Marriage,Death_x000D_
.imm?:no_x000D_
..Spo:ROBERT THOMAS HALL</t>
        </r>
      </text>
    </comment>
    <comment ref="V8416" authorId="0" shapeId="0" xr:uid="{C7DB25A5-5CA5-4945-9B02-3C67A50E79B3}">
      <text>
        <r>
          <rPr>
            <sz val="9"/>
            <color indexed="81"/>
            <rFont val="Tahoma"/>
            <family val="2"/>
          </rPr>
          <t>MARGARET HALL_x000D_
http://yeinfo.com/family/I09066746.html_x000D_
https://www.google.com/search?q=MARGARET+HALL+1512+1557+BACON_x000D_
.born: 1512    -          Suffolk county England_x000D_
.died: 155703  -          Suffolk county England, age:45y 2m 0d, _x000D_
.bapt: 1785GE_x000D_
.will: 2004MO_x000D_
.obit: 1890OH_x000D_
.bury: 1850IL _x000D_
.wpbt: 1826PA_x000D_
.anc#:ancestor_x000D_
citiz:foreign_x000D_
#spos:1_x000D_
#srcs:1_x000D_
#comment:0_x000D_
#events:2_x000D_
#kids:1_x000D_
lived:?ENSUFFOHELMHAM,ENSUFFO,ENYORKSYORK_x000D_
issue:_x000D_
.recs:Birth,Marriage,Death_x000D_
.imm?:no_x000D_
..Spo:JOHN BACON</t>
        </r>
      </text>
    </comment>
    <comment ref="X8418" authorId="0" shapeId="0" xr:uid="{6456DBF1-340F-4B07-9496-B1E467B92EDA}">
      <text>
        <r>
          <rPr>
            <sz val="9"/>
            <color indexed="81"/>
            <rFont val="Tahoma"/>
            <family val="2"/>
          </rPr>
          <t>CHRISTOPHER TROPENELL_x000D_
http://yeinfo.com/family/I09066755.html_x000D_
https://www.google.com/search?q=CHRISTOPHER+TROPENELL+1450+1503+AGNES_x000D_
.born: 1450    -          Great Canfield (Wiltshire) England_x000D_
.died: 1503    -         ?Wiltshire county England, age:53y 0m 0d, _x000D_
.bapt: 1785GE_x000D_
.will: 2004MO_x000D_
.obit: 1890OH_x000D_
.bury: 1850IL St.Bartholomews Church_x000D_
.wpbt: 1826PA_x000D_
.anc#:ancestor_x000D_
citiz:foreign_x000D_
#spos:1_x000D_
#srcs:1_x000D_
#comment:1_x000D_
#events:2_x000D_
#kids:1_x000D_
lived:ENWILTSCORSHAM,ENWILTSGREAT C_x000D_
issue:_x000D_
.recs:Birth,Marriage,Death,Interment/Burial_x000D_
.imm?:no_x000D_
..Spo:AGNES KEIGHLEY</t>
        </r>
      </text>
    </comment>
    <comment ref="W8420" authorId="0" shapeId="0" xr:uid="{BEEFC313-C1E0-4AAC-BD04-3EF7C7CCB62E}">
      <text>
        <r>
          <rPr>
            <sz val="9"/>
            <color indexed="81"/>
            <rFont val="Tahoma"/>
            <family val="2"/>
          </rPr>
          <t>ELIZABETH TROPENELL_x000D_
http://yeinfo.com/family/I09066752.html_x000D_
https://www.google.com/search?q=ELIZABETH+TROPENELL+1491+1520+HALL_x000D_
.born: 1491    -          Riding (Yorkshire) England_x000D_
.died:p1520    -          Yorkshire county England, age:29y 0m 0d, _x000D_
.bapt: 1785GE_x000D_
.will: 2004MO_x000D_
.obit: 1890OH_x000D_
.bury: 1850IL _x000D_
.wpbt: 1826PA_x000D_
.anc#:ancestor_x000D_
citiz:foreign_x000D_
#spos:1_x000D_
#srcs:1_x000D_
#comment:0_x000D_
#events:1_x000D_
#kids:1_x000D_
lived:ENYORKSRIDING_x000D_
issue:_x000D_
.recs:Birth,Marriage,Death_x000D_
.imm?:no_x000D_
..Spo:WILLIAM HALL</t>
        </r>
      </text>
    </comment>
    <comment ref="X8422" authorId="0" shapeId="0" xr:uid="{F87A1590-C11C-4314-A5CF-E99D83E33751}">
      <text>
        <r>
          <rPr>
            <sz val="9"/>
            <color indexed="81"/>
            <rFont val="Tahoma"/>
            <family val="2"/>
          </rPr>
          <t>AGNES KEIGHLEY_x000D_
http://yeinfo.com/family/I09066756.html_x000D_
https://www.google.com/search?q=AGNES+KEIGHLEY+1460+1511+TROPENELL_x000D_
.born:?1460    -          Yorkshire county England_x000D_
.died: 1511    -1550      England, age:51y 0m 0d, _x000D_
.bapt: 1785GE_x000D_
.will: 2004MO_x000D_
.obit: 1890OH_x000D_
.bury: 1850IL _x000D_
.wpbt: 1826PA_x000D_
.anc#:ancestor_x000D_
citiz:foreign_x000D_
#spos:1_x000D_
#srcs:1_x000D_
#comment:1_x000D_
#events:1_x000D_
#kids:1_x000D_
lived:?ENWILTS,ENYORKS_x000D_
issue:_x000D_
.recs:Birth,Marriage,Death_x000D_
.imm?:no_x000D_
..Spo:CHRISTOPHER TROPENELL</t>
        </r>
      </text>
    </comment>
    <comment ref="T8424" authorId="0" shapeId="0" xr:uid="{6B81DCD8-94E1-4FC1-89E7-0B11AD18EE02}">
      <text>
        <r>
          <rPr>
            <sz val="9"/>
            <color indexed="81"/>
            <rFont val="Tahoma"/>
            <family val="2"/>
          </rPr>
          <t>MICHAEL BACON Jr._x000D_
http://yeinfo.com/family/I09066685.html_x000D_
https://www.google.com/search?q=MICHAEL+BACON+1579+1648+ALICE_x000D_
.born:a15791206-          Winston (Suffolk) England_x000D_
.died: 16480418-          Dedham (Norfolk) Massachusetts, age:68y 4m 12d, _x000D_
.bapt: 1785GE_x000D_
.will: 2004MO_x000D_
.obit: 1890OH_x000D_
.bury: 1850IL _x000D_
.wpbt: 1826PA_x000D_
.anc#:ancestor_x000D_
citiz:immigrant_x000D_
#spos:1_x000D_
#srcs:2_x000D_
#comment:1_x000D_
#events:7_x000D_
#kids:1_x000D_
lived:ENSUFFOWINSTON,MANORFODEDHAM_x000D_
issue:_x000D_
.recs:Birth,Baptism,Death,Immigrate_x000D_
.imm?:immigrant_x000D_
..Spo:ALICE BACON</t>
        </r>
      </text>
    </comment>
    <comment ref="U8426" authorId="0" shapeId="0" xr:uid="{6875F777-A575-4938-BED0-F760C9D81E77}">
      <text>
        <r>
          <rPr>
            <sz val="9"/>
            <color indexed="81"/>
            <rFont val="Tahoma"/>
            <family val="2"/>
          </rPr>
          <t>ELIZABETH WYLIE_x000D_
http://yeinfo.com/family/I09066707.html_x000D_
https://www.google.com/search?q=ELIZABETH+WYLIE+1542+1607+BACON_x000D_
.born: 1542    -          Helmingham (Suffolk) England_x000D_
.died: 160709  -          Winston (Suffolk) England, age:65y 8m 0d, _x000D_
.bapt: 1785GE_x000D_
.will: 2004MO_x000D_
.obit: 1890OH_x000D_
.bury: 1850IL St.Andrews Churchyard_x000D_
.wpbt: 1826PA_x000D_
.anc#:ancestor_x000D_
citiz:foreign_x000D_
#spos:1_x000D_
#srcs:1_x000D_
#comment:1_x000D_
#events:2_x000D_
#kids:1_x000D_
lived:ENSUFFOHELMHAM,ENSUFFOWINSTON_x000D_
issue:_x000D_
.recs:Birth,Marriage,Death,Interment/Burial_x000D_
.imm?:no_x000D_
..Spo:MICHAEL BACON</t>
        </r>
      </text>
    </comment>
    <comment ref="S8428" authorId="0" shapeId="0" xr:uid="{06AC0CEE-3854-46F3-82C7-B77E6B0C8465}">
      <text>
        <r>
          <rPr>
            <sz val="9"/>
            <color indexed="81"/>
            <rFont val="Tahoma"/>
            <family val="2"/>
          </rPr>
          <t>DANIEL BACON_x000D_
http://yeinfo.com/family/I09066683.html_x000D_
https://www.google.com/search?q=DANIEL+BACON+1615+1691+MARY_x000D_
.born:?1615    -          Winston (Suffolk) England_x000D_
.died: 16910907-          Newton (Middlesex) Massachusetts, age:76y 8m 6d, _x000D_
.bapt: 1785GE_x000D_
.will: 2004MO_x000D_
.obit: 1890OH_x000D_
.bury: 1850IL _x000D_
.wpbt: 1826PA_x000D_
.anc#:ancestor_x000D_
citiz:immigrant_x000D_
#spos:1_x000D_
#srcs:1_x000D_
#comment:0_x000D_
#events:3_x000D_
#kids:1_x000D_
lived:ENESSEXCOLCHES,ENSUFFOWINSTON,MAMIDDLNEWTON,MANORFODEDHAM_x000D_
issue:_x000D_
.recs:Birth,Baptism,Marriage,Will Written,Death_x000D_
.imm?:immigrant_x000D_
..Spo:MARY READE</t>
        </r>
      </text>
    </comment>
    <comment ref="T8430" authorId="0" shapeId="0" xr:uid="{81506D4C-E6EC-4CDD-9DC1-8E3533CDA620}">
      <text>
        <r>
          <rPr>
            <sz val="9"/>
            <color indexed="81"/>
            <rFont val="Tahoma"/>
            <family val="2"/>
          </rPr>
          <t>Mrs. ALICE BACON_x000D_
http://yeinfo.com/family/I09066684.html_x000D_
https://www.google.com/search?q=ALICE+BACON+1581+1648+BACON_x000D_
.born: 1581    -          England_x000D_
.died: 16480402-          Dedham (Norfolk) Massachusetts, age:67y 3m 1d, _x000D_
.bapt: 1785GE_x000D_
.will: 2004MO_x000D_
.obit: 1890OH_x000D_
.bury: 1850IL Old Village Cemetery_x000D_
.wpbt: 1826PA_x000D_
.anc#:ancestor_x000D_
citiz:immigrant_x000D_
#spos:1_x000D_
#srcs:1_x000D_
#comment:0_x000D_
#events:3_x000D_
#kids:1_x000D_
lived:ENSUFFOWINSTON,MANORFODEDHAM_x000D_
issue:_x000D_
.recs:Birth,Baptism,Marriage,Death,Interment/Burial_x000D_
.imm?:immigrant_x000D_
..Spo:MICHAEL BACON</t>
        </r>
      </text>
    </comment>
    <comment ref="R8432" authorId="0" shapeId="0" xr:uid="{185CA1E2-3749-427A-B7E9-5C93B39B0802}">
      <text>
        <r>
          <rPr>
            <sz val="9"/>
            <color indexed="81"/>
            <rFont val="Tahoma"/>
            <family val="2"/>
          </rPr>
          <t>LYDIA READ BACON_x000D_
http://yeinfo.com/family/I09066682.html_x000D_
https://www.google.com/search?q=LYDIA+READ+BACON+1656+1717+PIERCE_x000D_
.born: 16560306-          Newton (Middlesex) Massachusetts_x000D_
.died: 17171205-          Woburn (Middlesex) Massachusetts, age:61y 8m 29d, _x000D_
.bapt: 1785GE_x000D_
.will: 2004MO_x000D_
.obit: 1890OH_x000D_
.bury: 1850IL _x000D_
.wpbt: 1826PA_x000D_
.anc#:ancestor_x000D_
citiz:US born_x000D_
#spos:1_x000D_
#srcs:1_x000D_
#comment:0_x000D_
#events:1_x000D_
#kids:1_x000D_
lived:MAMIDDLNEWTON,MAMIDDLWOBURN_x000D_
issue:_x000D_
.recs:Birth,Marriage,Death_x000D_
.imm?:no_x000D_
..Spo:SAMUEL THOMAS PIERCE</t>
        </r>
      </text>
    </comment>
    <comment ref="T8434" authorId="0" shapeId="0" xr:uid="{B1C608CA-A874-423D-A5CC-24018FCE22F8}">
      <text>
        <r>
          <rPr>
            <sz val="9"/>
            <color indexed="81"/>
            <rFont val="Tahoma"/>
            <family val="2"/>
          </rPr>
          <t>THOMAS READE_x000D_
http://yeinfo.com/family/I09066703.html_x000D_
https://www.google.com/search?q=THOMAS+READE+1598+1659+RACHEL_x000D_
.born: 15980302-          Colchester (Essex) England_x000D_
.died: 16590725-          Colchester (Essex) England, age:61y 4m 23d, _x000D_
.bapt: 1785GE_x000D_
.will: 2004MO_x000D_
.obit: 1890OH_x000D_
.bury: 1850IL _x000D_
.wpbt: 1826PA_x000D_
.anc#:ancestor_x000D_
citiz:foreign_x000D_
#spos:1_x000D_
#srcs:1_x000D_
#comment:0_x000D_
#events:2_x000D_
#kids:1_x000D_
lived:ENESSEXCOLCHES_x000D_
issue:_x000D_
.recs:Birth,Baptism,Marriage,Death_x000D_
.imm?:no_x000D_
..Spo:RACHEL OLMSTEAD</t>
        </r>
      </text>
    </comment>
    <comment ref="S8436" authorId="0" shapeId="0" xr:uid="{FCD9DA40-4CEB-408E-9BB8-43D64742A920}">
      <text>
        <r>
          <rPr>
            <sz val="9"/>
            <color indexed="81"/>
            <rFont val="Tahoma"/>
            <family val="2"/>
          </rPr>
          <t>MARY READE_x000D_
http://yeinfo.com/family/I09066702.html_x000D_
https://www.google.com/search?q=MARY+READE+1620+1691+BACON_x000D_
.born: 1620    -          Colchester (Essex) England_x000D_
.died: 16911004-          Newton (Middlesex) Massachusetts, age:71y 9m 3d, _x000D_
.bapt: 1785GE_x000D_
.will: 2004MO_x000D_
.obit: 1890OH_x000D_
.bury: 1850IL _x000D_
.wpbt: 1826PA_x000D_
.anc#:ancestor_x000D_
citiz:immigrant_x000D_
#spos:1_x000D_
#srcs:1_x000D_
#comment:0_x000D_
#events:2_x000D_
#kids:1_x000D_
lived:ENESSEXCOLCHES,MAMIDDLNEWTON_x000D_
issue:_x000D_
.recs:Birth,Marriage,Death_x000D_
.imm?:immigrant_x000D_
..Spo:DANIEL BACON</t>
        </r>
      </text>
    </comment>
    <comment ref="T8438" authorId="0" shapeId="0" xr:uid="{457C3BE1-9CCE-42ED-97E7-845A6F668B50}">
      <text>
        <r>
          <rPr>
            <sz val="9"/>
            <color indexed="81"/>
            <rFont val="Tahoma"/>
            <family val="2"/>
          </rPr>
          <t>RACHEL OLMSTEAD_x000D_
http://yeinfo.com/family/I09066697.html_x000D_
https://www.google.com/search?q=RACHEL+OLMSTEAD+1603+1677+READE_x000D_
.born:?1603    -          Colchester (Essex) England_x000D_
.died:c16770926-          Colchester (Essex) England, age:74y 8m 25d, _x000D_
.bapt: 1785GE_x000D_
.will: 2004MO_x000D_
.obit: 1890OH_x000D_
.bury: 1850IL _x000D_
.wpbt: 1826PA_x000D_
.anc#:ancestor_x000D_
citiz:foreign_x000D_
#spos:1_x000D_
#srcs:1_x000D_
#comment:1_x000D_
#events:1_x000D_
#kids:1_x000D_
lived:ENESSEXCOLCHES_x000D_
issue:Died after Age 100_x000D_
.recs:Birth,Marriage,Death_x000D_
.imm?:no_x000D_
..Spo:THOMAS READE</t>
        </r>
      </text>
    </comment>
    <comment ref="P8440" authorId="0" shapeId="0" xr:uid="{34F76914-2D88-4782-80F6-B16ACF773187}">
      <text>
        <r>
          <rPr>
            <sz val="9"/>
            <color indexed="81"/>
            <rFont val="Tahoma"/>
            <family val="2"/>
          </rPr>
          <t>SARAH PIERCE_x000D_
http://yeinfo.com/family/I09024357.html_x000D_
https://www.google.com/search?q=SARAH+PIERCE+1710+1751+MATTOCKS_x000D_
.born: 17100522-          Boston (Suffolk) Massachusetts_x000D_
.died: 1751    -1800     ?Massachusetts, age:40y 7m 10d, _x000D_
.bapt: 1785GE_x000D_
.will: 2004MO_x000D_
.obit: 1890OH_x000D_
.bury: 1850IL _x000D_
.wpbt: 1826PA_x000D_
.anc#:ancestor_x000D_
citiz:US born_x000D_
#spos:1_x000D_
#srcs:1_x000D_
#comment:0_x000D_
#events:1_x000D_
#kids:1_x000D_
lived:EN,MASUFFOBOSTON_x000D_
issue:Died after Age 100,Spouse Age more than 30-Year Difference_x000D_
.recs:Birth,Marriage,Death_x000D_
.imm?:no_x000D_
..Spo:JAMES MATTOCKS</t>
        </r>
      </text>
    </comment>
    <comment ref="T8442" authorId="0" shapeId="0" xr:uid="{1B8FD3D8-8064-4715-9CD1-89A8F6D0D231}">
      <text>
        <r>
          <rPr>
            <sz val="9"/>
            <color indexed="81"/>
            <rFont val="Tahoma"/>
            <family val="2"/>
          </rPr>
          <t>RICHARD TUCKER_x000D_
http://yeinfo.com/family/I09066706.html_x000D_
https://www.google.com/search?q=RICHARD+TUCKER+1594+1679+MARGARET_x000D_
.born: 15940122-          Keynsham (Somerset) England_x000D_
.died: 1679    -1685      Portsmouth (Rockingham) New Hampshire, age:84y 11m 10d, _x000D_
.bapt: 1785GE_x000D_
.will: 2004MO_x000D_
.obit: 1890OH_x000D_
.bury: 1850IL _x000D_
.wpbt: 1826PA_x000D_
.anc#:ancestor_x000D_
citiz:immigrant_x000D_
#spos:1_x000D_
#srcs:1_x000D_
#comment:1_x000D_
#events:1_x000D_
#kids:1_x000D_
lived:ENDORSECHARMIN,ENSOMESKEYNSHA,NHROCKIPORTSMO_x000D_
issue:_x000D_
.recs:Birth,Marriage,Death_x000D_
.imm?:immigrant_x000D_
..Spo:MARGARET RAYNELL</t>
        </r>
      </text>
    </comment>
    <comment ref="S8444" authorId="0" shapeId="0" xr:uid="{99327A8B-8F41-420B-9B2C-23E9F4F638F0}">
      <text>
        <r>
          <rPr>
            <sz val="9"/>
            <color indexed="81"/>
            <rFont val="Tahoma"/>
            <family val="2"/>
          </rPr>
          <t>WILLIAM J. TUCKER_x000D_
http://yeinfo.com/family/I09066705.html_x000D_
https://www.google.com/search?q=WILLIAM+J.+TUCKER+1623+1666+GRACE_x000D_
.born: 1623    -          York county Maine_x000D_
.died: 16661010-          York county Maine, age:43y 9m 9d, _x000D_
.bapt: 1785GE_x000D_
.will: 2004MO_x000D_
.obit: 1890OH_x000D_
.bury: 1850IL _x000D_
.wpbt: 1826PA_x000D_
.anc#:ancestor_x000D_
citiz:US born_x000D_
#spos:1_x000D_
#srcs:2_x000D_
#comment:0_x000D_
#events:6_x000D_
#kids:1_x000D_
lived:MEYORK_x000D_
issue:_x000D_
.recs:Birth,Marriage,Death,Gov't Court_x000D_
.imm?:no_x000D_
..Spo:GRACE TUCKER</t>
        </r>
      </text>
    </comment>
    <comment ref="T8446" authorId="0" shapeId="0" xr:uid="{8B75A1AC-6E7A-4A1E-A0DE-E7B3DDE76A46}">
      <text>
        <r>
          <rPr>
            <sz val="9"/>
            <color indexed="81"/>
            <rFont val="Tahoma"/>
            <family val="2"/>
          </rPr>
          <t>MARGARET RAYNELL_x000D_
http://yeinfo.com/family/I09066701.html_x000D_
https://www.google.com/search?q=MARGARET+RAYNELL+1594+1673+TUCKER_x000D_
.born: 1594    -          Sussex county England_x000D_
.died: 167309  -          Casco (Cumberland) Maine, age:79y 8m 0d, _x000D_
.bapt: 1785GE_x000D_
.will: 2004MO_x000D_
.obit: 1890OH_x000D_
.bury: 1850IL _x000D_
.wpbt: 1826PA_x000D_
.anc#:ancestor_x000D_
citiz:immigrant_x000D_
#spos:1_x000D_
#srcs:1_x000D_
#comment:1_x000D_
#events:1_x000D_
#kids:1_x000D_
lived:ENDORSECHARMIN,ENSUSSE,MECUMBECASCO_x000D_
issue:_x000D_
.recs:Birth,Marriage,Death_x000D_
.imm?:immigrant_x000D_
..Spo:RICHARD TUCKER</t>
        </r>
      </text>
    </comment>
    <comment ref="R8448" authorId="0" shapeId="0" xr:uid="{9A6270B4-1CC8-4C09-98C8-99DF67BC41D4}">
      <text>
        <r>
          <rPr>
            <sz val="9"/>
            <color indexed="81"/>
            <rFont val="Tahoma"/>
            <family val="2"/>
          </rPr>
          <t>LEWIS TUCKER_x000D_
http://yeinfo.com/family/I09066704.html_x000D_
https://www.google.com/search?q=LEWIS+TUCKER+1648+1734+SARAH_x000D_
.born:?1648    -          York county Maine_x000D_
.died: 1734    -          York county Maine, age:86y 0m 0d, _x000D_
.bapt: 1785GE_x000D_
.will: 2004MO_x000D_
.obit: 1890OH_x000D_
.bury: 1850IL _x000D_
.wpbt: 1826PA_x000D_
.anc#:ancestor_x000D_
citiz:US born_x000D_
#spos:1_x000D_
#srcs:1_x000D_
#comment:1_x000D_
#events:4_x000D_
#kids:1_x000D_
lived:?MECUMBECASCO,MEYORK_x000D_
issue:Died after Age 100_x000D_
.recs:Birth,Marriage,Death_x000D_
.imm?:no_x000D_
..Spo:SARAH GUNNISON</t>
        </r>
      </text>
    </comment>
    <comment ref="S8450" authorId="0" shapeId="0" xr:uid="{B1D56151-B5C8-4451-8748-AF6C14D34DDC}">
      <text>
        <r>
          <rPr>
            <sz val="9"/>
            <color indexed="81"/>
            <rFont val="Tahoma"/>
            <family val="2"/>
          </rPr>
          <t>Mrs. GRACE TUCKER_x000D_
http://yeinfo.com/family/I09066691.html_x000D_
https://www.google.com/search?q=GRACE+TUCKER+1627+1674+TUCKER_x000D_
.born: 1627    -          Portsmouth (Rockingham) New Hampshire_x000D_
.died: 1674    -          Maine, age:47y 0m 0d, _x000D_
.bapt: 1785GE_x000D_
.will: 2004MO_x000D_
.obit: 1890OH_x000D_
.bury: 1850IL _x000D_
.wpbt: 1826PA_x000D_
.anc#:ancestor_x000D_
citiz:US born_x000D_
#spos:2_x000D_
#srcs:2_x000D_
#comment:2_x000D_
#events:5_x000D_
#kids:1_x000D_
lived:MEYORK,NHROCKIPORTSMO_x000D_
issue:_x000D_
.recs:Birth,Marriage,Job/Occupation,Death,Gov't Court_x000D_
.imm?:no_x000D_
..Spo:WILLIAM J. TUCKER</t>
        </r>
      </text>
    </comment>
    <comment ref="Q8452" authorId="0" shapeId="0" xr:uid="{715A63D6-029E-400B-A980-F1DE956F9E3B}">
      <text>
        <r>
          <rPr>
            <sz val="9"/>
            <color indexed="81"/>
            <rFont val="Tahoma"/>
            <family val="2"/>
          </rPr>
          <t>GRACE TUCKER_x000D_
http://yeinfo.com/family/I09048715.html_x000D_
https://www.google.com/search?q=GRACE+TUCKER+1685+1722+PIERCE_x000D_
.born:?1685    -          Casco (York) Maine_x000D_
.died: 1722    -1770     ?, age:37y 0m 0d, _x000D_
.bapt: 1785GE_x000D_
.will: 2004MO_x000D_
.obit: 1890OH_x000D_
.bury: 1850IL _x000D_
.wpbt: 1826PA_x000D_
.anc#:ancestor_x000D_
citiz:US born_x000D_
#spos:1_x000D_
#srcs:1_x000D_
#comment:0_x000D_
#events:1_x000D_
#kids:1_x000D_
lived:MASUFFOBOSTON,MEYORK CASCO_x000D_
issue:_x000D_
.recs:Birth,Marriage,Death_x000D_
.imm?:no_x000D_
..Spo:ISAAC PIERCE</t>
        </r>
      </text>
    </comment>
    <comment ref="S8454" authorId="0" shapeId="0" xr:uid="{CDCA9F06-BE67-4389-A524-13B8345CFAF5}">
      <text>
        <r>
          <rPr>
            <sz val="9"/>
            <color indexed="81"/>
            <rFont val="Tahoma"/>
            <family val="2"/>
          </rPr>
          <t>HUGH GUNNISON_x000D_
http://yeinfo.com/family/I09066693.html_x000D_
https://www.google.com/search?q=HUGH+GUNNISON+1610+1658+ELIZABETH_x000D_
.born: 1610    -          England_x000D_
.died: 1658    -1700      Kittery (York) Maine, age:48y 0m 0d, _x000D_
.bapt: 1785GE_x000D_
.will: 2004MO_x000D_
.obit: 1890OH_x000D_
.bury: 1850IL _x000D_
.wpbt: 1826PA_x000D_
.anc#:ancestor_x000D_
citiz:immigrant_x000D_
#spos:1_x000D_
#srcs:1_x000D_
#comment:0_x000D_
#events:1_x000D_
#kids:1_x000D_
lived:EN,MA,MEYORK KITTERY_x000D_
issue:_x000D_
.recs:Birth,Marriage,Death_x000D_
.imm?:immigrant_x000D_
..Spo:ELIZABETH KILBOURNE</t>
        </r>
      </text>
    </comment>
    <comment ref="R8456" authorId="0" shapeId="0" xr:uid="{548E8A20-1C0A-4596-A9F8-140441FB4AB9}">
      <text>
        <r>
          <rPr>
            <sz val="9"/>
            <color indexed="81"/>
            <rFont val="Tahoma"/>
            <family val="2"/>
          </rPr>
          <t>SARAH GUNNISON_x000D_
http://yeinfo.com/family/I09066692.html_x000D_
https://www.google.com/search?q=SARAH+GUNNISON+1637+1703+TUCKER_x000D_
.born: 16370214-          Boston (Suffolk) Massachusetts_x000D_
.died: 170308  -          Falmouth (Cumberland) Maine, age:66y 5m 18d, _x000D_
.bapt: 1785GE_x000D_
.will: 2004MO_x000D_
.obit: 1890OH_x000D_
.bury: 1850IL _x000D_
.wpbt: 1826PA_x000D_
.anc#:ancestor_x000D_
citiz:US born_x000D_
#spos:1_x000D_
#srcs:1_x000D_
#comment:0_x000D_
#events:1_x000D_
#kids:1_x000D_
lived:?MECUMBECASCO,MASUFFOBOSTON,MECUMBEFALMOUT_x000D_
issue:_x000D_
.recs:Birth,Marriage,Death_x000D_
.imm?:no_x000D_
..Spo:LEWIS TUCKER</t>
        </r>
      </text>
    </comment>
    <comment ref="S8458" authorId="0" shapeId="0" xr:uid="{867815E5-26C8-4363-8F5E-DFE2D25AB0D8}">
      <text>
        <r>
          <rPr>
            <sz val="9"/>
            <color indexed="81"/>
            <rFont val="Tahoma"/>
            <family val="2"/>
          </rPr>
          <t>ELIZABETH KILBOURNE_x000D_
http://yeinfo.com/family/I09066696.html_x000D_
https://www.google.com/search?q=ELIZABETH+KILBOURNE+1618+1645+GUNNISON_x000D_
.born: 1618    -          England_x000D_
.died: 16450125-          Boston (Suffolk) Massachusetts, age:27y 0m 24d, _x000D_
.bapt: 1785GE_x000D_
.will: 2004MO_x000D_
.obit: 1890OH_x000D_
.bury: 1850IL _x000D_
.wpbt: 1826PA_x000D_
.anc#:ancestor_x000D_
citiz:immigrant_x000D_
#spos:1_x000D_
#srcs:1_x000D_
#comment:0_x000D_
#events:1_x000D_
#kids:1_x000D_
lived:EN,MASUFFOBOSTON_x000D_
issue:_x000D_
.recs:Birth,Marriage,Death_x000D_
.imm?:immigrant_x000D_
..Spo:HUGH GUNNISON</t>
        </r>
      </text>
    </comment>
    <comment ref="N8460" authorId="0" shapeId="0" xr:uid="{A1ABF113-9185-41CF-BF31-AB909457B789}">
      <text>
        <r>
          <rPr>
            <sz val="9"/>
            <color indexed="81"/>
            <rFont val="Tahoma"/>
            <family val="2"/>
          </rPr>
          <t>ALICE MATTOCKS_x000D_
http://yeinfo.com/family/I09006089.html_x000D_
https://www.google.com/search?q=ALICE+MATTOCKS+1627+1704+HOWE_x000D_
.born:?1627    -          Hatfield (Essex) England_x000D_
.died:p1704    -          Massachusetts, age:77y 0m 0d, _x000D_
.bapt: 1785GE_x000D_
.will: 2004MO_x000D_
.obit: 1890OH_x000D_
.bury: 1850IL _x000D_
.wpbt: 1826PA_x000D_
.anc#:ancestor_x000D_
citiz:immigrant_x000D_
#spos:1_x000D_
#srcs:1_x000D_
#comment:0_x000D_
#events:1_x000D_
#kids:1_x000D_
lived:?MA,ENESSEXHATFIEL_x000D_
issue:_x000D_
.recs:Birth,Marriage,Death_x000D_
.imm?:immigrant_x000D_
..Spo:ABRAHAM HOWE</t>
        </r>
      </text>
    </comment>
    <comment ref="P8462" authorId="0" shapeId="0" xr:uid="{EB5A026E-F1A4-403B-A3F7-F429634C2997}">
      <text>
        <r>
          <rPr>
            <sz val="9"/>
            <color indexed="81"/>
            <rFont val="Tahoma"/>
            <family val="2"/>
          </rPr>
          <t>CHRISTOPHER SPOORE_x000D_
http://yeinfo.com/family/I09024358.html_x000D_
https://www.google.com/search?q=CHRISTOPHER+SPOORE+1580+1600+{_?_}_x000D_
.born:?1580    -         ?England_x000D_
.died: 1600    -1670     ?England, age:20y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..Spo:{_?_} SPOORE</t>
        </r>
      </text>
    </comment>
    <comment ref="O8464" authorId="0" shapeId="0" xr:uid="{409E9658-798E-4C93-91E8-E203808FF3D8}">
      <text>
        <r>
          <rPr>
            <sz val="9"/>
            <color indexed="81"/>
            <rFont val="Tahoma"/>
            <family val="2"/>
          </rPr>
          <t>MARY SPOORE_x000D_
http://yeinfo.com/family/I09012179.html_x000D_
https://www.google.com/search?q=MARY+SPOORE+1600+1682+MATTOCKS_x000D_
.born:?1600    -          England_x000D_
.died: 1682    -          Boston (Suffolk) Massachusetts, age:82y 0m 0d, _x000D_
.bapt: 1785GE_x000D_
.will: 2004MO_x000D_
.obit: 1890OH_x000D_
.bury: 1850IL _x000D_
.wpbt: 1826PA_x000D_
.anc#:ancestor_x000D_
citiz:immigrant_x000D_
#spos:1_x000D_
#srcs:1_x000D_
#comment:0_x000D_
#events:2_x000D_
#kids:1_x000D_
lived:ENCORNWPADSTOW,MASUFFOBOSTON_x000D_
issue:_x000D_
.recs:Birth,Baptism,Marriage,Death_x000D_
.imm?:immigrant_x000D_
..Spo:JAMES MATTOCKS</t>
        </r>
      </text>
    </comment>
    <comment ref="P8466" authorId="0" shapeId="0" xr:uid="{9291CD5A-8864-4ADE-935B-40F4BE70F549}">
      <text>
        <r>
          <rPr>
            <sz val="9"/>
            <color indexed="81"/>
            <rFont val="Tahoma"/>
            <family val="2"/>
          </rPr>
          <t>Mrs. {_?_} SPOORE_x000D_
http://yeinfo.com/family/I09024359.html_x000D_
https://www.google.com/search?q={_?_}+SPOORE+1580+1600+SPOORE_x000D_
.born:?1580    -         ?England_x000D_
.died: 1600    -1670     ?England, age:20y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..Spo:CHRISTOPHER SPOORE</t>
        </r>
      </text>
    </comment>
    <comment ref="L8468" authorId="0" shapeId="0" xr:uid="{F7D0F014-6014-41CE-BD9B-A3CE4BAE71F1}">
      <text>
        <r>
          <rPr>
            <sz val="9"/>
            <color indexed="81"/>
            <rFont val="Tahoma"/>
            <family val="2"/>
          </rPr>
          <t>ISAAC HOWE_x000D_
http://yeinfo.com/family/I09001522.html_x000D_
https://www.google.com/search?q=ISAAC+HOWE+1686+1758+LYDIA_x000D_
.born:?1686    -          Framingham (Middlesex) Massachusetts_x000D_
.died: 17580620-          Framingham (Middlesex) Massachusetts, age:72y 5m 19d, _x000D_
.bapt: 1785GE_x000D_
.will: 2004MO_x000D_
.obit: 1890OH_x000D_
.bury: 1850IL _x000D_
.wpbt: 1826PA_x000D_
.anc#:ancestor_x000D_
citiz:US born_x000D_
#spos:1_x000D_
#srcs:1_x000D_
#comment:1_x000D_
#events:1_x000D_
#kids:1_x000D_
lived:MAMIDDLFRAMING_x000D_
issue:_x000D_
.recs:Birth,Marriage,Death_x000D_
.imm?:no_x000D_
..Spo:LYDIA JACKSON</t>
        </r>
      </text>
    </comment>
    <comment ref="R8470" authorId="0" shapeId="0" xr:uid="{128F5C4B-93B1-424C-9049-02F6FBBF24E0}">
      <text>
        <r>
          <rPr>
            <sz val="9"/>
            <color indexed="81"/>
            <rFont val="Tahoma"/>
            <family val="2"/>
          </rPr>
          <t>WILLIAM HOWE_x000D_
http://yeinfo.com/family/I09066695.html_x000D_
https://www.google.com/search?q=WILLIAM+HOWE+1501+1558+{_?_}_x000D_
.born:?1501    -          England_x000D_
.died:p15580825-          Essex county England, age:57y 7m 24d, _x000D_
.bapt: 1785GE_x000D_
.will: 2004MO_x000D_
.obit: 1890OH_x000D_
.bury: 1850IL _x000D_
.wpbt: 1826PA_x000D_
.anc#:double ancestor_x000D_
citiz:foreign_x000D_
#spos:1_x000D_
#srcs:1_x000D_
#comment:0_x000D_
#events:1_x000D_
#kids:1_x000D_
lived:ENESSEX_x000D_
issue:_x000D_
.recs:Birth,Marriage,Death_x000D_
.imm?:no_x000D_
..Spo:{_?_} HOWE</t>
        </r>
      </text>
    </comment>
    <comment ref="Q8472" authorId="0" shapeId="0" xr:uid="{F05E5033-CC68-458C-A84F-92AC89D26B36}">
      <text>
        <r>
          <rPr>
            <sz val="9"/>
            <color indexed="81"/>
            <rFont val="Tahoma"/>
            <family val="2"/>
          </rPr>
          <t>JOHN HOWE_x000D_
http://yeinfo.com/family/I09048704.html_x000D_
https://www.google.com/search?q=JOHN+HOWE+1530+1591+JOAN_x000D_
.born: 1530    -          Hatfield (Essex) England_x000D_
.died: 15910207-          Magdalen Laver (Essex) England, age:61y 1m 6d, _x000D_
.bapt: 1785GE_x000D_
.will: 2004MO_x000D_
.obit: 1890OH_x000D_
.bury: 1850IL _x000D_
.wpbt: 1826PA_x000D_
.anc#:double ancestor_x000D_
citiz:foreign_x000D_
#spos:1_x000D_
#srcs:1_x000D_
#comment:0_x000D_
#events:2_x000D_
#kids:1_x000D_
lived:ENESSEXBOBBING,ENESSEXGREAHLY,ENESSEXHATFIEL,ENESSEXMAGLAVR_x000D_
issue:_x000D_
.recs:Birth,Marriage,Death_x000D_
.imm?:no_x000D_
..Spo:JOAN WELLES</t>
        </r>
      </text>
    </comment>
    <comment ref="R8474" authorId="0" shapeId="0" xr:uid="{7C7FF114-AB25-46A0-967F-B70737F394D5}">
      <text>
        <r>
          <rPr>
            <sz val="9"/>
            <color indexed="81"/>
            <rFont val="Tahoma"/>
            <family val="2"/>
          </rPr>
          <t>Mrs. {_?_} HOWE_x000D_
http://yeinfo.com/family/I09066694.html_x000D_
https://www.google.com/search?q={_?_}+HOWE+1501+1530+HOWE_x000D_
.born: 1501    -          England_x000D_
.died: 1530    -1600     ?England, age:29y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..Spo:WILLIAM HOWE</t>
        </r>
      </text>
    </comment>
    <comment ref="P8476" authorId="0" shapeId="0" xr:uid="{C931302A-0A52-4D6E-B5F2-69D69411F839}">
      <text>
        <r>
          <rPr>
            <sz val="9"/>
            <color indexed="81"/>
            <rFont val="Tahoma"/>
            <family val="2"/>
          </rPr>
          <t>ROBERT HOWE_x000D_
http://yeinfo.com/family/I09024352.html_x000D_
https://www.google.com/search?q=ROBERT+HOWE+1570+1632+EME_x000D_
.born: 15700212-          Hatfield Broad Oak (Essex) England_x000D_
.died: 1632    -          Hatfield Broad Oak (Essex) England, age:61y 10m 20d, _x000D_
.bapt: 1785GE_x000D_
.will: 2004MO_x000D_
.obit: 1890OH_x000D_
.bury: 1850IL _x000D_
.wpbt: 1826PA_x000D_
.anc#:double ancestor_x000D_
citiz:foreign_x000D_
#spos:1_x000D_
#srcs:1_x000D_
#comment:0_x000D_
#events:2_x000D_
#kids:4_x000D_
lived:ENESSEXHATFOAK,ENESSEXLITTCAF,ENESSEXMAGLAVR_x000D_
issue:_x000D_
.recs:Birth,Baptism,Marriage,Death_x000D_
.imm?:no_x000D_
..Spo:EME INGOLD</t>
        </r>
      </text>
    </comment>
    <comment ref="Q8478" authorId="0" shapeId="0" xr:uid="{696B087C-EF0A-4D18-AE53-3D4DB2994DA6}">
      <text>
        <r>
          <rPr>
            <sz val="9"/>
            <color indexed="81"/>
            <rFont val="Tahoma"/>
            <family val="2"/>
          </rPr>
          <t>JOAN WELLES_x000D_
http://yeinfo.com/family/I09048705.html_x000D_
https://www.google.com/search?q=JOAN+WELLES+1542+1591+HOWE_x000D_
.born: 1542    -          England_x000D_
.died: 15910207-         ?England, age:49y 1m 6d, _x000D_
.bapt: 1785GE_x000D_
.will: 2004MO_x000D_
.obit: 1890OH_x000D_
.bury: 1850IL _x000D_
.wpbt: 1826PA_x000D_
.anc#:double ancestor_x000D_
citiz:foreign_x000D_
#spos:1_x000D_
#srcs:1_x000D_
#comment:0_x000D_
#events:1_x000D_
#kids:1_x000D_
lived:ENESSEXBOBBING_x000D_
issue:_x000D_
.recs:Birth,Marriage,Death_x000D_
.imm?:no_x000D_
..Spo:JOHN HOWE</t>
        </r>
      </text>
    </comment>
    <comment ref="O8480" authorId="0" shapeId="0" xr:uid="{425F8B23-C6FD-45B9-896E-C1E46137360A}">
      <text>
        <r>
          <rPr>
            <sz val="9"/>
            <color indexed="81"/>
            <rFont val="Tahoma"/>
            <family val="2"/>
          </rPr>
          <t>JAMES HOWE Sr._x000D_
http://yeinfo.com/family/I09012180.html_x000D_
https://www.google.com/search?q=JAMES+HOWE+1598+1702+ELIZABETH_x000D_
.born:?1598    -         ?England_x000D_
.died: 17020517-          Ipswich (Essex) Massachusetts, age:104y 4m 16d, _x000D_
.bapt: 1785GE_x000D_
.will: 2004MO_x000D_
.obit: 1890OH_x000D_
.bury: 1850IL _x000D_
.wpbt: 1826PA_x000D_
.anc#:ancestor_x000D_
citiz:immigrant_x000D_
#spos:1_x000D_
#srcs:1_x000D_
#comment:1_x000D_
#events:6_x000D_
#kids:1_x000D_
lived:?EN,ENHERTFBISHOST,MAESSEXIPSWICH,MASUFFOROXBURY_x000D_
issue:Married after Age 60_x000D_
.recs:Birth,Marriage,Will Written,Death_x000D_
.imm?:immigrant_x000D_
..Spo:ELIZABETH DANE</t>
        </r>
      </text>
    </comment>
    <comment ref="P8482" authorId="0" shapeId="0" xr:uid="{8A11DC0D-8F11-46DB-B975-A22BD4F19DCF}">
      <text>
        <r>
          <rPr>
            <sz val="9"/>
            <color indexed="81"/>
            <rFont val="Tahoma"/>
            <family val="2"/>
          </rPr>
          <t>EME INGOLD_x000D_
http://yeinfo.com/family/I09024353.html_x000D_
https://www.google.com/search?q=EME+INGOLD+1577+1634+HOWE_x000D_
.born:c1577    -          Somerset county England_x000D_
.died: 16340121-          Boston (Suffolk) Massachusetts, age:57y 0m 20d, _x000D_
.bapt: 1785GE_x000D_
.will: 2004MO_x000D_
.obit: 1890OH_x000D_
.bury: 1850IL _x000D_
.wpbt: 1826PA_x000D_
.anc#:double ancestor_x000D_
citiz:immigrant_x000D_
#spos:1_x000D_
#srcs:1_x000D_
#comment:0_x000D_
#events:1_x000D_
#kids:4_x000D_
lived:ENESSEXMAGLAVR,ENSOMES,MASUFFOBOSTON_x000D_
issue:_x000D_
.recs:Birth,Marriage,Death_x000D_
.imm?:immigrant_x000D_
..Spo:ROBERT HOWE</t>
        </r>
      </text>
    </comment>
    <comment ref="N8484" authorId="0" shapeId="0" xr:uid="{1F86176F-D88C-40C1-8845-AF6AC71B9B70}">
      <text>
        <r>
          <rPr>
            <sz val="9"/>
            <color indexed="81"/>
            <rFont val="Tahoma"/>
            <family val="2"/>
          </rPr>
          <t>JAMES HOWE Jr._x000D_
http://yeinfo.com/family/I09006090.html_x000D_
https://www.google.com/search?q=JAMES+HOWE+1632+1702+ELIZABETH_x000D_
.born: 16320323-          Bishops Stortford (Hertfordshire) England_x000D_
.died: 17020215-          Ipswich (Essex) Massachusetts, age:69y 10m 23d, _x000D_
.bapt: 1785GE_x000D_
.will: 2004MO_x000D_
.obit: 1890OH_x000D_
.bury: 1850IL _x000D_
.wpbt: 1826PA_x000D_
.anc#:ancestor_x000D_
citiz:immigrant_x000D_
#spos:1_x000D_
#srcs:1_x000D_
#comment:0_x000D_
#events:2_x000D_
#kids:1_x000D_
lived:ENHERTFBISHOST,MAESSEXIPSWICH_x000D_
issue:_x000D_
.recs:Birth,Baptism,Marriage,Death_x000D_
.imm?:immigrant_x000D_
..Spo:ELIZABETH JACKSON</t>
        </r>
      </text>
    </comment>
    <comment ref="P8486" authorId="0" shapeId="0" xr:uid="{7F09100C-6624-4FCD-A3E7-3D8262B103A3}">
      <text>
        <r>
          <rPr>
            <sz val="9"/>
            <color indexed="81"/>
            <rFont val="Tahoma"/>
            <family val="2"/>
          </rPr>
          <t>JOHN DANE Jr._x000D_
http://yeinfo.com/family/I09024362.html_x000D_
https://www.google.com/search?q=JOHN+DANE+1586+1658+FRANCES_x000D_
.born: 15860508-          Hitchin (Hertfordshire) England_x000D_
.died: 16580914-          Roxbury (Suffolk) Massachusetts, age:72y 4m 6d, _x000D_
.bapt: 1785GE_x000D_
.will: 2004MO_x000D_
.obit: 1890OH_x000D_
.bury: 1850IL _x000D_
.wpbt: 1826PA_x000D_
.anc#:ancestor_x000D_
citiz:immigrant_x000D_
#spos:1_x000D_
#srcs:1_x000D_
#comment:1_x000D_
#events:1_x000D_
#kids:1_x000D_
lived:ENHERTFBISHOST,ENHERTFHITCHIN,MASUFFOROXBURY_x000D_
issue:_x000D_
.recs:Birth,Marriage,Death_x000D_
.imm?:immigrant_x000D_
..Spo:FRANCES BOWYER</t>
        </r>
      </text>
    </comment>
    <comment ref="O8488" authorId="0" shapeId="0" xr:uid="{41E94F7D-9DEF-46A1-905E-F7641F878DBC}">
      <text>
        <r>
          <rPr>
            <sz val="9"/>
            <color indexed="81"/>
            <rFont val="Tahoma"/>
            <family val="2"/>
          </rPr>
          <t>ELIZABETH DANE_x000D_
http://yeinfo.com/family/I09012181.html_x000D_
https://www.google.com/search?q=ELIZABETH+DANE+1611+1694+HOWE_x000D_
.born: 1611    -          Bishops Stortford (Hertfordshire) England_x000D_
.died: 16940121-          Ipswich (Essex) Massachusetts, age:83y 0m 20d, _x000D_
.bapt: 1785GE_x000D_
.will: 2004MO_x000D_
.obit: 1890OH_x000D_
.bury: 1850IL _x000D_
.wpbt: 1826PA_x000D_
.anc#:ancestor_x000D_
citiz:immigrant_x000D_
#spos:1_x000D_
#srcs:1_x000D_
#comment:0_x000D_
#events:1_x000D_
#kids:1_x000D_
lived:ENHERTFBISHOST,MAESSEXIPSWICH_x000D_
issue:_x000D_
.recs:Birth,Marriage,Death_x000D_
.imm?:immigrant_x000D_
..Spo:JAMES HOWE</t>
        </r>
      </text>
    </comment>
    <comment ref="P8490" authorId="0" shapeId="0" xr:uid="{4B027FB6-6FEE-4C25-86CF-2AC8064DD3F6}">
      <text>
        <r>
          <rPr>
            <sz val="9"/>
            <color indexed="81"/>
            <rFont val="Tahoma"/>
            <family val="2"/>
          </rPr>
          <t>FRANCES BOWYER_x000D_
http://yeinfo.com/family/I09024363.html_x000D_
https://www.google.com/search?q=FRANCES+BOWYER+1588+1616+DANE_x000D_
.born:?1588    -          Hertfordshire county England_x000D_
.died: 1616    -1675     ?Massachusetts, age:28y 0m 0d, _x000D_
.bapt: 1785GE_x000D_
.will: 2004MO_x000D_
.obit: 1890OH_x000D_
.bury: 1850IL _x000D_
.wpbt: 1826PA_x000D_
.anc#:ancestor_x000D_
citiz:immigrant_x000D_
#spos:1_x000D_
#srcs:1_x000D_
#comment:1_x000D_
#events:1_x000D_
#kids:1_x000D_
lived:?MA,ENHERTFBISHOST_x000D_
issue:_x000D_
.recs:Birth,Marriage,Death_x000D_
.imm?:immigrant_x000D_
..Spo:JOHN DANE</t>
        </r>
      </text>
    </comment>
    <comment ref="M8492" authorId="0" shapeId="0" xr:uid="{29D03953-6B8D-4237-972D-7599C9712C88}">
      <text>
        <r>
          <rPr>
            <sz val="9"/>
            <color indexed="81"/>
            <rFont val="Tahoma"/>
            <family val="2"/>
          </rPr>
          <t>DEBORAH HOWE_x000D_
http://yeinfo.com/family/I09003045.html_x000D_
https://www.google.com/search?q=DEBORAH+HOWE+1667+1750+HOWE_x000D_
.born: 16670301-          Ipswich (Essex) Massachusetts_x000D_
.died: 1750    -          Massachusetts, age:82y 10m 0d, _x000D_
.bapt: 1785GE_x000D_
.will: 2004MO_x000D_
.obit: 1890OH_x000D_
.bury: 1850IL _x000D_
.wpbt: 1826PA_x000D_
.anc#:ancestor_x000D_
citiz:US born_x000D_
#spos:1_x000D_
#srcs:1_x000D_
#comment:1_x000D_
#events:1_x000D_
#kids:1_x000D_
lived:MAESSEXIPSWICH,MASUFFOROXBURY_x000D_
issue:_x000D_
.recs:Birth,Marriage,Death_x000D_
.imm?:no_x000D_
..Spo:ISAAC HOWE</t>
        </r>
      </text>
    </comment>
    <comment ref="P8494" authorId="0" shapeId="0" xr:uid="{1C7B6E9B-8E10-49FE-9E87-873A68E1121A}">
      <text>
        <r>
          <rPr>
            <sz val="9"/>
            <color indexed="81"/>
            <rFont val="Tahoma"/>
            <family val="2"/>
          </rPr>
          <t>WILLIAM JACKSON Sr._x000D_
http://yeinfo.com/family/I09024364.html_x000D_
https://www.google.com/search?q=WILLIAM+JACKSON+1585+1688+ISABELL_x000D_
.born: 15851011-          Howden (Yorkshire) England_x000D_
.died: 16880505-          Rowley (Essex) Massachusetts, age:102y 6m 24d, _x000D_
.bapt: 1785GE_x000D_
.will: 2004MO_x000D_
.obit: 1890OH_x000D_
.bury: 1850IL Old Burial Ground_x000D_
.wpbt: 1826PA_x000D_
.anc#:ancestor_x000D_
citiz:immigrant_x000D_
#spos:1_x000D_
#srcs:1_x000D_
#comment:1_x000D_
#events:2_x000D_
#kids:1_x000D_
lived:ENYORKSHOWDEN,ENYORKSLEEDS,MAESSEXROWLEY_x000D_
issue:Married after Age 60_x000D_
.recs:Birth,Marriage,Death,Interment/Burial_x000D_
.imm?:immigrant_x000D_
..Spo:ISABELL BURTWISLE</t>
        </r>
      </text>
    </comment>
    <comment ref="O8496" authorId="0" shapeId="0" xr:uid="{01DAEF8C-DA98-44E9-AECD-F34193095188}">
      <text>
        <r>
          <rPr>
            <sz val="9"/>
            <color indexed="81"/>
            <rFont val="Tahoma"/>
            <family val="2"/>
          </rPr>
          <t>WILLIAM JACKSON Jr._x000D_
http://yeinfo.com/family/I09012182.html_x000D_
https://www.google.com/search?q=WILLIAM+JACKSON+1615+1688+JOANNA_x000D_
.born: 1615    -          Yorkshire county England_x000D_
.died: 16880501-          Rowley (Essex) Massachusetts, age:73y 4m 0d, _x000D_
.bapt: 1785GE_x000D_
.will: 2004MO_x000D_
.obit: 1890OH_x000D_
.bury: 1850IL Old Burial Ground_x000D_
.wpbt: 1826PA_x000D_
.anc#:ancestor_x000D_
citiz:immigrant_x000D_
#spos:1_x000D_
#srcs:1_x000D_
#comment:0_x000D_
#events:5_x000D_
#kids:1_x000D_
lived:ENYORKS,MAESSEXROWLEY_x000D_
issue:_x000D_
.recs:Birth,Marriage,Deed,Interment/Burial_x000D_
.imm?:immigrant_x000D_
..Spo:JOANNA COLLINS</t>
        </r>
      </text>
    </comment>
    <comment ref="P8498" authorId="0" shapeId="0" xr:uid="{522F615B-D33C-4B29-B90E-C2B25D9180C2}">
      <text>
        <r>
          <rPr>
            <sz val="9"/>
            <color indexed="81"/>
            <rFont val="Tahoma"/>
            <family val="2"/>
          </rPr>
          <t>ISABELL BURTWISLE_x000D_
http://yeinfo.com/family/I09024365.html_x000D_
https://www.google.com/search?q=ISABELL+BURTWISLE+1588+1635+JACKSON_x000D_
.born: 1588    -          Wintringham (Yorkshire) England_x000D_
.died: 16351213-          Rowley (Essex) Massachusetts, age:47y 11m 12d, _x000D_
.bapt: 1785GE_x000D_
.will: 2004MO_x000D_
.obit: 1890OH_x000D_
.bury: 1850IL _x000D_
.wpbt: 1826PA_x000D_
.anc#:ancestor_x000D_
citiz:immigrant_x000D_
#spos:1_x000D_
#srcs:1_x000D_
#comment:1_x000D_
#events:2_x000D_
#kids:1_x000D_
lived:ENYORKSLEEDS,ENYORKSWINTRIN,MAESSEXROWLEY_x000D_
issue:_x000D_
.recs:Birth,Baptism,Marriage,Death_x000D_
.imm?:immigrant_x000D_
..Spo:WILLIAM JACKSON</t>
        </r>
      </text>
    </comment>
    <comment ref="N8500" authorId="0" shapeId="0" xr:uid="{F5270D13-6AB0-4154-992C-3C46AE7A862F}">
      <text>
        <r>
          <rPr>
            <sz val="9"/>
            <color indexed="81"/>
            <rFont val="Tahoma"/>
            <family val="2"/>
          </rPr>
          <t>ELIZABETH JACKSON_x000D_
http://yeinfo.com/family/I09006091.html_x000D_
https://www.google.com/search?q=ELIZABETH+JACKSON+1637+1692+HOWE_x000D_
.born: 163705  -          Rowley (Yorkshire) England_x000D_
.died: 16920719-          Salem (Essex) Massachusetts, age:55y 2m 18d, Hanged as a witch_x000D_
.bapt: 1785GE_x000D_
.will: 2004MO_x000D_
.obit: 1890OH_x000D_
.bury: 1850IL _x000D_
.wpbt: 1826PA_x000D_
.anc#:ancestor_x000D_
citiz:immigrant_x000D_
#spos:1_x000D_
#srcs:1_x000D_
#comment:1_x000D_
#events:3_x000D_
#kids:1_x000D_
lived:ENYORKSROWLEY,MAESSEXSALEM,MAESSEXTOPSFIE_x000D_
issue:_x000D_
.recs:Birth,Baptism,Marriage,Death_x000D_
.imm?:immigrant_x000D_
..Spo:JAMES HOWE</t>
        </r>
      </text>
    </comment>
    <comment ref="P8502" authorId="0" shapeId="0" xr:uid="{75DFE152-165F-486D-9F82-BC3DE80A70B8}">
      <text>
        <r>
          <rPr>
            <sz val="9"/>
            <color indexed="81"/>
            <rFont val="Tahoma"/>
            <family val="2"/>
          </rPr>
          <t>ABRAHAM COLLINS_x000D_
http://yeinfo.com/family/I09024366.html_x000D_
https://www.google.com/search?q=ABRAHAM+COLLINS+1580+1610+ANNE_x000D_
.born:?1580    -          Maiden Newton (Dorset) England_x000D_
.died: 1610    -1670     ?England, age:30y 0m 0d, _x000D_
.bapt: 1785GE_x000D_
.will: 2004MO_x000D_
.obit: 1890OH_x000D_
.bury: 1850IL _x000D_
.wpbt: 1826PA_x000D_
.anc#:ancestor_x000D_
citiz:foreign_x000D_
#spos:1_x000D_
#srcs:1_x000D_
#comment:0_x000D_
#events:1_x000D_
#kids:1_x000D_
lived:ENDORSEMAIDNEW_x000D_
issue:_x000D_
.recs:Birth,Marriage,Death_x000D_
.imm?:no_x000D_
..Spo:ANNE STANNARD</t>
        </r>
      </text>
    </comment>
    <comment ref="O8504" authorId="0" shapeId="0" xr:uid="{10896497-0B46-4197-B732-B30AE52350A4}">
      <text>
        <r>
          <rPr>
            <sz val="9"/>
            <color indexed="81"/>
            <rFont val="Tahoma"/>
            <family val="2"/>
          </rPr>
          <t>JOANNA COLLINS_x000D_
http://yeinfo.com/family/I09012183.html_x000D_
https://www.google.com/search?q=JOANNA+COLLINS+1610+1680+JACKSON_x000D_
.born: 1610    -          Cottingham (Yorkshire) England_x000D_
.died: 16801120-          Rowley (Essex) Massachusetts, age:70y 10m 19d, _x000D_
.bapt: 1785GE_x000D_
.will: 2004MO_x000D_
.obit: 1890OH_x000D_
.bury: 1850IL Old Burial Ground_x000D_
.wpbt: 1826PA_x000D_
.anc#:ancestor_x000D_
citiz:immigrant_x000D_
#spos:1_x000D_
#srcs:1_x000D_
#comment:0_x000D_
#events:2_x000D_
#kids:1_x000D_
lived:ENYORKSCOTTING,ENYORKSROWLEY,MAESSEXROWLEY_x000D_
issue:_x000D_
.recs:Birth,Marriage,Death,Interment/Burial_x000D_
.imm?:immigrant_x000D_
..Spo:WILLIAM JACKSON</t>
        </r>
      </text>
    </comment>
    <comment ref="P8506" authorId="0" shapeId="0" xr:uid="{B8A3C58F-D8F4-43BC-8D72-E624C72BF646}">
      <text>
        <r>
          <rPr>
            <sz val="9"/>
            <color indexed="81"/>
            <rFont val="Tahoma"/>
            <family val="2"/>
          </rPr>
          <t>ANNE STANNARD_x000D_
http://yeinfo.com/family/I09024367.html_x000D_
https://www.google.com/search?q=ANNE+STANNARD+1584+1610+COLLINS_x000D_
.born:?1584    -          Maiden Newton (Dorset) England_x000D_
.died: 1610    -1670     ?England, age:26y 0m 0d, _x000D_
.bapt: 1785GE_x000D_
.will: 2004MO_x000D_
.obit: 1890OH_x000D_
.bury: 1850IL _x000D_
.wpbt: 1826PA_x000D_
.anc#:ancestor_x000D_
citiz:foreign_x000D_
#spos:1_x000D_
#srcs:1_x000D_
#comment:0_x000D_
#events:1_x000D_
#kids:1_x000D_
lived:ENDORSEMAIDNEW_x000D_
issue:_x000D_
.recs:Birth,Marriage,Death_x000D_
.imm?:no_x000D_
..Spo:ABRAHAM COLLINS</t>
        </r>
      </text>
    </comment>
    <comment ref="K8508" authorId="0" shapeId="0" xr:uid="{85BB6698-9BB9-4E97-9010-3695F506813D}">
      <text>
        <r>
          <rPr>
            <sz val="9"/>
            <color indexed="81"/>
            <rFont val="Tahoma"/>
            <family val="2"/>
          </rPr>
          <t>LYDIA HOWE_x000D_
http://yeinfo.com/family/I09000761.html_x000D_
https://www.google.com/search?q=LYDIA+HOWE+1721+1783+PERRY_x000D_
.born: 17211118-          Framingham (Middlesex) Massachusetts_x000D_
.died: 1783    -          Edenton (Chowan) North Carolina, age:61y 1m 14d, _x000D_
.bapt: 1785GE_x000D_
.will: 2004MO_x000D_
.obit: 1890OH_x000D_
.bury: 1850IL _x000D_
.wpbt: 1826PA_x000D_
.anc#:ancestor_x000D_
citiz:US born_x000D_
#spos:1_x000D_
#srcs:2_x000D_
#comment:2_x000D_
#events:1_x000D_
#kids:4_x000D_
lived:MAMIDDLFRAMING,NCCHOWAEDENTON_x000D_
issue:_x000D_
.recs:Birth,Marriage,Death_x000D_
.imm?:no_x000D_
..Spo:JAPHET\JAFIT PERRY</t>
        </r>
      </text>
    </comment>
    <comment ref="P8510" authorId="0" shapeId="0" xr:uid="{558FA9BF-E1FB-4A9F-8509-DCF136BA5AC3}">
      <text>
        <r>
          <rPr>
            <sz val="9"/>
            <color indexed="81"/>
            <rFont val="Tahoma"/>
            <family val="2"/>
          </rPr>
          <t>WILLIAM JACKSON_x000D_
http://yeinfo.com/family/I09024368.html_x000D_
https://www.google.com/search?q=WILLIAM+JACKSON+1550+1625+ELIZABETH_x000D_
.born: 1550    -          London (Middlesex) England_x000D_
.died: 16251002-          Sapperton (Derby) England, age:75y 9m 1d, _x000D_
.bapt: 1785GE_x000D_
.will: 2004MO_x000D_
.obit: 1890OH_x000D_
.bury: 1850IL _x000D_
.wpbt: 1826PA_x000D_
.anc#:ancestor_x000D_
citiz:foreign_x000D_
#spos:1_x000D_
#srcs:1_x000D_
#comment:0_x000D_
#events:1_x000D_
#kids:1_x000D_
lived:ENDERBYSAPPERT,ENMIDDLLONDON_x000D_
issue:_x000D_
.recs:Birth,Marriage,Death_x000D_
.imm?:no_x000D_
..Spo:ELIZABETH BACKUS</t>
        </r>
      </text>
    </comment>
    <comment ref="O8512" authorId="0" shapeId="0" xr:uid="{CECF4F10-DDEE-4906-A100-97B568599D7B}">
      <text>
        <r>
          <rPr>
            <sz val="9"/>
            <color indexed="81"/>
            <rFont val="Tahoma"/>
            <family val="2"/>
          </rPr>
          <t>NICHOLAS JACKSON_x000D_
http://yeinfo.com/family/I09012184.html_x000D_
https://www.google.com/search?q=NICHOLAS+JACKSON+1575+1613+PRUDENCE_x000D_
.born:?1575    -          England_x000D_
.died: 1613    -1665     ?England, age:38y 0m 0d, _x000D_
.bapt: 1785GE_x000D_
.will: 2004MO_x000D_
.obit: 1890OH_x000D_
.bury: 1850IL _x000D_
.wpbt: 1826PA_x000D_
.anc#:ancestor_x000D_
citiz:foreign_x000D_
#spos:1_x000D_
#srcs:1_x000D_
#comment:0_x000D_
#events:1_x000D_
#kids:1_x000D_
lived:ENDEVONHALWELL_x000D_
issue:_x000D_
.recs:Birth,Marriage,Death_x000D_
.imm?:no_x000D_
..Spo:PRUDENCE MARCHE</t>
        </r>
      </text>
    </comment>
    <comment ref="P8514" authorId="0" shapeId="0" xr:uid="{0A357CD1-93EC-479E-A918-698580632851}">
      <text>
        <r>
          <rPr>
            <sz val="9"/>
            <color indexed="81"/>
            <rFont val="Tahoma"/>
            <family val="2"/>
          </rPr>
          <t>ELIZABETH BACKUS_x000D_
http://yeinfo.com/family/I09024369.html_x000D_
https://www.google.com/search?q=ELIZABETH+BACKUS+1550+1575+JACKSON_x000D_
.born: 1550    -          Over Kellet (Lancashire) England_x000D_
.died: 1575    -1640     ?England, age:25y 0m 0d, _x000D_
.bapt: 1785GE_x000D_
.will: 2004MO_x000D_
.obit: 1890OH_x000D_
.bury: 1850IL _x000D_
.wpbt: 1826PA_x000D_
.anc#:ancestor_x000D_
citiz:foreign_x000D_
#spos:1_x000D_
#srcs:1_x000D_
#comment:0_x000D_
#events:1_x000D_
#kids:1_x000D_
lived:ENLANCSOVER KE_x000D_
issue:_x000D_
.recs:Birth,Marriage,Death_x000D_
.imm?:no_x000D_
..Spo:WILLIAM JACKSON</t>
        </r>
      </text>
    </comment>
    <comment ref="N8516" authorId="0" shapeId="0" xr:uid="{1599A6C1-F4E8-4780-9DC0-DDEA202446F2}">
      <text>
        <r>
          <rPr>
            <sz val="9"/>
            <color indexed="81"/>
            <rFont val="Tahoma"/>
            <family val="2"/>
          </rPr>
          <t>NICHOLAS JACKSON_x000D_
http://yeinfo.com/family/I09006092.html_x000D_
https://www.google.com/search?q=NICHOLAS+JACKSON+1613+1698+SARAH_x000D_
.born: 1613    -          Yorkshire county England_x000D_
.died: 16980213-          Rowley (Essex) England, age:85y 1m 12d, _x000D_
.bapt: 1785GE_x000D_
.will: 2004MO_x000D_
.obit: 1890OH_x000D_
.bury: 1850IL _x000D_
.wpbt: 1826PA_x000D_
.anc#:ancestor_x000D_
citiz:foreign_x000D_
#spos:1_x000D_
#srcs:1_x000D_
#comment:0_x000D_
#events:1_x000D_
#kids:1_x000D_
lived:ENYORKS,MAESSEXROWLEY_x000D_
issue:_x000D_
.recs:Birth,Marriage,Death_x000D_
.imm?:no_x000D_
..Spo:SARAH RILEY</t>
        </r>
      </text>
    </comment>
    <comment ref="O8518" authorId="0" shapeId="0" xr:uid="{93BA5A83-305E-454A-BFFB-2B358137A8AD}">
      <text>
        <r>
          <rPr>
            <sz val="9"/>
            <color indexed="81"/>
            <rFont val="Tahoma"/>
            <family val="2"/>
          </rPr>
          <t>PRUDENCE MARCHE_x000D_
http://yeinfo.com/family/I09012185.html_x000D_
https://www.google.com/search?q=PRUDENCE+MARCHE+1576+1613+JACKSON_x000D_
.born: 1576    -          England_x000D_
.died: 1613    -1665     ?England, age:37y 0m 0d, _x000D_
.bapt: 1785GE_x000D_
.will: 2004MO_x000D_
.obit: 1890OH_x000D_
.bury: 1850IL _x000D_
.wpbt: 1826PA_x000D_
.anc#:ancestor_x000D_
citiz:foreign_x000D_
#spos:1_x000D_
#srcs:1_x000D_
#comment:0_x000D_
#events:1_x000D_
#kids:1_x000D_
lived:ENDEVONHALWELL_x000D_
issue:_x000D_
.recs:Birth,Marriage,Death_x000D_
.imm?:no_x000D_
..Spo:NICHOLAS JACKSON</t>
        </r>
      </text>
    </comment>
    <comment ref="M8520" authorId="0" shapeId="0" xr:uid="{9FAFE0A6-8E26-469C-9B1B-9AC42CA7C898}">
      <text>
        <r>
          <rPr>
            <sz val="9"/>
            <color indexed="81"/>
            <rFont val="Tahoma"/>
            <family val="2"/>
          </rPr>
          <t>JONATHAN JACKSON_x000D_
http://yeinfo.com/family/I09003046.html_x000D_
https://www.google.com/search?q=JONATHAN+JACKSON+1650+1715+ANNA\HANNAH_x000D_
.born: 16500712-          Rowley (Essex) Massachusetts_x000D_
.died:a17150617-          Framingham (Middlesex) Massachusetts, age:64y 11m 5d, _x000D_
.bapt: 1785GE_x000D_
.will: 2004MO_x000D_
.obit: 1890OH_x000D_
.bury: 1850IL _x000D_
.wpbt: 1826PA_x000D_
.anc#:ancestor_x000D_
citiz:US born_x000D_
#spos:1_x000D_
#srcs:2_x000D_
#comment:0_x000D_
#events:1_x000D_
#kids:1_x000D_
lived:MAESSEXROWLEY,MAMIDDLFRAMING_x000D_
issue:_x000D_
.recs:Birth,Marriage,Death_x000D_
.imm?:no_x000D_
..Spo:ANNA\HANNAH GARFIELD</t>
        </r>
      </text>
    </comment>
    <comment ref="P8522" authorId="0" shapeId="0" xr:uid="{CD8D9FBB-A772-40D9-AD32-1888752559D1}">
      <text>
        <r>
          <rPr>
            <sz val="9"/>
            <color indexed="81"/>
            <rFont val="Tahoma"/>
            <family val="2"/>
          </rPr>
          <t>GEORGE RILEY_x000D_
http://yeinfo.com/family/I09024372.html_x000D_
https://www.google.com/search?q=GEORGE+RILEY+1577+1655+GRACE_x000D_
.born: 1577090 -          Soyland (Yorkshire) England_x000D_
.died: 165509  -          Elland (Yorkshire) England, age:78y 0m 0d, _x000D_
.bapt: 1785GE_x000D_
.will: 2004MO_x000D_
.obit: 1890OH_x000D_
.bury: 1850IL _x000D_
.wpbt: 1826PA_x000D_
.anc#:ancestor_x000D_
citiz:foreign_x000D_
#spos:1_x000D_
#srcs:1_x000D_
#comment:1_x000D_
#events:1_x000D_
#kids:1_x000D_
lived:ENYORKSELLAND,ENYORKSSOYLAND_x000D_
issue:_x000D_
.recs:Birth,Marriage,Death_x000D_
.imm?:no_x000D_
..Spo:GRACE MEDLEY</t>
        </r>
      </text>
    </comment>
    <comment ref="O8524" authorId="0" shapeId="0" xr:uid="{9DEA7E7D-075F-46C9-A892-A626CBACD971}">
      <text>
        <r>
          <rPr>
            <sz val="9"/>
            <color indexed="81"/>
            <rFont val="Tahoma"/>
            <family val="2"/>
          </rPr>
          <t>HENRY RILEY_x000D_
http://yeinfo.com/family/I09012186.html_x000D_
https://www.google.com/search?q=HENRY+RILEY+1605+1626+MARIA+ALISANDRA_x000D_
.born: 1605    -          Bolton (Lancashire) England_x000D_
.died: 1626    -1690     ?England, age:21y 0m 0d, _x000D_
.bapt: 1785GE_x000D_
.will: 2004MO_x000D_
.obit: 1890OH_x000D_
.bury: 1850IL _x000D_
.wpbt: 1826PA_x000D_
.anc#:ancestor_x000D_
citiz:foreign_x000D_
#spos:1_x000D_
#srcs:1_x000D_
#comment:0_x000D_
#events:1_x000D_
#kids:1_x000D_
lived:ENLANCSBOLTON_x000D_
issue:_x000D_
.recs:Birth,Marriage,Death_x000D_
.imm?:no_x000D_
..Spo:MARIA ALISANDRA FIRTH</t>
        </r>
      </text>
    </comment>
    <comment ref="P8526" authorId="0" shapeId="0" xr:uid="{481452C9-B5FD-410B-AEB3-79AC2213554E}">
      <text>
        <r>
          <rPr>
            <sz val="9"/>
            <color indexed="81"/>
            <rFont val="Tahoma"/>
            <family val="2"/>
          </rPr>
          <t>GRACE MEDLEY_x000D_
http://yeinfo.com/family/I09024373.html_x000D_
https://www.google.com/search?q=GRACE+MEDLEY+1579+1647+RILEY_x000D_
.born:?1579    -          Elland (Yorkshire) England_x000D_
.died: 164709  -          Elland (Yorkshire) England, age:68y 8m 0d, _x000D_
.bapt: 1785GE_x000D_
.will: 2004MO_x000D_
.obit: 1890OH_x000D_
.bury: 1850IL _x000D_
.wpbt: 1826PA_x000D_
.anc#:ancestor_x000D_
citiz:foreign_x000D_
#spos:1_x000D_
#srcs:1_x000D_
#comment:1_x000D_
#events:1_x000D_
#kids:1_x000D_
lived:ENYORKSELLAND_x000D_
issue:_x000D_
.recs:Birth,Marriage,Death_x000D_
.imm?:no_x000D_
..Spo:GEORGE RILEY</t>
        </r>
      </text>
    </comment>
    <comment ref="N8528" authorId="0" shapeId="0" xr:uid="{467ED8B0-D1DA-47CD-A35D-C1736E525150}">
      <text>
        <r>
          <rPr>
            <sz val="9"/>
            <color indexed="81"/>
            <rFont val="Tahoma"/>
            <family val="2"/>
          </rPr>
          <t>SARAH RILEY_x000D_
http://yeinfo.com/family/I09006093.html_x000D_
https://www.google.com/search?q=SARAH+RILEY+1626+1655+JACKSON_x000D_
.born:?1626    -          England_x000D_
.died: 16550812-          Rowley (Essex) Massachusetts, age:29y 7m 11d, _x000D_
.bapt: 1785GE_x000D_
.will: 2004MO_x000D_
.obit: 1890OH_x000D_
.bury: 1850IL _x000D_
.wpbt: 1826PA_x000D_
.anc#:ancestor_x000D_
citiz:immigrant_x000D_
#spos:1_x000D_
#srcs:1_x000D_
#comment:0_x000D_
#events:1_x000D_
#kids:1_x000D_
lived:EN,MAESSEXROWLEY_x000D_
issue:_x000D_
.recs:Birth,Marriage,Death_x000D_
.imm?:immigrant_x000D_
..Spo:NICHOLAS JACKSON</t>
        </r>
      </text>
    </comment>
    <comment ref="O8530" authorId="0" shapeId="0" xr:uid="{065A1457-3FCA-4760-896F-72C235C606DD}">
      <text>
        <r>
          <rPr>
            <sz val="9"/>
            <color indexed="81"/>
            <rFont val="Tahoma"/>
            <family val="2"/>
          </rPr>
          <t>MARIA ALISANDRA FIRTH_x000D_
http://yeinfo.com/family/I09012187.html_x000D_
https://www.google.com/search?q=MARIA+ALISANDRA+FIRTH+1599+1637+RILEY_x000D_
.born: 1599    -          Almondbury (Yorkshire) England_x000D_
.died: 1637    -          Elland (Yorkshire) England, age:38y 0m 0d, _x000D_
.bapt: 1785GE_x000D_
.will: 2004MO_x000D_
.obit: 1890OH_x000D_
.bury: 1850IL _x000D_
.wpbt: 1826PA_x000D_
.anc#:ancestor_x000D_
citiz:foreign_x000D_
#spos:1_x000D_
#srcs:1_x000D_
#comment:0_x000D_
#events:1_x000D_
#kids:1_x000D_
lived:ENYORKSALMONDB,ENYORKSELLAND_x000D_
issue:_x000D_
.recs:Birth,Marriage,Death_x000D_
.imm?:no_x000D_
..Spo:HENRY RILEY</t>
        </r>
      </text>
    </comment>
    <comment ref="L8532" authorId="0" shapeId="0" xr:uid="{49BC6304-4326-4E49-9E4D-AD8C0B2F9801}">
      <text>
        <r>
          <rPr>
            <sz val="9"/>
            <color indexed="81"/>
            <rFont val="Tahoma"/>
            <family val="2"/>
          </rPr>
          <t>LYDIA JACKSON_x000D_
http://yeinfo.com/family/I09001523.html_x000D_
https://www.google.com/search?q=LYDIA+JACKSON+1686+1739+HOWE_x000D_
.born: 16860804-          Rowley (Essex) Massachusetts_x000D_
.died:a17391016-          Framingham (Middlesex) Massachusetts, age:53y 2m 12d, _x000D_
.bapt: 1785GE_x000D_
.will: 2004MO_x000D_
.obit: 1890OH_x000D_
.bury: 1850IL _x000D_
.wpbt: 1826PA_x000D_
.anc#:ancestor_x000D_
citiz:US born_x000D_
#spos:1_x000D_
#srcs:1_x000D_
#comment:1_x000D_
#events:1_x000D_
#kids:1_x000D_
lived:MAESSEXROWLEY,MAMIDDLFRAMING_x000D_
issue:_x000D_
.recs:Birth,Marriage,Death_x000D_
.imm?:no_x000D_
..Spo:ISAAC HOWE</t>
        </r>
      </text>
    </comment>
    <comment ref="P8534" authorId="0" shapeId="0" xr:uid="{798E73F1-CC56-4704-B2C6-BC56B16C2679}">
      <text>
        <r>
          <rPr>
            <sz val="9"/>
            <color indexed="81"/>
            <rFont val="Tahoma"/>
            <family val="2"/>
          </rPr>
          <t>EDWARD GARFIELD_x000D_
http://yeinfo.com/family/I09011496.html_x000D_
https://www.google.com/search?q=EDWARD+GARFIELD+1575+1672+AGNES\SARAH_x000D_
.born:c1575    -         ?England_x000D_
.died: 16720614-          Waterton (Middlesex) Massachusetts, age:97y 5m 13d, _x000D_
.bapt: 1785GE_x000D_
.will: 2004MO_x000D_
.obit: 1890OH_x000D_
.bury: 1850IL _x000D_
.wpbt: 1826PA_x000D_
.anc#:  quadruple ancestor_x000D_
citiz:immigrant_x000D_
#spos:1_x000D_
#srcs:11_x000D_
#comment:1_x000D_
#events:8_x000D_
#kids:1_x000D_
lived:?EN,?MAMIDDLWATERTO,MA_x000D_
issue:_x000D_
.recs:Birth,Marriage,Job/Occupation,Death,Freeman_x000D_
.imm?:immigrant_x000D_
..Spo:AGNES\SARAH GARFIELD</t>
        </r>
      </text>
    </comment>
    <comment ref="O8536" authorId="0" shapeId="0" xr:uid="{C4445998-7A49-4AEA-B9FD-F13879D010D5}">
      <text>
        <r>
          <rPr>
            <sz val="9"/>
            <color indexed="81"/>
            <rFont val="Tahoma"/>
            <family val="2"/>
          </rPr>
          <t>EDWARD GARFIELD_x000D_
http://yeinfo.com/family/I09005748.html_x000D_
https://www.google.com/search?q=EDWARD+GARFIELD+1605+1672+REBECCA+GARFIELD_x000D_
.born: 1605    -         ?England_x000D_
.died: 16720604-          , age:67y 5m 3d, _x000D_
.bapt: 1785GE_x000D_
.will: 2004MO_x000D_
.obit: 1890OH_x000D_
.bury: 1850IL _x000D_
.wpbt: 1826PA_x000D_
.anc#:  quadruple ancestor_x000D_
citiz:US born_x000D_
#spos:2_x000D_
#srcs:10_x000D_
#comment:0_x000D_
#events:8_x000D_
#kids:6_x000D_
lived:?EN,MAMIDDLWATERTO_x000D_
issue:_x000D_
.recs:Birth,Marriage,Job/Occupation,Will Written,Death_x000D_
.imm?:no_x000D_
..Spo:REBECCA JOHNSON</t>
        </r>
      </text>
    </comment>
    <comment ref="P8538" authorId="0" shapeId="0" xr:uid="{044D79EA-E1BE-48F1-81AD-8F56069918D7}">
      <text>
        <r>
          <rPr>
            <sz val="9"/>
            <color indexed="81"/>
            <rFont val="Tahoma"/>
            <family val="2"/>
          </rPr>
          <t>Mrs. AGNES\SARAH GARFIELD_x000D_
http://yeinfo.com/family/I09011497.html_x000D_
https://www.google.com/search?q=AGNES\SARAH+GARFIELD+1575+1605+GARFIELD_x000D_
.born:?1575    -         ?England_x000D_
.died: 1605    -1665      , age:30y 0m 0d, _x000D_
.bapt: 1785GE_x000D_
.will: 2004MO_x000D_
.obit: 1890OH_x000D_
.bury: 1850IL _x000D_
.wpbt: 1826PA_x000D_
.anc#:  quadruple ancestor_x000D_
citiz:US born_x000D_
#spos:1_x000D_
#srcs:2_x000D_
#comment:0_x000D_
#events:1_x000D_
#kids:1_x000D_
lived:?EN_x000D_
issue:_x000D_
.recs:Birth,Marriage,Death_x000D_
.imm?:no_x000D_
..Spo:EDWARD GARFIELD</t>
        </r>
      </text>
    </comment>
    <comment ref="N8540" authorId="0" shapeId="0" xr:uid="{6A93672F-04C1-4FD1-9AF0-7FE5C58080E2}">
      <text>
        <r>
          <rPr>
            <sz val="9"/>
            <color indexed="81"/>
            <rFont val="Tahoma"/>
            <family val="2"/>
          </rPr>
          <t>SAMUEL GARFIELD_x000D_
http://yeinfo.com/family/I09002874.html_x000D_
https://www.google.com/search?q=SAMUEL+GARFIELD+1624+1684+Susanna+BENFIELD_x000D_
.born:?1624    -         ?Waterton (Middlesex) Massachusetts_x000D_
.died: 1684    -         ?Waterton (Middlesex) Massachusetts, age:60y 0m 0d, _x000D_
.bapt: 1785GE_x000D_
.will: 2004MO_x000D_
.obit: 1890OH_x000D_
.bury: 1850IL _x000D_
.wpbt: 1826PA_x000D_
.anc#:double ancestor_x000D_
citiz:US born_x000D_
#spos:2_x000D_
#srcs:7_x000D_
#comment:0_x000D_
#events:6_x000D_
#kids:15_x000D_
lived:?MAMIDDLWATERTO_x000D_
issue:_x000D_
.recs:Birth,Marriage,Job/Occupation,Will Written,Death_x000D_
.imm?:no_x000D_
..Spo:Susanna GARFIELD</t>
        </r>
      </text>
    </comment>
    <comment ref="P8542" authorId="0" shapeId="0" xr:uid="{AB7CE7D9-BF43-44F5-A0B7-ABDE6795FF5B}">
      <text>
        <r>
          <rPr>
            <sz val="9"/>
            <color indexed="81"/>
            <rFont val="Tahoma"/>
            <family val="2"/>
          </rPr>
          <t>EDWARD JOHNSON_x000D_
http://yeinfo.com/family/I09011498.html_x000D_
https://www.google.com/search?q=EDWARD+JOHNSON+1580+1672+KATHERINE_x000D_
.born: 1580    -          Wareham (Dorset) England_x000D_
.died: 16720614-          Waterton (Middlesex) Massachusetts, age:92y 5m 13d, _x000D_
.bapt: 1785GE_x000D_
.will: 2004MO_x000D_
.obit: 1890OH_x000D_
.bury: 1850IL _x000D_
.wpbt: 1826PA_x000D_
.anc#:  quadruple ancestor_x000D_
citiz:immigrant_x000D_
#spos:1_x000D_
#srcs:1_x000D_
#comment:0_x000D_
#events:1_x000D_
#kids:1_x000D_
lived:ENDORSEWAREHAM,MAMIDDLWATERTO_x000D_
issue:_x000D_
.recs:Birth,Marriage,Death_x000D_
.imm?:immigrant_x000D_
..Spo:KATHERINE FISHER</t>
        </r>
      </text>
    </comment>
    <comment ref="O8544" authorId="0" shapeId="0" xr:uid="{0593792F-F8A9-4456-95E6-6D055E13D29E}">
      <text>
        <r>
          <rPr>
            <sz val="9"/>
            <color indexed="81"/>
            <rFont val="Tahoma"/>
            <family val="2"/>
          </rPr>
          <t>REBECCA JOHNSON_x000D_
http://yeinfo.com/family/I09005749.html_x000D_
https://www.google.com/search?q=REBECCA+JOHNSON+1609+1661+GARFIELD_x000D_
.born: 16090824-          Kendal (Westmorland) England_x000D_
.died: 16610416-          Waterton (Middlesex) Massachusetts, age:51y 7m 23d, _x000D_
.bapt: 1785GE_x000D_
.will: 2004MO_x000D_
.obit: 1890OH_x000D_
.bury: 1850IL _x000D_
.wpbt: 1826PA_x000D_
.anc#:  quadruple ancestor_x000D_
citiz:immigrant_x000D_
#spos:1_x000D_
#srcs:12_x000D_
#comment:0_x000D_
#events:1_x000D_
#kids:6_x000D_
lived:?MAMIDDLWATERTO,ENWMOREKENDAL_x000D_
issue:Died after Age 100_x000D_
.recs:Birth,Marriage,Death_x000D_
.imm?:immigrant_x000D_
..Spo:EDWARD GARFIELD</t>
        </r>
      </text>
    </comment>
    <comment ref="P8546" authorId="0" shapeId="0" xr:uid="{BCF0A8E9-731A-43F4-BE39-F1386A269B85}">
      <text>
        <r>
          <rPr>
            <sz val="9"/>
            <color indexed="81"/>
            <rFont val="Tahoma"/>
            <family val="2"/>
          </rPr>
          <t>KATHERINE FISHER_x000D_
http://yeinfo.com/family/I09011499.html_x000D_
https://www.google.com/search?q=KATHERINE+FISHER+1580+1609+JOHNSON_x000D_
.born:?1580    -         ?Dorset county England_x000D_
.died: 1609    -1670     ?Massachusetts, age:29y 0m 0d, _x000D_
.bapt: 1785GE_x000D_
.will: 2004MO_x000D_
.obit: 1890OH_x000D_
.bury: 1850IL _x000D_
.wpbt: 1826PA_x000D_
.anc#:  quadruple ancestor_x000D_
citiz:immigrant_x000D_
#spos:1_x000D_
#srcs:1_x000D_
#comment:0_x000D_
#events:1_x000D_
#kids:1_x000D_
lived:?ENDORSE,?MA,EN_x000D_
issue:_x000D_
.recs:Birth,Marriage,Death_x000D_
.imm?:immigrant_x000D_
..Spo:EDWARD JOHNSON</t>
        </r>
      </text>
    </comment>
    <comment ref="M8548" authorId="0" shapeId="0" xr:uid="{6AAF7FDA-3371-4117-98C4-E4476F09F681}">
      <text>
        <r>
          <rPr>
            <sz val="9"/>
            <color indexed="81"/>
            <rFont val="Tahoma"/>
            <family val="2"/>
          </rPr>
          <t>ANNA\HANNAH GARFIELD_x000D_
http://yeinfo.com/family/I09003047.html_x000D_
https://www.google.com/search?q=ANNA\HANNAH+GARFIELD+1660+1705+JACKSON_x000D_
.born:?1660    -          Waterton (Middlesex) Massachusetts_x000D_
.died: 1705    -1750     ?Massachusetts, age:45y 0m 0d, _x000D_
.bapt: 1785GE_x000D_
.will: 2004MO_x000D_
.obit: 1890OH_x000D_
.bury: 1850IL _x000D_
.wpbt: 1826PA_x000D_
.anc#:ancestor_x000D_
citiz:US born_x000D_
#spos:1_x000D_
#srcs:2_x000D_
#comment:0_x000D_
#events:1_x000D_
#kids:1_x000D_
lived:MAESSEXROWLEY,MAMIDDLWATERTO_x000D_
issue:_x000D_
.recs:Birth,Marriage,Death_x000D_
.imm?:no_x000D_
..Spo:JONATHAN JACKSON</t>
        </r>
      </text>
    </comment>
    <comment ref="N8550" authorId="0" shapeId="0" xr:uid="{6565D5EB-ED22-416C-8D7D-DE9203DE1E86}">
      <text>
        <r>
          <rPr>
            <sz val="9"/>
            <color indexed="81"/>
            <rFont val="Tahoma"/>
            <family val="2"/>
          </rPr>
          <t>MARY BENFIELD_x000D_
http://yeinfo.com/family/I09002875.html_x000D_
https://www.google.com/search?q=MARY+BENFIELD+1633+1709+GARFIELD_x000D_
.born:?1633    -         ?England_x000D_
.died: 1709    -          Lancaster (Worcester) Massachusetts, age:76y 0m 0d, _x000D_
.bapt: 1785GE_x000D_
.will: 2004MO_x000D_
.obit: 1890OH_x000D_
.bury: 1850IL _x000D_
.wpbt: 1826PA_x000D_
.anc#:double ancestor_x000D_
citiz:immigrant_x000D_
#spos:1_x000D_
#srcs:3_x000D_
#comment:0_x000D_
#events:2_x000D_
#kids:13_x000D_
lived:?EN,MAMIDDLWATERTO,MAWORCELANCAST_x000D_
issue:_x000D_
.recs:Birth,Marriage,Will Written,Death_x000D_
.imm?:immigrant_x000D_
..Spo:SAMUEL GARFIELD</t>
        </r>
      </text>
    </comment>
    <comment ref="I8552" authorId="0" shapeId="0" xr:uid="{F873A5E5-08CA-4A6B-8AA3-3CB7B422CF5F}">
      <text>
        <r>
          <rPr>
            <sz val="9"/>
            <color indexed="81"/>
            <rFont val="Tahoma"/>
            <family val="2"/>
          </rPr>
          <t>AMOS PERRY_x000D_
http://yeinfo.com/family/I09000190.html_x000D_
https://www.google.com/search?q=AMOS+PERRY+1768+1813+POLLY_x000D_
.born: 17681101-          Holden (Worcester) Massachusetts_x000D_
.died: 18130411-          Newfane (Windham) Vermont, age:44y 5m 10d, _x000D_
.bapt: 1785GE_x000D_
.will: 2004MO_x000D_
.obit: 1890OH_x000D_
.bury: 1850IL _x000D_
.wpbt: 1826PA_x000D_
.anc#:ancestor_x000D_
citiz:US born_x000D_
#spos:1_x000D_
#srcs:4_x000D_
#comment:0_x000D_
#events:2_x000D_
#kids:8_x000D_
lived:MAWORCEHOLDEN,VTWINDHNEWFANE_x000D_
issue:_x000D_
.recs:Birth,Marriage,Death,Obituary_x000D_
.imm?:no_x000D_
..Spo:POLLY GOODNOW</t>
        </r>
      </text>
    </comment>
    <comment ref="N8554" authorId="0" shapeId="0" xr:uid="{BDCBEB4E-51FE-4419-A58B-7779F2637A7C}">
      <text>
        <r>
          <rPr>
            <sz val="9"/>
            <color indexed="81"/>
            <rFont val="Tahoma"/>
            <family val="2"/>
          </rPr>
          <t>RICHARD NEWTON_x000D_
http://yeinfo.com/family/I09006024.html_x000D_
https://www.google.com/search?q=RICHARD+NEWTON+1601+1701+ANNE\ANNA+HANNAH_x000D_
.born: 16010824-         ?England_x000D_
.died: 17010824-          Marlboro (Middlesex) Massachusetts, age:100y 0m 0d, _x000D_
.bapt: 1785GE_x000D_
.will: 2004MO_x000D_
.obit: 1890OH_x000D_
.bury: 1850IL _x000D_
.wpbt: 1826PA_x000D_
.anc#:double ancestor_x000D_
citiz:immigrant_x000D_
#spos:1_x000D_
#srcs:12_x000D_
#comment:1_x000D_
#events:9_x000D_
#kids:11_x000D_
lived:?EN,ENSUFFOBURES,MAMIDDLMARLBOR,MAMIDDLSUDBURY_x000D_
issue:_x000D_
.recs:Birth,Marriage,Will Written,Death,Freeman_x000D_
.imm?:immigrant_x000D_
..Spo:ANNE\ANNA HANNAH LOKER</t>
        </r>
      </text>
    </comment>
    <comment ref="M8556" authorId="0" shapeId="0" xr:uid="{E9F0E4B2-D48F-4A8F-9665-B8F9715130F3}">
      <text>
        <r>
          <rPr>
            <sz val="9"/>
            <color indexed="81"/>
            <rFont val="Tahoma"/>
            <family val="2"/>
          </rPr>
          <t>MOSES NEWTON Sr._x000D_
http://yeinfo.com/family/I09003048.html_x000D_
https://www.google.com/search?q=MOSES+NEWTON+1645+1736+JOANNA_x000D_
.born: 16451020-          Sudbury (Middlesex) Massachusetts_x000D_
.died: 17360523-          Southborough (Worcester) Massachusetts, age:90y 7m 3d, _x000D_
.bapt: 1785GE_x000D_
.will: 2004MO_x000D_
.obit: 1890OH_x000D_
.bury: 1850IL _x000D_
.wpbt: 1826PA_x000D_
.anc#:ancestor_x000D_
citiz:US born_x000D_
#spos:2_x000D_
#srcs:1_x000D_
#comment:0_x000D_
#events:2_x000D_
#kids:11_x000D_
lived:MAMIDDLMARLBOR,MAMIDDLSUDBURY,MAWORCESOUTHBO_x000D_
issue:_x000D_
.recs:Birth,Marriage,Death_x000D_
.imm?:no_x000D_
..Spo:JOANNA LARKIN</t>
        </r>
      </text>
    </comment>
    <comment ref="Q8558" authorId="0" shapeId="0" xr:uid="{50C46B89-521F-42D3-92A5-CC6ECCE02AEA}">
      <text>
        <r>
          <rPr>
            <sz val="9"/>
            <color indexed="81"/>
            <rFont val="Tahoma"/>
            <family val="2"/>
          </rPr>
          <t>JOHN LOKER_x000D_
http://yeinfo.com/family/I09048200.html_x000D_
https://www.google.com/search?q=JOHN+LOKER+1508+1552+JOAN_x000D_
.born: 1508    -          _x000D_
.died: 15520915-          Essex county England, age:44y 8m 14d, _x000D_
.bapt: 1785GE_x000D_
.will: 2004MO_x000D_
.obit: 1890OH_x000D_
.bury: 1850IL _x000D_
.wpbt: 1826PA_x000D_
.anc#:  triple ancestor_x000D_
citiz:foreign_x000D_
#spos:1_x000D_
#srcs:2_x000D_
#comment:0_x000D_
#events:1_x000D_
#kids:1_x000D_
lived:ENESSEX,ENSUFFOBURES_x000D_
issue:_x000D_
.recs:Birth,Marriage,Death_x000D_
.imm?:no_x000D_
..Spo:JOAN RIDDLESDALE</t>
        </r>
      </text>
    </comment>
    <comment ref="P8560" authorId="0" shapeId="0" xr:uid="{A8197981-D7B9-4B9D-8459-0753B043CBC3}">
      <text>
        <r>
          <rPr>
            <sz val="9"/>
            <color indexed="81"/>
            <rFont val="Tahoma"/>
            <family val="2"/>
          </rPr>
          <t>ROBERT LOKER_x000D_
http://yeinfo.com/family/I09024100.html_x000D_
https://www.google.com/search?q=ROBERT+LOKER+1534+1592+LUCY_x000D_
.born: 1534    -          Essex county England_x000D_
.died: 1592    -          Essex county England, age:58y 0m 0d, _x000D_
.bapt: 1785GE_x000D_
.will: 2004MO_x000D_
.obit: 1890OH_x000D_
.bury: 1850IL _x000D_
.wpbt: 1826PA_x000D_
.anc#:  triple ancestor_x000D_
citiz:foreign_x000D_
#spos:1_x000D_
#srcs:3_x000D_
#comment:0_x000D_
#events:1_x000D_
#kids:7_x000D_
lived:ENESSEX,ENSUFFOBURES_x000D_
issue:_x000D_
.recs:Birth,Marriage,Death_x000D_
.imm?:no_x000D_
..Spo:LUCY RIDDLESDALE</t>
        </r>
      </text>
    </comment>
    <comment ref="Q8562" authorId="0" shapeId="0" xr:uid="{81B1F1F9-FB2D-4FE4-8F4A-E10AD7B48F2F}">
      <text>
        <r>
          <rPr>
            <sz val="9"/>
            <color indexed="81"/>
            <rFont val="Tahoma"/>
            <family val="2"/>
          </rPr>
          <t>JOAN RIDDLESDALE_x000D_
http://yeinfo.com/family/I09048201.html_x000D_
https://www.google.com/search?q=JOAN+RIDDLESDALE+1512+1561+LOKER_x000D_
.born: 1512    -          Bures (Suffolk) England_x000D_
.died: 15610430-          Bures (Suffolk) England, age:49y 3m 29d, _x000D_
.bapt: 1785GE_x000D_
.will: 2004MO_x000D_
.obit: 1890OH_x000D_
.bury: 1850IL St.Mary the Virgin,Babergh District_x000D_
.wpbt: 1826PA_x000D_
.anc#:  triple ancestor_x000D_
citiz:foreign_x000D_
#spos:1_x000D_
#srcs:4_x000D_
#comment:0_x000D_
#events:2_x000D_
#kids:1_x000D_
lived:ENSUFFOBURES_x000D_
issue:_x000D_
.recs:Birth,Marriage,Death,Interment/Burial_x000D_
.imm?:no_x000D_
..Spo:JOHN LOKER</t>
        </r>
      </text>
    </comment>
    <comment ref="O8564" authorId="0" shapeId="0" xr:uid="{DA539EFA-204D-42E6-B676-A1B0F5F28B66}">
      <text>
        <r>
          <rPr>
            <sz val="9"/>
            <color indexed="81"/>
            <rFont val="Tahoma"/>
            <family val="2"/>
          </rPr>
          <t>HENRY LOKER Jr._x000D_
http://yeinfo.com/family/I09012050.html_x000D_
https://www.google.com/search?q=HENRY+LOKER+1577+1631+ELIZABETH_x000D_
.born: 15770207-          Essex county England_x000D_
.died: 16310417-          Essex county England, age:54y 2m 10d, _x000D_
.bapt: 1785GE_x000D_
.will: 2004MO_x000D_
.obit: 1890OH_x000D_
.bury: 1850IL St.Mary the Virgin Churchyard_x000D_
.wpbt: 1826PA_x000D_
.anc#:  triple ancestor_x000D_
citiz:foreign_x000D_
#spos:1_x000D_
#srcs:11_x000D_
#comment:1_x000D_
#events:3_x000D_
#kids:5_x000D_
lived:ENESSEX,ENSUFFOBURES_x000D_
issue:Died before Birth_x000D_
.recs:Birth,Marriage,Death,Interment/Burial_x000D_
.imm?:no_x000D_
..Spo:ELIZABETH FRENCH</t>
        </r>
      </text>
    </comment>
    <comment ref="Q8566" authorId="0" shapeId="0" xr:uid="{1903B93B-F56A-42BE-AC76-795CA4B941A7}">
      <text>
        <r>
          <rPr>
            <sz val="9"/>
            <color indexed="81"/>
            <rFont val="Tahoma"/>
            <family val="2"/>
          </rPr>
          <t>JOHN RIDDLESDALE_x000D_
http://yeinfo.com/family/I09048202.html_x000D_
https://www.google.com/search?q=JOHN+RIDDLESDALE+1510+1552+LUCY\JOAN_x000D_
.born: 1510    -          Bures (Suffolk) England_x000D_
.died: 1552    -         ?Bures (Suffolk) England, age:42y 0m 0d, _x000D_
.bapt: 1785GE_x000D_
.will: 2004MO_x000D_
.obit: 1890OH_x000D_
.bury: 1850IL _x000D_
.wpbt: 1826PA_x000D_
.anc#:  triple ancestor_x000D_
citiz:foreign_x000D_
#spos:1_x000D_
#srcs:1_x000D_
#comment:0_x000D_
#events:2_x000D_
#kids:1_x000D_
lived:ENSUFFOBURES_x000D_
issue:_x000D_
.recs:Birth,Marriage,Death_x000D_
.imm?:no_x000D_
..Spo:LUCY\JOAN RIDDLESDALE</t>
        </r>
      </text>
    </comment>
    <comment ref="P8568" authorId="0" shapeId="0" xr:uid="{023C7E28-8223-4776-81CE-49045F1F33AC}">
      <text>
        <r>
          <rPr>
            <sz val="9"/>
            <color indexed="81"/>
            <rFont val="Tahoma"/>
            <family val="2"/>
          </rPr>
          <t>LUCY RIDDLESDALE_x000D_
http://yeinfo.com/family/I09024101.html_x000D_
https://www.google.com/search?q=LUCY+RIDDLESDALE+1536+1592+LOKER_x000D_
.born: 1536    -          Essex county England_x000D_
.died: 15920228-          Essex county England, age:56y 1m 27d, _x000D_
.bapt: 1785GE_x000D_
.will: 2004MO_x000D_
.obit: 1890OH_x000D_
.bury: 1850IL _x000D_
.wpbt: 1826PA_x000D_
.anc#:  triple ancestor_x000D_
citiz:foreign_x000D_
#spos:1_x000D_
#srcs:3_x000D_
#comment:0_x000D_
#events:1_x000D_
#kids:7_x000D_
lived:ENESSEX,ENSUFFOBURES_x000D_
issue:_x000D_
.recs:Birth,Marriage,Death_x000D_
.imm?:no_x000D_
..Spo:ROBERT LOKER</t>
        </r>
      </text>
    </comment>
    <comment ref="Q8570" authorId="0" shapeId="0" xr:uid="{E7D27094-A741-45CF-934A-E1B9008D7770}">
      <text>
        <r>
          <rPr>
            <sz val="9"/>
            <color indexed="81"/>
            <rFont val="Tahoma"/>
            <family val="2"/>
          </rPr>
          <t>Mrs. LUCY\JOAN RIDDLESDALE_x000D_
http://yeinfo.com/family/I09048203.html_x000D_
https://www.google.com/search?q=LUCY\JOAN+RIDDLESDALE+1512+1536+RIDDLESDALE_x000D_
.born:c1512    -         ?Essex county England_x000D_
.died: 1536    -1602     ?Bures (Suffolk) England, age:24y 0m 0d, _x000D_
.bapt: 1785GE_x000D_
.will: 2004MO_x000D_
.obit: 1890OH_x000D_
.bury: 1850IL _x000D_
.wpbt: 1826PA_x000D_
.anc#:  triple ancestor_x000D_
citiz:foreign_x000D_
#spos:1_x000D_
#srcs:2_x000D_
#comment:0_x000D_
#events:1_x000D_
#kids:1_x000D_
lived:?ENESSEX,?ENSUFFOBURES_x000D_
issue:_x000D_
.recs:Birth,Marriage,Death_x000D_
.imm?:no_x000D_
..Spo:JOHN RIDDLESDALE</t>
        </r>
      </text>
    </comment>
    <comment ref="N8572" authorId="0" shapeId="0" xr:uid="{5A56564D-4035-4E8B-9343-71FAAE8A6A7E}">
      <text>
        <r>
          <rPr>
            <sz val="9"/>
            <color indexed="81"/>
            <rFont val="Tahoma"/>
            <family val="2"/>
          </rPr>
          <t>ANNE\ANNA HANNAH LOKER_x000D_
http://yeinfo.com/family/I09006025.html_x000D_
https://www.google.com/search?q=ANNE\ANNA+HANNAH+LOKER+1606+1697+NEWTON_x000D_
.born: 16060801-          Suffolk county England_x000D_
.died: 16971205-          , age:91y 4m 4d, _x000D_
.bapt: 1785GE_x000D_
.will: 2004MO_x000D_
.obit: 1890OH_x000D_
.bury: 1850IL _x000D_
.wpbt: 1826PA_x000D_
.anc#:double ancestor_x000D_
citiz:US born_x000D_
#spos:1_x000D_
#srcs:4_x000D_
#comment:0_x000D_
#events:1_x000D_
#kids:11_x000D_
lived:ENSUFFO,MAMIDDLMARLBO_x000D_
issue:Born before Parents Married_x000D_
.recs:Birth,Marriage,Death_x000D_
.imm?:no_x000D_
..Spo:RICHARD NEWTON</t>
        </r>
      </text>
    </comment>
    <comment ref="O8574" authorId="0" shapeId="0" xr:uid="{6A6A90EA-02F7-4CAD-9F71-92A73874F8F8}">
      <text>
        <r>
          <rPr>
            <sz val="9"/>
            <color indexed="81"/>
            <rFont val="Tahoma"/>
            <family val="2"/>
          </rPr>
          <t>ELIZABETH FRENCH_x000D_
http://yeinfo.com/family/I09012051.html_x000D_
https://www.google.com/search?q=ELIZABETH+FRENCH+1580+1648+LOKER_x000D_
.born:?1580    -         ?England_x000D_
.died: 16480518-          Sudbury (Middlesex) Massachusetts, age:68y 4m 17d, _x000D_
.bapt: 1785GE_x000D_
.will: 2004MO_x000D_
.obit: 1890OH_x000D_
.bury: 1850IL _x000D_
.wpbt: 1826PA_x000D_
.anc#:  triple ancestor_x000D_
citiz:immigrant_x000D_
#spos:1_x000D_
#srcs:4_x000D_
#comment:0_x000D_
#events:1_x000D_
#kids:5_x000D_
lived:?EN,ENSUFFOBURES,MAMIDDLSUDBURY_x000D_
issue:_x000D_
.recs:Birth,Marriage,Death_x000D_
.imm?:immigrant_x000D_
..Spo:HENRY LOKER</t>
        </r>
      </text>
    </comment>
    <comment ref="L8576" authorId="0" shapeId="0" xr:uid="{3398E576-211D-4BF6-88F4-02E0C98F25D7}">
      <text>
        <r>
          <rPr>
            <sz val="9"/>
            <color indexed="81"/>
            <rFont val="Tahoma"/>
            <family val="2"/>
          </rPr>
          <t>EDWARD NEWTON_x000D_
http://yeinfo.com/family/I09001524.html_x000D_
https://www.google.com/search?q=EDWARD+NEWTON+1676+1704+MARY_x000D_
.born: 16760323-          Marlborough (Middlesex) Massachusetts_x000D_
.died: 17040408-          Marlborough (Middlesex) Massachusetts, age:28y 0m 16d, _x000D_
.bapt: 1785GE_x000D_
.will: 2004MO_x000D_
.obit: 1890OH_x000D_
.bury: 1850IL _x000D_
.wpbt: 1826PA_x000D_
.anc#:ancestor_x000D_
citiz:US born_x000D_
#spos:1_x000D_
#srcs:1_x000D_
#comment:0_x000D_
#events:1_x000D_
#kids:3_x000D_
lived:MAMIDDLMARLBOR_x000D_
issue:_x000D_
.recs:Birth,Marriage,Death_x000D_
.imm?:no_x000D_
..Spo:MARY LEONARD</t>
        </r>
      </text>
    </comment>
    <comment ref="N8578" authorId="0" shapeId="0" xr:uid="{F79E82D7-6654-4895-8981-B333E719BDCD}">
      <text>
        <r>
          <rPr>
            <sz val="9"/>
            <color indexed="81"/>
            <rFont val="Tahoma"/>
            <family val="2"/>
          </rPr>
          <t>EDWARD LARKIN_x000D_
http://yeinfo.com/family/I09006098.html_x000D_
https://www.google.com/search?q=EDWARD+LARKIN+1615+1652+JOANNA_x000D_
.born:?1615    -          England_x000D_
.died: 16520602-          Charlestown (Middlesex) Massachusetts, age:37y 5m 1d, _x000D_
.bapt: 1785GE_x000D_
.will: 2004MO_x000D_
.obit: 1890OH_x000D_
.bury: 1850IL _x000D_
.wpbt: 1826PA_x000D_
.anc#:ancestor_x000D_
citiz:immigrant_x000D_
#spos:1_x000D_
#srcs:1_x000D_
#comment:0_x000D_
#events:1_x000D_
#kids:8_x000D_
lived:EN,MAMIDDLCHAZTWN,MAMIDDLCONCORD_x000D_
issue:_x000D_
.recs:Birth,Marriage,Death_x000D_
.imm?:immigrant_x000D_
..Spo:JOANNA HALE</t>
        </r>
      </text>
    </comment>
    <comment ref="M8580" authorId="0" shapeId="0" xr:uid="{FC1B97C2-83B9-4E9A-8517-1B910FD1098C}">
      <text>
        <r>
          <rPr>
            <sz val="9"/>
            <color indexed="81"/>
            <rFont val="Tahoma"/>
            <family val="2"/>
          </rPr>
          <t>JOANNA LARKIN_x000D_
http://yeinfo.com/family/I09003049.html_x000D_
https://www.google.com/search?q=JOANNA+LARKIN+1647+1713+NEWTON_x000D_
.born: 16470112-          Middlesex county Massachusetts_x000D_
.died: 17131225-          Marlborough (Middlesex) Massachusetts, age:66y 11m 13d, _x000D_
.bapt: 1785GE_x000D_
.will: 2004MO_x000D_
.obit: 1890OH_x000D_
.bury: 1850IL _x000D_
.wpbt: 1826PA_x000D_
.anc#:ancestor_x000D_
citiz:US born_x000D_
#spos:1_x000D_
#srcs:1_x000D_
#comment:0_x000D_
#events:1_x000D_
#kids:11_x000D_
lived:MAMIDDLMARLBOR_x000D_
issue:_x000D_
.recs:Birth,Marriage,Death_x000D_
.imm?:no_x000D_
..Spo:MOSES NEWTON</t>
        </r>
      </text>
    </comment>
    <comment ref="P8582" authorId="0" shapeId="0" xr:uid="{EE9FCAF7-A38B-4E69-B7A8-0D4BA549252E}">
      <text>
        <r>
          <rPr>
            <sz val="9"/>
            <color indexed="81"/>
            <rFont val="Tahoma"/>
            <family val="2"/>
          </rPr>
          <t>JOSEPH HALE_x000D_
http://yeinfo.com/family/I09024396.html_x000D_
https://www.google.com/search?q=JOSEPH+HALE+1576+1596+KATHERINE_x000D_
.born:?1576    -          Rolvenden (Kent) England_x000D_
.died: 1596    -         ?Kent county England, age:20y 0m 0d, _x000D_
.bapt: 1785GE_x000D_
.will: 2004MO_x000D_
.obit: 1890OH_x000D_
.bury: 1850IL _x000D_
.wpbt: 1826PA_x000D_
.anc#:ancestor_x000D_
citiz:foreign_x000D_
#spos:1_x000D_
#srcs:2_x000D_
#comment:0_x000D_
#events:1_x000D_
#kids:1_x000D_
lived:ENKENT ROLVEND_x000D_
issue:_x000D_
.recs:Birth,Marriage,Death_x000D_
.imm?:no_x000D_
..Spo:KATHERINE BOOTH</t>
        </r>
      </text>
    </comment>
    <comment ref="O8584" authorId="0" shapeId="0" xr:uid="{91DDBF58-4413-4836-A8A8-49B34FC80BEB}">
      <text>
        <r>
          <rPr>
            <sz val="9"/>
            <color indexed="81"/>
            <rFont val="Tahoma"/>
            <family val="2"/>
          </rPr>
          <t>HENRY HALE_x000D_
http://yeinfo.com/family/I09012198.html_x000D_
https://www.google.com/search?q=HENRY+HALE+1596+1685+HENRIETTA_x000D_
.born:?1596    -         ?England_x000D_
.died: 1685    -         ?England, age:89y 0m 0d, _x000D_
.bapt: 1785GE_x000D_
.will: 2004MO_x000D_
.obit: 1890OH_x000D_
.bury: 1850IL _x000D_
.wpbt: 1826PA_x000D_
.anc#:ancestor_x000D_
citiz:foreign_x000D_
#spos:2_x000D_
#srcs:3_x000D_
#comment:0_x000D_
#events:2_x000D_
#kids:2_x000D_
lived:?EN,ENLEICEHUSBAND_x000D_
issue:_x000D_
.recs:Birth,Marriage,Death_x000D_
.imm?:no_x000D_
..Spo:HENRIETTA HALE</t>
        </r>
      </text>
    </comment>
    <comment ref="P8586" authorId="0" shapeId="0" xr:uid="{35EC1E96-B5E5-47E4-954D-EFCBD037DED4}">
      <text>
        <r>
          <rPr>
            <sz val="9"/>
            <color indexed="81"/>
            <rFont val="Tahoma"/>
            <family val="2"/>
          </rPr>
          <t>KATHERINE BOOTH_x000D_
http://yeinfo.com/family/I09024397.html_x000D_
https://www.google.com/search?q=KATHERINE+BOOTH+1576+1596+HALE_x000D_
.born:?1576    -          Kent county England_x000D_
.died: 1596    -1661     ?, age:20y 0m 0d, _x000D_
.bapt: 1785GE_x000D_
.will: 2004MO_x000D_
.obit: 1890OH_x000D_
.bury: 1850IL _x000D_
.wpbt: 1826PA_x000D_
.anc#:ancestor_x000D_
citiz:foreign_x000D_
#spos:1_x000D_
#srcs:1_x000D_
#comment:0_x000D_
#events:1_x000D_
#kids:1_x000D_
lived:ENKENT_x000D_
issue:_x000D_
.recs:Birth,Marriage,Death_x000D_
.imm?:no_x000D_
..Spo:JOSEPH HALE</t>
        </r>
      </text>
    </comment>
    <comment ref="N8588" authorId="0" shapeId="0" xr:uid="{2287005D-D434-4EE5-BEB2-C38DD6F76550}">
      <text>
        <r>
          <rPr>
            <sz val="9"/>
            <color indexed="81"/>
            <rFont val="Tahoma"/>
            <family val="2"/>
          </rPr>
          <t>JOANNA HALE_x000D_
http://yeinfo.com/family/I09006099.html_x000D_
https://www.google.com/search?q=JOANNA+HALE+1620+1685+LARKIN_x000D_
.born:?1620    -          England_x000D_
.died:c16850127-          Charlestown (Middlesex) Massachusetts, age:65y 0m 26d, _x000D_
.bapt: 1785GE_x000D_
.will: 2004MO_x000D_
.obit: 1890OH_x000D_
.bury: 1850IL _x000D_
.wpbt: 1826PA_x000D_
.anc#:ancestor_x000D_
citiz:immigrant_x000D_
#spos:1_x000D_
#srcs:1_x000D_
#comment:0_x000D_
#events:1_x000D_
#kids:8_x000D_
lived:EN,MAMIDDLCHAZTWN,MAMIDDLCONCORD_x000D_
issue:_x000D_
.recs:Birth,Marriage,Death_x000D_
.imm?:immigrant_x000D_
..Spo:EDWARD LARKIN</t>
        </r>
      </text>
    </comment>
    <comment ref="O8590" authorId="0" shapeId="0" xr:uid="{8B0D34A7-9045-41D2-B8D1-91E574E288E3}">
      <text>
        <r>
          <rPr>
            <sz val="9"/>
            <color indexed="81"/>
            <rFont val="Tahoma"/>
            <family val="2"/>
          </rPr>
          <t>Mrs. HENRIETTA HALE_x000D_
http://yeinfo.com/family/I09012199.html_x000D_
https://www.google.com/search?q=HENRIETTA+HALE+1600+1620+HALE_x000D_
.born:?1600    -         ?England_x000D_
.died: 1620    -1690     ?England, age:20y 0m 0d, _x000D_
.bapt: 1785GE_x000D_
.will: 2004MO_x000D_
.obit: 1890OH_x000D_
.bury: 1850IL _x000D_
.wpbt: 1826PA_x000D_
.anc#:ancestor_x000D_
citiz:foreign_x000D_
#spos:1_x000D_
#srcs:3_x000D_
#comment:0_x000D_
#events:1_x000D_
#kids:2_x000D_
lived:?EN,ENLEICEHUSBAND_x000D_
issue:_x000D_
.recs:Birth,Marriage,Death_x000D_
.imm?:no_x000D_
..Spo:HENRY HALE</t>
        </r>
      </text>
    </comment>
    <comment ref="K8592" authorId="0" shapeId="0" xr:uid="{CEAAFC09-7490-4BEB-AAE7-9FFC3446CB65}">
      <text>
        <r>
          <rPr>
            <sz val="9"/>
            <color indexed="81"/>
            <rFont val="Tahoma"/>
            <family val="2"/>
          </rPr>
          <t>EDWARD NEWTON_x000D_
http://yeinfo.com/family/I09000762.html_x000D_
https://www.google.com/search?q=EDWARD+NEWTON+1701+1765+ELIZABETH_x000D_
.born: 17011005-          Marlborough (Middlesex) Massachusetts_x000D_
.died:p17651018-         ?Shrewsbury (Worcester) Massachusetts, age:64y 0m 13d, _x000D_
.bapt: 1785GE_x000D_
.will: 2004MO_x000D_
.obit: 1890OH_x000D_
.bury: 1850IL _x000D_
.wpbt: 1826PA_x000D_
.anc#:ancestor_x000D_
citiz:US born_x000D_
#spos:1_x000D_
#srcs:3_x000D_
#comment:0_x000D_
#events:2_x000D_
#kids:1_x000D_
lived:MAMIDDLMARLBOR,MAWORCESHREWSB_x000D_
issue:_x000D_
.recs:Birth,Marriage,Will Written,Death_x000D_
.imm?:no_x000D_
..Spo:ELIZABETH ALLEN</t>
        </r>
      </text>
    </comment>
    <comment ref="O8594" authorId="0" shapeId="0" xr:uid="{A3602006-9BA2-4225-8E4D-0D424C4BA2A3}">
      <text>
        <r>
          <rPr>
            <sz val="9"/>
            <color indexed="81"/>
            <rFont val="Tahoma"/>
            <family val="2"/>
          </rPr>
          <t>SAMUEL LEONARD_x000D_
http://yeinfo.com/family/I09012200.html_x000D_
https://www.google.com/search?q=SAMUEL+LEONARD+1584+1630+{_?_}_x000D_
.born:?1584    -          Pontypool (Monmouth) Wales_x000D_
.died: 1630    -          Bridgewater (Plymouth) Massachusetts, age:46y 0m 0d, _x000D_
.bapt: 1785GE_x000D_
.will: 2004MO_x000D_
.obit: 1890OH_x000D_
.bury: 1850IL _x000D_
.wpbt: 1826PA_x000D_
.anc#:ancestor_x000D_
citiz:immigrant_x000D_
#spos:1_x000D_
#srcs:1_x000D_
#comment:0_x000D_
#events:1_x000D_
#kids:2_x000D_
lived:MAPLYMOBRIDGEW,WLMONMOPONTYPO_x000D_
issue:_x000D_
.recs:Birth,Marriage,Death_x000D_
.imm?:immigrant_x000D_
..Spo:{_?_} LEONARD</t>
        </r>
      </text>
    </comment>
    <comment ref="N8596" authorId="0" shapeId="0" xr:uid="{A977DD0A-FDDD-4C61-91C1-10A5613E9FA1}">
      <text>
        <r>
          <rPr>
            <sz val="9"/>
            <color indexed="81"/>
            <rFont val="Tahoma"/>
            <family val="2"/>
          </rPr>
          <t>SOLOMON LEONARD_x000D_
http://yeinfo.com/family/I09006100.html_x000D_
https://www.google.com/search?q=SOLOMON+LEONARD+1610+1671+SARAH_x000D_
.born:?1610    -          Monmouth county Wales_x000D_
.died: 16710501-          Bridgewater (Plymouth) Massachusetts, age:61y 4m 0d, _x000D_
.bapt: 1785GE_x000D_
.will: 2004MO_x000D_
.obit: 1890OH_x000D_
.bury: 1850IL _x000D_
.wpbt: 1826PA_x000D_
.anc#:ancestor_x000D_
citiz:immigrant_x000D_
#spos:1_x000D_
#srcs:1_x000D_
#comment:0_x000D_
#events:1_x000D_
#kids:1_x000D_
lived:MAPLYMOBRIDGEW,MAPLYMODUXBURY,WLMONMO_x000D_
issue:_x000D_
.recs:Birth,Marriage,Death_x000D_
.imm?:immigrant_x000D_
..Spo:SARAH CHANDLER</t>
        </r>
      </text>
    </comment>
    <comment ref="O8598" authorId="0" shapeId="0" xr:uid="{74EA1E16-48FD-4472-8626-A3951FA07FB2}">
      <text>
        <r>
          <rPr>
            <sz val="9"/>
            <color indexed="81"/>
            <rFont val="Tahoma"/>
            <family val="2"/>
          </rPr>
          <t>Mrs. {_?_} LEONARD_x000D_
http://yeinfo.com/family/I09012201.html_x000D_
https://www.google.com/search?q={_?_}+LEONARD+1585+1610+LEONARD_x000D_
.born:?1585    -         ?Wales_x000D_
.died: 1610    -1680     ?, age:25y 0m 0d, _x000D_
.bapt: 1785GE_x000D_
.will: 2004MO_x000D_
.obit: 1890OH_x000D_
.bury: 1850IL _x000D_
.wpbt: 1826PA_x000D_
.anc#:ancestor_x000D_
citiz:US born_x000D_
#spos:1_x000D_
#srcs:1_x000D_
#comment:0_x000D_
#events:1_x000D_
#kids:2_x000D_
lived:?WL_x000D_
issue:_x000D_
.recs:Birth,Marriage,Death_x000D_
.imm?:no_x000D_
..Spo:SAMUEL LEONARD</t>
        </r>
      </text>
    </comment>
    <comment ref="M8600" authorId="0" shapeId="0" xr:uid="{910E3C40-DE27-4D66-AF82-1D73662C2127}">
      <text>
        <r>
          <rPr>
            <sz val="9"/>
            <color indexed="81"/>
            <rFont val="Tahoma"/>
            <family val="2"/>
          </rPr>
          <t>SAMUEL LEONARD_x000D_
http://yeinfo.com/family/I09003050.html_x000D_
https://www.google.com/search?q=SAMUEL+LEONARD+1643+1720+ABIGAIL_x000D_
.born:?1643    -          Duxbury (Plymouth) Massachusetts_x000D_
.died: 17201130-          Preston (New London) Connecticut, age:77y 10m 29d, _x000D_
.bapt: 1785GE_x000D_
.will: 2004MO_x000D_
.obit: 1890OH_x000D_
.bury: 1850IL _x000D_
.wpbt: 1826PA_x000D_
.anc#:ancestor_x000D_
citiz:US born_x000D_
#spos:2_x000D_
#srcs:1_x000D_
#comment:0_x000D_
#events:2_x000D_
#kids:6_x000D_
lived:CTLITCHPLYMOUT,CTNEW LPRESTON,MAPLYMODUXBURY_x000D_
issue:_x000D_
.recs:Birth,Marriage,Death_x000D_
.imm?:no_x000D_
..Spo:ABIGAIL ATWOOD</t>
        </r>
      </text>
    </comment>
    <comment ref="O8602" authorId="0" shapeId="0" xr:uid="{94665850-7E5F-4585-A64B-F7A3FE2B2BB0}">
      <text>
        <r>
          <rPr>
            <sz val="9"/>
            <color indexed="81"/>
            <rFont val="Tahoma"/>
            <family val="2"/>
          </rPr>
          <t>ROGER CHANDLER_x000D_
http://yeinfo.com/family/I09012202.html_x000D_
https://www.google.com/search?q=ROGER+CHANDLER+1580+1665+ISABELLA_x000D_
.born:?1580    -          Colchester (Essex) England_x000D_
.died:a16651003-          Duxbury (Plymouth) Massachusetts, age:85y 9m 2d, _x000D_
.bapt: 1785GE_x000D_
.will: 2004MO_x000D_
.obit: 1890OH_x000D_
.bury: 1850IL _x000D_
.wpbt: 1826PA_x000D_
.anc#:ancestor_x000D_
citiz:immigrant_x000D_
#spos:1_x000D_
#srcs:1_x000D_
#comment:0_x000D_
#events:1_x000D_
#kids:4_x000D_
lived:ENESSEXCOLCHES,MAPLYMODUXBURY,NT_x000D_
issue:_x000D_
.recs:Birth,Marriage,Death_x000D_
.imm?:immigrant_x000D_
..Spo:ISABELLA CHILTON</t>
        </r>
      </text>
    </comment>
    <comment ref="N8604" authorId="0" shapeId="0" xr:uid="{47A8C019-F52C-440E-8C78-60A0C907A97B}">
      <text>
        <r>
          <rPr>
            <sz val="9"/>
            <color indexed="81"/>
            <rFont val="Tahoma"/>
            <family val="2"/>
          </rPr>
          <t>SARAH CHANDLER_x000D_
http://yeinfo.com/family/I09006101.html_x000D_
https://www.google.com/search?q=SARAH+CHANDLER+1612+1675+LEONARD_x000D_
.born:?1612    -          Netherlands_x000D_
.died: 16751027-          Bridgewater (Plymouth) Massachusetts, age:63y 9m 26d, _x000D_
.bapt: 1785GE_x000D_
.will: 2004MO_x000D_
.obit: 1890OH_x000D_
.bury: 1850IL _x000D_
.wpbt: 1826PA_x000D_
.anc#:ancestor_x000D_
citiz:immigrant_x000D_
#spos:1_x000D_
#srcs:1_x000D_
#comment:0_x000D_
#events:1_x000D_
#kids:1_x000D_
lived:MAPLYMOBRIDGEW,MAPLYMODUXBURY,NT_x000D_
issue:Born before Parents Married_x000D_
.recs:Birth,Marriage,Death_x000D_
.imm?:immigrant_x000D_
..Spo:SOLOMON LEONARD</t>
        </r>
      </text>
    </comment>
    <comment ref="O8606" authorId="0" shapeId="0" xr:uid="{B5653B99-0C11-4F24-92B5-1F7A3A9B9FBF}">
      <text>
        <r>
          <rPr>
            <sz val="9"/>
            <color indexed="81"/>
            <rFont val="Tahoma"/>
            <family val="2"/>
          </rPr>
          <t>ISABELLA CHILTON_x000D_
http://yeinfo.com/family/I09012203.html_x000D_
https://www.google.com/search?q=ISABELLA+CHILTON+1587+1646+CHANDLER_x000D_
.born:a15870115-          Canterbury (Kent) England_x000D_
.died: 16460721-          Duxbury (Plymouth) Massachusetts, age:59y 6m 6d, _x000D_
.bapt: 1785GE_x000D_
.will: 2004MO_x000D_
.obit: 1890OH_x000D_
.bury: 1850IL _x000D_
.wpbt: 1826PA_x000D_
.anc#:ancestor_x000D_
citiz:immigrant_x000D_
#spos:1_x000D_
#srcs:1_x000D_
#comment:0_x000D_
#events:1_x000D_
#kids:4_x000D_
lived:ENKENT CANTERB,MAPLYMODUXBURY,NT_x000D_
issue:_x000D_
.recs:Birth,Marriage,Death_x000D_
.imm?:immigrant_x000D_
..Spo:ROGER CHANDLER</t>
        </r>
      </text>
    </comment>
    <comment ref="L8608" authorId="0" shapeId="0" xr:uid="{EF5918E0-070E-4D71-8D58-952F5822AFE2}">
      <text>
        <r>
          <rPr>
            <sz val="9"/>
            <color indexed="81"/>
            <rFont val="Tahoma"/>
            <family val="2"/>
          </rPr>
          <t>MARY LEONARD_x000D_
http://yeinfo.com/family/I09001525.html_x000D_
https://www.google.com/search?q=MARY+LEONARD+1680+1748+NEWTON_x000D_
.born:?1680    -          Marlborough (Middlesex) Massachusetts_x000D_
.died: 17481201-          Westborough (Middlesex) Massachusetts, age:68y 11m 0d, _x000D_
.bapt: 1785GE_x000D_
.will: 2004MO_x000D_
.obit: 1890OH_x000D_
.bury: 1850IL _x000D_
.wpbt: 1826PA_x000D_
.anc#:ancestor_x000D_
citiz:US born_x000D_
#spos:1_x000D_
#srcs:1_x000D_
#comment:0_x000D_
#events:1_x000D_
#kids:3_x000D_
lived:MAMIDDLMARLBOR,MAMIDDLWESTBOR_x000D_
issue:_x000D_
.recs:Birth,Marriage,Death_x000D_
.imm?:no_x000D_
..Spo:EDWARD NEWTON</t>
        </r>
      </text>
    </comment>
    <comment ref="N8610" authorId="0" shapeId="0" xr:uid="{7B0F5E45-C998-45B5-8B5E-1C1944637CC5}">
      <text>
        <r>
          <rPr>
            <sz val="9"/>
            <color indexed="81"/>
            <rFont val="Tahoma"/>
            <family val="2"/>
          </rPr>
          <t>JOHN ATWOOD_x000D_
http://yeinfo.com/family/I09006102.html_x000D_
https://www.google.com/search?q=JOHN+ATWOOD+1615+1675+SARAH_x000D_
.born:?1615    -          England_x000D_
.died: 16750307-          Plymouth (Plymouth) Massachusetts, age:60y 2m 6d, _x000D_
.bapt: 1785GE_x000D_
.will: 2004MO_x000D_
.obit: 1890OH_x000D_
.bury: 1850IL _x000D_
.wpbt: 1826PA_x000D_
.anc#:ancestor_x000D_
citiz:immigrant_x000D_
#spos:1_x000D_
#srcs:1_x000D_
#comment:0_x000D_
#events:1_x000D_
#kids:9_x000D_
lived:EN,MAPLYMOPLYMOUT_x000D_
issue:_x000D_
.recs:Birth,Marriage,Death_x000D_
.imm?:immigrant_x000D_
..Spo:SARAH MASTERSON</t>
        </r>
      </text>
    </comment>
    <comment ref="M8612" authorId="0" shapeId="0" xr:uid="{8ED88677-5447-4DCF-8825-49D770BC1162}">
      <text>
        <r>
          <rPr>
            <sz val="9"/>
            <color indexed="81"/>
            <rFont val="Tahoma"/>
            <family val="2"/>
          </rPr>
          <t>ABIGAIL ATWOOD_x000D_
http://yeinfo.com/family/I09003051.html_x000D_
https://www.google.com/search?q=ABIGAIL+ATWOOD+1645+1703+LEONARD_x000D_
.born: 1645    -          Plymouth (Plymouth) Massachusetts_x000D_
.died: 1703    -1730      Worcester county Massachusetts, age:58y 0m 0d, _x000D_
.bapt: 1785GE_x000D_
.will: 2004MO_x000D_
.obit: 1890OH_x000D_
.bury: 1850IL _x000D_
.wpbt: 1826PA_x000D_
.anc#:ancestor_x000D_
citiz:US born_x000D_
#spos:1_x000D_
#srcs:1_x000D_
#comment:0_x000D_
#events:1_x000D_
#kids:6_x000D_
lived:CTLITCHPLYMOUT,MAPLYMOPLYMOUT,MAWORCE_x000D_
issue:_x000D_
.recs:Birth,Marriage,Death_x000D_
.imm?:no_x000D_
..Spo:SAMUEL LEONARD</t>
        </r>
      </text>
    </comment>
    <comment ref="N8614" authorId="0" shapeId="0" xr:uid="{483AD7D2-5CBA-4B7B-BBFC-443F91EF5987}">
      <text>
        <r>
          <rPr>
            <sz val="9"/>
            <color indexed="81"/>
            <rFont val="Tahoma"/>
            <family val="2"/>
          </rPr>
          <t>SARAH MASTERSON_x000D_
http://yeinfo.com/family/I09006103.html_x000D_
https://www.google.com/search?q=SARAH+MASTERSON+1625+1701+ATWOOD_x000D_
.born:?1625    -          Netherlands_x000D_
.died:a17010418-          Plymouth (Plymouth) Massachusetts, age:76y 3m 17d, _x000D_
.bapt: 1785GE_x000D_
.will: 2004MO_x000D_
.obit: 1890OH_x000D_
.bury: 1850IL _x000D_
.wpbt: 1826PA_x000D_
.anc#:ancestor_x000D_
citiz:immigrant_x000D_
#spos:1_x000D_
#srcs:1_x000D_
#comment:0_x000D_
#events:1_x000D_
#kids:9_x000D_
lived:MAPLYMOPLYMOUT,NT_x000D_
issue:_x000D_
.recs:Birth,Marriage,Death_x000D_
.imm?:immigrant_x000D_
..Spo:JOHN ATWOOD</t>
        </r>
      </text>
    </comment>
    <comment ref="J8616" authorId="0" shapeId="0" xr:uid="{18142D1B-9CDC-4DBE-AB64-858AB57A0A3C}">
      <text>
        <r>
          <rPr>
            <sz val="9"/>
            <color indexed="81"/>
            <rFont val="Tahoma"/>
            <family val="2"/>
          </rPr>
          <t>MARY NEWTON_x000D_
http://yeinfo.com/family/I09000381.html_x000D_
https://www.google.com/search?q=MARY+NEWTON+1730+1786+PERRY_x000D_
.born:c1730    -         ?Massachusetts_x000D_
.died: 178610  -          Newfane (Windham) Vermont, age:56y 9m 0d, _x000D_
.bapt: 1785GE_x000D_
.will: 2004MO_x000D_
.obit: 1890OH_x000D_
.bury: 1850IL _x000D_
.wpbt: 1826PA_x000D_
.anc#:ancestor_x000D_
citiz:US born_x000D_
#spos:1_x000D_
#srcs:1_x000D_
#comment:2_x000D_
#events:4_x000D_
#kids:3_x000D_
lived:?MA,MAWORCELANCAST,MAWORCESHREWSB,VTWINDHNEWFANE_x000D_
issue:_x000D_
.recs:Birth,Baptism,Marriage Intention/Bonds,Will Written,Death_x000D_
.imm?:no_x000D_
..Spo:DANIEL PERRY</t>
        </r>
      </text>
    </comment>
    <comment ref="O8618" authorId="0" shapeId="0" xr:uid="{F3BEA439-937E-493D-850A-9DEEB698F9A3}">
      <text>
        <r>
          <rPr>
            <sz val="9"/>
            <color indexed="81"/>
            <rFont val="Tahoma"/>
            <family val="2"/>
          </rPr>
          <t>ELNATHAN ALLEN_x000D_
http://yeinfo.com/family/I09011856.html_x000D_
https://www.google.com/search?q=ELNATHAN+ALLEN+1572+1640+ANN_x000D_
.born: 1572    -          Bury Saint Edmunds (Suffolk) England_x000D_
.died: 164009  -          Bury Saint Edmunds (Suffolk) England, age:68y 8m 0d, _x000D_
.bapt: 1785GE_x000D_
.will: 2004MO_x000D_
.obit: 1890OH_x000D_
.bury: 1850IL _x000D_
.wpbt: 1826PA_x000D_
.anc#:double ancestor_x000D_
citiz:foreign_x000D_
#spos:1_x000D_
#srcs:11_x000D_
#comment:0_x000D_
#events:2_x000D_
#kids:1_x000D_
lived:ENSUFFOBURY SE_x000D_
issue:_x000D_
.recs:Birth,Marriage,Death_x000D_
.imm?:no_x000D_
..Spo:ANN TENCH</t>
        </r>
      </text>
    </comment>
    <comment ref="N8620" authorId="0" shapeId="0" xr:uid="{E1EAC7EF-2836-4B84-9E6D-B385A698F46D}">
      <text>
        <r>
          <rPr>
            <sz val="9"/>
            <color indexed="81"/>
            <rFont val="Tahoma"/>
            <family val="2"/>
          </rPr>
          <t>WALTER ALLEN_x000D_
http://yeinfo.com/family/I09005928.html_x000D_
https://www.google.com/search?q=WALTER+ALLEN+1601+1681+REBECCA+Rogers_x000D_
.born: 1601    -          Suffolk county England_x000D_
.died: 16810708-          Suffolk county Massachusetts, age:80y 6m 7d, _x000D_
.bapt: 1785GE_x000D_
.will: 2004MO_x000D_
.obit: 1890OH_x000D_
.bury: 1850IL Phipps Street Cemetery_x000D_
.wpbt: 1826PA_x000D_
.anc#:double ancestor_x000D_
citiz:immigrant_x000D_
#spos:2_x000D_
#srcs:12_x000D_
#comment:0_x000D_
#events:16_x000D_
#kids:14_x000D_
lived:ENSUFFO,MAESSEXNEWBURY,MAMIDDLTEWKSBU,MAMIDDLWATERTO,MAMIDDLWESTON,MASUFFOCHAZTWN_x000D_
issue:Married before Age 16_x000D_
.recs:Birth,Marriage,Job/Occupation,Will Written,Death,Interment/Burial,Land Transaction_x000D_
.imm?:immigrant_x000D_
..Spo:REBECCA WARD</t>
        </r>
      </text>
    </comment>
    <comment ref="O8622" authorId="0" shapeId="0" xr:uid="{9A4AC520-CD20-44F6-B17B-5FB6E3726F5A}">
      <text>
        <r>
          <rPr>
            <sz val="9"/>
            <color indexed="81"/>
            <rFont val="Tahoma"/>
            <family val="2"/>
          </rPr>
          <t>ANN TENCH_x000D_
http://yeinfo.com/family/I09011857.html_x000D_
https://www.google.com/search?q=ANN+TENCH+1572+1602+ALLEN_x000D_
.born:?1572    -          Suffolk county England_x000D_
.died: 160209  -         ?Thorncombe (Dorset) England, age:30y 8m 0d, _x000D_
.bapt: 1785GE_x000D_
.will: 2004MO_x000D_
.obit: 1890OH_x000D_
.bury: 1850IL _x000D_
.wpbt: 1826PA_x000D_
.anc#:double ancestor_x000D_
citiz:foreign_x000D_
#spos:1_x000D_
#srcs:11_x000D_
#comment:0_x000D_
#events:2_x000D_
#kids:1_x000D_
lived:?ENDORSETHORNCM,ENSUFFOBURY SE_x000D_
issue:_x000D_
.recs:Birth,Marriage,Death_x000D_
.imm?:no_x000D_
..Spo:ELNATHAN ALLEN</t>
        </r>
      </text>
    </comment>
    <comment ref="M8624" authorId="0" shapeId="0" xr:uid="{AFB1F7AE-6CEC-45C5-BBC9-2D949A616F07}">
      <text>
        <r>
          <rPr>
            <sz val="9"/>
            <color indexed="81"/>
            <rFont val="Tahoma"/>
            <family val="2"/>
          </rPr>
          <t>DANIEL ALLEN_x000D_
http://yeinfo.com/family/I09002964.html_x000D_
https://www.google.com/search?q=DANIEL+ALLEN+1635+1735+MARY+ALLEN_x000D_
.born:c163505  -          Bury Saint Edmunds (Suffolk) England_x000D_
.died:?1735    -          Sudbury (Middlesex) Massachusetts, age:99y 8m 0d, _x000D_
.bapt: 1785GE_x000D_
.will: 2004MO_x000D_
.obit: 1890OH_x000D_
.bury: 1850IL _x000D_
.wpbt: 1826PA_x000D_
.anc#:double ancestor_x000D_
citiz:immigrant_x000D_
#spos:2_x000D_
#srcs:10_x000D_
#comment:1_x000D_
#events:7_x000D_
#kids:12_x000D_
lived:ENSUFFOBURY SE,MAESSEXNEWBURY,MAMIDDLSUDBURY,MAMIDDLWATERTO,MASUFFOCHAZTWN,MAWORCELANCAST_x000D_
issue:_x000D_
.recs:Birth,Marriage,Job/Occupation,Death_x000D_
.imm?:immigrant_x000D_
..Spo:MARY WILDER</t>
        </r>
      </text>
    </comment>
    <comment ref="T8626" authorId="0" shapeId="0" xr:uid="{2B35112B-1EBA-4117-83FB-EFE361B794F9}">
      <text>
        <r>
          <rPr>
            <sz val="9"/>
            <color indexed="81"/>
            <rFont val="Tahoma"/>
            <family val="2"/>
          </rPr>
          <t>JOHN WARD_x000D_
http://yeinfo.com/family/I09065879.html_x000D_
https://www.google.com/search?q=JOHN+WARD+1370+1420+CATHERINE_x000D_
.born: 1370    -          Kirby Bedon (Norfolk) England_x000D_
.died: 1420    -          Yorkshire county England, age:50y 0m 0d, _x000D_
.bapt: 1785GE_x000D_
.will: 2004MO_x000D_
.obit: 1890OH_x000D_
.bury: 1850IL _x000D_
.wpbt: 1826PA_x000D_
.anc#:double ancestor_x000D_
citiz:foreign_x000D_
#spos:1_x000D_
#srcs:1_x000D_
#comment:1_x000D_
#events:1_x000D_
#kids:1_x000D_
lived:ENNORFOKIRBY B,ENYORKS_x000D_
issue:_x000D_
.recs:Birth,Marriage,Death_x000D_
.imm?:no_x000D_
..Spo:CATHERINE APPLEYARD</t>
        </r>
      </text>
    </comment>
    <comment ref="S8628" authorId="0" shapeId="0" xr:uid="{21F204DC-5FD9-4015-BF9B-C189A3614084}">
      <text>
        <r>
          <rPr>
            <sz val="9"/>
            <color indexed="81"/>
            <rFont val="Tahoma"/>
            <family val="2"/>
          </rPr>
          <t>ROBERT WARD_x000D_
http://yeinfo.com/family/I09065732.html_x000D_
https://www.google.com/search?q=ROBERT+WARD+1410+1470+MARGARET\ALICE+ALICE_x000D_
.born:c1410    -          Gwynedd county Wales_x000D_
.died: 1470    -          Kirby Cane (Norfolk) England, age:60y 0m 0d, _x000D_
.bapt: 1785GE_x000D_
.will: 2004MO_x000D_
.obit: 1890OH_x000D_
.bury: 1850IL _x000D_
.wpbt: 1826PA_x000D_
.anc#:double ancestor_x000D_
citiz:foreign_x000D_
#spos:1_x000D_
#srcs:1_x000D_
#comment:0_x000D_
#events:1_x000D_
#kids:1_x000D_
lived:ENNORFOKIRBY C,WLGWYNE_x000D_
issue:Born after Mom Age 50_x000D_
.recs:Birth,Marriage,Death_x000D_
.imm?:no_x000D_
..Spo:MARGARET\ALICE ALICE KEMPE</t>
        </r>
      </text>
    </comment>
    <comment ref="W8630" authorId="0" shapeId="0" xr:uid="{13BEEA6B-AE33-46DE-B249-5CD737E358BB}">
      <text>
        <r>
          <rPr>
            <sz val="9"/>
            <color indexed="81"/>
            <rFont val="Tahoma"/>
            <family val="2"/>
          </rPr>
          <t>RICHARD APPLEYARD_x000D_
http://yeinfo.com/family/I09066729.html_x000D_
https://www.google.com/search?q=RICHARD+APPLEYARD+1280+1365+W._x000D_
.born: 1280    -          Norfolk county England_x000D_
.died: 1365    -          Norfolk county England, age:85y 0m 0d, _x000D_
.bapt: 1785GE_x000D_
.will: 2004MO_x000D_
.obit: 1890OH_x000D_
.bury: 1850IL _x000D_
.wpbt: 1826PA_x000D_
.anc#:double ancestor_x000D_
citiz:foreign_x000D_
#spos:1_x000D_
#srcs:3_x000D_
#comment:1_x000D_
#events:1_x000D_
#kids:1_x000D_
lived:ENNORFO_x000D_
issue:_x000D_
.recs:Birth,Marriage,Death_x000D_
.imm?:no_x000D_
..Spo:W. APPLEYARD</t>
        </r>
      </text>
    </comment>
    <comment ref="V8632" authorId="0" shapeId="0" xr:uid="{92269585-CE52-41F9-94B7-71D14E81C770}">
      <text>
        <r>
          <rPr>
            <sz val="9"/>
            <color indexed="81"/>
            <rFont val="Tahoma"/>
            <family val="2"/>
          </rPr>
          <t>NICHOLAS APPLEYARD_x000D_
http://yeinfo.com/family/I09066727.html_x000D_
https://www.google.com/search?q=NICHOLAS+APPLEYARD+1305+1349+{_?_}_x000D_
.born: 1305    -1310      Norfolk county England_x000D_
.died: 1349    -          Norfolk county England, age:44y 0m 0d, _x000D_
.bapt: 1785GE_x000D_
.will: 2004MO_x000D_
.obit: 1890OH_x000D_
.bury: 1850IL _x000D_
.wpbt: 1826PA_x000D_
.anc#:double ancestor_x000D_
citiz:foreign_x000D_
#spos:1_x000D_
#srcs:3_x000D_
#comment:0_x000D_
#events:1_x000D_
#kids:1_x000D_
lived:ENNORFO_x000D_
issue:_x000D_
.recs:Birth,Marriage,Death_x000D_
.imm?:no_x000D_
..Spo:{_?_} APPLEYARD</t>
        </r>
      </text>
    </comment>
    <comment ref="W8634" authorId="0" shapeId="0" xr:uid="{700FFA63-78A9-4A82-AC05-AC56F7827E75}">
      <text>
        <r>
          <rPr>
            <sz val="9"/>
            <color indexed="81"/>
            <rFont val="Tahoma"/>
            <family val="2"/>
          </rPr>
          <t>Mrs. W. APPLEYARD_x000D_
http://yeinfo.com/family/I09066730.html_x000D_
https://www.google.com/search?q=W.+APPLEYARD+1290+1364+APPLEYARD_x000D_
.born:?1290    -         ?England_x000D_
.died: 1364    -         ?Norfolk county England, age:74y 0m 0d, _x000D_
.bapt: 1785GE_x000D_
.will: 2004MO_x000D_
.obit: 1890OH_x000D_
.bury: 1850IL _x000D_
.wpbt: 1826PA_x000D_
.anc#:double ancestor_x000D_
citiz:foreign_x000D_
#spos:1_x000D_
#srcs:3_x000D_
#comment:0_x000D_
#events:1_x000D_
#kids:1_x000D_
lived:?ENNORFO_x000D_
issue:_x000D_
.recs:Birth,Marriage,Death_x000D_
.imm?:no_x000D_
..Spo:RICHARD APPLEYARD</t>
        </r>
      </text>
    </comment>
    <comment ref="U8636" authorId="0" shapeId="0" xr:uid="{6E8A873F-00DF-4267-8AA0-C598D5BA3BF6}">
      <text>
        <r>
          <rPr>
            <sz val="9"/>
            <color indexed="81"/>
            <rFont val="Tahoma"/>
            <family val="2"/>
          </rPr>
          <t>BARTHOLOMEW APPLEYARD_x000D_
http://yeinfo.com/family/I09066725.html_x000D_
https://www.google.com/search?q=BARTHOLOMEW+APPLEYARD+1335+1412+EMMA_x000D_
.born: 1335    -          Norwich (Norfolk) England_x000D_
.died: 1412    -1419      Norwich (Norfolk) England, age:77y 0m 0d, _x000D_
.bapt: 1785GE_x000D_
.will: 2004MO_x000D_
.obit: 1890OH_x000D_
.bury: 1850IL Saint Andrew Church_x000D_
.wpbt: 1826PA_x000D_
.anc#:double ancestor_x000D_
citiz:foreign_x000D_
#spos:1_x000D_
#srcs:4_x000D_
#comment:0_x000D_
#events:2_x000D_
#kids:1_x000D_
lived:ENNORFONORWICH_x000D_
issue:_x000D_
.recs:Birth,Marriage,Death,Interment/Burial_x000D_
.imm?:no_x000D_
..Spo:EMMA BURWELL</t>
        </r>
      </text>
    </comment>
    <comment ref="V8638" authorId="0" shapeId="0" xr:uid="{B2DF8918-CD7C-4A2E-87E4-246BB7D06DCE}">
      <text>
        <r>
          <rPr>
            <sz val="9"/>
            <color indexed="81"/>
            <rFont val="Tahoma"/>
            <family val="2"/>
          </rPr>
          <t>Mrs. {_?_} APPLEYARD_x000D_
http://yeinfo.com/family/I09066728.html_x000D_
https://www.google.com/search?q={_?_}+APPLEYARD+1310+1335+APPLEYARD_x000D_
.born:?1310    -         ?Norfolk county England_x000D_
.died: 1335    -1400     ?Norfolk county England, age:25y 0m 0d, _x000D_
.bapt: 1785GE_x000D_
.will: 2004MO_x000D_
.obit: 1890OH_x000D_
.bury: 1850IL _x000D_
.wpbt: 1826PA_x000D_
.anc#:double ancestor_x000D_
citiz:foreign_x000D_
#spos:1_x000D_
#srcs:3_x000D_
#comment:0_x000D_
#events:1_x000D_
#kids:1_x000D_
lived:?ENNORFO_x000D_
issue:_x000D_
.recs:Birth,Marriage,Death_x000D_
.imm?:no_x000D_
..Spo:NICHOLAS APPLEYARD</t>
        </r>
      </text>
    </comment>
    <comment ref="T8640" authorId="0" shapeId="0" xr:uid="{8DC2EEEF-25C7-4456-AE19-518EAF3F05EE}">
      <text>
        <r>
          <rPr>
            <sz val="9"/>
            <color indexed="81"/>
            <rFont val="Tahoma"/>
            <family val="2"/>
          </rPr>
          <t>CATHERINE APPLEYARD_x000D_
http://yeinfo.com/family/I09065880.html_x000D_
https://www.google.com/search?q=CATHERINE+APPLEYARD+1352+1430+WARD_x000D_
.born: 1352    -          Yorkshire county England_x000D_
.died: 1430    -          Yorkshire county England, age:78y 0m 0d, _x000D_
.bapt: 1785GE_x000D_
.will: 2004MO_x000D_
.obit: 1890OH_x000D_
.bury: 1850IL _x000D_
.wpbt: 1826PA_x000D_
.anc#:double ancestor_x000D_
citiz:foreign_x000D_
#spos:1_x000D_
#srcs:4_x000D_
#comment:1_x000D_
#events:1_x000D_
#kids:1_x000D_
lived:ENYORKS_x000D_
issue:_x000D_
.recs:Birth,Marriage,Death_x000D_
.imm?:no_x000D_
..Spo:JOHN WARD</t>
        </r>
      </text>
    </comment>
    <comment ref="U8642" authorId="0" shapeId="0" xr:uid="{FA7894E1-E4F5-43AE-9D8B-BE4F55FD7418}">
      <text>
        <r>
          <rPr>
            <sz val="9"/>
            <color indexed="81"/>
            <rFont val="Tahoma"/>
            <family val="2"/>
          </rPr>
          <t>EMMA BURWELL_x000D_
http://yeinfo.com/family/I09066726.html_x000D_
https://www.google.com/search?q=EMMA+BURWELL+1337+1394+APPLEYARD_x000D_
.born: 1337    -          Norfolk county England_x000D_
.died: 1394    -          Norfolk county England, age:57y 0m 0d, _x000D_
.bapt: 1785GE_x000D_
.will: 2004MO_x000D_
.obit: 1890OH_x000D_
.bury: 1850IL _x000D_
.wpbt: 1826PA_x000D_
.anc#:double ancestor_x000D_
citiz:foreign_x000D_
#spos:1_x000D_
#srcs:4_x000D_
#comment:0_x000D_
#events:1_x000D_
#kids:1_x000D_
lived:ENNORFO_x000D_
issue:Died after Age 100_x000D_
.recs:Birth,Marriage,Death_x000D_
.imm?:no_x000D_
..Spo:BARTHOLOMEW APPLEYARD</t>
        </r>
      </text>
    </comment>
    <comment ref="R8644" authorId="0" shapeId="0" xr:uid="{34CF7ACB-DB33-406C-9EE6-89570CAADC43}">
      <text>
        <r>
          <rPr>
            <sz val="9"/>
            <color indexed="81"/>
            <rFont val="Tahoma"/>
            <family val="2"/>
          </rPr>
          <t>ROBERT WARD_x000D_
http://yeinfo.com/family/I09065599.html_x000D_
https://www.google.com/search?q=ROBERT+WARD+1460+1520+ANNE_x000D_
.born:c1460    -          Kirby Bedon (Norfolk) England_x000D_
.died:c1520    -          Brooke (Norfolk) England, age:60y 0m 0d, _x000D_
.bapt: 1785GE_x000D_
.will: 2004MO_x000D_
.obit: 1890OH_x000D_
.bury: 1850IL _x000D_
.wpbt: 1826PA_x000D_
.anc#:double ancestor_x000D_
citiz:foreign_x000D_
#spos:1_x000D_
#srcs:1_x000D_
#comment:0_x000D_
#events:1_x000D_
#kids:1_x000D_
lived:ENNORFOBROOKE,ENNORFOKIRBY B_x000D_
issue:Born after Mom Age 50_x000D_
.recs:Birth,Marriage,Death_x000D_
.imm?:no_x000D_
..Spo:ANNE COPPERDICK</t>
        </r>
      </text>
    </comment>
    <comment ref="T8646" authorId="0" shapeId="0" xr:uid="{831BC93E-62A6-4124-B354-49C72A1F617B}">
      <text>
        <r>
          <rPr>
            <sz val="9"/>
            <color indexed="81"/>
            <rFont val="Tahoma"/>
            <family val="2"/>
          </rPr>
          <t>ROBERT KEMPE_x000D_
http://yeinfo.com/family/I09065881.html_x000D_
https://www.google.com/search?q=ROBERT+KEMPE+1360+1400+KATHERINE_x000D_
.born: 1360    -          Gissing (Norfolk) England_x000D_
.died: 1400    -1450      Norfolk county England, age:40y 0m 0d, _x000D_
.bapt: 1785GE_x000D_
.will: 2004MO_x000D_
.obit: 1890OH_x000D_
.bury: 1850IL _x000D_
.wpbt: 1826PA_x000D_
.anc#:double ancestor_x000D_
citiz:foreign_x000D_
#spos:1_x000D_
#srcs:2_x000D_
#comment:1_x000D_
#events:1_x000D_
#kids:2_x000D_
lived:ENNORFOGISSING_x000D_
issue:_x000D_
.recs:Birth,Marriage,Death_x000D_
.imm?:no_x000D_
..Spo:KATHERINE HAWKER</t>
        </r>
      </text>
    </comment>
    <comment ref="S8648" authorId="0" shapeId="0" xr:uid="{9DC6CEC0-51A2-4775-A2B7-9870986D1297}">
      <text>
        <r>
          <rPr>
            <sz val="9"/>
            <color indexed="81"/>
            <rFont val="Tahoma"/>
            <family val="2"/>
          </rPr>
          <t>MARGARET\ALICE ALICE KEMPE_x000D_
http://yeinfo.com/family/I09065733.html_x000D_
https://www.google.com/search?q=MARGARET\ALICE+ALICE+KEMPE+1400+1461+WARD_x000D_
.born: 1400    -          Gissing (Norfolk) England_x000D_
.died: 1461    -          Kirby Cane (Norfolk) England, age:61y 0m 0d, _x000D_
.bapt: 1785GE_x000D_
.will: 2004MO_x000D_
.obit: 1890OH_x000D_
.bury: 1850IL _x000D_
.wpbt: 1826PA_x000D_
.anc#:double ancestor_x000D_
citiz:foreign_x000D_
#spos:1_x000D_
#srcs:2_x000D_
#comment:0_x000D_
#events:1_x000D_
#kids:1_x000D_
lived:ENNORFOGISSING,ENNORFOKIRBY C_x000D_
issue:_x000D_
.recs:Birth,Marriage,Death_x000D_
.imm?:no_x000D_
..Spo:ROBERT WARD</t>
        </r>
      </text>
    </comment>
    <comment ref="T8650" authorId="0" shapeId="0" xr:uid="{25D562EB-10F5-4264-843C-29F282D8E6C2}">
      <text>
        <r>
          <rPr>
            <sz val="9"/>
            <color indexed="81"/>
            <rFont val="Tahoma"/>
            <family val="2"/>
          </rPr>
          <t>KATHERINE HAWKER_x000D_
http://yeinfo.com/family/I09065882.html_x000D_
https://www.google.com/search?q=KATHERINE+HAWKER+1380+1400+KEMPE_x000D_
.born: 1380    -          Redenhall (Norfolk) England_x000D_
.died: 1400    -1470     ?, age:20y 0m 0d, _x000D_
.bapt: 1785GE_x000D_
.will: 2004MO_x000D_
.obit: 1890OH_x000D_
.bury: 1850IL _x000D_
.wpbt: 1826PA_x000D_
.anc#:double ancestor_x000D_
citiz:foreign_x000D_
#spos:1_x000D_
#srcs:2_x000D_
#comment:1_x000D_
#events:1_x000D_
#kids:2_x000D_
lived:ENNORFOREDHALL_x000D_
issue:Died after Age 100_x000D_
.recs:Birth,Marriage,Death_x000D_
.imm?:no_x000D_
..Spo:ROBERT KEMPE</t>
        </r>
      </text>
    </comment>
    <comment ref="Q8652" authorId="0" shapeId="0" xr:uid="{4E90CB1F-CC2D-473F-BCC6-9E3720054067}">
      <text>
        <r>
          <rPr>
            <sz val="9"/>
            <color indexed="81"/>
            <rFont val="Tahoma"/>
            <family val="2"/>
          </rPr>
          <t>ROBERT WARD_x000D_
http://yeinfo.com/family/I09047432.html_x000D_
https://www.google.com/search?q=ROBERT+WARD+1500+1534+MARGARET+CAPELL_x000D_
.born:?1500    -          Kirby Bedon (Norfolk) England_x000D_
.died: 15341013-          Homersfield (Suffolk) England, age:34y 9m 12d, _x000D_
.bapt: 1785GE_x000D_
.will: 2004MO_x000D_
.obit: 1890OH_x000D_
.bury: 1850IL _x000D_
.wpbt: 1826PA_x000D_
.anc#:double ancestor_x000D_
citiz:foreign_x000D_
#spos:1_x000D_
#srcs:1_x000D_
#comment:0_x000D_
#events:1_x000D_
#kids:4_x000D_
lived:ENNORFOKIRBY B,ENSUFFOHOMERSF_x000D_
issue:Died after Age 100,AncFlags between Spouses Mismatched_x000D_
.recs:Birth,Marriage,Death_x000D_
.imm?:no_x000D_
..Spo:MARGARET CAPELL CAPELL</t>
        </r>
      </text>
    </comment>
    <comment ref="R8654" authorId="0" shapeId="0" xr:uid="{E26B4B96-C96D-4F92-A094-F19E7CA4E116}">
      <text>
        <r>
          <rPr>
            <sz val="9"/>
            <color indexed="81"/>
            <rFont val="Tahoma"/>
            <family val="2"/>
          </rPr>
          <t>ANNE COPPERDICK_x000D_
http://yeinfo.com/family/I09065600.html_x000D_
https://www.google.com/search?q=ANNE+COPPERDICK+1462+1502+WARD_x000D_
.born:c1462    -          Gwynedd county Wales_x000D_
.died:c1502    -          Norfolk county England, age:40y 0m 0d, _x000D_
.bapt: 1785GE_x000D_
.will: 2004MO_x000D_
.obit: 1890OH_x000D_
.bury: 1850IL _x000D_
.wpbt: 1826PA_x000D_
.anc#:double ancestor_x000D_
citiz:foreign_x000D_
#spos:1_x000D_
#srcs:1_x000D_
#comment:0_x000D_
#events:1_x000D_
#kids:1_x000D_
lived:ENNORFO,WLGWYNE_x000D_
issue:_x000D_
.recs:Birth,Marriage,Death_x000D_
.imm?:no_x000D_
..Spo:ROBERT WARD</t>
        </r>
      </text>
    </comment>
    <comment ref="P8656" authorId="0" shapeId="0" xr:uid="{969CF51B-3D09-4CBF-8C2B-D209CC9C129E}">
      <text>
        <r>
          <rPr>
            <sz val="9"/>
            <color indexed="81"/>
            <rFont val="Tahoma"/>
            <family val="2"/>
          </rPr>
          <t>HENRY WARD_x000D_
http://yeinfo.com/family/I09023716.html_x000D_
https://www.google.com/search?q=HENRY+WARD+1519+1540+MARGARET_x000D_
.born:c1519    -          Kirby Bedon (Norfolk) England_x000D_
.died: 1540    -1609      Postwick (Norfolk) England, age:21y 0m 0d, _x000D_
.bapt: 1785GE_x000D_
.will: 2004MO_x000D_
.obit: 1890OH_x000D_
.bury: 1850IL _x000D_
.wpbt: 1826PA_x000D_
.anc#:double ancestor_x000D_
citiz:foreign_x000D_
#spos:1_x000D_
#srcs:1_x000D_
#comment:0_x000D_
#events:1_x000D_
#kids:1_x000D_
lived:ENNORFOKIRBY B,ENNORFOPOSTWIC_x000D_
issue:_x000D_
.recs:Birth,Marriage,Death_x000D_
.imm?:no_x000D_
..Spo:MARGARET UGGS</t>
        </r>
      </text>
    </comment>
    <comment ref="T8658" authorId="0" shapeId="0" xr:uid="{43E88841-C5CF-41BC-9947-9EB9389B62B4}">
      <text>
        <r>
          <rPr>
            <sz val="9"/>
            <color indexed="81"/>
            <rFont val="Tahoma"/>
            <family val="2"/>
          </rPr>
          <t>JOHN CAPELL_x000D_
http://yeinfo.com/family/I09065883.html_x000D_
https://www.google.com/search?q=JOHN+CAPELL+1398+1449+JOAN_x000D_
.born: 1398    -          Stoke by Nayland (Suffolk) England_x000D_
.died: 14490614-          Stoke by Nayland (Suffolk) England, age:51y 5m 13d, _x000D_
.bapt: 1785GE_x000D_
.will: 2004MO_x000D_
.obit: 1890OH_x000D_
.bury: 1850IL _x000D_
.wpbt: 1826PA_x000D_
.anc#:  quadruple ancestor_x000D_
citiz:foreign_x000D_
#spos:1_x000D_
#srcs:1_x000D_
#comment:1_x000D_
#events:1_x000D_
#kids:1_x000D_
lived:ENSUFFOSTOKE B_x000D_
issue:_x000D_
.recs:Birth,Marriage,Death_x000D_
.imm?:no_x000D_
..Spo:JOAN CAPELL</t>
        </r>
      </text>
    </comment>
    <comment ref="S8660" authorId="0" shapeId="0" xr:uid="{E2C0334C-625A-4904-BD37-62380DADDEF9}">
      <text>
        <r>
          <rPr>
            <sz val="9"/>
            <color indexed="81"/>
            <rFont val="Tahoma"/>
            <family val="2"/>
          </rPr>
          <t>WILLIAM CAPELL_x000D_
http://yeinfo.com/family/I09065734.html_x000D_
https://www.google.com/search?q=WILLIAM+CAPELL+1446+1515+MARGARET_x000D_
.born:c1446    -          Suffolk county England_x000D_
.died: 15150906-          London (Middlesex) England, age:69y 8m 5d, _x000D_
.bapt: 1785GE_x000D_
.will: 2004MO_x000D_
.obit: 1890OH_x000D_
.bury: 1850IL _x000D_
.wpbt: 1826PA_x000D_
.anc#:  quadruple ancestor_x000D_
citiz:foreign_x000D_
#spos:1_x000D_
#srcs:1_x000D_
#comment:0_x000D_
#events:1_x000D_
#kids:3_x000D_
lived:ENMIDDLLONDON,ENSUFFO_x000D_
issue:_x000D_
.recs:Birth,Marriage,Death_x000D_
.imm?:no_x000D_
..Spo:MARGARET ARUNDELL</t>
        </r>
      </text>
    </comment>
    <comment ref="T8662" authorId="0" shapeId="0" xr:uid="{19654214-21A9-43B8-A9AE-A06A65F6AE21}">
      <text>
        <r>
          <rPr>
            <sz val="9"/>
            <color indexed="81"/>
            <rFont val="Tahoma"/>
            <family val="2"/>
          </rPr>
          <t>Mrs. JOAN CAPELL_x000D_
http://yeinfo.com/family/I09065884.html_x000D_
https://www.google.com/search?q=JOAN+CAPELL+1402+1446+CAPELL_x000D_
.born: 1402    -          Stoke by Nayland (Suffolk) England_x000D_
.died: 1446    -1492     ?England, age:44y 0m 0d, _x000D_
.bapt: 1785GE_x000D_
.will: 2004MO_x000D_
.obit: 1890OH_x000D_
.bury: 1850IL _x000D_
.wpbt: 1826PA_x000D_
.anc#:  quadruple ancestor_x000D_
citiz:foreign_x000D_
#spos:1_x000D_
#srcs:1_x000D_
#comment:0_x000D_
#events:1_x000D_
#kids:1_x000D_
lived:ENSUFFOSTOKE B_x000D_
issue:_x000D_
.recs:Birth,Marriage,Death_x000D_
.imm?:no_x000D_
..Spo:JOHN CAPELL</t>
        </r>
      </text>
    </comment>
    <comment ref="R8664" authorId="0" shapeId="0" xr:uid="{C2D6A79F-2854-40DC-82D2-8A4FFEBFDB4B}">
      <text>
        <r>
          <rPr>
            <sz val="9"/>
            <color indexed="81"/>
            <rFont val="Tahoma"/>
            <family val="2"/>
          </rPr>
          <t>GILES CAPELL_x000D_
http://yeinfo.com/family/I09065601.html_x000D_
https://www.google.com/search?q=GILES+CAPELL+1480+1556+ISABEL_x000D_
.born:?1480    -          Romford (Essex) England_x000D_
.died: 15560529-          Essex county England, age:76y 4m 28d, _x000D_
.bapt: 1785GE_x000D_
.will: 2004MO_x000D_
.obit: 1890OH_x000D_
.bury: 1850IL _x000D_
.wpbt: 1826PA_x000D_
.anc#:  quadruple ancestor_x000D_
citiz:foreign_x000D_
#spos:2_x000D_
#srcs:2_x000D_
#comment:0_x000D_
#events:2_x000D_
#kids:1_x000D_
lived:ENESSEXROMFORD_x000D_
issue:Born before Parents Married,Died after Age 100_x000D_
.recs:Birth,Marriage,Death_x000D_
.imm?:no_x000D_
..Spo:ISABEL NEWTON</t>
        </r>
      </text>
    </comment>
    <comment ref="U8666" authorId="0" shapeId="0" xr:uid="{D61F4183-18B6-42A9-9B87-53958B8169D1}">
      <text>
        <r>
          <rPr>
            <sz val="9"/>
            <color indexed="81"/>
            <rFont val="Tahoma"/>
            <family val="2"/>
          </rPr>
          <t>JOHN ARUNDELL VI_x000D_
http://yeinfo.com/family/I09066733.html_x000D_
https://www.google.com/search?q=JOHN+ARUNDELL+1392+1423+MARGARET_x000D_
.born: 1392    -          Bideford (Devon) England_x000D_
.died: 14231204-          Ewyas Lacy (Herefordshire) England, age:31y 11m 3d, _x000D_
.bapt: 1785GE_x000D_
.will: 2004MO_x000D_
.obit: 1890OH_x000D_
.bury: 1850IL _x000D_
.wpbt: 1826PA_x000D_
.anc#:  quadruple ancestor_x000D_
citiz:foreign_x000D_
#spos:1_x000D_
#srcs:1_x000D_
#comment:1_x000D_
#events:1_x000D_
#kids:1_x000D_
lived:ENDEVONBIDEFOR,ENHEREFEWYAS L_x000D_
issue:_x000D_
.recs:Birth,Marriage,Death_x000D_
.imm?:no_x000D_
..Spo:MARGARET BURGHRESH</t>
        </r>
      </text>
    </comment>
    <comment ref="T8668" authorId="0" shapeId="0" xr:uid="{F788B16D-F25F-4761-B085-6F63B9859C3B}">
      <text>
        <r>
          <rPr>
            <sz val="9"/>
            <color indexed="81"/>
            <rFont val="Tahoma"/>
            <family val="2"/>
          </rPr>
          <t>JOHN ARUNDELL VII_x000D_
http://yeinfo.com/family/I09066731.html_x000D_
https://www.google.com/search?q=JOHN+ARUNDELL+1421+1473+CATHERINE_x000D_
.born: 14210609-          Bideford (Devon) England_x000D_
.died: 14731112-          Cornwall county England, age:52y 5m 3d, _x000D_
.bapt: 1785GE_x000D_
.will: 2004MO_x000D_
.obit: 1890OH_x000D_
.bury: 1850IL _x000D_
.wpbt: 1826PA_x000D_
.anc#:  quadruple ancestor_x000D_
citiz:foreign_x000D_
#spos:1_x000D_
#srcs:1_x000D_
#comment:0_x000D_
#events:1_x000D_
#kids:1_x000D_
lived:ENCORNW,ENDEVONBIDEFOR_x000D_
issue:_x000D_
.recs:Birth,Marriage,Death_x000D_
.imm?:no_x000D_
..Spo:CATHERINE CHIDIOCKE</t>
        </r>
      </text>
    </comment>
    <comment ref="U8670" authorId="0" shapeId="0" xr:uid="{75AA8181-A356-4D4C-8C94-F23B5B9614DD}">
      <text>
        <r>
          <rPr>
            <sz val="9"/>
            <color indexed="81"/>
            <rFont val="Tahoma"/>
            <family val="2"/>
          </rPr>
          <t>MARGARET BURGHRESH_x000D_
http://yeinfo.com/family/I09066734.html_x000D_
https://www.google.com/search?q=MARGARET+BURGHRESH+1379+1424+ARUNDELL_x000D_
.born:?1379    -          Ewyas Lacy (Herefordshire) England_x000D_
.died: 1424    -          Cornwall county England, age:45y 0m 0d, _x000D_
.bapt: 1785GE_x000D_
.will: 2004MO_x000D_
.obit: 1890OH_x000D_
.bury: 1850IL _x000D_
.wpbt: 1826PA_x000D_
.anc#:  quadruple ancestor_x000D_
citiz:foreign_x000D_
#spos:1_x000D_
#srcs:1_x000D_
#comment:1_x000D_
#events:2_x000D_
#kids:1_x000D_
lived:ENCORNW,ENHEREFEWYAS L_x000D_
issue:_x000D_
.recs:Birth,Marriage,Death_x000D_
.imm?:no_x000D_
..Spo:JOHN ARUNDELL</t>
        </r>
      </text>
    </comment>
    <comment ref="S8672" authorId="0" shapeId="0" xr:uid="{AA5B4FA1-61B9-404E-A874-B8658915B4E1}">
      <text>
        <r>
          <rPr>
            <sz val="9"/>
            <color indexed="81"/>
            <rFont val="Tahoma"/>
            <family val="2"/>
          </rPr>
          <t>MARGARET ARUNDELL_x000D_
http://yeinfo.com/family/I09065735.html_x000D_
https://www.google.com/search?q=MARGARET+ARUNDELL+1456+1519+CAPELL_x000D_
.born: 1456    -          Mawgan-in-Meneage (Cornwall) England_x000D_
.died: 15191208-          London (Middlesex) England, age:63y 11m 7d, _x000D_
.bapt: 1785GE_x000D_
.will: 2004MO_x000D_
.obit: 1890OH_x000D_
.bury: 1850IL _x000D_
.wpbt: 1826PA_x000D_
.anc#:  quadruple ancestor_x000D_
citiz:foreign_x000D_
#spos:1_x000D_
#srcs:1_x000D_
#comment:0_x000D_
#events:1_x000D_
#kids:3_x000D_
lived:ENCORNWMAWGAN,ENMIDDLLONDON_x000D_
issue:_x000D_
.recs:Birth,Marriage,Death_x000D_
.imm?:no_x000D_
..Spo:WILLIAM CAPELL</t>
        </r>
      </text>
    </comment>
    <comment ref="U8674" authorId="0" shapeId="0" xr:uid="{E72B4AF7-AEE4-4B03-85E0-B8D69ACB0716}">
      <text>
        <r>
          <rPr>
            <sz val="9"/>
            <color indexed="81"/>
            <rFont val="Tahoma"/>
            <family val="2"/>
          </rPr>
          <t>JOHN CHIDIOCKE_x000D_
http://yeinfo.com/family/I09066735.html_x000D_
https://www.google.com/search?q=JOHN+CHIDIOCKE+1401+1450+CATHERINE_x000D_
.born: 14011101-          Chideock (Dorset) England_x000D_
.died: 14500306-          Arundel (Sussex) England, age:48y 4m 5d, _x000D_
.bapt: 1785GE_x000D_
.will: 2004MO_x000D_
.obit: 1890OH_x000D_
.bury: 1850IL _x000D_
.wpbt: 1826PA_x000D_
.anc#:  quadruple ancestor_x000D_
citiz:foreign_x000D_
#spos:1_x000D_
#srcs:1_x000D_
#comment:1_x000D_
#events:2_x000D_
#kids:1_x000D_
lived:ENDORSECHIDEOC,ENDORSECHRISTC,ENSUSSEARUNDEL_x000D_
issue:_x000D_
.recs:Birth,Marriage,Death_x000D_
.imm?:no_x000D_
..Spo:CATHERINE LUMLEY</t>
        </r>
      </text>
    </comment>
    <comment ref="T8676" authorId="0" shapeId="0" xr:uid="{8242CB24-52A6-4CF9-9C15-466CA7026B0C}">
      <text>
        <r>
          <rPr>
            <sz val="9"/>
            <color indexed="81"/>
            <rFont val="Tahoma"/>
            <family val="2"/>
          </rPr>
          <t>CATHERINE CHIDIOCKE_x000D_
http://yeinfo.com/family/I09066732.html_x000D_
https://www.google.com/search?q=CATHERINE+CHIDIOCKE+1423+1479+ARUNDELL_x000D_
.born:?1423    -          Arundel (Sussex) England_x000D_
.died: 14790410-          Cornwall county England, age:56y 3m 9d, _x000D_
.bapt: 1785GE_x000D_
.will: 2004MO_x000D_
.obit: 1890OH_x000D_
.bury: 1850IL _x000D_
.wpbt: 1826PA_x000D_
.anc#:  quadruple ancestor_x000D_
citiz:foreign_x000D_
#spos:1_x000D_
#srcs:1_x000D_
#comment:0_x000D_
#events:2_x000D_
#kids:1_x000D_
lived:ENCORNW,ENDEVONCHIDEOC,ENSUSSEARUNDEL_x000D_
issue:_x000D_
.recs:Birth,Marriage,Death_x000D_
.imm?:no_x000D_
..Spo:JOHN ARUNDELL</t>
        </r>
      </text>
    </comment>
    <comment ref="U8678" authorId="0" shapeId="0" xr:uid="{D0E47942-7E9A-4DBF-9257-AD56FFDBFE2B}">
      <text>
        <r>
          <rPr>
            <sz val="9"/>
            <color indexed="81"/>
            <rFont val="Tahoma"/>
            <family val="2"/>
          </rPr>
          <t>CATHERINE LUMLEY_x000D_
http://yeinfo.com/family/I09066736.html_x000D_
https://www.google.com/search?q=CATHERINE+LUMLEY+1400+1461+CHIDIOCKE_x000D_
.born:?1400    -          Arundel (Sussex) England_x000D_
.died: 14610602-          Chideock (Dorset) England, age:61y 5m 1d, _x000D_
.bapt: 1785GE_x000D_
.will: 2004MO_x000D_
.obit: 1890OH_x000D_
.bury: 1850IL _x000D_
.wpbt: 1826PA_x000D_
.anc#:  quadruple ancestor_x000D_
citiz:foreign_x000D_
#spos:1_x000D_
#srcs:1_x000D_
#comment:1_x000D_
#events:2_x000D_
#kids:1_x000D_
lived:ENDORSECHIDEOC,ENDORSECHRISTC,ENSUSSEARUNDEL_x000D_
issue:Died before Marriage_x000D_
.recs:Birth,Marriage,Death_x000D_
.imm?:no_x000D_
..Spo:JOHN CHIDIOCKE</t>
        </r>
      </text>
    </comment>
    <comment ref="Q8680" authorId="0" shapeId="0" xr:uid="{AAF59DB0-6B2D-451C-A4DC-6FB109ADD4BB}">
      <text>
        <r>
          <rPr>
            <sz val="9"/>
            <color indexed="81"/>
            <rFont val="Tahoma"/>
            <family val="2"/>
          </rPr>
          <t>MARGARET CAPELL CAPELL_x000D_
http://yeinfo.com/family/I09047433.html_x000D_
https://www.google.com/search?q=MARGARET+CAPELL+CAPELL+1507+1530+WARD+WILLIAM_x000D_
.born: 1507    -          Rayne (Essex) England_x000D_
.died: 1530    -1597      Homersfield (Suffolk) England, age:23y 0m 0d, _x000D_
.bapt: 1785GE_x000D_
.will: 2004MO_x000D_
.obit: 1890OH_x000D_
.bury: 1850IL _x000D_
.wpbt: 1826PA_x000D_
.anc#:  quadruple ancestor_x000D_
citiz:foreign_x000D_
#spos:2_x000D_
#srcs:2_x000D_
#comment:1_x000D_
#events:2_x000D_
#kids:5_x000D_
lived:ENESSEXRAYNE,ENSUFFOHOMERSF_x000D_
issue:Died after Age 100,AncFlags between Spouses Mismatched_x000D_
.recs:Birth,Marriage,Death_x000D_
.imm?:no_x000D_
..Spo:ROBERT WARD</t>
        </r>
      </text>
    </comment>
    <comment ref="T8682" authorId="0" shapeId="0" xr:uid="{31EB73A4-FA0E-4272-A750-906EAF7695D5}">
      <text>
        <r>
          <rPr>
            <sz val="9"/>
            <color indexed="81"/>
            <rFont val="Tahoma"/>
            <family val="2"/>
          </rPr>
          <t>JOHN NEWTON_x000D_
http://yeinfo.com/family/I09065885.html_x000D_
https://www.google.com/search?q=JOHN+NEWTON+1425+1488+ISABEL_x000D_
.born: 1425    -          East Harptree (Somerset) England_x000D_
.died: 14880126-          Gwynedd county Wales, age:63y 0m 25d, _x000D_
.bapt: 1785GE_x000D_
.will: 2004MO_x000D_
.obit: 1890OH_x000D_
.bury: 1850IL _x000D_
.wpbt: 1826PA_x000D_
.anc#:  quadruple ancestor_x000D_
citiz:foreign_x000D_
#spos:1_x000D_
#srcs:1_x000D_
#comment:1_x000D_
#events:1_x000D_
#kids:1_x000D_
lived:ENSOMESEASTHPT,WLGWYNE_x000D_
issue:_x000D_
.recs:Birth,Marriage,Death_x000D_
.imm?:no_x000D_
..Spo:ISABEL CHEDDAR</t>
        </r>
      </text>
    </comment>
    <comment ref="S8684" authorId="0" shapeId="0" xr:uid="{4E9305EB-412B-4A63-9508-62924C5C16CB}">
      <text>
        <r>
          <rPr>
            <sz val="9"/>
            <color indexed="81"/>
            <rFont val="Tahoma"/>
            <family val="2"/>
          </rPr>
          <t>THOMAS\RICHARD NEWTON_x000D_
http://yeinfo.com/family/I09065736.html_x000D_
https://www.google.com/search?q=THOMAS\RICHARD+NEWTON+1450+1500+ELINOR_x000D_
.born:?1450    -          East Harptree (Somerset) England_x000D_
.died: 1500    -          East Harptree (Somerset) England, age:50y 0m 0d, _x000D_
.bapt: 1785GE_x000D_
.will: 2004MO_x000D_
.obit: 1890OH_x000D_
.bury: 1850IL _x000D_
.wpbt: 1826PA_x000D_
.anc#:  quadruple ancestor_x000D_
citiz:foreign_x000D_
#spos:1_x000D_
#srcs:1_x000D_
#comment:0_x000D_
#events:1_x000D_
#kids:3_x000D_
lived:ENSOMESEASTHPT_x000D_
issue:_x000D_
.recs:Birth,Marriage,Death_x000D_
.imm?:no_x000D_
..Spo:ELINOR DAUBENEY</t>
        </r>
      </text>
    </comment>
    <comment ref="T8686" authorId="0" shapeId="0" xr:uid="{E476B29A-EF80-4405-A7EB-B2C8F9B5FC95}">
      <text>
        <r>
          <rPr>
            <sz val="9"/>
            <color indexed="81"/>
            <rFont val="Tahoma"/>
            <family val="2"/>
          </rPr>
          <t>ISABEL CHEDDAR_x000D_
http://yeinfo.com/family/I09065886.html_x000D_
https://www.google.com/search?q=ISABEL+CHEDDAR+1429+1499+NEWTON_x000D_
.born:c1429    -          East Harptree (Somerset) England_x000D_
.died: 14990514-          Yatton (Somerset) England, age:70y 4m 13d, _x000D_
.bapt: 1785GE_x000D_
.will: 2004MO_x000D_
.obit: 1890OH_x000D_
.bury: 1850IL _x000D_
.wpbt: 1826PA_x000D_
.anc#:  quadruple ancestor_x000D_
citiz:foreign_x000D_
#spos:1_x000D_
#srcs:1_x000D_
#comment:1_x000D_
#events:1_x000D_
#kids:1_x000D_
lived:ENSOMESEASTHPT,ENSOMESYATTON_x000D_
issue:_x000D_
.recs:Birth,Marriage,Death_x000D_
.imm?:no_x000D_
..Spo:JOHN NEWTON</t>
        </r>
      </text>
    </comment>
    <comment ref="R8688" authorId="0" shapeId="0" xr:uid="{D7518AA7-F5DC-4CD5-BC47-33E4A9B48D86}">
      <text>
        <r>
          <rPr>
            <sz val="9"/>
            <color indexed="81"/>
            <rFont val="Tahoma"/>
            <family val="2"/>
          </rPr>
          <t>ISABEL NEWTON_x000D_
http://yeinfo.com/family/I09065602.html_x000D_
https://www.google.com/search?q=ISABEL+NEWTON+1475+1508+CAPELL_x000D_
.born:?1475    -          Romford (Essex) England_x000D_
.died: 1508    -1540      Essex county England, age:33y 0m 0d, _x000D_
.bapt: 1785GE_x000D_
.will: 2004MO_x000D_
.obit: 1890OH_x000D_
.bury: 1850IL _x000D_
.wpbt: 1826PA_x000D_
.anc#:  quadruple ancestor_x000D_
citiz:foreign_x000D_
#spos:1_x000D_
#srcs:2_x000D_
#comment:0_x000D_
#events:1_x000D_
#kids:1_x000D_
lived:ENESSEXROMFORD_x000D_
issue:Born before Parents Married_x000D_
.recs:Birth,Marriage,Death_x000D_
.imm?:no_x000D_
..Spo:GILES CAPELL</t>
        </r>
      </text>
    </comment>
    <comment ref="W8690" authorId="0" shapeId="0" xr:uid="{56FDE002-6CFC-47CB-8B10-61558ED6D731}">
      <text>
        <r>
          <rPr>
            <sz val="9"/>
            <color indexed="81"/>
            <rFont val="Tahoma"/>
            <family val="2"/>
          </rPr>
          <t>GILES DAUBENEY_x000D_
http://yeinfo.com/family/I09066448.html_x000D_
https://www.google.com/search?q=GILES+DAUBENEY+1337+1388+ELEANOR_x000D_
.born:c1337    -          Shepton Mallet (Somerset) England_x000D_
.died: 13880624-          Barrington (Somerset) England, age:51y 5m 23d, _x000D_
.bapt: 1785GE_x000D_
.will: 2004MO_x000D_
.obit: 1890OH_x000D_
.bury: 1850IL _x000D_
.wpbt: 1826PA_x000D_
.anc#:  quadruple ancestor_x000D_
citiz:foreign_x000D_
#spos:1_x000D_
#srcs:1_x000D_
#comment:1_x000D_
#events:1_x000D_
#kids:1_x000D_
lived:ENSOMESBARRING,ENSOMESSHEPMAL_x000D_
issue:_x000D_
.recs:Birth,Marriage,Death_x000D_
.imm?:no_x000D_
..Spo:ELEANOR WILLINGTON</t>
        </r>
      </text>
    </comment>
    <comment ref="V8692" authorId="0" shapeId="0" xr:uid="{83186D37-BAFC-4FEE-A7E9-53C32AF0426A}">
      <text>
        <r>
          <rPr>
            <sz val="9"/>
            <color indexed="81"/>
            <rFont val="Tahoma"/>
            <family val="2"/>
          </rPr>
          <t>GILES DAUBENEY_x000D_
http://yeinfo.com/family/I09066282.html_x000D_
https://www.google.com/search?q=GILES+DAUBENEY+1371+1403+MARGARET_x000D_
.born:c1371    -          Ingleby (Lincolnshire) England_x000D_
.died: 14030822-          Kempstone (Bedfordshire) England, age:32y 7m 21d, _x000D_
.bapt: 1785GE_x000D_
.will: 2004MO_x000D_
.obit: 1890OH_x000D_
.bury: 1850IL _x000D_
.wpbt: 1826PA_x000D_
.anc#:  quadruple ancestor_x000D_
citiz:foreign_x000D_
#spos:1_x000D_
#srcs:1_x000D_
#comment:0_x000D_
#events:2_x000D_
#kids:1_x000D_
lived:?ENNORFO,ENBEDFOKEMPSTN,ENDEVONKINGSBR,ENLINCSINGLEBY_x000D_
issue:_x000D_
.recs:Birth,Marriage,Death_x000D_
.imm?:no_x000D_
..Spo:MARGARET BEAUCHAMP</t>
        </r>
      </text>
    </comment>
    <comment ref="W8694" authorId="0" shapeId="0" xr:uid="{C83F3D9E-93D5-45EF-BF82-337D89034A10}">
      <text>
        <r>
          <rPr>
            <sz val="9"/>
            <color indexed="81"/>
            <rFont val="Tahoma"/>
            <family val="2"/>
          </rPr>
          <t>ELEANOR WILLINGTON_x000D_
http://yeinfo.com/family/I09066488.html_x000D_
https://www.google.com/search?q=ELEANOR+WILLINGTON+1337+1400+DAUBENEY_x000D_
.born: 1337    -          Chittlehampton (Devon) England_x000D_
.died: 14000806-          Kempstone (Bedfordshire) England, age:63y 7m 5d, _x000D_
.bapt: 1785GE_x000D_
.will: 2004MO_x000D_
.obit: 1890OH_x000D_
.bury: 1850IL _x000D_
.wpbt: 1826PA_x000D_
.anc#:  quadruple ancestor_x000D_
citiz:foreign_x000D_
#spos:1_x000D_
#srcs:1_x000D_
#comment:1_x000D_
#events:1_x000D_
#kids:1_x000D_
lived:?ENSOMES,ENBEDFOKEMPSTN,ENDEVONCHITTLE_x000D_
issue:_x000D_
.recs:Birth,Marriage,Death_x000D_
.imm?:no_x000D_
..Spo:GILES DAUBENEY</t>
        </r>
      </text>
    </comment>
    <comment ref="U8696" authorId="0" shapeId="0" xr:uid="{832A10F7-D786-42D6-A7C8-0AFE9BAB74BE}">
      <text>
        <r>
          <rPr>
            <sz val="9"/>
            <color indexed="81"/>
            <rFont val="Tahoma"/>
            <family val="2"/>
          </rPr>
          <t>GILES DAUBENEY_x000D_
http://yeinfo.com/family/I09066086.html_x000D_
https://www.google.com/search?q=GILES+DAUBENEY+1393+1446+JOAN+DAUBENEY_x000D_
.born: 13931020-          Kempston (Norfolk) England_x000D_
.died: 14460111-         ?Somerset county England, age:52y 2m 22d, _x000D_
.bapt: 1785GE_x000D_
.will: 2004MO_x000D_
.obit: 1890OH_x000D_
.bury: 1850IL Our Lady Chapel_x000D_
.wpbt: 1826PA_x000D_
.anc#:  quadruple ancestor_x000D_
citiz:foreign_x000D_
#spos:3_x000D_
#srcs:1_x000D_
#comment:0_x000D_
#events:5_x000D_
#kids:1_x000D_
lived:?ENBEDFO,ENNORFOKEMPSTO,ENSOMESS.PETHE_x000D_
issue:_x000D_
.recs:Birth,Marriage,Death,Interment/Burial_x000D_
.imm?:no_x000D_
..Spo:JOAN DARCY</t>
        </r>
      </text>
    </comment>
    <comment ref="W8698" authorId="0" shapeId="0" xr:uid="{138647B6-35A0-4259-BA4B-3D7AD5BBE2F4}">
      <text>
        <r>
          <rPr>
            <sz val="9"/>
            <color indexed="81"/>
            <rFont val="Tahoma"/>
            <family val="2"/>
          </rPr>
          <t>JOHN BEAUCHAMP_x000D_
http://yeinfo.com/family/I09066442.html_x000D_
https://www.google.com/search?q=JOHN+BEAUCHAMP+1330+1389+ELIZABETH+Mowbray_x000D_
.born: 13300120-          Powick (Worcestershire) England_x000D_
.died: 13890214-          Bedford (Bedfordshire) England, age:59y 0m 25d, _x000D_
.bapt: 1785GE_x000D_
.will: 2004MO_x000D_
.obit: 1890OH_x000D_
.bury: 1850IL _x000D_
.wpbt: 1826PA_x000D_
.anc#:  quadruple ancestor_x000D_
citiz:foreign_x000D_
#spos:2_x000D_
#srcs:1_x000D_
#comment:1_x000D_
#events:2_x000D_
#kids:1_x000D_
lived:ENBEDFOBEDFORD,ENWORCSPOWICK_x000D_
issue:_x000D_
.recs:Birth,Marriage,Death_x000D_
.imm?:no_x000D_
..Spo:ELIZABETH ST.JOHN</t>
        </r>
      </text>
    </comment>
    <comment ref="V8700" authorId="0" shapeId="0" xr:uid="{CC218DAF-7C38-4B7D-AAB4-4C296F451127}">
      <text>
        <r>
          <rPr>
            <sz val="9"/>
            <color indexed="81"/>
            <rFont val="Tahoma"/>
            <family val="2"/>
          </rPr>
          <t>MARGARET BEAUCHAMP_x000D_
http://yeinfo.com/family/I09066279.html_x000D_
https://www.google.com/search?q=MARGARET+BEAUCHAMP+1374+1420+DAUBENEY_x000D_
.born:c1374    -          Norfolk county England_x000D_
.died: 14200630-          Kempston (Norfolk) England, age:46y 5m 29d, _x000D_
.bapt: 1785GE_x000D_
.will: 2004MO_x000D_
.obit: 1890OH_x000D_
.bury: 1850IL _x000D_
.wpbt: 1826PA_x000D_
.anc#:  quadruple ancestor_x000D_
citiz:foreign_x000D_
#spos:1_x000D_
#srcs:1_x000D_
#comment:0_x000D_
#events:1_x000D_
#kids:1_x000D_
lived:ENNORFOKEMPSTO_x000D_
issue:_x000D_
.recs:Birth,Marriage,Death_x000D_
.imm?:no_x000D_
..Spo:GILES DAUBENEY</t>
        </r>
      </text>
    </comment>
    <comment ref="W8702" authorId="0" shapeId="0" xr:uid="{C057F76A-EBB3-4263-AB61-0E0A0B2EB907}">
      <text>
        <r>
          <rPr>
            <sz val="9"/>
            <color indexed="81"/>
            <rFont val="Tahoma"/>
            <family val="2"/>
          </rPr>
          <t>ELIZABETH ST.JOHN_x000D_
http://yeinfo.com/family/I09066478.html_x000D_
https://www.google.com/search?q=ELIZABETH+ST.JOHN+1331+1411+BEAUCHAMP_x000D_
.born: 1331    -          England_x000D_
.died: 1411    -          England, age:80y 0m 0d, _x000D_
.bapt: 1785GE_x000D_
.will: 2004MO_x000D_
.obit: 1890OH_x000D_
.bury: 1850IL _x000D_
.wpbt: 1826PA_x000D_
.anc#:  quadruple ancestor_x000D_
citiz:foreign_x000D_
#spos:1_x000D_
#srcs:1_x000D_
#comment:1_x000D_
#events:1_x000D_
#kids:1_x000D_
lived:EN_x000D_
issue:_x000D_
.recs:Birth,Marriage,Death_x000D_
.imm?:no_x000D_
..Spo:JOHN BEAUCHAMP</t>
        </r>
      </text>
    </comment>
    <comment ref="T8704" authorId="0" shapeId="0" xr:uid="{EBB71EFA-5274-49D3-8AC8-14F915D890E9}">
      <text>
        <r>
          <rPr>
            <sz val="9"/>
            <color indexed="81"/>
            <rFont val="Tahoma"/>
            <family val="2"/>
          </rPr>
          <t>WILLIAM DAUBENEY_x000D_
http://yeinfo.com/family/I09065887.html_x000D_
https://www.google.com/search?q=WILLIAM+DAUBENEY+1424+1461+ALICE_x000D_
.born: 14240611-          Ingleby (Lincolnshire) England_x000D_
.died: 14610102-          South Petherton (Somerset) England, age:36y 6m 22d, _x000D_
.bapt: 1785GE_x000D_
.will: 2004MO_x000D_
.obit: 1890OH_x000D_
.bury: 1850IL _x000D_
.wpbt: 1826PA_x000D_
.anc#:  quadruple ancestor_x000D_
citiz:foreign_x000D_
#spos:1_x000D_
#srcs:1_x000D_
#comment:1_x000D_
#events:1_x000D_
#kids:1_x000D_
lived:ENLINCSINGLEBY,ENSOMESS.PETHE_x000D_
issue:_x000D_
.recs:Birth,Marriage,Death_x000D_
.imm?:no_x000D_
..Spo:ALICE STOURTON</t>
        </r>
      </text>
    </comment>
    <comment ref="U8706" authorId="0" shapeId="0" xr:uid="{35882255-416D-4007-89BB-CC6EB0553C84}">
      <text>
        <r>
          <rPr>
            <sz val="9"/>
            <color indexed="81"/>
            <rFont val="Tahoma"/>
            <family val="2"/>
          </rPr>
          <t>JOAN DARCY_x000D_
http://yeinfo.com/family/I09066085.html_x000D_
https://www.google.com/search?q=JOAN+DARCY+1398+1424+DAUBENEY_x000D_
.born: 1398    -          Knaith (Lincolnshire) England_x000D_
.died: 1424    -1488      South Petherton (Somerset) England, age:26y 0m 0d, _x000D_
.bapt: 1785GE_x000D_
.will: 2004MO_x000D_
.obit: 1890OH_x000D_
.bury: 1850IL _x000D_
.wpbt: 1826PA_x000D_
.anc#:  quadruple ancestor_x000D_
citiz:foreign_x000D_
#spos:1_x000D_
#srcs:1_x000D_
#comment:0_x000D_
#events:2_x000D_
#kids:1_x000D_
lived:?ENBEDFO,ENLINCSKNAITH,ENSOMESS.PETHE_x000D_
issue:_x000D_
.recs:Birth,Marriage,Death_x000D_
.imm?:no_x000D_
..Spo:GILES DAUBENEY</t>
        </r>
      </text>
    </comment>
    <comment ref="S8708" authorId="0" shapeId="0" xr:uid="{1AC69DD5-F13B-4CFE-8969-3A3F51585F46}">
      <text>
        <r>
          <rPr>
            <sz val="9"/>
            <color indexed="81"/>
            <rFont val="Tahoma"/>
            <family val="2"/>
          </rPr>
          <t>ELINOR DAUBENEY_x000D_
http://yeinfo.com/family/I09065737.html_x000D_
https://www.google.com/search?q=ELINOR+DAUBENEY+1455+1482+NEWTON_x000D_
.born: 1455    -          Somerset county England_x000D_
.died: 1482    -          Somerset county England, age:27y 0m 0d, _x000D_
.bapt: 1785GE_x000D_
.will: 2004MO_x000D_
.obit: 1890OH_x000D_
.bury: 1850IL _x000D_
.wpbt: 1826PA_x000D_
.anc#:  quadruple ancestor_x000D_
citiz:foreign_x000D_
#spos:1_x000D_
#srcs:1_x000D_
#comment:0_x000D_
#events:1_x000D_
#kids:3_x000D_
lived:ENSOMES_x000D_
issue:Died before Birth_x000D_
.recs:Birth,Marriage,Death_x000D_
.imm?:no_x000D_
..Spo:THOMAS\RICHARD NEWTON</t>
        </r>
      </text>
    </comment>
    <comment ref="T8710" authorId="0" shapeId="0" xr:uid="{3EA27F26-7B17-405B-ACAE-9084B42F702F}">
      <text>
        <r>
          <rPr>
            <sz val="9"/>
            <color indexed="81"/>
            <rFont val="Tahoma"/>
            <family val="2"/>
          </rPr>
          <t>ALICE STOURTON_x000D_
http://yeinfo.com/family/I09065888.html_x000D_
https://www.google.com/search?q=ALICE+STOURTON+1432+1491+DAUBENEY+Robert_x000D_
.born:c1432    -          Yeovil (Somerset) England_x000D_
.died: 1491    -          Preston-next-Faversham (Kent) England, age:59y 0m 0d, _x000D_
.bapt: 1785GE_x000D_
.will: 2004MO_x000D_
.obit: 1890OH_x000D_
.bury: 1850IL _x000D_
.wpbt: 1826PA_x000D_
.anc#:  quadruple ancestor_x000D_
citiz:foreign_x000D_
#spos:2_x000D_
#srcs:1_x000D_
#comment:1_x000D_
#events:2_x000D_
#kids:1_x000D_
lived:ENKENT PRESTNF,ENSOMESYEOVIL_x000D_
issue:_x000D_
.recs:Birth,Marriage,Death_x000D_
.imm?:no_x000D_
..Spo:WILLIAM DAUBENEY</t>
        </r>
      </text>
    </comment>
    <comment ref="O8712" authorId="0" shapeId="0" xr:uid="{E839E821-AC5B-4767-9165-C4B081D0DADE}">
      <text>
        <r>
          <rPr>
            <sz val="9"/>
            <color indexed="81"/>
            <rFont val="Tahoma"/>
            <family val="2"/>
          </rPr>
          <t>EDWARD WARD_x000D_
http://yeinfo.com/family/I09011858.html_x000D_
https://www.google.com/search?q=EDWARD+WARD+1540+1595+JUDITH+Havers_x000D_
.born:?1540    -         ?England_x000D_
.died: 1595    -1620      Little Wratting (Suffolk) England, age:55y 0m 0d, _x000D_
.bapt: 1785GE_x000D_
.will: 2004MO_x000D_
.obit: 1890OH_x000D_
.bury: 1850IL _x000D_
.wpbt: 1826PA_x000D_
.anc#:double ancestor_x000D_
citiz:foreign_x000D_
#spos:2_x000D_
#srcs:2_x000D_
#comment:0_x000D_
#events:2_x000D_
#kids:14_x000D_
lived:?EN,ENSUFFOLITTLEZ_x000D_
issue:Married before Age 16,Died before Birth_x000D_
.recs:Birth,Marriage,Death_x000D_
.imm?:no_x000D_
..Spo:JUDITH LUKYN</t>
        </r>
      </text>
    </comment>
    <comment ref="Q8714" authorId="0" shapeId="0" xr:uid="{2327C816-C95E-4E12-A3A6-960A289FFEC5}">
      <text>
        <r>
          <rPr>
            <sz val="9"/>
            <color indexed="81"/>
            <rFont val="Tahoma"/>
            <family val="2"/>
          </rPr>
          <t>WILLIAM UGGS_x000D_
http://yeinfo.com/family/I09047434.html_x000D_
https://www.google.com/search?q=WILLIAM+UGGS+1500+1575+MARGARET+CAPELL_x000D_
.born: 1500    -          Norfolk county England_x000D_
.died: 1575    -          Norfolk county England, age:75y 0m 0d, _x000D_
.bapt: 1785GE_x000D_
.will: 2004MO_x000D_
.obit: 1890OH_x000D_
.bury: 1850IL _x000D_
.wpbt: 1826PA_x000D_
.anc#:double ancestor_x000D_
citiz:foreign_x000D_
#spos:1_x000D_
#srcs:1_x000D_
#comment:0_x000D_
#events:1_x000D_
#kids:1_x000D_
lived:ENNORFO_x000D_
issue:Died after Age 100,AncFlags between Spouses Mismatched_x000D_
.recs:Birth,Marriage,Death_x000D_
.imm?:no_x000D_
..Spo:MARGARET CAPELL CAPELL</t>
        </r>
      </text>
    </comment>
    <comment ref="P8716" authorId="0" shapeId="0" xr:uid="{2506313D-C455-4DCD-8C4E-F5DDF805C464}">
      <text>
        <r>
          <rPr>
            <sz val="9"/>
            <color indexed="81"/>
            <rFont val="Tahoma"/>
            <family val="2"/>
          </rPr>
          <t>MARGARET UGGS_x000D_
http://yeinfo.com/family/I09023717.html_x000D_
https://www.google.com/search?q=MARGARET+UGGS+1520+1587+WARD_x000D_
.born:c1520    -          Norwich (Norfolk) England_x000D_
.died: 1587    -          Postwick (Norfolk) England, age:67y 0m 0d, _x000D_
.bapt: 1785GE_x000D_
.will: 2004MO_x000D_
.obit: 1890OH_x000D_
.bury: 1850IL _x000D_
.wpbt: 1826PA_x000D_
.anc#:double ancestor_x000D_
citiz:foreign_x000D_
#spos:1_x000D_
#srcs:1_x000D_
#comment:0_x000D_
#events:1_x000D_
#kids:1_x000D_
lived:ENNORFONORWICH,ENNORFOPOSTWIC_x000D_
issue:_x000D_
.recs:Birth,Marriage,Death_x000D_
.imm?:no_x000D_
..Spo:HENRY WARD</t>
        </r>
      </text>
    </comment>
    <comment ref="T8718" authorId="0" shapeId="0" xr:uid="{7C796408-7C2D-49D0-B2B4-404B15EA674E}">
      <text>
        <r>
          <rPr>
            <sz val="9"/>
            <color indexed="81"/>
            <rFont val="Tahoma"/>
            <family val="2"/>
          </rPr>
          <t>JOHN CAPELL_x000D_
http://yeinfo.com/family/I09065883.html_x000D_
https://www.google.com/search?q=JOHN+CAPELL+1398+1449+JOAN_x000D_
.born: 1398    -          Stoke by Nayland (Suffolk) England_x000D_
.died: 14490614-          Stoke by Nayland (Suffolk) England, age:51y 5m 13d, _x000D_
.bapt: 1785GE_x000D_
.will: 2004MO_x000D_
.obit: 1890OH_x000D_
.bury: 1850IL _x000D_
.wpbt: 1826PA_x000D_
.anc#:  quadruple ancestor_x000D_
citiz:foreign_x000D_
#spos:1_x000D_
#srcs:1_x000D_
#comment:1_x000D_
#events:1_x000D_
#kids:1_x000D_
lived:ENSUFFOSTOKE B_x000D_
issue:_x000D_
.recs:Birth,Marriage,Death_x000D_
.imm?:no_x000D_
..Spo:JOAN CAPELL</t>
        </r>
      </text>
    </comment>
    <comment ref="S8720" authorId="0" shapeId="0" xr:uid="{CC5D8BC0-3255-4511-B26F-4C2C5BE317E7}">
      <text>
        <r>
          <rPr>
            <sz val="9"/>
            <color indexed="81"/>
            <rFont val="Tahoma"/>
            <family val="2"/>
          </rPr>
          <t>WILLIAM CAPELL_x000D_
http://yeinfo.com/family/I09065734.html_x000D_
https://www.google.com/search?q=WILLIAM+CAPELL+1446+1515+MARGARET_x000D_
.born:c1446    -          Suffolk county England_x000D_
.died: 15150906-          London (Middlesex) England, age:69y 8m 5d, _x000D_
.bapt: 1785GE_x000D_
.will: 2004MO_x000D_
.obit: 1890OH_x000D_
.bury: 1850IL _x000D_
.wpbt: 1826PA_x000D_
.anc#:  quadruple ancestor_x000D_
citiz:foreign_x000D_
#spos:1_x000D_
#srcs:1_x000D_
#comment:0_x000D_
#events:1_x000D_
#kids:3_x000D_
lived:ENMIDDLLONDON,ENSUFFO_x000D_
issue:_x000D_
.recs:Birth,Marriage,Death_x000D_
.imm?:no_x000D_
..Spo:MARGARET ARUNDELL</t>
        </r>
      </text>
    </comment>
    <comment ref="T8722" authorId="0" shapeId="0" xr:uid="{C2111504-E87C-4C07-BFFF-7F1F51660896}">
      <text>
        <r>
          <rPr>
            <sz val="9"/>
            <color indexed="81"/>
            <rFont val="Tahoma"/>
            <family val="2"/>
          </rPr>
          <t>Mrs. JOAN CAPELL_x000D_
http://yeinfo.com/family/I09065884.html_x000D_
https://www.google.com/search?q=JOAN+CAPELL+1402+1446+CAPELL_x000D_
.born: 1402    -          Stoke by Nayland (Suffolk) England_x000D_
.died: 1446    -1492     ?England, age:44y 0m 0d, _x000D_
.bapt: 1785GE_x000D_
.will: 2004MO_x000D_
.obit: 1890OH_x000D_
.bury: 1850IL _x000D_
.wpbt: 1826PA_x000D_
.anc#:  quadruple ancestor_x000D_
citiz:foreign_x000D_
#spos:1_x000D_
#srcs:1_x000D_
#comment:0_x000D_
#events:1_x000D_
#kids:1_x000D_
lived:ENSUFFOSTOKE B_x000D_
issue:_x000D_
.recs:Birth,Marriage,Death_x000D_
.imm?:no_x000D_
..Spo:JOHN CAPELL</t>
        </r>
      </text>
    </comment>
    <comment ref="R8724" authorId="0" shapeId="0" xr:uid="{A010C38C-E3E1-40EC-8346-174F8A2B648F}">
      <text>
        <r>
          <rPr>
            <sz val="9"/>
            <color indexed="81"/>
            <rFont val="Tahoma"/>
            <family val="2"/>
          </rPr>
          <t>GILES CAPELL_x000D_
http://yeinfo.com/family/I09065601.html_x000D_
https://www.google.com/search?q=GILES+CAPELL+1480+1556+ISABEL_x000D_
.born:?1480    -          Romford (Essex) England_x000D_
.died: 15560529-          Essex county England, age:76y 4m 28d, _x000D_
.bapt: 1785GE_x000D_
.will: 2004MO_x000D_
.obit: 1890OH_x000D_
.bury: 1850IL _x000D_
.wpbt: 1826PA_x000D_
.anc#:  quadruple ancestor_x000D_
citiz:foreign_x000D_
#spos:2_x000D_
#srcs:2_x000D_
#comment:0_x000D_
#events:2_x000D_
#kids:1_x000D_
lived:ENESSEXROMFORD_x000D_
issue:Born before Parents Married,Died after Age 100_x000D_
.recs:Birth,Marriage,Death_x000D_
.imm?:no_x000D_
..Spo:ISABEL NEWTON</t>
        </r>
      </text>
    </comment>
    <comment ref="U8726" authorId="0" shapeId="0" xr:uid="{915C6D70-7E76-4196-8B8A-9DB207400848}">
      <text>
        <r>
          <rPr>
            <sz val="9"/>
            <color indexed="81"/>
            <rFont val="Tahoma"/>
            <family val="2"/>
          </rPr>
          <t>JOHN ARUNDELL VI_x000D_
http://yeinfo.com/family/I09066733.html_x000D_
https://www.google.com/search?q=JOHN+ARUNDELL+1392+1423+MARGARET_x000D_
.born: 1392    -          Bideford (Devon) England_x000D_
.died: 14231204-          Ewyas Lacy (Herefordshire) England, age:31y 11m 3d, _x000D_
.bapt: 1785GE_x000D_
.will: 2004MO_x000D_
.obit: 1890OH_x000D_
.bury: 1850IL _x000D_
.wpbt: 1826PA_x000D_
.anc#:  quadruple ancestor_x000D_
citiz:foreign_x000D_
#spos:1_x000D_
#srcs:1_x000D_
#comment:1_x000D_
#events:1_x000D_
#kids:1_x000D_
lived:ENDEVONBIDEFOR,ENHEREFEWYAS L_x000D_
issue:_x000D_
.recs:Birth,Marriage,Death_x000D_
.imm?:no_x000D_
..Spo:MARGARET BURGHRESH</t>
        </r>
      </text>
    </comment>
    <comment ref="T8728" authorId="0" shapeId="0" xr:uid="{35A58FB2-E81D-4B11-B96E-41EFF971B6DA}">
      <text>
        <r>
          <rPr>
            <sz val="9"/>
            <color indexed="81"/>
            <rFont val="Tahoma"/>
            <family val="2"/>
          </rPr>
          <t>JOHN ARUNDELL VII_x000D_
http://yeinfo.com/family/I09066731.html_x000D_
https://www.google.com/search?q=JOHN+ARUNDELL+1421+1473+CATHERINE_x000D_
.born: 14210609-          Bideford (Devon) England_x000D_
.died: 14731112-          Cornwall county England, age:52y 5m 3d, _x000D_
.bapt: 1785GE_x000D_
.will: 2004MO_x000D_
.obit: 1890OH_x000D_
.bury: 1850IL _x000D_
.wpbt: 1826PA_x000D_
.anc#:  quadruple ancestor_x000D_
citiz:foreign_x000D_
#spos:1_x000D_
#srcs:1_x000D_
#comment:0_x000D_
#events:1_x000D_
#kids:1_x000D_
lived:ENCORNW,ENDEVONBIDEFOR_x000D_
issue:_x000D_
.recs:Birth,Marriage,Death_x000D_
.imm?:no_x000D_
..Spo:CATHERINE CHIDIOCKE</t>
        </r>
      </text>
    </comment>
    <comment ref="U8730" authorId="0" shapeId="0" xr:uid="{FBB18F3E-9A6F-49FB-90EE-8C40B484F462}">
      <text>
        <r>
          <rPr>
            <sz val="9"/>
            <color indexed="81"/>
            <rFont val="Tahoma"/>
            <family val="2"/>
          </rPr>
          <t>MARGARET BURGHRESH_x000D_
http://yeinfo.com/family/I09066734.html_x000D_
https://www.google.com/search?q=MARGARET+BURGHRESH+1379+1424+ARUNDELL_x000D_
.born:?1379    -          Ewyas Lacy (Herefordshire) England_x000D_
.died: 1424    -          Cornwall county England, age:45y 0m 0d, _x000D_
.bapt: 1785GE_x000D_
.will: 2004MO_x000D_
.obit: 1890OH_x000D_
.bury: 1850IL _x000D_
.wpbt: 1826PA_x000D_
.anc#:  quadruple ancestor_x000D_
citiz:foreign_x000D_
#spos:1_x000D_
#srcs:1_x000D_
#comment:1_x000D_
#events:2_x000D_
#kids:1_x000D_
lived:ENCORNW,ENHEREFEWYAS L_x000D_
issue:_x000D_
.recs:Birth,Marriage,Death_x000D_
.imm?:no_x000D_
..Spo:JOHN ARUNDELL</t>
        </r>
      </text>
    </comment>
    <comment ref="S8732" authorId="0" shapeId="0" xr:uid="{DD8A5A41-8614-4779-9048-831F5C23AE03}">
      <text>
        <r>
          <rPr>
            <sz val="9"/>
            <color indexed="81"/>
            <rFont val="Tahoma"/>
            <family val="2"/>
          </rPr>
          <t>MARGARET ARUNDELL_x000D_
http://yeinfo.com/family/I09065735.html_x000D_
https://www.google.com/search?q=MARGARET+ARUNDELL+1456+1519+CAPELL_x000D_
.born: 1456    -          Mawgan-in-Meneage (Cornwall) England_x000D_
.died: 15191208-          London (Middlesex) England, age:63y 11m 7d, _x000D_
.bapt: 1785GE_x000D_
.will: 2004MO_x000D_
.obit: 1890OH_x000D_
.bury: 1850IL _x000D_
.wpbt: 1826PA_x000D_
.anc#:  quadruple ancestor_x000D_
citiz:foreign_x000D_
#spos:1_x000D_
#srcs:1_x000D_
#comment:0_x000D_
#events:1_x000D_
#kids:3_x000D_
lived:ENCORNWMAWGAN,ENMIDDLLONDON_x000D_
issue:_x000D_
.recs:Birth,Marriage,Death_x000D_
.imm?:no_x000D_
..Spo:WILLIAM CAPELL</t>
        </r>
      </text>
    </comment>
    <comment ref="U8734" authorId="0" shapeId="0" xr:uid="{5CD07E83-66DB-4D77-881C-6A2722FFA2A7}">
      <text>
        <r>
          <rPr>
            <sz val="9"/>
            <color indexed="81"/>
            <rFont val="Tahoma"/>
            <family val="2"/>
          </rPr>
          <t>JOHN CHIDIOCKE_x000D_
http://yeinfo.com/family/I09066735.html_x000D_
https://www.google.com/search?q=JOHN+CHIDIOCKE+1401+1450+CATHERINE_x000D_
.born: 14011101-          Chideock (Dorset) England_x000D_
.died: 14500306-          Arundel (Sussex) England, age:48y 4m 5d, _x000D_
.bapt: 1785GE_x000D_
.will: 2004MO_x000D_
.obit: 1890OH_x000D_
.bury: 1850IL _x000D_
.wpbt: 1826PA_x000D_
.anc#:  quadruple ancestor_x000D_
citiz:foreign_x000D_
#spos:1_x000D_
#srcs:1_x000D_
#comment:1_x000D_
#events:2_x000D_
#kids:1_x000D_
lived:ENDORSECHIDEOC,ENDORSECHRISTC,ENSUSSEARUNDEL_x000D_
issue:_x000D_
.recs:Birth,Marriage,Death_x000D_
.imm?:no_x000D_
..Spo:CATHERINE LUMLEY</t>
        </r>
      </text>
    </comment>
    <comment ref="T8736" authorId="0" shapeId="0" xr:uid="{F029241E-B292-40D8-96E7-3C01A0B5B94E}">
      <text>
        <r>
          <rPr>
            <sz val="9"/>
            <color indexed="81"/>
            <rFont val="Tahoma"/>
            <family val="2"/>
          </rPr>
          <t>CATHERINE CHIDIOCKE_x000D_
http://yeinfo.com/family/I09066732.html_x000D_
https://www.google.com/search?q=CATHERINE+CHIDIOCKE+1423+1479+ARUNDELL_x000D_
.born:?1423    -          Arundel (Sussex) England_x000D_
.died: 14790410-          Cornwall county England, age:56y 3m 9d, _x000D_
.bapt: 1785GE_x000D_
.will: 2004MO_x000D_
.obit: 1890OH_x000D_
.bury: 1850IL _x000D_
.wpbt: 1826PA_x000D_
.anc#:  quadruple ancestor_x000D_
citiz:foreign_x000D_
#spos:1_x000D_
#srcs:1_x000D_
#comment:0_x000D_
#events:2_x000D_
#kids:1_x000D_
lived:ENCORNW,ENDEVONCHIDEOC,ENSUSSEARUNDEL_x000D_
issue:_x000D_
.recs:Birth,Marriage,Death_x000D_
.imm?:no_x000D_
..Spo:JOHN ARUNDELL</t>
        </r>
      </text>
    </comment>
    <comment ref="U8738" authorId="0" shapeId="0" xr:uid="{30A9E210-DFD0-4D5E-A4DA-E320B291AF16}">
      <text>
        <r>
          <rPr>
            <sz val="9"/>
            <color indexed="81"/>
            <rFont val="Tahoma"/>
            <family val="2"/>
          </rPr>
          <t>CATHERINE LUMLEY_x000D_
http://yeinfo.com/family/I09066736.html_x000D_
https://www.google.com/search?q=CATHERINE+LUMLEY+1400+1461+CHIDIOCKE_x000D_
.born:?1400    -          Arundel (Sussex) England_x000D_
.died: 14610602-          Chideock (Dorset) England, age:61y 5m 1d, _x000D_
.bapt: 1785GE_x000D_
.will: 2004MO_x000D_
.obit: 1890OH_x000D_
.bury: 1850IL _x000D_
.wpbt: 1826PA_x000D_
.anc#:  quadruple ancestor_x000D_
citiz:foreign_x000D_
#spos:1_x000D_
#srcs:1_x000D_
#comment:1_x000D_
#events:2_x000D_
#kids:1_x000D_
lived:ENDORSECHIDEOC,ENDORSECHRISTC,ENSUSSEARUNDEL_x000D_
issue:Died before Marriage_x000D_
.recs:Birth,Marriage,Death_x000D_
.imm?:no_x000D_
..Spo:JOHN CHIDIOCKE</t>
        </r>
      </text>
    </comment>
    <comment ref="Q8740" authorId="0" shapeId="0" xr:uid="{7BDBC6E9-BDF9-4F1D-BB30-98D0B6356213}">
      <text>
        <r>
          <rPr>
            <sz val="9"/>
            <color indexed="81"/>
            <rFont val="Tahoma"/>
            <family val="2"/>
          </rPr>
          <t>MARGARET CAPELL CAPELL_x000D_
http://yeinfo.com/family/I09047433.html_x000D_
https://www.google.com/search?q=MARGARET+CAPELL+CAPELL+1507+1530+WARD+WILLIAM_x000D_
.born: 1507    -          Rayne (Essex) England_x000D_
.died: 1530    -1597      Homersfield (Suffolk) England, age:23y 0m 0d, _x000D_
.bapt: 1785GE_x000D_
.will: 2004MO_x000D_
.obit: 1890OH_x000D_
.bury: 1850IL _x000D_
.wpbt: 1826PA_x000D_
.anc#:  quadruple ancestor_x000D_
citiz:foreign_x000D_
#spos:2_x000D_
#srcs:2_x000D_
#comment:1_x000D_
#events:2_x000D_
#kids:5_x000D_
lived:ENESSEXRAYNE,ENSUFFOHOMERSF_x000D_
issue:Died after Age 100,AncFlags between Spouses Mismatched_x000D_
.recs:Birth,Marriage,Death_x000D_
.imm?:no_x000D_
..Spo:ROBERT WARD</t>
        </r>
      </text>
    </comment>
    <comment ref="T8742" authorId="0" shapeId="0" xr:uid="{0E856B84-5615-4AEF-BFA3-23E79CFBF2EC}">
      <text>
        <r>
          <rPr>
            <sz val="9"/>
            <color indexed="81"/>
            <rFont val="Tahoma"/>
            <family val="2"/>
          </rPr>
          <t>JOHN NEWTON_x000D_
http://yeinfo.com/family/I09065885.html_x000D_
https://www.google.com/search?q=JOHN+NEWTON+1425+1488+ISABEL_x000D_
.born: 1425    -          East Harptree (Somerset) England_x000D_
.died: 14880126-          Gwynedd county Wales, age:63y 0m 25d, _x000D_
.bapt: 1785GE_x000D_
.will: 2004MO_x000D_
.obit: 1890OH_x000D_
.bury: 1850IL _x000D_
.wpbt: 1826PA_x000D_
.anc#:  quadruple ancestor_x000D_
citiz:foreign_x000D_
#spos:1_x000D_
#srcs:1_x000D_
#comment:1_x000D_
#events:1_x000D_
#kids:1_x000D_
lived:ENSOMESEASTHPT,WLGWYNE_x000D_
issue:_x000D_
.recs:Birth,Marriage,Death_x000D_
.imm?:no_x000D_
..Spo:ISABEL CHEDDAR</t>
        </r>
      </text>
    </comment>
    <comment ref="S8744" authorId="0" shapeId="0" xr:uid="{13A31119-9630-45AE-A019-88B29D84363F}">
      <text>
        <r>
          <rPr>
            <sz val="9"/>
            <color indexed="81"/>
            <rFont val="Tahoma"/>
            <family val="2"/>
          </rPr>
          <t>THOMAS\RICHARD NEWTON_x000D_
http://yeinfo.com/family/I09065736.html_x000D_
https://www.google.com/search?q=THOMAS\RICHARD+NEWTON+1450+1500+ELINOR_x000D_
.born:?1450    -          East Harptree (Somerset) England_x000D_
.died: 1500    -          East Harptree (Somerset) England, age:50y 0m 0d, _x000D_
.bapt: 1785GE_x000D_
.will: 2004MO_x000D_
.obit: 1890OH_x000D_
.bury: 1850IL _x000D_
.wpbt: 1826PA_x000D_
.anc#:  quadruple ancestor_x000D_
citiz:foreign_x000D_
#spos:1_x000D_
#srcs:1_x000D_
#comment:0_x000D_
#events:1_x000D_
#kids:3_x000D_
lived:ENSOMESEASTHPT_x000D_
issue:_x000D_
.recs:Birth,Marriage,Death_x000D_
.imm?:no_x000D_
..Spo:ELINOR DAUBENEY</t>
        </r>
      </text>
    </comment>
    <comment ref="T8746" authorId="0" shapeId="0" xr:uid="{7BD712D8-6219-49E4-BF1F-9F8D32FB2633}">
      <text>
        <r>
          <rPr>
            <sz val="9"/>
            <color indexed="81"/>
            <rFont val="Tahoma"/>
            <family val="2"/>
          </rPr>
          <t>ISABEL CHEDDAR_x000D_
http://yeinfo.com/family/I09065886.html_x000D_
https://www.google.com/search?q=ISABEL+CHEDDAR+1429+1499+NEWTON_x000D_
.born:c1429    -          East Harptree (Somerset) England_x000D_
.died: 14990514-          Yatton (Somerset) England, age:70y 4m 13d, _x000D_
.bapt: 1785GE_x000D_
.will: 2004MO_x000D_
.obit: 1890OH_x000D_
.bury: 1850IL _x000D_
.wpbt: 1826PA_x000D_
.anc#:  quadruple ancestor_x000D_
citiz:foreign_x000D_
#spos:1_x000D_
#srcs:1_x000D_
#comment:1_x000D_
#events:1_x000D_
#kids:1_x000D_
lived:ENSOMESEASTHPT,ENSOMESYATTON_x000D_
issue:_x000D_
.recs:Birth,Marriage,Death_x000D_
.imm?:no_x000D_
..Spo:JOHN NEWTON</t>
        </r>
      </text>
    </comment>
    <comment ref="R8748" authorId="0" shapeId="0" xr:uid="{A6DCC5FA-9D0B-49A3-ABAC-0929A8C80462}">
      <text>
        <r>
          <rPr>
            <sz val="9"/>
            <color indexed="81"/>
            <rFont val="Tahoma"/>
            <family val="2"/>
          </rPr>
          <t>ISABEL NEWTON_x000D_
http://yeinfo.com/family/I09065602.html_x000D_
https://www.google.com/search?q=ISABEL+NEWTON+1475+1508+CAPELL_x000D_
.born:?1475    -          Romford (Essex) England_x000D_
.died: 1508    -1540      Essex county England, age:33y 0m 0d, _x000D_
.bapt: 1785GE_x000D_
.will: 2004MO_x000D_
.obit: 1890OH_x000D_
.bury: 1850IL _x000D_
.wpbt: 1826PA_x000D_
.anc#:  quadruple ancestor_x000D_
citiz:foreign_x000D_
#spos:1_x000D_
#srcs:2_x000D_
#comment:0_x000D_
#events:1_x000D_
#kids:1_x000D_
lived:ENESSEXROMFORD_x000D_
issue:Born before Parents Married_x000D_
.recs:Birth,Marriage,Death_x000D_
.imm?:no_x000D_
..Spo:GILES CAPELL</t>
        </r>
      </text>
    </comment>
    <comment ref="W8750" authorId="0" shapeId="0" xr:uid="{D6946E5F-DA15-437C-809A-67430A20BF23}">
      <text>
        <r>
          <rPr>
            <sz val="9"/>
            <color indexed="81"/>
            <rFont val="Tahoma"/>
            <family val="2"/>
          </rPr>
          <t>GILES DAUBENEY_x000D_
http://yeinfo.com/family/I09066448.html_x000D_
https://www.google.com/search?q=GILES+DAUBENEY+1337+1388+ELEANOR_x000D_
.born:c1337    -          Shepton Mallet (Somerset) England_x000D_
.died: 13880624-          Barrington (Somerset) England, age:51y 5m 23d, _x000D_
.bapt: 1785GE_x000D_
.will: 2004MO_x000D_
.obit: 1890OH_x000D_
.bury: 1850IL _x000D_
.wpbt: 1826PA_x000D_
.anc#:  quadruple ancestor_x000D_
citiz:foreign_x000D_
#spos:1_x000D_
#srcs:1_x000D_
#comment:1_x000D_
#events:1_x000D_
#kids:1_x000D_
lived:ENSOMESBARRING,ENSOMESSHEPMAL_x000D_
issue:_x000D_
.recs:Birth,Marriage,Death_x000D_
.imm?:no_x000D_
..Spo:ELEANOR WILLINGTON</t>
        </r>
      </text>
    </comment>
    <comment ref="V8752" authorId="0" shapeId="0" xr:uid="{A76ACB5D-34B7-406A-8DB6-9E32AC1FBBFC}">
      <text>
        <r>
          <rPr>
            <sz val="9"/>
            <color indexed="81"/>
            <rFont val="Tahoma"/>
            <family val="2"/>
          </rPr>
          <t>GILES DAUBENEY_x000D_
http://yeinfo.com/family/I09066282.html_x000D_
https://www.google.com/search?q=GILES+DAUBENEY+1371+1403+MARGARET_x000D_
.born:c1371    -          Ingleby (Lincolnshire) England_x000D_
.died: 14030822-          Kempstone (Bedfordshire) England, age:32y 7m 21d, _x000D_
.bapt: 1785GE_x000D_
.will: 2004MO_x000D_
.obit: 1890OH_x000D_
.bury: 1850IL _x000D_
.wpbt: 1826PA_x000D_
.anc#:  quadruple ancestor_x000D_
citiz:foreign_x000D_
#spos:1_x000D_
#srcs:1_x000D_
#comment:0_x000D_
#events:2_x000D_
#kids:1_x000D_
lived:?ENNORFO,ENBEDFOKEMPSTN,ENDEVONKINGSBR,ENLINCSINGLEBY_x000D_
issue:_x000D_
.recs:Birth,Marriage,Death_x000D_
.imm?:no_x000D_
..Spo:MARGARET BEAUCHAMP</t>
        </r>
      </text>
    </comment>
    <comment ref="W8754" authorId="0" shapeId="0" xr:uid="{25F97F22-722C-4605-91F6-A9257F99F79D}">
      <text>
        <r>
          <rPr>
            <sz val="9"/>
            <color indexed="81"/>
            <rFont val="Tahoma"/>
            <family val="2"/>
          </rPr>
          <t>ELEANOR WILLINGTON_x000D_
http://yeinfo.com/family/I09066488.html_x000D_
https://www.google.com/search?q=ELEANOR+WILLINGTON+1337+1400+DAUBENEY_x000D_
.born: 1337    -          Chittlehampton (Devon) England_x000D_
.died: 14000806-          Kempstone (Bedfordshire) England, age:63y 7m 5d, _x000D_
.bapt: 1785GE_x000D_
.will: 2004MO_x000D_
.obit: 1890OH_x000D_
.bury: 1850IL _x000D_
.wpbt: 1826PA_x000D_
.anc#:  quadruple ancestor_x000D_
citiz:foreign_x000D_
#spos:1_x000D_
#srcs:1_x000D_
#comment:1_x000D_
#events:1_x000D_
#kids:1_x000D_
lived:?ENSOMES,ENBEDFOKEMPSTN,ENDEVONCHITTLE_x000D_
issue:_x000D_
.recs:Birth,Marriage,Death_x000D_
.imm?:no_x000D_
..Spo:GILES DAUBENEY</t>
        </r>
      </text>
    </comment>
    <comment ref="U8756" authorId="0" shapeId="0" xr:uid="{323DF88E-BAEE-43F7-BB56-B4FCA0E422E4}">
      <text>
        <r>
          <rPr>
            <sz val="9"/>
            <color indexed="81"/>
            <rFont val="Tahoma"/>
            <family val="2"/>
          </rPr>
          <t>GILES DAUBENEY_x000D_
http://yeinfo.com/family/I09066086.html_x000D_
https://www.google.com/search?q=GILES+DAUBENEY+1393+1446+JOAN+DAUBENEY_x000D_
.born: 13931020-          Kempston (Norfolk) England_x000D_
.died: 14460111-         ?Somerset county England, age:52y 2m 22d, _x000D_
.bapt: 1785GE_x000D_
.will: 2004MO_x000D_
.obit: 1890OH_x000D_
.bury: 1850IL Our Lady Chapel_x000D_
.wpbt: 1826PA_x000D_
.anc#:  quadruple ancestor_x000D_
citiz:foreign_x000D_
#spos:3_x000D_
#srcs:1_x000D_
#comment:0_x000D_
#events:5_x000D_
#kids:1_x000D_
lived:?ENBEDFO,ENNORFOKEMPSTO,ENSOMESS.PETHE_x000D_
issue:_x000D_
.recs:Birth,Marriage,Death,Interment/Burial_x000D_
.imm?:no_x000D_
..Spo:JOAN DARCY</t>
        </r>
      </text>
    </comment>
    <comment ref="W8758" authorId="0" shapeId="0" xr:uid="{10D31CD8-6C24-4458-9398-ECAE78C7FEA9}">
      <text>
        <r>
          <rPr>
            <sz val="9"/>
            <color indexed="81"/>
            <rFont val="Tahoma"/>
            <family val="2"/>
          </rPr>
          <t>JOHN BEAUCHAMP_x000D_
http://yeinfo.com/family/I09066442.html_x000D_
https://www.google.com/search?q=JOHN+BEAUCHAMP+1330+1389+ELIZABETH+Mowbray_x000D_
.born: 13300120-          Powick (Worcestershire) England_x000D_
.died: 13890214-          Bedford (Bedfordshire) England, age:59y 0m 25d, _x000D_
.bapt: 1785GE_x000D_
.will: 2004MO_x000D_
.obit: 1890OH_x000D_
.bury: 1850IL _x000D_
.wpbt: 1826PA_x000D_
.anc#:  quadruple ancestor_x000D_
citiz:foreign_x000D_
#spos:2_x000D_
#srcs:1_x000D_
#comment:1_x000D_
#events:2_x000D_
#kids:1_x000D_
lived:ENBEDFOBEDFORD,ENWORCSPOWICK_x000D_
issue:_x000D_
.recs:Birth,Marriage,Death_x000D_
.imm?:no_x000D_
..Spo:ELIZABETH ST.JOHN</t>
        </r>
      </text>
    </comment>
    <comment ref="V8760" authorId="0" shapeId="0" xr:uid="{5F23BB6F-3A73-4D1F-A050-B2ED6D99D6FB}">
      <text>
        <r>
          <rPr>
            <sz val="9"/>
            <color indexed="81"/>
            <rFont val="Tahoma"/>
            <family val="2"/>
          </rPr>
          <t>MARGARET BEAUCHAMP_x000D_
http://yeinfo.com/family/I09066279.html_x000D_
https://www.google.com/search?q=MARGARET+BEAUCHAMP+1374+1420+DAUBENEY_x000D_
.born:c1374    -          Norfolk county England_x000D_
.died: 14200630-          Kempston (Norfolk) England, age:46y 5m 29d, _x000D_
.bapt: 1785GE_x000D_
.will: 2004MO_x000D_
.obit: 1890OH_x000D_
.bury: 1850IL _x000D_
.wpbt: 1826PA_x000D_
.anc#:  quadruple ancestor_x000D_
citiz:foreign_x000D_
#spos:1_x000D_
#srcs:1_x000D_
#comment:0_x000D_
#events:1_x000D_
#kids:1_x000D_
lived:ENNORFOKEMPSTO_x000D_
issue:_x000D_
.recs:Birth,Marriage,Death_x000D_
.imm?:no_x000D_
..Spo:GILES DAUBENEY</t>
        </r>
      </text>
    </comment>
    <comment ref="W8762" authorId="0" shapeId="0" xr:uid="{E986C7FA-5206-4124-B42E-8856ADAC4A09}">
      <text>
        <r>
          <rPr>
            <sz val="9"/>
            <color indexed="81"/>
            <rFont val="Tahoma"/>
            <family val="2"/>
          </rPr>
          <t>ELIZABETH ST.JOHN_x000D_
http://yeinfo.com/family/I09066478.html_x000D_
https://www.google.com/search?q=ELIZABETH+ST.JOHN+1331+1411+BEAUCHAMP_x000D_
.born: 1331    -          England_x000D_
.died: 1411    -          England, age:80y 0m 0d, _x000D_
.bapt: 1785GE_x000D_
.will: 2004MO_x000D_
.obit: 1890OH_x000D_
.bury: 1850IL _x000D_
.wpbt: 1826PA_x000D_
.anc#:  quadruple ancestor_x000D_
citiz:foreign_x000D_
#spos:1_x000D_
#srcs:1_x000D_
#comment:1_x000D_
#events:1_x000D_
#kids:1_x000D_
lived:EN_x000D_
issue:_x000D_
.recs:Birth,Marriage,Death_x000D_
.imm?:no_x000D_
..Spo:JOHN BEAUCHAMP</t>
        </r>
      </text>
    </comment>
    <comment ref="T8764" authorId="0" shapeId="0" xr:uid="{FB5F2414-4666-43FD-939C-EA56C088C8E0}">
      <text>
        <r>
          <rPr>
            <sz val="9"/>
            <color indexed="81"/>
            <rFont val="Tahoma"/>
            <family val="2"/>
          </rPr>
          <t>WILLIAM DAUBENEY_x000D_
http://yeinfo.com/family/I09065887.html_x000D_
https://www.google.com/search?q=WILLIAM+DAUBENEY+1424+1461+ALICE_x000D_
.born: 14240611-          Ingleby (Lincolnshire) England_x000D_
.died: 14610102-          South Petherton (Somerset) England, age:36y 6m 22d, _x000D_
.bapt: 1785GE_x000D_
.will: 2004MO_x000D_
.obit: 1890OH_x000D_
.bury: 1850IL _x000D_
.wpbt: 1826PA_x000D_
.anc#:  quadruple ancestor_x000D_
citiz:foreign_x000D_
#spos:1_x000D_
#srcs:1_x000D_
#comment:1_x000D_
#events:1_x000D_
#kids:1_x000D_
lived:ENLINCSINGLEBY,ENSOMESS.PETHE_x000D_
issue:_x000D_
.recs:Birth,Marriage,Death_x000D_
.imm?:no_x000D_
..Spo:ALICE STOURTON</t>
        </r>
      </text>
    </comment>
    <comment ref="U8766" authorId="0" shapeId="0" xr:uid="{8C11C227-7A0F-44AC-BE7A-6C07AAE96419}">
      <text>
        <r>
          <rPr>
            <sz val="9"/>
            <color indexed="81"/>
            <rFont val="Tahoma"/>
            <family val="2"/>
          </rPr>
          <t>JOAN DARCY_x000D_
http://yeinfo.com/family/I09066085.html_x000D_
https://www.google.com/search?q=JOAN+DARCY+1398+1424+DAUBENEY_x000D_
.born: 1398    -          Knaith (Lincolnshire) England_x000D_
.died: 1424    -1488      South Petherton (Somerset) England, age:26y 0m 0d, _x000D_
.bapt: 1785GE_x000D_
.will: 2004MO_x000D_
.obit: 1890OH_x000D_
.bury: 1850IL _x000D_
.wpbt: 1826PA_x000D_
.anc#:  quadruple ancestor_x000D_
citiz:foreign_x000D_
#spos:1_x000D_
#srcs:1_x000D_
#comment:0_x000D_
#events:2_x000D_
#kids:1_x000D_
lived:?ENBEDFO,ENLINCSKNAITH,ENSOMESS.PETHE_x000D_
issue:_x000D_
.recs:Birth,Marriage,Death_x000D_
.imm?:no_x000D_
..Spo:GILES DAUBENEY</t>
        </r>
      </text>
    </comment>
    <comment ref="S8768" authorId="0" shapeId="0" xr:uid="{D0847BF9-2AB8-48B6-AE40-2E4818D4E892}">
      <text>
        <r>
          <rPr>
            <sz val="9"/>
            <color indexed="81"/>
            <rFont val="Tahoma"/>
            <family val="2"/>
          </rPr>
          <t>ELINOR DAUBENEY_x000D_
http://yeinfo.com/family/I09065737.html_x000D_
https://www.google.com/search?q=ELINOR+DAUBENEY+1455+1482+NEWTON_x000D_
.born: 1455    -          Somerset county England_x000D_
.died: 1482    -          Somerset county England, age:27y 0m 0d, _x000D_
.bapt: 1785GE_x000D_
.will: 2004MO_x000D_
.obit: 1890OH_x000D_
.bury: 1850IL _x000D_
.wpbt: 1826PA_x000D_
.anc#:  quadruple ancestor_x000D_
citiz:foreign_x000D_
#spos:1_x000D_
#srcs:1_x000D_
#comment:0_x000D_
#events:1_x000D_
#kids:3_x000D_
lived:ENSOMES_x000D_
issue:Died before Birth_x000D_
.recs:Birth,Marriage,Death_x000D_
.imm?:no_x000D_
..Spo:THOMAS\RICHARD NEWTON</t>
        </r>
      </text>
    </comment>
    <comment ref="T8770" authorId="0" shapeId="0" xr:uid="{C1FF3849-C454-467C-82B2-029536A34703}">
      <text>
        <r>
          <rPr>
            <sz val="9"/>
            <color indexed="81"/>
            <rFont val="Tahoma"/>
            <family val="2"/>
          </rPr>
          <t>ALICE STOURTON_x000D_
http://yeinfo.com/family/I09065888.html_x000D_
https://www.google.com/search?q=ALICE+STOURTON+1432+1491+DAUBENEY+Robert_x000D_
.born:c1432    -          Yeovil (Somerset) England_x000D_
.died: 1491    -          Preston-next-Faversham (Kent) England, age:59y 0m 0d, _x000D_
.bapt: 1785GE_x000D_
.will: 2004MO_x000D_
.obit: 1890OH_x000D_
.bury: 1850IL _x000D_
.wpbt: 1826PA_x000D_
.anc#:  quadruple ancestor_x000D_
citiz:foreign_x000D_
#spos:2_x000D_
#srcs:1_x000D_
#comment:1_x000D_
#events:2_x000D_
#kids:1_x000D_
lived:ENKENT PRESTNF,ENSOMESYEOVIL_x000D_
issue:_x000D_
.recs:Birth,Marriage,Death_x000D_
.imm?:no_x000D_
..Spo:WILLIAM DAUBENEY</t>
        </r>
      </text>
    </comment>
    <comment ref="N8772" authorId="0" shapeId="0" xr:uid="{FDC6594C-CD7A-4B22-A66A-DE6F5402E442}">
      <text>
        <r>
          <rPr>
            <sz val="9"/>
            <color indexed="81"/>
            <rFont val="Tahoma"/>
            <family val="2"/>
          </rPr>
          <t>REBECCA WARD_x000D_
http://yeinfo.com/family/I09005929.html_x000D_
https://www.google.com/search?q=REBECCA+WARD+1595+1678+ALLEN_x000D_
.born: 1595    -          _x000D_
.died: 16780807-          Charlestown (Suffolk) Massachusetts, age:83y 7m 6d, _x000D_
.bapt: 1785GE_x000D_
.will: 2004MO_x000D_
.obit: 1890OH_x000D_
.bury: 1850IL _x000D_
.wpbt: 1826PA_x000D_
.anc#:double ancestor_x000D_
citiz:US born_x000D_
#spos:1_x000D_
#srcs:8_x000D_
#comment:0_x000D_
#events:1_x000D_
#kids:14_x000D_
lived:EN,MASUFFOCHAZTWN_x000D_
issue:Born before Parents Married_x000D_
.recs:Birth,Marriage,Death_x000D_
.imm?:no_x000D_
..Spo:WALTER ALLEN</t>
        </r>
      </text>
    </comment>
    <comment ref="Q8774" authorId="0" shapeId="0" xr:uid="{13E81662-DF7E-4EDC-B98E-C95B06319CD4}">
      <text>
        <r>
          <rPr>
            <sz val="9"/>
            <color indexed="81"/>
            <rFont val="Tahoma"/>
            <family val="2"/>
          </rPr>
          <t>GEOFFREY LUKYN_x000D_
http://yeinfo.com/family/I09047436.html_x000D_
https://www.google.com/search?q=GEOFFREY+LUKYN+1498+1518+MARGARET_x000D_
.born:?1498    -         ?Essex county England_x000D_
.died: 1518    -1588      Mashbury (Essex) England, age:20y 0m 0d, _x000D_
.bapt: 1785GE_x000D_
.will: 2004MO_x000D_
.obit: 1890OH_x000D_
.bury: 1850IL _x000D_
.wpbt: 1826PA_x000D_
.anc#:double ancestor_x000D_
citiz:foreign_x000D_
#spos:1_x000D_
#srcs:1_x000D_
#comment:0_x000D_
#events:1_x000D_
#kids:1_x000D_
lived:?EN,ENESSEXMASHBUR_x000D_
issue:_x000D_
.recs:Birth,Marriage,Death_x000D_
.imm?:no_x000D_
..Spo:MARGARET LUKYN</t>
        </r>
      </text>
    </comment>
    <comment ref="P8776" authorId="0" shapeId="0" xr:uid="{DECFDCC9-D075-42DD-BB53-5F27EB4D5D72}">
      <text>
        <r>
          <rPr>
            <sz val="9"/>
            <color indexed="81"/>
            <rFont val="Tahoma"/>
            <family val="2"/>
          </rPr>
          <t>WILLIAM LUKYN_x000D_
http://yeinfo.com/family/I09023718.html_x000D_
https://www.google.com/search?q=WILLIAM+LUKYN+1518+1575+THOMASINE_x000D_
.born:a1518    -          Mashbury (Essex) England_x000D_
.died: 15750610-          Great Baddow (Essex) England, age:57y 5m 9d, _x000D_
.bapt: 1785GE_x000D_
.will: 2004MO_x000D_
.obit: 1890OH_x000D_
.bury: 1850IL _x000D_
.wpbt: 1826PA_x000D_
.anc#:double ancestor_x000D_
citiz:foreign_x000D_
#spos:1_x000D_
#srcs:1_x000D_
#comment:0_x000D_
#events:1_x000D_
#kids:2_x000D_
lived:ENESSEXGREATBA,ENESSEXMASHBUR_x000D_
issue:_x000D_
.recs:Birth,Marriage,Death_x000D_
.imm?:no_x000D_
..Spo:THOMASINE WALTER</t>
        </r>
      </text>
    </comment>
    <comment ref="Q8778" authorId="0" shapeId="0" xr:uid="{59CC875A-9C35-485D-A888-391DB57F7370}">
      <text>
        <r>
          <rPr>
            <sz val="9"/>
            <color indexed="81"/>
            <rFont val="Tahoma"/>
            <family val="2"/>
          </rPr>
          <t>Mrs. MARGARET LUKYN_x000D_
http://yeinfo.com/family/I09047437.html_x000D_
https://www.google.com/search?q=MARGARET+LUKYN+1498+1518+LUKYN_x000D_
.born:?1498    -         ?Essex county England_x000D_
.died: 1518    -1588     ?Essex county England, age:20y 0m 0d, _x000D_
.bapt: 1785GE_x000D_
.will: 2004MO_x000D_
.obit: 1890OH_x000D_
.bury: 1850IL _x000D_
.wpbt: 1826PA_x000D_
.anc#:double ancestor_x000D_
citiz:foreign_x000D_
#spos:1_x000D_
#srcs:1_x000D_
#comment:0_x000D_
#events:1_x000D_
#kids:1_x000D_
lived:?ENESSEX_x000D_
issue:_x000D_
.recs:Birth,Marriage,Death_x000D_
.imm?:no_x000D_
..Spo:GEOFFREY LUKYN</t>
        </r>
      </text>
    </comment>
    <comment ref="O8780" authorId="0" shapeId="0" xr:uid="{6256A68F-28F8-4E31-987A-90D12967FB7D}">
      <text>
        <r>
          <rPr>
            <sz val="9"/>
            <color indexed="81"/>
            <rFont val="Tahoma"/>
            <family val="2"/>
          </rPr>
          <t>JUDITH LUKYN_x000D_
http://yeinfo.com/family/I09011859.html_x000D_
https://www.google.com/search?q=JUDITH+LUKYN+1567+1626+WARD_x000D_
.born: 1567    -          _x000D_
.died: 16260322-          , age:59y 2m 21d, _x000D_
.bapt: 1785GE_x000D_
.will: 2004MO_x000D_
.obit: 1890OH_x000D_
.bury: 1850IL _x000D_
.wpbt: 1826PA_x000D_
.anc#:double ancestor_x000D_
citiz:US born_x000D_
#spos:1_x000D_
#srcs:2_x000D_
#comment:0_x000D_
#events:1_x000D_
#kids:14_x000D_
lived:?EN,ENSUFFO_x000D_
issue:_x000D_
.recs:Birth,Marriage,Death_x000D_
.imm?:no_x000D_
..Spo:EDWARD WARD</t>
        </r>
      </text>
    </comment>
    <comment ref="Q8782" authorId="0" shapeId="0" xr:uid="{D27150DF-6717-4A7C-AC55-000049A2468D}">
      <text>
        <r>
          <rPr>
            <sz val="9"/>
            <color indexed="81"/>
            <rFont val="Tahoma"/>
            <family val="2"/>
          </rPr>
          <t>WILLIAM WALTER_x000D_
http://yeinfo.com/family/I09047438.html_x000D_
https://www.google.com/search?q=WILLIAM+WALTER+1495+1584+ISABEL_x000D_
.born:?1495    -          Writtle (Essex) England_x000D_
.died: 15840421-          Roxwell (Essex) England, age:89y 3m 20d, _x000D_
.bapt: 1785GE_x000D_
.will: 2004MO_x000D_
.obit: 1890OH_x000D_
.bury: 1850IL _x000D_
.wpbt: 1826PA_x000D_
.anc#:double ancestor_x000D_
citiz:foreign_x000D_
#spos:1_x000D_
#srcs:1_x000D_
#comment:0_x000D_
#events:1_x000D_
#kids:1_x000D_
lived:ENESSEXROXWELL,ENESSEXWRITTLE_x000D_
issue:_x000D_
.recs:Birth,Marriage,Death_x000D_
.imm?:no_x000D_
..Spo:ISABEL DENTON</t>
        </r>
      </text>
    </comment>
    <comment ref="P8784" authorId="0" shapeId="0" xr:uid="{257EE5DE-B742-4C3B-8974-5D932F854C7B}">
      <text>
        <r>
          <rPr>
            <sz val="9"/>
            <color indexed="81"/>
            <rFont val="Tahoma"/>
            <family val="2"/>
          </rPr>
          <t>THOMASINE WALTER_x000D_
http://yeinfo.com/family/I09023719.html_x000D_
https://www.google.com/search?q=THOMASINE+WALTER+1534+1581+LUKYN+Edward_x000D_
.born:a1534    -          Roxwell (Essex) England_x000D_
.died: 15810915-          Great Baddow (Essex) England, age:47y 8m 14d, _x000D_
.bapt: 1785GE_x000D_
.will: 2004MO_x000D_
.obit: 1890OH_x000D_
.bury: 1850IL _x000D_
.wpbt: 1826PA_x000D_
.anc#:double ancestor_x000D_
citiz:foreign_x000D_
#spos:2_x000D_
#srcs:1_x000D_
#comment:0_x000D_
#events:2_x000D_
#kids:2_x000D_
lived:ENESSEXGREATBA,ENESSEXROXWELL_x000D_
issue:_x000D_
.recs:Birth,Marriage,Death_x000D_
.imm?:no_x000D_
..Spo:WILLIAM LUKYN</t>
        </r>
      </text>
    </comment>
    <comment ref="U8786" authorId="0" shapeId="0" xr:uid="{295ECFA7-94BB-4A29-AE26-526F0DC65667}">
      <text>
        <r>
          <rPr>
            <sz val="9"/>
            <color indexed="81"/>
            <rFont val="Tahoma"/>
            <family val="2"/>
          </rPr>
          <t>THOMAS DENTON_x000D_
http://yeinfo.com/family/I09066073.html_x000D_
https://www.google.com/search?q=THOMAS+DENTON+1401+1427+AGNES_x000D_
.born: 1401    -          Baddesley Clinton (Warwickshire) England_x000D_
.died: 1427    -1491      , age:26y 0m 0d, _x000D_
.bapt: 1785GE_x000D_
.will: 2004MO_x000D_
.obit: 1890OH_x000D_
.bury: 1850IL _x000D_
.wpbt: 1826PA_x000D_
.anc#:double ancestor_x000D_
citiz:foreign_x000D_
#spos:1_x000D_
#srcs:1_x000D_
#comment:0_x000D_
#events:1_x000D_
#kids:1_x000D_
lived:ENWARWEBADDESL_x000D_
issue:_x000D_
.recs:Birth,Marriage,Death_x000D_
.imm?:no_x000D_
..Spo:AGNES BALDINGTON</t>
        </r>
      </text>
    </comment>
    <comment ref="T8788" authorId="0" shapeId="0" xr:uid="{8D8ABFCC-9295-467F-851B-A62B527BFB53}">
      <text>
        <r>
          <rPr>
            <sz val="9"/>
            <color indexed="81"/>
            <rFont val="Tahoma"/>
            <family val="2"/>
          </rPr>
          <t>THOMAS DENTON_x000D_
http://yeinfo.com/family/I09065889.html_x000D_
https://www.google.com/search?q=THOMAS+DENTON+1427+1453+ALISON_x000D_
.born: 1427    -          Baddesley Clinton (Warwickshire) England_x000D_
.died: 1453    -          , age:26y 0m 0d, _x000D_
.bapt: 1785GE_x000D_
.will: 2004MO_x000D_
.obit: 1890OH_x000D_
.bury: 1850IL _x000D_
.wpbt: 1826PA_x000D_
.anc#:double ancestor_x000D_
citiz:foreign_x000D_
#spos:1_x000D_
#srcs:2_x000D_
#comment:1_x000D_
#events:1_x000D_
#kids:1_x000D_
lived:ENWARWEBADDESL_x000D_
issue:_x000D_
.recs:Birth,Marriage,Death_x000D_
.imm?:no_x000D_
..Spo:ALISON DAUNCY</t>
        </r>
      </text>
    </comment>
    <comment ref="U8790" authorId="0" shapeId="0" xr:uid="{1D6199B6-9356-4B8A-9BB2-FE5A970C9E26}">
      <text>
        <r>
          <rPr>
            <sz val="9"/>
            <color indexed="81"/>
            <rFont val="Tahoma"/>
            <family val="2"/>
          </rPr>
          <t>AGNES BALDINGTON_x000D_
http://yeinfo.com/family/I09066130.html_x000D_
https://www.google.com/search?q=AGNES+BALDINGTON+1403+1427+DENTON_x000D_
.born: 1403    -          Baddesley Clinton (Warwickshire) England_x000D_
.died: 1427    -1493      , age:24y 0m 0d, _x000D_
.bapt: 1785GE_x000D_
.will: 2004MO_x000D_
.obit: 1890OH_x000D_
.bury: 1850IL _x000D_
.wpbt: 1826PA_x000D_
.anc#:double ancestor_x000D_
citiz:foreign_x000D_
#spos:1_x000D_
#srcs:1_x000D_
#comment:0_x000D_
#events:1_x000D_
#kids:1_x000D_
lived:ENWARWEBADDESL_x000D_
issue:_x000D_
.recs:Birth,Marriage,Death_x000D_
.imm?:no_x000D_
..Spo:THOMAS DENTON</t>
        </r>
      </text>
    </comment>
    <comment ref="S8792" authorId="0" shapeId="0" xr:uid="{125A1A60-1106-4BF0-A41C-5600535B665C}">
      <text>
        <r>
          <rPr>
            <sz val="9"/>
            <color indexed="81"/>
            <rFont val="Tahoma"/>
            <family val="2"/>
          </rPr>
          <t>JOHN DENTON_x000D_
http://yeinfo.com/family/I09065738.html_x000D_
https://www.google.com/search?q=JOHN+DENTON+1445+1497+ISABELL_x000D_
.born:c1445    -          Baddesley Clinton (Warwickshire) England_x000D_
.died: 1497    -          , age:52y 0m 0d, _x000D_
.bapt: 1785GE_x000D_
.will: 2004MO_x000D_
.obit: 1890OH_x000D_
.bury: 1850IL _x000D_
.wpbt: 1826PA_x000D_
.anc#:double ancestor_x000D_
citiz:foreign_x000D_
#spos:1_x000D_
#srcs:2_x000D_
#comment:0_x000D_
#events:1_x000D_
#kids:2_x000D_
lived:ENWARWEBADDESL_x000D_
issue:Born before Parents Married,Died after Age 100_x000D_
.recs:Birth,Marriage,Death_x000D_
.imm?:no_x000D_
..Spo:ISABELL BROME</t>
        </r>
      </text>
    </comment>
    <comment ref="T8794" authorId="0" shapeId="0" xr:uid="{FAECBFD7-F6B0-4B1C-976F-A42DD5075543}">
      <text>
        <r>
          <rPr>
            <sz val="9"/>
            <color indexed="81"/>
            <rFont val="Tahoma"/>
            <family val="2"/>
          </rPr>
          <t>ALISON DAUNCY_x000D_
http://yeinfo.com/family/I09065890.html_x000D_
https://www.google.com/search?q=ALISON+DAUNCY+1427+1453+DENTON_x000D_
.born:c1427    -          Baddesley Clinton (Warwickshire) England_x000D_
.died: 1453    -          , age:26y 0m 0d, _x000D_
.bapt: 1785GE_x000D_
.will: 2004MO_x000D_
.obit: 1890OH_x000D_
.bury: 1850IL _x000D_
.wpbt: 1826PA_x000D_
.anc#:double ancestor_x000D_
citiz:foreign_x000D_
#spos:1_x000D_
#srcs:2_x000D_
#comment:1_x000D_
#events:1_x000D_
#kids:1_x000D_
lived:ENWARWEBADDESL_x000D_
issue:_x000D_
.recs:Birth,Marriage,Death_x000D_
.imm?:no_x000D_
..Spo:THOMAS DENTON</t>
        </r>
      </text>
    </comment>
    <comment ref="R8796" authorId="0" shapeId="0" xr:uid="{631B20AD-D975-4752-8F51-80336972715C}">
      <text>
        <r>
          <rPr>
            <sz val="9"/>
            <color indexed="81"/>
            <rFont val="Tahoma"/>
            <family val="2"/>
          </rPr>
          <t>THOMAS DENTON_x000D_
http://yeinfo.com/family/I09065603.html_x000D_
https://www.google.com/search?q=THOMAS+DENTON+1464+1560+JANE_x000D_
.born: 1464    -          Buckinghamshire county England_x000D_
.died: 1560    -          Caversfield (Buckinghamshire) England, age:96y 0m 0d, _x000D_
.bapt: 1785GE_x000D_
.will: 2004MO_x000D_
.obit: 1890OH_x000D_
.bury: 1850IL _x000D_
.wpbt: 1826PA_x000D_
.anc#:double ancestor_x000D_
citiz:foreign_x000D_
#spos:1_x000D_
#srcs:1_x000D_
#comment:0_x000D_
#events:1_x000D_
#kids:4_x000D_
lived:ENBUCKECAVERSF_x000D_
issue:_x000D_
.recs:Birth,Marriage,Death_x000D_
.imm?:no_x000D_
..Spo:JANE WEBBE</t>
        </r>
      </text>
    </comment>
    <comment ref="T8798" authorId="0" shapeId="0" xr:uid="{F9A17A40-DF26-439D-9A54-5729D72C5A52}">
      <text>
        <r>
          <rPr>
            <sz val="9"/>
            <color indexed="81"/>
            <rFont val="Tahoma"/>
            <family val="2"/>
          </rPr>
          <t>JOHN BROME_x000D_
http://yeinfo.com/family/I09065891.html_x000D_
https://www.google.com/search?q=JOHN+BROME+1410+1468+BEATRIX_x000D_
.born: 1410    -          Baddesley Clinton (Warwickshire) England_x000D_
.died: 14681105-          Baddesley Clinton (Warwickshire) England, age:58y 10m 4d, _x000D_
.bapt: 1785GE_x000D_
.will: 2004MO_x000D_
.obit: 1890OH_x000D_
.bury: 1850IL _x000D_
.wpbt: 1826PA_x000D_
.anc#:double ancestor_x000D_
citiz:foreign_x000D_
#spos:1_x000D_
#srcs:1_x000D_
#comment:1_x000D_
#events:1_x000D_
#kids:1_x000D_
lived:ENWARWEBADDESL_x000D_
issue:_x000D_
.recs:Birth,Marriage,Death_x000D_
.imm?:no_x000D_
..Spo:BEATRIX SHIRLEY</t>
        </r>
      </text>
    </comment>
    <comment ref="S8800" authorId="0" shapeId="0" xr:uid="{C0B0BB06-E3C7-4F1D-AEC1-F0AC68715400}">
      <text>
        <r>
          <rPr>
            <sz val="9"/>
            <color indexed="81"/>
            <rFont val="Tahoma"/>
            <family val="2"/>
          </rPr>
          <t>ISABELL BROME_x000D_
http://yeinfo.com/family/I09065739.html_x000D_
https://www.google.com/search?q=ISABELL+BROME+1436+1470+DENTON_x000D_
.born:c1436    -          Baddesley Clinton (Warwickshire) England_x000D_
.died: 1470    -          , age:34y 0m 0d, _x000D_
.bapt: 1785GE_x000D_
.will: 2004MO_x000D_
.obit: 1890OH_x000D_
.bury: 1850IL _x000D_
.wpbt: 1826PA_x000D_
.anc#:double ancestor_x000D_
citiz:foreign_x000D_
#spos:1_x000D_
#srcs:2_x000D_
#comment:0_x000D_
#events:1_x000D_
#kids:2_x000D_
lived:ENWARWEBADDESL_x000D_
issue:_x000D_
.recs:Birth,Marriage,Death_x000D_
.imm?:no_x000D_
..Spo:JOHN DENTON</t>
        </r>
      </text>
    </comment>
    <comment ref="T8802" authorId="0" shapeId="0" xr:uid="{8B51B9D0-9B62-44DF-9B99-7295327D658E}">
      <text>
        <r>
          <rPr>
            <sz val="9"/>
            <color indexed="81"/>
            <rFont val="Tahoma"/>
            <family val="2"/>
          </rPr>
          <t>BEATRIX SHIRLEY_x000D_
http://yeinfo.com/family/I09065892.html_x000D_
https://www.google.com/search?q=BEATRIX+SHIRLEY+1414+1483+BROME_x000D_
.born: 1414    -          Shirley (Derbyshire) England_x000D_
.died: 14830710-          Baddesley Clinton (Warwickshire) England, age:69y 6m 9d, _x000D_
.bapt: 1785GE_x000D_
.will: 2004MO_x000D_
.obit: 1890OH_x000D_
.bury: 1850IL _x000D_
.wpbt: 1826PA_x000D_
.anc#:double ancestor_x000D_
citiz:foreign_x000D_
#spos:1_x000D_
#srcs:1_x000D_
#comment:1_x000D_
#events:1_x000D_
#kids:1_x000D_
lived:ENDERBSSHIRLEY,ENWARWEBADDESL_x000D_
issue:_x000D_
.recs:Birth,Marriage,Death_x000D_
.imm?:no_x000D_
..Spo:JOHN BROME</t>
        </r>
      </text>
    </comment>
    <comment ref="Q8804" authorId="0" shapeId="0" xr:uid="{D2AAA60D-E899-4372-8B99-BE3F6E322EFA}">
      <text>
        <r>
          <rPr>
            <sz val="9"/>
            <color indexed="81"/>
            <rFont val="Tahoma"/>
            <family val="2"/>
          </rPr>
          <t>ISABEL DENTON_x000D_
http://yeinfo.com/family/I09047439.html_x000D_
https://www.google.com/search?q=ISABEL+DENTON+1490+1580+WALTER+Edward_x000D_
.born: 1490    -          Caversfield (Buckinghamshire) England_x000D_
.died: 15801218-          Roxwell (Essex) England, age:90y 11m 17d, _x000D_
.bapt: 1785GE_x000D_
.will: 2004MO_x000D_
.obit: 1890OH_x000D_
.bury: 1850IL _x000D_
.wpbt: 1826PA_x000D_
.anc#:double ancestor_x000D_
citiz:foreign_x000D_
#spos:2_x000D_
#srcs:1_x000D_
#comment:0_x000D_
#events:2_x000D_
#kids:1_x000D_
lived:ENBUCKECAVERSF,ENESSEXROXWELL_x000D_
issue:_x000D_
.recs:Birth,Marriage,Death_x000D_
.imm?:no_x000D_
..Spo:WILLIAM WALTER</t>
        </r>
      </text>
    </comment>
    <comment ref="R8806" authorId="0" shapeId="0" xr:uid="{4370AFE3-5DD2-434D-A8B9-B9AD33F0E326}">
      <text>
        <r>
          <rPr>
            <sz val="9"/>
            <color indexed="81"/>
            <rFont val="Tahoma"/>
            <family val="2"/>
          </rPr>
          <t>JANE WEBBE_x000D_
http://yeinfo.com/family/I09065604.html_x000D_
https://www.google.com/search?q=JANE+WEBBE+1468+1560+DENTON_x000D_
.born: 1468    -          Caversfield (Buckinghamshire) England_x000D_
.died: 1560    -          Wotton Underwood (Buckinghamshire) England, age:92y 0m 0d, _x000D_
.bapt: 1785GE_x000D_
.will: 2004MO_x000D_
.obit: 1890OH_x000D_
.bury: 1850IL _x000D_
.wpbt: 1826PA_x000D_
.anc#:double ancestor_x000D_
citiz:foreign_x000D_
#spos:1_x000D_
#srcs:1_x000D_
#comment:0_x000D_
#events:1_x000D_
#kids:4_x000D_
lived:ENBUCKECAVERSF,ENBUCKEWOTTONU_x000D_
issue:_x000D_
.recs:Birth,Marriage,Death_x000D_
.imm?:no_x000D_
..Spo:THOMAS DENTON</t>
        </r>
      </text>
    </comment>
    <comment ref="L8808" authorId="0" shapeId="0" xr:uid="{C3D1D20E-8B24-4AD5-B0E5-20DCB032999A}">
      <text>
        <r>
          <rPr>
            <sz val="9"/>
            <color indexed="81"/>
            <rFont val="Tahoma"/>
            <family val="2"/>
          </rPr>
          <t>ELNATHAN ALLEN_x000D_
http://yeinfo.com/family/I09001482.html_x000D_
https://www.google.com/search?q=ELNATHAN+ALLEN+1666+1734+MARY\MERCY_x000D_
.born: 16661107-          Lancaster (Worcester) Massachusetts_x000D_
.died: 1734    -          Shrewsbury (Worcester) Massachusetts, age:67y 1m 25d, falling from a load of hay_x000D_
.bapt: 1785GE_x000D_
.will: 2004MO_x000D_
.obit: 1890OH_x000D_
.bury: 1850IL _x000D_
.wpbt: 1826PA_x000D_
.anc#:double ancestor_x000D_
citiz:US born_x000D_
#spos:1_x000D_
#srcs:8_x000D_
#comment:0_x000D_
#events:6_x000D_
#kids:5_x000D_
lived:MAMIDDLHOPKINT,MAMIDDLSUDBURY,MAMIDDLWATERTO,MAWORCELANCAST,MAWORCESHREWSB_x000D_
issue:_x000D_
.recs:Birth,Marriage,Death,Church_x000D_
.imm?:no_x000D_
..Spo:MARY\MERCY RICE</t>
        </r>
      </text>
    </comment>
    <comment ref="R8810" authorId="0" shapeId="0" xr:uid="{F6E11BAD-9851-42D6-9FA2-F12F7B170D57}">
      <text>
        <r>
          <rPr>
            <sz val="9"/>
            <color indexed="81"/>
            <rFont val="Tahoma"/>
            <family val="2"/>
          </rPr>
          <t>NICHOLAS WILDER_x000D_
http://yeinfo.com/family/I09065605.html_x000D_
https://www.google.com/search?q=NICHOLAS+WILDER+1460+1542+ISABEL\ELIZABETH_x000D_
.born: 1460    -          France_x000D_
.died: 1542    -          Sulham (Berkshire) England, age:82y 0m 0d, _x000D_
.bapt: 1785GE_x000D_
.will: 2004MO_x000D_
.obit: 1890OH_x000D_
.bury: 1850IL _x000D_
.wpbt: 1826PA_x000D_
.anc#:double ancestor_x000D_
citiz:foreign_x000D_
#spos:1_x000D_
#srcs:6_x000D_
#comment:0_x000D_
#events:6_x000D_
#kids:2_x000D_
lived:ENBERKISULHAM,FR_x000D_
issue:_x000D_
.recs:Birth,Military,Marriage,Death,Land Transaction_x000D_
.imm?:no_x000D_
..Spo:ISABEL\ELIZABETH WILDER</t>
        </r>
      </text>
    </comment>
    <comment ref="Q8812" authorId="0" shapeId="0" xr:uid="{706DA686-2700-49C0-BAEB-B178BC10B28E}">
      <text>
        <r>
          <rPr>
            <sz val="9"/>
            <color indexed="81"/>
            <rFont val="Tahoma"/>
            <family val="2"/>
          </rPr>
          <t>JOHN WILDER_x000D_
http://yeinfo.com/family/I09047440.html_x000D_
https://www.google.com/search?q=JOHN+WILDER+1500+1545+AGNES_x000D_
.born:?1500    -          England_x000D_
.died: 1545    -1590     ?Berkshire county England, age:45y 0m 0d, _x000D_
.bapt: 1785GE_x000D_
.will: 2004MO_x000D_
.obit: 1890OH_x000D_
.bury: 1850IL _x000D_
.wpbt: 1826PA_x000D_
.anc#:double ancestor_x000D_
citiz:foreign_x000D_
#spos:1_x000D_
#srcs:2_x000D_
#comment:0_x000D_
#events:3_x000D_
#kids:1_x000D_
lived:ENBERKISULHAM_x000D_
issue:_x000D_
.recs:Birth,Marriage,Inheritance,Death_x000D_
.imm?:no_x000D_
..Spo:AGNES KNAPP</t>
        </r>
      </text>
    </comment>
    <comment ref="R8814" authorId="0" shapeId="0" xr:uid="{C4C70D8C-C5BA-4EB8-AA92-5B832710BE00}">
      <text>
        <r>
          <rPr>
            <sz val="9"/>
            <color indexed="81"/>
            <rFont val="Tahoma"/>
            <family val="2"/>
          </rPr>
          <t>Mrs. ISABEL\ELIZABETH WILDER_x000D_
http://yeinfo.com/family/I09065606.html_x000D_
https://www.google.com/search?q=ISABEL\ELIZABETH+WILDER+1460+1543+WILDER_x000D_
.born: 1460    -          Oxfordshire county England_x000D_
.died: 1543    -          Berkshire county England, age:83y 0m 0d, _x000D_
.bapt: 1785GE_x000D_
.will: 2004MO_x000D_
.obit: 1890OH_x000D_
.bury: 1850IL _x000D_
.wpbt: 1826PA_x000D_
.anc#:double ancestor_x000D_
citiz:foreign_x000D_
#spos:1_x000D_
#srcs:6_x000D_
#comment:1_x000D_
#events:1_x000D_
#kids:2_x000D_
lived:ENBERKI,ENOXFOS_x000D_
issue:_x000D_
.recs:Birth,Marriage,Death_x000D_
.imm?:no_x000D_
..Spo:NICHOLAS WILDER</t>
        </r>
      </text>
    </comment>
    <comment ref="P8816" authorId="0" shapeId="0" xr:uid="{1546646A-12AF-46E1-964F-554C9257556F}">
      <text>
        <r>
          <rPr>
            <sz val="9"/>
            <color indexed="81"/>
            <rFont val="Tahoma"/>
            <family val="2"/>
          </rPr>
          <t>JOHN RICHARD WILDER_x000D_
http://yeinfo.com/family/I09023720.html_x000D_
https://www.google.com/search?q=JOHN+RICHARD+WILDER+1545+1588+ALICE+EARL_x000D_
.born: 1545    -          Sulham (Berkshire) England_x000D_
.died: 1588    -          , age:43y 0m 0d, _x000D_
.bapt: 1785GE_x000D_
.will: 2004MO_x000D_
.obit: 1890OH_x000D_
.bury: 1850IL _x000D_
.wpbt: 1826PA_x000D_
.anc#:double ancestor_x000D_
citiz:foreign_x000D_
#spos:1_x000D_
#srcs:3_x000D_
#comment:0_x000D_
#events:5_x000D_
#kids:7_x000D_
lived:ENBERKISULHAM_x000D_
issue:_x000D_
.recs:Birth,Marriage,Inheritance,Will Written,Death_x000D_
.imm?:no_x000D_
..Spo:ALICE EARL KEATS</t>
        </r>
      </text>
    </comment>
    <comment ref="Q8818" authorId="0" shapeId="0" xr:uid="{879E389D-6C76-4605-BA72-946BB537F12A}">
      <text>
        <r>
          <rPr>
            <sz val="9"/>
            <color indexed="81"/>
            <rFont val="Tahoma"/>
            <family val="2"/>
          </rPr>
          <t>AGNES KNAPP_x000D_
http://yeinfo.com/family/I09047441.html_x000D_
https://www.google.com/search?q=AGNES+KNAPP+1500+1545+WILDER_x000D_
.born:?1500    -          England_x000D_
.died: 1545    -1590      , age:45y 0m 0d, _x000D_
.bapt: 1785GE_x000D_
.will: 2004MO_x000D_
.obit: 1890OH_x000D_
.bury: 1850IL _x000D_
.wpbt: 1826PA_x000D_
.anc#:double ancestor_x000D_
citiz:foreign_x000D_
#spos:1_x000D_
#srcs:1_x000D_
#comment:0_x000D_
#events:1_x000D_
#kids:1_x000D_
lived:EN_x000D_
issue:_x000D_
.recs:Birth,Marriage,Death_x000D_
.imm?:no_x000D_
..Spo:JOHN WILDER</t>
        </r>
      </text>
    </comment>
    <comment ref="O8820" authorId="0" shapeId="0" xr:uid="{559DF215-5347-4FEF-B584-E80DA17FC036}">
      <text>
        <r>
          <rPr>
            <sz val="9"/>
            <color indexed="81"/>
            <rFont val="Tahoma"/>
            <family val="2"/>
          </rPr>
          <t>THOMAS WILDER_x000D_
http://yeinfo.com/family/I09011860.html_x000D_
https://www.google.com/search?q=THOMAS+WILDER+1585+1634+MARTHA_x000D_
.born: 1585    -          Shiplake (Oxfordshire) England_x000D_
.died: 1634    -          Shiplake (Oxfordshire) England, age:49y 0m 0d, _x000D_
.bapt: 1785GE_x000D_
.will: 2004MO_x000D_
.obit: 1890OH_x000D_
.bury: 1850IL _x000D_
.wpbt: 1826PA_x000D_
.anc#:double ancestor_x000D_
citiz:foreign_x000D_
#spos:1_x000D_
#srcs:7_x000D_
#comment:0_x000D_
#events:3_x000D_
#kids:5_x000D_
lived:ENBERKISULHAM,ENOXFOSSHIPLAK_x000D_
issue:_x000D_
.recs:Birth,Marriage,Death_x000D_
.imm?:no_x000D_
..Spo:MARTHA HIGGS</t>
        </r>
      </text>
    </comment>
    <comment ref="Q8822" authorId="0" shapeId="0" xr:uid="{F13CAC74-1418-4E25-974E-AAE094169887}">
      <text>
        <r>
          <rPr>
            <sz val="9"/>
            <color indexed="81"/>
            <rFont val="Tahoma"/>
            <family val="2"/>
          </rPr>
          <t>THOMAS KEATS_x000D_
http://yeinfo.com/family/I09047442.html_x000D_
https://www.google.com/search?q=THOMAS+KEATS+1530+1582+FRANCES_x000D_
.born:?1530    -          Sulham (Berks) England_x000D_
.died:?1582    -          England, age:52y 0m 0d, _x000D_
.bapt: 1785GE_x000D_
.will: 2004MO_x000D_
.obit: 1890OH_x000D_
.bury: 1850IL _x000D_
.wpbt: 1826PA_x000D_
.anc#:double ancestor_x000D_
citiz:foreign_x000D_
#spos:1_x000D_
#srcs:3_x000D_
#comment:0_x000D_
#events:3_x000D_
#kids:1_x000D_
lived:ENBERKISULHAM,ENBERKSSULHAM_x000D_
issue:_x000D_
.recs:Birth,Marriage,Deed_x000D_
.imm?:no_x000D_
..Spo:FRANCES JENNINGS</t>
        </r>
      </text>
    </comment>
    <comment ref="P8824" authorId="0" shapeId="0" xr:uid="{F0EFAD1C-3C69-468B-BB69-14E774634D00}">
      <text>
        <r>
          <rPr>
            <sz val="9"/>
            <color indexed="81"/>
            <rFont val="Tahoma"/>
            <family val="2"/>
          </rPr>
          <t>ALICE EARL KEATS_x000D_
http://yeinfo.com/family/I09023721.html_x000D_
https://www.google.com/search?q=ALICE+EARL+KEATS+1555+1587+WILDER_x000D_
.born: 1555    -         ?England_x000D_
.died: 1587    -1645      , age:32y 0m 0d, _x000D_
.bapt: 1785GE_x000D_
.will: 2004MO_x000D_
.obit: 1890OH_x000D_
.bury: 1850IL _x000D_
.wpbt: 1826PA_x000D_
.anc#:double ancestor_x000D_
citiz:foreign_x000D_
#spos:1_x000D_
#srcs:3_x000D_
#comment:0_x000D_
#events:2_x000D_
#kids:7_x000D_
lived:?EN,ENBERKISULHAM_x000D_
issue:Died after Age 100_x000D_
.recs:Birth,Marriage,Death_x000D_
.imm?:no_x000D_
..Spo:JOHN RICHARD WILDER</t>
        </r>
      </text>
    </comment>
    <comment ref="Q8826" authorId="0" shapeId="0" xr:uid="{F986BF28-EB32-4499-99E4-0F11EEEB30E6}">
      <text>
        <r>
          <rPr>
            <sz val="9"/>
            <color indexed="81"/>
            <rFont val="Tahoma"/>
            <family val="2"/>
          </rPr>
          <t>FRANCES JENNINGS_x000D_
http://yeinfo.com/family/I09047443.html_x000D_
https://www.google.com/search?q=FRANCES+JENNINGS+1530+1555+KEATS_x000D_
.born:?1530    -          England_x000D_
.died: 1555    -1580      , age:25y 0m 0d, _x000D_
.bapt: 1785GE_x000D_
.will: 2004MO_x000D_
.obit: 1890OH_x000D_
.bury: 1850IL _x000D_
.wpbt: 1826PA_x000D_
.anc#:double ancestor_x000D_
citiz:foreign_x000D_
#spos:1_x000D_
#srcs:2_x000D_
#comment:0_x000D_
#events:1_x000D_
#kids:1_x000D_
lived:EN_x000D_
issue:_x000D_
.recs:Birth,Marriage,Death_x000D_
.imm?:no_x000D_
..Spo:THOMAS KEATS</t>
        </r>
      </text>
    </comment>
    <comment ref="N8828" authorId="0" shapeId="0" xr:uid="{19CE2D55-3E2F-4B1B-93DB-2078A824E065}">
      <text>
        <r>
          <rPr>
            <sz val="9"/>
            <color indexed="81"/>
            <rFont val="Tahoma"/>
            <family val="2"/>
          </rPr>
          <t>THOMAS WILDER_x000D_
http://yeinfo.com/family/I09005930.html_x000D_
https://www.google.com/search?q=THOMAS+WILDER+1618+1668+ANNA_x000D_
.born:?1618    -         ?England_x000D_
.died: 16681023-          , age:50y 9m 22d, _x000D_
.bapt: 1785GE_x000D_
.will: 2004MO_x000D_
.obit: 1890OH_x000D_
.bury: 1850IL _x000D_
.wpbt: 1826PA_x000D_
.anc#:double ancestor_x000D_
citiz:US born_x000D_
#spos:1_x000D_
#srcs:11_x000D_
#comment:0_x000D_
#events:15_x000D_
#kids:6_x000D_
lived:?EN,ENDEVONPLYMOUT,ENOXFOSSHIPLAK,MASUFFOCHAZTWN,MAWORCELANCAST_x000D_
issue:_x000D_
.recs:Birth,Military,Marriage,Job/Occupation,Will Written,Death,Land Transaction,Freeman_x000D_
.imm?:no_x000D_
..Spo:ANNA EAMES</t>
        </r>
      </text>
    </comment>
    <comment ref="O8830" authorId="0" shapeId="0" xr:uid="{22BE9BBB-6A4F-4B76-9351-B168C50A975D}">
      <text>
        <r>
          <rPr>
            <sz val="9"/>
            <color indexed="81"/>
            <rFont val="Tahoma"/>
            <family val="2"/>
          </rPr>
          <t>MARTHA HIGGS_x000D_
http://yeinfo.com/family/I09011861.html_x000D_
https://www.google.com/search?q=MARTHA+HIGGS+1590+1652+WILDER_x000D_
.born: 1590    -          Reading (Berkshire) England_x000D_
.died: 16520420-          Plymouth (Plymouth) Massachusetts, age:62y 3m 19d, _x000D_
.bapt: 1785GE_x000D_
.will: 2004MO_x000D_
.obit: 1890OH_x000D_
.bury: 1850IL _x000D_
.wpbt: 1826PA_x000D_
.anc#:double ancestor_x000D_
citiz:immigrant_x000D_
#spos:1_x000D_
#srcs:8_x000D_
#comment:0_x000D_
#events:4_x000D_
#kids:5_x000D_
lived:ENBERKIREADING,ENHAMPSSOUTHMP,MAPLYMOHINGHAM,MAPLYMOPLYMOUT_x000D_
issue:_x000D_
.recs:Birth,Marriage,Ship Passenger List,Death_x000D_
.imm?:immigrant_x000D_
..Spo:THOMAS WILDER</t>
        </r>
      </text>
    </comment>
    <comment ref="M8832" authorId="0" shapeId="0" xr:uid="{04570F29-F08C-459E-8D12-133714ACCE06}">
      <text>
        <r>
          <rPr>
            <sz val="9"/>
            <color indexed="81"/>
            <rFont val="Tahoma"/>
            <family val="2"/>
          </rPr>
          <t>MARY WILDER_x000D_
http://yeinfo.com/family/I09002965.html_x000D_
https://www.google.com/search?q=MARY+WILDER+1642+1666+ALLEN_x000D_
.born: 16420630-          Dedham (Norfolk) Massachusetts_x000D_
.died: 1666    -1732      Lancaster (Worcester) Massachusetts, age:23y 6m 2d, _x000D_
.bapt: 1785GE_x000D_
.will: 2004MO_x000D_
.obit: 1890OH_x000D_
.bury: 1850IL _x000D_
.wpbt: 1826PA_x000D_
.anc#:double ancestor_x000D_
citiz:US born_x000D_
#spos:1_x000D_
#srcs:8_x000D_
#comment:1_x000D_
#events:1_x000D_
#kids:12_x000D_
lived:MANORFODEDHAM,MAWORCELANCAST_x000D_
issue:_x000D_
.recs:Birth,Marriage,Death_x000D_
.imm?:no_x000D_
..Spo:DANIEL ALLEN</t>
        </r>
      </text>
    </comment>
    <comment ref="O8834" authorId="0" shapeId="0" xr:uid="{94CEC716-63C6-4A7A-9CBA-6F1F2EA998DD}">
      <text>
        <r>
          <rPr>
            <sz val="9"/>
            <color indexed="81"/>
            <rFont val="Tahoma"/>
            <family val="2"/>
          </rPr>
          <t>ANTHONY EAMES_x000D_
http://yeinfo.com/family/I09011862.html_x000D_
https://www.google.com/search?q=ANTHONY+EAMES+1595+1686+MARGERY_x000D_
.born:?1595    -         ?England_x000D_
.died: 16861006-          Dorset county England, age:91y 9m 5d, _x000D_
.bapt: 1785GE_x000D_
.will: 2004MO_x000D_
.obit: 1890OH_x000D_
.bury: 1850IL _x000D_
.wpbt: 1826PA_x000D_
.anc#:double ancestor_x000D_
citiz:foreign_x000D_
#spos:1_x000D_
#srcs:2_x000D_
#comment:0_x000D_
#events:1_x000D_
#kids:1_x000D_
lived:?EN,ENDORSE_x000D_
issue:Died after Age 100_x000D_
.recs:Birth,Marriage,Death_x000D_
.imm?:no_x000D_
..Spo:MARGERY PIERCE</t>
        </r>
      </text>
    </comment>
    <comment ref="N8836" authorId="0" shapeId="0" xr:uid="{E2311543-3B87-4F7E-B929-8D5A9391F5D7}">
      <text>
        <r>
          <rPr>
            <sz val="9"/>
            <color indexed="81"/>
            <rFont val="Tahoma"/>
            <family val="2"/>
          </rPr>
          <t>ANNA EAMES_x000D_
http://yeinfo.com/family/I09005931.html_x000D_
https://www.google.com/search?q=ANNA+EAMES+1597+1692+WILDER_x000D_
.born:c1597    -          Dorset county England_x000D_
.died: 1692    -          Marshfield (Plymouth) Massachusetts, age:95y 0m 0d, _x000D_
.bapt: 1785GE_x000D_
.will: 2004MO_x000D_
.obit: 1890OH_x000D_
.bury: 1850IL _x000D_
.wpbt: 1826PA_x000D_
.anc#:double ancestor_x000D_
citiz:immigrant_x000D_
#spos:1_x000D_
#srcs:6_x000D_
#comment:0_x000D_
#events:1_x000D_
#kids:6_x000D_
lived:ENDORSE,MAPLYMOMARSHFI_x000D_
issue:_x000D_
.recs:Birth,Marriage,Death_x000D_
.imm?:immigrant_x000D_
..Spo:THOMAS WILDER</t>
        </r>
      </text>
    </comment>
    <comment ref="O8838" authorId="0" shapeId="0" xr:uid="{B7B046CE-9FDA-4612-9515-95EED59A8B23}">
      <text>
        <r>
          <rPr>
            <sz val="9"/>
            <color indexed="81"/>
            <rFont val="Tahoma"/>
            <family val="2"/>
          </rPr>
          <t>MARGERY PIERCE_x000D_
http://yeinfo.com/family/I09011863.html_x000D_
https://www.google.com/search?q=MARGERY+PIERCE+1575+1662+EAMES_x000D_
.born:?1575    -         ?England_x000D_
.died: 16621231-          , age:87y 11m 30d, _x000D_
.bapt: 1785GE_x000D_
.will: 2004MO_x000D_
.obit: 1890OH_x000D_
.bury: 1850IL _x000D_
.wpbt: 1826PA_x000D_
.anc#:double ancestor_x000D_
citiz:US born_x000D_
#spos:1_x000D_
#srcs:1_x000D_
#comment:0_x000D_
#events:1_x000D_
#kids:1_x000D_
lived:?EN_x000D_
issue:_x000D_
.recs:Birth,Marriage,Death_x000D_
.imm?:no_x000D_
..Spo:ANTHONY EAMES</t>
        </r>
      </text>
    </comment>
    <comment ref="K8840" authorId="0" shapeId="0" xr:uid="{63F909FC-8442-4764-AB2D-BD160063D50E}">
      <text>
        <r>
          <rPr>
            <sz val="9"/>
            <color indexed="81"/>
            <rFont val="Tahoma"/>
            <family val="2"/>
          </rPr>
          <t>ELIZABETH ALLEN_x000D_
http://yeinfo.com/family/I09000763.html_x000D_
https://www.google.com/search?q=ELIZABETH+ALLEN+1700+1765+NEWTON_x000D_
.born: 1700    -          Waterton (Middlesex) Massachusetts_x000D_
.died: 17651018-          Bridgewater (Plymouth) Massachusetts, age:65y 9m 17d, _x000D_
.bapt: 1785GE_x000D_
.will: 2004MO_x000D_
.obit: 1890OH_x000D_
.bury: 1850IL _x000D_
.wpbt: 1826PA_x000D_
.anc#:ancestor_x000D_
citiz:US born_x000D_
#spos:1_x000D_
#srcs:3_x000D_
#comment:0_x000D_
#events:2_x000D_
#kids:1_x000D_
lived:MAMIDDLWATERTO,MAPLYMOBRIDGEW,MAWORCESHREWSB_x000D_
issue:_x000D_
.recs:Birth,Marriage,Will Written,Death_x000D_
.imm?:no_x000D_
..Spo:EDWARD NEWTON</t>
        </r>
      </text>
    </comment>
    <comment ref="O8842" authorId="0" shapeId="0" xr:uid="{6530F96B-C527-4A36-A5C4-0BE5C9FB0FEE}">
      <text>
        <r>
          <rPr>
            <sz val="9"/>
            <color indexed="81"/>
            <rFont val="Tahoma"/>
            <family val="2"/>
          </rPr>
          <t>Mr. {_?_} RICE_x000D_
http://yeinfo.com/family/I09021788.html_x000D_
https://www.google.com/search?q={_?_}+RICE+1560+1594+{_?_}_x000D_
.born:?1560    -          England_x000D_
.died: 1594    -1650      , age:34y 0m 0d, _x000D_
.bapt: 1785GE_x000D_
.will: 2004MO_x000D_
.obit: 1890OH_x000D_
.bury: 1850IL _x000D_
.wpbt: 1826PA_x000D_
.anc#: quintuple ancestor_x000D_
citiz:foreign_x000D_
#spos:1_x000D_
#srcs:1_x000D_
#comment:1_x000D_
#events:1_x000D_
#kids:2_x000D_
lived:EN_x000D_
issue:_x000D_
.recs:Birth,Marriage,Death_x000D_
.imm?:no_x000D_
..Spo:{_?_} RICE</t>
        </r>
      </text>
    </comment>
    <comment ref="N8844" authorId="0" shapeId="0" xr:uid="{AD1C8DCF-CB9F-4A15-900C-EC0F056675D4}">
      <text>
        <r>
          <rPr>
            <sz val="9"/>
            <color indexed="81"/>
            <rFont val="Tahoma"/>
            <family val="2"/>
          </rPr>
          <t>EDMUND RICE_x000D_
http://yeinfo.com/family/I09002844.html_x000D_
https://www.google.com/search?q=EDMUND+RICE+1594+1663+THOMAZINE\ESTHER+HURD_x000D_
.born:c1594    -         ?Sudbury (Suffolk) England_x000D_
.died: 16630503-          Marlborough (Middlesex) Massachusetts, age:69y 4m 2d, _x000D_
.bapt: 1785GE_x000D_
.will: 2004MO_x000D_
.obit: 1890OH_x000D_
.bury: 1850IL _x000D_
.wpbt: 1826PA_x000D_
.anc#:  quadruple ancestor_x000D_
citiz:immigrant_x000D_
#spos:2_x000D_
#srcs:19_x000D_
#comment:2_x000D_
#events:24_x000D_
#kids:12_x000D_
lived:?ENSUFFOSUDBURY,ENHERTFBERKHAM,ENSUFFOBURY SE,ENSUFFOSTANSTE,MAMIDDLMARLBOR,MAMIDDLSUDBURY_x000D_
issue:Married before Age 16_x000D_
.recs:Birth,Baptism,Job/Occupation,Death,Land Transaction,Freeman,Immigrate_x000D_
.imm?:immigrant_x000D_
..Spo:THOMAZINE\ESTHER FROST</t>
        </r>
      </text>
    </comment>
    <comment ref="O8846" authorId="0" shapeId="0" xr:uid="{019E7EAF-BC0F-4B5F-9C47-E98E29392FFA}">
      <text>
        <r>
          <rPr>
            <sz val="9"/>
            <color indexed="81"/>
            <rFont val="Tahoma"/>
            <family val="2"/>
          </rPr>
          <t>Mrs. {_?_} RICE_x000D_
http://yeinfo.com/family/I09021789.html_x000D_
https://www.google.com/search?q={_?_}+RICE+1560+1594+RICE_x000D_
.born:?1560    -          England_x000D_
.died: 1594    -1650      , age:34y 0m 0d, _x000D_
.bapt: 1785GE_x000D_
.will: 2004MO_x000D_
.obit: 1890OH_x000D_
.bury: 1850IL _x000D_
.wpbt: 1826PA_x000D_
.anc#: quintuple ancestor_x000D_
citiz:foreign_x000D_
#spos:1_x000D_
#srcs:0_x000D_
#comment:0_x000D_
#events:1_x000D_
#kids:2_x000D_
lived:EN_x000D_
issue:_x000D_
.recs:Birth,Marriage,Death_x000D_
.imm?:no_x000D_
..Spo:{_?_} RICE</t>
        </r>
      </text>
    </comment>
    <comment ref="M8848" authorId="0" shapeId="0" xr:uid="{F4681B3F-9529-4581-97FB-CE5AC6B49293}">
      <text>
        <r>
          <rPr>
            <sz val="9"/>
            <color indexed="81"/>
            <rFont val="Tahoma"/>
            <family val="2"/>
          </rPr>
          <t>HENRY RICE_x000D_
http://yeinfo.com/family/I09002966.html_x000D_
https://www.google.com/search?q=HENRY+RICE+1618+1711+ELIZABETH\HANNAH_x000D_
.born: 161801  -          Buckinghamshire county England_x000D_
.died: 17110210-          Framingham (Middlesex) Massachusetts, age:93y 1m 9d, _x000D_
.bapt: 1785GE_x000D_
.will: 2004MO_x000D_
.obit: 1890OH_x000D_
.bury: 1850IL _x000D_
.wpbt: 1826PA_x000D_
.anc#:double ancestor_x000D_
citiz:immigrant_x000D_
#spos:1_x000D_
#srcs:10_x000D_
#comment:0_x000D_
#events:11_x000D_
#kids:10_x000D_
lived:?MAMIDDLSUDBURY,ENBUCKE,ENSUFFOSTANSTE,MAMIDDLCAMBRID,MAMIDDLFRAMING,MAMIDDLMARLBOR_x000D_
issue:_x000D_
.recs:Birth,Baptism,Marriage,Deed,Will Written,Land Transaction,Freeman,Oath Taken_x000D_
.imm?:immigrant_x000D_
..Spo:ELIZABETH\HANNAH MOORE</t>
        </r>
      </text>
    </comment>
    <comment ref="Q8850" authorId="0" shapeId="0" xr:uid="{137F8B3F-8EE5-456C-9A75-F184F61B3C9E}">
      <text>
        <r>
          <rPr>
            <sz val="9"/>
            <color indexed="81"/>
            <rFont val="Tahoma"/>
            <family val="2"/>
          </rPr>
          <t>WILLIAM\HENRY FROST_x000D_
http://yeinfo.com/family/I09065537.html_x000D_
https://www.google.com/search?q=WILLIAM\HENRY+FROST+1480+1549+PHILLIPA_x000D_
.born: 1480    -          Stanstead (Suffolk) England_x000D_
.died: 1549    -          Stanstead (Suffolk) England, age:69y 0m 0d, _x000D_
.bapt: 1785GE_x000D_
.will: 2004MO_x000D_
.obit: 1890OH_x000D_
.bury: 1850IL _x000D_
.wpbt: 1826PA_x000D_
.anc#: quintuple ancestor_x000D_
citiz:foreign_x000D_
#spos:1_x000D_
#srcs:3_x000D_
#comment:0_x000D_
#events:3_x000D_
#kids:7_x000D_
lived:ENSUFFOSTANSTE_x000D_
issue:_x000D_
.recs:Birth,Marriage,Will Written,Death_x000D_
.imm?:no_x000D_
..Spo:PHILLIPA SCOTT</t>
        </r>
      </text>
    </comment>
    <comment ref="P8852" authorId="0" shapeId="0" xr:uid="{FE383F12-DE1C-49A8-A4F0-5339FE1B4B8A}">
      <text>
        <r>
          <rPr>
            <sz val="9"/>
            <color indexed="81"/>
            <rFont val="Tahoma"/>
            <family val="2"/>
          </rPr>
          <t>JOHN\THOMAS FROST_x000D_
http://yeinfo.com/family/I09043580.html_x000D_
https://www.google.com/search?q=JOHN\THOMAS+FROST+1537+1610+ANN+FROST_x000D_
.born:?1537    -          _x000D_
.died: 1610    -          , age:73y 0m 0d, _x000D_
.bapt: 1785GE_x000D_
.will: 2004MO_x000D_
.obit: 1890OH_x000D_
.bury: 1850IL _x000D_
.wpbt: 1826PA_x000D_
.anc#: quintuple ancestor_x000D_
citiz:foreign_x000D_
#spos:2_x000D_
#srcs:2_x000D_
#comment:0_x000D_
#events:7_x000D_
#kids:9_x000D_
lived:ENSUFFOGLEMSFO,ENSUFFOHARTEST,ENSUFFOSTANSTE_x000D_
issue:_x000D_
.recs:Birth,Baptism,Marriage,Death_x000D_
.imm?:no_x000D_
..Spo:ANN SCOTT</t>
        </r>
      </text>
    </comment>
    <comment ref="Q8854" authorId="0" shapeId="0" xr:uid="{5A008045-02B6-48EF-944D-61438FE4F042}">
      <text>
        <r>
          <rPr>
            <sz val="9"/>
            <color indexed="81"/>
            <rFont val="Tahoma"/>
            <family val="2"/>
          </rPr>
          <t>PHILLIPA SCOTT_x000D_
http://yeinfo.com/family/I09065538.html_x000D_
https://www.google.com/search?q=PHILLIPA+SCOTT+1505+1558+FROST+John_x000D_
.born:?1505    -          Chickney (Essex) England_x000D_
.died: 155801  -         ?Lidgate (Suffolk) England, age:53y 0m 0d, _x000D_
.bapt: 1785GE_x000D_
.will: 2004MO_x000D_
.obit: 1890OH_x000D_
.bury: 1850IL _x000D_
.wpbt: 1826PA_x000D_
.anc#: quintuple ancestor_x000D_
citiz:foreign_x000D_
#spos:2_x000D_
#srcs:3_x000D_
#comment:1_x000D_
#events:3_x000D_
#kids:7_x000D_
lived:?ENSUFFOLIDGATE,ENESSEXCHICKNE,MAMIDDLSUDBURY_x000D_
issue:_x000D_
.recs:Birth,Marriage,Death_x000D_
.imm?:no_x000D_
..Spo:WILLIAM\HENRY FROST</t>
        </r>
      </text>
    </comment>
    <comment ref="O8856" authorId="0" shapeId="0" xr:uid="{03C908C1-5C90-4A1B-B25F-9AFF18A16DF2}">
      <text>
        <r>
          <rPr>
            <sz val="9"/>
            <color indexed="81"/>
            <rFont val="Tahoma"/>
            <family val="2"/>
          </rPr>
          <t>EDWARD\EDMUND FROST_x000D_
http://yeinfo.com/family/I09021790.html_x000D_
https://www.google.com/search?q=EDWARD\EDMUND+FROST+1560+1616+THOMASINE_x000D_
.born:?1560    -          Glemsford (Suffolk) England_x000D_
.died: 1616    -          Stanstead (Suffolk) England, age:56y 0m 0d, _x000D_
.bapt: 1785GE_x000D_
.will: 2004MO_x000D_
.obit: 1890OH_x000D_
.bury: 1850IL _x000D_
.wpbt: 1826PA_x000D_
.anc#: quintuple ancestor_x000D_
citiz:foreign_x000D_
#spos:1_x000D_
#srcs:1_x000D_
#comment:1_x000D_
#events:4_x000D_
#kids:11_x000D_
lived:ENSUFFOGLEMSFO,ENSUFFOSTANSTE_x000D_
issue:_x000D_
.recs:Birth,Marriage,Job/Occupation,Will Written,Death_x000D_
.imm?:no_x000D_
..Spo:THOMASINE BELGRAVE</t>
        </r>
      </text>
    </comment>
    <comment ref="Q8858" authorId="0" shapeId="0" xr:uid="{F5F26DB6-976C-4150-9895-227845E74223}">
      <text>
        <r>
          <rPr>
            <sz val="9"/>
            <color indexed="81"/>
            <rFont val="Tahoma"/>
            <family val="2"/>
          </rPr>
          <t>RICHARD SCOTT_x000D_
http://yeinfo.com/family/I09065539.html_x000D_
https://www.google.com/search?q=RICHARD+SCOTT+1505+1565+JOANNA+SCOTT_x000D_
.born:?1505    -          England_x000D_
.died:c1565    -         ?Glemsford (Suffolk) England, age:60y 0m 0d, _x000D_
.bapt: 1785GE_x000D_
.will: 2004MO_x000D_
.obit: 1890OH_x000D_
.bury: 1850IL _x000D_
.wpbt: 1826PA_x000D_
.anc#: quintuple ancestor_x000D_
citiz:foreign_x000D_
#spos:2_x000D_
#srcs:6_x000D_
#comment:0_x000D_
#events:6_x000D_
#kids:9_x000D_
lived:?ENSUFFOGLEMSFO,EN_x000D_
issue:_x000D_
.recs:Birth,Marriage,Will Written,Death_x000D_
.imm?:no_x000D_
..Spo:JOANNA SCOTT</t>
        </r>
      </text>
    </comment>
    <comment ref="P8860" authorId="0" shapeId="0" xr:uid="{28E32B3F-3F63-4062-840C-C40D8AB680E3}">
      <text>
        <r>
          <rPr>
            <sz val="9"/>
            <color indexed="81"/>
            <rFont val="Tahoma"/>
            <family val="2"/>
          </rPr>
          <t>ANN SCOTT_x000D_
http://yeinfo.com/family/I09043581.html_x000D_
https://www.google.com/search?q=ANN+SCOTT+1540+1588+FROST_x000D_
.born:?1540    -          _x000D_
.died: 158807  -          , age:48y 6m 0d, _x000D_
.bapt: 1785GE_x000D_
.will: 2004MO_x000D_
.obit: 1890OH_x000D_
.bury: 1850IL _x000D_
.wpbt: 1826PA_x000D_
.anc#: quintuple ancestor_x000D_
citiz:foreign_x000D_
#spos:1_x000D_
#srcs:2_x000D_
#comment:1_x000D_
#events:2_x000D_
#kids:9_x000D_
lived:ENSUFFOGLEMSFO,ENSUFFOHARTEST,ENSUFFOSTANSTE_x000D_
issue:_x000D_
.recs:Birth,Marriage,Death_x000D_
.imm?:no_x000D_
..Spo:JOHN\THOMAS FROST</t>
        </r>
      </text>
    </comment>
    <comment ref="Q8862" authorId="0" shapeId="0" xr:uid="{3A331B40-639B-421E-9314-65837373A5A8}">
      <text>
        <r>
          <rPr>
            <sz val="9"/>
            <color indexed="81"/>
            <rFont val="Tahoma"/>
            <family val="2"/>
          </rPr>
          <t>Mrs. JOANNA SCOTT_x000D_
http://yeinfo.com/family/I09065540.html_x000D_
https://www.google.com/search?q=JOANNA+SCOTT+1505+1556+SCOTT_x000D_
.born:?1505    -          England_x000D_
.died: 1556    -         ?Glemsford (Suffolk) England, age:51y 0m 0d, _x000D_
.bapt: 1785GE_x000D_
.will: 2004MO_x000D_
.obit: 1890OH_x000D_
.bury: 1850IL _x000D_
.wpbt: 1826PA_x000D_
.anc#: quintuple ancestor_x000D_
citiz:foreign_x000D_
#spos:1_x000D_
#srcs:1_x000D_
#comment:0_x000D_
#events:2_x000D_
#kids:9_x000D_
lived:?ENSUFFOGLEMSFO,EN_x000D_
issue:_x000D_
.recs:Birth,Marriage,Death_x000D_
.imm?:no_x000D_
..Spo:RICHARD SCOTT</t>
        </r>
      </text>
    </comment>
    <comment ref="N8864" authorId="0" shapeId="0" xr:uid="{A40025B1-2990-462A-A2F3-3DF079C825F7}">
      <text>
        <r>
          <rPr>
            <sz val="9"/>
            <color indexed="81"/>
            <rFont val="Tahoma"/>
            <family val="2"/>
          </rPr>
          <t>THOMAZINE\ESTHER FROST_x000D_
http://yeinfo.com/family/I09002845.html_x000D_
https://www.google.com/search?q=THOMAZINE\ESTHER+FROST+1600+1654+RICE_x000D_
.born: 1600    -          _x000D_
.died: 16540613-          , age:54y 5m 12d, _x000D_
.bapt: 1785GE_x000D_
.will: 2004MO_x000D_
.obit: 1890OH_x000D_
.bury: 1850IL _x000D_
.wpbt: 1826PA_x000D_
.anc#:  quadruple ancestor_x000D_
citiz:US born_x000D_
#spos:1_x000D_
#srcs:14_x000D_
#comment:1_x000D_
#events:5_x000D_
#kids:10_x000D_
lived:?ENSUFFOBURY SE,?ENSUFFOSTANSTE,ENHERTFBERKHAM,MAMIDDLSUDBURY,NJMIDDLWOODBRI_x000D_
issue:_x000D_
.recs:Birth,Baptism,Marriage,Death_x000D_
.imm?:no_x000D_
..Spo:EDMUND RICE</t>
        </r>
      </text>
    </comment>
    <comment ref="P8866" authorId="0" shapeId="0" xr:uid="{56A7CFDC-35E1-49AE-AA99-1688B94B87E7}">
      <text>
        <r>
          <rPr>
            <sz val="9"/>
            <color indexed="81"/>
            <rFont val="Tahoma"/>
            <family val="2"/>
          </rPr>
          <t>JOHN BELGRAVE_x000D_
http://yeinfo.com/family/I09043582.html_x000D_
https://www.google.com/search?q=JOHN+BELGRAVE+1535+1591+JOANNA+Fairefax_x000D_
.born:c1535    -          Glemsford (Suffolk) England_x000D_
.died: 1591    -          Leverington (Cambridgeshire) England, age:56y 0m 0d, _x000D_
.bapt: 1785GE_x000D_
.will: 2004MO_x000D_
.obit: 1890OH_x000D_
.bury: 1850IL _x000D_
.wpbt: 1826PA_x000D_
.anc#: quintuple ancestor_x000D_
citiz:foreign_x000D_
#spos:2_x000D_
#srcs:3_x000D_
#comment:0_x000D_
#events:4_x000D_
#kids:12_x000D_
lived:ENCAMBSLEVERIN,ENSUFFOGLEMSFO_x000D_
issue:_x000D_
.recs:Birth,Marriage,Will Written,Death_x000D_
.imm?:no_x000D_
..Spo:JOANNA STRUTT</t>
        </r>
      </text>
    </comment>
    <comment ref="O8868" authorId="0" shapeId="0" xr:uid="{5B35F75B-E736-4EA0-883D-F933E3C66F0F}">
      <text>
        <r>
          <rPr>
            <sz val="9"/>
            <color indexed="81"/>
            <rFont val="Tahoma"/>
            <family val="2"/>
          </rPr>
          <t>THOMASINE BELGRAVE_x000D_
http://yeinfo.com/family/I09021791.html_x000D_
https://www.google.com/search?q=THOMASINE+BELGRAVE+1562+1653+FROST_x000D_
.born: 1562    -          _x000D_
.died: 16530613-          Suffolk county England, age:91y 5m 12d, _x000D_
.bapt: 1785GE_x000D_
.will: 2004MO_x000D_
.obit: 1890OH_x000D_
.bury: 1850IL _x000D_
.wpbt: 1826PA_x000D_
.anc#: quintuple ancestor_x000D_
citiz:US born_x000D_
#spos:1_x000D_
#srcs:3_x000D_
#comment:1_x000D_
#events:2_x000D_
#kids:11_x000D_
lived:?ENCAMBSLEVERIN,ENSUFFOGLEMSFO_x000D_
issue:_x000D_
.recs:Birth,Baptism,Marriage,Death_x000D_
.imm?:no_x000D_
..Spo:EDWARD\EDMUND FROST</t>
        </r>
      </text>
    </comment>
    <comment ref="S8870" authorId="0" shapeId="0" xr:uid="{EBC86906-8FCC-4313-B60A-2F720147A32B}">
      <text>
        <r>
          <rPr>
            <sz val="9"/>
            <color indexed="81"/>
            <rFont val="Tahoma"/>
            <family val="2"/>
          </rPr>
          <t>JOHN STRUTT_x000D_
http://yeinfo.com/family/I09065805.html_x000D_
https://www.google.com/search?q=JOHN+STRUTT+1450+1516+ISABELLE+ELIZABETH_x000D_
.born:?1450    -          England_x000D_
.died: 1516    -          Glemsford (Suffolk) England, age:66y 0m 0d, _x000D_
.bapt: 1785GE_x000D_
.will: 2004MO_x000D_
.obit: 1890OH_x000D_
.bury: 1850IL Oure Lady Sainte Marie church yard_x000D_
.wpbt: 1826PA_x000D_
.anc#: quintuple ancestor_x000D_
citiz:foreign_x000D_
#spos:1_x000D_
#srcs:2_x000D_
#comment:0_x000D_
#events:5_x000D_
#kids:7_x000D_
lived:ENSUFFOGLEMSFO_x000D_
issue:_x000D_
.recs:Birth,Marriage,Will Written,Death,Interment/Burial_x000D_
.imm?:no_x000D_
..Spo:ISABELLE ELIZABETH GOLDING</t>
        </r>
      </text>
    </comment>
    <comment ref="R8872" authorId="0" shapeId="0" xr:uid="{F32C4592-A28F-48B5-9999-CFF086084F10}">
      <text>
        <r>
          <rPr>
            <sz val="9"/>
            <color indexed="81"/>
            <rFont val="Tahoma"/>
            <family val="2"/>
          </rPr>
          <t>THOMAS STRUTT_x000D_
http://yeinfo.com/family/I09065679.html_x000D_
https://www.google.com/search?q=THOMAS+STRUTT+1475+1548+JOHANE_x000D_
.born:?1475    -         ?Glemsford (Suffolk) England_x000D_
.died: 1548    -          Glemsford (Suffolk) England, age:73y 0m 0d, _x000D_
.bapt: 1785GE_x000D_
.will: 2004MO_x000D_
.obit: 1890OH_x000D_
.bury: 1850IL _x000D_
.wpbt: 1826PA_x000D_
.anc#: quintuple ancestor_x000D_
citiz:foreign_x000D_
#spos:1_x000D_
#srcs:2_x000D_
#comment:0_x000D_
#events:3_x000D_
#kids:5_x000D_
lived:?ENSUFFOGLEMSFO_x000D_
issue:_x000D_
.recs:Birth,Marriage,Will Written,Death_x000D_
.imm?:no_x000D_
..Spo:JOHANE STRUTT</t>
        </r>
      </text>
    </comment>
    <comment ref="S8874" authorId="0" shapeId="0" xr:uid="{084C7B71-3EB2-4F1E-AD61-9D4D0A5ED2AB}">
      <text>
        <r>
          <rPr>
            <sz val="9"/>
            <color indexed="81"/>
            <rFont val="Tahoma"/>
            <family val="2"/>
          </rPr>
          <t>ISABELLE ELIZABETH GOLDING_x000D_
http://yeinfo.com/family/I09065806.html_x000D_
https://www.google.com/search?q=ISABELLE+ELIZABETH+GOLDING+1450+1526+STRUTT_x000D_
.born:?1450    -          England_x000D_
.died: 1526    -         ?Glemsford (Suffolk) England, age:76y 0m 0d, _x000D_
.bapt: 1785GE_x000D_
.will: 2004MO_x000D_
.obit: 1890OH_x000D_
.bury: 1850IL _x000D_
.wpbt: 1826PA_x000D_
.anc#: quintuple ancestor_x000D_
citiz:foreign_x000D_
#spos:1_x000D_
#srcs:1_x000D_
#comment:0_x000D_
#events:1_x000D_
#kids:7_x000D_
lived:?ENSUFFOGLEMSFO,EN_x000D_
issue:_x000D_
.recs:Birth,Marriage,Death_x000D_
.imm?:no_x000D_
..Spo:JOHN STRUTT</t>
        </r>
      </text>
    </comment>
    <comment ref="Q8876" authorId="0" shapeId="0" xr:uid="{5B030D43-8AD6-4671-B6A1-0259C84B584B}">
      <text>
        <r>
          <rPr>
            <sz val="9"/>
            <color indexed="81"/>
            <rFont val="Tahoma"/>
            <family val="2"/>
          </rPr>
          <t>JOHN STRUTT_x000D_
http://yeinfo.com/family/I09065541.html_x000D_
https://www.google.com/search?q=JOHN+STRUTT+1502+1591+CATHERINE\JOHANNA+Scott_x000D_
.born:?1502    -         ?Glemsford (Suffolk) England_x000D_
.died: 1591    -         ?Glemsford (Suffolk) England, age:89y 0m 0d, _x000D_
.bapt: 1785GE_x000D_
.will: 2004MO_x000D_
.obit: 1890OH_x000D_
.bury: 1850IL _x000D_
.wpbt: 1826PA_x000D_
.anc#: quintuple ancestor_x000D_
citiz:foreign_x000D_
#spos:2_x000D_
#srcs:2_x000D_
#comment:0_x000D_
#events:5_x000D_
#kids:5_x000D_
lived:?ENSUFFOGLEMSFO,ENSUFFOSUDBURY_x000D_
issue:_x000D_
.recs:Birth,Marriage,Death_x000D_
.imm?:no_x000D_
..Spo:CATHERINE\JOHANNA SCOTT</t>
        </r>
      </text>
    </comment>
    <comment ref="R8878" authorId="0" shapeId="0" xr:uid="{215ADD14-EBFC-44F6-ABBE-F5BCFBA47515}">
      <text>
        <r>
          <rPr>
            <sz val="9"/>
            <color indexed="81"/>
            <rFont val="Tahoma"/>
            <family val="2"/>
          </rPr>
          <t>Mrs. JOHANE STRUTT_x000D_
http://yeinfo.com/family/I09065680.html_x000D_
https://www.google.com/search?q=JOHANE+STRUTT+1480+1510+STRUTT_x000D_
.born:?1480    -         ?Glemsford (Suffolk) England_x000D_
.died: 1510    -1570     ?Glemsford (Suffolk) England, age:30y 0m 0d, _x000D_
.bapt: 1785GE_x000D_
.will: 2004MO_x000D_
.obit: 1890OH_x000D_
.bury: 1850IL _x000D_
.wpbt: 1826PA_x000D_
.anc#: quintuple ancestor_x000D_
citiz:foreign_x000D_
#spos:1_x000D_
#srcs:1_x000D_
#comment:0_x000D_
#events:1_x000D_
#kids:5_x000D_
lived:?ENSUFFOGLEMSFO_x000D_
issue:_x000D_
.recs:Birth,Marriage,Death_x000D_
.imm?:no_x000D_
..Spo:THOMAS STRUTT</t>
        </r>
      </text>
    </comment>
    <comment ref="P8880" authorId="0" shapeId="0" xr:uid="{67F4120D-8B16-40CC-AA28-FE785D093484}">
      <text>
        <r>
          <rPr>
            <sz val="9"/>
            <color indexed="81"/>
            <rFont val="Tahoma"/>
            <family val="2"/>
          </rPr>
          <t>JOANNA STRUTT_x000D_
http://yeinfo.com/family/I09043583.html_x000D_
https://www.google.com/search?q=JOANNA+STRUTT+1538+1577+BELGRAVE_x000D_
.born:?1538    -          Glemsford (Suffolk) England_x000D_
.died: 1577    -          England, age:39y 0m 0d, _x000D_
.bapt: 1785GE_x000D_
.will: 2004MO_x000D_
.obit: 1890OH_x000D_
.bury: 1850IL _x000D_
.wpbt: 1826PA_x000D_
.anc#: quintuple ancestor_x000D_
citiz:foreign_x000D_
#spos:1_x000D_
#srcs:2_x000D_
#comment:1_x000D_
#events:2_x000D_
#kids:8_x000D_
lived:ENCAMBSLEVERIN,ENSUFFOGLEMSFO_x000D_
issue:_x000D_
.recs:Birth,Marriage,Death_x000D_
.imm?:no_x000D_
..Spo:JOHN BELGRAVE</t>
        </r>
      </text>
    </comment>
    <comment ref="Q8882" authorId="0" shapeId="0" xr:uid="{D9125234-902F-4B6D-9035-BEE7995FE6F0}">
      <text>
        <r>
          <rPr>
            <sz val="9"/>
            <color indexed="81"/>
            <rFont val="Tahoma"/>
            <family val="2"/>
          </rPr>
          <t>CATHERINE\JOHANNA SCOTT_x000D_
http://yeinfo.com/family/I09065542.html_x000D_
https://www.google.com/search?q=CATHERINE\JOHANNA+SCOTT+1510+1578+STRUTT_x000D_
.born:?1510    -         ?Glemsford (Suffolk) England_x000D_
.died: 157808  -         ?Glemsford (Suffolk) England, age:68y 7m 0d, _x000D_
.bapt: 1785GE_x000D_
.will: 2004MO_x000D_
.obit: 1890OH_x000D_
.bury: 1850IL _x000D_
.wpbt: 1826PA_x000D_
.anc#: quintuple ancestor_x000D_
citiz:foreign_x000D_
#spos:1_x000D_
#srcs:1_x000D_
#comment:0_x000D_
#events:2_x000D_
#kids:5_x000D_
lived:?ENSUFFOGLEMSFO_x000D_
issue:_x000D_
.recs:Birth,Marriage,Death_x000D_
.imm?:no_x000D_
..Spo:JOHN STRUTT</t>
        </r>
      </text>
    </comment>
    <comment ref="L8884" authorId="0" shapeId="0" xr:uid="{8F05CE0C-43DD-47EE-A580-AC9EA9A1017D}">
      <text>
        <r>
          <rPr>
            <sz val="9"/>
            <color indexed="81"/>
            <rFont val="Tahoma"/>
            <family val="2"/>
          </rPr>
          <t>MARY\MERCY RICE_x000D_
http://yeinfo.com/family/I09001483.html_x000D_
https://www.google.com/search?q=MARY\MERCY+RICE+1670+1727+ALLEN_x000D_
.born: 16700101-          Sudbury (Middlesex) Massachusetts_x000D_
.died: 1727    -         ?Shrewsbury (Worcester) Massachusetts, age:57y 0m 0d, _x000D_
.bapt: 1785GE_x000D_
.will: 2004MO_x000D_
.obit: 1890OH_x000D_
.bury: 1850IL _x000D_
.wpbt: 1826PA_x000D_
.anc#:double ancestor_x000D_
citiz:US born_x000D_
#spos:1_x000D_
#srcs:7_x000D_
#comment:0_x000D_
#events:1_x000D_
#kids:5_x000D_
lived:?MAWORCESHREWSB,MAMIDDLSUDBURY_x000D_
issue:_x000D_
.recs:Birth,Marriage,Death_x000D_
.imm?:no_x000D_
..Spo:ELNATHAN ALLEN</t>
        </r>
      </text>
    </comment>
    <comment ref="N8886" authorId="0" shapeId="0" xr:uid="{24F00ADA-64C3-47AF-A81F-47CBC219C499}">
      <text>
        <r>
          <rPr>
            <sz val="9"/>
            <color indexed="81"/>
            <rFont val="Tahoma"/>
            <family val="2"/>
          </rPr>
          <t>JOHN MOORE_x000D_
http://yeinfo.com/family/I09005446.html_x000D_
https://www.google.com/search?q=JOHN+MOORE+1598+1674+ELIZABETH+RICE_x000D_
.born:?1598    -          Thaxted (Essex) England_x000D_
.died: 16740106-          Sudbury (Middlesex) Massachusetts, age:76y 0m 5d, _x000D_
.bapt: 1785GE_x000D_
.will: 2004MO_x000D_
.obit: 1890OH_x000D_
.bury: 1850IL _x000D_
.wpbt: 1826PA_x000D_
.anc#: quintuple ancestor_x000D_
citiz:immigrant_x000D_
#spos:2_x000D_
#srcs:32_x000D_
#comment:1_x000D_
#events:12_x000D_
#kids:12_x000D_
lived:?ENESSEXHENHAM,ENESSEXTHAXTED,ENHERTFLITTLEG,MAMIDDLCAMBRID,MAMIDDLSUDBURY,MAWORCELANCAST_x000D_
issue:AncFlags between Spouses Mismatched_x000D_
.recs:Birth,Marriage,Will Written,Death,Land Transaction,Freeman,Oath Taken_x000D_
.imm?:immigrant_x000D_
..Spo:ELIZABETH MOORE</t>
        </r>
      </text>
    </comment>
    <comment ref="M8888" authorId="0" shapeId="0" xr:uid="{920156F1-C067-47B0-8353-3131EE7B51C7}">
      <text>
        <r>
          <rPr>
            <sz val="9"/>
            <color indexed="81"/>
            <rFont val="Tahoma"/>
            <family val="2"/>
          </rPr>
          <t>ELIZABETH\HANNAH MOORE_x000D_
http://yeinfo.com/family/I09002967.html_x000D_
https://www.google.com/search?q=ELIZABETH\HANNAH+MOORE+1626+1705+RICE_x000D_
.born:?1626    -          _x000D_
.died: 17050803-          , age:79y 7m 2d, _x000D_
.bapt: 1785GE_x000D_
.will: 2004MO_x000D_
.obit: 1890OH_x000D_
.bury: 1850IL _x000D_
.wpbt: 1826PA_x000D_
.anc#:double ancestor_x000D_
citiz:US born_x000D_
#spos:1_x000D_
#srcs:14_x000D_
#comment:0_x000D_
#events:3_x000D_
#kids:10_x000D_
lived:?ENESSEXHENHAM,?MAMIDDLCAMBRID,MAMIDDLSUDBURY_x000D_
issue:_x000D_
.recs:Birth,Baptism,Marriage,Will Inclusion,Death_x000D_
.imm?:no_x000D_
..Spo:HENRY RICE</t>
        </r>
      </text>
    </comment>
    <comment ref="N8890" authorId="0" shapeId="0" xr:uid="{3EFB34CB-56F8-4126-944D-E4F8DB9585C2}">
      <text>
        <r>
          <rPr>
            <sz val="9"/>
            <color indexed="81"/>
            <rFont val="Tahoma"/>
            <family val="2"/>
          </rPr>
          <t>Mrs. ELIZABETH MOORE_x000D_
http://yeinfo.com/family/I09002817.html_x000D_
https://www.google.com/search?q=ELIZABETH+MOORE+1600+1633+MOORE_x000D_
.born:?1600    -         ?England_x000D_
.died:a16331127-         ?England, age:33y 10m 26d, _x000D_
.bapt: 1785GE_x000D_
.will: 2004MO_x000D_
.obit: 1890OH_x000D_
.bury: 1850IL _x000D_
.wpbt: 1826PA_x000D_
.anc#:  quadruple ancestor_x000D_
citiz:foreign_x000D_
#spos:1_x000D_
#srcs:7_x000D_
#comment:1_x000D_
#events:1_x000D_
#kids:3_x000D_
lived:?ENESSEXHENHAM,?MA_x000D_
issue:_x000D_
.recs:Birth,Marriage,Death_x000D_
.imm?:no_x000D_
..Spo:JOHN MOORE</t>
        </r>
      </text>
    </comment>
    <comment ref="H8892" authorId="0" shapeId="0" xr:uid="{6FF30FB3-D55D-4429-BFE7-11F25D4112BC}">
      <text>
        <r>
          <rPr>
            <sz val="9"/>
            <color indexed="81"/>
            <rFont val="Tahoma"/>
            <family val="2"/>
          </rPr>
          <t>PHILENA\PHILINDA PERRY_x000D_
http://yeinfo.com/family/I09000095.html_x000D_
https://www.google.com/search?q=PHILENA\PHILINDA+PERRY+1797+1865+BARRETT_x000D_
.born:c179711  -          Newfane (Windham) Vermont_x000D_
.died: 18651220-          Brattleboro (Windham) Vermont, age:68y 1m 19d, consumption_x000D_
.bapt: 1785GE_x000D_
.will: 2004MO_x000D_
.obit: 1890OH_x000D_
.bury: 1850IL Meeting House Hill Cemetery_x000D_
.wpbt: 1826PA_x000D_
.anc#:ancestor_x000D_
citiz:US born_x000D_
#spos:1_x000D_
#srcs:3_x000D_
#comment:0_x000D_
#events:2_x000D_
#kids:4_x000D_
lived:?VTWINDHBRATTLB,VTWINDHNEWFANE_x000D_
issue:_x000D_
.recs:Birth,Marriage,Death,Interment/Burial_x000D_
.imm?:no_x000D_
..Spo:RANSEL BARRETT</t>
        </r>
      </text>
    </comment>
    <comment ref="P8894" authorId="0" shapeId="0" xr:uid="{05499830-5706-44FE-B695-85F9616FA1E3}">
      <text>
        <r>
          <rPr>
            <sz val="9"/>
            <color indexed="81"/>
            <rFont val="Tahoma"/>
            <family val="2"/>
          </rPr>
          <t>THOMAS GOODNOW_x000D_
http://yeinfo.com/family/I09024448.html_x000D_
https://www.google.com/search?q=THOMAS+GOODNOW+1565+1618+URSULA_x000D_
.born:c1565    -          England_x000D_
.died: 1618    -         ?Donhead (Wiltshire) England, age:53y 0m 0d, _x000D_
.bapt: 1785GE_x000D_
.will: 2004MO_x000D_
.obit: 1890OH_x000D_
.bury: 1850IL _x000D_
.wpbt: 1826PA_x000D_
.anc#:ancestor_x000D_
citiz:foreign_x000D_
#spos:1_x000D_
#srcs:2_x000D_
#comment:0_x000D_
#events:2_x000D_
#kids:9_x000D_
lived:?ENWILTSDONHEAD,ENWILTSDONHDST_x000D_
issue:_x000D_
.recs:Birth,Marriage,Death_x000D_
.imm?:no_x000D_
..Spo:URSULA HAYNES</t>
        </r>
      </text>
    </comment>
    <comment ref="O8896" authorId="0" shapeId="0" xr:uid="{7A4D0E58-FCE5-4496-9D39-870ECCEC2708}">
      <text>
        <r>
          <rPr>
            <sz val="9"/>
            <color indexed="81"/>
            <rFont val="Tahoma"/>
            <family val="2"/>
          </rPr>
          <t>EDMUND GOODNOW_x000D_
http://yeinfo.com/family/I09012224.html_x000D_
https://www.google.com/search?q=EDMUND+GOODNOW+1611+1688+ANNE+HANNAH+Mann_x000D_
.born: 1611    -          Donhead (Wiltshire) England_x000D_
.died: 16880406-          Wayland (Middlesex) Massachusetts, age:77y 3m 5d, _x000D_
.bapt: 1785GE_x000D_
.will: 2004MO_x000D_
.obit: 1890OH_x000D_
.bury: 1850IL _x000D_
.wpbt: 1826PA_x000D_
.anc#:ancestor_x000D_
citiz:immigrant_x000D_
#spos:2_x000D_
#srcs:14_x000D_
#comment:0_x000D_
#events:12_x000D_
#kids:6_x000D_
lived:ENDORSE,ENHAMPSSOUTHMP,ENWILTSDONHDST,ENWILTSDONHEAD,MAMIDDLSUDBURY,MAMIDDLWAYLAND_x000D_
issue:Married before Age 16_x000D_
.recs:Birth,Baptism,Military,Marriage,Ship Passenger List,Job/Occupation,Death,Freeman_x000D_
.imm?:immigrant_x000D_
..Spo:ANNE HANNAH BARRY</t>
        </r>
      </text>
    </comment>
    <comment ref="P8898" authorId="0" shapeId="0" xr:uid="{06B24AD6-1BAB-4ED5-80C3-627A5024A1B7}">
      <text>
        <r>
          <rPr>
            <sz val="9"/>
            <color indexed="81"/>
            <rFont val="Tahoma"/>
            <family val="2"/>
          </rPr>
          <t>URSULA HAYNES_x000D_
http://yeinfo.com/family/I09024449.html_x000D_
https://www.google.com/search?q=URSULA+HAYNES+1565+1634+GOODNOW_x000D_
.born:?1565    -          England_x000D_
.died: 1634    -          , age:69y 0m 0d, _x000D_
.bapt: 1785GE_x000D_
.will: 2004MO_x000D_
.obit: 1890OH_x000D_
.bury: 1850IL _x000D_
.wpbt: 1826PA_x000D_
.anc#:ancestor_x000D_
citiz:US born_x000D_
#spos:1_x000D_
#srcs:1_x000D_
#comment:0_x000D_
#events:1_x000D_
#kids:9_x000D_
lived:EN_x000D_
issue:_x000D_
.recs:Birth,Marriage,Death_x000D_
.imm?:no_x000D_
..Spo:THOMAS GOODNOW</t>
        </r>
      </text>
    </comment>
    <comment ref="N8900" authorId="0" shapeId="0" xr:uid="{BC22AED5-BB39-4715-8836-34B8620A5900}">
      <text>
        <r>
          <rPr>
            <sz val="9"/>
            <color indexed="81"/>
            <rFont val="Tahoma"/>
            <family val="2"/>
          </rPr>
          <t>JOHN GOODNOW_x000D_
http://yeinfo.com/family/I09006112.html_x000D_
https://www.google.com/search?q=JOHN+GOODNOW+1634+1721+MARY_x000D_
.born:?1634    -          Donhead (Wiltshire) England_x000D_
.died: 17210806-          Sudbury (Middlesex) Massachusetts, age:87y 7m 5d, _x000D_
.bapt: 1785GE_x000D_
.will: 2004MO_x000D_
.obit: 1890OH_x000D_
.bury: 1850IL _x000D_
.wpbt: 1826PA_x000D_
.anc#:ancestor_x000D_
citiz:immigrant_x000D_
#spos:1_x000D_
#srcs:4_x000D_
#comment:0_x000D_
#events:3_x000D_
#kids:13_x000D_
lived:ENHAMPSSOUTHMP,ENWILTSDONHEAD,MAMIDDLSUDBURY_x000D_
issue:_x000D_
.recs:Birth,Baptism,Marriage,Ship Passenger List,Death_x000D_
.imm?:immigrant_x000D_
..Spo:MARY AXTELL</t>
        </r>
      </text>
    </comment>
    <comment ref="O8902" authorId="0" shapeId="0" xr:uid="{64A057D9-8CC9-468A-8C8B-7A17A1E7768C}">
      <text>
        <r>
          <rPr>
            <sz val="9"/>
            <color indexed="81"/>
            <rFont val="Tahoma"/>
            <family val="2"/>
          </rPr>
          <t>ANNE HANNAH BARRY_x000D_
http://yeinfo.com/family/I09012225.html_x000D_
https://www.google.com/search?q=ANNE+HANNAH+BARRY+1611+1676+GOODNOW_x000D_
.born: 1611    -          England_x000D_
.died: 16760309-         ?Wayland (Middlesex) Massachusetts, age:65y 2m 8d, _x000D_
.bapt: 1785GE_x000D_
.will: 2004MO_x000D_
.obit: 1890OH_x000D_
.bury: 1850IL _x000D_
.wpbt: 1826PA_x000D_
.anc#:ancestor_x000D_
citiz:immigrant_x000D_
#spos:1_x000D_
#srcs:10_x000D_
#comment:0_x000D_
#events:2_x000D_
#kids:6_x000D_
lived:?ENWILTS,?MAMIDDLWAYLAND,ENHAMPSSOUTHMP_x000D_
issue:_x000D_
.recs:Birth,Marriage,Ship Passenger List,Death_x000D_
.imm?:immigrant_x000D_
..Spo:EDMUND GOODNOW</t>
        </r>
      </text>
    </comment>
    <comment ref="M8904" authorId="0" shapeId="0" xr:uid="{6740D8E3-6E18-487A-8753-EC1FC01247ED}">
      <text>
        <r>
          <rPr>
            <sz val="9"/>
            <color indexed="81"/>
            <rFont val="Tahoma"/>
            <family val="2"/>
          </rPr>
          <t>JOHN GOODNOW_x000D_
http://yeinfo.com/family/I09003056.html_x000D_
https://www.google.com/search?q=JOHN+GOODNOW+1670+1730+RUTH+Stone_x000D_
.born: 16700909-          Sudbury (Middlesex) Massachusetts_x000D_
.died:c1730    -          Newton (Middlesex) Massachusetts, age:59y 3m 23d, _x000D_
.bapt: 1785GE_x000D_
.will: 2004MO_x000D_
.obit: 1890OH_x000D_
.bury: 1850IL _x000D_
.wpbt: 1826PA_x000D_
.anc#:ancestor_x000D_
citiz:US born_x000D_
#spos:3_x000D_
#srcs:3_x000D_
#comment:0_x000D_
#events:3_x000D_
#kids:12_x000D_
lived:MAMIDDLNEWTON,MAMIDDLSUDBURY_x000D_
issue:_x000D_
.recs:Birth,Marriage,Death_x000D_
.imm?:no_x000D_
..Spo:RUTH WILLIS</t>
        </r>
      </text>
    </comment>
    <comment ref="W8906" authorId="0" shapeId="0" xr:uid="{824E0F96-2736-40A1-9F79-EFD4E6F6BA96}">
      <text>
        <r>
          <rPr>
            <sz val="9"/>
            <color indexed="81"/>
            <rFont val="Tahoma"/>
            <family val="2"/>
          </rPr>
          <t>THOMAS WILLIAM AXTELL Sr._x000D_
http://yeinfo.com/family/I09066436.html_x000D_
https://www.google.com/search?q=THOMAS+WILLIAM+AXTELL+1381+1418+MARY_x000D_
.born: 1381    -          Hertfordshire county England_x000D_
.died: 1418    -          Hertfordshire county England, age:37y 0m 0d, _x000D_
.bapt: 1785GE_x000D_
.will: 2004MO_x000D_
.obit: 1890OH_x000D_
.bury: 1850IL _x000D_
.wpbt: 1826PA_x000D_
.anc#:ancestor_x000D_
citiz:foreign_x000D_
#spos:1_x000D_
#srcs:2_x000D_
#comment:0_x000D_
#events:1_x000D_
#kids:1_x000D_
lived:ENHERTFBERKHAM_x000D_
issue:_x000D_
.recs:Birth,Marriage,Death_x000D_
.imm?:no_x000D_
..Spo:MARY STARR</t>
        </r>
      </text>
    </comment>
    <comment ref="V8908" authorId="0" shapeId="0" xr:uid="{C8DD5648-6B52-48D0-9C2E-D653EC5E3681}">
      <text>
        <r>
          <rPr>
            <sz val="9"/>
            <color indexed="81"/>
            <rFont val="Tahoma"/>
            <family val="2"/>
          </rPr>
          <t>HENRY THOMAS AXTELL_x000D_
http://yeinfo.com/family/I09066274.html_x000D_
https://www.google.com/search?q=HENRY+THOMAS+AXTELL+1415+1500+JOAN_x000D_
.born: 1415    -          Bovingdon (Hertfordshire) England_x000D_
.died: 1500    -          Barkham (Berkshire) England, age:85y 0m 0d, _x000D_
.bapt: 1785GE_x000D_
.will: 2004MO_x000D_
.obit: 1890OH_x000D_
.bury: 1850IL _x000D_
.wpbt: 1826PA_x000D_
.anc#:ancestor_x000D_
citiz:foreign_x000D_
#spos:1_x000D_
#srcs:2_x000D_
#comment:0_x000D_
#events:1_x000D_
#kids:1_x000D_
lived:ENBERKIBARKHAM,ENHERTFBOVINGD_x000D_
issue:_x000D_
.recs:Birth,Marriage,Death_x000D_
.imm?:no_x000D_
..Spo:JOAN GOULD</t>
        </r>
      </text>
    </comment>
    <comment ref="W8910" authorId="0" shapeId="0" xr:uid="{43FAE610-F804-404E-8192-DC25EFB8D447}">
      <text>
        <r>
          <rPr>
            <sz val="9"/>
            <color indexed="81"/>
            <rFont val="Tahoma"/>
            <family val="2"/>
          </rPr>
          <t>MARY STARR_x000D_
http://yeinfo.com/family/I09066479.html_x000D_
https://www.google.com/search?q=MARY+STARR+1386+1418+AXTELL_x000D_
.born: 1386    -         ?England_x000D_
.died: 1418    -         ?England, age:32y 0m 0d, _x000D_
.bapt: 1785GE_x000D_
.will: 2004MO_x000D_
.obit: 1890OH_x000D_
.bury: 1850IL _x000D_
.wpbt: 1826PA_x000D_
.anc#:ancestor_x000D_
citiz:foreign_x000D_
#spos:1_x000D_
#srcs:2_x000D_
#comment:0_x000D_
#events:1_x000D_
#kids:1_x000D_
lived:?EN,ENHERTFBERKHAM_x000D_
issue:_x000D_
.recs:Birth,Marriage,Death_x000D_
.imm?:no_x000D_
..Spo:THOMAS WILLIAM AXTELL</t>
        </r>
      </text>
    </comment>
    <comment ref="U8912" authorId="0" shapeId="0" xr:uid="{C1B2CBA9-27AB-4389-A60A-D52EB37246A0}">
      <text>
        <r>
          <rPr>
            <sz val="9"/>
            <color indexed="81"/>
            <rFont val="Tahoma"/>
            <family val="2"/>
          </rPr>
          <t>HENRY AXTELL_x000D_
http://yeinfo.com/family/I09066076.html_x000D_
https://www.google.com/search?q=HENRY+AXTELL+1435+1500+CECILY_x000D_
.born: 1435    -          Barkham (Berkshire) England_x000D_
.died: 1500    -          Barkham (Berkshire) England, age:65y 0m 0d, _x000D_
.bapt: 1785GE_x000D_
.will: 2004MO_x000D_
.obit: 1890OH_x000D_
.bury: 1850IL _x000D_
.wpbt: 1826PA_x000D_
.anc#:ancestor_x000D_
citiz:foreign_x000D_
#spos:1_x000D_
#srcs:2_x000D_
#comment:0_x000D_
#events:1_x000D_
#kids:1_x000D_
lived:ENBERKIBARKHAM_x000D_
issue:_x000D_
.recs:Birth,Marriage,Death_x000D_
.imm?:no_x000D_
..Spo:CECILY AXTELL</t>
        </r>
      </text>
    </comment>
    <comment ref="W8914" authorId="0" shapeId="0" xr:uid="{E38461D1-91CA-454B-91DE-08661B27D232}">
      <text>
        <r>
          <rPr>
            <sz val="9"/>
            <color indexed="81"/>
            <rFont val="Tahoma"/>
            <family val="2"/>
          </rPr>
          <t>JOHN GOULD_x000D_
http://yeinfo.com/family/I09066466.html_x000D_
https://www.google.com/search?q=JOHN+GOULD+1372+1415+{_?_}_x000D_
.born:c1372    -          Seaborough (Somerset) England_x000D_
.died: 1415    -1462     ?England, age:43y 0m 0d, _x000D_
.bapt: 1785GE_x000D_
.will: 2004MO_x000D_
.obit: 1890OH_x000D_
.bury: 1850IL _x000D_
.wpbt: 1826PA_x000D_
.anc#:ancestor_x000D_
citiz:foreign_x000D_
#spos:1_x000D_
#srcs:2_x000D_
#comment:1_x000D_
#events:1_x000D_
#kids:1_x000D_
lived:ENSOMESSEABORO_x000D_
issue:_x000D_
.recs:Birth,Marriage,Death_x000D_
.imm?:no_x000D_
..Spo:{_?_} GOULD</t>
        </r>
      </text>
    </comment>
    <comment ref="V8916" authorId="0" shapeId="0" xr:uid="{0942D9A2-DE17-420C-ADAE-685ADDB97C2B}">
      <text>
        <r>
          <rPr>
            <sz val="9"/>
            <color indexed="81"/>
            <rFont val="Tahoma"/>
            <family val="2"/>
          </rPr>
          <t>JOAN GOULD_x000D_
http://yeinfo.com/family/I09066292.html_x000D_
https://www.google.com/search?q=JOAN+GOULD+1415+1500+AXTELL_x000D_
.born: 1415    -          Bovingdon (Hertfordshire) England_x000D_
.died: 1500    -          Bovingdon (Hertfordshire) England, age:85y 0m 0d, _x000D_
.bapt: 1785GE_x000D_
.will: 2004MO_x000D_
.obit: 1890OH_x000D_
.bury: 1850IL _x000D_
.wpbt: 1826PA_x000D_
.anc#:ancestor_x000D_
citiz:foreign_x000D_
#spos:1_x000D_
#srcs:2_x000D_
#comment:0_x000D_
#events:1_x000D_
#kids:1_x000D_
lived:ENHERTFBOVINGD_x000D_
issue:_x000D_
.recs:Birth,Marriage,Death_x000D_
.imm?:no_x000D_
..Spo:HENRY THOMAS AXTELL</t>
        </r>
      </text>
    </comment>
    <comment ref="W8918" authorId="0" shapeId="0" xr:uid="{B11A83A9-86B2-4F23-BD37-3CE53147C01C}">
      <text>
        <r>
          <rPr>
            <sz val="9"/>
            <color indexed="81"/>
            <rFont val="Tahoma"/>
            <family val="2"/>
          </rPr>
          <t>Mrs. {_?_} GOULD_x000D_
http://yeinfo.com/family/I09066465.html_x000D_
https://www.google.com/search?q={_?_}+GOULD+1380+1415+GOULD_x000D_
.born:?1380    -         ?England_x000D_
.died: 1415    -1470     ?England, age:35y 0m 0d, _x000D_
.bapt: 1785GE_x000D_
.will: 2004MO_x000D_
.obit: 1890OH_x000D_
.bury: 1850IL _x000D_
.wpbt: 1826PA_x000D_
.anc#:ancestor_x000D_
citiz:foreign_x000D_
#spos:1_x000D_
#srcs:2_x000D_
#comment:0_x000D_
#events:1_x000D_
#kids:1_x000D_
lived:?EN_x000D_
issue:_x000D_
.recs:Birth,Marriage,Death_x000D_
.imm?:no_x000D_
..Spo:JOHN GOULD</t>
        </r>
      </text>
    </comment>
    <comment ref="T8920" authorId="0" shapeId="0" xr:uid="{ADCC150B-0F37-4FF1-9E95-A3480EBA05A3}">
      <text>
        <r>
          <rPr>
            <sz val="9"/>
            <color indexed="81"/>
            <rFont val="Tahoma"/>
            <family val="2"/>
          </rPr>
          <t>HENRY AXTELL_x000D_
http://yeinfo.com/family/I09065912.html_x000D_
https://www.google.com/search?q=HENRY+AXTELL+1474+1541+ALICE_x000D_
.born:c1474    -          Hemel Hampstead (Hertfordshire) England_x000D_
.died: 1541    -          Bovingdon (Hertfordshire) England, age:67y 0m 0d, _x000D_
.bapt: 1785GE_x000D_
.will: 2004MO_x000D_
.obit: 1890OH_x000D_
.bury: 1850IL _x000D_
.wpbt: 1826PA_x000D_
.anc#:ancestor_x000D_
citiz:foreign_x000D_
#spos:1_x000D_
#srcs:2_x000D_
#comment:0_x000D_
#events:1_x000D_
#kids:1_x000D_
lived:ENHERTFBOVINGD,ENHERTFHEMEL H_x000D_
issue:_x000D_
.recs:Birth,Marriage,Death_x000D_
.imm?:no_x000D_
..Spo:ALICE AXTELL</t>
        </r>
      </text>
    </comment>
    <comment ref="U8922" authorId="0" shapeId="0" xr:uid="{B4425DD7-97AA-4928-AEFF-6E29E08642A3}">
      <text>
        <r>
          <rPr>
            <sz val="9"/>
            <color indexed="81"/>
            <rFont val="Tahoma"/>
            <family val="2"/>
          </rPr>
          <t>Mrs. CECILY AXTELL_x000D_
http://yeinfo.com/family/I09066075.html_x000D_
https://www.google.com/search?q=CECILY+AXTELL+1435+1495+AXTELL_x000D_
.born: 1435    -          Barkham (Berkshire) England_x000D_
.died: 1495    -          Barkham (Berkshire) England, age:60y 0m 0d, _x000D_
.bapt: 1785GE_x000D_
.will: 2004MO_x000D_
.obit: 1890OH_x000D_
.bury: 1850IL _x000D_
.wpbt: 1826PA_x000D_
.anc#:ancestor_x000D_
citiz:foreign_x000D_
#spos:1_x000D_
#srcs:2_x000D_
#comment:0_x000D_
#events:1_x000D_
#kids:1_x000D_
lived:ENBERKIBARKHAM_x000D_
issue:_x000D_
.recs:Birth,Marriage,Death_x000D_
.imm?:no_x000D_
..Spo:HENRY AXTELL</t>
        </r>
      </text>
    </comment>
    <comment ref="S8924" authorId="0" shapeId="0" xr:uid="{B63229F7-DAC7-4537-B124-D2F0EE3DA1B4}">
      <text>
        <r>
          <rPr>
            <sz val="9"/>
            <color indexed="81"/>
            <rFont val="Tahoma"/>
            <family val="2"/>
          </rPr>
          <t>JOHN AXTELL_x000D_
http://yeinfo.com/family/I09065768.html_x000D_
https://www.google.com/search?q=JOHN+AXTELL+1496+1553+KATHERYNE_x000D_
.born:c1496    -          Berkhamsted (Hertfordshire) England_x000D_
.died: 15531011-          Berkhamsted (Hertfordshire) England, age:57y 9m 10d, _x000D_
.bapt: 1785GE_x000D_
.will: 2004MO_x000D_
.obit: 1890OH_x000D_
.bury: 1850IL _x000D_
.wpbt: 1826PA_x000D_
.anc#:ancestor_x000D_
citiz:foreign_x000D_
#spos:1_x000D_
#srcs:2_x000D_
#comment:0_x000D_
#events:1_x000D_
#kids:1_x000D_
lived:ENHERTFBERKHAM_x000D_
issue:_x000D_
.recs:Birth,Marriage,Death_x000D_
.imm?:no_x000D_
..Spo:KATHERYNE AXTELL</t>
        </r>
      </text>
    </comment>
    <comment ref="T8926" authorId="0" shapeId="0" xr:uid="{0D54D98F-9FAE-4E52-9E6E-29BE7A3A6A38}">
      <text>
        <r>
          <rPr>
            <sz val="9"/>
            <color indexed="81"/>
            <rFont val="Tahoma"/>
            <family val="2"/>
          </rPr>
          <t>Mrs. ALICE AXTELL_x000D_
http://yeinfo.com/family/I09065911.html_x000D_
https://www.google.com/search?q=ALICE+AXTELL+1478+1546+AXTELL_x000D_
.born:c1478    -          Hemel Hampstead (Hertfordshire) England_x000D_
.died: 15460628-          Bovingdon (Hertfordshire) England, age:68y 5m 27d, _x000D_
.bapt: 1785GE_x000D_
.will: 2004MO_x000D_
.obit: 1890OH_x000D_
.bury: 1850IL _x000D_
.wpbt: 1826PA_x000D_
.anc#:ancestor_x000D_
citiz:foreign_x000D_
#spos:1_x000D_
#srcs:2_x000D_
#comment:0_x000D_
#events:1_x000D_
#kids:1_x000D_
lived:ENHERTFBOVINGD,ENHERTFHEMEL H_x000D_
issue:_x000D_
.recs:Birth,Marriage,Death_x000D_
.imm?:no_x000D_
..Spo:HENRY AXTELL</t>
        </r>
      </text>
    </comment>
    <comment ref="R8928" authorId="0" shapeId="0" xr:uid="{F197E221-7CBC-4752-81A1-F5E4FE9B97E9}">
      <text>
        <r>
          <rPr>
            <sz val="9"/>
            <color indexed="81"/>
            <rFont val="Tahoma"/>
            <family val="2"/>
          </rPr>
          <t>WILLIAM AXTELL_x000D_
http://yeinfo.com/family/I09065637.html_x000D_
https://www.google.com/search?q=WILLIAM+AXTELL+1520+1568+JOAN_x000D_
.born:?1520    -          Berkhamsted (Hertfordshire) England_x000D_
.died: 1568    -         ?England, age:48y 0m 0d, _x000D_
.bapt: 1785GE_x000D_
.will: 2004MO_x000D_
.obit: 1890OH_x000D_
.bury: 1850IL _x000D_
.wpbt: 1826PA_x000D_
.anc#:ancestor_x000D_
citiz:foreign_x000D_
#spos:1_x000D_
#srcs:2_x000D_
#comment:0_x000D_
#events:1_x000D_
#kids:1_x000D_
lived:ENHERTFBERKHAM_x000D_
issue:Born before Parents Married_x000D_
.recs:Birth,Marriage,Death_x000D_
.imm?:no_x000D_
..Spo:JOAN PHILLIPS</t>
        </r>
      </text>
    </comment>
    <comment ref="S8930" authorId="0" shapeId="0" xr:uid="{0E8EAA21-D9B0-47B1-9982-567025908086}">
      <text>
        <r>
          <rPr>
            <sz val="9"/>
            <color indexed="81"/>
            <rFont val="Tahoma"/>
            <family val="2"/>
          </rPr>
          <t>Mrs. KATHERYNE AXTELL_x000D_
http://yeinfo.com/family/I09065767.html_x000D_
https://www.google.com/search?q=KATHERYNE+AXTELL+1518+1578+AXTELL_x000D_
.born: 1518    -          Saint Albans (Hertfordshire) England_x000D_
.died: 1578    -          Saint Albans (Hertfordshire) England, age:60y 0m 0d, _x000D_
.bapt: 1785GE_x000D_
.will: 2004MO_x000D_
.obit: 1890OH_x000D_
.bury: 1850IL _x000D_
.wpbt: 1826PA_x000D_
.anc#:ancestor_x000D_
citiz:foreign_x000D_
#spos:1_x000D_
#srcs:2_x000D_
#comment:0_x000D_
#events:1_x000D_
#kids:1_x000D_
lived:ENHERTFST.ALBA_x000D_
issue:_x000D_
.recs:Birth,Marriage,Death_x000D_
.imm?:no_x000D_
..Spo:JOHN AXTELL</t>
        </r>
      </text>
    </comment>
    <comment ref="Q8932" authorId="0" shapeId="0" xr:uid="{0D8E05BC-07C8-4ABA-93C6-F9AD6DC0D34B}">
      <text>
        <r>
          <rPr>
            <sz val="9"/>
            <color indexed="81"/>
            <rFont val="Tahoma"/>
            <family val="2"/>
          </rPr>
          <t>JOHN WILLIAM AXTELL_x000D_
http://yeinfo.com/family/I09048904.html_x000D_
https://www.google.com/search?q=JOHN+WILLIAM+AXTELL+1561+1626+DOROTHY_x000D_
.born: 1561    -          Berkhamsted (Hertfordshire) England_x000D_
.died: 1626    -1645     ?Berkhamsted (Hertfordshire) England, age:65y 0m 0d, _x000D_
.bapt: 1785GE_x000D_
.will: 2004MO_x000D_
.obit: 1890OH_x000D_
.bury: 1850IL _x000D_
.wpbt: 1826PA_x000D_
.anc#:ancestor_x000D_
citiz:foreign_x000D_
#spos:1_x000D_
#srcs:3_x000D_
#comment:0_x000D_
#events:1_x000D_
#kids:3_x000D_
lived:ENHERTFBERKHAM_x000D_
issue:_x000D_
.recs:Birth,Marriage,Death_x000D_
.imm?:no_x000D_
..Spo:DOROTHY SYMONDS</t>
        </r>
      </text>
    </comment>
    <comment ref="R8934" authorId="0" shapeId="0" xr:uid="{85E5DF34-163D-48CC-B2C3-EF32C1567A2C}">
      <text>
        <r>
          <rPr>
            <sz val="9"/>
            <color indexed="81"/>
            <rFont val="Tahoma"/>
            <family val="2"/>
          </rPr>
          <t>JOAN PHILLIPS_x000D_
http://yeinfo.com/family/I09065662.html_x000D_
https://www.google.com/search?q=JOAN+PHILLIPS+1520+1584+AXTELL_x000D_
.born:c1520    -          Hemel Hampstead (Hertfordshire) England_x000D_
.died:c15840521-          Hemel Hampstead (Hertfordshire) England, age:64y 4m 20d, _x000D_
.bapt: 1785GE_x000D_
.will: 2004MO_x000D_
.obit: 1890OH_x000D_
.bury: 1850IL _x000D_
.wpbt: 1826PA_x000D_
.anc#:ancestor_x000D_
citiz:foreign_x000D_
#spos:1_x000D_
#srcs:2_x000D_
#comment:0_x000D_
#events:1_x000D_
#kids:1_x000D_
lived:ENHERTFHEMEL H_x000D_
issue:_x000D_
.recs:Birth,Marriage,Death_x000D_
.imm?:no_x000D_
..Spo:WILLIAM AXTELL</t>
        </r>
      </text>
    </comment>
    <comment ref="P8936" authorId="0" shapeId="0" xr:uid="{CBC35412-F2E6-453E-A521-7C11F0C49A56}">
      <text>
        <r>
          <rPr>
            <sz val="9"/>
            <color indexed="81"/>
            <rFont val="Tahoma"/>
            <family val="2"/>
          </rPr>
          <t>WILLIAM AXTELL_x000D_
http://yeinfo.com/family/I09024452.html_x000D_
https://www.google.com/search?q=WILLIAM+AXTELL+1587+1633+THOMASINE_x000D_
.born:c1587    -          Berkhamsted (Hertfordshire) England_x000D_
.died: 1633    -1677      Berkhamsted (Hertfordshire) England, age:46y 0m 0d, _x000D_
.bapt: 1785GE_x000D_
.will: 2004MO_x000D_
.obit: 1890OH_x000D_
.bury: 1850IL _x000D_
.wpbt: 1826PA_x000D_
.anc#:ancestor_x000D_
citiz:foreign_x000D_
#spos:1_x000D_
#srcs:2_x000D_
#comment:0_x000D_
#events:1_x000D_
#kids:9_x000D_
lived:ENHERTFBERKHAM_x000D_
issue:_x000D_
.recs:Birth,Marriage,Death_x000D_
.imm?:no_x000D_
..Spo:THOMASINE CUTLER</t>
        </r>
      </text>
    </comment>
    <comment ref="Q8938" authorId="0" shapeId="0" xr:uid="{A012FB81-C408-419F-B006-020C48A07050}">
      <text>
        <r>
          <rPr>
            <sz val="9"/>
            <color indexed="81"/>
            <rFont val="Tahoma"/>
            <family val="2"/>
          </rPr>
          <t>DOROTHY SYMONDS_x000D_
http://yeinfo.com/family/I09048905.html_x000D_
https://www.google.com/search?q=DOROTHY+SYMONDS+1565+1600+AXTELL_x000D_
.born: 1565    -          _x000D_
.died: 1600    -1615     ?Herefordshire county England, age:35y 0m 0d, _x000D_
.bapt: 1785GE_x000D_
.will: 2004MO_x000D_
.obit: 1890OH_x000D_
.bury: 1850IL _x000D_
.wpbt: 1826PA_x000D_
.anc#:ancestor_x000D_
citiz:US born_x000D_
#spos:1_x000D_
#srcs:3_x000D_
#comment:0_x000D_
#events:1_x000D_
#kids:3_x000D_
lived:?ENHEREF,ENSUFFO_x000D_
issue:_x000D_
.recs:Birth,Marriage,Death_x000D_
.imm?:no_x000D_
..Spo:JOHN WILLIAM AXTELL</t>
        </r>
      </text>
    </comment>
    <comment ref="O8940" authorId="0" shapeId="0" xr:uid="{B4136179-561A-4407-8BE1-5AEE0F865748}">
      <text>
        <r>
          <rPr>
            <sz val="9"/>
            <color indexed="81"/>
            <rFont val="Tahoma"/>
            <family val="2"/>
          </rPr>
          <t>THOMAS AXTELL_x000D_
http://yeinfo.com/family/I09012226.html_x000D_
https://www.google.com/search?q=THOMAS+AXTELL+1619+1646+MARY_x000D_
.born: 16190126-          Berkhamsted (Hertfordshire) England_x000D_
.died: 16460108-         ?Sudbury (Middlesex) Massachusetts, age:26y 11m 13d, _x000D_
.bapt: 1785GE_x000D_
.will: 2004MO_x000D_
.obit: 1890OH_x000D_
.bury: 1850IL _x000D_
.wpbt: 1826PA_x000D_
.anc#:ancestor_x000D_
citiz:immigrant_x000D_
#spos:1_x000D_
#srcs:7_x000D_
#comment:0_x000D_
#events:7_x000D_
#kids:3_x000D_
lived:ENHERTFBERKHAM,MAMIDDLSUDBURY_x000D_
issue:_x000D_
.recs:Birth,Marriage,Death,Oath Taken,Inventory_x000D_
.imm?:immigrant_x000D_
..Spo:MARY AXTELL</t>
        </r>
      </text>
    </comment>
    <comment ref="Q8942" authorId="0" shapeId="0" xr:uid="{57C8BD4C-C0A5-4F86-935E-EF01907DD503}">
      <text>
        <r>
          <rPr>
            <sz val="9"/>
            <color indexed="81"/>
            <rFont val="Tahoma"/>
            <family val="2"/>
          </rPr>
          <t>NELSON CUTLER_x000D_
http://yeinfo.com/family/I09048906.html_x000D_
https://www.google.com/search?q=NELSON+CUTLER+1570+1591+JENNIFER_x000D_
.born:c1570    -         ?England_x000D_
.died: 1591    -1660     ?England, age:21y 0m 0d, _x000D_
.bapt: 1785GE_x000D_
.will: 2004MO_x000D_
.obit: 1890OH_x000D_
.bury: 1850IL _x000D_
.wpbt: 1826PA_x000D_
.anc#:ancestor_x000D_
citiz:foreign_x000D_
#spos:1_x000D_
#srcs:2_x000D_
#comment:0_x000D_
#events:1_x000D_
#kids:1_x000D_
lived:?EN_x000D_
issue:_x000D_
.recs:Birth,Marriage,Death_x000D_
.imm?:no_x000D_
..Spo:JENNIFER YOUNG</t>
        </r>
      </text>
    </comment>
    <comment ref="P8944" authorId="0" shapeId="0" xr:uid="{ACB984AF-BEA8-4B9C-9869-C17C8CE0A145}">
      <text>
        <r>
          <rPr>
            <sz val="9"/>
            <color indexed="81"/>
            <rFont val="Tahoma"/>
            <family val="2"/>
          </rPr>
          <t>THOMASINE CUTLER_x000D_
http://yeinfo.com/family/I09024453.html_x000D_
https://www.google.com/search?q=THOMASINE+CUTLER+1591+1675+AXTELL_x000D_
.born:c1591    -          Berkhamsted (Hertfordshire) England_x000D_
.died: 1675    -          Berkhamsted (Hertfordshire) England, age:84y 0m 0d, _x000D_
.bapt: 1785GE_x000D_
.will: 2004MO_x000D_
.obit: 1890OH_x000D_
.bury: 1850IL _x000D_
.wpbt: 1826PA_x000D_
.anc#:ancestor_x000D_
citiz:foreign_x000D_
#spos:1_x000D_
#srcs:3_x000D_
#comment:0_x000D_
#events:2_x000D_
#kids:9_x000D_
lived:ENHERTFBERKHAM_x000D_
issue:_x000D_
.recs:Birth,Marriage,Death_x000D_
.imm?:no_x000D_
..Spo:WILLIAM AXTELL</t>
        </r>
      </text>
    </comment>
    <comment ref="Q8946" authorId="0" shapeId="0" xr:uid="{8AFAF744-BCA1-46E8-832F-8DE3F52F13E0}">
      <text>
        <r>
          <rPr>
            <sz val="9"/>
            <color indexed="81"/>
            <rFont val="Tahoma"/>
            <family val="2"/>
          </rPr>
          <t>JENNIFER YOUNG_x000D_
http://yeinfo.com/family/I09048907.html_x000D_
https://www.google.com/search?q=JENNIFER+YOUNG+1570+1591+CUTLER_x000D_
.born:c1570    -         ?England_x000D_
.died: 1591    -1660     ?England, age:21y 0m 0d, _x000D_
.bapt: 1785GE_x000D_
.will: 2004MO_x000D_
.obit: 1890OH_x000D_
.bury: 1850IL _x000D_
.wpbt: 1826PA_x000D_
.anc#:ancestor_x000D_
citiz:foreign_x000D_
#spos:1_x000D_
#srcs:2_x000D_
#comment:0_x000D_
#events:1_x000D_
#kids:1_x000D_
lived:?EN_x000D_
issue:_x000D_
.recs:Birth,Marriage,Death_x000D_
.imm?:no_x000D_
..Spo:NELSON CUTLER</t>
        </r>
      </text>
    </comment>
    <comment ref="N8948" authorId="0" shapeId="0" xr:uid="{F0BE7012-E050-451B-8C3D-8C8E15906163}">
      <text>
        <r>
          <rPr>
            <sz val="9"/>
            <color indexed="81"/>
            <rFont val="Tahoma"/>
            <family val="2"/>
          </rPr>
          <t>MARY AXTELL_x000D_
http://yeinfo.com/family/I09006113.html_x000D_
https://www.google.com/search?q=MARY+AXTELL+1639+1704+GOODNOW_x000D_
.born:c1639    -          Berkhamsted (Hertfordshire) England_x000D_
.died: 17040414-          Sudbury (Middlesex) Massachusetts, age:65y 3m 13d, _x000D_
.bapt: 1785GE_x000D_
.will: 2004MO_x000D_
.obit: 1890OH_x000D_
.bury: 1850IL _x000D_
.wpbt: 1826PA_x000D_
.anc#:ancestor_x000D_
citiz:immigrant_x000D_
#spos:1_x000D_
#srcs:3_x000D_
#comment:0_x000D_
#events:2_x000D_
#kids:13_x000D_
lived:ENHERTFBERKHAM,MAMIDDLSUDBURY_x000D_
issue:_x000D_
.recs:Birth,Baptism,Marriage,Death_x000D_
.imm?:immigrant_x000D_
..Spo:JOHN GOODNOW</t>
        </r>
      </text>
    </comment>
    <comment ref="O8950" authorId="0" shapeId="0" xr:uid="{2A2BD3CE-337F-4DD6-9098-1E6FE15C10C2}">
      <text>
        <r>
          <rPr>
            <sz val="9"/>
            <color indexed="81"/>
            <rFont val="Tahoma"/>
            <family val="2"/>
          </rPr>
          <t>Mrs. MARY AXTELL_x000D_
http://yeinfo.com/family/I09012227.html_x000D_
https://www.google.com/search?q=MARY+AXTELL+1620+1645+AXTELL+John_x000D_
.born:?1620    -          England_x000D_
.died: 1645    -1710     ?Sudbury (Middlesex) Massachusetts, age:25y 0m 0d, _x000D_
.bapt: 1785GE_x000D_
.will: 2004MO_x000D_
.obit: 1890OH_x000D_
.bury: 1850IL _x000D_
.wpbt: 1826PA_x000D_
.anc#:ancestor_x000D_
citiz:immigrant_x000D_
#spos:2_x000D_
#srcs:3_x000D_
#comment:0_x000D_
#events:2_x000D_
#kids:3_x000D_
lived:?MAMIDDLSUDBURY,EN_x000D_
issue:_x000D_
.recs:Birth,Marriage,Death_x000D_
.imm?:immigrant_x000D_
..Spo:THOMAS AXTELL</t>
        </r>
      </text>
    </comment>
    <comment ref="L8952" authorId="0" shapeId="0" xr:uid="{154509DE-EB60-4CA3-AE03-0F6D938DF34B}">
      <text>
        <r>
          <rPr>
            <sz val="9"/>
            <color indexed="81"/>
            <rFont val="Tahoma"/>
            <family val="2"/>
          </rPr>
          <t>JOHN GOODNOW_x000D_
http://yeinfo.com/family/I09001528.html_x000D_
https://www.google.com/search?q=JOHN+GOODNOW+1690+1752+RUTH+Bullard_x000D_
.born: 16901217-          Sudbury (Middlesex) Massachusetts_x000D_
.died: 17520611-          Natick (Middlesex) Massachusetts, age:61y 5m 25d, _x000D_
.bapt: 1785GE_x000D_
.will: 2004MO_x000D_
.obit: 1890OH_x000D_
.bury: 1850IL _x000D_
.wpbt: 1826PA_x000D_
.anc#:ancestor_x000D_
citiz:US born_x000D_
#spos:2_x000D_
#srcs:2_x000D_
#comment:0_x000D_
#events:2_x000D_
#kids:1_x000D_
lived:MAMIDDLNATICK,MAMIDDLSUDBURY_x000D_
issue:_x000D_
.recs:Birth,Marriage,Death_x000D_
.imm?:no_x000D_
..Spo:RUTH RICE</t>
        </r>
      </text>
    </comment>
    <comment ref="N8954" authorId="0" shapeId="0" xr:uid="{7910D2EA-EBB6-4845-8454-B8AE0A7D99CF}">
      <text>
        <r>
          <rPr>
            <sz val="9"/>
            <color indexed="81"/>
            <rFont val="Tahoma"/>
            <family val="2"/>
          </rPr>
          <t>ROGER WILLIS_x000D_
http://yeinfo.com/family/I09006114.html_x000D_
https://www.google.com/search?q=ROGER+WILLIS+1640+1680+RUTH_x000D_
.born:?1640    -         ?England_x000D_
.died: 1680    -1730     ?Massachusetts, age:40y 0m 0d, _x000D_
.bapt: 1785GE_x000D_
.will: 2004MO_x000D_
.obit: 1890OH_x000D_
.bury: 1850IL _x000D_
.wpbt: 1826PA_x000D_
.anc#:ancestor_x000D_
citiz:immigrant_x000D_
#spos:1_x000D_
#srcs:3_x000D_
#comment:1_x000D_
#events:3_x000D_
#kids:3_x000D_
lived:?EN,MAMIDDLSUDBURY,MASUFFODORCHES_x000D_
issue:_x000D_
.recs:Birth,Marriage,Death_x000D_
.imm?:immigrant_x000D_
..Spo:RUTH HILL</t>
        </r>
      </text>
    </comment>
    <comment ref="M8956" authorId="0" shapeId="0" xr:uid="{C469501C-5224-444E-BA68-0B70131078AB}">
      <text>
        <r>
          <rPr>
            <sz val="9"/>
            <color indexed="81"/>
            <rFont val="Tahoma"/>
            <family val="2"/>
          </rPr>
          <t>RUTH WILLIS_x000D_
http://yeinfo.com/family/I09003057.html_x000D_
https://www.google.com/search?q=RUTH+WILLIS+1670+1690+GOODNOW_x000D_
.born:?1670    -         ?Massachusetts_x000D_
.died: 1690    -1760     ?Massachusetts, age:20y 0m 0d, _x000D_
.bapt: 1785GE_x000D_
.will: 2004MO_x000D_
.obit: 1890OH_x000D_
.bury: 1850IL _x000D_
.wpbt: 1826PA_x000D_
.anc#:ancestor_x000D_
citiz:US born_x000D_
#spos:1_x000D_
#srcs:1_x000D_
#comment:0_x000D_
#events:1_x000D_
#kids:4_x000D_
lived:?MA,MAMIDDLSUDBURY_x000D_
issue:_x000D_
.recs:Birth,Marriage,Death_x000D_
.imm?:no_x000D_
..Spo:JOHN GOODNOW</t>
        </r>
      </text>
    </comment>
    <comment ref="W8958" authorId="0" shapeId="0" xr:uid="{A7939E2F-0CD7-4B9C-ACF9-FB21CA1EAA54}">
      <text>
        <r>
          <rPr>
            <sz val="9"/>
            <color indexed="81"/>
            <rFont val="Tahoma"/>
            <family val="2"/>
          </rPr>
          <t>JOHN HILL_x000D_
http://yeinfo.com/family/I09066467.html_x000D_
https://www.google.com/search?q=JOHN+HILL+1338+1408+DENISE+Daubeney_x000D_
.born: 13380109-          Exeter (Devon) England_x000D_
.died: 14080624-          Kingsbridge (Devon) England, age:70y 5m 15d, _x000D_
.bapt: 1785GE_x000D_
.will: 2004MO_x000D_
.obit: 1890OH_x000D_
.bury: 1850IL St.John the Baptist Priory_x000D_
.wpbt: 1826PA_x000D_
.anc#:ancestor_x000D_
citiz:foreign_x000D_
#spos:2_x000D_
#srcs:1_x000D_
#comment:1_x000D_
#events:3_x000D_
#kids:1_x000D_
lived:ENDEVONEXETER,ENDEVONKINGSBR_x000D_
issue:_x000D_
.recs:Birth,Marriage,Death,Interment/Burial_x000D_
.imm?:no_x000D_
..Spo:DENISE DURBOROUGH</t>
        </r>
      </text>
    </comment>
    <comment ref="V8960" authorId="0" shapeId="0" xr:uid="{C5B6668C-5531-484A-AB1B-DFC331B1F290}">
      <text>
        <r>
          <rPr>
            <sz val="9"/>
            <color indexed="81"/>
            <rFont val="Tahoma"/>
            <family val="2"/>
          </rPr>
          <t>ROBERT HILL_x000D_
http://yeinfo.com/family/I09066295.html_x000D_
https://www.google.com/search?q=ROBERT+HILL+1375+1423+ISABEL_x000D_
.born: 13750101-          Spaxton (Somerset) England_x000D_
.died: 14230425-          Taunton (Somerset) England, age:48y 3m 24d, _x000D_
.bapt: 1785GE_x000D_
.will: 2004MO_x000D_
.obit: 1890OH_x000D_
.bury: 1850IL Buckland Church_x000D_
.wpbt: 1826PA_x000D_
.anc#:ancestor_x000D_
citiz:foreign_x000D_
#spos:1_x000D_
#srcs:1_x000D_
#comment:0_x000D_
#events:2_x000D_
#kids:1_x000D_
lived:ENSOMESBUCKDHM,ENSOMESSPAXTON,ENSOMESTAUNTON_x000D_
issue:_x000D_
.recs:Birth,Marriage,Death,Interment/Burial_x000D_
.imm?:no_x000D_
..Spo:ISABEL FICHET</t>
        </r>
      </text>
    </comment>
    <comment ref="W8962" authorId="0" shapeId="0" xr:uid="{581E461F-23C2-4694-B79A-F050EAEEF05C}">
      <text>
        <r>
          <rPr>
            <sz val="9"/>
            <color indexed="81"/>
            <rFont val="Tahoma"/>
            <family val="2"/>
          </rPr>
          <t>DENISE DURBOROUGH_x000D_
http://yeinfo.com/family/I09066449.html_x000D_
https://www.google.com/search?q=DENISE+DURBOROUGH+1340+1387+HILL_x000D_
.born: 1340    -          Exeter (Devon) England_x000D_
.died: 13871013-          Holcombe Burnell (Devon) England, age:47y 9m 12d, _x000D_
.bapt: 1785GE_x000D_
.will: 2004MO_x000D_
.obit: 1890OH_x000D_
.bury: 1850IL _x000D_
.wpbt: 1826PA_x000D_
.anc#:ancestor_x000D_
citiz:foreign_x000D_
#spos:1_x000D_
#srcs:1_x000D_
#comment:0_x000D_
#events:1_x000D_
#kids:1_x000D_
lived:ENDEVONEXETER,ENDEVONHOLCBUR_x000D_
issue:_x000D_
.recs:Birth,Marriage,Death_x000D_
.imm?:no_x000D_
..Spo:JOHN HILL</t>
        </r>
      </text>
    </comment>
    <comment ref="U8964" authorId="0" shapeId="0" xr:uid="{9D29B10D-962B-42DF-85A9-011148A44A76}">
      <text>
        <r>
          <rPr>
            <sz val="9"/>
            <color indexed="81"/>
            <rFont val="Tahoma"/>
            <family val="2"/>
          </rPr>
          <t>ROBERT JOHN HILL_x000D_
http://yeinfo.com/family/I09066097.html_x000D_
https://www.google.com/search?q=ROBERT+JOHN+HILL+1401+1434+CECILIA_x000D_
.born: 14010926-          Sedgemoor (Somerset) England_x000D_
.died: 14341021-          Inkpen (Berkshire) England, age:33y 0m 25d, _x000D_
.bapt: 1785GE_x000D_
.will: 2004MO_x000D_
.obit: 1890OH_x000D_
.bury: 1850IL St. Margaret's Churchyard_x000D_
.wpbt: 1826PA_x000D_
.anc#:ancestor_x000D_
citiz:foreign_x000D_
#spos:1_x000D_
#srcs:1_x000D_
#comment:0_x000D_
#events:3_x000D_
#kids:1_x000D_
lived:ENBERKIINKPEN,ENDEVON,ENSOMESSEDGEMO,ENSOMESSPAXTON_x000D_
issue:_x000D_
.recs:Birth,Marriage,Death,Interment/Burial_x000D_
.imm?:no_x000D_
..Spo:CECILIA STOURTON</t>
        </r>
      </text>
    </comment>
    <comment ref="W8966" authorId="0" shapeId="0" xr:uid="{C6083D51-7B60-4B58-863E-376F4A5939DA}">
      <text>
        <r>
          <rPr>
            <sz val="9"/>
            <color indexed="81"/>
            <rFont val="Tahoma"/>
            <family val="2"/>
          </rPr>
          <t>THOMAS FICHET_x000D_
http://yeinfo.com/family/I09066453.html_x000D_
https://www.google.com/search?q=THOMAS+FICHET+1344+1383+RICHARDA_x000D_
.born: 1344    -          Spaxton (Somerset) England_x000D_
.died:?1383    -          American Samoa, age:39y 0m 0d, _x000D_
.bapt: 1785GE_x000D_
.will: 2004MO_x000D_
.obit: 1890OH_x000D_
.bury: 1850IL _x000D_
.wpbt: 1826PA_x000D_
.anc#:ancestor_x000D_
citiz:foreign_x000D_
#spos:1_x000D_
#srcs:1_x000D_
#comment:1_x000D_
#events:1_x000D_
#kids:1_x000D_
lived:AS,ENSOMESSPAXTON_x000D_
issue:_x000D_
.recs:Birth,Marriage,Death_x000D_
.imm?:no_x000D_
..Spo:RICHARDA INKEPENNE</t>
        </r>
      </text>
    </comment>
    <comment ref="V8968" authorId="0" shapeId="0" xr:uid="{1C454A5D-66A0-44CD-AE49-7741CDBAE679}">
      <text>
        <r>
          <rPr>
            <sz val="9"/>
            <color indexed="81"/>
            <rFont val="Tahoma"/>
            <family val="2"/>
          </rPr>
          <t>ISABEL FICHET_x000D_
http://yeinfo.com/family/I09066286.html_x000D_
https://www.google.com/search?q=ISABEL+FICHET+1383+1423+HILL_x000D_
.born: 13830324-          Spaxton (Somerset) England_x000D_
.died: 14230425-          Spaxton (Somerset) England, age:40y 1m 1d, _x000D_
.bapt: 1785GE_x000D_
.will: 2004MO_x000D_
.obit: 1890OH_x000D_
.bury: 1850IL _x000D_
.wpbt: 1826PA_x000D_
.anc#:ancestor_x000D_
citiz:foreign_x000D_
#spos:1_x000D_
#srcs:1_x000D_
#comment:0_x000D_
#events:1_x000D_
#kids:1_x000D_
lived:ENSOMESSPAXTON_x000D_
issue:_x000D_
.recs:Birth,Marriage,Death_x000D_
.imm?:no_x000D_
..Spo:ROBERT HILL</t>
        </r>
      </text>
    </comment>
    <comment ref="W8970" authorId="0" shapeId="0" xr:uid="{C1E33618-2C6B-40D4-9730-F6FC699207A1}">
      <text>
        <r>
          <rPr>
            <sz val="9"/>
            <color indexed="81"/>
            <rFont val="Tahoma"/>
            <family val="2"/>
          </rPr>
          <t>RICHARDA INKEPENNE_x000D_
http://yeinfo.com/family/I09066468.html_x000D_
https://www.google.com/search?q=RICHARDA+INKEPENNE+1349+1390+FICHET_x000D_
.born: 1349    -          Spaxton (Somerset) England_x000D_
.died: 13900808-          Spaxton (Somerset) England, age:41y 7m 7d, _x000D_
.bapt: 1785GE_x000D_
.will: 2004MO_x000D_
.obit: 1890OH_x000D_
.bury: 1850IL _x000D_
.wpbt: 1826PA_x000D_
.anc#:ancestor_x000D_
citiz:foreign_x000D_
#spos:1_x000D_
#srcs:1_x000D_
#comment:1_x000D_
#events:1_x000D_
#kids:1_x000D_
lived:ENSOMESSPAXTON_x000D_
issue:_x000D_
.recs:Birth,Marriage,Death_x000D_
.imm?:no_x000D_
..Spo:THOMAS FICHET</t>
        </r>
      </text>
    </comment>
    <comment ref="T8972" authorId="0" shapeId="0" xr:uid="{435242DA-B2DE-43C2-9F1B-80D3346A8BB3}">
      <text>
        <r>
          <rPr>
            <sz val="9"/>
            <color indexed="81"/>
            <rFont val="Tahoma"/>
            <family val="2"/>
          </rPr>
          <t>ROGER HILL III_x000D_
http://yeinfo.com/family/I09065929.html_x000D_
https://www.google.com/search?q=ROGER+HILL+1430+1479+ALICE_x000D_
.born: 1430    -          Spaxton (Somerset) England_x000D_
.died: 1479    -          Spaxton (Somerset) England, age:49y 0m 0d, _x000D_
.bapt: 1785GE_x000D_
.will: 2004MO_x000D_
.obit: 1890OH_x000D_
.bury: 1850IL _x000D_
.wpbt: 1826PA_x000D_
.anc#:ancestor_x000D_
citiz:foreign_x000D_
#spos:1_x000D_
#srcs:1_x000D_
#comment:0_x000D_
#events:1_x000D_
#kids:1_x000D_
lived:ENCHESHWYBUNBU,ENSOMESSPAXTON_x000D_
issue:_x000D_
.recs:Birth,Marriage,Death_x000D_
.imm?:no_x000D_
..Spo:ALICE WOOD</t>
        </r>
      </text>
    </comment>
    <comment ref="W8974" authorId="0" shapeId="0" xr:uid="{04E41EFE-232C-4440-A127-748DED51C90F}">
      <text>
        <r>
          <rPr>
            <sz val="9"/>
            <color indexed="81"/>
            <rFont val="Tahoma"/>
            <family val="2"/>
          </rPr>
          <t>JOHN STOURTON_x000D_
http://yeinfo.com/family/I09066480.html_x000D_
https://www.google.com/search?q=JOHN+STOURTON+1334+1405+JANE_x000D_
.born: 1334    -          Stourton (Wiltshire) England_x000D_
.died: 14050624-          Preston (Somerset) England, age:71y 5m 23d, _x000D_
.bapt: 1785GE_x000D_
.will: 2004MO_x000D_
.obit: 1890OH_x000D_
.bury: 1850IL _x000D_
.wpbt: 1826PA_x000D_
.anc#:ancestor_x000D_
citiz:foreign_x000D_
#spos:1_x000D_
#srcs:1_x000D_
#comment:0_x000D_
#events:1_x000D_
#kids:1_x000D_
lived:ENSOMESPRESTON,ENWILTSSTOURTO_x000D_
issue:_x000D_
.recs:Birth,Marriage,Death_x000D_
.imm?:no_x000D_
..Spo:JANE BASSETT</t>
        </r>
      </text>
    </comment>
    <comment ref="V8976" authorId="0" shapeId="0" xr:uid="{38681795-7829-4552-8850-D8B20AB0BAE2}">
      <text>
        <r>
          <rPr>
            <sz val="9"/>
            <color indexed="81"/>
            <rFont val="Tahoma"/>
            <family val="2"/>
          </rPr>
          <t>JOHN STOURTON_x000D_
http://yeinfo.com/family/I09066309.html_x000D_
https://www.google.com/search?q=JOHN+STOURTON+1375+1438+JOAN_x000D_
.born:c1375    -          Somerset county England_x000D_
.died: 14381119-          Brimpton (Berkshire) England, age:63y 10m 18d, _x000D_
.bapt: 1785GE_x000D_
.will: 2004MO_x000D_
.obit: 1890OH_x000D_
.bury: 1850IL _x000D_
.wpbt: 1826PA_x000D_
.anc#:ancestor_x000D_
citiz:foreign_x000D_
#spos:1_x000D_
#srcs:1_x000D_
#comment:0_x000D_
#events:2_x000D_
#kids:1_x000D_
lived:ENBERKIBRIMPTO,ENSOMESCHARLTO,ENSOMESPRESTON_x000D_
issue:_x000D_
.recs:Birth,Marriage,Death_x000D_
.imm?:no_x000D_
..Spo:JOAN BANASTRE</t>
        </r>
      </text>
    </comment>
    <comment ref="W8978" authorId="0" shapeId="0" xr:uid="{284489C5-C378-4A1A-8D53-BB810F880B93}">
      <text>
        <r>
          <rPr>
            <sz val="9"/>
            <color indexed="81"/>
            <rFont val="Tahoma"/>
            <family val="2"/>
          </rPr>
          <t>JANE BASSETT_x000D_
http://yeinfo.com/family/I09066441.html_x000D_
https://www.google.com/search?q=JANE+BASSETT+1355+1407+STOURTON_x000D_
.born: 1355    -          Glastonbury (Somerset) England_x000D_
.died: 14070110-          Glastonbury (Somerset) England, age:52y 0m 9d, _x000D_
.bapt: 1785GE_x000D_
.will: 2004MO_x000D_
.obit: 1890OH_x000D_
.bury: 1850IL _x000D_
.wpbt: 1826PA_x000D_
.anc#:ancestor_x000D_
citiz:foreign_x000D_
#spos:1_x000D_
#srcs:1_x000D_
#comment:1_x000D_
#events:1_x000D_
#kids:1_x000D_
lived:ENSOMESGLASTBU_x000D_
issue:Died after Age 100_x000D_
.recs:Birth,Marriage,Death_x000D_
.imm?:no_x000D_
..Spo:JOHN STOURTON</t>
        </r>
      </text>
    </comment>
    <comment ref="U8980" authorId="0" shapeId="0" xr:uid="{33EDAECA-9F4B-42A7-84CF-E2CFCA7AB73B}">
      <text>
        <r>
          <rPr>
            <sz val="9"/>
            <color indexed="81"/>
            <rFont val="Tahoma"/>
            <family val="2"/>
          </rPr>
          <t>CECILIA STOURTON_x000D_
http://yeinfo.com/family/I09066115.html_x000D_
https://www.google.com/search?q=CECILIA+STOURTON+1410+1472+HILL_x000D_
.born: 1410    -          Spaxton (Somerset) England_x000D_
.died: 14720419-          Spaxton (Somerset) England, age:62y 3m 18d, _x000D_
.bapt: 1785GE_x000D_
.will: 2004MO_x000D_
.obit: 1890OH_x000D_
.bury: 1850IL St. Margaret's Churchyard_x000D_
.wpbt: 1826PA_x000D_
.anc#:ancestor_x000D_
citiz:foreign_x000D_
#spos:1_x000D_
#srcs:1_x000D_
#comment:0_x000D_
#events:2_x000D_
#kids:1_x000D_
lived:ENSOMESSPAXTON_x000D_
issue:Died after Age 100_x000D_
.recs:Birth,Marriage,Death,Interment/Burial_x000D_
.imm?:no_x000D_
..Spo:ROBERT JOHN HILL</t>
        </r>
      </text>
    </comment>
    <comment ref="W8982" authorId="0" shapeId="0" xr:uid="{BD72CDEF-ED59-4034-B01D-1B7D6B8E307F}">
      <text>
        <r>
          <rPr>
            <sz val="9"/>
            <color indexed="81"/>
            <rFont val="Tahoma"/>
            <family val="2"/>
          </rPr>
          <t>WILLIAM BANASTRE II_x000D_
http://yeinfo.com/family/I09066438.html_x000D_
https://www.google.com/search?q=WILLIAM+BANASTRE+1359+1395+ELIZABETH_x000D_
.born: 1359    -          Wheathill (Somerset) England_x000D_
.died: 1395    -          Radstock (Somerset) England, age:36y 0m 0d, _x000D_
.bapt: 1785GE_x000D_
.will: 2004MO_x000D_
.obit: 1890OH_x000D_
.bury: 1850IL _x000D_
.wpbt: 1826PA_x000D_
.anc#:  triple ancestor_x000D_
citiz:foreign_x000D_
#spos:1_x000D_
#srcs:2_x000D_
#comment:0_x000D_
#events:1_x000D_
#kids:2_x000D_
lived:ENSOMESRADSTOC,ENSOMESWHEATHI_x000D_
issue:_x000D_
.recs:Birth,Marriage,Death_x000D_
.imm?:no_x000D_
..Spo:ELIZABETH WELLESLEY</t>
        </r>
      </text>
    </comment>
    <comment ref="V8984" authorId="0" shapeId="0" xr:uid="{D6B73932-0D94-4138-9BE9-E11108CD8E98}">
      <text>
        <r>
          <rPr>
            <sz val="9"/>
            <color indexed="81"/>
            <rFont val="Tahoma"/>
            <family val="2"/>
          </rPr>
          <t>JOAN BANASTRE_x000D_
http://yeinfo.com/family/I09066276.html_x000D_
https://www.google.com/search?q=JOAN+BANASTRE+1385+1416+STOURTON_x000D_
.born: 1385    -          Wheathill (Somerset) England_x000D_
.died: 1416    -          Somerset county England, age:31y 0m 0d, _x000D_
.bapt: 1785GE_x000D_
.will: 2004MO_x000D_
.obit: 1890OH_x000D_
.bury: 1850IL _x000D_
.wpbt: 1826PA_x000D_
.anc#:ancestor_x000D_
citiz:foreign_x000D_
#spos:1_x000D_
#srcs:1_x000D_
#comment:0_x000D_
#events:2_x000D_
#kids:1_x000D_
lived:ENSOMESCHARLTO,ENSOMESPRESTON,ENSOMESWHEATHI_x000D_
issue:_x000D_
.recs:Birth,Marriage,Death_x000D_
.imm?:no_x000D_
..Spo:JOHN STOURTON</t>
        </r>
      </text>
    </comment>
    <comment ref="W8986" authorId="0" shapeId="0" xr:uid="{04FAA2DF-0F87-4E17-A70D-8A86252F1A55}">
      <text>
        <r>
          <rPr>
            <sz val="9"/>
            <color indexed="81"/>
            <rFont val="Tahoma"/>
            <family val="2"/>
          </rPr>
          <t>ELIZABETH WELLESLEY_x000D_
http://yeinfo.com/family/I09066486.html_x000D_
https://www.google.com/search?q=ELIZABETH+WELLESLEY+1363+1400+BANASTRE_x000D_
.born: 1363    -          Radstock (Somerset) England_x000D_
.died: 1400    -1450      Somerset county England, age:37y 0m 0d, _x000D_
.bapt: 1785GE_x000D_
.will: 2004MO_x000D_
.obit: 1890OH_x000D_
.bury: 1850IL _x000D_
.wpbt: 1826PA_x000D_
.anc#:  triple ancestor_x000D_
citiz:foreign_x000D_
#spos:1_x000D_
#srcs:1_x000D_
#comment:0_x000D_
#events:1_x000D_
#kids:2_x000D_
lived:ENSOMESRADSTOC_x000D_
issue:_x000D_
.recs:Birth,Marriage,Death_x000D_
.imm?:no_x000D_
..Spo:WILLIAM BANASTRE</t>
        </r>
      </text>
    </comment>
    <comment ref="S8988" authorId="0" shapeId="0" xr:uid="{EBEA16FD-E88C-4B64-AFCB-30CB542ED98D}">
      <text>
        <r>
          <rPr>
            <sz val="9"/>
            <color indexed="81"/>
            <rFont val="Tahoma"/>
            <family val="2"/>
          </rPr>
          <t>WILLIAM HILL_x000D_
http://yeinfo.com/family/I09065782.html_x000D_
https://www.google.com/search?q=WILLIAM+HILL+1470+1532+ELEANOR_x000D_
.born: 1470    -          Taunton (Somerset) England_x000D_
.died: 15320524-          Taunton (Somerset) England, age:62y 4m 23d, _x000D_
.bapt: 1785GE_x000D_
.will: 2004MO_x000D_
.obit: 1890OH_x000D_
.bury: 1850IL _x000D_
.wpbt: 1826PA_x000D_
.anc#:ancestor_x000D_
citiz:foreign_x000D_
#spos:1_x000D_
#srcs:1_x000D_
#comment:0_x000D_
#events:1_x000D_
#kids:1_x000D_
lived:ENSOMESTAUNTON_x000D_
issue:_x000D_
.recs:Birth,Marriage,Death_x000D_
.imm?:no_x000D_
..Spo:ELEANOR BOYLE</t>
        </r>
      </text>
    </comment>
    <comment ref="V8990" authorId="0" shapeId="0" xr:uid="{5B1CE0AE-CCFB-4AE8-A122-9A37DC6D46B3}">
      <text>
        <r>
          <rPr>
            <sz val="9"/>
            <color indexed="81"/>
            <rFont val="Tahoma"/>
            <family val="2"/>
          </rPr>
          <t>JOHN WOOD_x000D_
http://yeinfo.com/family/I09066314.html_x000D_
https://www.google.com/search?q=JOHN+WOOD+1404+1456+ANN_x000D_
.born: 1404    -          England_x000D_
.died: 1456    -          England, age:52y 0m 0d, _x000D_
.bapt: 1785GE_x000D_
.will: 2004MO_x000D_
.obit: 1890OH_x000D_
.bury: 1850IL _x000D_
.wpbt: 1826PA_x000D_
.anc#:ancestor_x000D_
citiz:foreign_x000D_
#spos:1_x000D_
#srcs:1_x000D_
#comment:1_x000D_
#events:1_x000D_
#kids:1_x000D_
lived:EN_x000D_
issue:_x000D_
.recs:Birth,Marriage,Death_x000D_
.imm?:no_x000D_
..Spo:ANN POLLARD</t>
        </r>
      </text>
    </comment>
    <comment ref="U8992" authorId="0" shapeId="0" xr:uid="{3E42D0F9-5DB6-4F87-B1C0-4E95EF0F223A}">
      <text>
        <r>
          <rPr>
            <sz val="9"/>
            <color indexed="81"/>
            <rFont val="Tahoma"/>
            <family val="2"/>
          </rPr>
          <t>ROBERT WOOD_x000D_
http://yeinfo.com/family/I09066122.html_x000D_
https://www.google.com/search?q=ROBERT+WOOD+1430+1456+JOYCE_x000D_
.born: 1430    -          Wybunbury (Cheshire) England_x000D_
.died: 1456    -          Wybunbury (Cheshire) England, age:26y 0m 0d, _x000D_
.bapt: 1785GE_x000D_
.will: 2004MO_x000D_
.obit: 1890OH_x000D_
.bury: 1850IL _x000D_
.wpbt: 1826PA_x000D_
.anc#:ancestor_x000D_
citiz:foreign_x000D_
#spos:1_x000D_
#srcs:1_x000D_
#comment:0_x000D_
#events:1_x000D_
#kids:1_x000D_
lived:ENCHESHWYBUNBU_x000D_
issue:_x000D_
.recs:Birth,Marriage,Death_x000D_
.imm?:no_x000D_
..Spo:JOYCE CLERKE</t>
        </r>
      </text>
    </comment>
    <comment ref="V8994" authorId="0" shapeId="0" xr:uid="{245ACD17-E7BD-4E7B-917C-16A9E6E8ECFE}">
      <text>
        <r>
          <rPr>
            <sz val="9"/>
            <color indexed="81"/>
            <rFont val="Tahoma"/>
            <family val="2"/>
          </rPr>
          <t>ANN POLLARD_x000D_
http://yeinfo.com/family/I09066302.html_x000D_
https://www.google.com/search?q=ANN+POLLARD+1398+1485+WOOD_x000D_
.born: 1398    -          Harwood (Lancashire) England_x000D_
.died: 1485    -          Warwick (Warwickshire) England, age:87y 0m 0d, _x000D_
.bapt: 1785GE_x000D_
.will: 2004MO_x000D_
.obit: 1890OH_x000D_
.bury: 1850IL Warwick Castle_x000D_
.wpbt: 1826PA_x000D_
.anc#:ancestor_x000D_
citiz:foreign_x000D_
#spos:1_x000D_
#srcs:1_x000D_
#comment:0_x000D_
#events:2_x000D_
#kids:1_x000D_
lived:ENLANCSHARWOOD,ENWARWEWARWICK_x000D_
issue:_x000D_
.recs:Birth,Marriage,Death,Interment/Burial_x000D_
.imm?:no_x000D_
..Spo:JOHN WOOD</t>
        </r>
      </text>
    </comment>
    <comment ref="T8996" authorId="0" shapeId="0" xr:uid="{5FDD7642-E2D7-475B-8D2A-742D4419FB70}">
      <text>
        <r>
          <rPr>
            <sz val="9"/>
            <color indexed="81"/>
            <rFont val="Tahoma"/>
            <family val="2"/>
          </rPr>
          <t>ALICE WOOD_x000D_
http://yeinfo.com/family/I09065951.html_x000D_
https://www.google.com/search?q=ALICE+WOOD+1456+1476+HILL_x000D_
.born: 1456    -          Wybunbury (Cheshire) England_x000D_
.died: 1476    -1546      Yeovil (Somerset) England, age:20y 0m 0d, _x000D_
.bapt: 1785GE_x000D_
.will: 2004MO_x000D_
.obit: 1890OH_x000D_
.bury: 1850IL _x000D_
.wpbt: 1826PA_x000D_
.anc#:ancestor_x000D_
citiz:foreign_x000D_
#spos:1_x000D_
#srcs:1_x000D_
#comment:0_x000D_
#events:1_x000D_
#kids:1_x000D_
lived:ENCHESHWYBUNBU,ENSOMESYEOVIL_x000D_
issue:Died after Age 100_x000D_
.recs:Birth,Marriage,Death_x000D_
.imm?:no_x000D_
..Spo:ROGER HILL</t>
        </r>
      </text>
    </comment>
    <comment ref="Y8998" authorId="0" shapeId="0" xr:uid="{7A7507BD-1BF1-498B-8CFD-623615A9B098}">
      <text>
        <r>
          <rPr>
            <sz val="9"/>
            <color indexed="81"/>
            <rFont val="Tahoma"/>
            <family val="2"/>
          </rPr>
          <t>PETER WOODCHURCH CLERKE_x000D_
http://yeinfo.com/family/I09066614.html_x000D_
https://www.google.com/search?q=PETER+WOODCHURCH+CLERKE+1291+1368+BENNETTA_x000D_
.born: 1291    -          Woodchurch (Kent) England_x000D_
.died: 1368    -          Kent county England, age:77y 0m 0d, _x000D_
.bapt: 1785GE_x000D_
.will: 2004MO_x000D_
.obit: 1890OH_x000D_
.bury: 1850IL _x000D_
.wpbt: 1826PA_x000D_
.anc#:double ancestor_x000D_
citiz:foreign_x000D_
#spos:1_x000D_
#srcs:2_x000D_
#comment:1_x000D_
#events:1_x000D_
#kids:1_x000D_
lived:ENKENT WOODCHU_x000D_
issue:_x000D_
.recs:Birth,Marriage,Death_x000D_
.imm?:no_x000D_
..Spo:BENNETTA CHURCH</t>
        </r>
      </text>
    </comment>
    <comment ref="X9000" authorId="0" shapeId="0" xr:uid="{FC203B33-D9BC-49B7-B6FC-220B87823C95}">
      <text>
        <r>
          <rPr>
            <sz val="9"/>
            <color indexed="81"/>
            <rFont val="Tahoma"/>
            <family val="2"/>
          </rPr>
          <t>THOMAS CLERKE_x000D_
http://yeinfo.com/family/I09066560.html_x000D_
https://www.google.com/search?q=THOMAS+CLERKE+1315+1347+MAUD\MATILDA_x000D_
.born:c1315    -          Birkenhead (Cheshire) England_x000D_
.died: 13470307-          Shinfield (Berkshire) England, age:32y 2m 6d, _x000D_
.bapt: 1785GE_x000D_
.will: 2004MO_x000D_
.obit: 1890OH_x000D_
.bury: 1850IL _x000D_
.wpbt: 1826PA_x000D_
.anc#:double ancestor_x000D_
citiz:foreign_x000D_
#spos:1_x000D_
#srcs:2_x000D_
#comment:1_x000D_
#events:1_x000D_
#kids:1_x000D_
lived:ENBERKISHINFIE,ENCHESHBIRKENH,ENKENT WOODCHU_x000D_
issue:_x000D_
.recs:Birth,Marriage,Death_x000D_
.imm?:no_x000D_
..Spo:MAUD\MATILDA BURGH</t>
        </r>
      </text>
    </comment>
    <comment ref="Y9002" authorId="0" shapeId="0" xr:uid="{FCC800B5-655F-4307-97BC-326C398DDB96}">
      <text>
        <r>
          <rPr>
            <sz val="9"/>
            <color indexed="81"/>
            <rFont val="Tahoma"/>
            <family val="2"/>
          </rPr>
          <t>BENNETTA CHURCH_x000D_
http://yeinfo.com/family/I09066615.html_x000D_
https://www.google.com/search?q=BENNETTA+CHURCH+1298+1325+CLERKE_x000D_
.born: 1298    -          _x000D_
.died: 1325    -          Kent county England, age:27y 0m 0d, _x000D_
.bapt: 1785GE_x000D_
.will: 2004MO_x000D_
.obit: 1890OH_x000D_
.bury: 1850IL _x000D_
.wpbt: 1826PA_x000D_
.anc#:double ancestor_x000D_
citiz:foreign_x000D_
#spos:1_x000D_
#srcs:2_x000D_
#comment:1_x000D_
#events:1_x000D_
#kids:1_x000D_
lived:ENKENT WOODCHU_x000D_
issue:Died after Age 100_x000D_
.recs:Birth,Marriage,Death_x000D_
.imm?:no_x000D_
..Spo:PETER WOODCHURCH CLERKE</t>
        </r>
      </text>
    </comment>
    <comment ref="W9004" authorId="0" shapeId="0" xr:uid="{41A33F11-2A35-4B5A-8BBF-E5AF118E0933}">
      <text>
        <r>
          <rPr>
            <sz val="9"/>
            <color indexed="81"/>
            <rFont val="Tahoma"/>
            <family val="2"/>
          </rPr>
          <t>THOMAS CLERKE II_x000D_
http://yeinfo.com/family/I09066508.html_x000D_
https://www.google.com/search?q=THOMAS+CLERKE+1347+1377+BENNETTA+MYERS_x000D_
.born:a1347    -          Shinfield (Berkshire) England_x000D_
.died: 1377    -          Kent county England, age:30y 0m 0d, _x000D_
.bapt: 1785GE_x000D_
.will: 2004MO_x000D_
.obit: 1890OH_x000D_
.bury: 1850IL _x000D_
.wpbt: 1826PA_x000D_
.anc#:double ancestor_x000D_
citiz:foreign_x000D_
#spos:1_x000D_
#srcs:1_x000D_
#comment:0_x000D_
#events:1_x000D_
#kids:1_x000D_
lived:ENBERKISHINFIE,ENKENT_x000D_
issue:_x000D_
.recs:Birth,Marriage,Death_x000D_
.imm?:no_x000D_
..Spo:BENNETTA MYERS CHURCH</t>
        </r>
      </text>
    </comment>
    <comment ref="X9006" authorId="0" shapeId="0" xr:uid="{1C5C61E8-1FEC-4C70-913C-604C30A6A107}">
      <text>
        <r>
          <rPr>
            <sz val="9"/>
            <color indexed="81"/>
            <rFont val="Tahoma"/>
            <family val="2"/>
          </rPr>
          <t>MAUD\MATILDA BURGH_x000D_
http://yeinfo.com/family/I09066561.html_x000D_
https://www.google.com/search?q=MAUD\MATILDA+BURGH+1320+1375+CLERKE_x000D_
.born:?1320    -          _x000D_
.died: 1375    -          England, age:55y 0m 0d, _x000D_
.bapt: 1785GE_x000D_
.will: 2004MO_x000D_
.obit: 1890OH_x000D_
.bury: 1850IL _x000D_
.wpbt: 1826PA_x000D_
.anc#:double ancestor_x000D_
citiz:foreign_x000D_
#spos:1_x000D_
#srcs:1_x000D_
#comment:1_x000D_
#events:1_x000D_
#kids:1_x000D_
lived:EN_x000D_
issue:Died after Age 100_x000D_
.recs:Birth,Marriage,Death_x000D_
.imm?:no_x000D_
..Spo:THOMAS CLERKE</t>
        </r>
      </text>
    </comment>
    <comment ref="V9008" authorId="0" shapeId="0" xr:uid="{B9D82A4F-E8D5-4CD5-A2D4-6F25ADC41EA3}">
      <text>
        <r>
          <rPr>
            <sz val="9"/>
            <color indexed="81"/>
            <rFont val="Tahoma"/>
            <family val="2"/>
          </rPr>
          <t>THOMAS CLERKE III_x000D_
http://yeinfo.com/family/I09066333.html_x000D_
https://www.google.com/search?q=THOMAS+CLERKE+1375+1446+SARAH_x000D_
.born:c1375    -          Wrotham (Kent) England_x000D_
.died: 1446    -          Wrotham (Kent) England, age:71y 0m 0d, _x000D_
.bapt: 1785GE_x000D_
.will: 2004MO_x000D_
.obit: 1890OH_x000D_
.bury: 1850IL _x000D_
.wpbt: 1826PA_x000D_
.anc#:double ancestor_x000D_
citiz:foreign_x000D_
#spos:1_x000D_
#srcs:2_x000D_
#comment:0_x000D_
#events:1_x000D_
#kids:2_x000D_
lived:ENKENT WROTHAM_x000D_
issue:_x000D_
.recs:Birth,Marriage,Death_x000D_
.imm?:no_x000D_
..Spo:SARAH FORDE</t>
        </r>
      </text>
    </comment>
    <comment ref="W9010" authorId="0" shapeId="0" xr:uid="{A9A53DBB-3EC0-494F-9A5B-01541571A70C}">
      <text>
        <r>
          <rPr>
            <sz val="9"/>
            <color indexed="81"/>
            <rFont val="Tahoma"/>
            <family val="2"/>
          </rPr>
          <t>BENNETTA MYERS CHURCH_x000D_
http://yeinfo.com/family/I09066509.html_x000D_
https://www.google.com/search?q=BENNETTA+MYERS+CHURCH+1355+1375+CLERKE_x000D_
.born:?1355    -          _x000D_
.died: 1375    -1445     ?England, age:20y 0m 0d, _x000D_
.bapt: 1785GE_x000D_
.will: 2004MO_x000D_
.obit: 1890OH_x000D_
.bury: 1850IL _x000D_
.wpbt: 1826PA_x000D_
.anc#:double ancestor_x000D_
citiz:foreign_x000D_
#spos:1_x000D_
#srcs:1_x000D_
#comment:1_x000D_
#events:1_x000D_
#kids:1_x000D_
lived:?EN_x000D_
issue:Died after Age 100_x000D_
.recs:Birth,Marriage,Death_x000D_
.imm?:no_x000D_
..Spo:THOMAS CLERKE</t>
        </r>
      </text>
    </comment>
    <comment ref="U9012" authorId="0" shapeId="0" xr:uid="{6D22321F-B348-4DB0-9A1C-39A7790B1EC6}">
      <text>
        <r>
          <rPr>
            <sz val="9"/>
            <color indexed="81"/>
            <rFont val="Tahoma"/>
            <family val="2"/>
          </rPr>
          <t>JOYCE CLERKE_x000D_
http://yeinfo.com/family/I09066083.html_x000D_
https://www.google.com/search?q=JOYCE+CLERKE+1435+1480+WOOD_x000D_
.born: 1435    -          Cheshire county England_x000D_
.died: 1480    -          Cheshire county England, age:45y 0m 0d, _x000D_
.bapt: 1785GE_x000D_
.will: 2004MO_x000D_
.obit: 1890OH_x000D_
.bury: 1850IL _x000D_
.wpbt: 1826PA_x000D_
.anc#:ancestor_x000D_
citiz:foreign_x000D_
#spos:1_x000D_
#srcs:1_x000D_
#comment:0_x000D_
#events:1_x000D_
#kids:1_x000D_
lived:ENCHESH_x000D_
issue:Born after Mom Age 50_x000D_
.recs:Birth,Marriage,Death_x000D_
.imm?:no_x000D_
..Spo:ROBERT WOOD</t>
        </r>
      </text>
    </comment>
    <comment ref="W9014" authorId="0" shapeId="0" xr:uid="{4E881BF3-A7D1-4DED-9682-A4A426E7C4EC}">
      <text>
        <r>
          <rPr>
            <sz val="9"/>
            <color indexed="81"/>
            <rFont val="Tahoma"/>
            <family val="2"/>
          </rPr>
          <t>HENRY FORDE_x000D_
http://yeinfo.com/family/I09066510.html_x000D_
https://www.google.com/search?q=HENRY+FORDE+1350+1375+MAUD_x000D_
.born: 1350    -          Wrotham (Kent) England_x000D_
.died: 1375    -1440      Wrotham (Kent) England, age:25y 0m 0d, _x000D_
.bapt: 1785GE_x000D_
.will: 2004MO_x000D_
.obit: 1890OH_x000D_
.bury: 1850IL _x000D_
.wpbt: 1826PA_x000D_
.anc#:  triple ancestor_x000D_
citiz:foreign_x000D_
#spos:1_x000D_
#srcs:2_x000D_
#comment:0_x000D_
#events:1_x000D_
#kids:2_x000D_
lived:ENKENT WROTHAM_x000D_
issue:_x000D_
.recs:Birth,Marriage,Death_x000D_
.imm?:no_x000D_
..Spo:MAUD ECHINGHAM</t>
        </r>
      </text>
    </comment>
    <comment ref="V9016" authorId="0" shapeId="0" xr:uid="{33744AB8-02BF-4F66-A106-90E05130F338}">
      <text>
        <r>
          <rPr>
            <sz val="9"/>
            <color indexed="81"/>
            <rFont val="Tahoma"/>
            <family val="2"/>
          </rPr>
          <t>SARAH FORDE_x000D_
http://yeinfo.com/family/I09066334.html_x000D_
https://www.google.com/search?q=SARAH+FORDE+1375+1435+CLERKE_x000D_
.born: 1375    -1378      Wrotham (Kent) England_x000D_
.died: 1435    -1460      Wrotham (Kent) England, age:60y 0m 0d, _x000D_
.bapt: 1785GE_x000D_
.will: 2004MO_x000D_
.obit: 1890OH_x000D_
.bury: 1850IL _x000D_
.wpbt: 1826PA_x000D_
.anc#:double ancestor_x000D_
citiz:foreign_x000D_
#spos:1_x000D_
#srcs:3_x000D_
#comment:0_x000D_
#events:1_x000D_
#kids:2_x000D_
lived:ENKENT WROTHAM_x000D_
issue:_x000D_
.recs:Birth,Marriage,Death_x000D_
.imm?:no_x000D_
..Spo:THOMAS CLERKE</t>
        </r>
      </text>
    </comment>
    <comment ref="W9018" authorId="0" shapeId="0" xr:uid="{FAABAD96-984C-493D-B2EA-B559FB12C6AC}">
      <text>
        <r>
          <rPr>
            <sz val="9"/>
            <color indexed="81"/>
            <rFont val="Tahoma"/>
            <family val="2"/>
          </rPr>
          <t>MAUD ECHINGHAM_x000D_
http://yeinfo.com/family/I09066511.html_x000D_
https://www.google.com/search?q=MAUD+ECHINGHAM+1352+1375+FORDE_x000D_
.born: 1352    -          England_x000D_
.died: 1375    -1442      Wrotham (Kent) England, age:23y 0m 0d, _x000D_
.bapt: 1785GE_x000D_
.will: 2004MO_x000D_
.obit: 1890OH_x000D_
.bury: 1850IL _x000D_
.wpbt: 1826PA_x000D_
.anc#:  triple ancestor_x000D_
citiz:foreign_x000D_
#spos:1_x000D_
#srcs:2_x000D_
#comment:0_x000D_
#events:1_x000D_
#kids:2_x000D_
lived:ENKENT WROTHAM_x000D_
issue:_x000D_
.recs:Birth,Marriage,Death_x000D_
.imm?:no_x000D_
..Spo:HENRY FORDE</t>
        </r>
      </text>
    </comment>
    <comment ref="R9020" authorId="0" shapeId="0" xr:uid="{4CDCC401-DF04-4B4C-AB97-9BE3F179FF10}">
      <text>
        <r>
          <rPr>
            <sz val="9"/>
            <color indexed="81"/>
            <rFont val="Tahoma"/>
            <family val="2"/>
          </rPr>
          <t>ROGER HILL_x000D_
http://yeinfo.com/family/I09065652.html_x000D_
https://www.google.com/search?q=ROGER+HILL+1495+1546+MARGERY+SOMERSET_x000D_
.born: 14950110-          Taunton (Somerset) England_x000D_
.died: 15460408-          Taunton (Somerset) England, age:51y 2m 29d, _x000D_
.bapt: 1785GE_x000D_
.will: 2004MO_x000D_
.obit: 1890OH_x000D_
.bury: 1850IL Saint Mary Magdalene Church_x000D_
.wpbt: 1826PA_x000D_
.anc#:ancestor_x000D_
citiz:foreign_x000D_
#spos:1_x000D_
#srcs:1_x000D_
#comment:0_x000D_
#events:3_x000D_
#kids:1_x000D_
lived:ENSOMESPITMINS,ENSOMESTAUNTON_x000D_
issue:_x000D_
.recs:Birth,Marriage,Death,Interment/Burial_x000D_
.imm?:no_x000D_
..Spo:MARGERY SOMERSET TOOSE</t>
        </r>
      </text>
    </comment>
    <comment ref="T9022" authorId="0" shapeId="0" xr:uid="{D0436915-CAC9-4983-9406-0AED252B3997}">
      <text>
        <r>
          <rPr>
            <sz val="9"/>
            <color indexed="81"/>
            <rFont val="Tahoma"/>
            <family val="2"/>
          </rPr>
          <t>WILLIAM BOYLE_x000D_
http://yeinfo.com/family/I09065915.html_x000D_
https://www.google.com/search?q=WILLIAM+BOYLE+1450+1520+MAUDE_x000D_
.born:?1450    -          Shepton Mallet (Somerset) England_x000D_
.died: 1520    -          Somerset county England, age:70y 0m 0d, _x000D_
.bapt: 1785GE_x000D_
.will: 2004MO_x000D_
.obit: 1890OH_x000D_
.bury: 1850IL _x000D_
.wpbt: 1826PA_x000D_
.anc#:ancestor_x000D_
citiz:foreign_x000D_
#spos:1_x000D_
#srcs:1_x000D_
#comment:0_x000D_
#events:1_x000D_
#kids:1_x000D_
lived:ENBERKIWINDSOR,ENSOMESSHEPMAL_x000D_
issue:_x000D_
.recs:Birth,Marriage,Death_x000D_
.imm?:no_x000D_
..Spo:MAUDE HERBERT</t>
        </r>
      </text>
    </comment>
    <comment ref="S9024" authorId="0" shapeId="0" xr:uid="{C1155D48-09CE-48A0-87CA-01E14ED0979D}">
      <text>
        <r>
          <rPr>
            <sz val="9"/>
            <color indexed="81"/>
            <rFont val="Tahoma"/>
            <family val="2"/>
          </rPr>
          <t>ELEANOR BOYLE_x000D_
http://yeinfo.com/family/I09065772.html_x000D_
https://www.google.com/search?q=ELEANOR+BOYLE+1475+1535+HILL_x000D_
.born: 1475    -          Somerset county England_x000D_
.died: 15350515-          Shepton Mallet (Somerset) England, age:60y 4m 14d, _x000D_
.bapt: 1785GE_x000D_
.will: 2004MO_x000D_
.obit: 1890OH_x000D_
.bury: 1850IL _x000D_
.wpbt: 1826PA_x000D_
.anc#:ancestor_x000D_
citiz:foreign_x000D_
#spos:1_x000D_
#srcs:1_x000D_
#comment:0_x000D_
#events:2_x000D_
#kids:1_x000D_
lived:ENSOMESSHEPMAL,ENSOMESTAUNTON_x000D_
issue:_x000D_
.recs:Birth,Marriage,Death_x000D_
.imm?:no_x000D_
..Spo:WILLIAM HILL</t>
        </r>
      </text>
    </comment>
    <comment ref="U9026" authorId="0" shapeId="0" xr:uid="{1B09630C-066B-4081-A968-80FC62AEC553}">
      <text>
        <r>
          <rPr>
            <sz val="9"/>
            <color indexed="81"/>
            <rFont val="Tahoma"/>
            <family val="2"/>
          </rPr>
          <t>WILLIAM HERBERT_x000D_
http://yeinfo.com/family/I09066094.html_x000D_
https://www.google.com/search?q=WILLIAM+HERBERT+1423+1469+MAUD_x000D_
.born: 1423    -          Raglan (Monmouth) Wales_x000D_
.died: 14690727-          Banbury (Oxfordshire) England, age:46y 6m 26d, _x000D_
.bapt: 1785GE_x000D_
.will: 2004MO_x000D_
.obit: 1890OH_x000D_
.bury: 1850IL _x000D_
.wpbt: 1826PA_x000D_
.anc#:ancestor_x000D_
citiz:foreign_x000D_
#spos:1_x000D_
#srcs:1_x000D_
#comment:0_x000D_
#events:1_x000D_
#kids:1_x000D_
lived:ENHEREFHEREFOR,ENOXFOSBANBURY,WLMONMORAGLAN_x000D_
issue:_x000D_
.recs:Birth,Marriage,Death_x000D_
.imm?:no_x000D_
..Spo:MAUD TURBERVILLE</t>
        </r>
      </text>
    </comment>
    <comment ref="T9028" authorId="0" shapeId="0" xr:uid="{5AA1FA11-5622-49CD-AEFD-1F715AD39779}">
      <text>
        <r>
          <rPr>
            <sz val="9"/>
            <color indexed="81"/>
            <rFont val="Tahoma"/>
            <family val="2"/>
          </rPr>
          <t>MAUDE HERBERT_x000D_
http://yeinfo.com/family/I09065927.html_x000D_
https://www.google.com/search?q=MAUDE+HERBERT+1450+1535+BOYLE_x000D_
.born:c1450    -          Pembroke (Pembrokeshire) Wales_x000D_
.died: 15350515-          Beverley (Yorkshire) England, age:85y 4m 14d, _x000D_
.bapt: 1785GE_x000D_
.will: 2004MO_x000D_
.obit: 1890OH_x000D_
.bury: 1850IL _x000D_
.wpbt: 1826PA_x000D_
.anc#:ancestor_x000D_
citiz:foreign_x000D_
#spos:1_x000D_
#srcs:1_x000D_
#comment:0_x000D_
#events:1_x000D_
#kids:1_x000D_
lived:ENBERKIWINDSOR,ENYORKSBEVERLE,WLPEMBRPEMBROK_x000D_
issue:_x000D_
.recs:Birth,Marriage,Death_x000D_
.imm?:no_x000D_
..Spo:WILLIAM BOYLE</t>
        </r>
      </text>
    </comment>
    <comment ref="U9030" authorId="0" shapeId="0" xr:uid="{E8EA06F1-F837-48A5-91AA-0D046FD9B746}">
      <text>
        <r>
          <rPr>
            <sz val="9"/>
            <color indexed="81"/>
            <rFont val="Tahoma"/>
            <family val="2"/>
          </rPr>
          <t>MAUD TURBERVILLE_x000D_
http://yeinfo.com/family/I09066119.html_x000D_
https://www.google.com/search?q=MAUD+TURBERVILLE+1427+1460+HERBERT_x000D_
.born: 1427    -          Abergavenny (Monmouth) Wales_x000D_
.died: 1460    -          Abergavenny (Monmouth) Wales, age:33y 0m 0d, _x000D_
.bapt: 1785GE_x000D_
.will: 2004MO_x000D_
.obit: 1890OH_x000D_
.bury: 1850IL _x000D_
.wpbt: 1826PA_x000D_
.anc#:ancestor_x000D_
citiz:foreign_x000D_
#spos:1_x000D_
#srcs:1_x000D_
#comment:0_x000D_
#events:1_x000D_
#kids:1_x000D_
lived:ENHEREFHEREFOR,WLMONMOABERGAV_x000D_
issue:Died after Age 100_x000D_
.recs:Birth,Marriage,Death_x000D_
.imm?:no_x000D_
..Spo:WILLIAM HERBERT</t>
        </r>
      </text>
    </comment>
    <comment ref="Q9032" authorId="0" shapeId="0" xr:uid="{4BF62CE0-4EE3-4275-A6CA-30F8C9FD483B}">
      <text>
        <r>
          <rPr>
            <sz val="9"/>
            <color indexed="81"/>
            <rFont val="Tahoma"/>
            <family val="2"/>
          </rPr>
          <t>WILLIAM HILL_x000D_
http://yeinfo.com/family/I09048920.html_x000D_
https://www.google.com/search?q=WILLIAM+HILL+1515+1594+LUCY_x000D_
.born: 1515    -          Halstead (Essex) England_x000D_
.died: 15940606-          Taunton (Somerset) England, age:79y 5m 5d, _x000D_
.bapt: 1785GE_x000D_
.will: 2004MO_x000D_
.obit: 1890OH_x000D_
.bury: 1850IL _x000D_
.wpbt: 1826PA_x000D_
.anc#:ancestor_x000D_
citiz:foreign_x000D_
#spos:1_x000D_
#srcs:1_x000D_
#comment:0_x000D_
#events:3_x000D_
#kids:1_x000D_
lived:ENDEVONNORTHAM,ENDORSELYME RE,ENESSEXHALSTEA,ENSOMESTAUNTON_x000D_
issue:Born before Parents Married_x000D_
.recs:Birth,Marriage,Death_x000D_
.imm?:no_x000D_
..Spo:LUCY RYVES</t>
        </r>
      </text>
    </comment>
    <comment ref="V9034" authorId="0" shapeId="0" xr:uid="{57A44E9B-EB93-4F0C-B456-2BCC79BDB230}">
      <text>
        <r>
          <rPr>
            <sz val="9"/>
            <color indexed="81"/>
            <rFont val="Tahoma"/>
            <family val="2"/>
          </rPr>
          <t>WILLIAM TOOSE_x000D_
http://yeinfo.com/family/I09066311.html_x000D_
https://www.google.com/search?q=WILLIAM+TOOSE+1376+1400+ANNE_x000D_
.born: 1376    -          Somerset county England_x000D_
.died: 1400    -1466      Somerset county England, age:24y 0m 0d, _x000D_
.bapt: 1785GE_x000D_
.will: 2004MO_x000D_
.obit: 1890OH_x000D_
.bury: 1850IL _x000D_
.wpbt: 1826PA_x000D_
.anc#:ancestor_x000D_
citiz:foreign_x000D_
#spos:1_x000D_
#srcs:1_x000D_
#comment:0_x000D_
#events:1_x000D_
#kids:1_x000D_
lived:ENSOMES_x000D_
issue:_x000D_
.recs:Birth,Marriage,Death_x000D_
.imm?:no_x000D_
..Spo:ANNE ROSE</t>
        </r>
      </text>
    </comment>
    <comment ref="U9036" authorId="0" shapeId="0" xr:uid="{98F20B6B-7202-49EC-A15A-C3AF164EA4CD}">
      <text>
        <r>
          <rPr>
            <sz val="9"/>
            <color indexed="81"/>
            <rFont val="Tahoma"/>
            <family val="2"/>
          </rPr>
          <t>EDWARD TOOSE_x000D_
http://yeinfo.com/family/I09066118.html_x000D_
https://www.google.com/search?q=EDWARD+TOOSE+1400+1471+{_?_}_x000D_
.born: 1400    -          Taunton (Somerset) England_x000D_
.died: 1471    -          Taunton (Somerset) England, age:71y 0m 0d, _x000D_
.bapt: 1785GE_x000D_
.will: 2004MO_x000D_
.obit: 1890OH_x000D_
.bury: 1850IL _x000D_
.wpbt: 1826PA_x000D_
.anc#:ancestor_x000D_
citiz:foreign_x000D_
#spos:1_x000D_
#srcs:1_x000D_
#comment:0_x000D_
#events:1_x000D_
#kids:1_x000D_
lived:ENSOMESTAUNTON_x000D_
issue:_x000D_
.recs:Birth,Marriage,Death_x000D_
.imm?:no_x000D_
..Spo:{_?_} TOOSE</t>
        </r>
      </text>
    </comment>
    <comment ref="V9038" authorId="0" shapeId="0" xr:uid="{35DB89FD-D0EA-4C5D-8D41-06EA6C60352D}">
      <text>
        <r>
          <rPr>
            <sz val="9"/>
            <color indexed="81"/>
            <rFont val="Tahoma"/>
            <family val="2"/>
          </rPr>
          <t>ANNE ROSE_x000D_
http://yeinfo.com/family/I09066303.html_x000D_
https://www.google.com/search?q=ANNE+ROSE+1378+1400+TOOSE_x000D_
.born: 1378    -          Somerset county England_x000D_
.died: 1400    -1468      Somerset county England, age:22y 0m 0d, _x000D_
.bapt: 1785GE_x000D_
.will: 2004MO_x000D_
.obit: 1890OH_x000D_
.bury: 1850IL _x000D_
.wpbt: 1826PA_x000D_
.anc#:ancestor_x000D_
citiz:foreign_x000D_
#spos:1_x000D_
#srcs:1_x000D_
#comment:0_x000D_
#events:1_x000D_
#kids:1_x000D_
lived:ENSOMES_x000D_
issue:_x000D_
.recs:Birth,Marriage,Death_x000D_
.imm?:no_x000D_
..Spo:WILLIAM TOOSE</t>
        </r>
      </text>
    </comment>
    <comment ref="T9040" authorId="0" shapeId="0" xr:uid="{93A40288-B456-419C-BC1D-C1A8A995D71D}">
      <text>
        <r>
          <rPr>
            <sz val="9"/>
            <color indexed="81"/>
            <rFont val="Tahoma"/>
            <family val="2"/>
          </rPr>
          <t>ALEXANDER TOOSE_x000D_
http://yeinfo.com/family/I09065949.html_x000D_
https://www.google.com/search?q=ALEXANDER+TOOSE+1435+1489+JOAN_x000D_
.born: 1435    -          Taunton (Somerset) England_x000D_
.died: 14891008-          Taunton (Somerset) England, age:54y 9m 7d, _x000D_
.bapt: 1785GE_x000D_
.will: 2004MO_x000D_
.obit: 1890OH_x000D_
.bury: 1850IL _x000D_
.wpbt: 1826PA_x000D_
.anc#:ancestor_x000D_
citiz:foreign_x000D_
#spos:1_x000D_
#srcs:1_x000D_
#comment:0_x000D_
#events:1_x000D_
#kids:1_x000D_
lived:ENSOMESTAUNTON_x000D_
issue:Died after Age 100_x000D_
.recs:Birth,Marriage,Death_x000D_
.imm?:no_x000D_
..Spo:JOAN COMBES</t>
        </r>
      </text>
    </comment>
    <comment ref="U9042" authorId="0" shapeId="0" xr:uid="{42442959-EBD2-45E8-B0F0-39DF970AF8B0}">
      <text>
        <r>
          <rPr>
            <sz val="9"/>
            <color indexed="81"/>
            <rFont val="Tahoma"/>
            <family val="2"/>
          </rPr>
          <t>Mrs. {_?_} TOOSE_x000D_
http://yeinfo.com/family/I09066117.html_x000D_
https://www.google.com/search?q={_?_}+TOOSE+1410+1435+TOOSE_x000D_
.born:?1410    -         ?England_x000D_
.died: 1435    -1500     ?England, age:25y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..Spo:EDWARD TOOSE</t>
        </r>
      </text>
    </comment>
    <comment ref="S9044" authorId="0" shapeId="0" xr:uid="{25539AF8-7B33-4C9E-8A19-7D464CA83629}">
      <text>
        <r>
          <rPr>
            <sz val="9"/>
            <color indexed="81"/>
            <rFont val="Tahoma"/>
            <family val="2"/>
          </rPr>
          <t>JOHANNES TOOSE_x000D_
http://yeinfo.com/family/I09065802.html_x000D_
https://www.google.com/search?q=JOHANNES+TOOSE+1464+1501+JOHANNA+WILLEMINA_x000D_
.born: 1464    -          Taunton (Somerset) England_x000D_
.died: 15010221-          Taunton (Somerset) England, age:37y 1m 20d, _x000D_
.bapt: 1785GE_x000D_
.will: 2004MO_x000D_
.obit: 1890OH_x000D_
.bury: 1850IL _x000D_
.wpbt: 1826PA_x000D_
.anc#:ancestor_x000D_
citiz:foreign_x000D_
#spos:1_x000D_
#srcs:1_x000D_
#comment:0_x000D_
#events:2_x000D_
#kids:1_x000D_
lived:ENSOMESTAUNTON_x000D_
issue:_x000D_
.recs:Birth,Marriage,Death_x000D_
.imm?:no_x000D_
..Spo:JOHANNA WILLEMINA COMBES</t>
        </r>
      </text>
    </comment>
    <comment ref="U9046" authorId="0" shapeId="0" xr:uid="{ED0A8783-D1E3-4A4D-B75A-5038C87B47A7}">
      <text>
        <r>
          <rPr>
            <sz val="9"/>
            <color indexed="81"/>
            <rFont val="Tahoma"/>
            <family val="2"/>
          </rPr>
          <t>CHRISTOPHER JOHANNIS COMBES_x000D_
http://yeinfo.com/family/I09066084.html_x000D_
https://www.google.com/search?q=CHRISTOPHER+JOHANNIS+COMBES+1404+1465+ELIZABETH_x000D_
.born: 1404    -          Gittinsham (Devon) England_x000D_
.died:c1465    -          Gittinsham (Devon) England, age:61y 0m 0d, _x000D_
.bapt: 1785GE_x000D_
.will: 2004MO_x000D_
.obit: 1890OH_x000D_
.bury: 1850IL _x000D_
.wpbt: 1826PA_x000D_
.anc#:ancestor_x000D_
citiz:foreign_x000D_
#spos:1_x000D_
#srcs:1_x000D_
#comment:0_x000D_
#events:1_x000D_
#kids:1_x000D_
lived:ENDEVONGITTINS_x000D_
issue:_x000D_
.recs:Birth,Marriage,Death_x000D_
.imm?:no_x000D_
..Spo:ELIZABETH JOSEPH</t>
        </r>
      </text>
    </comment>
    <comment ref="T9048" authorId="0" shapeId="0" xr:uid="{9FD745FA-61C9-4477-AF39-96FCB997771A}">
      <text>
        <r>
          <rPr>
            <sz val="9"/>
            <color indexed="81"/>
            <rFont val="Tahoma"/>
            <family val="2"/>
          </rPr>
          <t>JOAN COMBES_x000D_
http://yeinfo.com/family/I09065922.html_x000D_
https://www.google.com/search?q=JOAN+COMBES+1440+1471+TOOSE_x000D_
.born: 1440    -          Taunton (Somerset) England_x000D_
.died: 1471    -          Paul (Cornwall) England, age:31y 0m 0d, _x000D_
.bapt: 1785GE_x000D_
.will: 2004MO_x000D_
.obit: 1890OH_x000D_
.bury: 1850IL _x000D_
.wpbt: 1826PA_x000D_
.anc#:ancestor_x000D_
citiz:foreign_x000D_
#spos:1_x000D_
#srcs:1_x000D_
#comment:0_x000D_
#events:1_x000D_
#kids:1_x000D_
lived:ENCORNWPAUL,ENSOMESTAUNTON_x000D_
issue:Died after Age 100_x000D_
.recs:Birth,Marriage,Death_x000D_
.imm?:no_x000D_
..Spo:ALEXANDER TOOSE</t>
        </r>
      </text>
    </comment>
    <comment ref="U9050" authorId="0" shapeId="0" xr:uid="{49FC360E-867E-4D6E-94B7-C6B16EB91470}">
      <text>
        <r>
          <rPr>
            <sz val="9"/>
            <color indexed="81"/>
            <rFont val="Tahoma"/>
            <family val="2"/>
          </rPr>
          <t>ELIZABETH JOSEPH_x000D_
http://yeinfo.com/family/I09066099.html_x000D_
https://www.google.com/search?q=ELIZABETH+JOSEPH+1409+1475+COMBES_x000D_
.born: 1409    -          Towcester (Northamptonshire) England_x000D_
.died: 14750624-          Colne (Lancashire) England, age:66y 5m 23d, _x000D_
.bapt: 1785GE_x000D_
.will: 2004MO_x000D_
.obit: 1890OH_x000D_
.bury: 1850IL _x000D_
.wpbt: 1826PA_x000D_
.anc#:ancestor_x000D_
citiz:foreign_x000D_
#spos:1_x000D_
#srcs:1_x000D_
#comment:0_x000D_
#events:1_x000D_
#kids:1_x000D_
lived:?ENDEVONGITTINS,ENLANCSCOLNE,ENNORTATOWCEST_x000D_
issue:_x000D_
.recs:Birth,Marriage,Death_x000D_
.imm?:no_x000D_
..Spo:CHRISTOPHER JOHANNIS COMBES</t>
        </r>
      </text>
    </comment>
    <comment ref="R9052" authorId="0" shapeId="0" xr:uid="{FB82F77C-C9B2-40DA-B3B7-F0D123BD0715}">
      <text>
        <r>
          <rPr>
            <sz val="9"/>
            <color indexed="81"/>
            <rFont val="Tahoma"/>
            <family val="2"/>
          </rPr>
          <t>MARGERY SOMERSET TOOSE_x000D_
http://yeinfo.com/family/I09065671.html_x000D_
https://www.google.com/search?q=MARGERY+SOMERSET+TOOSE+1496+1550+HILL_x000D_
.born: 1496    -          Pitminster (Somerset) England_x000D_
.died: 15500214-          Taunton (Somerset) England, age:54y 1m 13d, _x000D_
.bapt: 1785GE_x000D_
.will: 2004MO_x000D_
.obit: 1890OH_x000D_
.bury: 1850IL _x000D_
.wpbt: 1826PA_x000D_
.anc#:ancestor_x000D_
citiz:foreign_x000D_
#spos:1_x000D_
#srcs:1_x000D_
#comment:0_x000D_
#events:1_x000D_
#kids:1_x000D_
lived:ENSOMESPITMINS,ENSOMESTAUNTON_x000D_
issue:_x000D_
.recs:Birth,Marriage,Death_x000D_
.imm?:no_x000D_
..Spo:ROGER HILL</t>
        </r>
      </text>
    </comment>
    <comment ref="T9054" authorId="0" shapeId="0" xr:uid="{BF87020A-1C61-4C7C-AC24-591C5C7B7B0B}">
      <text>
        <r>
          <rPr>
            <sz val="9"/>
            <color indexed="81"/>
            <rFont val="Tahoma"/>
            <family val="2"/>
          </rPr>
          <t>JOHN COMBES_x000D_
http://yeinfo.com/family/I09065921.html_x000D_
https://www.google.com/search?q=JOHN+COMBES+1420+1475+ELIZABETH_x000D_
.born: 1420    -         ?England_x000D_
.died: 1475    -1510     ?England, age:55y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..Spo:ELIZABETH COMBES</t>
        </r>
      </text>
    </comment>
    <comment ref="S9056" authorId="0" shapeId="0" xr:uid="{E9824653-8F1E-481F-A475-2BF58147C252}">
      <text>
        <r>
          <rPr>
            <sz val="9"/>
            <color indexed="81"/>
            <rFont val="Tahoma"/>
            <family val="2"/>
          </rPr>
          <t>JOHANNA WILLEMINA COMBES_x000D_
http://yeinfo.com/family/I09065775.html_x000D_
https://www.google.com/search?q=JOHANNA+WILLEMINA+COMBES+1475+1504+TOOSE_x000D_
.born: 1475    -          Taunton (Somerset) England_x000D_
.died: 150411  -          Taunton (Somerset) England, age:29y 10m 0d, _x000D_
.bapt: 1785GE_x000D_
.will: 2004MO_x000D_
.obit: 1890OH_x000D_
.bury: 1850IL _x000D_
.wpbt: 1826PA_x000D_
.anc#:ancestor_x000D_
citiz:foreign_x000D_
#spos:1_x000D_
#srcs:1_x000D_
#comment:0_x000D_
#events:2_x000D_
#kids:1_x000D_
lived:ENSOMESTAUNTON_x000D_
issue:Born after Mom Age 50_x000D_
.recs:Birth,Marriage,Death_x000D_
.imm?:no_x000D_
..Spo:JOHANNES TOOSE</t>
        </r>
      </text>
    </comment>
    <comment ref="T9058" authorId="0" shapeId="0" xr:uid="{19E18D79-3F63-46A3-9876-AAA7CEF26B4D}">
      <text>
        <r>
          <rPr>
            <sz val="9"/>
            <color indexed="81"/>
            <rFont val="Tahoma"/>
            <family val="2"/>
          </rPr>
          <t>Mrs. ELIZABETH COMBES_x000D_
http://yeinfo.com/family/I09065920.html_x000D_
https://www.google.com/search?q=ELIZABETH+COMBES+1420+1475+COMBES_x000D_
.born: 1420    -         ?England_x000D_
.died: 1475    -1510     ?England, age:55y 0m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..Spo:JOHN COMBES</t>
        </r>
      </text>
    </comment>
    <comment ref="P9060" authorId="0" shapeId="0" xr:uid="{E547D4BC-E19A-47F8-B8CB-DCF875617E41}">
      <text>
        <r>
          <rPr>
            <sz val="9"/>
            <color indexed="81"/>
            <rFont val="Tahoma"/>
            <family val="2"/>
          </rPr>
          <t>JOHN HILL Sr._x000D_
http://yeinfo.com/family/I09024460.html_x000D_
https://www.google.com/search?q=JOHN+HILL+1571+1635+JANE_x000D_
.born:c1571    -          England_x000D_
.died: 16351125-          Pitminster (Somerset) England, age:64y 10m 24d, _x000D_
.bapt: 1785GE_x000D_
.will: 2004MO_x000D_
.obit: 1890OH_x000D_
.bury: 1850IL _x000D_
.wpbt: 1826PA_x000D_
.anc#:ancestor_x000D_
citiz:foreign_x000D_
#spos:1_x000D_
#srcs:1_x000D_
#comment:0_x000D_
#events:2_x000D_
#kids:1_x000D_
lived:ENDEVONPLYMSTO,ENSOMESPITMINS_x000D_
issue:_x000D_
.recs:Birth,Baptism,Marriage,Death_x000D_
.imm?:no_x000D_
..Spo:JANE GAUD</t>
        </r>
      </text>
    </comment>
    <comment ref="R9062" authorId="0" shapeId="0" xr:uid="{B2F8ADBA-BECB-42A2-81D7-9998D99D361E}">
      <text>
        <r>
          <rPr>
            <sz val="9"/>
            <color indexed="81"/>
            <rFont val="Tahoma"/>
            <family val="2"/>
          </rPr>
          <t>JOHN RYVES_x000D_
http://yeinfo.com/family/I09065664.html_x000D_
https://www.google.com/search?q=JOHN+RYVES+1502+1549+AMY_x000D_
.born: 1502    -          Dorset county England_x000D_
.died: 15491020-         ?England, age:47y 9m 19d, _x000D_
.bapt: 1785GE_x000D_
.will: 2004MO_x000D_
.obit: 1890OH_x000D_
.bury: 1850IL _x000D_
.wpbt: 1826PA_x000D_
.anc#:ancestor_x000D_
citiz:foreign_x000D_
#spos:1_x000D_
#srcs:1_x000D_
#comment:0_x000D_
#events:1_x000D_
#kids:1_x000D_
lived:ENDORSE_x000D_
issue:_x000D_
.recs:Birth,Marriage,Death_x000D_
.imm?:no_x000D_
..Spo:AMY HARVEY</t>
        </r>
      </text>
    </comment>
    <comment ref="Q9064" authorId="0" shapeId="0" xr:uid="{33E8C538-F8B6-4127-BE92-0D9014C35C02}">
      <text>
        <r>
          <rPr>
            <sz val="9"/>
            <color indexed="81"/>
            <rFont val="Tahoma"/>
            <family val="2"/>
          </rPr>
          <t>LUCY RYVES_x000D_
http://yeinfo.com/family/I09048921.html_x000D_
https://www.google.com/search?q=LUCY+RYVES+1530+1573+HILL_x000D_
.born: 1530    -          Poundisford (Somerset) England_x000D_
.died: 1573    -          Pitminster (Somerset) England, age:43y 0m 0d, _x000D_
.bapt: 1785GE_x000D_
.will: 2004MO_x000D_
.obit: 1890OH_x000D_
.bury: 1850IL Taunton Deane Borough_x000D_
.wpbt: 1826PA_x000D_
.anc#:ancestor_x000D_
citiz:foreign_x000D_
#spos:1_x000D_
#srcs:1_x000D_
#comment:0_x000D_
#events:2_x000D_
#kids:1_x000D_
lived:ENDORSELYME RE,ENSOMESPITMINS,ENSOMESPOUNDIS_x000D_
issue:Died after Age 100_x000D_
.recs:Birth,Marriage,Death,Interment/Burial_x000D_
.imm?:no_x000D_
..Spo:WILLIAM HILL</t>
        </r>
      </text>
    </comment>
    <comment ref="S9066" authorId="0" shapeId="0" xr:uid="{E75AFEB4-C9EA-43D0-85F3-B654362B14C2}">
      <text>
        <r>
          <rPr>
            <sz val="9"/>
            <color indexed="81"/>
            <rFont val="Tahoma"/>
            <family val="2"/>
          </rPr>
          <t>JOHN HARVEY_x000D_
http://yeinfo.com/family/I09065780.html_x000D_
https://www.google.com/search?q=JOHN+HARVEY+1481+1526+JOAN_x000D_
.born: 1481    -          Launceston (Cornwall) England_x000D_
.died: 1526    -          Launceston (Cornwall) England, age:45y 0m 0d, _x000D_
.bapt: 1785GE_x000D_
.will: 2004MO_x000D_
.obit: 1890OH_x000D_
.bury: 1850IL _x000D_
.wpbt: 1826PA_x000D_
.anc#:ancestor_x000D_
citiz:foreign_x000D_
#spos:1_x000D_
#srcs:1_x000D_
#comment:0_x000D_
#events:1_x000D_
#kids:1_x000D_
lived:ENCORNWLAUNCES_x000D_
issue:_x000D_
.recs:Birth,Marriage,Death_x000D_
.imm?:no_x000D_
..Spo:JOAN SEWELL</t>
        </r>
      </text>
    </comment>
    <comment ref="R9068" authorId="0" shapeId="0" xr:uid="{36E3C9C0-186E-4A92-8D0A-C053E5AB83E0}">
      <text>
        <r>
          <rPr>
            <sz val="9"/>
            <color indexed="81"/>
            <rFont val="Tahoma"/>
            <family val="2"/>
          </rPr>
          <t>AMY HARVEY_x000D_
http://yeinfo.com/family/I09065649.html_x000D_
https://www.google.com/search?q=AMY+HARVEY+1507+1530+RYVES_x000D_
.born: 1507    -          Dorset county England_x000D_
.died: 1530    -1597     ?England, age:23y 0m 0d, _x000D_
.bapt: 1785GE_x000D_
.will: 2004MO_x000D_
.obit: 1890OH_x000D_
.bury: 1850IL _x000D_
.wpbt: 1826PA_x000D_
.anc#:ancestor_x000D_
citiz:foreign_x000D_
#spos:1_x000D_
#srcs:1_x000D_
#comment:0_x000D_
#events:1_x000D_
#kids:1_x000D_
lived:ENDORSE_x000D_
issue:_x000D_
.recs:Birth,Marriage,Death_x000D_
.imm?:no_x000D_
..Spo:JOHN RYVES</t>
        </r>
      </text>
    </comment>
    <comment ref="S9070" authorId="0" shapeId="0" xr:uid="{A5249468-BB18-4989-BF42-1C82754CD6CF}">
      <text>
        <r>
          <rPr>
            <sz val="9"/>
            <color indexed="81"/>
            <rFont val="Tahoma"/>
            <family val="2"/>
          </rPr>
          <t>JOAN SEWELL_x000D_
http://yeinfo.com/family/I09065794.html_x000D_
https://www.google.com/search?q=JOAN+SEWELL+1484+1516+HARVEY_x000D_
.born: 1484    -          Glinton (Northamptonshire) England_x000D_
.died: 15161212-          Launceston (Cornwall) England, age:32y 11m 11d, _x000D_
.bapt: 1785GE_x000D_
.will: 2004MO_x000D_
.obit: 1890OH_x000D_
.bury: 1850IL _x000D_
.wpbt: 1826PA_x000D_
.anc#:ancestor_x000D_
citiz:foreign_x000D_
#spos:1_x000D_
#srcs:1_x000D_
#comment:0_x000D_
#events:1_x000D_
#kids:1_x000D_
lived:ENCORNWLAUNCES,ENNORTAGLINTON_x000D_
issue:_x000D_
.recs:Birth,Marriage,Death_x000D_
.imm?:no_x000D_
..Spo:JOHN HARVEY</t>
        </r>
      </text>
    </comment>
    <comment ref="O9072" authorId="0" shapeId="0" xr:uid="{DBB364CF-336C-4802-A79B-83DE6E4F1B01}">
      <text>
        <r>
          <rPr>
            <sz val="9"/>
            <color indexed="81"/>
            <rFont val="Tahoma"/>
            <family val="2"/>
          </rPr>
          <t>JOHN HILL II_x000D_
http://yeinfo.com/family/I09012230.html_x000D_
https://www.google.com/search?q=JOHN+HILL+1610+1664+FRANCES_x000D_
.born:?1610    -         ?England_x000D_
.died: 1664    -         ?Massachusetts, age:54y 0m 0d, _x000D_
.bapt: 1785GE_x000D_
.will: 2004MO_x000D_
.obit: 1890OH_x000D_
.bury: 1850IL _x000D_
.wpbt: 1826PA_x000D_
.anc#:ancestor_x000D_
citiz:immigrant_x000D_
#spos:1_x000D_
#srcs:6_x000D_
#comment:1_x000D_
#events:7_x000D_
#kids:11_x000D_
lived:?EN,ENSOMESCHARD,ENSOMESMELLS,MASUFFODORCHES_x000D_
issue:_x000D_
.recs:Birth,Marriage,Job/Occupation,Death,Freeman_x000D_
.imm?:immigrant_x000D_
..Spo:FRANCES TILDEN</t>
        </r>
      </text>
    </comment>
    <comment ref="R9074" authorId="0" shapeId="0" xr:uid="{92521BDE-3E99-4438-8280-736E3F53FEAB}">
      <text>
        <r>
          <rPr>
            <sz val="9"/>
            <color indexed="81"/>
            <rFont val="Tahoma"/>
            <family val="2"/>
          </rPr>
          <t>PIERRE LOUIS GAUD_x000D_
http://yeinfo.com/family/I09065645.html_x000D_
https://www.google.com/search?q=PIERRE+LOUIS+GAUD+1522+1588+ZOE+LEONCINE_x000D_
.born: 1522    -          Mauritius_x000D_
.died: 15880404-          Mauritius, age:66y 3m 3d, _x000D_
.bapt: 1785GE_x000D_
.will: 2004MO_x000D_
.obit: 1890OH_x000D_
.bury: 1850IL Curepipe_x000D_
.wpbt: 1826PA_x000D_
.anc#:ancestor_x000D_
citiz:foreign_x000D_
#spos:1_x000D_
#srcs:1_x000D_
#comment:1_x000D_
#events:2_x000D_
#kids:1_x000D_
lived:MU_x000D_
issue:_x000D_
.recs:Birth,Marriage,Death,Interment/Burial_x000D_
.imm?:no_x000D_
..Spo:ZOE LEONCINE FAYE</t>
        </r>
      </text>
    </comment>
    <comment ref="Q9076" authorId="0" shapeId="0" xr:uid="{2A877FAA-0F24-4B27-8C16-B970E4197C90}">
      <text>
        <r>
          <rPr>
            <sz val="9"/>
            <color indexed="81"/>
            <rFont val="Tahoma"/>
            <family val="2"/>
          </rPr>
          <t>LOUIS ERNEST GAUD_x000D_
http://yeinfo.com/family/I09048922.html_x000D_
https://www.google.com/search?q=LOUIS+ERNEST+GAUD+1548+1632+LOUISE+RACHEL_x000D_
.born: 15480713-          France_x000D_
.died: 16320122-          Paris (Ile-de-France) France, age:83y 6m 9d, _x000D_
.bapt: 1785GE_x000D_
.will: 2004MO_x000D_
.obit: 1890OH_x000D_
.bury: 1850IL _x000D_
.wpbt: 1826PA_x000D_
.anc#:ancestor_x000D_
citiz:foreign_x000D_
#spos:1_x000D_
#srcs:1_x000D_
#comment:1_x000D_
#events:1_x000D_
#kids:1_x000D_
lived:FRILE-DPARIS_x000D_
issue:_x000D_
.recs:Birth,Marriage,Death_x000D_
.imm?:no_x000D_
..Spo:LOUISE RACHEL ROYER</t>
        </r>
      </text>
    </comment>
    <comment ref="R9078" authorId="0" shapeId="0" xr:uid="{4CE4EFB4-C51B-40B2-900A-1F711424F98D}">
      <text>
        <r>
          <rPr>
            <sz val="9"/>
            <color indexed="81"/>
            <rFont val="Tahoma"/>
            <family val="2"/>
          </rPr>
          <t>ZOE LEONCINE FAYE_x000D_
http://yeinfo.com/family/I09065644.html_x000D_
https://www.google.com/search?q=ZOE+LEONCINE+FAYE+1526+1603+GAUD_x000D_
.born: 15260323-          Mauritius_x000D_
.died: 160312  -          Mauritius, age:77y 8m 8d, _x000D_
.bapt: 1785GE_x000D_
.will: 2004MO_x000D_
.obit: 1890OH_x000D_
.bury: 1850IL _x000D_
.wpbt: 1826PA_x000D_
.anc#:ancestor_x000D_
citiz:foreign_x000D_
#spos:1_x000D_
#srcs:1_x000D_
#comment:1_x000D_
#events:1_x000D_
#kids:1_x000D_
lived:MU_x000D_
issue:_x000D_
.recs:Birth,Marriage,Death_x000D_
.imm?:no_x000D_
..Spo:PIERRE LOUIS GAUD</t>
        </r>
      </text>
    </comment>
    <comment ref="P9080" authorId="0" shapeId="0" xr:uid="{4AE15432-F7E2-43AD-A123-357BD90DBE79}">
      <text>
        <r>
          <rPr>
            <sz val="9"/>
            <color indexed="81"/>
            <rFont val="Tahoma"/>
            <family val="2"/>
          </rPr>
          <t>JANE GAUD_x000D_
http://yeinfo.com/family/I09024461.html_x000D_
https://www.google.com/search?q=JANE+GAUD+1574+1670+HILL_x000D_
.born: 15740111-          Northam (Devon) England_x000D_
.died: 1670    -          Northam (Devon) England, age:95y 11m 21d, _x000D_
.bapt: 1785GE_x000D_
.will: 2004MO_x000D_
.obit: 1890OH_x000D_
.bury: 1850IL _x000D_
.wpbt: 1826PA_x000D_
.anc#:ancestor_x000D_
citiz:foreign_x000D_
#spos:1_x000D_
#srcs:1_x000D_
#comment:0_x000D_
#events:2_x000D_
#kids:1_x000D_
lived:ENDEVONNORTHAM,ENDEVONPLYMSTO_x000D_
issue:_x000D_
.recs:Birth,Marriage,Death_x000D_
.imm?:no_x000D_
..Spo:JOHN HILL</t>
        </r>
      </text>
    </comment>
    <comment ref="R9082" authorId="0" shapeId="0" xr:uid="{9294D0A3-9C81-456E-B8D7-7E8D9E6F49A4}">
      <text>
        <r>
          <rPr>
            <sz val="9"/>
            <color indexed="81"/>
            <rFont val="Tahoma"/>
            <family val="2"/>
          </rPr>
          <t>LOUIS ROYER_x000D_
http://yeinfo.com/family/I09065663.html_x000D_
https://www.google.com/search?q=LOUIS+ROYER+1525+1552+LOUISE_x000D_
.born: 1525    -          Mauritius_x000D_
.died: 1552    -1615      Mauritius, age:27y 0m 0d, _x000D_
.bapt: 1785GE_x000D_
.will: 2004MO_x000D_
.obit: 1890OH_x000D_
.bury: 1850IL Port Louis_x000D_
.wpbt: 1826PA_x000D_
.anc#:ancestor_x000D_
citiz:foreign_x000D_
#spos:1_x000D_
#srcs:1_x000D_
#comment:1_x000D_
#events:2_x000D_
#kids:1_x000D_
lived:MU_x000D_
issue:_x000D_
.recs:Birth,Marriage,Death,Interment/Burial_x000D_
.imm?:no_x000D_
..Spo:LOUISE JANVIER</t>
        </r>
      </text>
    </comment>
    <comment ref="Q9084" authorId="0" shapeId="0" xr:uid="{54F316F3-C901-42D0-AC3C-A1BD19825E6A}">
      <text>
        <r>
          <rPr>
            <sz val="9"/>
            <color indexed="81"/>
            <rFont val="Tahoma"/>
            <family val="2"/>
          </rPr>
          <t>LOUISE RACHEL ROYER_x000D_
http://yeinfo.com/family/I09048923.html_x000D_
https://www.google.com/search?q=LOUISE+RACHEL+ROYER+1552+1575+GAUD_x000D_
.born: 15521226-          Paris (Ile-de-France) France_x000D_
.died: 1575    -          Paris (Ile-de-France) France, age:22y 0m 6d, _x000D_
.bapt: 1785GE_x000D_
.will: 2004MO_x000D_
.obit: 1890OH_x000D_
.bury: 1850IL _x000D_
.wpbt: 1826PA_x000D_
.anc#:ancestor_x000D_
citiz:foreign_x000D_
#spos:1_x000D_
#srcs:1_x000D_
#comment:0_x000D_
#events:1_x000D_
#kids:1_x000D_
lived:FRILE-DPARIS_x000D_
issue:_x000D_
.recs:Birth,Marriage,Death_x000D_
.imm?:no_x000D_
..Spo:LOUIS ERNEST GAUD</t>
        </r>
      </text>
    </comment>
    <comment ref="R9086" authorId="0" shapeId="0" xr:uid="{AEBD8A2E-8731-4678-A283-F7F9891EBD57}">
      <text>
        <r>
          <rPr>
            <sz val="9"/>
            <color indexed="81"/>
            <rFont val="Tahoma"/>
            <family val="2"/>
          </rPr>
          <t>LOUISE JANVIER_x000D_
http://yeinfo.com/family/I09065654.html_x000D_
https://www.google.com/search?q=LOUISE+JANVIER+1525+1552+ROYER_x000D_
.born: 1525    -          Mauritius_x000D_
.died: 1552    -1615      Mauritius, age:27y 0m 0d, _x000D_
.bapt: 1785GE_x000D_
.will: 2004MO_x000D_
.obit: 1890OH_x000D_
.bury: 1850IL Port Louis_x000D_
.wpbt: 1826PA_x000D_
.anc#:ancestor_x000D_
citiz:foreign_x000D_
#spos:1_x000D_
#srcs:1_x000D_
#comment:1_x000D_
#events:2_x000D_
#kids:1_x000D_
lived:MU_x000D_
issue:_x000D_
.recs:Birth,Marriage,Death,Interment/Burial_x000D_
.imm?:no_x000D_
..Spo:LOUIS ROYER</t>
        </r>
      </text>
    </comment>
    <comment ref="N9088" authorId="0" shapeId="0" xr:uid="{85E8EC8A-FB55-45F4-A6C1-D53F992871A1}">
      <text>
        <r>
          <rPr>
            <sz val="9"/>
            <color indexed="81"/>
            <rFont val="Tahoma"/>
            <family val="2"/>
          </rPr>
          <t>RUTH HILL_x000D_
http://yeinfo.com/family/I09006115.html_x000D_
https://www.google.com/search?q=RUTH+HILL+1637+1736+WILLIS_x000D_
.born:?1637    -         ?Dorchester (Suffolk) Massachusetts_x000D_
.died: 1736    -         ?Massachusetts, age:99y 0m 0d, _x000D_
.bapt: 1785GE_x000D_
.will: 2004MO_x000D_
.obit: 1890OH_x000D_
.bury: 1850IL _x000D_
.wpbt: 1826PA_x000D_
.anc#:ancestor_x000D_
citiz:US born_x000D_
#spos:1_x000D_
#srcs:2_x000D_
#comment:0_x000D_
#events:1_x000D_
#kids:3_x000D_
lived:?MASUFFODORCHES_x000D_
issue:_x000D_
.recs:Birth,Marriage,Death_x000D_
.imm?:no_x000D_
..Spo:ROGER WILLIS</t>
        </r>
      </text>
    </comment>
    <comment ref="O9090" authorId="0" shapeId="0" xr:uid="{F556F96C-B5F3-4B3B-82E5-4A26248051E7}">
      <text>
        <r>
          <rPr>
            <sz val="9"/>
            <color indexed="81"/>
            <rFont val="Tahoma"/>
            <family val="2"/>
          </rPr>
          <t>FRANCES TILDEN_x000D_
http://yeinfo.com/family/I09012231.html_x000D_
https://www.google.com/search?q=FRANCES+TILDEN+1608+1637+HILL_x000D_
.born: 1608    -         ?England_x000D_
.died: 1637    -1698     ?Massachusetts, age:29y 0m 0d, _x000D_
.bapt: 1785GE_x000D_
.will: 2004MO_x000D_
.obit: 1890OH_x000D_
.bury: 1850IL _x000D_
.wpbt: 1826PA_x000D_
.anc#:ancestor_x000D_
citiz:immigrant_x000D_
#spos:1_x000D_
#srcs:4_x000D_
#comment:0_x000D_
#events:1_x000D_
#kids:11_x000D_
lived:?EN,?MA,ENSOMESMELLS_x000D_
issue:_x000D_
.recs:Birth,Marriage,Death_x000D_
.imm?:immigrant_x000D_
..Spo:JOHN HILL</t>
        </r>
      </text>
    </comment>
    <comment ref="K9092" authorId="0" shapeId="0" xr:uid="{2A60E8D5-DA30-4A87-A102-E85CA6D9666E}">
      <text>
        <r>
          <rPr>
            <sz val="9"/>
            <color indexed="81"/>
            <rFont val="Tahoma"/>
            <family val="2"/>
          </rPr>
          <t>ISAAC GOODNOW Sr._x000D_
http://yeinfo.com/family/I09000764.html_x000D_
https://www.google.com/search?q=ISAAC+GOODNOW+1716+1806+MARY_x000D_
.born:a17160328-          Sudbury (Middlesex) Massachusetts_x000D_
.died: 18060706-         ?Newfane (Windham) Vermont, age:90y 3m 8d, _x000D_
.bapt: 1785GE_x000D_
.will: 2004MO_x000D_
.obit: 1890OH_x000D_
.bury: 1850IL _x000D_
.wpbt: 1826PA_x000D_
.anc#:ancestor_x000D_
citiz:US born_x000D_
#spos:1_x000D_
#srcs:6_x000D_
#comment:1_x000D_
#events:6_x000D_
#kids:3_x000D_
lived:?MANORFODEDHAM,?VTWINDHNEWFANE,MAMIDDLSUDBURY,MANORFONEEDHAM_x000D_
issue:_x000D_
.recs:Birth,Marriage,Will Written,Death_x000D_
.imm?:no_x000D_
..Spo:MARY COAD</t>
        </r>
      </text>
    </comment>
    <comment ref="P9094" authorId="0" shapeId="0" xr:uid="{EEBA4F10-F04C-4860-93D2-861145948B90}">
      <text>
        <r>
          <rPr>
            <sz val="9"/>
            <color indexed="81"/>
            <rFont val="Tahoma"/>
            <family val="2"/>
          </rPr>
          <t>Mr. {_?_} RICE_x000D_
http://yeinfo.com/family/I09021788.html_x000D_
https://www.google.com/search?q={_?_}+RICE+1560+1594+{_?_}_x000D_
.born:?1560    -          England_x000D_
.died: 1594    -1650      , age:34y 0m 0d, _x000D_
.bapt: 1785GE_x000D_
.will: 2004MO_x000D_
.obit: 1890OH_x000D_
.bury: 1850IL _x000D_
.wpbt: 1826PA_x000D_
.anc#: quintuple ancestor_x000D_
citiz:foreign_x000D_
#spos:1_x000D_
#srcs:1_x000D_
#comment:1_x000D_
#events:1_x000D_
#kids:2_x000D_
lived:EN_x000D_
issue:_x000D_
.recs:Birth,Marriage,Death_x000D_
.imm?:no_x000D_
..Spo:{_?_} RICE</t>
        </r>
      </text>
    </comment>
    <comment ref="O9096" authorId="0" shapeId="0" xr:uid="{5445BD16-E31A-4E51-A074-2277E92F0782}">
      <text>
        <r>
          <rPr>
            <sz val="9"/>
            <color indexed="81"/>
            <rFont val="Tahoma"/>
            <family val="2"/>
          </rPr>
          <t>EDMUND RICE_x000D_
http://yeinfo.com/family/I09002844.html_x000D_
https://www.google.com/search?q=EDMUND+RICE+1594+1663+THOMAZINE\ESTHER+HURD_x000D_
.born:c1594    -         ?Sudbury (Suffolk) England_x000D_
.died: 16630503-          Marlborough (Middlesex) Massachusetts, age:69y 4m 2d, _x000D_
.bapt: 1785GE_x000D_
.will: 2004MO_x000D_
.obit: 1890OH_x000D_
.bury: 1850IL _x000D_
.wpbt: 1826PA_x000D_
.anc#:  quadruple ancestor_x000D_
citiz:immigrant_x000D_
#spos:2_x000D_
#srcs:19_x000D_
#comment:2_x000D_
#events:24_x000D_
#kids:12_x000D_
lived:?ENSUFFOSUDBURY,ENHERTFBERKHAM,ENSUFFOBURY SE,ENSUFFOSTANSTE,MAMIDDLMARLBOR,MAMIDDLSUDBURY_x000D_
issue:Married before Age 16_x000D_
.recs:Birth,Baptism,Job/Occupation,Death,Land Transaction,Freeman,Immigrate_x000D_
.imm?:immigrant_x000D_
..Spo:THOMAZINE\ESTHER FROST</t>
        </r>
      </text>
    </comment>
    <comment ref="P9098" authorId="0" shapeId="0" xr:uid="{9BAC9F9F-A4D4-443F-A98F-188A1B360056}">
      <text>
        <r>
          <rPr>
            <sz val="9"/>
            <color indexed="81"/>
            <rFont val="Tahoma"/>
            <family val="2"/>
          </rPr>
          <t>Mrs. {_?_} RICE_x000D_
http://yeinfo.com/family/I09021789.html_x000D_
https://www.google.com/search?q={_?_}+RICE+1560+1594+RICE_x000D_
.born:?1560    -          England_x000D_
.died: 1594    -1650      , age:34y 0m 0d, _x000D_
.bapt: 1785GE_x000D_
.will: 2004MO_x000D_
.obit: 1890OH_x000D_
.bury: 1850IL _x000D_
.wpbt: 1826PA_x000D_
.anc#: quintuple ancestor_x000D_
citiz:foreign_x000D_
#spos:1_x000D_
#srcs:0_x000D_
#comment:0_x000D_
#events:1_x000D_
#kids:2_x000D_
lived:EN_x000D_
issue:_x000D_
.recs:Birth,Marriage,Death_x000D_
.imm?:no_x000D_
..Spo:{_?_} RICE</t>
        </r>
      </text>
    </comment>
    <comment ref="N9100" authorId="0" shapeId="0" xr:uid="{B4133B64-EA6F-4AEA-9B34-3E36572EA3D4}">
      <text>
        <r>
          <rPr>
            <sz val="9"/>
            <color indexed="81"/>
            <rFont val="Tahoma"/>
            <family val="2"/>
          </rPr>
          <t>MATTHEW\NICHOLAS RICE_x000D_
http://yeinfo.com/family/I09006116.html_x000D_
https://www.google.com/search?q=MATTHEW\NICHOLAS+RICE+1629+1717+MARTHA_x000D_
.born: 1629    -          France_x000D_
.died: 1717    -          New York Flat (_) New York, age:88y 0m 0d, _x000D_
.bapt: 1785GE_x000D_
.will: 2004MO_x000D_
.obit: 1890OH_x000D_
.bury: 1850IL _x000D_
.wpbt: 1826PA_x000D_
.anc#:ancestor_x000D_
citiz:immigrant_x000D_
#spos:1_x000D_
#srcs:8_x000D_
#comment:0_x000D_
#events:2_x000D_
#kids:9_x000D_
lived:ENHERTFBERKHAM,FR,MAMIDDLSUDBURY,NY     NEW YOR_x000D_
issue:_x000D_
.recs:Birth,Baptism,Marriage,Death_x000D_
.imm?:immigrant_x000D_
..Spo:MARTHA LAMSON</t>
        </r>
      </text>
    </comment>
    <comment ref="R9102" authorId="0" shapeId="0" xr:uid="{6F8F878B-28E5-4D44-B0CD-591F4569B2E7}">
      <text>
        <r>
          <rPr>
            <sz val="9"/>
            <color indexed="81"/>
            <rFont val="Tahoma"/>
            <family val="2"/>
          </rPr>
          <t>WILLIAM\HENRY FROST_x000D_
http://yeinfo.com/family/I09065537.html_x000D_
https://www.google.com/search?q=WILLIAM\HENRY+FROST+1480+1549+PHILLIPA_x000D_
.born: 1480    -          Stanstead (Suffolk) England_x000D_
.died: 1549    -          Stanstead (Suffolk) England, age:69y 0m 0d, _x000D_
.bapt: 1785GE_x000D_
.will: 2004MO_x000D_
.obit: 1890OH_x000D_
.bury: 1850IL _x000D_
.wpbt: 1826PA_x000D_
.anc#: quintuple ancestor_x000D_
citiz:foreign_x000D_
#spos:1_x000D_
#srcs:3_x000D_
#comment:0_x000D_
#events:3_x000D_
#kids:7_x000D_
lived:ENSUFFOSTANSTE_x000D_
issue:_x000D_
.recs:Birth,Marriage,Will Written,Death_x000D_
.imm?:no_x000D_
..Spo:PHILLIPA SCOTT</t>
        </r>
      </text>
    </comment>
    <comment ref="Q9104" authorId="0" shapeId="0" xr:uid="{CCF47493-3451-4448-BE91-503B4255A20B}">
      <text>
        <r>
          <rPr>
            <sz val="9"/>
            <color indexed="81"/>
            <rFont val="Tahoma"/>
            <family val="2"/>
          </rPr>
          <t>JOHN\THOMAS FROST_x000D_
http://yeinfo.com/family/I09043580.html_x000D_
https://www.google.com/search?q=JOHN\THOMAS+FROST+1537+1610+ANN+FROST_x000D_
.born:?1537    -          _x000D_
.died: 1610    -          , age:73y 0m 0d, _x000D_
.bapt: 1785GE_x000D_
.will: 2004MO_x000D_
.obit: 1890OH_x000D_
.bury: 1850IL _x000D_
.wpbt: 1826PA_x000D_
.anc#: quintuple ancestor_x000D_
citiz:foreign_x000D_
#spos:2_x000D_
#srcs:2_x000D_
#comment:0_x000D_
#events:7_x000D_
#kids:9_x000D_
lived:ENSUFFOGLEMSFO,ENSUFFOHARTEST,ENSUFFOSTANSTE_x000D_
issue:_x000D_
.recs:Birth,Baptism,Marriage,Death_x000D_
.imm?:no_x000D_
..Spo:ANN SCOTT</t>
        </r>
      </text>
    </comment>
    <comment ref="R9106" authorId="0" shapeId="0" xr:uid="{4369DD3D-9E57-4493-95D8-0B2FF04500E3}">
      <text>
        <r>
          <rPr>
            <sz val="9"/>
            <color indexed="81"/>
            <rFont val="Tahoma"/>
            <family val="2"/>
          </rPr>
          <t>PHILLIPA SCOTT_x000D_
http://yeinfo.com/family/I09065538.html_x000D_
https://www.google.com/search?q=PHILLIPA+SCOTT+1505+1558+FROST+John_x000D_
.born:?1505    -          Chickney (Essex) England_x000D_
.died: 155801  -         ?Lidgate (Suffolk) England, age:53y 0m 0d, _x000D_
.bapt: 1785GE_x000D_
.will: 2004MO_x000D_
.obit: 1890OH_x000D_
.bury: 1850IL _x000D_
.wpbt: 1826PA_x000D_
.anc#: quintuple ancestor_x000D_
citiz:foreign_x000D_
#spos:2_x000D_
#srcs:3_x000D_
#comment:1_x000D_
#events:3_x000D_
#kids:7_x000D_
lived:?ENSUFFOLIDGATE,ENESSEXCHICKNE,MAMIDDLSUDBURY_x000D_
issue:_x000D_
.recs:Birth,Marriage,Death_x000D_
.imm?:no_x000D_
..Spo:WILLIAM\HENRY FROST</t>
        </r>
      </text>
    </comment>
    <comment ref="P9108" authorId="0" shapeId="0" xr:uid="{567DBAA7-6FF0-4169-92A1-7499A9BBEC0D}">
      <text>
        <r>
          <rPr>
            <sz val="9"/>
            <color indexed="81"/>
            <rFont val="Tahoma"/>
            <family val="2"/>
          </rPr>
          <t>EDWARD\EDMUND FROST_x000D_
http://yeinfo.com/family/I09021790.html_x000D_
https://www.google.com/search?q=EDWARD\EDMUND+FROST+1560+1616+THOMASINE_x000D_
.born:?1560    -          Glemsford (Suffolk) England_x000D_
.died: 1616    -          Stanstead (Suffolk) England, age:56y 0m 0d, _x000D_
.bapt: 1785GE_x000D_
.will: 2004MO_x000D_
.obit: 1890OH_x000D_
.bury: 1850IL _x000D_
.wpbt: 1826PA_x000D_
.anc#: quintuple ancestor_x000D_
citiz:foreign_x000D_
#spos:1_x000D_
#srcs:1_x000D_
#comment:1_x000D_
#events:4_x000D_
#kids:11_x000D_
lived:ENSUFFOGLEMSFO,ENSUFFOSTANSTE_x000D_
issue:_x000D_
.recs:Birth,Marriage,Job/Occupation,Will Written,Death_x000D_
.imm?:no_x000D_
..Spo:THOMASINE BELGRAVE</t>
        </r>
      </text>
    </comment>
    <comment ref="R9110" authorId="0" shapeId="0" xr:uid="{F7B45D67-EB04-4EED-B635-796B9F5207A9}">
      <text>
        <r>
          <rPr>
            <sz val="9"/>
            <color indexed="81"/>
            <rFont val="Tahoma"/>
            <family val="2"/>
          </rPr>
          <t>RICHARD SCOTT_x000D_
http://yeinfo.com/family/I09065539.html_x000D_
https://www.google.com/search?q=RICHARD+SCOTT+1505+1565+JOANNA+SCOTT_x000D_
.born:?1505    -          England_x000D_
.died:c1565    -         ?Glemsford (Suffolk) England, age:60y 0m 0d, _x000D_
.bapt: 1785GE_x000D_
.will: 2004MO_x000D_
.obit: 1890OH_x000D_
.bury: 1850IL _x000D_
.wpbt: 1826PA_x000D_
.anc#: quintuple ancestor_x000D_
citiz:foreign_x000D_
#spos:2_x000D_
#srcs:6_x000D_
#comment:0_x000D_
#events:6_x000D_
#kids:9_x000D_
lived:?ENSUFFOGLEMSFO,EN_x000D_
issue:_x000D_
.recs:Birth,Marriage,Will Written,Death_x000D_
.imm?:no_x000D_
..Spo:JOANNA SCOTT</t>
        </r>
      </text>
    </comment>
    <comment ref="Q9112" authorId="0" shapeId="0" xr:uid="{C95396E7-DB7C-4FBD-AA5E-6961498D4F87}">
      <text>
        <r>
          <rPr>
            <sz val="9"/>
            <color indexed="81"/>
            <rFont val="Tahoma"/>
            <family val="2"/>
          </rPr>
          <t>ANN SCOTT_x000D_
http://yeinfo.com/family/I09043581.html_x000D_
https://www.google.com/search?q=ANN+SCOTT+1540+1588+FROST_x000D_
.born:?1540    -          _x000D_
.died: 158807  -          , age:48y 6m 0d, _x000D_
.bapt: 1785GE_x000D_
.will: 2004MO_x000D_
.obit: 1890OH_x000D_
.bury: 1850IL _x000D_
.wpbt: 1826PA_x000D_
.anc#: quintuple ancestor_x000D_
citiz:foreign_x000D_
#spos:1_x000D_
#srcs:2_x000D_
#comment:1_x000D_
#events:2_x000D_
#kids:9_x000D_
lived:ENSUFFOGLEMSFO,ENSUFFOHARTEST,ENSUFFOSTANSTE_x000D_
issue:_x000D_
.recs:Birth,Marriage,Death_x000D_
.imm?:no_x000D_
..Spo:JOHN\THOMAS FROST</t>
        </r>
      </text>
    </comment>
    <comment ref="R9114" authorId="0" shapeId="0" xr:uid="{97DB1E73-5082-4232-9A61-D6818AF9695B}">
      <text>
        <r>
          <rPr>
            <sz val="9"/>
            <color indexed="81"/>
            <rFont val="Tahoma"/>
            <family val="2"/>
          </rPr>
          <t>Mrs. JOANNA SCOTT_x000D_
http://yeinfo.com/family/I09065540.html_x000D_
https://www.google.com/search?q=JOANNA+SCOTT+1505+1556+SCOTT_x000D_
.born:?1505    -          England_x000D_
.died: 1556    -         ?Glemsford (Suffolk) England, age:51y 0m 0d, _x000D_
.bapt: 1785GE_x000D_
.will: 2004MO_x000D_
.obit: 1890OH_x000D_
.bury: 1850IL _x000D_
.wpbt: 1826PA_x000D_
.anc#: quintuple ancestor_x000D_
citiz:foreign_x000D_
#spos:1_x000D_
#srcs:1_x000D_
#comment:0_x000D_
#events:2_x000D_
#kids:9_x000D_
lived:?ENSUFFOGLEMSFO,EN_x000D_
issue:_x000D_
.recs:Birth,Marriage,Death_x000D_
.imm?:no_x000D_
..Spo:RICHARD SCOTT</t>
        </r>
      </text>
    </comment>
    <comment ref="O9116" authorId="0" shapeId="0" xr:uid="{41B4E97E-F4BC-4367-98A1-0F7F92740AC5}">
      <text>
        <r>
          <rPr>
            <sz val="9"/>
            <color indexed="81"/>
            <rFont val="Tahoma"/>
            <family val="2"/>
          </rPr>
          <t>THOMAZINE\ESTHER FROST_x000D_
http://yeinfo.com/family/I09002845.html_x000D_
https://www.google.com/search?q=THOMAZINE\ESTHER+FROST+1600+1654+RICE_x000D_
.born: 1600    -          _x000D_
.died: 16540613-          , age:54y 5m 12d, _x000D_
.bapt: 1785GE_x000D_
.will: 2004MO_x000D_
.obit: 1890OH_x000D_
.bury: 1850IL _x000D_
.wpbt: 1826PA_x000D_
.anc#:  quadruple ancestor_x000D_
citiz:US born_x000D_
#spos:1_x000D_
#srcs:14_x000D_
#comment:1_x000D_
#events:5_x000D_
#kids:10_x000D_
lived:?ENSUFFOBURY SE,?ENSUFFOSTANSTE,ENHERTFBERKHAM,MAMIDDLSUDBURY,NJMIDDLWOODBRI_x000D_
issue:_x000D_
.recs:Birth,Baptism,Marriage,Death_x000D_
.imm?:no_x000D_
..Spo:EDMUND RICE</t>
        </r>
      </text>
    </comment>
    <comment ref="Q9118" authorId="0" shapeId="0" xr:uid="{D0798833-D5B2-4A71-84BC-B11BF89CBB4E}">
      <text>
        <r>
          <rPr>
            <sz val="9"/>
            <color indexed="81"/>
            <rFont val="Tahoma"/>
            <family val="2"/>
          </rPr>
          <t>JOHN BELGRAVE_x000D_
http://yeinfo.com/family/I09043582.html_x000D_
https://www.google.com/search?q=JOHN+BELGRAVE+1535+1591+JOANNA+Fairefax_x000D_
.born:c1535    -          Glemsford (Suffolk) England_x000D_
.died: 1591    -          Leverington (Cambridgeshire) England, age:56y 0m 0d, _x000D_
.bapt: 1785GE_x000D_
.will: 2004MO_x000D_
.obit: 1890OH_x000D_
.bury: 1850IL _x000D_
.wpbt: 1826PA_x000D_
.anc#: quintuple ancestor_x000D_
citiz:foreign_x000D_
#spos:2_x000D_
#srcs:3_x000D_
#comment:0_x000D_
#events:4_x000D_
#kids:12_x000D_
lived:ENCAMBSLEVERIN,ENSUFFOGLEMSFO_x000D_
issue:_x000D_
.recs:Birth,Marriage,Will Written,Death_x000D_
.imm?:no_x000D_
..Spo:JOANNA STRUTT</t>
        </r>
      </text>
    </comment>
    <comment ref="P9120" authorId="0" shapeId="0" xr:uid="{98EF3200-F0EA-402B-AD54-D2F168ED84CB}">
      <text>
        <r>
          <rPr>
            <sz val="9"/>
            <color indexed="81"/>
            <rFont val="Tahoma"/>
            <family val="2"/>
          </rPr>
          <t>THOMASINE BELGRAVE_x000D_
http://yeinfo.com/family/I09021791.html_x000D_
https://www.google.com/search?q=THOMASINE+BELGRAVE+1562+1653+FROST_x000D_
.born: 1562    -          _x000D_
.died: 16530613-          Suffolk county England, age:91y 5m 12d, _x000D_
.bapt: 1785GE_x000D_
.will: 2004MO_x000D_
.obit: 1890OH_x000D_
.bury: 1850IL _x000D_
.wpbt: 1826PA_x000D_
.anc#: quintuple ancestor_x000D_
citiz:US born_x000D_
#spos:1_x000D_
#srcs:3_x000D_
#comment:1_x000D_
#events:2_x000D_
#kids:11_x000D_
lived:?ENCAMBSLEVERIN,ENSUFFOGLEMSFO_x000D_
issue:_x000D_
.recs:Birth,Baptism,Marriage,Death_x000D_
.imm?:no_x000D_
..Spo:EDWARD\EDMUND FROST</t>
        </r>
      </text>
    </comment>
    <comment ref="T9122" authorId="0" shapeId="0" xr:uid="{41B94F5E-F68E-4462-AD0D-C487E8F57D3B}">
      <text>
        <r>
          <rPr>
            <sz val="9"/>
            <color indexed="81"/>
            <rFont val="Tahoma"/>
            <family val="2"/>
          </rPr>
          <t>JOHN STRUTT_x000D_
http://yeinfo.com/family/I09065805.html_x000D_
https://www.google.com/search?q=JOHN+STRUTT+1450+1516+ISABELLE+ELIZABETH_x000D_
.born:?1450    -          England_x000D_
.died: 1516    -          Glemsford (Suffolk) England, age:66y 0m 0d, _x000D_
.bapt: 1785GE_x000D_
.will: 2004MO_x000D_
.obit: 1890OH_x000D_
.bury: 1850IL Oure Lady Sainte Marie church yard_x000D_
.wpbt: 1826PA_x000D_
.anc#: quintuple ancestor_x000D_
citiz:foreign_x000D_
#spos:1_x000D_
#srcs:2_x000D_
#comment:0_x000D_
#events:5_x000D_
#kids:7_x000D_
lived:ENSUFFOGLEMSFO_x000D_
issue:_x000D_
.recs:Birth,Marriage,Will Written,Death,Interment/Burial_x000D_
.imm?:no_x000D_
..Spo:ISABELLE ELIZABETH GOLDING</t>
        </r>
      </text>
    </comment>
    <comment ref="S9124" authorId="0" shapeId="0" xr:uid="{9CF39602-24C4-41D3-9D8E-3C7398EAAEED}">
      <text>
        <r>
          <rPr>
            <sz val="9"/>
            <color indexed="81"/>
            <rFont val="Tahoma"/>
            <family val="2"/>
          </rPr>
          <t>THOMAS STRUTT_x000D_
http://yeinfo.com/family/I09065679.html_x000D_
https://www.google.com/search?q=THOMAS+STRUTT+1475+1548+JOHANE_x000D_
.born:?1475    -         ?Glemsford (Suffolk) England_x000D_
.died: 1548    -          Glemsford (Suffolk) England, age:73y 0m 0d, _x000D_
.bapt: 1785GE_x000D_
.will: 2004MO_x000D_
.obit: 1890OH_x000D_
.bury: 1850IL _x000D_
.wpbt: 1826PA_x000D_
.anc#: quintuple ancestor_x000D_
citiz:foreign_x000D_
#spos:1_x000D_
#srcs:2_x000D_
#comment:0_x000D_
#events:3_x000D_
#kids:5_x000D_
lived:?ENSUFFOGLEMSFO_x000D_
issue:_x000D_
.recs:Birth,Marriage,Will Written,Death_x000D_
.imm?:no_x000D_
..Spo:JOHANE STRUTT</t>
        </r>
      </text>
    </comment>
    <comment ref="T9126" authorId="0" shapeId="0" xr:uid="{F188F802-9241-41FE-BAE5-A5F74AC28AFA}">
      <text>
        <r>
          <rPr>
            <sz val="9"/>
            <color indexed="81"/>
            <rFont val="Tahoma"/>
            <family val="2"/>
          </rPr>
          <t>ISABELLE ELIZABETH GOLDING_x000D_
http://yeinfo.com/family/I09065806.html_x000D_
https://www.google.com/search?q=ISABELLE+ELIZABETH+GOLDING+1450+1526+STRUTT_x000D_
.born:?1450    -          England_x000D_
.died: 1526    -         ?Glemsford (Suffolk) England, age:76y 0m 0d, _x000D_
.bapt: 1785GE_x000D_
.will: 2004MO_x000D_
.obit: 1890OH_x000D_
.bury: 1850IL _x000D_
.wpbt: 1826PA_x000D_
.anc#: quintuple ancestor_x000D_
citiz:foreign_x000D_
#spos:1_x000D_
#srcs:1_x000D_
#comment:0_x000D_
#events:1_x000D_
#kids:7_x000D_
lived:?ENSUFFOGLEMSFO,EN_x000D_
issue:_x000D_
.recs:Birth,Marriage,Death_x000D_
.imm?:no_x000D_
..Spo:JOHN STRUTT</t>
        </r>
      </text>
    </comment>
    <comment ref="R9128" authorId="0" shapeId="0" xr:uid="{4DED1DB0-5EBF-4EAF-82AA-D5BCD3975DDB}">
      <text>
        <r>
          <rPr>
            <sz val="9"/>
            <color indexed="81"/>
            <rFont val="Tahoma"/>
            <family val="2"/>
          </rPr>
          <t>JOHN STRUTT_x000D_
http://yeinfo.com/family/I09065541.html_x000D_
https://www.google.com/search?q=JOHN+STRUTT+1502+1591+CATHERINE\JOHANNA+Scott_x000D_
.born:?1502    -         ?Glemsford (Suffolk) England_x000D_
.died: 1591    -         ?Glemsford (Suffolk) England, age:89y 0m 0d, _x000D_
.bapt: 1785GE_x000D_
.will: 2004MO_x000D_
.obit: 1890OH_x000D_
.bury: 1850IL _x000D_
.wpbt: 1826PA_x000D_
.anc#: quintuple ancestor_x000D_
citiz:foreign_x000D_
#spos:2_x000D_
#srcs:2_x000D_
#comment:0_x000D_
#events:5_x000D_
#kids:5_x000D_
lived:?ENSUFFOGLEMSFO,ENSUFFOSUDBURY_x000D_
issue:_x000D_
.recs:Birth,Marriage,Death_x000D_
.imm?:no_x000D_
..Spo:CATHERINE\JOHANNA SCOTT</t>
        </r>
      </text>
    </comment>
    <comment ref="S9130" authorId="0" shapeId="0" xr:uid="{D048E9FC-EE03-4528-B04B-D1B7E42B7E42}">
      <text>
        <r>
          <rPr>
            <sz val="9"/>
            <color indexed="81"/>
            <rFont val="Tahoma"/>
            <family val="2"/>
          </rPr>
          <t>Mrs. JOHANE STRUTT_x000D_
http://yeinfo.com/family/I09065680.html_x000D_
https://www.google.com/search?q=JOHANE+STRUTT+1480+1510+STRUTT_x000D_
.born:?1480    -         ?Glemsford (Suffolk) England_x000D_
.died: 1510    -1570     ?Glemsford (Suffolk) England, age:30y 0m 0d, _x000D_
.bapt: 1785GE_x000D_
.will: 2004MO_x000D_
.obit: 1890OH_x000D_
.bury: 1850IL _x000D_
.wpbt: 1826PA_x000D_
.anc#: quintuple ancestor_x000D_
citiz:foreign_x000D_
#spos:1_x000D_
#srcs:1_x000D_
#comment:0_x000D_
#events:1_x000D_
#kids:5_x000D_
lived:?ENSUFFOGLEMSFO_x000D_
issue:_x000D_
.recs:Birth,Marriage,Death_x000D_
.imm?:no_x000D_
..Spo:THOMAS STRUTT</t>
        </r>
      </text>
    </comment>
    <comment ref="Q9132" authorId="0" shapeId="0" xr:uid="{51652B44-A99F-46D9-8A4D-8252809E874B}">
      <text>
        <r>
          <rPr>
            <sz val="9"/>
            <color indexed="81"/>
            <rFont val="Tahoma"/>
            <family val="2"/>
          </rPr>
          <t>JOANNA STRUTT_x000D_
http://yeinfo.com/family/I09043583.html_x000D_
https://www.google.com/search?q=JOANNA+STRUTT+1538+1577+BELGRAVE_x000D_
.born:?1538    -          Glemsford (Suffolk) England_x000D_
.died: 1577    -          England, age:39y 0m 0d, _x000D_
.bapt: 1785GE_x000D_
.will: 2004MO_x000D_
.obit: 1890OH_x000D_
.bury: 1850IL _x000D_
.wpbt: 1826PA_x000D_
.anc#: quintuple ancestor_x000D_
citiz:foreign_x000D_
#spos:1_x000D_
#srcs:2_x000D_
#comment:1_x000D_
#events:2_x000D_
#kids:8_x000D_
lived:ENCAMBSLEVERIN,ENSUFFOGLEMSFO_x000D_
issue:_x000D_
.recs:Birth,Marriage,Death_x000D_
.imm?:no_x000D_
..Spo:JOHN BELGRAVE</t>
        </r>
      </text>
    </comment>
    <comment ref="R9134" authorId="0" shapeId="0" xr:uid="{E5E3D3FD-29ED-4F96-AADA-5153FFEB514A}">
      <text>
        <r>
          <rPr>
            <sz val="9"/>
            <color indexed="81"/>
            <rFont val="Tahoma"/>
            <family val="2"/>
          </rPr>
          <t>CATHERINE\JOHANNA SCOTT_x000D_
http://yeinfo.com/family/I09065542.html_x000D_
https://www.google.com/search?q=CATHERINE\JOHANNA+SCOTT+1510+1578+STRUTT_x000D_
.born:?1510    -         ?Glemsford (Suffolk) England_x000D_
.died: 157808  -         ?Glemsford (Suffolk) England, age:68y 7m 0d, _x000D_
.bapt: 1785GE_x000D_
.will: 2004MO_x000D_
.obit: 1890OH_x000D_
.bury: 1850IL _x000D_
.wpbt: 1826PA_x000D_
.anc#: quintuple ancestor_x000D_
citiz:foreign_x000D_
#spos:1_x000D_
#srcs:1_x000D_
#comment:0_x000D_
#events:2_x000D_
#kids:5_x000D_
lived:?ENSUFFOGLEMSFO_x000D_
issue:_x000D_
.recs:Birth,Marriage,Death_x000D_
.imm?:no_x000D_
..Spo:JOHN STRUTT</t>
        </r>
      </text>
    </comment>
    <comment ref="M9136" authorId="0" shapeId="0" xr:uid="{E582C941-B800-4586-804A-F39C2B071E18}">
      <text>
        <r>
          <rPr>
            <sz val="9"/>
            <color indexed="81"/>
            <rFont val="Tahoma"/>
            <family val="2"/>
          </rPr>
          <t>ISAAC RICE_x000D_
http://yeinfo.com/family/I09003058.html_x000D_
https://www.google.com/search?q=ISAAC+RICE+1668+1718+SYBIL_x000D_
.born: 16680501-          Middlesex county Massachusetts_x000D_
.died: 17180204-         ?, age:49y 9m 3d, _x000D_
.bapt: 1785GE_x000D_
.will: 2004MO_x000D_
.obit: 1890OH_x000D_
.bury: 1850IL _x000D_
.wpbt: 1826PA_x000D_
.anc#:ancestor_x000D_
citiz:US born_x000D_
#spos:1_x000D_
#srcs:3_x000D_
#comment:0_x000D_
#events:1_x000D_
#kids:5_x000D_
lived:MAMIDDLCONCORD_x000D_
issue:_x000D_
.recs:Birth,Marriage,Death_x000D_
.imm?:no_x000D_
..Spo:SYBIL COLLINS</t>
        </r>
      </text>
    </comment>
    <comment ref="N9138" authorId="0" shapeId="0" xr:uid="{96BA501D-0A0E-4138-B373-F065BF3A9C16}">
      <text>
        <r>
          <rPr>
            <sz val="9"/>
            <color indexed="81"/>
            <rFont val="Tahoma"/>
            <family val="2"/>
          </rPr>
          <t>MARTHA LAMSON_x000D_
http://yeinfo.com/family/I09006117.html_x000D_
https://www.google.com/search?q=MARTHA+LAMSON+1634+1671+RICE_x000D_
.born: 1634    -         ?England_x000D_
.died: 1671    -1724     ?Middlesex county Massachusetts, age:37y 0m 0d, _x000D_
.bapt: 1785GE_x000D_
.will: 2004MO_x000D_
.obit: 1890OH_x000D_
.bury: 1850IL _x000D_
.wpbt: 1826PA_x000D_
.anc#:ancestor_x000D_
citiz:immigrant_x000D_
#spos:1_x000D_
#srcs:8_x000D_
#comment:0_x000D_
#events:1_x000D_
#kids:9_x000D_
lived:?EN,MAMIDDLSUDBURY_x000D_
issue:_x000D_
.recs:Birth,Marriage,Death_x000D_
.imm?:immigrant_x000D_
..Spo:MATTHEW\NICHOLAS RICE</t>
        </r>
      </text>
    </comment>
    <comment ref="L9140" authorId="0" shapeId="0" xr:uid="{3F8E4816-0C53-493C-9A96-BE9E59F207BD}">
      <text>
        <r>
          <rPr>
            <sz val="9"/>
            <color indexed="81"/>
            <rFont val="Tahoma"/>
            <family val="2"/>
          </rPr>
          <t>RUTH RICE_x000D_
http://yeinfo.com/family/I09001529.html_x000D_
https://www.google.com/search?q=RUTH+RICE+1695+1782+GOODNOW_x000D_
.born: 16951018-          Middlesex county Massachusetts_x000D_
.died: 1782    -1785      , age:86y 2m 14d, _x000D_
.bapt: 1785GE_x000D_
.will: 2004MO_x000D_
.obit: 1890OH_x000D_
.bury: 1850IL _x000D_
.wpbt: 1826PA_x000D_
.anc#:ancestor_x000D_
citiz:US born_x000D_
#spos:1_x000D_
#srcs:3_x000D_
#comment:0_x000D_
#events:1_x000D_
#kids:1_x000D_
lived:MAMIDDLSUDBURY_x000D_
issue:_x000D_
.recs:Birth,Marriage,Death_x000D_
.imm?:no_x000D_
..Spo:JOHN GOODNOW</t>
        </r>
      </text>
    </comment>
    <comment ref="N9142" authorId="0" shapeId="0" xr:uid="{C57BD6ED-492D-4CE9-9DFE-04E7E9298F51}">
      <text>
        <r>
          <rPr>
            <sz val="9"/>
            <color indexed="81"/>
            <rFont val="Tahoma"/>
            <family val="2"/>
          </rPr>
          <t>ISAAC\SAMUEL EDWARD COLLINS_x000D_
http://yeinfo.com/family/I09006118.html_x000D_
https://www.google.com/search?q=ISAAC\SAMUEL+EDWARD+COLLINS+1636+1696+SIBELOR_x000D_
.born: 1636    -          England_x000D_
.died: 16960110-          , age:60y 0m 9d, _x000D_
.bapt: 1785GE_x000D_
.will: 2004MO_x000D_
.obit: 1890OH_x000D_
.bury: 1850IL _x000D_
.wpbt: 1826PA_x000D_
.anc#:ancestor_x000D_
citiz:US born_x000D_
#spos:1_x000D_
#srcs:8_x000D_
#comment:0_x000D_
#events:2_x000D_
#kids:1_x000D_
lived:?MA,EN_x000D_
issue:_x000D_
.recs:Birth,Marriage,Death_x000D_
.imm?:no_x000D_
..Spo:SIBELOR COLLINS</t>
        </r>
      </text>
    </comment>
    <comment ref="M9144" authorId="0" shapeId="0" xr:uid="{45356E27-39CF-421E-BA35-C2285DD83B3C}">
      <text>
        <r>
          <rPr>
            <sz val="9"/>
            <color indexed="81"/>
            <rFont val="Tahoma"/>
            <family val="2"/>
          </rPr>
          <t>SYBIL COLLINS_x000D_
http://yeinfo.com/family/I09003059.html_x000D_
https://www.google.com/search?q=SYBIL+COLLINS+1670+1708+RICE+George_x000D_
.born: 16700224-          Middlesex county Massachusetts_x000D_
.died: 1708    -1760      , age:37y 10m 8d, _x000D_
.bapt: 1785GE_x000D_
.will: 2004MO_x000D_
.obit: 1890OH_x000D_
.bury: 1850IL _x000D_
.wpbt: 1826PA_x000D_
.anc#:ancestor_x000D_
citiz:US born_x000D_
#spos:2_x000D_
#srcs:4_x000D_
#comment:0_x000D_
#events:2_x000D_
#kids:5_x000D_
lived:MAMIDDLCONCORD_x000D_
issue:_x000D_
.recs:Birth,Marriage,Death_x000D_
.imm?:no_x000D_
..Spo:ISAAC RICE</t>
        </r>
      </text>
    </comment>
    <comment ref="N9146" authorId="0" shapeId="0" xr:uid="{A5BCB8DB-5B35-4F74-899E-3FB100BEBC33}">
      <text>
        <r>
          <rPr>
            <sz val="9"/>
            <color indexed="81"/>
            <rFont val="Tahoma"/>
            <family val="2"/>
          </rPr>
          <t>Mrs. SIBELOR COLLINS_x000D_
http://yeinfo.com/family/I09006119.html_x000D_
https://www.google.com/search?q=SIBELOR+COLLINS+1640+1670+COLLINS_x000D_
.born:?1640    -         ?Massachusetts_x000D_
.died: 1670    -1730      , age:30y 0m 0d, _x000D_
.bapt: 1785GE_x000D_
.will: 2004MO_x000D_
.obit: 1890OH_x000D_
.bury: 1850IL _x000D_
.wpbt: 1826PA_x000D_
.anc#:ancestor_x000D_
citiz:US born_x000D_
#spos:1_x000D_
#srcs:2_x000D_
#comment:0_x000D_
#events:1_x000D_
#kids:1_x000D_
lived:?MA_x000D_
issue:_x000D_
.recs:Birth,Marriage,Death_x000D_
.imm?:no_x000D_
..Spo:ISAAC\SAMUEL EDWARD COLLINS</t>
        </r>
      </text>
    </comment>
    <comment ref="J9148" authorId="0" shapeId="0" xr:uid="{399694E0-8898-4A2A-90B0-58E27ACECB0B}">
      <text>
        <r>
          <rPr>
            <sz val="9"/>
            <color indexed="81"/>
            <rFont val="Tahoma"/>
            <family val="2"/>
          </rPr>
          <t>ISAAC GOODNOW Jr._x000D_
http://yeinfo.com/family/I09000382.html_x000D_
https://www.google.com/search?q=ISAAC+GOODNOW+1739+1806+SUSANNAH_x000D_
.born: 17390310-          Needham (Norfolk) Massachusetts_x000D_
.died: 18060523-         ?Newfane (Windham) Vermont, age:67y 2m 13d, _x000D_
.bapt: 1785GE_x000D_
.will: 2004MO_x000D_
.obit: 1890OH_x000D_
.bury: 1850IL _x000D_
.wpbt: 1826PA_x000D_
.anc#:ancestor_x000D_
citiz:US born_x000D_
#spos:1_x000D_
#srcs:3_x000D_
#comment:0_x000D_
#events:5_x000D_
#kids:4_x000D_
lived:?VTWINDHNEWFANE,MANORFONEEDHAM,VTWINDH_x000D_
issue:_x000D_
.recs:Birth,Military,Marriage,Death_x000D_
.imm?:no_x000D_
..Spo:SUSANNAH OCKINGTON</t>
        </r>
      </text>
    </comment>
    <comment ref="L9150" authorId="0" shapeId="0" xr:uid="{4F3EDF8C-A5B3-4E1A-A685-3E859D3D6DE9}">
      <text>
        <r>
          <rPr>
            <sz val="9"/>
            <color indexed="81"/>
            <rFont val="Tahoma"/>
            <family val="2"/>
          </rPr>
          <t>STEPHEN COAD_x000D_
http://yeinfo.com/family/I09001530.html_x000D_
https://www.google.com/search?q=STEPHEN+COAD+1690+1731+MARY_x000D_
.born: 1690    -          Boston (Suffolk) Massachusetts_x000D_
.died: 1731    -          Dedham (Norfolk) Massachusetts, age:41y 0m 0d, _x000D_
.bapt: 1785GE_x000D_
.will: 2004MO_x000D_
.obit: 1890OH_x000D_
.bury: 1850IL _x000D_
.wpbt: 1826PA_x000D_
.anc#:ancestor_x000D_
citiz:US born_x000D_
#spos:1_x000D_
#srcs:8_x000D_
#comment:1_x000D_
#events:1_x000D_
#kids:1_x000D_
lived:MANORFODEDHAM,MASUFFOBOSTON_x000D_
issue:_x000D_
.recs:Birth,Marriage,Death_x000D_
.imm?:no_x000D_
..Spo:MARY WOODCOCK</t>
        </r>
      </text>
    </comment>
    <comment ref="K9152" authorId="0" shapeId="0" xr:uid="{B0F80D8D-EA49-41AA-859D-5BDF1466199E}">
      <text>
        <r>
          <rPr>
            <sz val="9"/>
            <color indexed="81"/>
            <rFont val="Tahoma"/>
            <family val="2"/>
          </rPr>
          <t>MARY COAD_x000D_
http://yeinfo.com/family/I09000765.html_x000D_
https://www.google.com/search?q=MARY+COAD+1716+1804+GOODNOW_x000D_
.born: 17161214-          Boston (Suffolk) Massachusetts_x000D_
.died: 18041008-          Newfane (Windham) Vermont, age:87y 9m 24d, _x000D_
.bapt: 1785GE_x000D_
.will: 2004MO_x000D_
.obit: 1890OH_x000D_
.bury: 1850IL _x000D_
.wpbt: 1826PA_x000D_
.anc#:ancestor_x000D_
citiz:US born_x000D_
#spos:1_x000D_
#srcs:3_x000D_
#comment:1_x000D_
#events:2_x000D_
#kids:3_x000D_
lived:MANORFONEEDHAM,MASUFFOBOSTON,VTWINDHNEWFANE_x000D_
issue:_x000D_
.recs:Birth,Marriage,Will Written,Death_x000D_
.imm?:no_x000D_
..Spo:ISAAC GOODNOW</t>
        </r>
      </text>
    </comment>
    <comment ref="N9154" authorId="0" shapeId="0" xr:uid="{56F5D586-3B45-4BC6-AA8B-4E02AE9DBDD7}">
      <text>
        <r>
          <rPr>
            <sz val="9"/>
            <color indexed="81"/>
            <rFont val="Tahoma"/>
            <family val="2"/>
          </rPr>
          <t>JOHN\JONATHAN WOODCOCK Sr._x000D_
http://yeinfo.com/family/I09006124.html_x000D_
https://www.google.com/search?q=JOHN\JONATHAN+WOODCOCK+1615+1701+SARAH_x000D_
.born: 1615    -          Essex county England_x000D_
.died: 17011020-          Attleboro (Bristol) Massachusetts, age:86y 9m 19d, _x000D_
.bapt: 1785GE_x000D_
.will: 2004MO_x000D_
.obit: 1890OH_x000D_
.bury: 1850IL _x000D_
.wpbt: 1826PA_x000D_
.anc#:ancestor_x000D_
citiz:immigrant_x000D_
#spos:1_x000D_
#srcs:12_x000D_
#comment:2_x000D_
#events:9_x000D_
#kids:1_x000D_
lived:ENDORSEWEYMOUT,ENESSEX,MABRISTATTLEBO,MABRISTREHOBOT,MAHAMPDSPRINGF,MAMIDDLROXBURY,MANORFODEDHAM,MANORFOWEYMOUT,MASUFFOROXBURY_x000D_
issue:_x000D_
.recs:Birth,Ship Passenger List,Death,Immigrate_x000D_
.imm?:immigrant_x000D_
..Spo:SARAH CURTIS</t>
        </r>
      </text>
    </comment>
    <comment ref="M9156" authorId="0" shapeId="0" xr:uid="{823CB62D-7E45-409C-9AB2-064493C79330}">
      <text>
        <r>
          <rPr>
            <sz val="9"/>
            <color indexed="81"/>
            <rFont val="Tahoma"/>
            <family val="2"/>
          </rPr>
          <t>JOHN WOODCOCK Jr._x000D_
http://yeinfo.com/family/I09003062.html_x000D_
https://www.google.com/search?q=JOHN+WOODCOCK+1649+1710+SARAH_x000D_
.born: 1649    -          Rehoboth (Bristol) Massachusetts_x000D_
.died: 17100710-          Dedham (Norfolk) Massachusetts, age:61y 6m 9d, _x000D_
.bapt: 1785GE_x000D_
.will: 2004MO_x000D_
.obit: 1890OH_x000D_
.bury: 1850IL Old Village Cemetery_x000D_
.wpbt: 1826PA_x000D_
.anc#:ancestor_x000D_
citiz:US born_x000D_
#spos:2_x000D_
#srcs:10_x000D_
#comment:1_x000D_
#events:3_x000D_
#kids:1_x000D_
lived:MABRISTREHOBOT,MANORFODEDHAM,MANORFONEEDHAM_x000D_
issue:Born after Parent Died,Born after Dad Age 60,Born after Mom Age 50,Died after Age 100,Will Proven before Death_x000D_
.recs:Birth,Marriage,Death,Interment/Burial_x000D_
.imm?:no_x000D_
..Spo:SARAH JUDSON</t>
        </r>
      </text>
    </comment>
    <comment ref="O9158" authorId="0" shapeId="0" xr:uid="{21995C4F-0F33-4BC0-8A82-C5B745CCBF8B}">
      <text>
        <r>
          <rPr>
            <sz val="9"/>
            <color indexed="81"/>
            <rFont val="Tahoma"/>
            <family val="2"/>
          </rPr>
          <t>WILLIAM CURTIS_x000D_
http://yeinfo.com/family/I09012250.html_x000D_
https://www.google.com/search?q=WILLIAM+CURTIS+1592+1672+SARAH_x000D_
.born: 1592    -         ?Nazeing (Essex) England_x000D_
.died: 16721209-          Massachusetts, age:80y 11m 8d, _x000D_
.bapt: 1785GE_x000D_
.will: 2004MO_x000D_
.obit: 1890OH_x000D_
.bury: 1850IL _x000D_
.wpbt: 1826PA_x000D_
.anc#:ancestor_x000D_
citiz:immigrant_x000D_
#spos:1_x000D_
#srcs:2_x000D_
#comment:2_x000D_
#events:3_x000D_
#kids:1_x000D_
lived:?ENESSEXNAZEING,MASUFFOBOSTON,MASUFFOROXBURY_x000D_
issue:Spouse Age more than 30-Year Difference_x000D_
.recs:Birth,Death,Immigrate_x000D_
.imm?:immigrant_x000D_
..Spo:SARAH ELLIOTT</t>
        </r>
      </text>
    </comment>
    <comment ref="N9160" authorId="0" shapeId="0" xr:uid="{EE8C1781-1935-4EDC-B094-F7050B91D33E}">
      <text>
        <r>
          <rPr>
            <sz val="9"/>
            <color indexed="81"/>
            <rFont val="Tahoma"/>
            <family val="2"/>
          </rPr>
          <t>SARAH CURTIS_x000D_
http://yeinfo.com/family/I09006125.html_x000D_
https://www.google.com/search?q=SARAH+CURTIS+1627+1676+WOODCOCK_x000D_
.born: 1627    -          Nazeing (Essex) England_x000D_
.died: 16760426-          Attleboro (Bristol) Massachusetts, age:49y 3m 25d, _x000D_
.bapt: 1785GE_x000D_
.will: 2004MO_x000D_
.obit: 1890OH_x000D_
.bury: 1850IL _x000D_
.wpbt: 1826PA_x000D_
.anc#:ancestor_x000D_
citiz:immigrant_x000D_
#spos:1_x000D_
#srcs:16_x000D_
#comment:2_x000D_
#events:2_x000D_
#kids:1_x000D_
lived:ENESSEXNAZEING,MABRISTATTLEBO,MASUFFOROXBURY_x000D_
issue:_x000D_
.recs:Birth,Baptism,Marriage,Death_x000D_
.imm?:immigrant_x000D_
..Spo:JOHN\JONATHAN WOODCOCK</t>
        </r>
      </text>
    </comment>
    <comment ref="S9162" authorId="0" shapeId="0" xr:uid="{94CA3D25-ACAB-49A2-A336-EBA3AED3D6D6}">
      <text>
        <r>
          <rPr>
            <sz val="9"/>
            <color indexed="81"/>
            <rFont val="Tahoma"/>
            <family val="2"/>
          </rPr>
          <t>WILLIAM ELLIOTT_x000D_
http://yeinfo.com/family/I09065543.html_x000D_
https://www.google.com/search?q=WILLIAM+ELLIOTT+1450+1528+{_?_}_x000D_
.born:c1450    -          Cottered (Hertfordshire) England_x000D_
.died:c1528    -          Cottered (Hertfordshire) England, age:78y 0m 0d, _x000D_
.bapt: 1785GE_x000D_
.will: 2004MO_x000D_
.obit: 1890OH_x000D_
.bury: 1850IL _x000D_
.wpbt: 1826PA_x000D_
.anc#:  quadruple ancestor_x000D_
citiz:foreign_x000D_
#spos:1_x000D_
#srcs:1_x000D_
#comment:0_x000D_
#events:1_x000D_
#kids:1_x000D_
lived:ENHERTFCOTTERE_x000D_
issue:_x000D_
.recs:Birth,Marriage,Death_x000D_
.imm?:no_x000D_
..Spo:{_?_} ELLIOTT</t>
        </r>
      </text>
    </comment>
    <comment ref="R9164" authorId="0" shapeId="0" xr:uid="{B2027419-5DC4-446E-B882-26EE6C745B8D}">
      <text>
        <r>
          <rPr>
            <sz val="9"/>
            <color indexed="81"/>
            <rFont val="Tahoma"/>
            <family val="2"/>
          </rPr>
          <t>THOMAS ELLIOTT_x000D_
http://yeinfo.com/family/I09043368.html_x000D_
https://www.google.com/search?q=THOMAS+ELLIOTT+1480+1520+MARGARET+ELIZABETH_x000D_
.born:?1480    -          Cottered (Hertfordshire) England_x000D_
.died: 1520    -1570      Bishops Bourne (Kent) England, age:40y 0m 0d, _x000D_
.bapt: 1785GE_x000D_
.will: 2004MO_x000D_
.obit: 1890OH_x000D_
.bury: 1850IL _x000D_
.wpbt: 1826PA_x000D_
.anc#:  quadruple ancestor_x000D_
citiz:foreign_x000D_
#spos:1_x000D_
#srcs:1_x000D_
#comment:0_x000D_
#events:1_x000D_
#kids:1_x000D_
lived:ENHERTFCOTTERE,ENKENT BISHOPB_x000D_
issue:_x000D_
.recs:Birth,Marriage,Death_x000D_
.imm?:no_x000D_
..Spo:MARGARET ELIZABETH WILSON</t>
        </r>
      </text>
    </comment>
    <comment ref="S9166" authorId="0" shapeId="0" xr:uid="{725E5961-6113-4E1E-AFE4-55E25A0E0FBE}">
      <text>
        <r>
          <rPr>
            <sz val="9"/>
            <color indexed="81"/>
            <rFont val="Tahoma"/>
            <family val="2"/>
          </rPr>
          <t>Mrs. {_?_} ELLIOTT_x000D_
http://yeinfo.com/family/I09065544.html_x000D_
https://www.google.com/search?q={_?_}+ELLIOTT+1450+1480+ELLIOTT_x000D_
.born:?1450    -          _x000D_
.died: 1480    -1540     ?England, age:30y 0m 0d, _x000D_
.bapt: 1785GE_x000D_
.will: 2004MO_x000D_
.obit: 1890OH_x000D_
.bury: 1850IL _x000D_
.wpbt: 1826PA_x000D_
.anc#:  quadruple ancestor_x000D_
citiz:foreign_x000D_
#spos:1_x000D_
#srcs:0_x000D_
#comment:0_x000D_
#events:1_x000D_
#kids:1_x000D_
lived:?EN_x000D_
issue:_x000D_
.recs:Birth,Marriage,Death_x000D_
.imm?:no_x000D_
..Spo:WILLIAM ELLIOTT</t>
        </r>
      </text>
    </comment>
    <comment ref="Q9168" authorId="0" shapeId="0" xr:uid="{A69A8ADD-EF0B-4CA9-BC93-3E7712ACF9F0}">
      <text>
        <r>
          <rPr>
            <sz val="9"/>
            <color indexed="81"/>
            <rFont val="Tahoma"/>
            <family val="2"/>
          </rPr>
          <t>SIMON\EDWARD ELLIOTT_x000D_
http://yeinfo.com/family/I09021684.html_x000D_
https://www.google.com/search?q=SIMON\EDWARD+ELLIOTT+1520+1573+JANE_x000D_
.born:c1520    -          Hertfordshire county England_x000D_
.died: 1573    -1610      Hertfordshire county England, age:53y 0m 0d, _x000D_
.bapt: 1785GE_x000D_
.will: 2004MO_x000D_
.obit: 1890OH_x000D_
.bury: 1850IL _x000D_
.wpbt: 1826PA_x000D_
.anc#:  quadruple ancestor_x000D_
citiz:foreign_x000D_
#spos:1_x000D_
#srcs:1_x000D_
#comment:1_x000D_
#events:1_x000D_
#kids:1_x000D_
lived:ENHERTF_x000D_
issue:_x000D_
.recs:Birth,Marriage,Death_x000D_
.imm?:no_x000D_
..Spo:JANE GEDGE</t>
        </r>
      </text>
    </comment>
    <comment ref="R9170" authorId="0" shapeId="0" xr:uid="{0CCA4085-5A82-491A-8C9E-D61706F634C0}">
      <text>
        <r>
          <rPr>
            <sz val="9"/>
            <color indexed="81"/>
            <rFont val="Tahoma"/>
            <family val="2"/>
          </rPr>
          <t>MARGARET ELIZABETH WILSON_x000D_
http://yeinfo.com/family/I09043369.html_x000D_
https://www.google.com/search?q=MARGARET+ELIZABETH+WILSON+1488+1560+ELLIOTT_x000D_
.born:c1488    -          Bishops Bourne (Kent) England_x000D_
.died:c1560    -          Bishops Bourne (Kent) England, age:72y 0m 0d, _x000D_
.bapt: 1785GE_x000D_
.will: 2004MO_x000D_
.obit: 1890OH_x000D_
.bury: 1850IL _x000D_
.wpbt: 1826PA_x000D_
.anc#:  quadruple ancestor_x000D_
citiz:foreign_x000D_
#spos:1_x000D_
#srcs:1_x000D_
#comment:0_x000D_
#events:1_x000D_
#kids:1_x000D_
lived:ENKENT BISHOPB_x000D_
issue:Died after Age 100_x000D_
.recs:Birth,Marriage,Death_x000D_
.imm?:no_x000D_
..Spo:THOMAS ELLIOTT</t>
        </r>
      </text>
    </comment>
    <comment ref="P9172" authorId="0" shapeId="0" xr:uid="{55E761A9-29CD-4711-AD50-3CA2C6858816}">
      <text>
        <r>
          <rPr>
            <sz val="9"/>
            <color indexed="81"/>
            <rFont val="Tahoma"/>
            <family val="2"/>
          </rPr>
          <t>BENNETT\PHILIP ELLIOTT_x000D_
http://yeinfo.com/family/I09010842.html_x000D_
https://www.google.com/search?q=BENNETT\PHILIP+ELLIOTT+1573+1621+LETTEYE\LETTICE_x000D_
.born: 15731030-          _x000D_
.died: 16211120-          Nazeing (Essex) England, age:48y 0m 21d, _x000D_
.bapt: 1785GE_x000D_
.will: 2004MO_x000D_
.obit: 1890OH_x000D_
.bury: 1850IL _x000D_
.wpbt: 1826PA_x000D_
.anc#:  quadruple ancestor_x000D_
citiz:US born_x000D_
#spos:1_x000D_
#srcs:3_x000D_
#comment:2_x000D_
#events:1_x000D_
#kids:4_x000D_
lived:ENESSEXNAZEING_x000D_
issue:_x000D_
.recs:Birth,Marriage,Death_x000D_
.imm?:no_x000D_
..Spo:LETTEYE\LETTICE AGGAR</t>
        </r>
      </text>
    </comment>
    <comment ref="Q9174" authorId="0" shapeId="0" xr:uid="{80624067-0DE7-4B85-BB3A-66E50DA74850}">
      <text>
        <r>
          <rPr>
            <sz val="9"/>
            <color indexed="81"/>
            <rFont val="Tahoma"/>
            <family val="2"/>
          </rPr>
          <t>JANE GEDGE_x000D_
http://yeinfo.com/family/I09021685.html_x000D_
https://www.google.com/search?q=JANE+GEDGE+1535+1573+ELLIOTT_x000D_
.born: 1535    -          Hunsdon (Hertfordshire) England_x000D_
.died: 1573    -1625      Hertfordshire county England, age:38y 0m 0d, _x000D_
.bapt: 1785GE_x000D_
.will: 2004MO_x000D_
.obit: 1890OH_x000D_
.bury: 1850IL _x000D_
.wpbt: 1826PA_x000D_
.anc#:  quadruple ancestor_x000D_
citiz:foreign_x000D_
#spos:1_x000D_
#srcs:1_x000D_
#comment:1_x000D_
#events:1_x000D_
#kids:1_x000D_
lived:ENHERTFHUNSDON_x000D_
issue:_x000D_
.recs:Birth,Marriage,Death_x000D_
.imm?:no_x000D_
..Spo:SIMON\EDWARD ELLIOTT</t>
        </r>
      </text>
    </comment>
    <comment ref="O9176" authorId="0" shapeId="0" xr:uid="{030CBDAC-41BE-4E99-A2DC-498178C05A37}">
      <text>
        <r>
          <rPr>
            <sz val="9"/>
            <color indexed="81"/>
            <rFont val="Tahoma"/>
            <family val="2"/>
          </rPr>
          <t>SARAH ELLIOTT_x000D_
http://yeinfo.com/family/I09012251.html_x000D_
https://www.google.com/search?q=SARAH+ELLIOTT+1599+1674+CURTIS_x000D_
.born: 15990113-          Widford (Hertfordshire) England_x000D_
.died: 16740327-         ?Massachusetts, age:75y 2m 14d, _x000D_
.bapt: 1785GE_x000D_
.will: 2004MO_x000D_
.obit: 1890OH_x000D_
.bury: 1850IL _x000D_
.wpbt: 1826PA_x000D_
.anc#:ancestor_x000D_
citiz:immigrant_x000D_
#spos:1_x000D_
#srcs:1_x000D_
#comment:1_x000D_
#events:1_x000D_
#kids:1_x000D_
lived:?MA,ENHERTFWIDFORD_x000D_
issue:Spouse Age more than 30-Year Difference_x000D_
.recs:Birth,Marriage,Death_x000D_
.imm?:immigrant_x000D_
..Spo:WILLIAM CURTIS</t>
        </r>
      </text>
    </comment>
    <comment ref="R9178" authorId="0" shapeId="0" xr:uid="{88600D02-9E71-4E77-A7B8-65BC39A2A56A}">
      <text>
        <r>
          <rPr>
            <sz val="9"/>
            <color indexed="81"/>
            <rFont val="Tahoma"/>
            <family val="2"/>
          </rPr>
          <t>ROBERT AGGAR_x000D_
http://yeinfo.com/family/I09043372.html_x000D_
https://www.google.com/search?q=ROBERT+AGGAR+1525+1557+JOANE_x000D_
.born: 1525    -          Nazeing (Essex) England_x000D_
.died: 1557    -          Nazeing (Essex) England, age:32y 0m 0d, _x000D_
.bapt: 1785GE_x000D_
.will: 2004MO_x000D_
.obit: 1890OH_x000D_
.bury: 1850IL _x000D_
.wpbt: 1826PA_x000D_
.anc#:  quadruple ancestor_x000D_
citiz:foreign_x000D_
#spos:1_x000D_
#srcs:2_x000D_
#comment:0_x000D_
#events:1_x000D_
#kids:1_x000D_
lived:ENESSEXNAZEING_x000D_
issue:_x000D_
.recs:Birth,Marriage,Death_x000D_
.imm?:no_x000D_
..Spo:JOANE FYNCH</t>
        </r>
      </text>
    </comment>
    <comment ref="Q9180" authorId="0" shapeId="0" xr:uid="{BA4FC511-C582-4386-8407-00917A1551BE}">
      <text>
        <r>
          <rPr>
            <sz val="9"/>
            <color indexed="81"/>
            <rFont val="Tahoma"/>
            <family val="2"/>
          </rPr>
          <t>FRANCIS AGGAR_x000D_
http://yeinfo.com/family/I09021686.html_x000D_
https://www.google.com/search?q=FRANCIS+AGGAR+1544+1582+LETTICE\ELNOR+LETTICE_x000D_
.born:c1544    -          England_x000D_
.died: 1582    -          England, age:38y 0m 0d, _x000D_
.bapt: 1785GE_x000D_
.will: 2004MO_x000D_
.obit: 1890OH_x000D_
.bury: 1850IL _x000D_
.wpbt: 1826PA_x000D_
.anc#:  quadruple ancestor_x000D_
citiz:foreign_x000D_
#spos:1_x000D_
#srcs:3_x000D_
#comment:0_x000D_
#events:1_x000D_
#kids:1_x000D_
lived:ENESSEX_x000D_
issue:_x000D_
.recs:Birth,Marriage,Death_x000D_
.imm?:no_x000D_
..Spo:LETTICE\ELNOR LETTICE PEACOCK</t>
        </r>
      </text>
    </comment>
    <comment ref="R9182" authorId="0" shapeId="0" xr:uid="{BCDA775B-5492-4C2D-9003-A1236A8125DD}">
      <text>
        <r>
          <rPr>
            <sz val="9"/>
            <color indexed="81"/>
            <rFont val="Tahoma"/>
            <family val="2"/>
          </rPr>
          <t>Mrs. JOANE FYNCH_x000D_
http://yeinfo.com/family/I09043373.html_x000D_
https://www.google.com/search?q=JOANE+FYNCH+1525+1560+AGGAR_x000D_
.born: 1525    -          Nazeing (Essex) England_x000D_
.died: 1560    -          Nazeing (Essex) England, age:35y 0m 0d, _x000D_
.bapt: 1785GE_x000D_
.will: 2004MO_x000D_
.obit: 1890OH_x000D_
.bury: 1850IL Stanford Rivers_x000D_
.wpbt: 1826PA_x000D_
.anc#:  quadruple ancestor_x000D_
citiz:foreign_x000D_
#spos:1_x000D_
#srcs:2_x000D_
#comment:0_x000D_
#events:2_x000D_
#kids:1_x000D_
lived:ENESSEXKELVKEL,ENESSEXNAZEING_x000D_
issue:_x000D_
.recs:Birth,Marriage,Death,Interment/Burial_x000D_
.imm?:no_x000D_
..Spo:ROBERT AGGAR</t>
        </r>
      </text>
    </comment>
    <comment ref="P9184" authorId="0" shapeId="0" xr:uid="{0B51D5C0-CC84-4219-B106-50EBA575B35E}">
      <text>
        <r>
          <rPr>
            <sz val="9"/>
            <color indexed="81"/>
            <rFont val="Tahoma"/>
            <family val="2"/>
          </rPr>
          <t>LETTEYE\LETTICE AGGAR_x000D_
http://yeinfo.com/family/I09010843.html_x000D_
https://www.google.com/search?q=LETTEYE\LETTICE+AGGAR+1577+1621+ELLIOTT_x000D_
.born: 1577    -          Nazeing (Essex) England_x000D_
.died: 16210316-          Nazeing (Essex) England, age:44y 2m 15d, _x000D_
.bapt: 1785GE_x000D_
.will: 2004MO_x000D_
.obit: 1890OH_x000D_
.bury: 1850IL _x000D_
.wpbt: 1826PA_x000D_
.anc#:  quadruple ancestor_x000D_
citiz:foreign_x000D_
#spos:1_x000D_
#srcs:6_x000D_
#comment:2_x000D_
#events:1_x000D_
#kids:4_x000D_
lived:ENESSEXNAZEING_x000D_
issue:_x000D_
.recs:Birth,Marriage,Death_x000D_
.imm?:no_x000D_
..Spo:BENNETT\PHILIP ELLIOTT</t>
        </r>
      </text>
    </comment>
    <comment ref="R9186" authorId="0" shapeId="0" xr:uid="{BD28A312-D194-403F-8E1F-E11C2A5330D4}">
      <text>
        <r>
          <rPr>
            <sz val="9"/>
            <color indexed="81"/>
            <rFont val="Tahoma"/>
            <family val="2"/>
          </rPr>
          <t>THOMAS HENRY PEACOCK_x000D_
http://yeinfo.com/family/I09043374.html_x000D_
https://www.google.com/search?q=THOMAS+HENRY+PEACOCK+1500+1583+ELEANOR_x000D_
.born: 1500    -          Waltham Abbey (Essex) England_x000D_
.died: 1583    -          England, age:83y 0m 0d, _x000D_
.bapt: 1785GE_x000D_
.will: 2004MO_x000D_
.obit: 1890OH_x000D_
.bury: 1850IL _x000D_
.wpbt: 1826PA_x000D_
.anc#:  quadruple ancestor_x000D_
citiz:foreign_x000D_
#spos:1_x000D_
#srcs:2_x000D_
#comment:0_x000D_
#events:1_x000D_
#kids:1_x000D_
lived:ENESSEXWALTHAA_x000D_
issue:_x000D_
.recs:Birth,Marriage,Death_x000D_
.imm?:no_x000D_
..Spo:ELEANOR WRIGHT</t>
        </r>
      </text>
    </comment>
    <comment ref="Q9188" authorId="0" shapeId="0" xr:uid="{B849F73C-82B4-4EF2-9A53-79144C8399D2}">
      <text>
        <r>
          <rPr>
            <sz val="9"/>
            <color indexed="81"/>
            <rFont val="Tahoma"/>
            <family val="2"/>
          </rPr>
          <t>LETTICE\ELNOR LETTICE PEACOCK_x000D_
http://yeinfo.com/family/I09021687.html_x000D_
https://www.google.com/search?q=LETTICE\ELNOR+LETTICE+PEACOCK+1551+1621+AGGAR_x000D_
.born: 1551    -          Coggeshall (Essex) England_x000D_
.died: 162103  -          London (Middlesex) England, age:70y 2m 0d, _x000D_
.bapt: 1785GE_x000D_
.will: 2004MO_x000D_
.obit: 1890OH_x000D_
.bury: 1850IL _x000D_
.wpbt: 1826PA_x000D_
.anc#:  quadruple ancestor_x000D_
citiz:foreign_x000D_
#spos:1_x000D_
#srcs:2_x000D_
#comment:0_x000D_
#events:1_x000D_
#kids:1_x000D_
lived:ENESSEXCOGGESH,ENMIDDLLONDON_x000D_
issue:_x000D_
.recs:Birth,Marriage,Death_x000D_
.imm?:no_x000D_
..Spo:FRANCIS AGGAR</t>
        </r>
      </text>
    </comment>
    <comment ref="R9190" authorId="0" shapeId="0" xr:uid="{C55C0E9D-6117-4E11-9673-7DC2F77C8F58}">
      <text>
        <r>
          <rPr>
            <sz val="9"/>
            <color indexed="81"/>
            <rFont val="Tahoma"/>
            <family val="2"/>
          </rPr>
          <t>ELEANOR WRIGHT_x000D_
http://yeinfo.com/family/I09043375.html_x000D_
https://www.google.com/search?q=ELEANOR+WRIGHT+1530+1551+PEACOCK_x000D_
.born: 1530    -          Waltham Abbey (Essex) England_x000D_
.died: 1551    -1620      Nazeing (Essex) England, age:21y 0m 0d, _x000D_
.bapt: 1785GE_x000D_
.will: 2004MO_x000D_
.obit: 1890OH_x000D_
.bury: 1850IL _x000D_
.wpbt: 1826PA_x000D_
.anc#:  quadruple ancestor_x000D_
citiz:foreign_x000D_
#spos:1_x000D_
#srcs:1_x000D_
#comment:0_x000D_
#events:1_x000D_
#kids:1_x000D_
lived:ENESSEXNAZEING,ENESSEXWALTHAA_x000D_
issue:Died after Age 100_x000D_
.recs:Birth,Marriage,Death_x000D_
.imm?:no_x000D_
..Spo:THOMAS HENRY PEACOCK</t>
        </r>
      </text>
    </comment>
    <comment ref="L9192" authorId="0" shapeId="0" xr:uid="{02C3D825-C0E3-4919-AF5E-DE22F956078B}">
      <text>
        <r>
          <rPr>
            <sz val="9"/>
            <color indexed="81"/>
            <rFont val="Tahoma"/>
            <family val="2"/>
          </rPr>
          <t>MARY WOODCOCK_x000D_
http://yeinfo.com/family/I09001531.html_x000D_
https://www.google.com/search?q=MARY+WOODCOCK+1683+1768+COAD_x000D_
.born: 16831202-          Rehoboth (Bristol) Massachusetts_x000D_
.died: 1768    -          Dedham (Norfolk) Massachusetts, age:84y 0m 30d, _x000D_
.bapt: 1785GE_x000D_
.will: 2004MO_x000D_
.obit: 1890OH_x000D_
.bury: 1850IL _x000D_
.wpbt: 1826PA_x000D_
.anc#:ancestor_x000D_
citiz:US born_x000D_
#spos:1_x000D_
#srcs:11_x000D_
#comment:1_x000D_
#events:1_x000D_
#kids:1_x000D_
lived:MABRISTREHOBOT,MANORFODEDHAM_x000D_
issue:Born before Dad Age 16,Born before Mom Age 16_x000D_
.recs:Birth,Marriage,Death_x000D_
.imm?:no_x000D_
..Spo:STEPHEN COAD</t>
        </r>
      </text>
    </comment>
    <comment ref="N9194" authorId="0" shapeId="0" xr:uid="{AFFA00F8-2FE5-4334-8F43-874A21B830F7}">
      <text>
        <r>
          <rPr>
            <sz val="9"/>
            <color indexed="81"/>
            <rFont val="Tahoma"/>
            <family val="2"/>
          </rPr>
          <t>SAMUEL JUDSON_x000D_
http://yeinfo.com/family/I09006126.html_x000D_
https://www.google.com/search?q=SAMUEL+JUDSON+1624+1657+MARY_x000D_
.born: 1624    -          Yorkshire county England_x000D_
.died: 16570711-          Dedham (Norfolk) Massachusetts, age:33y 6m 10d, _x000D_
.bapt: 1785GE_x000D_
.will: 2004MO_x000D_
.obit: 1890OH_x000D_
.bury: 1850IL Old Village Cemetery_x000D_
.wpbt: 1826PA_x000D_
.anc#:ancestor_x000D_
citiz:immigrant_x000D_
#spos:1_x000D_
#srcs:10_x000D_
#comment:1_x000D_
#events:2_x000D_
#kids:1_x000D_
lived:ENYORKS,MANORFODEDHAM,MANORFONEEDHAM_x000D_
issue:Died after Age 100_x000D_
.recs:Birth,Marriage,Death,Interment/Burial_x000D_
.imm?:immigrant_x000D_
..Spo:MARY JUDSON</t>
        </r>
      </text>
    </comment>
    <comment ref="M9196" authorId="0" shapeId="0" xr:uid="{1F81CAD5-5711-48CC-91E2-3251084AAE27}">
      <text>
        <r>
          <rPr>
            <sz val="9"/>
            <color indexed="81"/>
            <rFont val="Tahoma"/>
            <family val="2"/>
          </rPr>
          <t>SARAH JUDSON_x000D_
http://yeinfo.com/family/I09003063.html_x000D_
https://www.google.com/search?q=SARAH+JUDSON+1651+1718+WOODCOCK_x000D_
.born: 16510724-          Dedham (Norfolk) Massachusetts_x000D_
.died: 17180318-          Dedham (Norfolk) Massachusetts, age:66y 7m 22d, _x000D_
.bapt: 1785GE_x000D_
.will: 2004MO_x000D_
.obit: 1890OH_x000D_
.bury: 1850IL Old Village Cemetery_x000D_
.wpbt: 1826PA_x000D_
.anc#:ancestor_x000D_
citiz:US born_x000D_
#spos:1_x000D_
#srcs:12_x000D_
#comment:1_x000D_
#events:2_x000D_
#kids:1_x000D_
lived:MANORFODEDHAM,MANORFONEEDHAM_x000D_
issue:Born after Parent Died,Born after Dad Age 60,Died after Age 100_x000D_
.recs:Birth,Marriage,Death,Interment/Burial_x000D_
.imm?:no_x000D_
..Spo:JOHN WOODCOCK</t>
        </r>
      </text>
    </comment>
    <comment ref="N9198" authorId="0" shapeId="0" xr:uid="{583AF31D-3FF1-41DF-A03D-7E2322C65F90}">
      <text>
        <r>
          <rPr>
            <sz val="9"/>
            <color indexed="81"/>
            <rFont val="Tahoma"/>
            <family val="2"/>
          </rPr>
          <t>Mrs. MARY JUDSON_x000D_
http://yeinfo.com/family/I09006127.html_x000D_
https://www.google.com/search?q=MARY+JUDSON+1620+1684+JUDSON_x000D_
.born: 1620    -         ?England_x000D_
.died: 16840424-          Massachusetts, age:64y 3m 23d, _x000D_
.bapt: 1785GE_x000D_
.will: 2004MO_x000D_
.obit: 1890OH_x000D_
.bury: 1850IL Old Village Cemetery_x000D_
.wpbt: 1826PA_x000D_
.anc#:ancestor_x000D_
citiz:immigrant_x000D_
#spos:2_x000D_
#srcs:10_x000D_
#comment:2_x000D_
#events:3_x000D_
#kids:1_x000D_
lived:?EN,MANORFODEDHAM,MANORFONEEDHAM_x000D_
issue:Died after Age 100_x000D_
.recs:Birth,Marriage,Death,Interment/Burial_x000D_
.imm?:immigrant_x000D_
..Spo:SAMUEL JUDSON</t>
        </r>
      </text>
    </comment>
    <comment ref="I9200" authorId="0" shapeId="0" xr:uid="{390164F3-22E8-4CC4-A713-0EE71076E2B9}">
      <text>
        <r>
          <rPr>
            <sz val="9"/>
            <color indexed="81"/>
            <rFont val="Tahoma"/>
            <family val="2"/>
          </rPr>
          <t>POLLY GOODNOW_x000D_
http://yeinfo.com/family/I09000191.html_x000D_
https://www.google.com/search?q=POLLY+GOODNOW+1775+1811+PERRY_x000D_
.born:?1775    -         ?Newfane (Windham) Vermont_x000D_
.died: 1811    -1865     ?Newfane (Windham) Vermont, age:36y 0m 0d, _x000D_
.bapt: 1785GE_x000D_
.will: 2004MO_x000D_
.obit: 1890OH_x000D_
.bury: 1850IL _x000D_
.wpbt: 1826PA_x000D_
.anc#:ancestor_x000D_
citiz:US born_x000D_
#spos:1_x000D_
#srcs:1_x000D_
#comment:0_x000D_
#events:1_x000D_
#kids:8_x000D_
lived:?VTWINDHNEWFANE_x000D_
issue:_x000D_
.recs:Birth,Marriage,Death_x000D_
.imm?:no_x000D_
..Spo:AMOS PERRY</t>
        </r>
      </text>
    </comment>
    <comment ref="M9202" authorId="0" shapeId="0" xr:uid="{509A971D-3612-4B23-B983-5B1FC23FD3F7}">
      <text>
        <r>
          <rPr>
            <sz val="9"/>
            <color indexed="81"/>
            <rFont val="Tahoma"/>
            <family val="2"/>
          </rPr>
          <t>WILLIAM OCKINGTON_x000D_
http://yeinfo.com/family/I09003064.html_x000D_
https://www.google.com/search?q=WILLIAM+OCKINGTON+1639+1665+MARY\HANNAH+CHEW_x000D_
.born: 16390609-          Shipley (Yorkshire) England_x000D_
.died: 1665    -1729      , age:25y 6m 23d, _x000D_
.bapt: 1785GE_x000D_
.will: 2004MO_x000D_
.obit: 1890OH_x000D_
.bury: 1850IL _x000D_
.wpbt: 1826PA_x000D_
.anc#:ancestor_x000D_
citiz:US born_x000D_
#spos:1_x000D_
#srcs:8_x000D_
#comment:0_x000D_
#events:1_x000D_
#kids:2_x000D_
lived:?MA,ENYORKSSHIPLEY_x000D_
issue:_x000D_
.recs:Birth,Marriage,Death_x000D_
.imm?:no_x000D_
..Spo:MARY\HANNAH CHEW BUCKNER</t>
        </r>
      </text>
    </comment>
    <comment ref="L9204" authorId="0" shapeId="0" xr:uid="{202C018D-EFC3-4B01-ABD1-A7F87DB9A6CA}">
      <text>
        <r>
          <rPr>
            <sz val="9"/>
            <color indexed="81"/>
            <rFont val="Tahoma"/>
            <family val="2"/>
          </rPr>
          <t>MATTHIAS OCKINGTON_x000D_
http://yeinfo.com/family/I09001532.html_x000D_
https://www.google.com/search?q=MATTHIAS+OCKINGTON+1666+1753+LYDIA_x000D_
.born:a16660101-          _x000D_
.died: 17531230-          , age:87y 11m 29d, _x000D_
.bapt: 1785GE_x000D_
.will: 2004MO_x000D_
.obit: 1890OH_x000D_
.bury: 1850IL _x000D_
.wpbt: 1826PA_x000D_
.anc#:ancestor_x000D_
citiz:US born_x000D_
#spos:1_x000D_
#srcs:6_x000D_
#comment:1_x000D_
#events:1_x000D_
#kids:10_x000D_
lived:MASUFFOBOSTON_x000D_
issue:Born after Parent Died,Died after Age 100_x000D_
.recs:Birth,Marriage,Death_x000D_
.imm?:no_x000D_
..Spo:LYDIA OCKINGTON</t>
        </r>
      </text>
    </comment>
    <comment ref="M9206" authorId="0" shapeId="0" xr:uid="{DE242B6F-2411-4CAE-A1E1-3CED03B10F1A}">
      <text>
        <r>
          <rPr>
            <sz val="9"/>
            <color indexed="81"/>
            <rFont val="Tahoma"/>
            <family val="2"/>
          </rPr>
          <t>MARY\HANNAH CHEW BUCKNER_x000D_
http://yeinfo.com/family/I09003065.html_x000D_
https://www.google.com/search?q=MARY\HANNAH+CHEW+BUCKNER+1632+1694+OCKINGTON_x000D_
.born: 1632    -          England_x000D_
.died: 16940706-          Massachusetts, age:62y 6m 5d, _x000D_
.bapt: 1785GE_x000D_
.will: 2004MO_x000D_
.obit: 1890OH_x000D_
.bury: 1850IL _x000D_
.wpbt: 1826PA_x000D_
.anc#:ancestor_x000D_
citiz:immigrant_x000D_
#spos:1_x000D_
#srcs:3_x000D_
#comment:0_x000D_
#events:1_x000D_
#kids:2_x000D_
lived:?MA,EN_x000D_
issue:_x000D_
.recs:Birth,Marriage,Death_x000D_
.imm?:immigrant_x000D_
..Spo:WILLIAM OCKINGTON</t>
        </r>
      </text>
    </comment>
    <comment ref="K9208" authorId="0" shapeId="0" xr:uid="{E2316CD2-C3B7-4671-AF6C-B7D16BD068A9}">
      <text>
        <r>
          <rPr>
            <sz val="9"/>
            <color indexed="81"/>
            <rFont val="Tahoma"/>
            <family val="2"/>
          </rPr>
          <t>THOMAS OCKINGTON_x000D_
http://yeinfo.com/family/I09000766.html_x000D_
https://www.google.com/search?q=THOMAS+OCKINGTON+1708+1756+SUSANNAH_x000D_
.born: 17080616-         ?Needham (Norfolk) Massachusetts_x000D_
.died: 17560410-         ?Needham (Norfolk) Massachusetts, age:47y 9m 25d, _x000D_
.bapt: 1785GE_x000D_
.will: 2004MO_x000D_
.obit: 1890OH_x000D_
.bury: 1850IL _x000D_
.wpbt: 1826PA_x000D_
.anc#:ancestor_x000D_
citiz:US born_x000D_
#spos:1_x000D_
#srcs:10_x000D_
#comment:0_x000D_
#events:2_x000D_
#kids:6_x000D_
lived:?MANORFODEDHAM,?MANORFONEEDHAM_x000D_
issue:_x000D_
.recs:Birth,Marriage,Death_x000D_
.imm?:no_x000D_
..Spo:SUSANNAH EVERARD</t>
        </r>
      </text>
    </comment>
    <comment ref="L9210" authorId="0" shapeId="0" xr:uid="{021B23C3-076C-4228-B9ED-B0A6A76C256E}">
      <text>
        <r>
          <rPr>
            <sz val="9"/>
            <color indexed="81"/>
            <rFont val="Tahoma"/>
            <family val="2"/>
          </rPr>
          <t>Mrs. LYDIA OCKINGTON_x000D_
http://yeinfo.com/family/I09001533.html_x000D_
https://www.google.com/search?q=LYDIA+OCKINGTON+1670+1713+OCKINGTON_x000D_
.born:?1670    -         ?Massachusetts_x000D_
.died: 1713    -1760     ?Massachusetts, age:43y 0m 0d, _x000D_
.bapt: 1785GE_x000D_
.will: 2004MO_x000D_
.obit: 1890OH_x000D_
.bury: 1850IL _x000D_
.wpbt: 1826PA_x000D_
.anc#:ancestor_x000D_
citiz:US born_x000D_
#spos:1_x000D_
#srcs:4_x000D_
#comment:1_x000D_
#events:1_x000D_
#kids:10_x000D_
lived:?MA_x000D_
issue:_x000D_
.recs:Birth,Marriage,Death_x000D_
.imm?:no_x000D_
..Spo:MATTHIAS OCKINGTON</t>
        </r>
      </text>
    </comment>
    <comment ref="J9212" authorId="0" shapeId="0" xr:uid="{5E4E43C8-B29F-4E36-9480-48EBA7021E2A}">
      <text>
        <r>
          <rPr>
            <sz val="9"/>
            <color indexed="81"/>
            <rFont val="Tahoma"/>
            <family val="2"/>
          </rPr>
          <t>SUSANNAH OCKINGTON_x000D_
http://yeinfo.com/family/I09000383.html_x000D_
https://www.google.com/search?q=SUSANNAH+OCKINGTON+1745+1785+GOODNOW_x000D_
.born: 17450716-         ?Needham (Norfolk) Massachusetts_x000D_
.died: 1785    -1835     ?Newfane (Windham) Vermont, age:39y 5m 16d, _x000D_
.bapt: 1785GE_x000D_
.will: 2004MO_x000D_
.obit: 1890OH_x000D_
.bury: 1850IL _x000D_
.wpbt: 1826PA_x000D_
.anc#:ancestor_x000D_
citiz:US born_x000D_
#spos:1_x000D_
#srcs:6_x000D_
#comment:0_x000D_
#events:1_x000D_
#kids:4_x000D_
lived:?MANORFONEEDHAM,?VTWINDHNEWFANE_x000D_
issue:_x000D_
.recs:Birth,Marriage,Death_x000D_
.imm?:no_x000D_
..Spo:ISAAC GOODNOW</t>
        </r>
      </text>
    </comment>
    <comment ref="X9214" authorId="0" shapeId="0" xr:uid="{C559474D-785F-4087-B337-520271976324}">
      <text>
        <r>
          <rPr>
            <sz val="9"/>
            <color indexed="81"/>
            <rFont val="Tahoma"/>
            <family val="2"/>
          </rPr>
          <t>RALPH EVERARD_x000D_
http://yeinfo.com/family/I09066546.html_x000D_
https://www.google.com/search?q=RALPH+EVERARD+1323+1351+{_?_}_x000D_
.born:c1323    -         ?England_x000D_
.died:c1351    -         ?England, age:28y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..Spo:{_?_} EVERARD</t>
        </r>
      </text>
    </comment>
    <comment ref="W9216" authorId="0" shapeId="0" xr:uid="{3164D89C-E090-4FEC-9F72-A661EB00858E}">
      <text>
        <r>
          <rPr>
            <sz val="9"/>
            <color indexed="81"/>
            <rFont val="Tahoma"/>
            <family val="2"/>
          </rPr>
          <t>WALTER EVERARD_x000D_
http://yeinfo.com/family/I09066375.html_x000D_
https://www.google.com/search?q=WALTER+EVERARD+1349+1380+ELIZABETH_x000D_
.born:c1349    -          Chelmsford (Essex) England_x000D_
.died:c1380    -          Chelmsford (Essex) England, age:31y 0m 0d, _x000D_
.bapt: 1785GE_x000D_
.will: 2004MO_x000D_
.obit: 1890OH_x000D_
.bury: 1850IL _x000D_
.wpbt: 1826PA_x000D_
.anc#:double ancestor_x000D_
citiz:foreign_x000D_
#spos:1_x000D_
#srcs:1_x000D_
#comment:0_x000D_
#events:1_x000D_
#kids:1_x000D_
lived:ENESSEXCHELMSF_x000D_
issue:_x000D_
.recs:Birth,Marriage,Death_x000D_
.imm?:no_x000D_
..Spo:ELIZABETH MALLORY</t>
        </r>
      </text>
    </comment>
    <comment ref="X9218" authorId="0" shapeId="0" xr:uid="{3656BFD1-4C4A-4762-82FC-15A7317102B0}">
      <text>
        <r>
          <rPr>
            <sz val="9"/>
            <color indexed="81"/>
            <rFont val="Tahoma"/>
            <family val="2"/>
          </rPr>
          <t>Mrs. {_?_} EVERARD_x000D_
http://yeinfo.com/family/I09066547.html_x000D_
https://www.google.com/search?q={_?_}+EVERARD+1325+1349+EVERARD_x000D_
.born:?1325    -          _x000D_
.died: 1349    -1415     ?England, age:24y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..Spo:RALPH EVERARD</t>
        </r>
      </text>
    </comment>
    <comment ref="V9220" authorId="0" shapeId="0" xr:uid="{37ACD826-6C21-4186-92A5-58667E07E7B6}">
      <text>
        <r>
          <rPr>
            <sz val="9"/>
            <color indexed="81"/>
            <rFont val="Tahoma"/>
            <family val="2"/>
          </rPr>
          <t>WILLIAM EVERARD Sr._x000D_
http://yeinfo.com/family/I09066223.html_x000D_
https://www.google.com/search?q=WILLIAM+EVERARD+1375+1404+{_?_}_x000D_
.born:c1375    -          Chelmsford (Essex) England_x000D_
.died: 1404    -          Essex county England, age:29y 0m 0d, _x000D_
.bapt: 1785GE_x000D_
.will: 2004MO_x000D_
.obit: 1890OH_x000D_
.bury: 1850IL _x000D_
.wpbt: 1826PA_x000D_
.anc#:double ancestor_x000D_
citiz:foreign_x000D_
#spos:1_x000D_
#srcs:1_x000D_
#comment:0_x000D_
#events:1_x000D_
#kids:1_x000D_
lived:ENESSEXCHELMSF_x000D_
issue:_x000D_
.recs:Birth,Marriage,Death_x000D_
.imm?:no_x000D_
..Spo:{_?_} EVERARD</t>
        </r>
      </text>
    </comment>
    <comment ref="W9222" authorId="0" shapeId="0" xr:uid="{CE059D5F-5127-4924-A91D-C09AA2393414}">
      <text>
        <r>
          <rPr>
            <sz val="9"/>
            <color indexed="81"/>
            <rFont val="Tahoma"/>
            <family val="2"/>
          </rPr>
          <t>ELIZABETH MALLORY_x000D_
http://yeinfo.com/family/I09066376.html_x000D_
https://www.google.com/search?q=ELIZABETH+MALLORY+1350+1375+EVERARD_x000D_
.born:?1350    -          _x000D_
.died: 1375    -1440     ?England, age:25y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..Spo:WALTER EVERARD</t>
        </r>
      </text>
    </comment>
    <comment ref="U9224" authorId="0" shapeId="0" xr:uid="{515DC31B-BFCB-4676-9282-B80C7A41DBA1}">
      <text>
        <r>
          <rPr>
            <sz val="9"/>
            <color indexed="81"/>
            <rFont val="Tahoma"/>
            <family val="2"/>
          </rPr>
          <t>WILLIAM EVERARD Jr._x000D_
http://yeinfo.com/family/I09066031.html_x000D_
https://www.google.com/search?q=WILLIAM+EVERARD+1400+1432+ISABEL_x000D_
.born:c1400    -          Essex county England_x000D_
.died:?1432    -          Sandwich (Kent) England, age:32y 0m 0d, _x000D_
.bapt: 1785GE_x000D_
.will: 2004MO_x000D_
.obit: 1890OH_x000D_
.bury: 1850IL _x000D_
.wpbt: 1826PA_x000D_
.anc#:double ancestor_x000D_
citiz:foreign_x000D_
#spos:1_x000D_
#srcs:1_x000D_
#comment:0_x000D_
#events:1_x000D_
#kids:1_x000D_
lived:ENESSEX,ENKENT SANDWIC_x000D_
issue:_x000D_
.recs:Birth,Marriage,Death_x000D_
.imm?:no_x000D_
..Spo:ISABEL BEDALL</t>
        </r>
      </text>
    </comment>
    <comment ref="V9226" authorId="0" shapeId="0" xr:uid="{D5F8BEC9-7B9F-462C-9539-E5A57CBF6643}">
      <text>
        <r>
          <rPr>
            <sz val="9"/>
            <color indexed="81"/>
            <rFont val="Tahoma"/>
            <family val="2"/>
          </rPr>
          <t>Mrs. {_?_} EVERARD_x000D_
http://yeinfo.com/family/I09066224.html_x000D_
https://www.google.com/search?q={_?_}+EVERARD+1375+1400+EVERARD_x000D_
.born:?1375    -          _x000D_
.died: 1400    -1465     ?England, age:25y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..Spo:WILLIAM EVERARD</t>
        </r>
      </text>
    </comment>
    <comment ref="T9228" authorId="0" shapeId="0" xr:uid="{2EF59E41-33D1-42EA-8BAF-741610F51C98}">
      <text>
        <r>
          <rPr>
            <sz val="9"/>
            <color indexed="81"/>
            <rFont val="Tahoma"/>
            <family val="2"/>
          </rPr>
          <t>JOHN EVERARD_x000D_
http://yeinfo.com/family/I09065855.html_x000D_
https://www.google.com/search?q=JOHN+EVERARD+1432+1463+CATHERINE+Appleyard_x000D_
.born: 1432    -          Chelmsford (Essex) England_x000D_
.died: 1463    -          Sandwich (Kent) England, age:31y 0m 0d, _x000D_
.bapt: 1785GE_x000D_
.will: 2004MO_x000D_
.obit: 1890OH_x000D_
.bury: 1850IL _x000D_
.wpbt: 1826PA_x000D_
.anc#:double ancestor_x000D_
citiz:foreign_x000D_
#spos:2_x000D_
#srcs:1_x000D_
#comment:0_x000D_
#events:2_x000D_
#kids:1_x000D_
lived:ENESSEXCHELMSF,ENKENT SANDWIC_x000D_
issue:_x000D_
.recs:Birth,Marriage,Death_x000D_
.imm?:no_x000D_
..Spo:CATHERINE MARSH</t>
        </r>
      </text>
    </comment>
    <comment ref="U9230" authorId="0" shapeId="0" xr:uid="{C05793DF-7DE7-42FA-8A66-13C3E131AC0C}">
      <text>
        <r>
          <rPr>
            <sz val="9"/>
            <color indexed="81"/>
            <rFont val="Tahoma"/>
            <family val="2"/>
          </rPr>
          <t>ISABEL BEDALL_x000D_
http://yeinfo.com/family/I09066032.html_x000D_
https://www.google.com/search?q=ISABEL+BEDALL+1410+1509+EVERARD_x000D_
.born: 1410    -          Chelmsford (Essex) England_x000D_
.died:c1509    -          Sandwich (Kent) England, age:99y 0m 0d, _x000D_
.bapt: 1785GE_x000D_
.will: 2004MO_x000D_
.obit: 1890OH_x000D_
.bury: 1850IL _x000D_
.wpbt: 1826PA_x000D_
.anc#:double ancestor_x000D_
citiz:foreign_x000D_
#spos:1_x000D_
#srcs:1_x000D_
#comment:0_x000D_
#events:1_x000D_
#kids:1_x000D_
lived:ENESSEXCHELMSF,ENKENT SANDWIC_x000D_
issue:_x000D_
.recs:Birth,Marriage,Death_x000D_
.imm?:no_x000D_
..Spo:WILLIAM EVERARD</t>
        </r>
      </text>
    </comment>
    <comment ref="S9232" authorId="0" shapeId="0" xr:uid="{BE8AC9FB-F9F6-4D3F-A9E9-8FF9A7C4DE52}">
      <text>
        <r>
          <rPr>
            <sz val="9"/>
            <color indexed="81"/>
            <rFont val="Tahoma"/>
            <family val="2"/>
          </rPr>
          <t>THOMAS EVERARD_x000D_
http://yeinfo.com/family/I09065714.html_x000D_
https://www.google.com/search?q=THOMAS+EVERARD+1455+1529+MARY+JOAN_x000D_
.born:c1455    -          Chelmsford (Essex) England_x000D_
.died: 1529    -          Great Waltham (Essex) England, age:74y 0m 0d, _x000D_
.bapt: 1785GE_x000D_
.will: 2004MO_x000D_
.obit: 1890OH_x000D_
.bury: 1850IL _x000D_
.wpbt: 1826PA_x000D_
.anc#:double ancestor_x000D_
citiz:foreign_x000D_
#spos:1_x000D_
#srcs:1_x000D_
#comment:0_x000D_
#events:1_x000D_
#kids:2_x000D_
lived:ENESSEXCHELMSF,ENESSEXGREATWA_x000D_
issue:_x000D_
.recs:Birth,Marriage,Death_x000D_
.imm?:no_x000D_
..Spo:MARY JOAN CORNISH</t>
        </r>
      </text>
    </comment>
    <comment ref="T9234" authorId="0" shapeId="0" xr:uid="{2FB20427-ABB2-4E94-A95D-D44C92073F0D}">
      <text>
        <r>
          <rPr>
            <sz val="9"/>
            <color indexed="81"/>
            <rFont val="Tahoma"/>
            <family val="2"/>
          </rPr>
          <t>CATHERINE MARSH_x000D_
http://yeinfo.com/family/I09065856.html_x000D_
https://www.google.com/search?q=CATHERINE+MARSH+1434+1463+EVERARD_x000D_
.born:c1434    -          Chelmsford (Essex) England_x000D_
.died:c1463    -          England, age:29y 0m 0d, _x000D_
.bapt: 1785GE_x000D_
.will: 2004MO_x000D_
.obit: 1890OH_x000D_
.bury: 1850IL _x000D_
.wpbt: 1826PA_x000D_
.anc#:double ancestor_x000D_
citiz:foreign_x000D_
#spos:1_x000D_
#srcs:1_x000D_
#comment:0_x000D_
#events:1_x000D_
#kids:1_x000D_
lived:ENESSEXCHELMSF_x000D_
issue:_x000D_
.recs:Birth,Marriage,Death_x000D_
.imm?:no_x000D_
..Spo:JOHN EVERARD</t>
        </r>
      </text>
    </comment>
    <comment ref="R9236" authorId="0" shapeId="0" xr:uid="{81E2CE26-A355-4040-8481-50ABA4C4E60D}">
      <text>
        <r>
          <rPr>
            <sz val="9"/>
            <color indexed="81"/>
            <rFont val="Tahoma"/>
            <family val="2"/>
          </rPr>
          <t>WILLIAM EVERARD_x000D_
http://yeinfo.com/family/I09065629.html_x000D_
https://www.google.com/search?q=WILLIAM+EVERARD+1480+1532+AGNES_x000D_
.born: 148009  -          Babergh (Suffolk) England_x000D_
.died: 15320927-          Babergh (Suffolk) England, age:52y 0m 26d, _x000D_
.bapt: 1785GE_x000D_
.will: 2004MO_x000D_
.obit: 1890OH_x000D_
.bury: 1850IL _x000D_
.wpbt: 1826PA_x000D_
.anc#:ancestor_x000D_
citiz:foreign_x000D_
#spos:1_x000D_
#srcs:2_x000D_
#comment:0_x000D_
#events:1_x000D_
#kids:1_x000D_
lived:ENSUFFOBABERGH,ENSUFFOHOLBROO_x000D_
issue:_x000D_
.recs:Birth,Marriage,Death_x000D_
.imm?:no_x000D_
..Spo:AGNES EVERARD</t>
        </r>
      </text>
    </comment>
    <comment ref="U9238" authorId="0" shapeId="0" xr:uid="{103D1563-28E4-4920-8548-171810B078DA}">
      <text>
        <r>
          <rPr>
            <sz val="9"/>
            <color indexed="81"/>
            <rFont val="Tahoma"/>
            <family val="2"/>
          </rPr>
          <t>JOHN CORNISH_x000D_
http://yeinfo.com/family/I09066128.html_x000D_
https://www.google.com/search?q=JOHN+CORNISH+1390+1424+AGNES_x000D_
.born: 1390    -          Waltham Abbey (Essex) England_x000D_
.died: 1424    -1480     ?Essex county England, age:34y 0m 0d, _x000D_
.bapt: 1785GE_x000D_
.will: 2004MO_x000D_
.obit: 1890OH_x000D_
.bury: 1850IL _x000D_
.wpbt: 1826PA_x000D_
.anc#:double ancestor_x000D_
citiz:foreign_x000D_
#spos:1_x000D_
#srcs:2_x000D_
#comment:0_x000D_
#events:1_x000D_
#kids:1_x000D_
lived:ENESSEXWALTHAA_x000D_
issue:_x000D_
.recs:Birth,Marriage,Death_x000D_
.imm?:no_x000D_
..Spo:AGNES WALTHAM</t>
        </r>
      </text>
    </comment>
    <comment ref="T9240" authorId="0" shapeId="0" xr:uid="{2D5A32ED-35B2-4D0A-AB24-BFCC99150D4C}">
      <text>
        <r>
          <rPr>
            <sz val="9"/>
            <color indexed="81"/>
            <rFont val="Tahoma"/>
            <family val="2"/>
          </rPr>
          <t>JOHN CORNISH II_x000D_
http://yeinfo.com/family/I09065955.html_x000D_
https://www.google.com/search?q=JOHN+CORNISH+1424+1514+AGNES_x000D_
.born: 1424    -          Chelmsford (Essex) England_x000D_
.died: 15140107-          Essex county England, age:90y 0m 6d, _x000D_
.bapt: 1785GE_x000D_
.will: 2004MO_x000D_
.obit: 1890OH_x000D_
.bury: 1850IL _x000D_
.wpbt: 1826PA_x000D_
.anc#:double ancestor_x000D_
citiz:foreign_x000D_
#spos:1_x000D_
#srcs:4_x000D_
#comment:0_x000D_
#events:1_x000D_
#kids:1_x000D_
lived:ENESSEXCHELMSF,ENESSEXGREATWA_x000D_
issue:_x000D_
.recs:Birth,Marriage,Death_x000D_
.imm?:no_x000D_
..Spo:AGNES WALDEN</t>
        </r>
      </text>
    </comment>
    <comment ref="U9242" authorId="0" shapeId="0" xr:uid="{1AC38075-41C2-4C93-A0A4-60C1A4CBC3A2}">
      <text>
        <r>
          <rPr>
            <sz val="9"/>
            <color indexed="81"/>
            <rFont val="Tahoma"/>
            <family val="2"/>
          </rPr>
          <t>AGNES WALTHAM_x000D_
http://yeinfo.com/family/I09066129.html_x000D_
https://www.google.com/search?q=AGNES+WALTHAM+1404+1424+CORNISH_x000D_
.born:?1404    -          Great Waltham (Essex) England_x000D_
.died: 1424    -1494      Mells (Somerset) England, age:20y 0m 0d, _x000D_
.bapt: 1785GE_x000D_
.will: 2004MO_x000D_
.obit: 1890OH_x000D_
.bury: 1850IL _x000D_
.wpbt: 1826PA_x000D_
.anc#:double ancestor_x000D_
citiz:foreign_x000D_
#spos:1_x000D_
#srcs:4_x000D_
#comment:0_x000D_
#events:1_x000D_
#kids:1_x000D_
lived:ENESSEXGREATWA,ENSOMESMELLS_x000D_
issue:_x000D_
.recs:Birth,Marriage,Death_x000D_
.imm?:no_x000D_
..Spo:JOHN CORNISH</t>
        </r>
      </text>
    </comment>
    <comment ref="S9244" authorId="0" shapeId="0" xr:uid="{B1F32F5F-E20D-4415-91A4-F0D59827AAB2}">
      <text>
        <r>
          <rPr>
            <sz val="9"/>
            <color indexed="81"/>
            <rFont val="Tahoma"/>
            <family val="2"/>
          </rPr>
          <t>MARY JOAN CORNISH_x000D_
http://yeinfo.com/family/I09065715.html_x000D_
https://www.google.com/search?q=MARY+JOAN+CORNISH+1462+1498+EVERARD_x000D_
.born:c1462    -          Chelmsford (Essex) England_x000D_
.died: 1498    -          Sandwich (Kent) England, age:36y 0m 0d, _x000D_
.bapt: 1785GE_x000D_
.will: 2004MO_x000D_
.obit: 1890OH_x000D_
.bury: 1850IL _x000D_
.wpbt: 1826PA_x000D_
.anc#:double ancestor_x000D_
citiz:foreign_x000D_
#spos:1_x000D_
#srcs:1_x000D_
#comment:0_x000D_
#events:1_x000D_
#kids:2_x000D_
lived:ENESSEXCHELMSF,ENKENT SANDWIC_x000D_
issue:Born before Parents Married,Died after Age 100_x000D_
.recs:Birth,Marriage,Death_x000D_
.imm?:no_x000D_
..Spo:THOMAS EVERARD</t>
        </r>
      </text>
    </comment>
    <comment ref="T9246" authorId="0" shapeId="0" xr:uid="{77BB1798-C7EA-4C6A-8A0F-46653F3AFE73}">
      <text>
        <r>
          <rPr>
            <sz val="9"/>
            <color indexed="81"/>
            <rFont val="Tahoma"/>
            <family val="2"/>
          </rPr>
          <t>AGNES WALDEN_x000D_
http://yeinfo.com/family/I09065956.html_x000D_
https://www.google.com/search?q=AGNES+WALDEN+1430+1490+CORNISH_x000D_
.born: 1430    -          Great Waltham (Essex) England_x000D_
.died: 14900107-          Great Waltham (Essex) England, age:60y 0m 6d, _x000D_
.bapt: 1785GE_x000D_
.will: 2004MO_x000D_
.obit: 1890OH_x000D_
.bury: 1850IL _x000D_
.wpbt: 1826PA_x000D_
.anc#:double ancestor_x000D_
citiz:foreign_x000D_
#spos:1_x000D_
#srcs:4_x000D_
#comment:1_x000D_
#events:1_x000D_
#kids:1_x000D_
lived:ENESSEXGREATWA,ENKENT CANTERB_x000D_
issue:_x000D_
.recs:Birth,Marriage,Death_x000D_
.imm?:no_x000D_
..Spo:JOHN CORNISH</t>
        </r>
      </text>
    </comment>
    <comment ref="Q9248" authorId="0" shapeId="0" xr:uid="{893C1E8A-2A29-42A2-8D42-6C92A9839445}">
      <text>
        <r>
          <rPr>
            <sz val="9"/>
            <color indexed="81"/>
            <rFont val="Tahoma"/>
            <family val="2"/>
          </rPr>
          <t>JOHN EVERARD_x000D_
http://yeinfo.com/family/I09049088.html_x000D_
https://www.google.com/search?q=JOHN+EVERARD+1519+1570+ROSE_x000D_
.born:c1519    -          Holbrook (Suffolk) England_x000D_
.died:c1570    -          Holbrook (Suffolk) England, age:51y 0m 0d, _x000D_
.bapt: 1785GE_x000D_
.will: 2004MO_x000D_
.obit: 1890OH_x000D_
.bury: 1850IL _x000D_
.wpbt: 1826PA_x000D_
.anc#:ancestor_x000D_
citiz:foreign_x000D_
#spos:1_x000D_
#srcs:2_x000D_
#comment:0_x000D_
#events:1_x000D_
#kids:1_x000D_
lived:ENSUFFOHOLBROO,WLGWYNE_x000D_
issue:Died after Age 100_x000D_
.recs:Birth,Marriage,Death_x000D_
.imm?:no_x000D_
..Spo:ROSE GREENLEAFE</t>
        </r>
      </text>
    </comment>
    <comment ref="R9250" authorId="0" shapeId="0" xr:uid="{C9EDAB2E-882C-4A17-9618-88C4BC449179}">
      <text>
        <r>
          <rPr>
            <sz val="9"/>
            <color indexed="81"/>
            <rFont val="Tahoma"/>
            <family val="2"/>
          </rPr>
          <t>Mrs. AGNES EVERARD_x000D_
http://yeinfo.com/family/I09065630.html_x000D_
https://www.google.com/search?q=AGNES+EVERARD+1480+1532+EVERARD_x000D_
.born:?1480    -          England_x000D_
.died: 153209  -          England, age:52y 8m 0d, _x000D_
.bapt: 1785GE_x000D_
.will: 2004MO_x000D_
.obit: 1890OH_x000D_
.bury: 1850IL _x000D_
.wpbt: 1826PA_x000D_
.anc#:ancestor_x000D_
citiz:foreign_x000D_
#spos:1_x000D_
#srcs:2_x000D_
#comment:0_x000D_
#events:1_x000D_
#kids:1_x000D_
lived:ENSUFFOHOLBROO_x000D_
issue:_x000D_
.recs:Birth,Marriage,Death_x000D_
.imm?:no_x000D_
..Spo:WILLIAM EVERARD</t>
        </r>
      </text>
    </comment>
    <comment ref="P9252" authorId="0" shapeId="0" xr:uid="{D20CD669-9DE3-4C03-894D-8AB4EAECE15B}">
      <text>
        <r>
          <rPr>
            <sz val="9"/>
            <color indexed="81"/>
            <rFont val="Tahoma"/>
            <family val="2"/>
          </rPr>
          <t>WILLIAM EVERARD_x000D_
http://yeinfo.com/family/I09024544.html_x000D_
https://www.google.com/search?q=WILLIAM+EVERARD+1542+1613+ELIZABETH_x000D_
.born:c1542    -          Holbrook (Suffolk) England_x000D_
.died: 16130225-          Holbrook (Suffolk) England, age:71y 1m 24d, _x000D_
.bapt: 1785GE_x000D_
.will: 2004MO_x000D_
.obit: 1890OH_x000D_
.bury: 1850IL _x000D_
.wpbt: 1826PA_x000D_
.anc#:ancestor_x000D_
citiz:foreign_x000D_
#spos:1_x000D_
#srcs:2_x000D_
#comment:0_x000D_
#events:1_x000D_
#kids:1_x000D_
lived:ENSUFFOBABERGH,ENSUFFOHOLBROO_x000D_
issue:_x000D_
.recs:Birth,Marriage,Death_x000D_
.imm?:no_x000D_
..Spo:ELIZABETH SQUIRE</t>
        </r>
      </text>
    </comment>
    <comment ref="Q9254" authorId="0" shapeId="0" xr:uid="{3C37A009-53C4-4727-BA53-3E7CC7196EF7}">
      <text>
        <r>
          <rPr>
            <sz val="9"/>
            <color indexed="81"/>
            <rFont val="Tahoma"/>
            <family val="2"/>
          </rPr>
          <t>ROSE GREENLEAFE_x000D_
http://yeinfo.com/family/I09049089.html_x000D_
https://www.google.com/search?q=ROSE+GREENLEAFE+1517+1565+EVERARD_x000D_
.born:c1517    -          Babergh (Suffolk) England_x000D_
.died: 15650110-          Holbrook (Suffolk) England, age:48y 0m 9d, _x000D_
.bapt: 1785GE_x000D_
.will: 2004MO_x000D_
.obit: 1890OH_x000D_
.bury: 1850IL _x000D_
.wpbt: 1826PA_x000D_
.anc#:ancestor_x000D_
citiz:foreign_x000D_
#spos:1_x000D_
#srcs:2_x000D_
#comment:1_x000D_
#events:1_x000D_
#kids:1_x000D_
lived:ENSUFFOBABERGH,ENSUFFOHOLBROO,WLGWYNE_x000D_
issue:_x000D_
.recs:Birth,Marriage,Death_x000D_
.imm?:no_x000D_
..Spo:JOHN EVERARD</t>
        </r>
      </text>
    </comment>
    <comment ref="O9256" authorId="0" shapeId="0" xr:uid="{01FB7837-3FB1-46A1-B36E-1463BE43E5D5}">
      <text>
        <r>
          <rPr>
            <sz val="9"/>
            <color indexed="81"/>
            <rFont val="Tahoma"/>
            <family val="2"/>
          </rPr>
          <t>GEORGE EVERARD_x000D_
http://yeinfo.com/family/I09012272.html_x000D_
https://www.google.com/search?q=GEORGE+EVERARD+1564+1615+MARY_x000D_
.born: 15640820-          Holbrook (Suffolk) England_x000D_
.died: 16150124-          Holbrook (Suffolk) England, age:50y 5m 4d, _x000D_
.bapt: 1785GE_x000D_
.will: 2004MO_x000D_
.obit: 1890OH_x000D_
.bury: 1850IL _x000D_
.wpbt: 1826PA_x000D_
.anc#:ancestor_x000D_
citiz:foreign_x000D_
#spos:1_x000D_
#srcs:2_x000D_
#comment:0_x000D_
#events:1_x000D_
#kids:1_x000D_
lived:ENSUFFOHOLBROO_x000D_
issue:_x000D_
.recs:Birth,Marriage,Death_x000D_
.imm?:no_x000D_
..Spo:MARY PEARSE</t>
        </r>
      </text>
    </comment>
    <comment ref="P9258" authorId="0" shapeId="0" xr:uid="{6EE8FDEE-E4CA-4ED6-B5FE-30D41B7AF7A0}">
      <text>
        <r>
          <rPr>
            <sz val="9"/>
            <color indexed="81"/>
            <rFont val="Tahoma"/>
            <family val="2"/>
          </rPr>
          <t>ELIZABETH SQUIRE_x000D_
http://yeinfo.com/family/I09024545.html_x000D_
https://www.google.com/search?q=ELIZABETH+SQUIRE+1542+1615+EVERARD_x000D_
.born:c1542    -          Holbrook (Suffolk) England_x000D_
.died: 16150930-          Holbrook (Suffolk) England, age:73y 8m 29d, _x000D_
.bapt: 1785GE_x000D_
.will: 2004MO_x000D_
.obit: 1890OH_x000D_
.bury: 1850IL _x000D_
.wpbt: 1826PA_x000D_
.anc#:ancestor_x000D_
citiz:foreign_x000D_
#spos:1_x000D_
#srcs:2_x000D_
#comment:0_x000D_
#events:1_x000D_
#kids:1_x000D_
lived:ENSUFFOBABERGH,ENSUFFOHOLBROO_x000D_
issue:_x000D_
.recs:Birth,Marriage,Death_x000D_
.imm?:no_x000D_
..Spo:WILLIAM EVERARD</t>
        </r>
      </text>
    </comment>
    <comment ref="N9260" authorId="0" shapeId="0" xr:uid="{5F23AF05-FE0C-46B7-B0EA-D994826BCC0A}">
      <text>
        <r>
          <rPr>
            <sz val="9"/>
            <color indexed="81"/>
            <rFont val="Tahoma"/>
            <family val="2"/>
          </rPr>
          <t>RICHARD EVERARD_x000D_
http://yeinfo.com/family/I09006136.html_x000D_
https://www.google.com/search?q=RICHARD+EVERARD+1597+1682+MARY_x000D_
.born: 15971211-          Holbrook (Suffolk) England_x000D_
.died: 16820603-          Dedham (Norfolk) Massachusetts, age:84y 5m 23d, _x000D_
.bapt: 1785GE_x000D_
.will: 2004MO_x000D_
.obit: 1890OH_x000D_
.bury: 1850IL _x000D_
.wpbt: 1826PA_x000D_
.anc#:ancestor_x000D_
citiz:immigrant_x000D_
#spos:1_x000D_
#srcs:2_x000D_
#comment:0_x000D_
#events:1_x000D_
#kids:1_x000D_
lived:ENSUFFOHOLBROO,ENSUFFOWOOLVER,MANORFODEDHAM_x000D_
issue:_x000D_
.recs:Birth,Marriage,Death_x000D_
.imm?:immigrant_x000D_
..Spo:MARY WINCH</t>
        </r>
      </text>
    </comment>
    <comment ref="O9262" authorId="0" shapeId="0" xr:uid="{D45578AE-32A1-4452-AD72-E6C79F8E184E}">
      <text>
        <r>
          <rPr>
            <sz val="9"/>
            <color indexed="81"/>
            <rFont val="Tahoma"/>
            <family val="2"/>
          </rPr>
          <t>MARY PEARSE_x000D_
http://yeinfo.com/family/I09012273.html_x000D_
https://www.google.com/search?q=MARY+PEARSE+1564+1615+EVERARD_x000D_
.born: 15640618-          Freston (Suffolk) England_x000D_
.died: 16150124-          Holbrook (Suffolk) England, age:50y 7m 6d, _x000D_
.bapt: 1785GE_x000D_
.will: 2004MO_x000D_
.obit: 1890OH_x000D_
.bury: 1850IL _x000D_
.wpbt: 1826PA_x000D_
.anc#:ancestor_x000D_
citiz:foreign_x000D_
#spos:1_x000D_
#srcs:2_x000D_
#comment:1_x000D_
#events:1_x000D_
#kids:1_x000D_
lived:ENSUFFOFRESTON,ENSUFFOHOLBROO_x000D_
issue:_x000D_
.recs:Birth,Marriage,Death_x000D_
.imm?:no_x000D_
..Spo:GEORGE EVERARD</t>
        </r>
      </text>
    </comment>
    <comment ref="M9264" authorId="0" shapeId="0" xr:uid="{D5325B06-DDC3-4067-BB0A-70166F9590E4}">
      <text>
        <r>
          <rPr>
            <sz val="9"/>
            <color indexed="81"/>
            <rFont val="Tahoma"/>
            <family val="2"/>
          </rPr>
          <t>JOHN EVERARD_x000D_
http://yeinfo.com/family/I09003068.html_x000D_
https://www.google.com/search?q=JOHN+EVERARD+1636+1715+ELIZABETH_x000D_
.born: 16360116-          Dedham (Norfolk) Massachusetts_x000D_
.died: 17150617-          Dedham (Norfolk) Massachusetts, age:79y 5m 1d, _x000D_
.bapt: 1785GE_x000D_
.will: 2004MO_x000D_
.obit: 1890OH_x000D_
.bury: 1850IL _x000D_
.wpbt: 1826PA_x000D_
.anc#:ancestor_x000D_
citiz:US born_x000D_
#spos:1_x000D_
#srcs:2_x000D_
#comment:0_x000D_
#events:1_x000D_
#kids:1_x000D_
lived:MANORFODEDHAM_x000D_
issue:_x000D_
.recs:Birth,Marriage,Death_x000D_
.imm?:no_x000D_
..Spo:ELIZABETH PEPPER</t>
        </r>
      </text>
    </comment>
    <comment ref="N9266" authorId="0" shapeId="0" xr:uid="{B2752432-03EC-407A-B6E4-C516878CA49B}">
      <text>
        <r>
          <rPr>
            <sz val="9"/>
            <color indexed="81"/>
            <rFont val="Tahoma"/>
            <family val="2"/>
          </rPr>
          <t>MARY WINCH_x000D_
http://yeinfo.com/family/I09006137.html_x000D_
https://www.google.com/search?q=MARY+WINCH+1614+1683+EVERARD_x000D_
.born: 1614    -          Bocking (Essex) England_x000D_
.died: 16830703-          Dedham (Norfolk) Massachusetts, age:69y 6m 2d, _x000D_
.bapt: 1785GE_x000D_
.will: 2004MO_x000D_
.obit: 1890OH_x000D_
.bury: 1850IL _x000D_
.wpbt: 1826PA_x000D_
.anc#:ancestor_x000D_
citiz:immigrant_x000D_
#spos:1_x000D_
#srcs:2_x000D_
#comment:1_x000D_
#events:1_x000D_
#kids:1_x000D_
lived:ENESSEXBOCKING,ENSUFFOWOOLVER,MANORFODEDHAM_x000D_
issue:_x000D_
.recs:Birth,Marriage,Death_x000D_
.imm?:immigrant_x000D_
..Spo:RICHARD EVERARD</t>
        </r>
      </text>
    </comment>
    <comment ref="L9268" authorId="0" shapeId="0" xr:uid="{9150A343-7D10-44B2-9A05-68D7C8E5117B}">
      <text>
        <r>
          <rPr>
            <sz val="9"/>
            <color indexed="81"/>
            <rFont val="Tahoma"/>
            <family val="2"/>
          </rPr>
          <t>WILLIAM EVERARD_x000D_
http://yeinfo.com/family/I09001534.html_x000D_
https://www.google.com/search?q=WILLIAM+EVERARD+1679+1765+RACHEL_x000D_
.born: 16790120-          Dedham (Norfolk) Massachusetts_x000D_
.died: 17650223-          Dedham (Norfolk) Massachusetts, age:86y 1m 3d, _x000D_
.bapt: 1785GE_x000D_
.will: 2004MO_x000D_
.obit: 1890OH_x000D_
.bury: 1850IL _x000D_
.wpbt: 1826PA_x000D_
.anc#:ancestor_x000D_
citiz:US born_x000D_
#spos:1_x000D_
#srcs:2_x000D_
#comment:0_x000D_
#events:1_x000D_
#kids:1_x000D_
lived:MANORFODEDHAM_x000D_
issue:_x000D_
.recs:Birth,Marriage,Death_x000D_
.imm?:no_x000D_
..Spo:RACHEL NEWCOMB</t>
        </r>
      </text>
    </comment>
    <comment ref="O9270" authorId="0" shapeId="0" xr:uid="{D83D0618-EF21-46A6-98B6-31985324A490}">
      <text>
        <r>
          <rPr>
            <sz val="9"/>
            <color indexed="81"/>
            <rFont val="Tahoma"/>
            <family val="2"/>
          </rPr>
          <t>ROBERT PEPPER_x000D_
http://yeinfo.com/family/I09012276.html_x000D_
https://www.google.com/search?q=ROBERT+PEPPER+1594+1642+ELIZABETH_x000D_
.born:?1594    -         ?England_x000D_
.died:?1642    -         ?, age:48y 0m 0d, _x000D_
.bapt: 1785GE_x000D_
.will: 2004MO_x000D_
.obit: 1890OH_x000D_
.bury: 1850IL _x000D_
.wpbt: 1826PA_x000D_
.anc#:ancestor_x000D_
citiz:US born_x000D_
#spos:1_x000D_
#srcs:1_x000D_
#comment:0_x000D_
#events:1_x000D_
#kids:1_x000D_
lived:?EN,MASUFFOROXBURY_x000D_
issue:_x000D_
.recs:Birth,Marriage,Death_x000D_
.imm?:no_x000D_
..Spo:ELIZABETH JOHNSON</t>
        </r>
      </text>
    </comment>
    <comment ref="N9272" authorId="0" shapeId="0" xr:uid="{88499DC1-7879-499D-9A68-19937CAA23EA}">
      <text>
        <r>
          <rPr>
            <sz val="9"/>
            <color indexed="81"/>
            <rFont val="Tahoma"/>
            <family val="2"/>
          </rPr>
          <t>ROBERT PEPPER_x000D_
http://yeinfo.com/family/I09006138.html_x000D_
https://www.google.com/search?q=ROBERT+PEPPER+1618+1684+ELIZABETH_x000D_
.born: 16180122-          London (Middlesex) England_x000D_
.died: 16840707-          Roxbury (Suffolk) Massachusetts, age:66y 5m 15d, _x000D_
.bapt: 1785GE_x000D_
.will: 2004MO_x000D_
.obit: 1890OH_x000D_
.bury: 1850IL _x000D_
.wpbt: 1826PA_x000D_
.anc#:ancestor_x000D_
citiz:immigrant_x000D_
#spos:1_x000D_
#srcs:3_x000D_
#comment:1_x000D_
#events:1_x000D_
#kids:1_x000D_
lived:ENMIDDLLONDON,MASUFFOROXBURY_x000D_
issue:Born before Parents Married_x000D_
.recs:Birth,Marriage,Death_x000D_
.imm?:immigrant_x000D_
..Spo:ELIZABETH JOHNSON</t>
        </r>
      </text>
    </comment>
    <comment ref="O9274" authorId="0" shapeId="0" xr:uid="{33C0E8A9-E506-4762-AA7D-97240C76C908}">
      <text>
        <r>
          <rPr>
            <sz val="9"/>
            <color indexed="81"/>
            <rFont val="Tahoma"/>
            <family val="2"/>
          </rPr>
          <t>ELIZABETH JOHNSON_x000D_
http://yeinfo.com/family/I09012277.html_x000D_
https://www.google.com/search?q=ELIZABETH+JOHNSON+1594+1634+PEPPER_x000D_
.born:?1594    -         ?Lincolnshire county England_x000D_
.died:?1634    -         ?, age:40y 0m 0d, _x000D_
.bapt: 1785GE_x000D_
.will: 2004MO_x000D_
.obit: 1890OH_x000D_
.bury: 1850IL _x000D_
.wpbt: 1826PA_x000D_
.anc#:ancestor_x000D_
citiz:US born_x000D_
#spos:1_x000D_
#srcs:1_x000D_
#comment:0_x000D_
#events:1_x000D_
#kids:1_x000D_
lived:?ENLINCS,MASUFFOROXBURY_x000D_
issue:Died before Birth_x000D_
.recs:Birth,Marriage,Death_x000D_
.imm?:no_x000D_
..Spo:ROBERT PEPPER</t>
        </r>
      </text>
    </comment>
    <comment ref="M9276" authorId="0" shapeId="0" xr:uid="{652BDCD7-EAB3-4B75-8EC2-AD2572FDCB79}">
      <text>
        <r>
          <rPr>
            <sz val="9"/>
            <color indexed="81"/>
            <rFont val="Tahoma"/>
            <family val="2"/>
          </rPr>
          <t>ELIZABETH PEPPER_x000D_
http://yeinfo.com/family/I09003069.html_x000D_
https://www.google.com/search?q=ELIZABETH+PEPPER+1645+1714+EVERARD_x000D_
.born: 16450525-          Dedham (Norfolk) Massachusetts_x000D_
.died: 17140401-          Dedham (Norfolk) Massachusetts, age:68y 10m 7d, _x000D_
.bapt: 1785GE_x000D_
.will: 2004MO_x000D_
.obit: 1890OH_x000D_
.bury: 1850IL _x000D_
.wpbt: 1826PA_x000D_
.anc#:ancestor_x000D_
citiz:US born_x000D_
#spos:1_x000D_
#srcs:3_x000D_
#comment:0_x000D_
#events:1_x000D_
#kids:1_x000D_
lived:MANORFODEDHAM_x000D_
issue:_x000D_
.recs:Birth,Marriage,Death_x000D_
.imm?:no_x000D_
..Spo:JOHN EVERARD</t>
        </r>
      </text>
    </comment>
    <comment ref="O9278" authorId="0" shapeId="0" xr:uid="{56FAD823-2EF5-499E-8A2C-F467EE30A4A7}">
      <text>
        <r>
          <rPr>
            <sz val="9"/>
            <color indexed="81"/>
            <rFont val="Tahoma"/>
            <family val="2"/>
          </rPr>
          <t>JOHN JOHNSON_x000D_
http://yeinfo.com/family/I09012278.html_x000D_
https://www.google.com/search?q=JOHN+JOHNSON+1588+1659+MARY_x000D_
.born:c1588    -          Hertfordshire county England_x000D_
.died: 16590930-          Roxbury (Suffolk) Massachusetts, age:71y 8m 29d, _x000D_
.bapt: 1785GE_x000D_
.will: 2004MO_x000D_
.obit: 1890OH_x000D_
.bury: 1850IL _x000D_
.wpbt: 1826PA_x000D_
.anc#:ancestor_x000D_
citiz:immigrant_x000D_
#spos:1_x000D_
#srcs:1_x000D_
#comment:0_x000D_
#events:1_x000D_
#kids:1_x000D_
lived:ENHERTFWARE,MASUFFOROXBURY_x000D_
issue:_x000D_
.recs:Birth,Marriage,Death_x000D_
.imm?:immigrant_x000D_
..Spo:MARY HEATH</t>
        </r>
      </text>
    </comment>
    <comment ref="N9280" authorId="0" shapeId="0" xr:uid="{67F7986E-FCAB-4986-951F-19F24C774EA6}">
      <text>
        <r>
          <rPr>
            <sz val="9"/>
            <color indexed="81"/>
            <rFont val="Tahoma"/>
            <family val="2"/>
          </rPr>
          <t>ELIZABETH JOHNSON_x000D_
http://yeinfo.com/family/I09006139.html_x000D_
https://www.google.com/search?q=ELIZABETH+JOHNSON+1619+1683+PEPPER_x000D_
.born: 16190822-          Hertfordshire county England_x000D_
.died: 16830105-          , age:63y 4m 14d, _x000D_
.bapt: 1785GE_x000D_
.will: 2004MO_x000D_
.obit: 1890OH_x000D_
.bury: 1850IL _x000D_
.wpbt: 1826PA_x000D_
.anc#:ancestor_x000D_
citiz:US born_x000D_
#spos:1_x000D_
#srcs:3_x000D_
#comment:1_x000D_
#events:1_x000D_
#kids:1_x000D_
lived:ENHERTF,MASUFFOROXBURY_x000D_
issue:_x000D_
.recs:Birth,Marriage,Death_x000D_
.imm?:no_x000D_
..Spo:ROBERT PEPPER</t>
        </r>
      </text>
    </comment>
    <comment ref="Q9282" authorId="0" shapeId="0" xr:uid="{C2DF5FDE-77AC-4C4C-AB29-A00A920275F8}">
      <text>
        <r>
          <rPr>
            <sz val="9"/>
            <color indexed="81"/>
            <rFont val="Tahoma"/>
            <family val="2"/>
          </rPr>
          <t>ROBERT HEATH_x000D_
http://yeinfo.com/family/I09043760.html_x000D_
https://www.google.com/search?q=ROBERT+HEATH+1505+1525+{_?_}_x000D_
.born:?1505    -         ?England_x000D_
.died: 1525    -1595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..Spo:{_?_} HEATH</t>
        </r>
      </text>
    </comment>
    <comment ref="P9284" authorId="0" shapeId="0" xr:uid="{BE9A26AE-341F-4B90-A4D7-2D7F42CD2252}">
      <text>
        <r>
          <rPr>
            <sz val="9"/>
            <color indexed="81"/>
            <rFont val="Tahoma"/>
            <family val="2"/>
          </rPr>
          <t>EDWARD HEATH_x000D_
http://yeinfo.com/family/I09021880.html_x000D_
https://www.google.com/search?q=EDWARD+HEATH+1525+1593+ALICE_x000D_
.born:?1525    -          Ware (Hertfordshire) England_x000D_
.died: 159303  -          , age:68y 2m 0d, _x000D_
.bapt: 1785GE_x000D_
.will: 2004MO_x000D_
.obit: 1890OH_x000D_
.bury: 1850IL _x000D_
.wpbt: 1826PA_x000D_
.anc#:double ancestor_x000D_
citiz:foreign_x000D_
#spos:1_x000D_
#srcs:4_x000D_
#comment:0_x000D_
#events:6_x000D_
#kids:2_x000D_
lived:ENHERTFWARE_x000D_
issue:_x000D_
.recs:Birth,Marriage,Will Written,Death_x000D_
.imm?:no_x000D_
..Spo:ALICE CARTER</t>
        </r>
      </text>
    </comment>
    <comment ref="Q9286" authorId="0" shapeId="0" xr:uid="{5BDB5065-EDA8-4BFD-97AB-7AC2863F565A}">
      <text>
        <r>
          <rPr>
            <sz val="9"/>
            <color indexed="81"/>
            <rFont val="Tahoma"/>
            <family val="2"/>
          </rPr>
          <t>Mrs. {_?_} HEATH_x000D_
http://yeinfo.com/family/I09043761.html_x000D_
https://www.google.com/search?q={_?_}+HEATH+1505+1525+HEATH_x000D_
.born:?1505    -         ?England_x000D_
.died: 1525    -1595     ?England, age:20y 0m 0d, _x000D_
.bapt: 1785GE_x000D_
.will: 2004MO_x000D_
.obit: 1890OH_x000D_
.bury: 1850IL _x000D_
.wpbt: 1826PA_x000D_
.anc#:double ancestor_x000D_
citiz:foreign_x000D_
#spos:1_x000D_
#srcs:1_x000D_
#comment:0_x000D_
#events:1_x000D_
#kids:1_x000D_
lived:?EN_x000D_
issue:_x000D_
.recs:Birth,Marriage,Death_x000D_
.imm?:no_x000D_
..Spo:ROBERT HEATH</t>
        </r>
      </text>
    </comment>
    <comment ref="O9288" authorId="0" shapeId="0" xr:uid="{1BC782D5-1E6A-4C79-A104-76C18F06164D}">
      <text>
        <r>
          <rPr>
            <sz val="9"/>
            <color indexed="81"/>
            <rFont val="Tahoma"/>
            <family val="2"/>
          </rPr>
          <t>MARY HEATH_x000D_
http://yeinfo.com/family/I09012279.html_x000D_
https://www.google.com/search?q=MARY+HEATH+1593+1629+JOHNSON_x000D_
.born:?1593    -          Ware (Hertfordshire) England_x000D_
.died: 16290515-          Hertfordshire county England, age:36y 4m 14d, _x000D_
.bapt: 1785GE_x000D_
.will: 2004MO_x000D_
.obit: 1890OH_x000D_
.bury: 1850IL _x000D_
.wpbt: 1826PA_x000D_
.anc#:ancestor_x000D_
citiz:foreign_x000D_
#spos:1_x000D_
#srcs:2_x000D_
#comment:0_x000D_
#events:2_x000D_
#kids:1_x000D_
lived:ENHERTFWARE_x000D_
issue:Born after Dad Age 60,Born after Mom Age 50_x000D_
.recs:Birth,Baptism,Marriage,Death_x000D_
.imm?:no_x000D_
..Spo:JOHN JOHNSON</t>
        </r>
      </text>
    </comment>
    <comment ref="P9290" authorId="0" shapeId="0" xr:uid="{B7DCCEE7-0117-4F8C-AA52-8B946191ED7E}">
      <text>
        <r>
          <rPr>
            <sz val="9"/>
            <color indexed="81"/>
            <rFont val="Tahoma"/>
            <family val="2"/>
          </rPr>
          <t>ALICE CARTER_x000D_
http://yeinfo.com/family/I09021881.html_x000D_
https://www.google.com/search?q=ALICE+CARTER+1525+1593+HEATH_x000D_
.born:c1525    -          Ware (Hertfordshire) England_x000D_
.died: 159312  -         ?Ware (Hertfordshire) England, age:68y 11m 0d, _x000D_
.bapt: 1785GE_x000D_
.will: 2004MO_x000D_
.obit: 1890OH_x000D_
.bury: 1850IL _x000D_
.wpbt: 1826PA_x000D_
.anc#:double ancestor_x000D_
citiz:foreign_x000D_
#spos:1_x000D_
#srcs:3_x000D_
#comment:0_x000D_
#events:2_x000D_
#kids:2_x000D_
lived:ENHERTFWARE_x000D_
issue:_x000D_
.recs:Birth,Marriage,Death_x000D_
.imm?:no_x000D_
..Spo:EDWARD HEATH</t>
        </r>
      </text>
    </comment>
    <comment ref="K9292" authorId="0" shapeId="0" xr:uid="{62B244B3-8C13-4276-91F8-0722DD5B1973}">
      <text>
        <r>
          <rPr>
            <sz val="9"/>
            <color indexed="81"/>
            <rFont val="Tahoma"/>
            <family val="2"/>
          </rPr>
          <t>SUSANNAH EVERARD_x000D_
http://yeinfo.com/family/I09000767.html_x000D_
https://www.google.com/search?q=SUSANNAH+EVERARD+1714+1767+OCKINGTON+Barachiah_x000D_
.born: 17140607-          Dedham (Norfolk) Massachusetts_x000D_
.died: 1767    -          Roxbury (Litchfield) Connecticut, age:52y 6m 25d, _x000D_
.bapt: 1785GE_x000D_
.will: 2004MO_x000D_
.obit: 1890OH_x000D_
.bury: 1850IL _x000D_
.wpbt: 1826PA_x000D_
.anc#:ancestor_x000D_
citiz:US born_x000D_
#spos:2_x000D_
#srcs:8_x000D_
#comment:0_x000D_
#events:3_x000D_
#kids:6_x000D_
lived:?EN,?MAWORCE,CTLITCHROXBURY,MANORFODEDHAM_x000D_
issue:_x000D_
.recs:Birth,Marriage,Death_x000D_
.imm?:no_x000D_
..Spo:THOMAS OCKINGTON</t>
        </r>
      </text>
    </comment>
    <comment ref="Q9294" authorId="0" shapeId="0" xr:uid="{D409A4D3-21B8-47B0-96E1-86388830C801}">
      <text>
        <r>
          <rPr>
            <sz val="9"/>
            <color indexed="81"/>
            <rFont val="Tahoma"/>
            <family val="2"/>
          </rPr>
          <t>RICHARD NEWCOMB_x000D_
http://yeinfo.com/family/I09049120.html_x000D_
https://www.google.com/search?q=RICHARD+NEWCOMB+1525+1545+{_?_}_x000D_
.born: 1525    -          Lincolnshire county England_x000D_
.died: 1545    -1615     ?Lincolnshire county England, age:20y 0m 0d, _x000D_
.bapt: 1785GE_x000D_
.will: 2004MO_x000D_
.obit: 1890OH_x000D_
.bury: 1850IL _x000D_
.wpbt: 1826PA_x000D_
.anc#:ancestor_x000D_
citiz:foreign_x000D_
#spos:1_x000D_
#srcs:3_x000D_
#comment:0_x000D_
#events:1_x000D_
#kids:1_x000D_
lived:ENLINCS_x000D_
issue:Died before Birth_x000D_
.recs:Birth,Marriage,Death_x000D_
.imm?:no_x000D_
..Spo:{_?_} NEWCOMB</t>
        </r>
      </text>
    </comment>
    <comment ref="P9296" authorId="0" shapeId="0" xr:uid="{8DDDBBEF-9859-4861-A9FC-551C333485F2}">
      <text>
        <r>
          <rPr>
            <sz val="9"/>
            <color indexed="81"/>
            <rFont val="Tahoma"/>
            <family val="2"/>
          </rPr>
          <t>THOMAS NEWCOMB_x000D_
http://yeinfo.com/family/I09024560.html_x000D_
https://www.google.com/search?q=THOMAS+NEWCOMB+1545+1621+PRUDENCE_x000D_
.born: 1545    -          Saltfleetby Saint Peter (Lincolnshire) England_x000D_
.died: 16210501-          Saltfleetby Saint Peter (Lincolnshire) England, age:76y 4m 0d, _x000D_
.bapt: 1785GE_x000D_
.will: 2004MO_x000D_
.obit: 1890OH_x000D_
.bury: 1850IL _x000D_
.wpbt: 1826PA_x000D_
.anc#:ancestor_x000D_
citiz:foreign_x000D_
#spos:1_x000D_
#srcs:3_x000D_
#comment:0_x000D_
#events:1_x000D_
#kids:1_x000D_
lived:ENHERTF,ENLINCSSALTPET_x000D_
issue:Born before Parents Married_x000D_
.recs:Birth,Marriage,Death_x000D_
.imm?:no_x000D_
..Spo:PRUDENCE LUCKINS</t>
        </r>
      </text>
    </comment>
    <comment ref="Q9298" authorId="0" shapeId="0" xr:uid="{0045FC78-8DFB-484F-BE0D-2E063D905D52}">
      <text>
        <r>
          <rPr>
            <sz val="9"/>
            <color indexed="81"/>
            <rFont val="Tahoma"/>
            <family val="2"/>
          </rPr>
          <t>Mrs. {_?_} NEWCOMB_x000D_
http://yeinfo.com/family/I09049121.html_x000D_
https://www.google.com/search?q={_?_}+NEWCOMB+1530+1550+NEWCOMB_x000D_
.born:?1530    -         ?England_x000D_
.died: 1550    -1620     ?Lincolnshire county England, age:20y 0m 0d, _x000D_
.bapt: 1785GE_x000D_
.will: 2004MO_x000D_
.obit: 1890OH_x000D_
.bury: 1850IL _x000D_
.wpbt: 1826PA_x000D_
.anc#:ancestor_x000D_
citiz:foreign_x000D_
#spos:1_x000D_
#srcs:3_x000D_
#comment:0_x000D_
#events:1_x000D_
#kids:1_x000D_
lived:?ENLINCS_x000D_
issue:_x000D_
.recs:Birth,Marriage,Death_x000D_
.imm?:no_x000D_
..Spo:RICHARD NEWCOMB</t>
        </r>
      </text>
    </comment>
    <comment ref="O9300" authorId="0" shapeId="0" xr:uid="{E0A93254-1DD7-43A1-8BA8-6F01227828E1}">
      <text>
        <r>
          <rPr>
            <sz val="9"/>
            <color indexed="81"/>
            <rFont val="Tahoma"/>
            <family val="2"/>
          </rPr>
          <t>SAMUEL NEWCOMB_x000D_
http://yeinfo.com/family/I09012280.html_x000D_
https://www.google.com/search?q=SAMUEL+NEWCOMB+1579+1605+RACHEL_x000D_
.born: 1579    -          Sudbury (Suffolk) England_x000D_
.died: 1605    -1665      Saint Albans (Hertfordshire) England, age:26y 0m 0d, _x000D_
.bapt: 1785GE_x000D_
.will: 2004MO_x000D_
.obit: 1890OH_x000D_
.bury: 1850IL _x000D_
.wpbt: 1826PA_x000D_
.anc#:ancestor_x000D_
citiz:foreign_x000D_
#spos:1_x000D_
#srcs:3_x000D_
#comment:0_x000D_
#events:1_x000D_
#kids:1_x000D_
lived:ENHERTFST.ALBA,ENSUFFOSUDBURY_x000D_
issue:_x000D_
.recs:Birth,Marriage,Death_x000D_
.imm?:no_x000D_
..Spo:RACHEL NEWCOMB</t>
        </r>
      </text>
    </comment>
    <comment ref="U9302" authorId="0" shapeId="0" xr:uid="{28D89014-C9EC-42CE-91F8-B86152F8B7F2}">
      <text>
        <r>
          <rPr>
            <sz val="9"/>
            <color indexed="81"/>
            <rFont val="Tahoma"/>
            <family val="2"/>
          </rPr>
          <t>THOMAS LUCKINS_x000D_
http://yeinfo.com/family/I09066103.html_x000D_
https://www.google.com/search?q=THOMAS+LUCKINS+1410+1435+MARGARET_x000D_
.born:c1410    -          Cambridge (Cambridgeshire) England_x000D_
.died: 1435    -1500     ?England, age:25y 0m 0d, _x000D_
.bapt: 1785GE_x000D_
.will: 2004MO_x000D_
.obit: 1890OH_x000D_
.bury: 1850IL _x000D_
.wpbt: 1826PA_x000D_
.anc#:ancestor_x000D_
citiz:foreign_x000D_
#spos:1_x000D_
#srcs:3_x000D_
#comment:0_x000D_
#events:1_x000D_
#kids:1_x000D_
lived:ENCAMBSCAMBRID_x000D_
issue:_x000D_
.recs:Birth,Marriage,Death_x000D_
.imm?:no_x000D_
..Spo:MARGARET LUCKINS</t>
        </r>
      </text>
    </comment>
    <comment ref="T9304" authorId="0" shapeId="0" xr:uid="{FF20D13F-3FA5-460C-A8CB-CBCF8E77B63A}">
      <text>
        <r>
          <rPr>
            <sz val="9"/>
            <color indexed="81"/>
            <rFont val="Tahoma"/>
            <family val="2"/>
          </rPr>
          <t>JOHN LUCKINS_x000D_
http://yeinfo.com/family/I09065934.html_x000D_
https://www.google.com/search?q=JOHN+LUCKINS+1435+1465+{_?_}_x000D_
.born:c1435    -          Cambridge (Cambridgeshire) England_x000D_
.died: 1465    -1525     ?England, age:30y 0m 0d, _x000D_
.bapt: 1785GE_x000D_
.will: 2004MO_x000D_
.obit: 1890OH_x000D_
.bury: 1850IL _x000D_
.wpbt: 1826PA_x000D_
.anc#:ancestor_x000D_
citiz:foreign_x000D_
#spos:1_x000D_
#srcs:3_x000D_
#comment:0_x000D_
#events:1_x000D_
#kids:1_x000D_
lived:ENCAMBSCAMBRID_x000D_
issue:_x000D_
.recs:Birth,Marriage,Death_x000D_
.imm?:no_x000D_
..Spo:{_?_} LUCKINS</t>
        </r>
      </text>
    </comment>
    <comment ref="U9306" authorId="0" shapeId="0" xr:uid="{BE70A3F0-6FE2-4795-8C8F-B7DBC3030F7A}">
      <text>
        <r>
          <rPr>
            <sz val="9"/>
            <color indexed="81"/>
            <rFont val="Tahoma"/>
            <family val="2"/>
          </rPr>
          <t>Mrs. MARGARET LUCKINS_x000D_
http://yeinfo.com/family/I09066102.html_x000D_
https://www.google.com/search?q=MARGARET+LUCKINS+1410+1435+LUCKINS_x000D_
.born:c1410    -          Cambridge (Cambridgeshire) England_x000D_
.died: 1435    -1500     ?England, age:25y 0m 0d, _x000D_
.bapt: 1785GE_x000D_
.will: 2004MO_x000D_
.obit: 1890OH_x000D_
.bury: 1850IL _x000D_
.wpbt: 1826PA_x000D_
.anc#:ancestor_x000D_
citiz:foreign_x000D_
#spos:1_x000D_
#srcs:3_x000D_
#comment:0_x000D_
#events:1_x000D_
#kids:1_x000D_
lived:ENCAMBSCAMBRID_x000D_
issue:_x000D_
.recs:Birth,Marriage,Death_x000D_
.imm?:no_x000D_
..Spo:THOMAS LUCKINS</t>
        </r>
      </text>
    </comment>
    <comment ref="S9308" authorId="0" shapeId="0" xr:uid="{A546A4C3-0F2F-48E9-B227-026A47129190}">
      <text>
        <r>
          <rPr>
            <sz val="9"/>
            <color indexed="81"/>
            <rFont val="Tahoma"/>
            <family val="2"/>
          </rPr>
          <t>WALTER LUCKINS_x000D_
http://yeinfo.com/family/I09065787.html_x000D_
https://www.google.com/search?q=WALTER+LUCKINS+1465+1495+{_?_}_x000D_
.born:c1465    -          Cambridgeshire county England_x000D_
.died: 1495    -1555     ?England, age:30y 0m 0d, _x000D_
.bapt: 1785GE_x000D_
.will: 2004MO_x000D_
.obit: 1890OH_x000D_
.bury: 1850IL _x000D_
.wpbt: 1826PA_x000D_
.anc#:ancestor_x000D_
citiz:foreign_x000D_
#spos:1_x000D_
#srcs:3_x000D_
#comment:0_x000D_
#events:1_x000D_
#kids:1_x000D_
lived:ENCAMBS_x000D_
issue:_x000D_
.recs:Birth,Marriage,Death_x000D_
.imm?:no_x000D_
..Spo:{_?_} LUCKINS</t>
        </r>
      </text>
    </comment>
    <comment ref="T9310" authorId="0" shapeId="0" xr:uid="{23E4CADE-416D-42BD-AF39-B2E2971ACC62}">
      <text>
        <r>
          <rPr>
            <sz val="9"/>
            <color indexed="81"/>
            <rFont val="Tahoma"/>
            <family val="2"/>
          </rPr>
          <t>Mrs. {_?_} LUCKINS_x000D_
http://yeinfo.com/family/I09065933.html_x000D_
https://www.google.com/search?q={_?_}+LUCKINS+1440+1465+LUCKINS_x000D_
.born:?1440    -         ?England_x000D_
.died: 1465    -1530     ?England, age:25y 0m 0d, _x000D_
.bapt: 1785GE_x000D_
.will: 2004MO_x000D_
.obit: 1890OH_x000D_
.bury: 1850IL _x000D_
.wpbt: 1826PA_x000D_
.anc#:ancestor_x000D_
citiz:foreign_x000D_
#spos:1_x000D_
#srcs:3_x000D_
#comment:0_x000D_
#events:1_x000D_
#kids:1_x000D_
lived:?EN_x000D_
issue:_x000D_
.recs:Birth,Marriage,Death_x000D_
.imm?:no_x000D_
..Spo:JOHN LUCKINS</t>
        </r>
      </text>
    </comment>
    <comment ref="R9312" authorId="0" shapeId="0" xr:uid="{FE5BDE3A-62B3-4986-A075-781BC6CDF020}">
      <text>
        <r>
          <rPr>
            <sz val="9"/>
            <color indexed="81"/>
            <rFont val="Tahoma"/>
            <family val="2"/>
          </rPr>
          <t>WILLIAM LUCKINS_x000D_
http://yeinfo.com/family/I09065659.html_x000D_
https://www.google.com/search?q=WILLIAM+LUCKINS+1495+1541+ISABEL_x000D_
.born:c1495    -          Cambridgeshire county England_x000D_
.died: 15410202-         ?England, age:46y 1m 1d, _x000D_
.bapt: 1785GE_x000D_
.will: 2004MO_x000D_
.obit: 1890OH_x000D_
.bury: 1850IL _x000D_
.wpbt: 1826PA_x000D_
.anc#:ancestor_x000D_
citiz:foreign_x000D_
#spos:1_x000D_
#srcs:3_x000D_
#comment:0_x000D_
#events:1_x000D_
#kids:1_x000D_
lived:ENCAMBS_x000D_
issue:_x000D_
.recs:Birth,Marriage,Death_x000D_
.imm?:no_x000D_
..Spo:ISABEL TURNER</t>
        </r>
      </text>
    </comment>
    <comment ref="S9314" authorId="0" shapeId="0" xr:uid="{34C02D52-4FE0-4F7C-9E2B-A4BCEF2132A0}">
      <text>
        <r>
          <rPr>
            <sz val="9"/>
            <color indexed="81"/>
            <rFont val="Tahoma"/>
            <family val="2"/>
          </rPr>
          <t>Mrs. {_?_} LUCKINS_x000D_
http://yeinfo.com/family/I09065786.html_x000D_
https://www.google.com/search?q={_?_}+LUCKINS+1470+1495+LUCKINS_x000D_
.born:?1470    -         ?England_x000D_
.died: 1495    -1560     ?England, age:25y 0m 0d, _x000D_
.bapt: 1785GE_x000D_
.will: 2004MO_x000D_
.obit: 1890OH_x000D_
.bury: 1850IL _x000D_
.wpbt: 1826PA_x000D_
.anc#:ancestor_x000D_
citiz:foreign_x000D_
#spos:1_x000D_
#srcs:3_x000D_
#comment:0_x000D_
#events:1_x000D_
#kids:1_x000D_
lived:?EN_x000D_
issue:_x000D_
.recs:Birth,Marriage,Death_x000D_
.imm?:no_x000D_
..Spo:WALTER LUCKINS</t>
        </r>
      </text>
    </comment>
    <comment ref="Q9316" authorId="0" shapeId="0" xr:uid="{D7841463-AE33-4790-B4A9-536F1D971D6D}">
      <text>
        <r>
          <rPr>
            <sz val="9"/>
            <color indexed="81"/>
            <rFont val="Tahoma"/>
            <family val="2"/>
          </rPr>
          <t>ROBERT LUCKINS_x000D_
http://yeinfo.com/family/I09049122.html_x000D_
https://www.google.com/search?q=ROBERT+LUCKINS+1523+1580+ALICE_x000D_
.born: 1523    -          Isleham (Cambridgeshire) England_x000D_
.died: 1580    -          Cambridgeshire county England, age:57y 0m 0d, _x000D_
.bapt: 1785GE_x000D_
.will: 2004MO_x000D_
.obit: 1890OH_x000D_
.bury: 1850IL _x000D_
.wpbt: 1826PA_x000D_
.anc#:ancestor_x000D_
citiz:foreign_x000D_
#spos:1_x000D_
#srcs:3_x000D_
#comment:0_x000D_
#events:1_x000D_
#kids:1_x000D_
lived:ENCAMBSCAMBRID,ENCAMBSISLEHAM_x000D_
issue:_x000D_
.recs:Birth,Marriage,Death_x000D_
.imm?:no_x000D_
..Spo:ALICE PECHE</t>
        </r>
      </text>
    </comment>
    <comment ref="R9318" authorId="0" shapeId="0" xr:uid="{83E2A39D-8C4B-4E86-BB79-C90CF02848BE}">
      <text>
        <r>
          <rPr>
            <sz val="9"/>
            <color indexed="81"/>
            <rFont val="Tahoma"/>
            <family val="2"/>
          </rPr>
          <t>ISABEL TURNER_x000D_
http://yeinfo.com/family/I09065672.html_x000D_
https://www.google.com/search?q=ISABEL+TURNER+1495+1523+LUCKINS_x000D_
.born:c1495    -          Cambridgeshire county England_x000D_
.died: 1523    -         ?England, age:28y 0m 0d, _x000D_
.bapt: 1785GE_x000D_
.will: 2004MO_x000D_
.obit: 1890OH_x000D_
.bury: 1850IL _x000D_
.wpbt: 1826PA_x000D_
.anc#:ancestor_x000D_
citiz:foreign_x000D_
#spos:1_x000D_
#srcs:3_x000D_
#comment:0_x000D_
#events:1_x000D_
#kids:1_x000D_
lived:ENCAMBS_x000D_
issue:_x000D_
.recs:Birth,Marriage,Death_x000D_
.imm?:no_x000D_
..Spo:WILLIAM LUCKINS</t>
        </r>
      </text>
    </comment>
    <comment ref="P9320" authorId="0" shapeId="0" xr:uid="{BA3391A6-0ACF-4313-B423-7088D86FEACE}">
      <text>
        <r>
          <rPr>
            <sz val="9"/>
            <color indexed="81"/>
            <rFont val="Tahoma"/>
            <family val="2"/>
          </rPr>
          <t>PRUDENCE LUCKINS_x000D_
http://yeinfo.com/family/I09024561.html_x000D_
https://www.google.com/search?q=PRUDENCE+LUCKINS+1554+1579+NEWCOMB_x000D_
.born: 1554    -          Waltham Abbey (Essex) England_x000D_
.died: 1579    -1644      Devon county England, age:25y 0m 0d, _x000D_
.bapt: 1785GE_x000D_
.will: 2004MO_x000D_
.obit: 1890OH_x000D_
.bury: 1850IL _x000D_
.wpbt: 1826PA_x000D_
.anc#:ancestor_x000D_
citiz:foreign_x000D_
#spos:1_x000D_
#srcs:1_x000D_
#comment:0_x000D_
#events:1_x000D_
#kids:1_x000D_
lived:ENDEVON,ENESSEXWALTHAA,ENHERTF_x000D_
issue:_x000D_
.recs:Birth,Marriage,Death_x000D_
.imm?:no_x000D_
..Spo:THOMAS NEWCOMB</t>
        </r>
      </text>
    </comment>
    <comment ref="R9322" authorId="0" shapeId="0" xr:uid="{6744EA56-5C02-4BE0-A88B-20C2BF5628D6}">
      <text>
        <r>
          <rPr>
            <sz val="9"/>
            <color indexed="81"/>
            <rFont val="Tahoma"/>
            <family val="2"/>
          </rPr>
          <t>JOHN PECHE_x000D_
http://yeinfo.com/family/I09065661.html_x000D_
https://www.google.com/search?q=JOHN+PECHE+1500+1530+ALICE_x000D_
.born: 1500    -          Cambridgeshire county England_x000D_
.died: 1530    -          England, age:30y 0m 0d, _x000D_
.bapt: 1785GE_x000D_
.will: 2004MO_x000D_
.obit: 1890OH_x000D_
.bury: 1850IL _x000D_
.wpbt: 1826PA_x000D_
.anc#:ancestor_x000D_
citiz:foreign_x000D_
#spos:1_x000D_
#srcs:3_x000D_
#comment:0_x000D_
#events:1_x000D_
#kids:1_x000D_
lived:ENCAMBS_x000D_
issue:_x000D_
.recs:Birth,Marriage,Death_x000D_
.imm?:no_x000D_
..Spo:ALICE PECHE</t>
        </r>
      </text>
    </comment>
    <comment ref="Q9324" authorId="0" shapeId="0" xr:uid="{D3F6B3C8-4743-4BBB-AC02-AE1CEEE63DDB}">
      <text>
        <r>
          <rPr>
            <sz val="9"/>
            <color indexed="81"/>
            <rFont val="Tahoma"/>
            <family val="2"/>
          </rPr>
          <t>ALICE PECHE_x000D_
http://yeinfo.com/family/I09049123.html_x000D_
https://www.google.com/search?q=ALICE+PECHE+1527+1621+LUCKINS_x000D_
.born: 1527    -          Isleham (Cambridgeshire) England_x000D_
.died: 1621    -          Isleham (Cambridgeshire) England, age:94y 0m 0d, _x000D_
.bapt: 1785GE_x000D_
.will: 2004MO_x000D_
.obit: 1890OH_x000D_
.bury: 1850IL _x000D_
.wpbt: 1826PA_x000D_
.anc#:ancestor_x000D_
citiz:foreign_x000D_
#spos:1_x000D_
#srcs:3_x000D_
#comment:0_x000D_
#events:1_x000D_
#kids:1_x000D_
lived:ENCAMBSCAMBRID,ENCAMBSISLEHAM_x000D_
issue:_x000D_
.recs:Birth,Marriage,Death_x000D_
.imm?:no_x000D_
..Spo:ROBERT LUCKINS</t>
        </r>
      </text>
    </comment>
    <comment ref="R9326" authorId="0" shapeId="0" xr:uid="{13875499-7F33-4DB5-9848-107B2CC969E6}">
      <text>
        <r>
          <rPr>
            <sz val="9"/>
            <color indexed="81"/>
            <rFont val="Tahoma"/>
            <family val="2"/>
          </rPr>
          <t>Mrs. ALICE PECHE_x000D_
http://yeinfo.com/family/I09065660.html_x000D_
https://www.google.com/search?q=ALICE+PECHE+1502+1572+PECHE_x000D_
.born: 1502    -          England_x000D_
.died: 1572    -          England, age:70y 0m 0d, _x000D_
.bapt: 1785GE_x000D_
.will: 2004MO_x000D_
.obit: 1890OH_x000D_
.bury: 1850IL _x000D_
.wpbt: 1826PA_x000D_
.anc#:ancestor_x000D_
citiz:foreign_x000D_
#spos:1_x000D_
#srcs:3_x000D_
#comment:0_x000D_
#events:1_x000D_
#kids:1_x000D_
lived:EN_x000D_
issue:_x000D_
.recs:Birth,Marriage,Death_x000D_
.imm?:no_x000D_
..Spo:JOHN PECHE</t>
        </r>
      </text>
    </comment>
    <comment ref="N9328" authorId="0" shapeId="0" xr:uid="{3CD6126A-B286-4DEF-9EEE-D4C4968A80AC}">
      <text>
        <r>
          <rPr>
            <sz val="9"/>
            <color indexed="81"/>
            <rFont val="Tahoma"/>
            <family val="2"/>
          </rPr>
          <t>FRANCIS NEWCOMB_x000D_
http://yeinfo.com/family/I09006140.html_x000D_
https://www.google.com/search?q=FRANCIS+NEWCOMB+1605+1692+RACHEL\ALICE_x000D_
.born: 1605    -          Saint Albans (Hertfordshire) England_x000D_
.died: 16920527-          Braintree (Norfolk) Massachusetts, age:87y 4m 26d, _x000D_
.bapt: 1785GE_x000D_
.will: 2004MO_x000D_
.obit: 1890OH_x000D_
.bury: 1850IL _x000D_
.wpbt: 1826PA_x000D_
.anc#:ancestor_x000D_
citiz:immigrant_x000D_
#spos:1_x000D_
#srcs:2_x000D_
#comment:1_x000D_
#events:1_x000D_
#kids:1_x000D_
lived:ENHERTFST.ALBA,ENSUFFOSUDBURY,MANORFOBRAINTR_x000D_
issue:_x000D_
.recs:Birth,Marriage,Death_x000D_
.imm?:immigrant_x000D_
..Spo:RACHEL\ALICE BRACKET</t>
        </r>
      </text>
    </comment>
    <comment ref="O9330" authorId="0" shapeId="0" xr:uid="{7C3AAF89-CBC4-4710-94DD-205635D26CCE}">
      <text>
        <r>
          <rPr>
            <sz val="9"/>
            <color indexed="81"/>
            <rFont val="Tahoma"/>
            <family val="2"/>
          </rPr>
          <t>Mrs. RACHEL NEWCOMB_x000D_
http://yeinfo.com/family/I09012281.html_x000D_
https://www.google.com/search?q=RACHEL+NEWCOMB+1579+1605+NEWCOMB_x000D_
.born: 1579    -          Hertfordshire county England_x000D_
.died: 16050527-          Saint Albans (Hertfordshire) England, age:26y 4m 26d, _x000D_
.bapt: 1785GE_x000D_
.will: 2004MO_x000D_
.obit: 1890OH_x000D_
.bury: 1850IL _x000D_
.wpbt: 1826PA_x000D_
.anc#:ancestor_x000D_
citiz:foreign_x000D_
#spos:1_x000D_
#srcs:3_x000D_
#comment:0_x000D_
#events:1_x000D_
#kids:1_x000D_
lived:ENHERTFST.ALBA_x000D_
issue:_x000D_
.recs:Birth,Marriage,Death_x000D_
.imm?:no_x000D_
..Spo:SAMUEL NEWCOMB</t>
        </r>
      </text>
    </comment>
    <comment ref="M9332" authorId="0" shapeId="0" xr:uid="{6F87A89F-617B-4AEE-A997-5FA7C8AD907A}">
      <text>
        <r>
          <rPr>
            <sz val="9"/>
            <color indexed="81"/>
            <rFont val="Tahoma"/>
            <family val="2"/>
          </rPr>
          <t>PETER NEWCOMB_x000D_
http://yeinfo.com/family/I09003070.html_x000D_
https://www.google.com/search?q=PETER+NEWCOMB+1648+1725+SUSANNA_x000D_
.born: 16480516-          Braintree (Norfolk) Massachusetts_x000D_
.died: 17250520-          Braintree (Norfolk) Massachusetts, age:77y 0m 4d, _x000D_
.bapt: 1785GE_x000D_
.will: 2004MO_x000D_
.obit: 1890OH_x000D_
.bury: 1850IL _x000D_
.wpbt: 1826PA_x000D_
.anc#:ancestor_x000D_
citiz:US born_x000D_
#spos:1_x000D_
#srcs:2_x000D_
#comment:0_x000D_
#events:1_x000D_
#kids:1_x000D_
lived:MANORFOBRAINTR_x000D_
issue:_x000D_
.recs:Birth,Marriage,Death_x000D_
.imm?:no_x000D_
..Spo:SUSANNA CUTTING</t>
        </r>
      </text>
    </comment>
    <comment ref="N9334" authorId="0" shapeId="0" xr:uid="{F728E5ED-6142-4802-B9AD-EAC7E876BE80}">
      <text>
        <r>
          <rPr>
            <sz val="9"/>
            <color indexed="81"/>
            <rFont val="Tahoma"/>
            <family val="2"/>
          </rPr>
          <t>RACHEL\ALICE BRACKET_x000D_
http://yeinfo.com/family/I09006141.html_x000D_
https://www.google.com/search?q=RACHEL\ALICE+BRACKET+1610+1648+NEWCOMB_x000D_
.born:?1610    -         ?England_x000D_
.died: 1648    -1700     ?Braintree (Norfolk) Massachusetts, age:38y 0m 0d, _x000D_
.bapt: 1785GE_x000D_
.will: 2004MO_x000D_
.obit: 1890OH_x000D_
.bury: 1850IL _x000D_
.wpbt: 1826PA_x000D_
.anc#:ancestor_x000D_
citiz:immigrant_x000D_
#spos:1_x000D_
#srcs:2_x000D_
#comment:1_x000D_
#events:1_x000D_
#kids:1_x000D_
lived:?EN,?MANORFOBRAINTR,ENSUFFOSUDBURY_x000D_
issue:_x000D_
.recs:Birth,Marriage,Death_x000D_
.imm?:immigrant_x000D_
..Spo:FRANCIS NEWCOMB</t>
        </r>
      </text>
    </comment>
    <comment ref="L9336" authorId="0" shapeId="0" xr:uid="{B83D4EBA-06AB-4437-BC05-E6D23F9663D1}">
      <text>
        <r>
          <rPr>
            <sz val="9"/>
            <color indexed="81"/>
            <rFont val="Tahoma"/>
            <family val="2"/>
          </rPr>
          <t>RACHEL NEWCOMB_x000D_
http://yeinfo.com/family/I09001535.html_x000D_
https://www.google.com/search?q=RACHEL+NEWCOMB+1678+1747+EVERARD_x000D_
.born: 16780505-          Braintree (Norfolk) Massachusetts_x000D_
.died: 17471208-          Dedham (Norfolk) Massachusetts, age:69y 7m 3d, _x000D_
.bapt: 1785GE_x000D_
.will: 2004MO_x000D_
.obit: 1890OH_x000D_
.bury: 1850IL _x000D_
.wpbt: 1826PA_x000D_
.anc#:ancestor_x000D_
citiz:US born_x000D_
#spos:1_x000D_
#srcs:2_x000D_
#comment:0_x000D_
#events:1_x000D_
#kids:1_x000D_
lived:MANORFOBRAINTR,MANORFODEDHAM_x000D_
issue:_x000D_
.recs:Birth,Marriage,Death_x000D_
.imm?:no_x000D_
..Spo:WILLIAM EVERARD</t>
        </r>
      </text>
    </comment>
    <comment ref="N9338" authorId="0" shapeId="0" xr:uid="{AF6B2B52-99AF-4268-9269-B00FCD01BD27}">
      <text>
        <r>
          <rPr>
            <sz val="9"/>
            <color indexed="81"/>
            <rFont val="Tahoma"/>
            <family val="2"/>
          </rPr>
          <t>RICHARD CUTTING Jr._x000D_
http://yeinfo.com/family/I09006142.html_x000D_
https://www.google.com/search?q=RICHARD+CUTTING+1621+1696+SARAH_x000D_
.born: 16210206-          Bromley (Kent) England_x000D_
.died: 16960321-          Waterton (Middlesex) Massachusetts, age:75y 1m 15d, _x000D_
.bapt: 1785GE_x000D_
.will: 2004MO_x000D_
.obit: 1890OH_x000D_
.bury: 1850IL _x000D_
.wpbt: 1826PA_x000D_
.anc#:ancestor_x000D_
citiz:immigrant_x000D_
#spos:1_x000D_
#srcs:2_x000D_
#comment:1_x000D_
#events:1_x000D_
#kids:1_x000D_
lived:ENKENT BROMLEY,MAMIDDLWATERTO_x000D_
issue:_x000D_
.recs:Birth,Marriage,Death_x000D_
.imm?:immigrant_x000D_
..Spo:SARAH STONE</t>
        </r>
      </text>
    </comment>
    <comment ref="M9340" authorId="0" shapeId="0" xr:uid="{77753178-BEFB-4B4C-9E9E-CF84D2551E60}">
      <text>
        <r>
          <rPr>
            <sz val="9"/>
            <color indexed="81"/>
            <rFont val="Tahoma"/>
            <family val="2"/>
          </rPr>
          <t>SUSANNA CUTTING_x000D_
http://yeinfo.com/family/I09003071.html_x000D_
https://www.google.com/search?q=SUSANNA+CUTTING+1648+1700+NEWCOMB_x000D_
.born: 1648    -          Norfolk county Massachusetts_x000D_
.died: 17000427-          Norfolk county Massachusetts, age:52y 3m 26d, _x000D_
.bapt: 1785GE_x000D_
.will: 2004MO_x000D_
.obit: 1890OH_x000D_
.bury: 1850IL _x000D_
.wpbt: 1826PA_x000D_
.anc#:ancestor_x000D_
citiz:US born_x000D_
#spos:1_x000D_
#srcs:2_x000D_
#comment:0_x000D_
#events:1_x000D_
#kids:1_x000D_
lived:MANORFOBRAINTR_x000D_
issue:_x000D_
.recs:Birth,Marriage,Death_x000D_
.imm?:no_x000D_
..Spo:PETER NEWCOMB</t>
        </r>
      </text>
    </comment>
    <comment ref="N9342" authorId="0" shapeId="0" xr:uid="{89D7B064-7735-45C1-BB4A-972AA8F0F3C8}">
      <text>
        <r>
          <rPr>
            <sz val="9"/>
            <color indexed="81"/>
            <rFont val="Tahoma"/>
            <family val="2"/>
          </rPr>
          <t>SARAH STONE_x000D_
http://yeinfo.com/family/I09006143.html_x000D_
https://www.google.com/search?q=SARAH+STONE+1621+1685+CUTTING_x000D_
.born: 162101  -          Kent county England_x000D_
.died: 16851104-          Waterton (Middlesex) Massachusetts, age:64y 10m 3d, _x000D_
.bapt: 1785GE_x000D_
.will: 2004MO_x000D_
.obit: 1890OH_x000D_
.bury: 1850IL _x000D_
.wpbt: 1826PA_x000D_
.anc#:ancestor_x000D_
citiz:immigrant_x000D_
#spos:1_x000D_
#srcs:2_x000D_
#comment:1_x000D_
#events:1_x000D_
#kids:1_x000D_
lived:ENKENT,MAMIDDLWATERTO_x000D_
issue:_x000D_
.recs:Birth,Marriage,Death_x000D_
.imm?:immigrant_x000D_
..Spo:RICHARD CUTTING</t>
        </r>
      </text>
    </comment>
    <comment ref="B9344" authorId="0" shapeId="0" xr:uid="{E3F593CF-BD43-40D8-B939-0CE66AA2D4C2}">
      <text>
        <r>
          <rPr>
            <sz val="9"/>
            <color indexed="81"/>
            <rFont val="Tahoma"/>
            <family val="2"/>
          </rPr>
          <t>Lawrence Matthew WILSON_x000D_
http://yeinfo.com/family/N09000001.html_x000D_
https://www.google.com/search?q=Lawrence+Matthew+WILSON+1954+Linda+Doreen_x000D_
.born: 19540918-          Memphis (Shelby) Tennessee_x000D_
.died: , age:, _x000D_
.bapt: 1785GE_x000D_
.will: 2004MO_x000D_
.obit: 1890OH_x000D_
.bury: 1850IL _x000D_
.wpbt: 1826PA_x000D_
.anc#:_x000D_
citiz:US born_x000D_
#spos:1_x000D_
#srcs:7_x000D_
#comment:2_x000D_
#events:77_x000D_
#kids:0_x000D_
lived:ARSEBASFT SMIT,KSJOHNNLEAWOOD,KSJOHNNMISSION,KSJOHNNOVERLAN,KSSHAWNTOPEKA,MASUFFOBOSTON,MOBUCHAST JOSE,MOCLAY EXCELSI,MOCLAY GLADSTO,MOCLAY LIBERTY,MOJACKSBLUE SP,MOJACKSKANSASC,MOST.LOST.LOUI,TNMADISJACKSON,TNSHELBMEMPHIS_x000D_
issue:AncFlags between Spouses Mismatched_x000D_
.recs:Birth,Baptism,Grade School,High School,College,Military,Marriage,Divorce,Job/Occupation,Will Inclusion,Will Written,Church,Image_x000D_
.imm?:no_x000D_
..Spo:Linda Doreen Griffin</t>
        </r>
      </text>
    </comment>
    <comment ref="P9346" authorId="0" shapeId="0" xr:uid="{F290F96E-59F0-4C81-B2AD-4E5CD783C3E5}">
      <text>
        <r>
          <rPr>
            <sz val="9"/>
            <color indexed="81"/>
            <rFont val="Tahoma"/>
            <family val="2"/>
          </rPr>
          <t>THOMAS DEATON_x000D_
http://yeinfo.com/family/I09024576.html_x000D_
https://www.google.com/search?q=THOMAS+DEATON+1475+1501+{_?_}_x000D_
.born: 1475    -          England_x000D_
.died: 1501    -1565      England, age:26y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..Spo:{_?_} DEATON</t>
        </r>
      </text>
    </comment>
    <comment ref="O9348" authorId="0" shapeId="0" xr:uid="{BC69A3F3-8262-406A-B696-F9982A94D904}">
      <text>
        <r>
          <rPr>
            <sz val="9"/>
            <color indexed="81"/>
            <rFont val="Tahoma"/>
            <family val="2"/>
          </rPr>
          <t>RICHARD DEATON_x000D_
http://yeinfo.com/family/I09012288.html_x000D_
https://www.google.com/search?q=RICHARD+DEATON+1501+1525+JOYCE_x000D_
.born: 1501    -          England_x000D_
.died: 1525    -1591      England, age:24y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..Spo:JOYCE NORTH</t>
        </r>
      </text>
    </comment>
    <comment ref="P9350" authorId="0" shapeId="0" xr:uid="{F2EAFC0C-C77C-47D9-ABA5-19ADCB9273BC}">
      <text>
        <r>
          <rPr>
            <sz val="9"/>
            <color indexed="81"/>
            <rFont val="Tahoma"/>
            <family val="2"/>
          </rPr>
          <t>Mrs. {_?_} DEATON_x000D_
http://yeinfo.com/family/I09024577.html_x000D_
https://www.google.com/search?q={_?_}+DEATON+1475+1501+DEATON_x000D_
.born:?1475    -          England_x000D_
.died: 1501    -1565      England, age:26y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..Spo:THOMAS DEATON</t>
        </r>
      </text>
    </comment>
    <comment ref="N9352" authorId="0" shapeId="0" xr:uid="{662613FB-CE32-4980-9010-5332FFAC3D9D}">
      <text>
        <r>
          <rPr>
            <sz val="9"/>
            <color indexed="81"/>
            <rFont val="Tahoma"/>
            <family val="2"/>
          </rPr>
          <t>HENRY DEATON_x000D_
http://yeinfo.com/family/I09006144.html_x000D_
https://www.google.com/search?q=HENRY+DEATON+1525+1581+ANNE_x000D_
.born: 1525    -          England_x000D_
.died: 1581    -          England, age:56y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..Spo:ANNE MOULE</t>
        </r>
      </text>
    </comment>
    <comment ref="O9354" authorId="0" shapeId="0" xr:uid="{D7884CFB-A2C9-47ED-815B-2C255922B532}">
      <text>
        <r>
          <rPr>
            <sz val="9"/>
            <color indexed="81"/>
            <rFont val="Tahoma"/>
            <family val="2"/>
          </rPr>
          <t>JOYCE NORTH_x000D_
http://yeinfo.com/family/I09012289.html_x000D_
https://www.google.com/search?q=JOYCE+NORTH+1503+1525+DEATON_x000D_
.born: 1503    -          Lincoln (Lincolnshire) England_x000D_
.died: 1525    -1593      England, age:22y 0m 0d, _x000D_
.bapt: 1785GE_x000D_
.will: 2004MO_x000D_
.obit: 1890OH_x000D_
.bury: 1850IL _x000D_
.wpbt: 1826PA_x000D_
.anc#:ancestor_x000D_
citiz:foreign_x000D_
#spos:1_x000D_
#srcs:1_x000D_
#comment:0_x000D_
#events:1_x000D_
#kids:1_x000D_
lived:ENLINCSLINCOLN_x000D_
issue:_x000D_
.recs:Birth,Marriage,Death_x000D_
.imm?:no_x000D_
..Spo:RICHARD DEATON</t>
        </r>
      </text>
    </comment>
    <comment ref="M9356" authorId="0" shapeId="0" xr:uid="{3B53C59B-7FC0-40ED-ADAB-8A1889A6FCFE}">
      <text>
        <r>
          <rPr>
            <sz val="9"/>
            <color indexed="81"/>
            <rFont val="Tahoma"/>
            <family val="2"/>
          </rPr>
          <t>WILLIAM\ROBERT DEATON_x000D_
http://yeinfo.com/family/I09003072.html_x000D_
https://www.google.com/search?q=WILLIAM\ROBERT+DEATON+1546+1616+ANGELET_x000D_
.born: 1546    -          London (Middlesex) England_x000D_
.died: 1616    -          England, age:70y 0m 0d, _x000D_
.bapt: 1785GE_x000D_
.will: 2004MO_x000D_
.obit: 1890OH_x000D_
.bury: 1850IL _x000D_
.wpbt: 1826PA_x000D_
.anc#:ancestor_x000D_
citiz:foreign_x000D_
#spos:1_x000D_
#srcs:1_x000D_
#comment:0_x000D_
#events:2_x000D_
#kids:1_x000D_
lived:ENMIDDLLONDON_x000D_
issue:Married before Age 16,Spouse Age more than 30-Year Difference_x000D_
.recs:Birth,Marriage,Death_x000D_
.imm?:no_x000D_
..Spo:ANGELET TOOKE</t>
        </r>
      </text>
    </comment>
    <comment ref="N9358" authorId="0" shapeId="0" xr:uid="{7CB74DA9-5EF1-4574-8108-B250B67D5E22}">
      <text>
        <r>
          <rPr>
            <sz val="9"/>
            <color indexed="81"/>
            <rFont val="Tahoma"/>
            <family val="2"/>
          </rPr>
          <t>ANNE MOULE_x000D_
http://yeinfo.com/family/I09006145.html_x000D_
https://www.google.com/search?q=ANNE+MOULE+1530+1550+DEATON_x000D_
.born: 1530    -          Lincoln (Lincolnshire) England_x000D_
.died: 1550    -1620     ?England, age:20y 0m 0d, _x000D_
.bapt: 1785GE_x000D_
.will: 2004MO_x000D_
.obit: 1890OH_x000D_
.bury: 1850IL _x000D_
.wpbt: 1826PA_x000D_
.anc#:ancestor_x000D_
citiz:foreign_x000D_
#spos:1_x000D_
#srcs:1_x000D_
#comment:0_x000D_
#events:1_x000D_
#kids:1_x000D_
lived:ENLINCSLINCOLN_x000D_
issue:Died after Age 100_x000D_
.recs:Birth,Marriage,Death_x000D_
.imm?:no_x000D_
..Spo:HENRY DEATON</t>
        </r>
      </text>
    </comment>
    <comment ref="L9360" authorId="0" shapeId="0" xr:uid="{A5AB584C-2946-425B-8134-114CB212023B}">
      <text>
        <r>
          <rPr>
            <sz val="9"/>
            <color indexed="81"/>
            <rFont val="Tahoma"/>
            <family val="2"/>
          </rPr>
          <t>WILLIAM DEATON II_x000D_
http://yeinfo.com/family/I09001536.html_x000D_
https://www.google.com/search?q=WILLIAM+DEATON+1606+1712+ELIZABETH_x000D_
.born:?1606    -          Owmby (Lincolnshire) England_x000D_
.died:?1712    -          Virginia, age:106y 0m 0d, _x000D_
.bapt: 1785GE_x000D_
.will: 2004MO_x000D_
.obit: 1890OH_x000D_
.bury: 1850IL _x000D_
.wpbt: 1826PA_x000D_
.anc#:ancestor_x000D_
citiz:immigrant_x000D_
#spos:1_x000D_
#srcs:1_x000D_
#comment:0_x000D_
#events:1_x000D_
#kids:1_x000D_
lived:ENLINCSOWMBY,VA_x000D_
issue:Born before Parents Married,Married after Age 60_x000D_
.recs:Birth,Marriage,Death_x000D_
.imm?:immigrant_x000D_
..Spo:ELIZABETH TRUITT</t>
        </r>
      </text>
    </comment>
    <comment ref="O9362" authorId="0" shapeId="0" xr:uid="{46BF2046-0718-403B-8C0C-23D0EDDA49C3}">
      <text>
        <r>
          <rPr>
            <sz val="9"/>
            <color indexed="81"/>
            <rFont val="Tahoma"/>
            <family val="2"/>
          </rPr>
          <t>TRISTRAM TOOKE_x000D_
http://yeinfo.com/family/I09012292.html_x000D_
https://www.google.com/search?q=TRISTRAM+TOOKE+1520+1545+ANN_x000D_
.born:?1520    -          England_x000D_
.died: 1545    -1610      England, age:25y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..Spo:ANN TUCK</t>
        </r>
      </text>
    </comment>
    <comment ref="N9364" authorId="0" shapeId="0" xr:uid="{536C7CED-EEA5-4A4D-9ACE-CC86660849C6}">
      <text>
        <r>
          <rPr>
            <sz val="9"/>
            <color indexed="81"/>
            <rFont val="Tahoma"/>
            <family val="2"/>
          </rPr>
          <t>JOSEPH TOOKE_x000D_
http://yeinfo.com/family/I09006146.html_x000D_
https://www.google.com/search?q=JOSEPH+TOOKE+1545+1584+ALICE_x000D_
.born: 1545    -          London (Middlesex) England_x000D_
.died: 1584    -1635      London (Middlesex) England, age:39y 0m 0d, _x000D_
.bapt: 1785GE_x000D_
.will: 2004MO_x000D_
.obit: 1890OH_x000D_
.bury: 1850IL _x000D_
.wpbt: 1826PA_x000D_
.anc#:ancestor_x000D_
citiz:foreign_x000D_
#spos:1_x000D_
#srcs:2_x000D_
#comment:0_x000D_
#events:1_x000D_
#kids:1_x000D_
lived:ENMIDDLLONDON_x000D_
issue:_x000D_
.recs:Birth,Marriage,Death_x000D_
.imm?:no_x000D_
..Spo:ALICE HICKMAN</t>
        </r>
      </text>
    </comment>
    <comment ref="O9366" authorId="0" shapeId="0" xr:uid="{11B48ECF-BA17-4793-AB27-B14EB1DFB0B8}">
      <text>
        <r>
          <rPr>
            <sz val="9"/>
            <color indexed="81"/>
            <rFont val="Tahoma"/>
            <family val="2"/>
          </rPr>
          <t>ANN TUCK_x000D_
http://yeinfo.com/family/I09012293.html_x000D_
https://www.google.com/search?q=ANN+TUCK+1520+1545+TOOKE_x000D_
.born:?1520    -          England_x000D_
.died: 1545    -1610      England, age:25y 0m 0d, _x000D_
.bapt: 1785GE_x000D_
.will: 2004MO_x000D_
.obit: 1890OH_x000D_
.bury: 1850IL _x000D_
.wpbt: 1826PA_x000D_
.anc#:ancestor_x000D_
citiz:foreign_x000D_
#spos:1_x000D_
#srcs:1_x000D_
#comment:0_x000D_
#events:1_x000D_
#kids:1_x000D_
lived:EN_x000D_
issue:_x000D_
.recs:Birth,Marriage,Death_x000D_
.imm?:no_x000D_
..Spo:TRISTRAM TOOKE</t>
        </r>
      </text>
    </comment>
    <comment ref="M9368" authorId="0" shapeId="0" xr:uid="{D3057881-22B2-491A-A750-1667D8792971}">
      <text>
        <r>
          <rPr>
            <sz val="9"/>
            <color indexed="81"/>
            <rFont val="Tahoma"/>
            <family val="2"/>
          </rPr>
          <t>ANGELET TOOKE_x000D_
http://yeinfo.com/family/I09003073.html_x000D_
https://www.google.com/search?q=ANGELET+TOOKE+1584+1616+DEATON_x000D_
.born: 1584    -          London (Middlesex) England_x000D_
.died: 1616    -          London (Middlesex) England, age:32y 0m 0d, _x000D_
.bapt: 1785GE_x000D_
.will: 2004MO_x000D_
.obit: 1890OH_x000D_
.bury: 1850IL _x000D_
.wpbt: 1826PA_x000D_
.anc#:ancestor_x000D_
citiz:foreign_x000D_
#spos:1_x000D_
#srcs:1_x000D_
#comment:0_x000D_
#events:1_x000D_
#kids:1_x000D_
lived:ENMIDDLLONDON_x000D_
issue:Spouse Age more than 30-Year Difference_x000D_
.recs:Birth,Marriage,Death_x000D_
.imm?:no_x000D_
..Spo:WILLIAM\ROBERT DEATON</t>
        </r>
      </text>
    </comment>
    <comment ref="N9370" authorId="0" shapeId="0" xr:uid="{A38A5DC5-3B7C-43EA-8211-B895113BE807}">
      <text>
        <r>
          <rPr>
            <sz val="9"/>
            <color indexed="81"/>
            <rFont val="Tahoma"/>
            <family val="2"/>
          </rPr>
          <t>ALICE HICKMAN_x000D_
http://yeinfo.com/family/I09006147.html_x000D_
https://www.google.com/search?q=ALICE+HICKMAN+1560+1584+TOOKE_x000D_
.born: 1560    -          London (Middlesex) England_x000D_
.died: 1584    -1650     ?England, age:24y 0m 0d, _x000D_
.bapt: 1785GE_x000D_
.will: 2004MO_x000D_
.obit: 1890OH_x000D_
.bury: 1850IL _x000D_
.wpbt: 1826PA_x000D_
.anc#:ancestor_x000D_
citiz:foreign_x000D_
#spos:1_x000D_
#srcs:2_x000D_
#comment:0_x000D_
#events:1_x000D_
#kids:1_x000D_
lived:ENMIDDLLONDON_x000D_
issue:_x000D_
.recs:Birth,Marriage,Death_x000D_
.imm?:no_x000D_
..Spo:JOSEPH TOOKE</t>
        </r>
      </text>
    </comment>
    <comment ref="K9372" authorId="0" shapeId="0" xr:uid="{53A4E0AE-002C-4850-9660-7E324DA36086}">
      <text>
        <r>
          <rPr>
            <sz val="9"/>
            <color indexed="81"/>
            <rFont val="Tahoma"/>
            <family val="2"/>
          </rPr>
          <t>THOMAS ELIJAH DEATON Sr._x000D_
http://yeinfo.com/family/I09000768.html_x000D_
https://www.google.com/search?q=THOMAS+ELIJAH+DEATON+1679+1761+MARY_x000D_
.born: 1679    -         ?England_x000D_
.died: 1761    -          , age:82y 0m 0d, _x000D_
.bapt: 1785GE_x000D_
.will: 2004MO_x000D_
.obit: 1890OH_x000D_
.bury: 1850IL _x000D_
.wpbt: 1826PA_x000D_
.anc#:ancestor_x000D_
citiz:US born_x000D_
#spos:1_x000D_
#srcs:4_x000D_
#comment:0_x000D_
#events:7_x000D_
#kids:9_x000D_
lived:?EN,VAAMELI,VAHENRI_x000D_
issue:Born after Dad Age 60_x000D_
.recs:Birth,Death,Gov't Court,Immigrate_x000D_
.imm?:no_x000D_
..Spo:MARY CORRINGTON</t>
        </r>
      </text>
    </comment>
    <comment ref="L9374" authorId="0" shapeId="0" xr:uid="{ABC2C3E5-3CA2-46EE-A7B9-E65CE7F3CFF9}">
      <text>
        <r>
          <rPr>
            <sz val="9"/>
            <color indexed="81"/>
            <rFont val="Tahoma"/>
            <family val="2"/>
          </rPr>
          <t>ELIZABETH TRUITT_x000D_
http://yeinfo.com/family/I09001537.html_x000D_
https://www.google.com/search?q=ELIZABETH+TRUITT+1632+1712+DEATON_x000D_
.born: 16321118-          England_x000D_
.died: 1712    -          Virginia, age:79y 1m 14d, _x000D_
.bapt: 1785GE_x000D_
.will: 2004MO_x000D_
.obit: 1890OH_x000D_
.bury: 1850IL _x000D_
.wpbt: 1826PA_x000D_
.anc#:ancestor_x000D_
citiz:immigrant_x000D_
#spos:1_x000D_
#srcs:1_x000D_
#comment:0_x000D_
#events:1_x000D_
#kids:1_x000D_
lived:EN,VA_x000D_
issue:_x000D_
.recs:Birth,Marriage,Death_x000D_
.imm?:immigrant_x000D_
..Spo:WILLIAM DEATON</t>
        </r>
      </text>
    </comment>
    <comment ref="J9376" authorId="0" shapeId="0" xr:uid="{CACE97EA-1617-48E4-9925-D733D66185CF}">
      <text>
        <r>
          <rPr>
            <sz val="9"/>
            <color indexed="81"/>
            <rFont val="Tahoma"/>
            <family val="2"/>
          </rPr>
          <t>THOMAS ELIJAH DEATON Jr._x000D_
http://yeinfo.com/family/I09000384.html_x000D_
https://www.google.com/search?q=THOMAS+ELIJAH+DEATON+1710+1779+MARY_x000D_
.born: 1710    -          Henrico county Virginia_x000D_
.died: 1779    -         ?Anson county North Carolina, age:69y 0m 0d, _x000D_
.bapt: 1785GE_x000D_
.will: 2004MO_x000D_
.obit: 1890OH_x000D_
.bury: 1850IL _x000D_
.wpbt: 1826PA_x000D_
.anc#:ancestor_x000D_
citiz:US born_x000D_
#spos:1_x000D_
#srcs:4_x000D_
#comment:1_x000D_
#events:4_x000D_
#kids:6_x000D_
lived:?NCANSON,?VADANVIDANVILL,NCMONTG,VAHENRI_x000D_
issue:_x000D_
.recs:Birth,Marriage,Death,Land Transaction_x000D_
.imm?:no_x000D_
..Spo:MARY GIBBS</t>
        </r>
      </text>
    </comment>
    <comment ref="L9378" authorId="0" shapeId="0" xr:uid="{D85AD474-2183-4BA6-913A-496AE607FBD4}">
      <text>
        <r>
          <rPr>
            <sz val="9"/>
            <color indexed="81"/>
            <rFont val="Tahoma"/>
            <family val="2"/>
          </rPr>
          <t>THOMAS CORRINGTON_x000D_
http://yeinfo.com/family/I09001538.html_x000D_
https://www.google.com/search?q=THOMAS+CORRINGTON+1660+1680+JANE_x000D_
.born:c1660    -          England_x000D_
.died: 1680    -1750      , age:20y 0m 0d, _x000D_
.bapt: 1785GE_x000D_
.will: 2004MO_x000D_
.obit: 1890OH_x000D_
.bury: 1850IL _x000D_
.wpbt: 1826PA_x000D_
.anc#:ancestor_x000D_
citiz:US born_x000D_
#spos:1_x000D_
#srcs:1_x000D_
#comment:0_x000D_
#events:1_x000D_
#kids:1_x000D_
lived:EN_x000D_
issue:Died after Age 100_x000D_
.recs:Birth,Marriage,Death_x000D_
.imm?:no_x000D_
..Spo:JANE ATKINSON</t>
        </r>
      </text>
    </comment>
    <comment ref="K9380" authorId="0" shapeId="0" xr:uid="{B7D56F24-75B4-4FBE-8CB9-5F2F81E522E6}">
      <text>
        <r>
          <rPr>
            <sz val="9"/>
            <color indexed="81"/>
            <rFont val="Tahoma"/>
            <family val="2"/>
          </rPr>
          <t>MARY CORRINGTON_x000D_
http://yeinfo.com/family/I09000769.html_x000D_
https://www.google.com/search?q=MARY+CORRINGTON+1680+1753+DEATON_x000D_
.born:?1680    -         ?England_x000D_
.died: 1753    -          , age:73y 0m 0d, _x000D_
.bapt: 1785GE_x000D_
.will: 2004MO_x000D_
.obit: 1890OH_x000D_
.bury: 1850IL Bermuda Memorial Park_x000D_
.wpbt: 1826PA_x000D_
.anc#:ancestor_x000D_
citiz:US born_x000D_
#spos:1_x000D_
#srcs:6_x000D_
#comment:0_x000D_
#events:3_x000D_
#kids:9_x000D_
lived:?EN,VACHESFENON_x000D_
issue:_x000D_
.recs:Birth,Death,Immigrate_x000D_
.imm?:no_x000D_
..Spo:THOMAS ELIJAH DEATON</t>
        </r>
      </text>
    </comment>
    <comment ref="L9382" authorId="0" shapeId="0" xr:uid="{91270DFA-03CB-4752-97F7-B929A760FCA7}">
      <text>
        <r>
          <rPr>
            <sz val="9"/>
            <color indexed="81"/>
            <rFont val="Tahoma"/>
            <family val="2"/>
          </rPr>
          <t>JANE ATKINSON_x000D_
http://yeinfo.com/family/I09001539.html_x000D_
https://www.google.com/search?q=JANE+ATKINSON+1660+1680+CORRINGTON_x000D_
.born:c1660    -          England_x000D_
.died: 1680    -1750      , age:20y 0m 0d, _x000D_
.bapt: 1785GE_x000D_
.will: 2004MO_x000D_
.obit: 1890OH_x000D_
.bury: 1850IL _x000D_
.wpbt: 1826PA_x000D_
.anc#:ancestor_x000D_
citiz:US born_x000D_
#spos:1_x000D_
#srcs:1_x000D_
#comment:0_x000D_
#events:1_x000D_
#kids:1_x000D_
lived:EN_x000D_
issue:Died after Age 100_x000D_
.recs:Birth,Marriage,Death_x000D_
.imm?:no_x000D_
..Spo:THOMAS CORRINGTON</t>
        </r>
      </text>
    </comment>
    <comment ref="I9384" authorId="0" shapeId="0" xr:uid="{445E2E5D-D912-4049-A1A5-7AFBC073F561}">
      <text>
        <r>
          <rPr>
            <sz val="9"/>
            <color indexed="81"/>
            <rFont val="Tahoma"/>
            <family val="2"/>
          </rPr>
          <t>JOSEPH DEATON Sr._x000D_
http://yeinfo.com/family/I09000192.html_x000D_
https://www.google.com/search?q=JOSEPH+DEATON+1755+1832+CATHERINE+ELIZABETH_x000D_
.born:c1755    -          Amelia county Virginia_x000D_
.died: 1832    -         ?Montgomery county North Carolina, age:77y 0m 0d, _x000D_
.bapt: 1785GE_x000D_
.will: 2004MO_x000D_
.obit: 1890OH_x000D_
.bury: 1850IL Laurel Hill Baptist Church Cemetery_x000D_
.wpbt: 1826PA_x000D_
.anc#:ancestor_x000D_
citiz:US born_x000D_
#spos:1_x000D_
#srcs:3_x000D_
#comment:1_x000D_
#events:17_x000D_
#kids:13_x000D_
lived:NCGUILF,NCMONTGTROY,NCROWANSALISBU,VAAMELI_x000D_
issue:_x000D_
.recs:Birth,Military,Marriage,Death,Interment/Burial_x000D_
.imm?:no_x000D_
..Spo:CATHERINE ELIZABETH JORDAN</t>
        </r>
      </text>
    </comment>
    <comment ref="K9386" authorId="0" shapeId="0" xr:uid="{4A19B223-11C8-433C-82FC-22D2A961C3B6}">
      <text>
        <r>
          <rPr>
            <sz val="9"/>
            <color indexed="81"/>
            <rFont val="Tahoma"/>
            <family val="2"/>
          </rPr>
          <t>JOHN GIBBS_x000D_
http://yeinfo.com/family/I09000770.html_x000D_
https://www.google.com/search?q=JOHN+GIBBS+1695+1734+MARY_x000D_
.born:?1695    -          England_x000D_
.died: 1734    -1785      Virginia, age:39y 0m 0d, _x000D_
.bapt: 1785GE_x000D_
.will: 2004MO_x000D_
.obit: 1890OH_x000D_
.bury: 1850IL _x000D_
.wpbt: 1826PA_x000D_
.anc#:ancestor_x000D_
citiz:immigrant_x000D_
#spos:1_x000D_
#srcs:3_x000D_
#comment:0_x000D_
#events:1_x000D_
#kids:8_x000D_
lived:?VA,EN_x000D_
issue:_x000D_
.recs:Birth,Marriage,Death_x000D_
.imm?:immigrant_x000D_
..Spo:MARY WEBSTER</t>
        </r>
      </text>
    </comment>
    <comment ref="J9388" authorId="0" shapeId="0" xr:uid="{C82D8849-D709-4F5A-A805-1DC6230DCA56}">
      <text>
        <r>
          <rPr>
            <sz val="9"/>
            <color indexed="81"/>
            <rFont val="Tahoma"/>
            <family val="2"/>
          </rPr>
          <t>MARY GIBBS_x000D_
http://yeinfo.com/family/I09000385.html_x000D_
https://www.google.com/search?q=MARY+GIBBS+1716+1800+DEATON_x000D_
.born: 17160918-          Chester (Chesterfield) Virginia_x000D_
.died: 1800    -          , age:83y 3m 14d, _x000D_
.bapt: 1785GE_x000D_
.will: 2004MO_x000D_
.obit: 1890OH_x000D_
.bury: 1850IL _x000D_
.wpbt: 1826PA_x000D_
.anc#:ancestor_x000D_
citiz:US born_x000D_
#spos:1_x000D_
#srcs:8_x000D_
#comment:2_x000D_
#events:1_x000D_
#kids:6_x000D_
lived:?VADANVIDANVILL,VACHESFCHESTER_x000D_
issue:_x000D_
.recs:Birth,Marriage,Death_x000D_
.imm?:no_x000D_
..Spo:THOMAS ELIJAH DEATON</t>
        </r>
      </text>
    </comment>
    <comment ref="Q9390" authorId="0" shapeId="0" xr:uid="{4174B771-BB65-4037-AA09-7F4C9CD83DF4}">
      <text>
        <r>
          <rPr>
            <sz val="9"/>
            <color indexed="81"/>
            <rFont val="Tahoma"/>
            <family val="2"/>
          </rPr>
          <t>WILLIAM ALBERT WEBSTER_x000D_
http://yeinfo.com/family/I09049344.html_x000D_
https://www.google.com/search?q=WILLIAM+ALBERT+WEBSTER+1533+1572+MARGERY\MARGARET_x000D_
.born: 1533    -          Cossington (Leicestershire) England_x000D_
.died: 15720205-          Cossington (Leicestershire) England, age:39y 1m 4d, _x000D_
.bapt: 1785GE_x000D_
.will: 2004MO_x000D_
.obit: 1890OH_x000D_
.bury: 1850IL _x000D_
.wpbt: 1826PA_x000D_
.anc#:ancestor_x000D_
citiz:foreign_x000D_
#spos:1_x000D_
#srcs:1_x000D_
#comment:1_x000D_
#events:1_x000D_
#kids:1_x000D_
lived:ENLEICECOSSING,ENWARWENUNEATO_x000D_
issue:_x000D_
.recs:Birth,Marriage,Death_x000D_
.imm?:no_x000D_
..Spo:MARGERY\MARGARET CONSTABLE</t>
        </r>
      </text>
    </comment>
    <comment ref="P9392" authorId="0" shapeId="0" xr:uid="{B488075A-2829-4CB2-AC2C-2F1370D78BDC}">
      <text>
        <r>
          <rPr>
            <sz val="9"/>
            <color indexed="81"/>
            <rFont val="Tahoma"/>
            <family val="2"/>
          </rPr>
          <t>WILLIAM WEBSTER_x000D_
http://yeinfo.com/family/I09024672.html_x000D_
https://www.google.com/search?q=WILLIAM+WEBSTER+1570+1652+HELENA_x000D_
.born: 1570    -          England_x000D_
.died: 16520302-          Yorkshire county England, age:82y 2m 1d, _x000D_
.bapt: 1785GE_x000D_
.will: 2004MO_x000D_
.obit: 1890OH_x000D_
.bury: 1850IL _x000D_
.wpbt: 1826PA_x000D_
.anc#:ancestor_x000D_
citiz:foreign_x000D_
#spos:1_x000D_
#srcs:1_x000D_
#comment:0_x000D_
#events:1_x000D_
#kids:1_x000D_
lived:ENYORKSSHEFFIE_x000D_
issue:_x000D_
.recs:Birth,Marriage,Death_x000D_
.imm?:no_x000D_
..Spo:HELENA FIRTH</t>
        </r>
      </text>
    </comment>
    <comment ref="S9394" authorId="0" shapeId="0" xr:uid="{014277EA-A6EA-45A4-9EE2-E236F11FF2AC}">
      <text>
        <r>
          <rPr>
            <sz val="9"/>
            <color indexed="81"/>
            <rFont val="Tahoma"/>
            <family val="2"/>
          </rPr>
          <t>WILLIAM CONSTABLE_x000D_
http://yeinfo.com/family/I09065756.html_x000D_
https://www.google.com/search?q=WILLIAM+CONSTABLE+1463+1526+JOAN_x000D_
.born:?1463    -          Flamborough (Yorkshire) England_x000D_
.died: 15260722-          Rudston (Yorkshire) England, age:63y 6m 21d, _x000D_
.bapt: 1785GE_x000D_
.will: 2004MO_x000D_
.obit: 1890OH_x000D_
.bury: 1850IL _x000D_
.wpbt: 1826PA_x000D_
.anc#:ancestor_x000D_
citiz:foreign_x000D_
#spos:1_x000D_
#srcs:1_x000D_
#comment:1_x000D_
#events:1_x000D_
#kids:1_x000D_
lived:ENLINCSCLAYTHO,ENYORKSFLAMBOR,ENYORKSRUDSTON_x000D_
issue:_x000D_
.recs:Birth,Marriage,Death_x000D_
.imm?:no_x000D_
..Spo:JOAN FULTHORPE</t>
        </r>
      </text>
    </comment>
    <comment ref="R9396" authorId="0" shapeId="0" xr:uid="{E75F2E84-C365-49DD-AD47-25C3DD1F345C}">
      <text>
        <r>
          <rPr>
            <sz val="9"/>
            <color indexed="81"/>
            <rFont val="Tahoma"/>
            <family val="2"/>
          </rPr>
          <t>MARMADUKE CONSTABLE_x000D_
http://yeinfo.com/family/I09065631.html_x000D_
https://www.google.com/search?q=MARMADUKE+CONSTABLE+1502+1584+ELIZABETH_x000D_
.born: 1502    -          Nuneaton (Warwickshire) England_x000D_
.died: 158401  -          Yorkshire county England, age:82y 0m 0d, _x000D_
.bapt: 1785GE_x000D_
.will: 2004MO_x000D_
.obit: 1890OH_x000D_
.bury: 1850IL _x000D_
.wpbt: 1826PA_x000D_
.anc#:ancestor_x000D_
citiz:foreign_x000D_
#spos:1_x000D_
#srcs:1_x000D_
#comment:0_x000D_
#events:1_x000D_
#kids:1_x000D_
lived:ENWARWENUNEATO,ENYORKS_x000D_
issue:Born after Mom Age 50_x000D_
.recs:Birth,Marriage,Death_x000D_
.imm?:no_x000D_
..Spo:ELIZABETH STOKES</t>
        </r>
      </text>
    </comment>
    <comment ref="S9398" authorId="0" shapeId="0" xr:uid="{40C46DCD-A6F6-49BC-954B-BD9EFA9C02CA}">
      <text>
        <r>
          <rPr>
            <sz val="9"/>
            <color indexed="81"/>
            <rFont val="Tahoma"/>
            <family val="2"/>
          </rPr>
          <t>JOAN FULTHORPE_x000D_
http://yeinfo.com/family/I09065757.html_x000D_
https://www.google.com/search?q=JOAN+FULTHORPE+1447+1540+CONSTABLE_x000D_
.born: 1447    -          Rudston (Yorkshire) England_x000D_
.died: 15400911-          Rudston (Yorkshire) England, age:93y 8m 10d, _x000D_
.bapt: 1785GE_x000D_
.will: 2004MO_x000D_
.obit: 1890OH_x000D_
.bury: 1850IL _x000D_
.wpbt: 1826PA_x000D_
.anc#:ancestor_x000D_
citiz:foreign_x000D_
#spos:1_x000D_
#srcs:1_x000D_
#comment:1_x000D_
#events:1_x000D_
#kids:1_x000D_
lived:ENLINCSCLAYTHO,ENYORKSRUDSTON_x000D_
issue:_x000D_
.recs:Birth,Marriage,Death_x000D_
.imm?:no_x000D_
..Spo:WILLIAM CONSTABLE</t>
        </r>
      </text>
    </comment>
    <comment ref="Q9400" authorId="0" shapeId="0" xr:uid="{B49D3BB2-51AE-4B61-A8B5-72B657DC7921}">
      <text>
        <r>
          <rPr>
            <sz val="9"/>
            <color indexed="81"/>
            <rFont val="Tahoma"/>
            <family val="2"/>
          </rPr>
          <t>MARGERY\MARGARET CONSTABLE_x000D_
http://yeinfo.com/family/I09049345.html_x000D_
https://www.google.com/search?q=MARGERY\MARGARET+CONSTABLE+1542+1572+WEBSTER_x000D_
.born: 1542    -          Nuneaton (Warwickshire) England_x000D_
.died:c1572    -          York (Yorkshire) England, age:30y 0m 0d, _x000D_
.bapt: 1785GE_x000D_
.will: 2004MO_x000D_
.obit: 1890OH_x000D_
.bury: 1850IL _x000D_
.wpbt: 1826PA_x000D_
.anc#:ancestor_x000D_
citiz:foreign_x000D_
#spos:1_x000D_
#srcs:1_x000D_
#comment:0_x000D_
#events:1_x000D_
#kids:1_x000D_
lived:ENWARWENUNEATO,ENYORKSYORK_x000D_
issue:Died after Age 100_x000D_
.recs:Birth,Marriage,Death_x000D_
.imm?:no_x000D_
..Spo:WILLIAM ALBERT WEBSTER</t>
        </r>
      </text>
    </comment>
    <comment ref="S9402" authorId="0" shapeId="0" xr:uid="{556A17B4-B648-46F0-992C-A56567FD650B}">
      <text>
        <r>
          <rPr>
            <sz val="9"/>
            <color indexed="81"/>
            <rFont val="Tahoma"/>
            <family val="2"/>
          </rPr>
          <t>RICHARD STOKES_x000D_
http://yeinfo.com/family/I09065758.html_x000D_
https://www.google.com/search?q=RICHARD+STOKES+1475+1547+BRIDGET_x000D_
.born: 1475    -          Warwickshire county England_x000D_
.died: 1547    -          Yardley (Warwickshire) England, age:72y 0m 0d, _x000D_
.bapt: 1785GE_x000D_
.will: 2004MO_x000D_
.obit: 1890OH_x000D_
.bury: 1850IL _x000D_
.wpbt: 1826PA_x000D_
.anc#:ancestor_x000D_
citiz:foreign_x000D_
#spos:1_x000D_
#srcs:1_x000D_
#comment:0_x000D_
#events:1_x000D_
#kids:1_x000D_
lived:ENWARWEYARDLEY_x000D_
issue:_x000D_
.recs:Birth,Marriage,Death_x000D_
.imm?:no_x000D_
..Spo:BRIDGET CARLETON</t>
        </r>
      </text>
    </comment>
    <comment ref="R9404" authorId="0" shapeId="0" xr:uid="{BC4B1C93-0AE9-4CCE-9B2C-5424AE8B285F}">
      <text>
        <r>
          <rPr>
            <sz val="9"/>
            <color indexed="81"/>
            <rFont val="Tahoma"/>
            <family val="2"/>
          </rPr>
          <t>ELIZABETH STOKES_x000D_
http://yeinfo.com/family/I09065632.html_x000D_
https://www.google.com/search?q=ELIZABETH+STOKES+1513+1560+CONSTABLE_x000D_
.born: 1513    -          Goxhill (Lincolnshire) England_x000D_
.died: 1560    -          Goxhill (Lincolnshire) England, age:47y 0m 0d, _x000D_
.bapt: 1785GE_x000D_
.will: 2004MO_x000D_
.obit: 1890OH_x000D_
.bury: 1850IL _x000D_
.wpbt: 1826PA_x000D_
.anc#:ancestor_x000D_
citiz:foreign_x000D_
#spos:1_x000D_
#srcs:1_x000D_
#comment:0_x000D_
#events:1_x000D_
#kids:1_x000D_
lived:ENLINCSGOXHILL,ENYORKS_x000D_
issue:_x000D_
.recs:Birth,Marriage,Death_x000D_
.imm?:no_x000D_
..Spo:MARMADUKE CONSTABLE</t>
        </r>
      </text>
    </comment>
    <comment ref="S9406" authorId="0" shapeId="0" xr:uid="{DBABCFC8-37BD-4F67-A655-CAF5B961CD0D}">
      <text>
        <r>
          <rPr>
            <sz val="9"/>
            <color indexed="81"/>
            <rFont val="Tahoma"/>
            <family val="2"/>
          </rPr>
          <t>BRIDGET CARLETON_x000D_
http://yeinfo.com/family/I09065759.html_x000D_
https://www.google.com/search?q=BRIDGET+CARLETON+1479+1556+STOKES_x000D_
.born: 1479    -          Brandsby with Stearsby (Yorkshire) England_x000D_
.died: 1556    -          Brandsby with Stearsby (Yorkshire) England, age:77y 0m 0d, _x000D_
.bapt: 1785GE_x000D_
.will: 2004MO_x000D_
.obit: 1890OH_x000D_
.bury: 1850IL _x000D_
.wpbt: 1826PA_x000D_
.anc#:ancestor_x000D_
citiz:foreign_x000D_
#spos:1_x000D_
#srcs:1_x000D_
#comment:0_x000D_
#events:1_x000D_
#kids:1_x000D_
lived:ENWARWEYARDLEY,ENYORKSBRANDSB_x000D_
issue:_x000D_
.recs:Birth,Marriage,Death_x000D_
.imm?:no_x000D_
..Spo:RICHARD STOKES</t>
        </r>
      </text>
    </comment>
    <comment ref="O9408" authorId="0" shapeId="0" xr:uid="{DB4202AA-7849-44F9-9896-CFB20D33BE80}">
      <text>
        <r>
          <rPr>
            <sz val="9"/>
            <color indexed="81"/>
            <rFont val="Tahoma"/>
            <family val="2"/>
          </rPr>
          <t>WILLIAM WEBSTER_x000D_
http://yeinfo.com/family/I09012336.html_x000D_
https://www.google.com/search?q=WILLIAM+WEBSTER+1598+1652+ANNA_x000D_
.born: 15981029-          Sheffield (Yorkshire) England_x000D_
.died: 1652    -          Sheffield (Yorkshire) England, age:53y 2m 3d, _x000D_
.bapt: 1785GE_x000D_
.will: 2004MO_x000D_
.obit: 1890OH_x000D_
.bury: 1850IL _x000D_
.wpbt: 1826PA_x000D_
.anc#:ancestor_x000D_
citiz:foreign_x000D_
#spos:1_x000D_
#srcs:1_x000D_
#comment:0_x000D_
#events:1_x000D_
#kids:1_x000D_
lived:ENYORKSSHEFFIE_x000D_
issue:_x000D_
.recs:Birth,Marriage,Death_x000D_
.imm?:no_x000D_
..Spo:ANNA HARTLEG</t>
        </r>
      </text>
    </comment>
    <comment ref="P9410" authorId="0" shapeId="0" xr:uid="{92856D55-8873-4BA5-AE26-A2C84BEB1BD7}">
      <text>
        <r>
          <rPr>
            <sz val="9"/>
            <color indexed="81"/>
            <rFont val="Tahoma"/>
            <family val="2"/>
          </rPr>
          <t>HELENA FIRTH_x000D_
http://yeinfo.com/family/I09024673.html_x000D_
https://www.google.com/search?q=HELENA+FIRTH+1568+1598+WEBSTER_x000D_
.born: 15680607-          Yorkshire county England_x000D_
.died: 1598    -1650     ?Yorkshire county England, age:29y 6m 25d, _x000D_
.bapt: 1785GE_x000D_
.will: 2004MO_x000D_
.obit: 1890OH_x000D_
.bury: 1850IL _x000D_
.wpbt: 1826PA_x000D_
.anc#:ancestor_x000D_
citiz:foreign_x000D_
#spos:1_x000D_
#srcs:1_x000D_
#comment:1_x000D_
#events:1_x000D_
#kids:1_x000D_
lived:ENYORKSSHEFFIE_x000D_
issue:_x000D_
.recs:Birth,Marriage,Death_x000D_
.imm?:no_x000D_
..Spo:WILLIAM WEBSTER</t>
        </r>
      </text>
    </comment>
    <comment ref="N9412" authorId="0" shapeId="0" xr:uid="{9B239580-4AAE-47CB-8DD7-2F1A8868E00C}">
      <text>
        <r>
          <rPr>
            <sz val="9"/>
            <color indexed="81"/>
            <rFont val="Tahoma"/>
            <family val="2"/>
          </rPr>
          <t>WILLIAM WEBSTER III_x000D_
http://yeinfo.com/family/I09006168.html_x000D_
https://www.google.com/search?q=WILLIAM+WEBSTER+1618+1641+SARAH+MAY_x000D_
.born: 16181024-          Yorkshire county England_x000D_
.died: 1641    -1708     ?Virginia, age:22y 2m 8d, _x000D_
.bapt: 1785GE_x000D_
.will: 2004MO_x000D_
.obit: 1890OH_x000D_
.bury: 1850IL _x000D_
.wpbt: 1826PA_x000D_
.anc#:ancestor_x000D_
citiz:immigrant_x000D_
#spos:1_x000D_
#srcs:2_x000D_
#comment:1_x000D_
#events:1_x000D_
#kids:1_x000D_
lived:ENYORKS,VA_x000D_
issue:Died before Birth_x000D_
.recs:Birth,Marriage,Death_x000D_
.imm?:immigrant_x000D_
..Spo:SARAH MAY RICHARD</t>
        </r>
      </text>
    </comment>
    <comment ref="O9414" authorId="0" shapeId="0" xr:uid="{7044162A-1A59-42A5-8706-3F6C36D6C3CB}">
      <text>
        <r>
          <rPr>
            <sz val="9"/>
            <color indexed="81"/>
            <rFont val="Tahoma"/>
            <family val="2"/>
          </rPr>
          <t>ANNA HARTLEG_x000D_
http://yeinfo.com/family/I09012337.html_x000D_
https://www.google.com/search?q=ANNA+HARTLEG+1590+1661+WEBSTER_x000D_
.born: 15900224-          Sheffield (Yorkshire) England_x000D_
.died: 1661    -          Yorkshire county England, age:70y 10m 8d, _x000D_
.bapt: 1785GE_x000D_
.will: 2004MO_x000D_
.obit: 1890OH_x000D_
.bury: 1850IL _x000D_
.wpbt: 1826PA_x000D_
.anc#:ancestor_x000D_
citiz:foreign_x000D_
#spos:1_x000D_
#srcs:1_x000D_
#comment:0_x000D_
#events:1_x000D_
#kids:1_x000D_
lived:ENYORKSSHEFFIE_x000D_
issue:_x000D_
.recs:Birth,Marriage,Death_x000D_
.imm?:no_x000D_
..Spo:WILLIAM WEBSTER</t>
        </r>
      </text>
    </comment>
    <comment ref="M9416" authorId="0" shapeId="0" xr:uid="{101DA1B8-BAC3-46CA-BEA3-4DF7675A4A71}">
      <text>
        <r>
          <rPr>
            <sz val="9"/>
            <color indexed="81"/>
            <rFont val="Tahoma"/>
            <family val="2"/>
          </rPr>
          <t>HENRY WEBSTER_x000D_
http://yeinfo.com/family/I09003084.html_x000D_
https://www.google.com/search?q=HENRY+WEBSTER+1641+1697+CHARITY_x000D_
.born: 1641    -          Lancaster county Virginia_x000D_
.died: 1697    -          Rappahannock county Virginia, age:56y 0m 0d, _x000D_
.bapt: 1785GE_x000D_
.will: 2004MO_x000D_
.obit: 1890OH_x000D_
.bury: 1850IL _x000D_
.wpbt: 1826PA_x000D_
.anc#:ancestor_x000D_
citiz:US born_x000D_
#spos:1_x000D_
#srcs:1_x000D_
#comment:1_x000D_
#events:1_x000D_
#kids:1_x000D_
lived:VALANCA,VARAPPA_x000D_
issue:Born before Parents Married_x000D_
.recs:Birth,Marriage,Death_x000D_
.imm?:no_x000D_
..Spo:CHARITY HOLT</t>
        </r>
      </text>
    </comment>
    <comment ref="O9418" authorId="0" shapeId="0" xr:uid="{D16554CC-2769-44F0-AF6A-329C47F1A273}">
      <text>
        <r>
          <rPr>
            <sz val="9"/>
            <color indexed="81"/>
            <rFont val="Tahoma"/>
            <family val="2"/>
          </rPr>
          <t>WILLIAM RICHARD_x000D_
http://yeinfo.com/family/I09012338.html_x000D_
https://www.google.com/search?q=WILLIAM+RICHARD+1603+1624+CATHERINE+CHEETHAM_x000D_
.born: 1603    -         ?Lancashire county England_x000D_
.died: 1624    -1688     ?Lancashire county England, age:21y 0m 0d, _x000D_
.bapt: 1785GE_x000D_
.will: 2004MO_x000D_
.obit: 1890OH_x000D_
.bury: 1850IL _x000D_
.wpbt: 1826PA_x000D_
.anc#:ancestor_x000D_
citiz:foreign_x000D_
#spos:1_x000D_
#srcs:1_x000D_
#comment:1_x000D_
#events:1_x000D_
#kids:1_x000D_
lived:?ENLANCS_x000D_
issue:_x000D_
.recs:Birth,Marriage,Death_x000D_
.imm?:no_x000D_
..Spo:CATHERINE CHEETHAM THACKER</t>
        </r>
      </text>
    </comment>
    <comment ref="N9420" authorId="0" shapeId="0" xr:uid="{3EFD1777-199E-4CB5-894C-25D26F5151D7}">
      <text>
        <r>
          <rPr>
            <sz val="9"/>
            <color indexed="81"/>
            <rFont val="Tahoma"/>
            <family val="2"/>
          </rPr>
          <t>SARAH MAY RICHARD_x000D_
http://yeinfo.com/family/I09006169.html_x000D_
https://www.google.com/search?q=SARAH+MAY+RICHARD+1624+1697+WEBSTER_x000D_
.born: 1624    -          Virginia_x000D_
.died: 1697    -          Virginia, age:73y 0m 0d, _x000D_
.bapt: 1785GE_x000D_
.will: 2004MO_x000D_
.obit: 1890OH_x000D_
.bury: 1850IL _x000D_
.wpbt: 1826PA_x000D_
.anc#:ancestor_x000D_
citiz:US born_x000D_
#spos:1_x000D_
#srcs:2_x000D_
#comment:1_x000D_
#events:1_x000D_
#kids:1_x000D_
lived:VA_x000D_
issue:_x000D_
.recs:Birth,Marriage,Death_x000D_
.imm?:no_x000D_
..Spo:WILLIAM WEBSTER</t>
        </r>
      </text>
    </comment>
    <comment ref="O9422" authorId="0" shapeId="0" xr:uid="{6AC84DAC-F76C-4887-BB9E-81854D0FA597}">
      <text>
        <r>
          <rPr>
            <sz val="9"/>
            <color indexed="81"/>
            <rFont val="Tahoma"/>
            <family val="2"/>
          </rPr>
          <t>CATHERINE CHEETHAM THACKER_x000D_
http://yeinfo.com/family/I09012339.html_x000D_
https://www.google.com/search?q=CATHERINE+CHEETHAM+THACKER+1603+1624+RICHARD_x000D_
.born: 1603    -         ?Lancashire county England_x000D_
.died: 1624    -1688     ?Lancashire county England, age:21y 0m 0d, _x000D_
.bapt: 1785GE_x000D_
.will: 2004MO_x000D_
.obit: 1890OH_x000D_
.bury: 1850IL _x000D_
.wpbt: 1826PA_x000D_
.anc#:ancestor_x000D_
citiz:foreign_x000D_
#spos:1_x000D_
#srcs:1_x000D_
#comment:1_x000D_
#events:1_x000D_
#kids:1_x000D_
lived:?ENLANCS_x000D_
issue:_x000D_
.recs:Birth,Marriage,Death_x000D_
.imm?:no_x000D_
..Spo:WILLIAM RICHARD</t>
        </r>
      </text>
    </comment>
    <comment ref="L9424" authorId="0" shapeId="0" xr:uid="{0C5DA692-BDC3-45CF-B573-849FB9BDE148}">
      <text>
        <r>
          <rPr>
            <sz val="9"/>
            <color indexed="81"/>
            <rFont val="Tahoma"/>
            <family val="2"/>
          </rPr>
          <t>THOMAS WEBSTER_x000D_
http://yeinfo.com/family/I09001542.html_x000D_
https://www.google.com/search?q=THOMAS+WEBSTER+1658+1691+ROSAMOND_x000D_
.born: 1658    -          Rappahannock county Virginia_x000D_
.died: 16911121-          Henrico county Virginia, age:33y 10m 20d, _x000D_
.bapt: 1785GE_x000D_
.will: 2004MO_x000D_
.obit: 1890OH_x000D_
.bury: 1850IL _x000D_
.wpbt: 1826PA_x000D_
.anc#:ancestor_x000D_
citiz:US born_x000D_
#spos:1_x000D_
#srcs:2_x000D_
#comment:0_x000D_
#events:1_x000D_
#kids:4_x000D_
lived:VAHENRI,VARAPPA_x000D_
issue:_x000D_
.recs:Birth,Marriage,Death_x000D_
.imm?:no_x000D_
..Spo:ROSAMOND COUSSENS</t>
        </r>
      </text>
    </comment>
    <comment ref="M9426" authorId="0" shapeId="0" xr:uid="{9145E0C4-6844-4747-B4F1-CFE7C2281168}">
      <text>
        <r>
          <rPr>
            <sz val="9"/>
            <color indexed="81"/>
            <rFont val="Tahoma"/>
            <family val="2"/>
          </rPr>
          <t>CHARITY HOLT_x000D_
http://yeinfo.com/family/I09003085.html_x000D_
https://www.google.com/search?q=CHARITY+HOLT+1644+1700+WEBSTER_x000D_
.born: 1644    -          Rappahannock county Virginia_x000D_
.died: 17001003-          Richmond (Richmond) Virginia, age:56y 9m 2d, _x000D_
.bapt: 1785GE_x000D_
.will: 2004MO_x000D_
.obit: 1890OH_x000D_
.bury: 1850IL _x000D_
.wpbt: 1826PA_x000D_
.anc#:ancestor_x000D_
citiz:US born_x000D_
#spos:1_x000D_
#srcs:1_x000D_
#comment:0_x000D_
#events:1_x000D_
#kids:1_x000D_
lived:VARAPPA,VARICHMRICHMON_x000D_
issue:Died after Age 100_x000D_
.recs:Birth,Marriage,Death_x000D_
.imm?:no_x000D_
..Spo:HENRY WEBSTER</t>
        </r>
      </text>
    </comment>
    <comment ref="K9428" authorId="0" shapeId="0" xr:uid="{63093F9F-DA5B-48FC-B557-A598979D1828}">
      <text>
        <r>
          <rPr>
            <sz val="9"/>
            <color indexed="81"/>
            <rFont val="Tahoma"/>
            <family val="2"/>
          </rPr>
          <t>MARY WEBSTER_x000D_
http://yeinfo.com/family/I09000771.html_x000D_
https://www.google.com/search?q=MARY+WEBSTER+1691+1716+GIBBS_x000D_
.born:?1691    -          Virginia_x000D_
.died: 1716    -1781     ?Virginia, age:25y 0m 0d, _x000D_
.bapt: 1785GE_x000D_
.will: 2004MO_x000D_
.obit: 1890OH_x000D_
.bury: 1850IL _x000D_
.wpbt: 1826PA_x000D_
.anc#:ancestor_x000D_
citiz:US born_x000D_
#spos:1_x000D_
#srcs:2_x000D_
#comment:0_x000D_
#events:1_x000D_
#kids:8_x000D_
lived:VA_x000D_
issue:_x000D_
.recs:Birth,Marriage,Death_x000D_
.imm?:no_x000D_
..Spo:JOHN GIBBS</t>
        </r>
      </text>
    </comment>
    <comment ref="M9430" authorId="0" shapeId="0" xr:uid="{AEF88D85-FD95-47E9-9B0F-1539B98E6EC1}">
      <text>
        <r>
          <rPr>
            <sz val="9"/>
            <color indexed="81"/>
            <rFont val="Tahoma"/>
            <family val="2"/>
          </rPr>
          <t>GEORGE COUSSENS_x000D_
http://yeinfo.com/family/I09003086.html_x000D_
https://www.google.com/search?q=GEORGE+COUSSENS+1610+1681+JULIA_x000D_
.born: 1610    -          Marlborough (Wiltshire) England_x000D_
.died: 1681    -          Henrico county Virginia, age:71y 0m 0d, _x000D_
.bapt: 1785GE_x000D_
.will: 2004MO_x000D_
.obit: 1890OH_x000D_
.bury: 1850IL _x000D_
.wpbt: 1826PA_x000D_
.anc#:ancestor_x000D_
citiz:immigrant_x000D_
#spos:1_x000D_
#srcs:1_x000D_
#comment:1_x000D_
#events:1_x000D_
#kids:2_x000D_
lived:ENWILTSMARLBOR,VAHENRI_x000D_
issue:_x000D_
.recs:Birth,Marriage,Death_x000D_
.imm?:immigrant_x000D_
..Spo:JULIA GALEC</t>
        </r>
      </text>
    </comment>
    <comment ref="L9432" authorId="0" shapeId="0" xr:uid="{A4895E26-454E-48C2-BF7C-253E73BAB10B}">
      <text>
        <r>
          <rPr>
            <sz val="9"/>
            <color indexed="81"/>
            <rFont val="Tahoma"/>
            <family val="2"/>
          </rPr>
          <t>ROSAMOND COUSSENS_x000D_
http://yeinfo.com/family/I09001543.html_x000D_
https://www.google.com/search?q=ROSAMOND+COUSSENS+1660+1717+WEBSTER_x000D_
.born: 1660    -          Rappahannock county Virginia_x000D_
.died: 171707  -          Henrico county Virginia, age:57y 6m 0d, _x000D_
.bapt: 1785GE_x000D_
.will: 2004MO_x000D_
.obit: 1890OH_x000D_
.bury: 1850IL _x000D_
.wpbt: 1826PA_x000D_
.anc#:ancestor_x000D_
citiz:US born_x000D_
#spos:1_x000D_
#srcs:2_x000D_
#comment:0_x000D_
#events:1_x000D_
#kids:4_x000D_
lived:VAHENRI,VARAPPA_x000D_
issue:_x000D_
.recs:Birth,Marriage,Death_x000D_
.imm?:no_x000D_
..Spo:THOMAS WEBSTER</t>
        </r>
      </text>
    </comment>
    <comment ref="M9434" authorId="0" shapeId="0" xr:uid="{24B2E91A-0DEB-405B-9B4B-B531C09E4B00}">
      <text>
        <r>
          <rPr>
            <sz val="9"/>
            <color indexed="81"/>
            <rFont val="Tahoma"/>
            <family val="2"/>
          </rPr>
          <t>JULIA GALEC_x000D_
http://yeinfo.com/family/I09003087.html_x000D_
https://www.google.com/search?q=JULIA+GALEC+1610+1691+COUSSENS_x000D_
.born:?1610    -         ?England_x000D_
.died: 1691    -          , age:81y 0m 0d, _x000D_
.bapt: 1785GE_x000D_
.will: 2004MO_x000D_
.obit: 1890OH_x000D_
.bury: 1850IL _x000D_
.wpbt: 1826PA_x000D_
.anc#:ancestor_x000D_
citiz:US born_x000D_
#spos:1_x000D_
#srcs:1_x000D_
#comment:0_x000D_
#events:1_x000D_
#kids:2_x000D_
lived:?EN_x000D_
issue:_x000D_
.recs:Birth,Marriage,Death_x000D_
.imm?:no_x000D_
..Spo:GEORGE COUSSENS</t>
        </r>
      </text>
    </comment>
    <comment ref="H9436" authorId="0" shapeId="0" xr:uid="{E2E90456-548A-43D2-85DD-E70A27159D2F}">
      <text>
        <r>
          <rPr>
            <sz val="9"/>
            <color indexed="81"/>
            <rFont val="Tahoma"/>
            <family val="2"/>
          </rPr>
          <t>ELIAS DEATON_x000D_
http://yeinfo.com/family/I09000096.html_x000D_
https://www.google.com/search?q=ELIAS+DEATON+1786+1870+ELIZABETH_x000D_
.born: 1786    -          Montgomery county North Carolina_x000D_
.died: 1870    -          Decatur county Tennessee, age:84y 0m 0d, _x000D_
.bapt: 1785GE_x000D_
.will: 2004MO_x000D_
.obit: 1890OH_x000D_
.bury: 1850IL _x000D_
.wpbt: 1826PA_x000D_
.anc#:ancestor_x000D_
citiz:US born_x000D_
#spos:1_x000D_
#srcs:14_x000D_
#comment:1_x000D_
#events:16_x000D_
#kids:5_x000D_
lived:NCMONTG,TNDECATSCOTTSH,TNHENDELEXINGT,TNHICKM,TNMCNAI_x000D_
issue:_x000D_
.recs:Birth,Military,Marriage,Death,Gov't Court_x000D_
.imm?:no_x000D_
..Spo:ELIZABETH YARBOROUGH</t>
        </r>
      </text>
    </comment>
    <comment ref="U9438" authorId="0" shapeId="0" xr:uid="{896D2827-CC18-41FF-9BD2-0E5F5EB20E86}">
      <text>
        <r>
          <rPr>
            <sz val="9"/>
            <color indexed="81"/>
            <rFont val="Tahoma"/>
            <family val="2"/>
          </rPr>
          <t>ROBERT JORDAN_x000D_
http://yeinfo.com/family/I09066069.html_x000D_
https://www.google.com/search?q=ROBERT+JORDAN+1455+1500+CHRISTIE_x000D_
.born: 1455    -         ?England_x000D_
.died: 1500    -         ?England, age:45y 0m 0d, _x000D_
.bapt: 1785GE_x000D_
.will: 2004MO_x000D_
.obit: 1890OH_x000D_
.bury: 1850IL _x000D_
.wpbt: 1826PA_x000D_
.anc#:ancestor_x000D_
citiz:foreign_x000D_
#spos:1_x000D_
#srcs:1_x000D_
#comment:1_x000D_
#events:1_x000D_
#kids:1_x000D_
lived:?EN_x000D_
issue:Died after Age 100_x000D_
.recs:Birth,Marriage,Death_x000D_
.imm?:no_x000D_
..Spo:CHRISTIE CHANTMARLE</t>
        </r>
      </text>
    </comment>
    <comment ref="T9440" authorId="0" shapeId="0" xr:uid="{D86F77CE-921C-4BBC-9D03-7FAF5768B559}">
      <text>
        <r>
          <rPr>
            <sz val="9"/>
            <color indexed="81"/>
            <rFont val="Tahoma"/>
            <family val="2"/>
          </rPr>
          <t>ROBERT JORDAN_x000D_
http://yeinfo.com/family/I09065907.html_x000D_
https://www.google.com/search?q=ROBERT+JORDAN+1479+1540+{_?_}_x000D_
.born:c1479    -         ?England_x000D_
.died: 1540    -         ?England, age:61y 0m 0d, _x000D_
.bapt: 1785GE_x000D_
.will: 2004MO_x000D_
.obit: 1890OH_x000D_
.bury: 1850IL _x000D_
.wpbt: 1826PA_x000D_
.anc#:ancestor_x000D_
citiz:foreign_x000D_
#spos:1_x000D_
#srcs:1_x000D_
#comment:0_x000D_
#events:1_x000D_
#kids:1_x000D_
lived:?EN_x000D_
issue:Died after Age 100_x000D_
.recs:Birth,Marriage,Death_x000D_
.imm?:no_x000D_
..Spo:{_?_} JORDAN</t>
        </r>
      </text>
    </comment>
    <comment ref="U9442" authorId="0" shapeId="0" xr:uid="{71039A56-42E3-4EFF-A5E0-A8B67320335C}">
      <text>
        <r>
          <rPr>
            <sz val="9"/>
            <color indexed="81"/>
            <rFont val="Tahoma"/>
            <family val="2"/>
          </rPr>
          <t>CHRISTIE CHANTMARLE_x000D_
http://yeinfo.com/family/I09066070.html_x000D_
https://www.google.com/search?q=CHRISTIE+CHANTMARLE+1459+1479+JORDAN_x000D_
.born: 1459    -          France_x000D_
.died: 1479    -1549      Dorset county England, age:20y 0m 0d, _x000D_
.bapt: 1785GE_x000D_
.will: 2004MO_x000D_
.obit: 1890OH_x000D_
.bury: 1850IL _x000D_
.wpbt: 1826PA_x000D_
.anc#:ancestor_x000D_
citiz:foreign_x000D_
#spos:1_x000D_
#srcs:1_x000D_
#comment:0_x000D_
#events:1_x000D_
#kids:1_x000D_
lived:ENDORSE,FR_x000D_
issue:Died after Age 100_x000D_
.recs:Birth,Marriage,Death_x000D_
.imm?:no_x000D_
..Spo:ROBERT JORDAN</t>
        </r>
      </text>
    </comment>
    <comment ref="S9444" authorId="0" shapeId="0" xr:uid="{5269205B-AF0E-4D77-B7BA-B384E1C6CACD}">
      <text>
        <r>
          <rPr>
            <sz val="9"/>
            <color indexed="81"/>
            <rFont val="Tahoma"/>
            <family val="2"/>
          </rPr>
          <t>ROBERT JORDAN_x000D_
http://yeinfo.com/family/I09065760.html_x000D_
https://www.google.com/search?q=ROBERT+JORDAN+1500+1589+JANE_x000D_
.born: 1500    -          Melcombe Regis (Dorset) England_x000D_
.died: 15891012-          Melcombe Regis (Dorset) England, age:89y 9m 11d, _x000D_
.bapt: 1785GE_x000D_
.will: 2004MO_x000D_
.obit: 1890OH_x000D_
.bury: 1850IL _x000D_
.wpbt: 1826PA_x000D_
.anc#:ancestor_x000D_
citiz:foreign_x000D_
#spos:1_x000D_
#srcs:1_x000D_
#comment:1_x000D_
#events:1_x000D_
#kids:1_x000D_
lived:ENDORSEMELCOMB_x000D_
issue:_x000D_
.recs:Birth,Marriage,Death_x000D_
.imm?:no_x000D_
..Spo:JANE COKER</t>
        </r>
      </text>
    </comment>
    <comment ref="T9446" authorId="0" shapeId="0" xr:uid="{9F7ECB9C-B41F-48FA-AB38-F34AF946ED40}">
      <text>
        <r>
          <rPr>
            <sz val="9"/>
            <color indexed="81"/>
            <rFont val="Tahoma"/>
            <family val="2"/>
          </rPr>
          <t>Mrs. {_?_} JORDAN_x000D_
http://yeinfo.com/family/I09065908.html_x000D_
https://www.google.com/search?q={_?_}+JORDAN+1480+1500+JORDAN_x000D_
.born:?1480    -          _x000D_
.died: 1500    -1560      , age:20y 0m 0d, _x000D_
.bapt: 1785GE_x000D_
.will: 2004MO_x000D_
.obit: 1890OH_x000D_
.bury: 1850IL _x000D_
.wpbt: 1826PA_x000D_
.anc#:ancestor_x000D_
citiz:foreign_x000D_
#spos:1_x000D_
#srcs:1_x000D_
#comment:0_x000D_
#events:1_x000D_
#kids:1_x000D_
lived:_x000D_
issue:_x000D_
.recs:Birth,Marriage,Death_x000D_
.imm?:no_x000D_
..Spo:ROBERT JORDAN</t>
        </r>
      </text>
    </comment>
    <comment ref="R9448" authorId="0" shapeId="0" xr:uid="{4C6E208C-B029-42BD-84EF-8522AE9DF951}">
      <text>
        <r>
          <rPr>
            <sz val="9"/>
            <color indexed="81"/>
            <rFont val="Tahoma"/>
            <family val="2"/>
          </rPr>
          <t>THOMAS JORDAN_x000D_
http://yeinfo.com/family/I09065633.html_x000D_
https://www.google.com/search?q=THOMAS+JORDAN+1529+1591+AGNES+ELIZABETH_x000D_
.born: 1529    -          Dorset county England_x000D_
.died: 1591    -          Dorset county England, age:62y 0m 0d, _x000D_
.bapt: 1785GE_x000D_
.will: 2004MO_x000D_
.obit: 1890OH_x000D_
.bury: 1850IL _x000D_
.wpbt: 1826PA_x000D_
.anc#:ancestor_x000D_
citiz:foreign_x000D_
#spos:1_x000D_
#srcs:1_x000D_
#comment:0_x000D_
#events:1_x000D_
#kids:1_x000D_
lived:ENDORSE_x000D_
issue:_x000D_
.recs:Birth,Marriage,Death_x000D_
.imm?:no_x000D_
..Spo:AGNES ELIZABETH BURTE</t>
        </r>
      </text>
    </comment>
    <comment ref="S9450" authorId="0" shapeId="0" xr:uid="{7045ABC8-38D7-411F-8FAE-16D8EC81DED0}">
      <text>
        <r>
          <rPr>
            <sz val="9"/>
            <color indexed="81"/>
            <rFont val="Tahoma"/>
            <family val="2"/>
          </rPr>
          <t>JANE COKER_x000D_
http://yeinfo.com/family/I09065761.html_x000D_
https://www.google.com/search?q=JANE+COKER+1504+1590+JORDAN_x000D_
.born: 1504    -          Melcombe Regis (Dorset) England_x000D_
.died: 1590    -          Melcombe Regis (Dorset) England, age:86y 0m 0d, _x000D_
.bapt: 1785GE_x000D_
.will: 2004MO_x000D_
.obit: 1890OH_x000D_
.bury: 1850IL Melcombe Regis Cemetery_x000D_
.wpbt: 1826PA_x000D_
.anc#:ancestor_x000D_
citiz:foreign_x000D_
#spos:1_x000D_
#srcs:2_x000D_
#comment:0_x000D_
#events:2_x000D_
#kids:1_x000D_
lived:ENDORSEMELCOMB_x000D_
issue:_x000D_
.recs:Birth,Marriage,Death,Interment/Burial_x000D_
.imm?:no_x000D_
..Spo:ROBERT JORDAN</t>
        </r>
      </text>
    </comment>
    <comment ref="Q9452" authorId="0" shapeId="0" xr:uid="{6303B6E5-CAEB-4C11-ABF6-DF8F0ACC5202}">
      <text>
        <r>
          <rPr>
            <sz val="9"/>
            <color indexed="81"/>
            <rFont val="Tahoma"/>
            <family val="2"/>
          </rPr>
          <t>ROBERT JORDAN_x000D_
http://yeinfo.com/family/I09049408.html_x000D_
https://www.google.com/search?q=ROBERT+JORDAN+1562+1623+SARAH_x000D_
.born: 1562    -         ?England_x000D_
.died: 162304  -         ?England, age:61y 3m 0d, _x000D_
.bapt: 1785GE_x000D_
.will: 2004MO_x000D_
.obit: 1890OH_x000D_
.bury: 1850IL _x000D_
.wpbt: 1826PA_x000D_
.anc#:ancestor_x000D_
citiz:foreign_x000D_
#spos:1_x000D_
#srcs:1_x000D_
#comment:0_x000D_
#events:1_x000D_
#kids:1_x000D_
lived:?EN_x000D_
issue:_x000D_
.recs:Birth,Marriage,Death_x000D_
.imm?:no_x000D_
..Spo:SARAH WINTER</t>
        </r>
      </text>
    </comment>
    <comment ref="R9454" authorId="0" shapeId="0" xr:uid="{749C07AF-2DA4-4B74-AE5F-8788B7FBAB26}">
      <text>
        <r>
          <rPr>
            <sz val="9"/>
            <color indexed="81"/>
            <rFont val="Tahoma"/>
            <family val="2"/>
          </rPr>
          <t>AGNES ELIZABETH BURTE_x000D_
http://yeinfo.com/family/I09065634.html_x000D_
https://www.google.com/search?q=AGNES+ELIZABETH+BURTE+1537+1564+JORDAN_x000D_
.born: 1537    -          Melcombe Regis (Dorset) England_x000D_
.died: 1564    -          Melcombe Regis (Dorset) England, age:27y 0m 0d, _x000D_
.bapt: 1785GE_x000D_
.will: 2004MO_x000D_
.obit: 1890OH_x000D_
.bury: 1850IL _x000D_
.wpbt: 1826PA_x000D_
.anc#:ancestor_x000D_
citiz:foreign_x000D_
#spos:1_x000D_
#srcs:1_x000D_
#comment:0_x000D_
#events:1_x000D_
#kids:1_x000D_
lived:ENDORSEMELCOMB_x000D_
issue:Died after Age 100_x000D_
.recs:Birth,Marriage,Death_x000D_
.imm?:no_x000D_
..Spo:THOMAS JORDAN</t>
        </r>
      </text>
    </comment>
    <comment ref="P9456" authorId="0" shapeId="0" xr:uid="{305DB1DD-9456-4908-BF8E-2FA0EF127B7A}">
      <text>
        <r>
          <rPr>
            <sz val="9"/>
            <color indexed="81"/>
            <rFont val="Tahoma"/>
            <family val="2"/>
          </rPr>
          <t>SAMUEL\ROBERT SILAS JORDAN_x000D_
http://yeinfo.com/family/I09024704.html_x000D_
https://www.google.com/search?q=SAMUEL\ROBERT+SILAS+JORDAN+1578+1623+CICELY_x000D_
.born: 1578    -          Melcombe Regis (Dorset) England_x000D_
.died: 1623    -          Dorset county England, age:45y 0m 0d, _x000D_
.bapt: 1785GE_x000D_
.will: 2004MO_x000D_
.obit: 1890OH_x000D_
.bury: 1850IL _x000D_
.wpbt: 1826PA_x000D_
.anc#:ancestor_x000D_
citiz:foreign_x000D_
#spos:1_x000D_
#srcs:2_x000D_
#comment:0_x000D_
#events:1_x000D_
#kids:1_x000D_
lived:ENDORSEMELCOMB_x000D_
issue:_x000D_
.recs:Birth,Marriage,Death_x000D_
.imm?:no_x000D_
..Spo:CICELY REYNOLDS</t>
        </r>
      </text>
    </comment>
    <comment ref="Q9458" authorId="0" shapeId="0" xr:uid="{47AD83D1-D5D8-44B8-8178-5C45167E41A2}">
      <text>
        <r>
          <rPr>
            <sz val="9"/>
            <color indexed="81"/>
            <rFont val="Tahoma"/>
            <family val="2"/>
          </rPr>
          <t>SARAH WINTER_x000D_
http://yeinfo.com/family/I09049409.html_x000D_
https://www.google.com/search?q=SARAH+WINTER+1564+1664+JORDAN_x000D_
.born: 1564    -         ?England_x000D_
.died: 1664    -         ?New Hampshire, age:100y 0m 0d, _x000D_
.bapt: 1785GE_x000D_
.will: 2004MO_x000D_
.obit: 1890OH_x000D_
.bury: 1850IL _x000D_
.wpbt: 1826PA_x000D_
.anc#:ancestor_x000D_
citiz:immigrant_x000D_
#spos:1_x000D_
#srcs:1_x000D_
#comment:0_x000D_
#events:1_x000D_
#kids:1_x000D_
lived:?EN,?NH_x000D_
issue:Died after Age 100_x000D_
.recs:Birth,Marriage,Death_x000D_
.imm?:immigrant_x000D_
..Spo:ROBERT JORDAN</t>
        </r>
      </text>
    </comment>
    <comment ref="O9460" authorId="0" shapeId="0" xr:uid="{B492E093-1F9E-4180-80A2-99C64BFC106F}">
      <text>
        <r>
          <rPr>
            <sz val="9"/>
            <color indexed="81"/>
            <rFont val="Tahoma"/>
            <family val="2"/>
          </rPr>
          <t>THOMAS JORDAN_x000D_
http://yeinfo.com/family/I09012352.html_x000D_
https://www.google.com/search?q=THOMAS+JORDAN+1600+1685+LUCY\AGNES_x000D_
.born: 16000606-          Melcombe Regis (Dorset) England_x000D_
.died: 1685    -          Jordan (Accomack) Virginia, age:84y 6m 26d, _x000D_
.bapt: 1785GE_x000D_
.will: 2004MO_x000D_
.obit: 1890OH_x000D_
.bury: 1850IL _x000D_
.wpbt: 1826PA_x000D_
.anc#:ancestor_x000D_
citiz:immigrant_x000D_
#spos:1_x000D_
#srcs:3_x000D_
#comment:0_x000D_
#events:3_x000D_
#kids:3_x000D_
lived:?VAISLEW,ENDORSEMELCOMB,VAACCOMHOPEWEL,VAACCOMJORDAN,VACHACICHARLEC_x000D_
issue:_x000D_
.recs:Birth,Marriage,Death_x000D_
.imm?:immigrant_x000D_
..Spo:LUCY\AGNES CORKER</t>
        </r>
      </text>
    </comment>
    <comment ref="P9462" authorId="0" shapeId="0" xr:uid="{502E7AD3-4DF9-452A-A839-AFEE61C64C62}">
      <text>
        <r>
          <rPr>
            <sz val="9"/>
            <color indexed="81"/>
            <rFont val="Tahoma"/>
            <family val="2"/>
          </rPr>
          <t>CICELY REYNOLDS_x000D_
http://yeinfo.com/family/I09024705.html_x000D_
https://www.google.com/search?q=CICELY+REYNOLDS+1605+1660+JORDAN_x000D_
.born: 1605    -         ?England_x000D_
.died: 1660    -         ?Virginia, age:55y 0m 0d, _x000D_
.bapt: 1785GE_x000D_
.will: 2004MO_x000D_
.obit: 1890OH_x000D_
.bury: 1850IL _x000D_
.wpbt: 1826PA_x000D_
.anc#:ancestor_x000D_
citiz:immigrant_x000D_
#spos:1_x000D_
#srcs:1_x000D_
#comment:0_x000D_
#events:1_x000D_
#kids:1_x000D_
lived:?EN,?VA_x000D_
issue:Died after Age 100_x000D_
.recs:Birth,Marriage,Death_x000D_
.imm?:immigrant_x000D_
..Spo:SAMUEL\ROBERT SILAS JORDAN</t>
        </r>
      </text>
    </comment>
    <comment ref="N9464" authorId="0" shapeId="0" xr:uid="{3D818E21-2EF0-49E6-A58F-4B4C39E459C1}">
      <text>
        <r>
          <rPr>
            <sz val="9"/>
            <color indexed="81"/>
            <rFont val="Tahoma"/>
            <family val="2"/>
          </rPr>
          <t>THOMAS JORDAN_x000D_
http://yeinfo.com/family/I09006176.html_x000D_
https://www.google.com/search?q=THOMAS+JORDAN+1634+1699+MARGARET_x000D_
.born: 16340707-          Wiltshire county England_x000D_
.died: 16991008-          Isle of Normandy (Isle of Wight) Virginia, age:65y 3m 1d, _x000D_
.bapt: 1785GE_x000D_
.will: 2004MO_x000D_
.obit: 1890OH_x000D_
.bury: 1850IL _x000D_
.wpbt: 1826PA_x000D_
.anc#:ancestor_x000D_
citiz:immigrant_x000D_
#spos:1_x000D_
#srcs:2_x000D_
#comment:0_x000D_
#events:1_x000D_
#kids:1_x000D_
lived:ENWILTS,VAISLEWISLE OF,VANANSE_x000D_
issue:_x000D_
.recs:Birth,Marriage,Death_x000D_
.imm?:immigrant_x000D_
..Spo:MARGARET BRASSE</t>
        </r>
      </text>
    </comment>
    <comment ref="Q9466" authorId="0" shapeId="0" xr:uid="{46E7718B-FA58-4E2E-893A-F215F2724F8B}">
      <text>
        <r>
          <rPr>
            <sz val="9"/>
            <color indexed="81"/>
            <rFont val="Tahoma"/>
            <family val="2"/>
          </rPr>
          <t>JOHN CORKER_x000D_
http://yeinfo.com/family/I09049412.html_x000D_
https://www.google.com/search?q=JOHN+CORKER+1554+1584+DOROTHY\DORCAS_x000D_
.born:?1554    -          Wiltshire county England_x000D_
.died: 1584    -1644     ?, age:30y 0m 0d, _x000D_
.bapt: 1785GE_x000D_
.will: 2004MO_x000D_
.obit: 1890OH_x000D_
.bury: 1850IL _x000D_
.wpbt: 1826PA_x000D_
.anc#:ancestor_x000D_
citiz:foreign_x000D_
#spos:1_x000D_
#srcs:1_x000D_
#comment:0_x000D_
#events:1_x000D_
#kids:1_x000D_
lived:ENWILTS_x000D_
issue:_x000D_
.recs:Birth,Marriage,Death_x000D_
.imm?:no_x000D_
..Spo:DOROTHY\DORCAS BISHOP</t>
        </r>
      </text>
    </comment>
    <comment ref="P9468" authorId="0" shapeId="0" xr:uid="{96FFE488-7BA1-48A0-A576-594DF3C6C978}">
      <text>
        <r>
          <rPr>
            <sz val="9"/>
            <color indexed="81"/>
            <rFont val="Tahoma"/>
            <family val="2"/>
          </rPr>
          <t>WILLIAM CORKER_x000D_
http://yeinfo.com/family/I09024706.html_x000D_
https://www.google.com/search?q=WILLIAM+CORKER+1584+1677+LUCY\ELIZABETH_x000D_
.born:c1584    -          Wiltshire county England_x000D_
.died: 16770904-         ?, age:93y 8m 3d, _x000D_
.bapt: 1785GE_x000D_
.will: 2004MO_x000D_
.obit: 1890OH_x000D_
.bury: 1850IL _x000D_
.wpbt: 1826PA_x000D_
.anc#:ancestor_x000D_
citiz:US born_x000D_
#spos:1_x000D_
#srcs:1_x000D_
#comment:0_x000D_
#events:1_x000D_
#kids:3_x000D_
lived:ENWILTS,VAISLEW_x000D_
issue:_x000D_
.recs:Birth,Marriage,Death_x000D_
.imm?:no_x000D_
..Spo:LUCY\ELIZABETH CORKER</t>
        </r>
      </text>
    </comment>
    <comment ref="Q9470" authorId="0" shapeId="0" xr:uid="{53686907-DF64-4855-919E-F4B96DB40F40}">
      <text>
        <r>
          <rPr>
            <sz val="9"/>
            <color indexed="81"/>
            <rFont val="Tahoma"/>
            <family val="2"/>
          </rPr>
          <t>DOROTHY\DORCAS BISHOP_x000D_
http://yeinfo.com/family/I09049413.html_x000D_
https://www.google.com/search?q=DOROTHY\DORCAS+BISHOP+1558+1584+CORKER_x000D_
.born:?1558    -          England_x000D_
.died: 1584    -1648     ?, age:26y 0m 0d, _x000D_
.bapt: 1785GE_x000D_
.will: 2004MO_x000D_
.obit: 1890OH_x000D_
.bury: 1850IL _x000D_
.wpbt: 1826PA_x000D_
.anc#:ancestor_x000D_
citiz:foreign_x000D_
#spos:1_x000D_
#srcs:1_x000D_
#comment:0_x000D_
#events:1_x000D_
#kids:1_x000D_
lived:?ENWILTS,EN_x000D_
issue:_x000D_
.recs:Birth,Marriage,Death_x000D_
.imm?:no_x000D_
..Spo:JOHN CORKER</t>
        </r>
      </text>
    </comment>
    <comment ref="O9472" authorId="0" shapeId="0" xr:uid="{E0FFF11A-7A42-4825-9637-6142388B68B0}">
      <text>
        <r>
          <rPr>
            <sz val="9"/>
            <color indexed="81"/>
            <rFont val="Tahoma"/>
            <family val="2"/>
          </rPr>
          <t>LUCY\AGNES CORKER_x000D_
http://yeinfo.com/family/I09012353.html_x000D_
https://www.google.com/search?q=LUCY\AGNES+CORKER+1604+1700+JORDAN_x000D_
.born:c1604    -         ?Wiltshire county England_x000D_
.died: 1700    -          Jamestown (James City) Virginia, age:96y 0m 0d, _x000D_
.bapt: 1785GE_x000D_
.will: 2004MO_x000D_
.obit: 1890OH_x000D_
.bury: 1850IL _x000D_
.wpbt: 1826PA_x000D_
.anc#:ancestor_x000D_
citiz:immigrant_x000D_
#spos:1_x000D_
#srcs:4_x000D_
#comment:0_x000D_
#events:1_x000D_
#kids:3_x000D_
lived:?ENWILTS,?VAISLEW,VAJASCTJAMESTW_x000D_
issue:_x000D_
.recs:Birth,Marriage,Death_x000D_
.imm?:immigrant_x000D_
..Spo:THOMAS JORDAN</t>
        </r>
      </text>
    </comment>
    <comment ref="P9474" authorId="0" shapeId="0" xr:uid="{D9573032-D03F-4F09-B49C-3C1253F276A8}">
      <text>
        <r>
          <rPr>
            <sz val="9"/>
            <color indexed="81"/>
            <rFont val="Tahoma"/>
            <family val="2"/>
          </rPr>
          <t>Mrs. LUCY\ELIZABETH CORKER_x000D_
http://yeinfo.com/family/I09024707.html_x000D_
https://www.google.com/search?q=LUCY\ELIZABETH+CORKER+1588+1686+CORKER_x000D_
.born: 1588    -         ?Wiltshire county England_x000D_
.died:c1686    -          Virginia, age:98y 0m 0d, _x000D_
.bapt: 1785GE_x000D_
.will: 2004MO_x000D_
.obit: 1890OH_x000D_
.bury: 1850IL _x000D_
.wpbt: 1826PA_x000D_
.anc#:ancestor_x000D_
citiz:immigrant_x000D_
#spos:1_x000D_
#srcs:1_x000D_
#comment:0_x000D_
#events:1_x000D_
#kids:3_x000D_
lived:?ENWILTS,VAISLEW_x000D_
issue:_x000D_
.recs:Birth,Marriage,Death_x000D_
.imm?:immigrant_x000D_
..Spo:WILLIAM CORKER</t>
        </r>
      </text>
    </comment>
    <comment ref="M9476" authorId="0" shapeId="0" xr:uid="{1C6760C4-B7D8-4B17-A43D-6FE1C8C9C491}">
      <text>
        <r>
          <rPr>
            <sz val="9"/>
            <color indexed="81"/>
            <rFont val="Tahoma"/>
            <family val="2"/>
          </rPr>
          <t>JOSEPH JORDAN_x000D_
http://yeinfo.com/family/I09003088.html_x000D_
https://www.google.com/search?q=JOSEPH+JORDAN+1672+1726+HOLIA_x000D_
.born: 16720708-          _x000D_
.died: 17261125-          , age:54y 4m 17d, _x000D_
.bapt: 1785GE_x000D_
.will: 2004MO_x000D_
.obit: 1890OH_x000D_
.bury: 1850IL _x000D_
.wpbt: 1826PA_x000D_
.anc#:ancestor_x000D_
citiz:US born_x000D_
#spos:1_x000D_
#srcs:1_x000D_
#comment:0_x000D_
#events:1_x000D_
#kids:1_x000D_
lived:_x000D_
issue:_x000D_
.recs:Birth,Marriage,Death_x000D_
.imm?:no_x000D_
..Spo:HOLIA CHRISTIAN</t>
        </r>
      </text>
    </comment>
    <comment ref="T9478" authorId="0" shapeId="0" xr:uid="{92BCBE9C-740F-41C7-B54C-899D96CD6C14}">
      <text>
        <r>
          <rPr>
            <sz val="9"/>
            <color indexed="81"/>
            <rFont val="Tahoma"/>
            <family val="2"/>
          </rPr>
          <t>JEAN\JOHN BRASSE_x000D_
http://yeinfo.com/family/I09065909.html_x000D_
https://www.google.com/search?q=JEAN\JOHN+BRASSE+1425+1469+ISABELLE_x000D_
.born: 1425    -          Reims (Grand Est) France_x000D_
.died: 1469    -          Vaucluse (Marcelle) France, age:44y 0m 0d, _x000D_
.bapt: 1785GE_x000D_
.will: 2004MO_x000D_
.obit: 1890OH_x000D_
.bury: 1850IL _x000D_
.wpbt: 1826PA_x000D_
.anc#:ancestor_x000D_
citiz:foreign_x000D_
#spos:1_x000D_
#srcs:1_x000D_
#comment:0_x000D_
#events:1_x000D_
#kids:1_x000D_
lived:FRGRESTREIMS,FRMARCLVAUCLUS_x000D_
issue:_x000D_
.recs:Birth,Marriage,Death_x000D_
.imm?:no_x000D_
..Spo:ISABELLE RICS</t>
        </r>
      </text>
    </comment>
    <comment ref="S9480" authorId="0" shapeId="0" xr:uid="{4DDB3F5C-B0D3-4221-9E92-E500394D53DD}">
      <text>
        <r>
          <rPr>
            <sz val="9"/>
            <color indexed="81"/>
            <rFont val="Tahoma"/>
            <family val="2"/>
          </rPr>
          <t>JEAN BRASSE_x000D_
http://yeinfo.com/family/I09065762.html_x000D_
https://www.google.com/search?q=JEAN+BRASSE+1469+1557+CATHERINE_x000D_
.born: 1469    -          Vaucluse (Marcelle) France_x000D_
.died: 1557    -          Vaucluse (Marcelle) France, age:88y 0m 0d, _x000D_
.bapt: 1785GE_x000D_
.will: 2004MO_x000D_
.obit: 1890OH_x000D_
.bury: 1850IL _x000D_
.wpbt: 1826PA_x000D_
.anc#:ancestor_x000D_
citiz:foreign_x000D_
#spos:1_x000D_
#srcs:1_x000D_
#comment:0_x000D_
#events:1_x000D_
#kids:1_x000D_
lived:FRMARCLVAUCLUS_x000D_
issue:_x000D_
.recs:Birth,Marriage,Death_x000D_
.imm?:no_x000D_
..Spo:CATHERINE BELLEMANIERES</t>
        </r>
      </text>
    </comment>
    <comment ref="U9482" authorId="0" shapeId="0" xr:uid="{481E1E0B-DBF1-4AA0-B773-E518D7DAEF54}">
      <text>
        <r>
          <rPr>
            <sz val="9"/>
            <color indexed="81"/>
            <rFont val="Tahoma"/>
            <family val="2"/>
          </rPr>
          <t>BAUDET RICS_x000D_
http://yeinfo.com/family/I09066071.html_x000D_
https://www.google.com/search?q=BAUDET+RICS+1417+1445+{_?_}_x000D_
.born: 1417    -         ?France_x000D_
.died: 1445    -1507     ?France, age:28y 0m 0d, _x000D_
.bapt: 1785GE_x000D_
.will: 2004MO_x000D_
.obit: 1890OH_x000D_
.bury: 1850IL _x000D_
.wpbt: 1826PA_x000D_
.anc#:ancestor_x000D_
citiz:foreign_x000D_
#spos:1_x000D_
#srcs:1_x000D_
#comment:0_x000D_
#events:1_x000D_
#kids:1_x000D_
lived:?FR_x000D_
issue:_x000D_
.recs:Birth,Marriage,Death_x000D_
.imm?:no_x000D_
..Spo:{_?_} RICS</t>
        </r>
      </text>
    </comment>
    <comment ref="T9484" authorId="0" shapeId="0" xr:uid="{D65E39E8-09F6-47BD-9A39-15217E88BD61}">
      <text>
        <r>
          <rPr>
            <sz val="9"/>
            <color indexed="81"/>
            <rFont val="Tahoma"/>
            <family val="2"/>
          </rPr>
          <t>ISABELLE RICS_x000D_
http://yeinfo.com/family/I09065910.html_x000D_
https://www.google.com/search?q=ISABELLE+RICS+1445+1469+BRASSE_x000D_
.born: 1445    -         ?France_x000D_
.died: 1469    -1535     ?France, age:24y 0m 0d, _x000D_
.bapt: 1785GE_x000D_
.will: 2004MO_x000D_
.obit: 1890OH_x000D_
.bury: 1850IL _x000D_
.wpbt: 1826PA_x000D_
.anc#:ancestor_x000D_
citiz:foreign_x000D_
#spos:1_x000D_
#srcs:1_x000D_
#comment:0_x000D_
#events:1_x000D_
#kids:1_x000D_
lived:?FR_x000D_
issue:_x000D_
.recs:Birth,Marriage,Death_x000D_
.imm?:no_x000D_
..Spo:JEAN\JOHN BRASSE</t>
        </r>
      </text>
    </comment>
    <comment ref="U9486" authorId="0" shapeId="0" xr:uid="{C5DF34AB-A777-484F-AEBC-3B1E471312CD}">
      <text>
        <r>
          <rPr>
            <sz val="9"/>
            <color indexed="81"/>
            <rFont val="Tahoma"/>
            <family val="2"/>
          </rPr>
          <t>Mrs. {_?_} RICS_x000D_
http://yeinfo.com/family/I09066072.html_x000D_
https://www.google.com/search?q={_?_}+RICS+1420+1445+RICS_x000D_
.born:?1420    -         ?France_x000D_
.died: 1445    -1510     ?France, age:25y 0m 0d, _x000D_
.bapt: 1785GE_x000D_
.will: 2004MO_x000D_
.obit: 1890OH_x000D_
.bury: 1850IL _x000D_
.wpbt: 1826PA_x000D_
.anc#:ancestor_x000D_
citiz:foreign_x000D_
#spos:1_x000D_
#srcs:1_x000D_
#comment:0_x000D_
#events:1_x000D_
#kids:1_x000D_
lived:?FR_x000D_
issue:_x000D_
.recs:Birth,Marriage,Death_x000D_
.imm?:no_x000D_
..Spo:BAUDET RICS</t>
        </r>
      </text>
    </comment>
    <comment ref="R9488" authorId="0" shapeId="0" xr:uid="{98634377-DD2F-4AD9-8139-A6470D119206}">
      <text>
        <r>
          <rPr>
            <sz val="9"/>
            <color indexed="81"/>
            <rFont val="Tahoma"/>
            <family val="2"/>
          </rPr>
          <t>BARTHELEMY DEJOCAS BRASSE_x000D_
http://yeinfo.com/family/I09065635.html_x000D_
https://www.google.com/search?q=BARTHELEMY+DEJOCAS+BRASSE+1515+1556+ESPRITE_x000D_
.born: 1515    -          Vaucluse (Marcelle) France_x000D_
.died: 1556    -          France, age:41y 0m 0d, _x000D_
.bapt: 1785GE_x000D_
.will: 2004MO_x000D_
.obit: 1890OH_x000D_
.bury: 1850IL _x000D_
.wpbt: 1826PA_x000D_
.anc#:ancestor_x000D_
citiz:foreign_x000D_
#spos:1_x000D_
#srcs:1_x000D_
#comment:0_x000D_
#events:1_x000D_
#kids:3_x000D_
lived:FRMARCLVAUCLUS_x000D_
issue:_x000D_
.recs:Birth,Marriage,Death_x000D_
.imm?:no_x000D_
..Spo:ESPRITE CHOISELANT</t>
        </r>
      </text>
    </comment>
    <comment ref="S9490" authorId="0" shapeId="0" xr:uid="{CBF83EBC-2F3E-4BDA-8E2A-03798336CB7F}">
      <text>
        <r>
          <rPr>
            <sz val="9"/>
            <color indexed="81"/>
            <rFont val="Tahoma"/>
            <family val="2"/>
          </rPr>
          <t>CATHERINE BELLEMANIERES_x000D_
http://yeinfo.com/family/I09065763.html_x000D_
https://www.google.com/search?q=CATHERINE+BELLEMANIERES+1480+1515+BRASSE_x000D_
.born: 1480    -          Vaucluse (Marcelle) France_x000D_
.died: 1515    -1570      Vaucluse (Marcelle) France, age:35y 0m 0d, _x000D_
.bapt: 1785GE_x000D_
.will: 2004MO_x000D_
.obit: 1890OH_x000D_
.bury: 1850IL _x000D_
.wpbt: 1826PA_x000D_
.anc#:ancestor_x000D_
citiz:foreign_x000D_
#spos:1_x000D_
#srcs:1_x000D_
#comment:0_x000D_
#events:1_x000D_
#kids:1_x000D_
lived:FRMARCLVAUCLUS_x000D_
issue:Died after Age 100_x000D_
.recs:Birth,Marriage,Death_x000D_
.imm?:no_x000D_
..Spo:JEAN BRASSE</t>
        </r>
      </text>
    </comment>
    <comment ref="Q9492" authorId="0" shapeId="0" xr:uid="{B907D695-4944-4860-9434-92CB7E806300}">
      <text>
        <r>
          <rPr>
            <sz val="9"/>
            <color indexed="81"/>
            <rFont val="Tahoma"/>
            <family val="2"/>
          </rPr>
          <t>ESPRIT DEJOCAS BRASSE_x000D_
http://yeinfo.com/family/I09049416.html_x000D_
https://www.google.com/search?q=ESPRIT+DEJOCAS+BRASSE+1549+1592+FRANCOISE_x000D_
.born: 1549    -          Vaucluse (Marcelle) France_x000D_
.died: 15920228-         ?France, age:43y 1m 27d, _x000D_
.bapt: 1785GE_x000D_
.will: 2004MO_x000D_
.obit: 1890OH_x000D_
.bury: 1850IL _x000D_
.wpbt: 1826PA_x000D_
.anc#:ancestor_x000D_
citiz:foreign_x000D_
#spos:1_x000D_
#srcs:1_x000D_
#comment:0_x000D_
#events:1_x000D_
#kids:1_x000D_
lived:FRMARCLVAUCLUS_x000D_
issue:_x000D_
.recs:Birth,Marriage,Death_x000D_
.imm?:no_x000D_
..Spo:FRANCOISE JARENTE</t>
        </r>
      </text>
    </comment>
    <comment ref="S9494" authorId="0" shapeId="0" xr:uid="{66AE70F2-DC05-4E83-B610-5AB4B6E647FC}">
      <text>
        <r>
          <rPr>
            <sz val="9"/>
            <color indexed="81"/>
            <rFont val="Tahoma"/>
            <family val="2"/>
          </rPr>
          <t>THOMAS CHOISELANT_x000D_
http://yeinfo.com/family/I09065764.html_x000D_
https://www.google.com/search?q=THOMAS+CHOISELANT+1495+1527+JANNE_x000D_
.born: 1495    -          Vaucluse (Marcelle) France_x000D_
.died: 1527    -1585      Vaucluse (Marcelle) France, age:32y 0m 0d, _x000D_
.bapt: 1785GE_x000D_
.will: 2004MO_x000D_
.obit: 1890OH_x000D_
.bury: 1850IL _x000D_
.wpbt: 1826PA_x000D_
.anc#:ancestor_x000D_
citiz:foreign_x000D_
#spos:1_x000D_
#srcs:1_x000D_
#comment:0_x000D_
#events:1_x000D_
#kids:1_x000D_
lived:FRMARCLVAUCLUS_x000D_
issue:_x000D_
.recs:Birth,Marriage,Death_x000D_
.imm?:no_x000D_
..Spo:JANNE AVIGNON</t>
        </r>
      </text>
    </comment>
    <comment ref="R9496" authorId="0" shapeId="0" xr:uid="{F7D81CB9-68D0-4A92-97A9-6AED3A928271}">
      <text>
        <r>
          <rPr>
            <sz val="9"/>
            <color indexed="81"/>
            <rFont val="Tahoma"/>
            <family val="2"/>
          </rPr>
          <t>ESPRITE CHOISELANT_x000D_
http://yeinfo.com/family/I09065636.html_x000D_
https://www.google.com/search?q=ESPRITE+CHOISELANT+1527+1549+BRASSE_x000D_
.born: 1527    -          Vaucluse (Marcelle) France_x000D_
.died: 1549    -1617     ?France, age:22y 0m 0d, _x000D_
.bapt: 1785GE_x000D_
.will: 2004MO_x000D_
.obit: 1890OH_x000D_
.bury: 1850IL _x000D_
.wpbt: 1826PA_x000D_
.anc#:ancestor_x000D_
citiz:foreign_x000D_
#spos:1_x000D_
#srcs:1_x000D_
#comment:0_x000D_
#events:1_x000D_
#kids:3_x000D_
lived:FRMARCLVAUCLUS_x000D_
issue:_x000D_
.recs:Birth,Marriage,Death_x000D_
.imm?:no_x000D_
..Spo:BARTHELEMY DEJOCAS BRASSE</t>
        </r>
      </text>
    </comment>
    <comment ref="S9498" authorId="0" shapeId="0" xr:uid="{E28A7365-7425-4D6D-905C-7A1695044825}">
      <text>
        <r>
          <rPr>
            <sz val="9"/>
            <color indexed="81"/>
            <rFont val="Tahoma"/>
            <family val="2"/>
          </rPr>
          <t>JANNE AVIGNON_x000D_
http://yeinfo.com/family/I09065765.html_x000D_
https://www.google.com/search?q=JANNE+AVIGNON+1508+1528+CHOISELANT_x000D_
.born: 1508    -          Vaucluse (Marcelle) France_x000D_
.died: 1528    -1598      Vaucluse (Marcelle) France, age:20y 0m 0d, _x000D_
.bapt: 1785GE_x000D_
.will: 2004MO_x000D_
.obit: 1890OH_x000D_
.bury: 1850IL _x000D_
.wpbt: 1826PA_x000D_
.anc#:ancestor_x000D_
citiz:foreign_x000D_
#spos:1_x000D_
#srcs:1_x000D_
#comment:0_x000D_
#events:1_x000D_
#kids:1_x000D_
lived:FRMARCLVAUCLUS_x000D_
issue:_x000D_
.recs:Birth,Marriage,Death_x000D_
.imm?:no_x000D_
..Spo:THOMAS CHOISELANT</t>
        </r>
      </text>
    </comment>
    <comment ref="P9500" authorId="0" shapeId="0" xr:uid="{B05B7EDD-D7BC-4C2C-9F24-B6A8CB3DEF82}">
      <text>
        <r>
          <rPr>
            <sz val="9"/>
            <color indexed="81"/>
            <rFont val="Tahoma"/>
            <family val="2"/>
          </rPr>
          <t>ALLEMAND DEJOCAS BRASSE_x000D_
http://yeinfo.com/family/I09024708.html_x000D_
https://www.google.com/search?q=ALLEMAND+DEJOCAS+BRASSE+1575+1625+MADELLINE_x000D_
.born: 1575    -          Vaucluse (Marcelle) France_x000D_
.died: 16251216-         ?France, age:50y 11m 15d, _x000D_
.bapt: 1785GE_x000D_
.will: 2004MO_x000D_
.obit: 1890OH_x000D_
.bury: 1850IL _x000D_
.wpbt: 1826PA_x000D_
.anc#:ancestor_x000D_
citiz:foreign_x000D_
#spos:1_x000D_
#srcs:3_x000D_
#comment:0_x000D_
#events:1_x000D_
#kids:1_x000D_
lived:FRMARCLVAUCLUS_x000D_
issue:_x000D_
.recs:Birth,Marriage,Death_x000D_
.imm?:no_x000D_
..Spo:MADELLINE CHEILUS</t>
        </r>
      </text>
    </comment>
    <comment ref="Q9502" authorId="0" shapeId="0" xr:uid="{42D6396B-2298-4C0E-B645-2757B96EF80F}">
      <text>
        <r>
          <rPr>
            <sz val="9"/>
            <color indexed="81"/>
            <rFont val="Tahoma"/>
            <family val="2"/>
          </rPr>
          <t>FRANCOISE JARENTE_x000D_
http://yeinfo.com/family/I09049417.html_x000D_
https://www.google.com/search?q=FRANCOISE+JARENTE+1549+1575+BRASSE_x000D_
.born: 1549    -          Vaucluse (Marcelle) France_x000D_
.died: 1575    -1639     ?France, age:26y 0m 0d, _x000D_
.bapt: 1785GE_x000D_
.will: 2004MO_x000D_
.obit: 1890OH_x000D_
.bury: 1850IL _x000D_
.wpbt: 1826PA_x000D_
.anc#:ancestor_x000D_
citiz:foreign_x000D_
#spos:1_x000D_
#srcs:1_x000D_
#comment:0_x000D_
#events:1_x000D_
#kids:1_x000D_
lived:FRMARCLVAUCLUS_x000D_
issue:_x000D_
.recs:Birth,Marriage,Death_x000D_
.imm?:no_x000D_
..Spo:ESPRIT DEJOCAS BRASSE</t>
        </r>
      </text>
    </comment>
    <comment ref="O9504" authorId="0" shapeId="0" xr:uid="{81615E03-B919-4C8F-BD95-21FC9CC6439C}">
      <text>
        <r>
          <rPr>
            <sz val="9"/>
            <color indexed="81"/>
            <rFont val="Tahoma"/>
            <family val="2"/>
          </rPr>
          <t>ROBERT BRASSE_x000D_
http://yeinfo.com/family/I09012354.html_x000D_
https://www.google.com/search?q=ROBERT+BRASSE+1597+1665+FLORENCE\ELIZABETH+ELIZABETH_x000D_
.born:c1597    -          Avignon (Provecal) France_x000D_
.died: 16651216-          Calvert county Maryland, age:68y 11m 15d, _x000D_
.bapt: 1785GE_x000D_
.will: 2004MO_x000D_
.obit: 1890OH_x000D_
.bury: 1850IL _x000D_
.wpbt: 1826PA_x000D_
.anc#:ancestor_x000D_
citiz:immigrant_x000D_
#spos:1_x000D_
#srcs:2_x000D_
#comment:0_x000D_
#events:2_x000D_
#kids:11_x000D_
lived:FRPROVCAVIGNON,MDANNEAANNAPOL,MDCALVE_x000D_
issue:_x000D_
.recs:Birth,Marriage,Will Written,Death_x000D_
.imm?:immigrant_x000D_
..Spo:FLORENCE\ELIZABETH ELIZABETH FOWKE</t>
        </r>
      </text>
    </comment>
    <comment ref="Q9506" authorId="0" shapeId="0" xr:uid="{F4EFDA30-36E7-4DCB-A8F0-28D862139A59}">
      <text>
        <r>
          <rPr>
            <sz val="9"/>
            <color indexed="81"/>
            <rFont val="Tahoma"/>
            <family val="2"/>
          </rPr>
          <t>JEAN PIERRE CHEILUS_x000D_
http://yeinfo.com/family/I09049418.html_x000D_
https://www.google.com/search?q=JEAN+PIERRE+CHEILUS+1544+1578+LOUISE+ALLEMAN_x000D_
.born: 1544    -          Vaucluse (Marcelle) France_x000D_
.died: 1578    -1634     ?France, age:34y 0m 0d, _x000D_
.bapt: 1785GE_x000D_
.will: 2004MO_x000D_
.obit: 1890OH_x000D_
.bury: 1850IL _x000D_
.wpbt: 1826PA_x000D_
.anc#:ancestor_x000D_
citiz:foreign_x000D_
#spos:1_x000D_
#srcs:1_x000D_
#comment:0_x000D_
#events:1_x000D_
#kids:3_x000D_
lived:FRMARCLVAUCLUS_x000D_
issue:_x000D_
.recs:Birth,Marriage,Death_x000D_
.imm?:no_x000D_
..Spo:LOUISE ALLEMAN CHATEAUNEUF</t>
        </r>
      </text>
    </comment>
    <comment ref="P9508" authorId="0" shapeId="0" xr:uid="{ED2D0188-ADB9-4448-B7BD-E2E4593EE1E4}">
      <text>
        <r>
          <rPr>
            <sz val="9"/>
            <color indexed="81"/>
            <rFont val="Tahoma"/>
            <family val="2"/>
          </rPr>
          <t>MADELLINE CHEILUS_x000D_
http://yeinfo.com/family/I09024709.html_x000D_
https://www.google.com/search?q=MADELLINE+CHEILUS+1575+1597+BRASSE_x000D_
.born: 1575    -          Vaucluse (Marcelle) France_x000D_
.died: 1597    -1665     ?France, age:22y 0m 0d, _x000D_
.bapt: 1785GE_x000D_
.will: 2004MO_x000D_
.obit: 1890OH_x000D_
.bury: 1850IL _x000D_
.wpbt: 1826PA_x000D_
.anc#:ancestor_x000D_
citiz:foreign_x000D_
#spos:1_x000D_
#srcs:3_x000D_
#comment:0_x000D_
#events:1_x000D_
#kids:1_x000D_
lived:FRMARCLVAUCLUS_x000D_
issue:_x000D_
.recs:Birth,Marriage,Death_x000D_
.imm?:no_x000D_
..Spo:ALLEMAND DEJOCAS BRASSE</t>
        </r>
      </text>
    </comment>
    <comment ref="Q9510" authorId="0" shapeId="0" xr:uid="{45D503F3-2638-4FC5-BF79-651961BA996E}">
      <text>
        <r>
          <rPr>
            <sz val="9"/>
            <color indexed="81"/>
            <rFont val="Tahoma"/>
            <family val="2"/>
          </rPr>
          <t>LOUISE ALLEMAN CHATEAUNEUF_x000D_
http://yeinfo.com/family/I09049419.html_x000D_
https://www.google.com/search?q=LOUISE+ALLEMAN+CHATEAUNEUF+1556+1578+CHEILUS_x000D_
.born: 1556    -          Vaucluse (Marcelle) France_x000D_
.died: 1578    -1646     ?France, age:22y 0m 0d, _x000D_
.bapt: 1785GE_x000D_
.will: 2004MO_x000D_
.obit: 1890OH_x000D_
.bury: 1850IL _x000D_
.wpbt: 1826PA_x000D_
.anc#:ancestor_x000D_
citiz:foreign_x000D_
#spos:1_x000D_
#srcs:1_x000D_
#comment:0_x000D_
#events:1_x000D_
#kids:3_x000D_
lived:FRMARCLVAUCLUS_x000D_
issue:Died after Age 100_x000D_
.recs:Birth,Marriage,Death_x000D_
.imm?:no_x000D_
..Spo:JEAN PIERRE CHEILUS</t>
        </r>
      </text>
    </comment>
    <comment ref="N9512" authorId="0" shapeId="0" xr:uid="{994DAF63-6F3D-4CA8-87D4-ABBB9545DD04}">
      <text>
        <r>
          <rPr>
            <sz val="9"/>
            <color indexed="81"/>
            <rFont val="Tahoma"/>
            <family val="2"/>
          </rPr>
          <t>MARGARET BRASSE_x000D_
http://yeinfo.com/family/I09006177.html_x000D_
https://www.google.com/search?q=MARGARET+BRASSE+1642+1708+JORDAN_x000D_
.born: 16420907-          Chuckatuck (Suffolk) Virginia_x000D_
.died: 17081007-          Chuckatuck (Suffolk) Virginia, age:66y 1m 0d, _x000D_
.bapt: 1785GE_x000D_
.will: 2004MO_x000D_
.obit: 1890OH_x000D_
.bury: 1850IL _x000D_
.wpbt: 1826PA_x000D_
.anc#:ancestor_x000D_
citiz:US born_x000D_
#spos:1_x000D_
#srcs:2_x000D_
#comment:0_x000D_
#events:1_x000D_
#kids:1_x000D_
lived:VANANSE,VASUFFOCHUCKAT_x000D_
issue:_x000D_
.recs:Birth,Marriage,Death_x000D_
.imm?:no_x000D_
..Spo:THOMAS JORDAN</t>
        </r>
      </text>
    </comment>
    <comment ref="Q9514" authorId="0" shapeId="0" xr:uid="{B801FC69-22FE-4F8A-9C50-3D08ECEDA788}">
      <text>
        <r>
          <rPr>
            <sz val="9"/>
            <color indexed="81"/>
            <rFont val="Tahoma"/>
            <family val="2"/>
          </rPr>
          <t>GERALD FOWKE_x000D_
http://yeinfo.com/family/I09049420.html_x000D_
https://www.google.com/search?q=GERALD+FOWKE+1550+1574+MARY_x000D_
.born: 1550    -         ?France_x000D_
.died: 1574    -1640      , age:24y 0m 0d, _x000D_
.bapt: 1785GE_x000D_
.will: 2004MO_x000D_
.obit: 1890OH_x000D_
.bury: 1850IL _x000D_
.wpbt: 1826PA_x000D_
.anc#:ancestor_x000D_
citiz:foreign_x000D_
#spos:1_x000D_
#srcs:1_x000D_
#comment:0_x000D_
#events:1_x000D_
#kids:1_x000D_
lived:?FR_x000D_
issue:_x000D_
.recs:Birth,Marriage,Death_x000D_
.imm?:no_x000D_
..Spo:MARY BURDETT</t>
        </r>
      </text>
    </comment>
    <comment ref="P9516" authorId="0" shapeId="0" xr:uid="{8DB93D2E-FE91-4BC5-AD31-15D250D65D73}">
      <text>
        <r>
          <rPr>
            <sz val="9"/>
            <color indexed="81"/>
            <rFont val="Tahoma"/>
            <family val="2"/>
          </rPr>
          <t>CHANDLER FOWKE_x000D_
http://yeinfo.com/family/I09024710.html_x000D_
https://www.google.com/search?q=CHANDLER+FOWKE+1574+1623+{_?_}_x000D_
.born: 1574    -          France_x000D_
.died: 1623    -          , age:49y 0m 0d, _x000D_
.bapt: 1785GE_x000D_
.will: 2004MO_x000D_
.obit: 1890OH_x000D_
.bury: 1850IL _x000D_
.wpbt: 1826PA_x000D_
.anc#:ancestor_x000D_
citiz:US born_x000D_
#spos:1_x000D_
#srcs:2_x000D_
#comment:0_x000D_
#events:1_x000D_
#kids:1_x000D_
lived:FR_x000D_
issue:_x000D_
.recs:Birth,Marriage,Death_x000D_
.imm?:no_x000D_
..Spo:{_?_} FOWKE</t>
        </r>
      </text>
    </comment>
    <comment ref="Q9518" authorId="0" shapeId="0" xr:uid="{BB2D7940-C9EF-4023-BFDE-55C292C95FD1}">
      <text>
        <r>
          <rPr>
            <sz val="9"/>
            <color indexed="81"/>
            <rFont val="Tahoma"/>
            <family val="2"/>
          </rPr>
          <t>MARY BURDETT_x000D_
http://yeinfo.com/family/I09049421.html_x000D_
https://www.google.com/search?q=MARY+BURDETT+1553+1574+FOWKE_x000D_
.born:c1553    -         ?France_x000D_
.died: 1574    -1643      , age:21y 0m 0d, _x000D_
.bapt: 1785GE_x000D_
.will: 2004MO_x000D_
.obit: 1890OH_x000D_
.bury: 1850IL _x000D_
.wpbt: 1826PA_x000D_
.anc#:ancestor_x000D_
citiz:foreign_x000D_
#spos:1_x000D_
#srcs:2_x000D_
#comment:2_x000D_
#events:1_x000D_
#kids:1_x000D_
lived:?FR_x000D_
issue:_x000D_
.recs:Birth,Marriage,Death_x000D_
.imm?:no_x000D_
..Spo:GERALD FOWKE</t>
        </r>
      </text>
    </comment>
    <comment ref="O9520" authorId="0" shapeId="0" xr:uid="{ADBC654E-6701-4A70-8354-60529DEA339B}">
      <text>
        <r>
          <rPr>
            <sz val="9"/>
            <color indexed="81"/>
            <rFont val="Tahoma"/>
            <family val="2"/>
          </rPr>
          <t>FLORENCE\ELIZABETH ELIZABETH FOWKE_x000D_
http://yeinfo.com/family/I09012355.html_x000D_
https://www.google.com/search?q=FLORENCE\ELIZABETH+ELIZABETH+FOWKE+1602+1646+BRASSE_x000D_
.born: 1602    -         ?_x000D_
.died: 1646    -1692     ?, age:44y 0m 0d, _x000D_
.bapt: 1785GE_x000D_
.will: 2004MO_x000D_
.obit: 1890OH_x000D_
.bury: 1850IL _x000D_
.wpbt: 1826PA_x000D_
.anc#:ancestor_x000D_
citiz:US born_x000D_
#spos:1_x000D_
#srcs:4_x000D_
#comment:0_x000D_
#events:1_x000D_
#kids:11_x000D_
lived:FR_x000D_
issue:_x000D_
.recs:Birth,Marriage,Death_x000D_
.imm?:no_x000D_
..Spo:ROBERT BRASSE</t>
        </r>
      </text>
    </comment>
    <comment ref="P9522" authorId="0" shapeId="0" xr:uid="{96696FD6-C417-451D-B104-3B8DB9828F1D}">
      <text>
        <r>
          <rPr>
            <sz val="9"/>
            <color indexed="81"/>
            <rFont val="Tahoma"/>
            <family val="2"/>
          </rPr>
          <t>Mrs. {_?_} FOWKE_x000D_
http://yeinfo.com/family/I09024711.html_x000D_
https://www.google.com/search?q={_?_}+FOWKE+1575+1602+FOWKE_x000D_
.born:c1575    -          France_x000D_
.died: 1602    -1665      Calvert (Cecil) Maryland, age:27y 0m 0d, _x000D_
.bapt: 1785GE_x000D_
.will: 2004MO_x000D_
.obit: 1890OH_x000D_
.bury: 1850IL _x000D_
.wpbt: 1826PA_x000D_
.anc#:ancestor_x000D_
citiz:immigrant_x000D_
#spos:1_x000D_
#srcs:2_x000D_
#comment:0_x000D_
#events:1_x000D_
#kids:1_x000D_
lived:FR,MDCECILCALVE_x000D_
issue:_x000D_
.recs:Birth,Marriage,Death_x000D_
.imm?:immigrant_x000D_
..Spo:CHANDLER FOWKE</t>
        </r>
      </text>
    </comment>
    <comment ref="L9524" authorId="0" shapeId="0" xr:uid="{1E2B9151-0ACB-46F2-BC9F-7B02572D1C9E}">
      <text>
        <r>
          <rPr>
            <sz val="9"/>
            <color indexed="81"/>
            <rFont val="Tahoma"/>
            <family val="2"/>
          </rPr>
          <t>JOSEPH JORDAN_x000D_
http://yeinfo.com/family/I09001544.html_x000D_
https://www.google.com/search?q=JOSEPH+JORDAN+1700+1752+MARY_x000D_
.born: 1700    -          _x000D_
.died: 175212  -          , age:52y 11m 0d, _x000D_
.bapt: 1785GE_x000D_
.will: 2004MO_x000D_
.obit: 1890OH_x000D_
.bury: 1850IL _x000D_
.wpbt: 1826PA_x000D_
.anc#:ancestor_x000D_
citiz:US born_x000D_
#spos:1_x000D_
#srcs:1_x000D_
#comment:0_x000D_
#events:1_x000D_
#kids:1_x000D_
lived:VAISLEW_x000D_
issue:_x000D_
.recs:Birth,Marriage,Death_x000D_
.imm?:no_x000D_
..Spo:MARY RICKS</t>
        </r>
      </text>
    </comment>
    <comment ref="O9526" authorId="0" shapeId="0" xr:uid="{BC6AA82F-4268-403A-9738-F990A50FC6DC}">
      <text>
        <r>
          <rPr>
            <sz val="9"/>
            <color indexed="81"/>
            <rFont val="Tahoma"/>
            <family val="2"/>
          </rPr>
          <t>WILLIAM DHONE CHRISTIAN_x000D_
http://yeinfo.com/family/I09012356.html_x000D_
https://www.google.com/search?q=WILLIAM+DHONE+CHRISTIAN+1608+1648+ELIZABETH+Collier_x000D_
.born: 16080414-          Lezayre (Isle of Man) England_x000D_
.died: 1648    -1698      Kirk Malew (Isle of Man) England, age:39y 8m 18d, _x000D_
.bapt: 1785GE_x000D_
.will: 2004MO_x000D_
.obit: 1890OH_x000D_
.bury: 1850IL _x000D_
.wpbt: 1826PA_x000D_
.anc#:ancestor_x000D_
citiz:foreign_x000D_
#spos:2_x000D_
#srcs:2_x000D_
#comment:0_x000D_
#events:2_x000D_
#kids:10_x000D_
lived:ENISLEMKIRK MA,ENISLEMLEZAYRE_x000D_
issue:_x000D_
.recs:Birth,Marriage,Death_x000D_
.imm?:no_x000D_
..Spo:ELIZABETH COCKSHUTT</t>
        </r>
      </text>
    </comment>
    <comment ref="N9528" authorId="0" shapeId="0" xr:uid="{2CBB05E6-769D-4731-B2A6-039C27D85C94}">
      <text>
        <r>
          <rPr>
            <sz val="9"/>
            <color indexed="81"/>
            <rFont val="Tahoma"/>
            <family val="2"/>
          </rPr>
          <t>THOMAS CHRISTIAN_x000D_
http://yeinfo.com/family/I09006178.html_x000D_
https://www.google.com/search?q=THOMAS+CHRISTIAN+1635+1700+ELLINOR_x000D_
.born:c1635    -          Onchan (Isle of Man) England_x000D_
.died: 17000621-          England, age:65y 5m 20d, _x000D_
.bapt: 1785GE_x000D_
.will: 2004MO_x000D_
.obit: 1890OH_x000D_
.bury: 1850IL _x000D_
.wpbt: 1826PA_x000D_
.anc#:ancestor_x000D_
citiz:foreign_x000D_
#spos:1_x000D_
#srcs:2_x000D_
#comment:0_x000D_
#events:1_x000D_
#kids:13_x000D_
lived:ENISLEMONCHAN,VACHACICHARLEC_x000D_
issue:_x000D_
.recs:Birth,Marriage,Death_x000D_
.imm?:no_x000D_
..Spo:ELLINOR KEWLEY</t>
        </r>
      </text>
    </comment>
    <comment ref="O9530" authorId="0" shapeId="0" xr:uid="{3696681C-BC6A-41AA-A9BA-FA2EDF12576C}">
      <text>
        <r>
          <rPr>
            <sz val="9"/>
            <color indexed="81"/>
            <rFont val="Tahoma"/>
            <family val="2"/>
          </rPr>
          <t>ELIZABETH COCKSHUTT_x000D_
http://yeinfo.com/family/I09012357.html_x000D_
https://www.google.com/search?q=ELIZABETH+COCKSHUTT+1608+1648+CHRISTIAN_x000D_
.born:c1608    -          England_x000D_
.died: 1648    -          Isle of Man county England, age:40y 0m 0d, _x000D_
.bapt: 1785GE_x000D_
.will: 2004MO_x000D_
.obit: 1890OH_x000D_
.bury: 1850IL _x000D_
.wpbt: 1826PA_x000D_
.anc#:ancestor_x000D_
citiz:foreign_x000D_
#spos:1_x000D_
#srcs:2_x000D_
#comment:0_x000D_
#events:1_x000D_
#kids:10_x000D_
lived:?ENISLEM,EN_x000D_
issue:_x000D_
.recs:Birth,Marriage,Death_x000D_
.imm?:no_x000D_
..Spo:WILLIAM DHONE CHRISTIAN</t>
        </r>
      </text>
    </comment>
    <comment ref="M9532" authorId="0" shapeId="0" xr:uid="{1E376C29-94A6-41D1-BEAF-23A38C9A6D0D}">
      <text>
        <r>
          <rPr>
            <sz val="9"/>
            <color indexed="81"/>
            <rFont val="Tahoma"/>
            <family val="2"/>
          </rPr>
          <t>HOLIA CHRISTIAN_x000D_
http://yeinfo.com/family/I09003089.html_x000D_
https://www.google.com/search?q=HOLIA+CHRISTIAN+1675+1725+JORDAN_x000D_
.born: 1675    -          Charles City (Charles City) Virginia_x000D_
.died: 1725    -          Perquimans county North Carolina, age:50y 0m 0d, _x000D_
.bapt: 1785GE_x000D_
.will: 2004MO_x000D_
.obit: 1890OH_x000D_
.bury: 1850IL _x000D_
.wpbt: 1826PA_x000D_
.anc#:ancestor_x000D_
citiz:US born_x000D_
#spos:1_x000D_
#srcs:2_x000D_
#comment:0_x000D_
#events:1_x000D_
#kids:1_x000D_
lived:NCPERQU,VACHACICHARLEC_x000D_
issue:_x000D_
.recs:Birth,Marriage,Death_x000D_
.imm?:no_x000D_
..Spo:JOSEPH JORDAN</t>
        </r>
      </text>
    </comment>
    <comment ref="O9534" authorId="0" shapeId="0" xr:uid="{CE8546B9-D80D-49E9-B85C-4E00B27107F0}">
      <text>
        <r>
          <rPr>
            <sz val="9"/>
            <color indexed="81"/>
            <rFont val="Tahoma"/>
            <family val="2"/>
          </rPr>
          <t>JAMES KEWLEY_x000D_
http://yeinfo.com/family/I09012358.html_x000D_
https://www.google.com/search?q=JAMES+KEWLEY+1610+1640+CATHERINE_x000D_
.born: 1610    -          Douglas (Isle of Man) England_x000D_
.died: 1640    -1700      Douglas (Isle of Man) England, age:30y 0m 0d, _x000D_
.bapt: 1785GE_x000D_
.will: 2004MO_x000D_
.obit: 1890OH_x000D_
.bury: 1850IL _x000D_
.wpbt: 1826PA_x000D_
.anc#:ancestor_x000D_
citiz:foreign_x000D_
#spos:1_x000D_
#srcs:1_x000D_
#comment:0_x000D_
#events:1_x000D_
#kids:1_x000D_
lived:ENISLEMDOUGLAS_x000D_
issue:_x000D_
.recs:Birth,Marriage,Death_x000D_
.imm?:no_x000D_
..Spo:CATHERINE CHRISTIAN</t>
        </r>
      </text>
    </comment>
    <comment ref="N9536" authorId="0" shapeId="0" xr:uid="{72EBF7E2-9B2C-43E9-BE4A-53B1309AAC7B}">
      <text>
        <r>
          <rPr>
            <sz val="9"/>
            <color indexed="81"/>
            <rFont val="Tahoma"/>
            <family val="2"/>
          </rPr>
          <t>ELLINOR KEWLEY_x000D_
http://yeinfo.com/family/I09006179.html_x000D_
https://www.google.com/search?q=ELLINOR+KEWLEY+1640+1688+CHRISTIAN_x000D_
.born:c1640    -          Douglas (Isle of Man) England_x000D_
.died: 1688    -          Charles City (Charles City) Virginia, age:48y 0m 0d, _x000D_
.bapt: 1785GE_x000D_
.will: 2004MO_x000D_
.obit: 1890OH_x000D_
.bury: 1850IL _x000D_
.wpbt: 1826PA_x000D_
.anc#:ancestor_x000D_
citiz:immigrant_x000D_
#spos:1_x000D_
#srcs:1_x000D_
#comment:0_x000D_
#events:1_x000D_
#kids:13_x000D_
lived:ENISLEMDOUGLAS,VACHACICHARLEC_x000D_
issue:_x000D_
.recs:Birth,Marriage,Death_x000D_
.imm?:immigrant_x000D_
..Spo:THOMAS CHRISTIAN</t>
        </r>
      </text>
    </comment>
    <comment ref="O9538" authorId="0" shapeId="0" xr:uid="{91C0AEA0-BC08-48E4-8424-30776A7D51AE}">
      <text>
        <r>
          <rPr>
            <sz val="9"/>
            <color indexed="81"/>
            <rFont val="Tahoma"/>
            <family val="2"/>
          </rPr>
          <t>CATHERINE CHRISTIAN_x000D_
http://yeinfo.com/family/I09012359.html_x000D_
https://www.google.com/search?q=CATHERINE+CHRISTIAN+1615+1695+KEWLEY_x000D_
.born: 1615    -         ?England_x000D_
.died:c1695    -          , age:80y 0m 0d, _x000D_
.bapt: 1785GE_x000D_
.will: 2004MO_x000D_
.obit: 1890OH_x000D_
.bury: 1850IL _x000D_
.wpbt: 1826PA_x000D_
.anc#:ancestor_x000D_
citiz:US born_x000D_
#spos:1_x000D_
#srcs:1_x000D_
#comment:0_x000D_
#events:1_x000D_
#kids:1_x000D_
lived:?EN_x000D_
issue:_x000D_
.recs:Birth,Marriage,Death_x000D_
.imm?:no_x000D_
..Spo:JAMES KEWLEY</t>
        </r>
      </text>
    </comment>
    <comment ref="K9540" authorId="0" shapeId="0" xr:uid="{07071B0A-4E55-42E6-8BD0-129EE9D5C1A3}">
      <text>
        <r>
          <rPr>
            <sz val="9"/>
            <color indexed="81"/>
            <rFont val="Tahoma"/>
            <family val="2"/>
          </rPr>
          <t>JOHN JORDAN_x000D_
http://yeinfo.com/family/I09000772.html_x000D_
https://www.google.com/search?q=JOHN+JORDAN+1727+1768+MARY_x000D_
.born: 1727    -          Montgomery county North Carolina_x000D_
.died: 17680628-          Sumter (Sumter) South Carolina, age:41y 5m 27d, _x000D_
.bapt: 1785GE_x000D_
.will: 2004MO_x000D_
.obit: 1890OH_x000D_
.bury: 1850IL _x000D_
.wpbt: 1826PA_x000D_
.anc#:ancestor_x000D_
citiz:US born_x000D_
#spos:1_x000D_
#srcs:1_x000D_
#comment:0_x000D_
#events:1_x000D_
#kids:1_x000D_
lived:NCMONTG,SCSUMTESUMTER_x000D_
issue:Died after Age 100_x000D_
.recs:Birth,Marriage,Death_x000D_
.imm?:no_x000D_
..Spo:MARY SPEIGHT</t>
        </r>
      </text>
    </comment>
    <comment ref="P9542" authorId="0" shapeId="0" xr:uid="{52C1D223-6198-4E35-9D2F-AD6FA7419659}">
      <text>
        <r>
          <rPr>
            <sz val="9"/>
            <color indexed="81"/>
            <rFont val="Tahoma"/>
            <family val="2"/>
          </rPr>
          <t>GEORGE RICKS_x000D_
http://yeinfo.com/family/I09024720.html_x000D_
https://www.google.com/search?q=GEORGE+RICKS+1576+1638+KATHERINE_x000D_
.born: 15761210-          Ormesby (Norfolk) England_x000D_
.died: 1638    -          Ormesby (Norfolk) England, age:61y 0m 22d, _x000D_
.bapt: 1785GE_x000D_
.will: 2004MO_x000D_
.obit: 1890OH_x000D_
.bury: 1850IL _x000D_
.wpbt: 1826PA_x000D_
.anc#:ancestor_x000D_
citiz:foreign_x000D_
#spos:1_x000D_
#srcs:1_x000D_
#comment:0_x000D_
#events:1_x000D_
#kids:1_x000D_
lived:ENNORFOORMESBY_x000D_
issue:_x000D_
.recs:Birth,Marriage,Death_x000D_
.imm?:no_x000D_
..Spo:KATHERINE RICKS</t>
        </r>
      </text>
    </comment>
    <comment ref="O9544" authorId="0" shapeId="0" xr:uid="{424F323C-C059-471C-9603-C69206B8FDFA}">
      <text>
        <r>
          <rPr>
            <sz val="9"/>
            <color indexed="81"/>
            <rFont val="Tahoma"/>
            <family val="2"/>
          </rPr>
          <t>ISAAC RICKS_x000D_
http://yeinfo.com/family/I09012360.html_x000D_
https://www.google.com/search?q=ISAAC+RICKS+1608+1650+REBECCA_x000D_
.born: 16080308-          Ormesby (Norfolk) England_x000D_
.died: 1650    -          Ormesby (Norfolk) England, age:41y 9m 24d, _x000D_
.bapt: 1785GE_x000D_
.will: 2004MO_x000D_
.obit: 1890OH_x000D_
.bury: 1850IL _x000D_
.wpbt: 1826PA_x000D_
.anc#:ancestor_x000D_
citiz:foreign_x000D_
#spos:1_x000D_
#srcs:2_x000D_
#comment:0_x000D_
#events:1_x000D_
#kids:1_x000D_
lived:ENNORFOORMESBY_x000D_
issue:_x000D_
.recs:Birth,Marriage,Death_x000D_
.imm?:no_x000D_
..Spo:REBECCA PAGE</t>
        </r>
      </text>
    </comment>
    <comment ref="P9546" authorId="0" shapeId="0" xr:uid="{ACEB6283-55B6-416E-B389-F350F0370E89}">
      <text>
        <r>
          <rPr>
            <sz val="9"/>
            <color indexed="81"/>
            <rFont val="Tahoma"/>
            <family val="2"/>
          </rPr>
          <t>Mrs. KATHERINE RICKS_x000D_
http://yeinfo.com/family/I09024721.html_x000D_
https://www.google.com/search?q=KATHERINE+RICKS+1585+1608+RICKS_x000D_
.born:?1585    -         ?Norfolk county England_x000D_
.died: 1608    -1675     ?Norfolk county England, age:23y 0m 0d, _x000D_
.bapt: 1785GE_x000D_
.will: 2004MO_x000D_
.obit: 1890OH_x000D_
.bury: 1850IL _x000D_
.wpbt: 1826PA_x000D_
.anc#:ancestor_x000D_
citiz:foreign_x000D_
#spos:1_x000D_
#srcs:1_x000D_
#comment:0_x000D_
#events:1_x000D_
#kids:1_x000D_
lived:?ENNORFOORMESBY_x000D_
issue:_x000D_
.recs:Birth,Marriage,Death_x000D_
.imm?:no_x000D_
..Spo:GEORGE RICKS</t>
        </r>
      </text>
    </comment>
    <comment ref="N9548" authorId="0" shapeId="0" xr:uid="{4527310B-B7E2-4555-A8BC-EC6F106A520A}">
      <text>
        <r>
          <rPr>
            <sz val="9"/>
            <color indexed="81"/>
            <rFont val="Tahoma"/>
            <family val="2"/>
          </rPr>
          <t>ISAAC RICKS Sr._x000D_
http://yeinfo.com/family/I09006180.html_x000D_
https://www.google.com/search?q=ISAAC+RICKS+1638+1723+KATHERINE_x000D_
.born: 16381103-          Norfolk county England_x000D_
.died: 17230201-          Suffolk Downs (Suffolk) Virginia, age:84y 2m 29d, _x000D_
.bapt: 1785GE_x000D_
.will: 2004MO_x000D_
.obit: 1890OH_x000D_
.bury: 1850IL _x000D_
.wpbt: 1826PA_x000D_
.anc#:ancestor_x000D_
citiz:immigrant_x000D_
#spos:1_x000D_
#srcs:2_x000D_
#comment:0_x000D_
#events:1_x000D_
#kids:1_x000D_
lived:ENNORFO,VASUFFOCHUCKAT,VASUFFOSUFFOLK_x000D_
issue:_x000D_
.recs:Birth,Marriage,Death_x000D_
.imm?:immigrant_x000D_
..Spo:KATHERINE HAWTHORNE</t>
        </r>
      </text>
    </comment>
    <comment ref="P9550" authorId="0" shapeId="0" xr:uid="{F6F7248E-FED3-4B5E-A1CA-38C314DA8671}">
      <text>
        <r>
          <rPr>
            <sz val="9"/>
            <color indexed="81"/>
            <rFont val="Tahoma"/>
            <family val="2"/>
          </rPr>
          <t>ROBERT PAGE_x000D_
http://yeinfo.com/family/I09024722.html_x000D_
https://www.google.com/search?q=ROBERT+PAGE+1577+1617+MARGARET_x000D_
.born: 1577    -          Acle (Norfolk) England_x000D_
.died: 16170716-          Ormesby (Norfolk) England, age:40y 6m 15d, _x000D_
.bapt: 1785GE_x000D_
.will: 2004MO_x000D_
.obit: 1890OH_x000D_
.bury: 1850IL _x000D_
.wpbt: 1826PA_x000D_
.anc#:ancestor_x000D_
citiz:foreign_x000D_
#spos:1_x000D_
#srcs:2_x000D_
#comment:0_x000D_
#events:1_x000D_
#kids:1_x000D_
lived:ENMIDDLHILLING,ENNORFOACLE,ENNORFOORMESBY_x000D_
issue:_x000D_
.recs:Birth,Marriage,Death_x000D_
.imm?:no_x000D_
..Spo:MARGARET GOODWIN</t>
        </r>
      </text>
    </comment>
    <comment ref="O9552" authorId="0" shapeId="0" xr:uid="{F2E59DA1-039B-4D67-AFF6-FA25FDD5DB39}">
      <text>
        <r>
          <rPr>
            <sz val="9"/>
            <color indexed="81"/>
            <rFont val="Tahoma"/>
            <family val="2"/>
          </rPr>
          <t>REBECCA PAGE_x000D_
http://yeinfo.com/family/I09012361.html_x000D_
https://www.google.com/search?q=REBECCA+PAGE+1608+1677+RICKS_x000D_
.born:c16080516-          Ormesby (Norfolk) England_x000D_
.died:c16770405-          Norfolk county England, age:68y 10m 20d, _x000D_
.bapt: 1785GE_x000D_
.will: 2004MO_x000D_
.obit: 1890OH_x000D_
.bury: 1850IL _x000D_
.wpbt: 1826PA_x000D_
.anc#:ancestor_x000D_
citiz:foreign_x000D_
#spos:1_x000D_
#srcs:2_x000D_
#comment:0_x000D_
#events:1_x000D_
#kids:1_x000D_
lived:ENNORFOORMESBY_x000D_
issue:_x000D_
.recs:Birth,Marriage,Death_x000D_
.imm?:no_x000D_
..Spo:ISAAC RICKS</t>
        </r>
      </text>
    </comment>
    <comment ref="P9554" authorId="0" shapeId="0" xr:uid="{126E7F97-36E6-4DF8-917F-4639807064A4}">
      <text>
        <r>
          <rPr>
            <sz val="9"/>
            <color indexed="81"/>
            <rFont val="Tahoma"/>
            <family val="2"/>
          </rPr>
          <t>MARGARET GOODWIN_x000D_
http://yeinfo.com/family/I09024723.html_x000D_
https://www.google.com/search?q=MARGARET+GOODWIN+1570+1637+PAGE_x000D_
.born: 15700503-          Ranworth (Norfolk) England_x000D_
.died: 16370411-          Ormesby (Norfolk) England, age:66y 11m 8d, _x000D_
.bapt: 1785GE_x000D_
.will: 2004MO_x000D_
.obit: 1890OH_x000D_
.bury: 1850IL _x000D_
.wpbt: 1826PA_x000D_
.anc#:ancestor_x000D_
citiz:foreign_x000D_
#spos:1_x000D_
#srcs:2_x000D_
#comment:0_x000D_
#events:1_x000D_
#kids:1_x000D_
lived:ENMIDDLHILLING,ENNORFOORMESBY,ENNORFORANWORT_x000D_
issue:_x000D_
.recs:Birth,Marriage,Death_x000D_
.imm?:no_x000D_
..Spo:ROBERT PAGE</t>
        </r>
      </text>
    </comment>
    <comment ref="M9556" authorId="0" shapeId="0" xr:uid="{BDB795D8-AC56-4829-85E7-60C6D02C992D}">
      <text>
        <r>
          <rPr>
            <sz val="9"/>
            <color indexed="81"/>
            <rFont val="Tahoma"/>
            <family val="2"/>
          </rPr>
          <t>ABRAHAM RICKS_x000D_
http://yeinfo.com/family/I09003090.html_x000D_
https://www.google.com/search?q=ABRAHAM+RICKS+1674+1745+MARY_x000D_
.born: 16741203-          Isle of Wight county Virginia_x000D_
.died: 17450923-          Isle of Wight county Virginia, age:70y 9m 20d, _x000D_
.bapt: 1785GE_x000D_
.will: 2004MO_x000D_
.obit: 1890OH_x000D_
.bury: 1850IL _x000D_
.wpbt: 1826PA_x000D_
.anc#:ancestor_x000D_
citiz:US born_x000D_
#spos:1_x000D_
#srcs:4_x000D_
#comment:0_x000D_
#events:2_x000D_
#kids:1_x000D_
lived:VAISLEW_x000D_
issue:_x000D_
.recs:Birth,Marriage,Death_x000D_
.imm?:no_x000D_
..Spo:MARY BELSON</t>
        </r>
      </text>
    </comment>
    <comment ref="O9558" authorId="0" shapeId="0" xr:uid="{0BC71375-725D-4C2A-9EA5-A9710E1829AA}">
      <text>
        <r>
          <rPr>
            <sz val="9"/>
            <color indexed="81"/>
            <rFont val="Tahoma"/>
            <family val="2"/>
          </rPr>
          <t>FRANK HAWTHORNE_x000D_
http://yeinfo.com/family/I09012362.html_x000D_
https://www.google.com/search?q=FRANK+HAWTHORNE+1620+1645+CARRIE_x000D_
.born: 1620    -          Berkshire county England_x000D_
.died: 1645    -         ?Virginia, age:25y 0m 0d, _x000D_
.bapt: 1785GE_x000D_
.will: 2004MO_x000D_
.obit: 1890OH_x000D_
.bury: 1850IL _x000D_
.wpbt: 1826PA_x000D_
.anc#:ancestor_x000D_
citiz:immigrant_x000D_
#spos:1_x000D_
#srcs:2_x000D_
#comment:0_x000D_
#events:1_x000D_
#kids:1_x000D_
lived:?VA,ENBERKI_x000D_
issue:_x000D_
.recs:Birth,Marriage,Death_x000D_
.imm?:immigrant_x000D_
..Spo:CARRIE CLARK</t>
        </r>
      </text>
    </comment>
    <comment ref="N9560" authorId="0" shapeId="0" xr:uid="{BA7644E2-4FAE-474E-A177-870C402095DA}">
      <text>
        <r>
          <rPr>
            <sz val="9"/>
            <color indexed="81"/>
            <rFont val="Tahoma"/>
            <family val="2"/>
          </rPr>
          <t>KATHERINE HAWTHORNE_x000D_
http://yeinfo.com/family/I09006181.html_x000D_
https://www.google.com/search?q=KATHERINE+HAWTHORNE+1645+1717+RICKS_x000D_
.born:c1645    -          James City county Virginia_x000D_
.died: 17170801-          Nansemond (Suffolk) Virginia, age:72y 7m 0d, _x000D_
.bapt: 1785GE_x000D_
.will: 2004MO_x000D_
.obit: 1890OH_x000D_
.bury: 1850IL _x000D_
.wpbt: 1826PA_x000D_
.anc#:ancestor_x000D_
citiz:US born_x000D_
#spos:1_x000D_
#srcs:2_x000D_
#comment:0_x000D_
#events:1_x000D_
#kids:1_x000D_
lived:VAJASCT,VASUFFOCHUCKAT,VASUFFONANSEMO_x000D_
issue:_x000D_
.recs:Birth,Marriage,Death_x000D_
.imm?:no_x000D_
..Spo:ISAAC RICKS</t>
        </r>
      </text>
    </comment>
    <comment ref="O9562" authorId="0" shapeId="0" xr:uid="{15C21DD2-8A77-4B48-B131-AB0631AE1B16}">
      <text>
        <r>
          <rPr>
            <sz val="9"/>
            <color indexed="81"/>
            <rFont val="Tahoma"/>
            <family val="2"/>
          </rPr>
          <t>CARRIE CLARK_x000D_
http://yeinfo.com/family/I09012363.html_x000D_
https://www.google.com/search?q=CARRIE+CLARK+1620+1645+HAWTHORNE_x000D_
.born: 1620    -          Virginia_x000D_
.died: 1645    -1710     ?Virginia, age:25y 0m 0d, _x000D_
.bapt: 1785GE_x000D_
.will: 2004MO_x000D_
.obit: 1890OH_x000D_
.bury: 1850IL _x000D_
.wpbt: 1826PA_x000D_
.anc#:ancestor_x000D_
citiz:US born_x000D_
#spos:1_x000D_
#srcs:2_x000D_
#comment:0_x000D_
#events:1_x000D_
#kids:1_x000D_
lived:VA_x000D_
issue:_x000D_
.recs:Birth,Marriage,Death_x000D_
.imm?:no_x000D_
..Spo:FRANK HAWTHORNE</t>
        </r>
      </text>
    </comment>
    <comment ref="L9564" authorId="0" shapeId="0" xr:uid="{4AFD6812-BBFA-4A0E-A5AD-95DEFBE4E814}">
      <text>
        <r>
          <rPr>
            <sz val="9"/>
            <color indexed="81"/>
            <rFont val="Tahoma"/>
            <family val="2"/>
          </rPr>
          <t>MARY RICKS_x000D_
http://yeinfo.com/family/I09001545.html_x000D_
https://www.google.com/search?q=MARY+RICKS+1704+1767+JORDAN_x000D_
.born: 1704    -         ?Virginia_x000D_
.died: 17671206-         ?Pasquotank county North Carolina, age:63y 11m 5d, _x000D_
.bapt: 1785GE_x000D_
.will: 2004MO_x000D_
.obit: 1890OH_x000D_
.bury: 1850IL _x000D_
.wpbt: 1826PA_x000D_
.anc#:ancestor_x000D_
citiz:US born_x000D_
#spos:1_x000D_
#srcs:1_x000D_
#comment:0_x000D_
#events:1_x000D_
#kids:1_x000D_
lived:?NCPASQU,?VA,VAISLEW_x000D_
issue:_x000D_
.recs:Birth,Marriage,Death_x000D_
.imm?:no_x000D_
..Spo:JOSEPH JORDAN</t>
        </r>
      </text>
    </comment>
    <comment ref="P9566" authorId="0" shapeId="0" xr:uid="{EAC02825-1CC5-41DA-8D08-19FF631474A4}">
      <text>
        <r>
          <rPr>
            <sz val="9"/>
            <color indexed="81"/>
            <rFont val="Tahoma"/>
            <family val="2"/>
          </rPr>
          <t>THOMAS BELSON_x000D_
http://yeinfo.com/family/I09024728.html_x000D_
https://www.google.com/search?q=THOMAS+BELSON+1615+1640+{_?_}_x000D_
.born:?1615    -         ?England_x000D_
.died: 1640    -1705     ?Virginia, age:25y 0m 0d, _x000D_
.bapt: 1785GE_x000D_
.will: 2004MO_x000D_
.obit: 1890OH_x000D_
.bury: 1850IL _x000D_
.wpbt: 1826PA_x000D_
.anc#:ancestor_x000D_
citiz:immigrant_x000D_
#spos:1_x000D_
#srcs:1_x000D_
#comment:0_x000D_
#events:1_x000D_
#kids:1_x000D_
lived:?EN,?VA_x000D_
issue:_x000D_
.recs:Birth,Marriage,Death_x000D_
.imm?:immigrant_x000D_
..Spo:{_?_} BELSON</t>
        </r>
      </text>
    </comment>
    <comment ref="O9568" authorId="0" shapeId="0" xr:uid="{4A0025E2-0396-483A-B7BB-C8847DA69A5D}">
      <text>
        <r>
          <rPr>
            <sz val="9"/>
            <color indexed="81"/>
            <rFont val="Tahoma"/>
            <family val="2"/>
          </rPr>
          <t>EDMUND BELSON Sr._x000D_
http://yeinfo.com/family/I09012364.html_x000D_
https://www.google.com/search?q=EDMUND+BELSON+1640+1679+ELIZABETH_x000D_
.born:c1640    -         ?Virginia_x000D_
.died:c1679    -          Nansemond (Suffolk) Virginia, age:39y 0m 0d, _x000D_
.bapt: 1785GE_x000D_
.will: 2004MO_x000D_
.obit: 1890OH_x000D_
.bury: 1850IL _x000D_
.wpbt: 1826PA_x000D_
.anc#:ancestor_x000D_
citiz:US born_x000D_
#spos:1_x000D_
#srcs:2_x000D_
#comment:0_x000D_
#events:1_x000D_
#kids:1_x000D_
lived:?VA,VASUFFONANSEMO_x000D_
issue:_x000D_
.recs:Birth,Marriage,Death_x000D_
.imm?:no_x000D_
..Spo:ELIZABETH BELSON</t>
        </r>
      </text>
    </comment>
    <comment ref="P9570" authorId="0" shapeId="0" xr:uid="{92D6DA49-586E-4813-9EAD-9B3BBEA63FED}">
      <text>
        <r>
          <rPr>
            <sz val="9"/>
            <color indexed="81"/>
            <rFont val="Tahoma"/>
            <family val="2"/>
          </rPr>
          <t>Mrs. {_?_} BELSON_x000D_
http://yeinfo.com/family/I09024729.html_x000D_
https://www.google.com/search?q={_?_}+BELSON+1620+1695+BELSON_x000D_
.born:?1620    -         ?_x000D_
.died: 1695    -1710     ?, age:75y 0m 0d, _x000D_
.bapt: 1785GE_x000D_
.will: 2004MO_x000D_
.obit: 1890OH_x000D_
.bury: 1850IL _x000D_
.wpbt: 1826PA_x000D_
.anc#:ancestor_x000D_
citiz:US born_x000D_
#spos:1_x000D_
#srcs:1_x000D_
#comment:0_x000D_
#events:1_x000D_
#kids:1_x000D_
lived:_x000D_
issue:_x000D_
.recs:Birth,Marriage,Death_x000D_
.imm?:no_x000D_
..Spo:THOMAS BELSON</t>
        </r>
      </text>
    </comment>
    <comment ref="N9572" authorId="0" shapeId="0" xr:uid="{D13674B4-A4C1-4352-B263-E2ABBEBE40BE}">
      <text>
        <r>
          <rPr>
            <sz val="9"/>
            <color indexed="81"/>
            <rFont val="Tahoma"/>
            <family val="2"/>
          </rPr>
          <t>EDMUND BELSON Jr._x000D_
http://yeinfo.com/family/I09006182.html_x000D_
https://www.google.com/search?q=EDMUND+BELSON+1664+1723+MARY+Ridick_x000D_
.born: 16641111-          Nansemond (Suffolk) Virginia_x000D_
.died: 1723    -         ?Virginia, age:58y 1m 21d, _x000D_
.bapt: 1785GE_x000D_
.will: 2004MO_x000D_
.obit: 1890OH_x000D_
.bury: 1850IL _x000D_
.wpbt: 1826PA_x000D_
.anc#:ancestor_x000D_
citiz:US born_x000D_
#spos:2_x000D_
#srcs:2_x000D_
#comment:0_x000D_
#events:2_x000D_
#kids:1_x000D_
lived:VANANSE,VASUFFONANSEMO_x000D_
issue:_x000D_
.recs:Birth,Marriage,Death_x000D_
.imm?:no_x000D_
..Spo:MARY TOOKE</t>
        </r>
      </text>
    </comment>
    <comment ref="O9574" authorId="0" shapeId="0" xr:uid="{F536045F-9BC6-49F5-A7C0-FC38035A8D93}">
      <text>
        <r>
          <rPr>
            <sz val="9"/>
            <color indexed="81"/>
            <rFont val="Tahoma"/>
            <family val="2"/>
          </rPr>
          <t>Mrs. ELIZABETH BELSON_x000D_
http://yeinfo.com/family/I09012365.html_x000D_
https://www.google.com/search?q=ELIZABETH+BELSON+1640+1664+BELSON_x000D_
.born:c1640    -          _x000D_
.died: 1664    -1730     ?Nansemond (Suffolk) Virginia, age:24y 0m 0d, _x000D_
.bapt: 1785GE_x000D_
.will: 2004MO_x000D_
.obit: 1890OH_x000D_
.bury: 1850IL _x000D_
.wpbt: 1826PA_x000D_
.anc#:ancestor_x000D_
citiz:US born_x000D_
#spos:1_x000D_
#srcs:2_x000D_
#comment:0_x000D_
#events:1_x000D_
#kids:1_x000D_
lived:?VASUFFONANSEMO_x000D_
issue:_x000D_
.recs:Birth,Marriage,Death_x000D_
.imm?:no_x000D_
..Spo:EDMUND BELSON</t>
        </r>
      </text>
    </comment>
    <comment ref="M9576" authorId="0" shapeId="0" xr:uid="{7E0EB32B-576F-4320-834F-8631A9813ADF}">
      <text>
        <r>
          <rPr>
            <sz val="9"/>
            <color indexed="81"/>
            <rFont val="Tahoma"/>
            <family val="2"/>
          </rPr>
          <t>MARY BELSON_x000D_
http://yeinfo.com/family/I09003091.html_x000D_
https://www.google.com/search?q=MARY+BELSON+1686+1746+RICKS_x000D_
.born: 16860124-          Isle of Wight county Virginia_x000D_
.died: 1746    -          James City county Virginia, age:59y 11m 8d, _x000D_
.bapt: 1785GE_x000D_
.will: 2004MO_x000D_
.obit: 1890OH_x000D_
.bury: 1850IL _x000D_
.wpbt: 1826PA_x000D_
.anc#:ancestor_x000D_
citiz:US born_x000D_
#spos:1_x000D_
#srcs:4_x000D_
#comment:0_x000D_
#events:1_x000D_
#kids:1_x000D_
lived:VAISLEW,VAJASCT_x000D_
issue:_x000D_
.recs:Birth,Marriage,Death_x000D_
.imm?:no_x000D_
..Spo:ABRAHAM RICKS</t>
        </r>
      </text>
    </comment>
    <comment ref="P9578" authorId="0" shapeId="0" xr:uid="{2076CDA7-D09F-4BBC-A3EB-74247D146880}">
      <text>
        <r>
          <rPr>
            <sz val="9"/>
            <color indexed="81"/>
            <rFont val="Tahoma"/>
            <family val="2"/>
          </rPr>
          <t>JAMES TOOKE_x000D_
http://yeinfo.com/family/I09024732.html_x000D_
https://www.google.com/search?q=JAMES+TOOKE+1601+1662+MARGARET_x000D_
.born: 1601    -          Hertfordshire county England_x000D_
.died: 1662    -          Isle of Wight county Virginia, age:61y 0m 0d, _x000D_
.bapt: 1785GE_x000D_
.will: 2004MO_x000D_
.obit: 1890OH_x000D_
.bury: 1850IL _x000D_
.wpbt: 1826PA_x000D_
.anc#:ancestor_x000D_
citiz:immigrant_x000D_
#spos:1_x000D_
#srcs:2_x000D_
#comment:0_x000D_
#events:1_x000D_
#kids:1_x000D_
lived:ENHERTF,VAISLEW_x000D_
issue:_x000D_
.recs:Birth,Marriage,Death_x000D_
.imm?:immigrant_x000D_
..Spo:MARGARET BROCKMAN</t>
        </r>
      </text>
    </comment>
    <comment ref="O9580" authorId="0" shapeId="0" xr:uid="{385A6981-A6E4-40C0-85A5-068A6FEF4288}">
      <text>
        <r>
          <rPr>
            <sz val="9"/>
            <color indexed="81"/>
            <rFont val="Tahoma"/>
            <family val="2"/>
          </rPr>
          <t>THOMAS TOOKE_x000D_
http://yeinfo.com/family/I09012366.html_x000D_
https://www.google.com/search?q=THOMAS+TOOKE+1616+1666+MARY_x000D_
.born: 1616    -          James City county Virginia_x000D_
.died: 1666    -1706      Isle of Wight county Virginia, age:50y 0m 0d, _x000D_
.bapt: 1785GE_x000D_
.will: 2004MO_x000D_
.obit: 1890OH_x000D_
.bury: 1850IL _x000D_
.wpbt: 1826PA_x000D_
.anc#:ancestor_x000D_
citiz:US born_x000D_
#spos:1_x000D_
#srcs:3_x000D_
#comment:0_x000D_
#events:1_x000D_
#kids:1_x000D_
lived:VAISLEW,VAJASCT_x000D_
issue:Born before Parents Married_x000D_
.recs:Birth,Marriage,Death_x000D_
.imm?:no_x000D_
..Spo:MARY DAVIS</t>
        </r>
      </text>
    </comment>
    <comment ref="P9582" authorId="0" shapeId="0" xr:uid="{0574A37C-0476-4777-923D-5DF0F92DE1DF}">
      <text>
        <r>
          <rPr>
            <sz val="9"/>
            <color indexed="81"/>
            <rFont val="Tahoma"/>
            <family val="2"/>
          </rPr>
          <t>MARGARET BROCKMAN_x000D_
http://yeinfo.com/family/I09024733.html_x000D_
https://www.google.com/search?q=MARGARET+BROCKMAN+1605+1625+TOOKE_x000D_
.born:?1605    -         ?England_x000D_
.died: 1625    -1695      , age:20y 0m 0d, _x000D_
.bapt: 1785GE_x000D_
.will: 2004MO_x000D_
.obit: 1890OH_x000D_
.bury: 1850IL _x000D_
.wpbt: 1826PA_x000D_
.anc#:ancestor_x000D_
citiz:US born_x000D_
#spos:1_x000D_
#srcs:2_x000D_
#comment:0_x000D_
#events:1_x000D_
#kids:1_x000D_
lived:?EN_x000D_
issue:_x000D_
.recs:Birth,Marriage,Death_x000D_
.imm?:no_x000D_
..Spo:JAMES TOOKE</t>
        </r>
      </text>
    </comment>
    <comment ref="N9584" authorId="0" shapeId="0" xr:uid="{4E6E361A-E4E2-43A6-B4E5-C268240C18CD}">
      <text>
        <r>
          <rPr>
            <sz val="9"/>
            <color indexed="81"/>
            <rFont val="Tahoma"/>
            <family val="2"/>
          </rPr>
          <t>MARY TOOKE_x000D_
http://yeinfo.com/family/I09006183.html_x000D_
https://www.google.com/search?q=MARY+TOOKE+1666+1687+BELSON_x000D_
.born:c1666    -          Nansemond (Suffolk) Virginia_x000D_
.died: 16870218-          Nansemond (Suffolk) Virginia, age:21y 1m 17d, _x000D_
.bapt: 1785GE_x000D_
.will: 2004MO_x000D_
.obit: 1890OH_x000D_
.bury: 1850IL _x000D_
.wpbt: 1826PA_x000D_
.anc#:ancestor_x000D_
citiz:US born_x000D_
#spos:1_x000D_
#srcs:2_x000D_
#comment:0_x000D_
#events:1_x000D_
#kids:1_x000D_
lived:VANANSE,VASUFFONANSEMO_x000D_
issue:Born after Mom Age 50_x000D_
.recs:Birth,Marriage,Death_x000D_
.imm?:no_x000D_
..Spo:EDMUND BELSON</t>
        </r>
      </text>
    </comment>
    <comment ref="P9586" authorId="0" shapeId="0" xr:uid="{2CC04A7B-BBFA-476B-BC3B-CF5B59188277}">
      <text>
        <r>
          <rPr>
            <sz val="9"/>
            <color indexed="81"/>
            <rFont val="Tahoma"/>
            <family val="2"/>
          </rPr>
          <t>JOHN DAVIS_x000D_
http://yeinfo.com/family/I09024734.html_x000D_
https://www.google.com/search?q=JOHN+DAVIS+1580+1600+{_?_}_x000D_
.born:?1580    -         ?England_x000D_
.died: 1600    -1670     ?, age:20y 0m 0d, _x000D_
.bapt: 1785GE_x000D_
.will: 2004MO_x000D_
.obit: 1890OH_x000D_
.bury: 1850IL _x000D_
.wpbt: 1826PA_x000D_
.anc#:ancestor_x000D_
citiz:US born_x000D_
#spos:1_x000D_
#srcs:4_x000D_
#comment:0_x000D_
#events:1_x000D_
#kids:1_x000D_
lived:?EN_x000D_
issue:_x000D_
.recs:Birth,Marriage,Death_x000D_
.imm?:no_x000D_
..Spo:{_?_} DAVIS</t>
        </r>
      </text>
    </comment>
    <comment ref="O9588" authorId="0" shapeId="0" xr:uid="{9E0ADC88-6E40-446E-A194-15C6A3A7B53F}">
      <text>
        <r>
          <rPr>
            <sz val="9"/>
            <color indexed="81"/>
            <rFont val="Tahoma"/>
            <family val="2"/>
          </rPr>
          <t>MARY DAVIS_x000D_
http://yeinfo.com/family/I09012367.html_x000D_
https://www.google.com/search?q=MARY+DAVIS+1600+1666+TOOKE_x000D_
.born:?1600    -         ?Dutch Gap (Chesterfield) Virginia_x000D_
.died: 1666    -1690     ?Virginia, age:66y 0m 0d, _x000D_
.bapt: 1785GE_x000D_
.will: 2004MO_x000D_
.obit: 1890OH_x000D_
.bury: 1850IL _x000D_
.wpbt: 1826PA_x000D_
.anc#:ancestor_x000D_
citiz:US born_x000D_
#spos:1_x000D_
#srcs:4_x000D_
#comment:0_x000D_
#events:1_x000D_
#kids:1_x000D_
lived:?VACHESFDUTCHGA,ENKENT CANTERB_x000D_
issue:Married before Age 16_x000D_
.recs:Birth,Marriage,Death_x000D_
.imm?:no_x000D_
..Spo:THOMAS TOOKE</t>
        </r>
      </text>
    </comment>
    <comment ref="P9590" authorId="0" shapeId="0" xr:uid="{5BCBC434-B118-47D7-B880-2FB19DF9C081}">
      <text>
        <r>
          <rPr>
            <sz val="9"/>
            <color indexed="81"/>
            <rFont val="Tahoma"/>
            <family val="2"/>
          </rPr>
          <t>Mrs. {_?_} DAVIS_x000D_
http://yeinfo.com/family/I09024735.html_x000D_
https://www.google.com/search?q={_?_}+DAVIS+1580+1600+DAVIS_x000D_
.born:?1580    -         ?England_x000D_
.died: 1600    -1670     ?, age:20y 0m 0d, _x000D_
.bapt: 1785GE_x000D_
.will: 2004MO_x000D_
.obit: 1890OH_x000D_
.bury: 1850IL _x000D_
.wpbt: 1826PA_x000D_
.anc#:ancestor_x000D_
citiz:US born_x000D_
#spos:1_x000D_
#srcs:4_x000D_
#comment:0_x000D_
#events:1_x000D_
#kids:1_x000D_
lived:?EN_x000D_
issue:_x000D_
.recs:Birth,Marriage,Death_x000D_
.imm?:no_x000D_
..Spo:JOHN DAVIS</t>
        </r>
      </text>
    </comment>
    <comment ref="J9592" authorId="0" shapeId="0" xr:uid="{A6DB02B2-0F84-4CD3-AD1D-76853DB2BAB0}">
      <text>
        <r>
          <rPr>
            <sz val="9"/>
            <color indexed="81"/>
            <rFont val="Tahoma"/>
            <family val="2"/>
          </rPr>
          <t>FRANCIS SPEIGHT JORDAN_x000D_
http://yeinfo.com/family/I09000386.html_x000D_
https://www.google.com/search?q=FRANCIS+SPEIGHT+JORDAN+1747+1776+ISABELLA_x000D_
.born:?1747    -          Montgomery county North Carolina_x000D_
.died: 1776    -1820      Montgomery county North Carolina, age:29y 0m 0d, _x000D_
.bapt: 1785GE_x000D_
.will: 2004MO_x000D_
.obit: 1890OH_x000D_
.bury: 1850IL _x000D_
.wpbt: 1826PA_x000D_
.anc#:ancestor_x000D_
citiz:US born_x000D_
#spos:1_x000D_
#srcs:6_x000D_
#comment:0_x000D_
#events:4_x000D_
#kids:2_x000D_
lived:?NCANSON,NCMONTG,VA_x000D_
issue:_x000D_
.recs:Birth,Military,Marriage,Death_x000D_
.imm?:no_x000D_
..Spo:ISABELLA SPRINKLE</t>
        </r>
      </text>
    </comment>
    <comment ref="O9594" authorId="0" shapeId="0" xr:uid="{0F6AC77F-ECCC-406C-9BF2-82C5D23F3EC7}">
      <text>
        <r>
          <rPr>
            <sz val="9"/>
            <color indexed="81"/>
            <rFont val="Tahoma"/>
            <family val="2"/>
          </rPr>
          <t>FRANCIS SPEIGHT_x000D_
http://yeinfo.com/family/I09012368.html_x000D_
https://www.google.com/search?q=FRANCIS+SPEIGHT+1614+1684+ELIZABETH_x000D_
.born:c1614    -          England_x000D_
.died:c1684    -          Pittmantown (Suffolk) Virginia, age:70y 0m 0d, _x000D_
.bapt: 1785GE_x000D_
.will: 2004MO_x000D_
.obit: 1890OH_x000D_
.bury: 1850IL _x000D_
.wpbt: 1826PA_x000D_
.anc#:ancestor_x000D_
citiz:immigrant_x000D_
#spos:1_x000D_
#srcs:1_x000D_
#comment:0_x000D_
#events:1_x000D_
#kids:1_x000D_
lived:EN,VASUFFOPITTMTN_x000D_
issue:_x000D_
.recs:Birth,Marriage,Death_x000D_
.imm?:immigrant_x000D_
..Spo:ELIZABETH OROURKE</t>
        </r>
      </text>
    </comment>
    <comment ref="N9596" authorId="0" shapeId="0" xr:uid="{C5D24B86-78E5-4772-B0A1-CF68DA2FCC4C}">
      <text>
        <r>
          <rPr>
            <sz val="9"/>
            <color indexed="81"/>
            <rFont val="Tahoma"/>
            <family val="2"/>
          </rPr>
          <t>WILLIAM SPEIGHT_x000D_
http://yeinfo.com/family/I09006184.html_x000D_
https://www.google.com/search?q=WILLIAM+SPEIGHT+1653+1719+{_?_}_x000D_
.born: 1653    -          Suffolk county Virginia_x000D_
.died: 1719    -          Greene county North Carolina, age:66y 0m 0d, _x000D_
.bapt: 1785GE_x000D_
.will: 2004MO_x000D_
.obit: 1890OH_x000D_
.bury: 1850IL _x000D_
.wpbt: 1826PA_x000D_
.anc#:ancestor_x000D_
citiz:US born_x000D_
#spos:1_x000D_
#srcs:1_x000D_
#comment:0_x000D_
#events:1_x000D_
#kids:1_x000D_
lived:NCGRENE,VASUFFO_x000D_
issue:_x000D_
.recs:Birth,Marriage,Death_x000D_
.imm?:no_x000D_
..Spo:{_?_} SPEIGHT</t>
        </r>
      </text>
    </comment>
    <comment ref="O9598" authorId="0" shapeId="0" xr:uid="{AC0B5C19-9C40-4F71-97B3-B86D024D6E41}">
      <text>
        <r>
          <rPr>
            <sz val="9"/>
            <color indexed="81"/>
            <rFont val="Tahoma"/>
            <family val="2"/>
          </rPr>
          <t>ELIZABETH OROURKE_x000D_
http://yeinfo.com/family/I09012369.html_x000D_
https://www.google.com/search?q=ELIZABETH+OROURKE+1615+1653+SPEIGHT_x000D_
.born:?1615    -         ?England_x000D_
.died: 1653    -1705      , age:38y 0m 0d, _x000D_
.bapt: 1785GE_x000D_
.will: 2004MO_x000D_
.obit: 1890OH_x000D_
.bury: 1850IL _x000D_
.wpbt: 1826PA_x000D_
.anc#:ancestor_x000D_
citiz:US born_x000D_
#spos:1_x000D_
#srcs:1_x000D_
#comment:0_x000D_
#events:1_x000D_
#kids:1_x000D_
lived:?EN_x000D_
issue:_x000D_
.recs:Birth,Marriage,Death_x000D_
.imm?:no_x000D_
..Spo:FRANCIS SPEIGHT</t>
        </r>
      </text>
    </comment>
    <comment ref="M9600" authorId="0" shapeId="0" xr:uid="{2CFF0153-B1EC-43A5-8354-64F3E02EFACA}">
      <text>
        <r>
          <rPr>
            <sz val="9"/>
            <color indexed="81"/>
            <rFont val="Tahoma"/>
            <family val="2"/>
          </rPr>
          <t>WILLIAM FRANCIS SPEIGHT_x000D_
http://yeinfo.com/family/I09003092.html_x000D_
https://www.google.com/search?q=WILLIAM+FRANCIS+SPEIGHT+1674+1749+JUDITH_x000D_
.born:c1674    -          Sunbury (Gates) North Carolina_x000D_
.died:c1749    -          , age:75y 0m 0d, _x000D_
.bapt: 1785GE_x000D_
.will: 2004MO_x000D_
.obit: 1890OH_x000D_
.bury: 1850IL _x000D_
.wpbt: 1826PA_x000D_
.anc#:ancestor_x000D_
citiz:US born_x000D_
#spos:1_x000D_
#srcs:1_x000D_
#comment:0_x000D_
#events:1_x000D_
#kids:1_x000D_
lived:NCGATESSUNBURY_x000D_
issue:_x000D_
.recs:Birth,Marriage,Death_x000D_
.imm?:no_x000D_
..Spo:JUDITH HARE</t>
        </r>
      </text>
    </comment>
    <comment ref="N9602" authorId="0" shapeId="0" xr:uid="{38BED6BE-EC9D-493C-AD36-6279846A2311}">
      <text>
        <r>
          <rPr>
            <sz val="9"/>
            <color indexed="81"/>
            <rFont val="Tahoma"/>
            <family val="2"/>
          </rPr>
          <t>Mrs. {_?_} SPEIGHT_x000D_
http://yeinfo.com/family/I09006185.html_x000D_
https://www.google.com/search?q={_?_}+SPEIGHT+1653+1674+SPEIGHT_x000D_
.born:?1653    -         ?Virginia_x000D_
.died: 1674    -1743     ?North Carolina, age:21y 0m 0d, _x000D_
.bapt: 1785GE_x000D_
.will: 2004MO_x000D_
.obit: 1890OH_x000D_
.bury: 1850IL _x000D_
.wpbt: 1826PA_x000D_
.anc#:ancestor_x000D_
citiz:US born_x000D_
#spos:1_x000D_
#srcs:1_x000D_
#comment:0_x000D_
#events:1_x000D_
#kids:1_x000D_
lived:?NC,?VA_x000D_
issue:_x000D_
.recs:Birth,Marriage,Death_x000D_
.imm?:no_x000D_
..Spo:WILLIAM SPEIGHT</t>
        </r>
      </text>
    </comment>
    <comment ref="L9604" authorId="0" shapeId="0" xr:uid="{C8505293-1AB4-4168-A166-10CBC3335A02}">
      <text>
        <r>
          <rPr>
            <sz val="9"/>
            <color indexed="81"/>
            <rFont val="Tahoma"/>
            <family val="2"/>
          </rPr>
          <t>THOMAS D. SPEIGHT_x000D_
http://yeinfo.com/family/I09001546.html_x000D_
https://www.google.com/search?q=THOMAS+D.+SPEIGHT+1697+1740+ANN_x000D_
.born: 1697    -         ?North Carolina_x000D_
.died: 1740    -          , age:43y 0m 0d, _x000D_
.bapt: 1785GE_x000D_
.will: 2004MO_x000D_
.obit: 1890OH_x000D_
.bury: 1850IL _x000D_
.wpbt: 1826PA_x000D_
.anc#:ancestor_x000D_
citiz:US born_x000D_
#spos:1_x000D_
#srcs:1_x000D_
#comment:0_x000D_
#events:1_x000D_
#kids:1_x000D_
lived:?NC_x000D_
issue:_x000D_
.recs:Birth,Marriage,Death_x000D_
.imm?:no_x000D_
..Spo:ANN EVERETT</t>
        </r>
      </text>
    </comment>
    <comment ref="M9606" authorId="0" shapeId="0" xr:uid="{C72EEDEC-E20B-4B18-BBAD-F1D95281AA06}">
      <text>
        <r>
          <rPr>
            <sz val="9"/>
            <color indexed="81"/>
            <rFont val="Tahoma"/>
            <family val="2"/>
          </rPr>
          <t>JUDITH HARE_x000D_
http://yeinfo.com/family/I09003093.html_x000D_
https://www.google.com/search?q=JUDITH+HARE+1687+1748+SPEIGHT_x000D_
.born:c1687    -         ?North Carolina_x000D_
.died:c1748    -          , age:61y 0m 0d, _x000D_
.bapt: 1785GE_x000D_
.will: 2004MO_x000D_
.obit: 1890OH_x000D_
.bury: 1850IL _x000D_
.wpbt: 1826PA_x000D_
.anc#:ancestor_x000D_
citiz:US born_x000D_
#spos:1_x000D_
#srcs:1_x000D_
#comment:0_x000D_
#events:1_x000D_
#kids:1_x000D_
lived:?NC_x000D_
issue:Died after Age 100_x000D_
.recs:Birth,Marriage,Death_x000D_
.imm?:no_x000D_
..Spo:WILLIAM FRANCIS SPEIGHT</t>
        </r>
      </text>
    </comment>
    <comment ref="K9608" authorId="0" shapeId="0" xr:uid="{FB7CD95A-B51E-4661-B52D-5AD54F11C3AC}">
      <text>
        <r>
          <rPr>
            <sz val="9"/>
            <color indexed="81"/>
            <rFont val="Tahoma"/>
            <family val="2"/>
          </rPr>
          <t>MARY SPEIGHT_x000D_
http://yeinfo.com/family/I09000773.html_x000D_
https://www.google.com/search?q=MARY+SPEIGHT+1728+1748+JORDAN_x000D_
.born: 1728    -          Montgomery county North Carolina_x000D_
.died: 1748    -1818      , age:20y 0m 0d, _x000D_
.bapt: 1785GE_x000D_
.will: 2004MO_x000D_
.obit: 1890OH_x000D_
.bury: 1850IL _x000D_
.wpbt: 1826PA_x000D_
.anc#:ancestor_x000D_
citiz:US born_x000D_
#spos:1_x000D_
#srcs:1_x000D_
#comment:0_x000D_
#events:1_x000D_
#kids:1_x000D_
lived:NCMONTG_x000D_
issue:Died after Age 100_x000D_
.recs:Birth,Marriage,Death_x000D_
.imm?:no_x000D_
..Spo:JOHN JORDAN</t>
        </r>
      </text>
    </comment>
    <comment ref="L9610" authorId="0" shapeId="0" xr:uid="{DA464C6D-0AEF-4D13-A4A0-5D57DA6E739B}">
      <text>
        <r>
          <rPr>
            <sz val="9"/>
            <color indexed="81"/>
            <rFont val="Tahoma"/>
            <family val="2"/>
          </rPr>
          <t>ANN EVERETT_x000D_
http://yeinfo.com/family/I09001547.html_x000D_
https://www.google.com/search?q=ANN+EVERETT+1710+1756+SPEIGHT_x000D_
.born:c1710    -         ?North Carolina_x000D_
.died: 1756    -          , age:46y 0m 0d, _x000D_
.bapt: 1785GE_x000D_
.will: 2004MO_x000D_
.obit: 1890OH_x000D_
.bury: 1850IL _x000D_
.wpbt: 1826PA_x000D_
.anc#:ancestor_x000D_
citiz:US born_x000D_
#spos:1_x000D_
#srcs:1_x000D_
#comment:0_x000D_
#events:1_x000D_
#kids:1_x000D_
lived:?NC_x000D_
issue:_x000D_
.recs:Birth,Marriage,Death_x000D_
.imm?:no_x000D_
..Spo:THOMAS D. SPEIGHT</t>
        </r>
      </text>
    </comment>
    <comment ref="I9612" authorId="0" shapeId="0" xr:uid="{6925687C-089A-4E1B-9D0E-75D9B522E6A7}">
      <text>
        <r>
          <rPr>
            <sz val="9"/>
            <color indexed="81"/>
            <rFont val="Tahoma"/>
            <family val="2"/>
          </rPr>
          <t>CATHERINE ELIZABETH JORDAN_x000D_
http://yeinfo.com/family/I09000193.html_x000D_
https://www.google.com/search?q=CATHERINE+ELIZABETH+JORDAN+1765+1850+DEATON_x000D_
.born:?1765    -         ?Montgomery county North Carolina_x000D_
.died: 1850    -1855     ?Montgomery county North Carolina, age:85y 0m 0d, _x000D_
.bapt: 1785GE_x000D_
.will: 2004MO_x000D_
.obit: 1890OH_x000D_
.bury: 1850IL _x000D_
.wpbt: 1826PA_x000D_
.anc#:ancestor_x000D_
citiz:US born_x000D_
#spos:1_x000D_
#srcs:4_x000D_
#comment:0_x000D_
#events:8_x000D_
#kids:13_x000D_
lived:?NC,NCMONTGTROY_x000D_
issue:_x000D_
.recs:Birth,Marriage,Death_x000D_
.imm?:no_x000D_
..Spo:JOSEPH DEATON</t>
        </r>
      </text>
    </comment>
    <comment ref="K9614" authorId="0" shapeId="0" xr:uid="{B593E184-6E47-4F4F-BF2F-0B0E75D2FEA7}">
      <text>
        <r>
          <rPr>
            <sz val="9"/>
            <color indexed="81"/>
            <rFont val="Tahoma"/>
            <family val="2"/>
          </rPr>
          <t>PETER SPRINKLE_x000D_
http://yeinfo.com/family/I09000774.html_x000D_
https://www.google.com/search?q=PETER+SPRINKLE+1704+1745+ELIZABETH_x000D_
.born: 1704    -          Germany_x000D_
.died: 1745    -1794      , age:41y 0m 0d, _x000D_
.bapt: 1785GE_x000D_
.will: 2004MO_x000D_
.obit: 1890OH_x000D_
.bury: 1850IL _x000D_
.wpbt: 1826PA_x000D_
.anc#:ancestor_x000D_
citiz:US born_x000D_
#spos:1_x000D_
#srcs:1_x000D_
#comment:0_x000D_
#events:1_x000D_
#kids:1_x000D_
lived:GE_x000D_
issue:_x000D_
.recs:Birth,Marriage,Death_x000D_
.imm?:no_x000D_
..Spo:ELIZABETH SHORE</t>
        </r>
      </text>
    </comment>
    <comment ref="J9616" authorId="0" shapeId="0" xr:uid="{2654C05F-58B2-4F37-90CD-120B536B7776}">
      <text>
        <r>
          <rPr>
            <sz val="9"/>
            <color indexed="81"/>
            <rFont val="Tahoma"/>
            <family val="2"/>
          </rPr>
          <t>ISABELLA SPRINKLE_x000D_
http://yeinfo.com/family/I09000387.html_x000D_
https://www.google.com/search?q=ISABELLA+SPRINKLE+1745+1765+JORDAN_x000D_
.born: 1745    -         ?Montgomery county North Carolina_x000D_
.died: 1765    -1881     ?Montgomery county North Carolina, age:20y 0m 0d, _x000D_
.bapt: 1785GE_x000D_
.will: 2004MO_x000D_
.obit: 1890OH_x000D_
.bury: 1850IL _x000D_
.wpbt: 1826PA_x000D_
.anc#:ancestor_x000D_
citiz:US born_x000D_
#spos:1_x000D_
#srcs:1_x000D_
#comment:0_x000D_
#events:1_x000D_
#kids:2_x000D_
lived:?NCANSON,?NCMONTG_x000D_
issue:_x000D_
.recs:Birth,Marriage,Death_x000D_
.imm?:no_x000D_
..Spo:FRANCIS SPEIGHT JORDAN</t>
        </r>
      </text>
    </comment>
    <comment ref="K9618" authorId="0" shapeId="0" xr:uid="{1193392F-95F0-45F7-BD17-0BB408C4E3E0}">
      <text>
        <r>
          <rPr>
            <sz val="9"/>
            <color indexed="81"/>
            <rFont val="Tahoma"/>
            <family val="2"/>
          </rPr>
          <t>ELIZABETH SHORE_x000D_
http://yeinfo.com/family/I09000775.html_x000D_
https://www.google.com/search?q=ELIZABETH+SHORE+1705+1745+SPRINKLE_x000D_
.born:?1705    -          Stokes county North Carolina_x000D_
.died: 1745    -1795      , age:40y 0m 0d, _x000D_
.bapt: 1785GE_x000D_
.will: 2004MO_x000D_
.obit: 1890OH_x000D_
.bury: 1850IL _x000D_
.wpbt: 1826PA_x000D_
.anc#:ancestor_x000D_
citiz:US born_x000D_
#spos:1_x000D_
#srcs:1_x000D_
#comment:0_x000D_
#events:1_x000D_
#kids:1_x000D_
lived:NCSTOKS_x000D_
issue:_x000D_
.recs:Birth,Marriage,Death_x000D_
.imm?:no_x000D_
..Spo:PETER SPRINKLE</t>
        </r>
      </text>
    </comment>
    <comment ref="G9620" authorId="0" shapeId="0" xr:uid="{92B39BD4-A4F8-4BEE-8FD6-86277CFE6F6C}">
      <text>
        <r>
          <rPr>
            <sz val="9"/>
            <color indexed="81"/>
            <rFont val="Tahoma"/>
            <family val="2"/>
          </rPr>
          <t>LITTLEBERRY BIONEY DEATON_x000D_
http://yeinfo.com/family/I09000048.html_x000D_
https://www.google.com/search?q=LITTLEBERRY+BIONEY+DEATON+1820+1897+CHRISTINA+A._x000D_
.born: 18200811-          McNairy county Tennessee_x000D_
.died: 18970215-          Crockett county Tennessee, age:76y 6m 4d, _x000D_
.bapt: 1785GE_x000D_
.will: 2004MO_x000D_
.obit: 1890OH_x000D_
.bury: 1850IL College Hill Cemetery_x000D_
.wpbt: 1826PA_x000D_
.anc#:ancestor_x000D_
citiz:US born_x000D_
#spos:1_x000D_
#srcs:11_x000D_
#comment:3_x000D_
#events:13_x000D_
#kids:9_x000D_
lived:ARCARRO,TNCROCKFRNDSHP,TNGIBSODYER,TNHARDM,TNMCNAI_x000D_
issue:_x000D_
.recs:Birth,Marriage,Taxes,Death,Interment/Burial,Church_x000D_
.imm?:no_x000D_
..Spo:CHRISTINA A. WALKER</t>
        </r>
      </text>
    </comment>
    <comment ref="J9622" authorId="0" shapeId="0" xr:uid="{E8FFB072-CCD7-4598-98DD-143F4C1C1C77}">
      <text>
        <r>
          <rPr>
            <sz val="9"/>
            <color indexed="81"/>
            <rFont val="Tahoma"/>
            <family val="2"/>
          </rPr>
          <t>THOMAS GRIGGS YARBOROUGH_x000D_
http://yeinfo.com/family/I09000388.html_x000D_
https://www.google.com/search?q=THOMAS+GRIGGS+YARBOROUGH+1700+1800+RACHAEL_x000D_
.born: 1700    -          Gloucester county Virginia_x000D_
.died: 1800    -          Granville county North Carolina, age:100y 0m 0d, _x000D_
.bapt: 1785GE_x000D_
.will: 2004MO_x000D_
.obit: 1890OH_x000D_
.bury: 1850IL _x000D_
.wpbt: 1826PA_x000D_
.anc#:ancestor_x000D_
citiz:US born_x000D_
#spos:1_x000D_
#srcs:1_x000D_
#comment:0_x000D_
#events:1_x000D_
#kids:2_x000D_
lived:NCGRANV,VAGLOUC_x000D_
issue:_x000D_
.recs:Birth,Marriage,Death_x000D_
.imm?:no_x000D_
..Spo:RACHAEL KIRKLAND</t>
        </r>
      </text>
    </comment>
    <comment ref="I9624" authorId="0" shapeId="0" xr:uid="{C8AC5CDA-5B81-4C18-BD3D-9DE5EA7E5F55}">
      <text>
        <r>
          <rPr>
            <sz val="9"/>
            <color indexed="81"/>
            <rFont val="Tahoma"/>
            <family val="2"/>
          </rPr>
          <t>RICHARD YARBOROUGH_x000D_
http://yeinfo.com/family/I09000194.html_x000D_
https://www.google.com/search?q=RICHARD+YARBOROUGH+1750+1809+SARAH_x000D_
.born: 17500410-          Camden (Kershaw) South Carolina_x000D_
.died: 18090611-          South Carolina, age:59y 2m 1d, _x000D_
.bapt: 1785GE_x000D_
.will: 2004MO_x000D_
.obit: 1890OH_x000D_
.bury: 1850IL _x000D_
.wpbt: 1826PA_x000D_
.anc#:ancestor_x000D_
citiz:US born_x000D_
#spos:2_x000D_
#srcs:1_x000D_
#comment:1_x000D_
#events:5_x000D_
#kids:9_x000D_
lived:IL,NCHALIFHALIFAX,SCFAIRD,SCKERSHCAMDEN,VA_x000D_
issue:_x000D_
.recs:Birth,Marriage,Death,Land Transaction_x000D_
.imm?:no_x000D_
..Spo:SARAH WEATHERS</t>
        </r>
      </text>
    </comment>
    <comment ref="J9626" authorId="0" shapeId="0" xr:uid="{66D6D7F1-8CA1-43A4-8ACB-04B5A8081CA8}">
      <text>
        <r>
          <rPr>
            <sz val="9"/>
            <color indexed="81"/>
            <rFont val="Tahoma"/>
            <family val="2"/>
          </rPr>
          <t>RACHAEL KIRKLAND_x000D_
http://yeinfo.com/family/I09000389.html_x000D_
https://www.google.com/search?q=RACHAEL+KIRKLAND+1725+1807+YARBOROUGH_x000D_
.born: 1725    -         ?New Kent county Virginia_x000D_
.died: 18070327-         ?Gooch county North Carolina, age:82y 2m 26d, _x000D_
.bapt: 1785GE_x000D_
.will: 2004MO_x000D_
.obit: 1890OH_x000D_
.bury: 1850IL _x000D_
.wpbt: 1826PA_x000D_
.anc#:ancestor_x000D_
citiz:US born_x000D_
#spos:1_x000D_
#srcs:1_x000D_
#comment:0_x000D_
#events:1_x000D_
#kids:2_x000D_
lived:?NCGOOCH,?VANEW K_x000D_
issue:_x000D_
.recs:Birth,Marriage,Death_x000D_
.imm?:no_x000D_
..Spo:THOMAS GRIGGS YARBOROUGH</t>
        </r>
      </text>
    </comment>
    <comment ref="H9628" authorId="0" shapeId="0" xr:uid="{6BDE7519-146E-4E1F-BA7D-E0575CD6C79D}">
      <text>
        <r>
          <rPr>
            <sz val="9"/>
            <color indexed="81"/>
            <rFont val="Tahoma"/>
            <family val="2"/>
          </rPr>
          <t>ELIZABETH YARBOROUGH_x000D_
http://yeinfo.com/family/I09000097.html_x000D_
https://www.google.com/search?q=ELIZABETH+YARBOROUGH+1784+1835+DEATON_x000D_
.born: 1784    -         ?North Carolina_x000D_
.died:?1835    -         ?Scotts Hill (Decatur) Tennessee, age:51y 0m 0d, _x000D_
.bapt: 1785GE_x000D_
.will: 2004MO_x000D_
.obit: 1890OH_x000D_
.bury: 1850IL _x000D_
.wpbt: 1826PA_x000D_
.anc#:ancestor_x000D_
citiz:US born_x000D_
#spos:2_x000D_
#srcs:3_x000D_
#comment:1_x000D_
#events:3_x000D_
#kids:5_x000D_
lived:?NC,?TNDECATSCOTTSH_x000D_
issue:_x000D_
.recs:Birth,Marriage,Death_x000D_
.imm?:no_x000D_
..Spo:ELIAS DEATON</t>
        </r>
      </text>
    </comment>
    <comment ref="N9630" authorId="0" shapeId="0" xr:uid="{A1E07BC6-974E-41DA-B515-A2A70F1F2103}">
      <text>
        <r>
          <rPr>
            <sz val="9"/>
            <color indexed="81"/>
            <rFont val="Tahoma"/>
            <family val="2"/>
          </rPr>
          <t>EDWARD WEATHERS_x000D_
http://yeinfo.com/family/I09006240.html_x000D_
https://www.google.com/search?q=EDWARD+WEATHERS+1584+1623+GRACE_x000D_
.born:c1584    -          Great Wymondley (Hertfordshire) England_x000D_
.died: 1623    -1674     ?, age:39y 0m 0d, _x000D_
.bapt: 1785GE_x000D_
.will: 2004MO_x000D_
.obit: 1890OH_x000D_
.bury: 1850IL _x000D_
.wpbt: 1826PA_x000D_
.anc#:ancestor_x000D_
citiz:US born_x000D_
#spos:1_x000D_
#srcs:6_x000D_
#comment:2_x000D_
#events:1_x000D_
#kids:1_x000D_
lived:ENHERTFGREAWYM,VAHAMPTHAMPTON_x000D_
issue:_x000D_
.recs:Birth,Marriage,Death_x000D_
.imm?:no_x000D_
..Spo:GRACE O'NEILL</t>
        </r>
      </text>
    </comment>
    <comment ref="M9632" authorId="0" shapeId="0" xr:uid="{3054E42C-53E5-484F-B1E0-94BACE8A33B4}">
      <text>
        <r>
          <rPr>
            <sz val="9"/>
            <color indexed="81"/>
            <rFont val="Tahoma"/>
            <family val="2"/>
          </rPr>
          <t>WILLIAM WEATHERS_x000D_
http://yeinfo.com/family/I09003120.html_x000D_
https://www.google.com/search?q=WILLIAM+WEATHERS+1623+1660+MARGARET+Marriott_x000D_
.born: 1623    -          Warwick county Virginia_x000D_
.died: 1660    -1713     ?, age:37y 0m 0d, _x000D_
.bapt: 1785GE_x000D_
.will: 2004MO_x000D_
.obit: 1890OH_x000D_
.bury: 1850IL _x000D_
.wpbt: 1826PA_x000D_
.anc#:ancestor_x000D_
citiz:US born_x000D_
#spos:2_x000D_
#srcs:6_x000D_
#comment:0_x000D_
#events:2_x000D_
#kids:6_x000D_
lived:VANRTHA,VAWARWI_x000D_
issue:_x000D_
.recs:Birth,Marriage,Death_x000D_
.imm?:no_x000D_
..Spo:MARGARET ROBINS</t>
        </r>
      </text>
    </comment>
    <comment ref="N9634" authorId="0" shapeId="0" xr:uid="{CD9E8E93-6DB9-4F56-A409-68851E2D2932}">
      <text>
        <r>
          <rPr>
            <sz val="9"/>
            <color indexed="81"/>
            <rFont val="Tahoma"/>
            <family val="2"/>
          </rPr>
          <t>GRACE O'NEILL_x000D_
http://yeinfo.com/family/I09006241.html_x000D_
https://www.google.com/search?q=GRACE+O'NEILL+1602+1681+WEATHERS+OBEDIENCE_x000D_
.born:c1602    -          Northern Ireland_x000D_
.died: 1681    -          Hampton (Hampton) Virginia, age:79y 0m 0d, _x000D_
.bapt: 1785GE_x000D_
.will: 2004MO_x000D_
.obit: 1890OH_x000D_
.bury: 1850IL _x000D_
.wpbt: 1826PA_x000D_
.anc#:ancestor_x000D_
citiz:immigrant_x000D_
#spos:2_x000D_
#srcs:7_x000D_
#comment:0_x000D_
#events:2_x000D_
#kids:1_x000D_
lived:?VANRTHA,NI,VAHAMPTHAMPTON,VAWARWI_x000D_
issue:_x000D_
.recs:Birth,Marriage,Death_x000D_
.imm?:immigrant_x000D_
..Spo:EDWARD WEATHERS</t>
        </r>
      </text>
    </comment>
    <comment ref="L9636" authorId="0" shapeId="0" xr:uid="{B03CC432-EE3F-454E-9E7A-8925C7FE845A}">
      <text>
        <r>
          <rPr>
            <sz val="9"/>
            <color indexed="81"/>
            <rFont val="Tahoma"/>
            <family val="2"/>
          </rPr>
          <t>THOMAS WEATHERS Sr._x000D_
http://yeinfo.com/family/I09001560.html_x000D_
https://www.google.com/search?q=THOMAS+WEATHERS+1657+1698+MARY\MARGARET_x000D_
.born: 1657    -          Northampton county Virginia_x000D_
.died: 1698    -1747      Stafford county Virginia, age:41y 0m 0d, _x000D_
.bapt: 1785GE_x000D_
.will: 2004MO_x000D_
.obit: 1890OH_x000D_
.bury: 1850IL _x000D_
.wpbt: 1826PA_x000D_
.anc#:ancestor_x000D_
citiz:US born_x000D_
#spos:1_x000D_
#srcs:2_x000D_
#comment:0_x000D_
#events:1_x000D_
#kids:1_x000D_
lived:VANRTHA,VASTAFR_x000D_
issue:_x000D_
.recs:Birth,Marriage,Death_x000D_
.imm?:no_x000D_
..Spo:MARY\MARGARET LLOYD</t>
        </r>
      </text>
    </comment>
    <comment ref="R9638" authorId="0" shapeId="0" xr:uid="{F1FC0985-7F88-400E-8835-AAD2BCE26F44}">
      <text>
        <r>
          <rPr>
            <sz val="9"/>
            <color indexed="81"/>
            <rFont val="Tahoma"/>
            <family val="2"/>
          </rPr>
          <t>THOMAS ROBINS_x000D_
http://yeinfo.com/family/I09066680.html_x000D_
https://www.google.com/search?q=THOMAS+ROBINS+1480+1531+{_?_}_x000D_
.born:?1480    -          Holdenby (Northamptonshire) England_x000D_
.died:p15310108-         ?Upton (Northamptonshire) England, age:51y 0m 7d, _x000D_
.bapt: 1785GE_x000D_
.will: 2004MO_x000D_
.obit: 1890OH_x000D_
.bury: 1850IL _x000D_
.wpbt: 1826PA_x000D_
.anc#:ancestor_x000D_
citiz:foreign_x000D_
#spos:1_x000D_
#srcs:1_x000D_
#comment:0_x000D_
#events:2_x000D_
#kids:1_x000D_
lived:?ENNORTAUPTON,ENNORTAHOLDENB_x000D_
issue:_x000D_
.recs:Birth,Marriage,Will Written,Death_x000D_
.imm?:no_x000D_
..Spo:{_?_} ROBINS</t>
        </r>
      </text>
    </comment>
    <comment ref="Q9640" authorId="0" shapeId="0" xr:uid="{282C7F24-4253-4EFE-8C55-EE59B17396F4}">
      <text>
        <r>
          <rPr>
            <sz val="9"/>
            <color indexed="81"/>
            <rFont val="Tahoma"/>
            <family val="2"/>
          </rPr>
          <t>RICHARD ROBINS_x000D_
http://yeinfo.com/family/I09049936.html_x000D_
https://www.google.com/search?q=RICHARD+ROBINS+1515+1584+JOHANNE_x000D_
.born:?1515    -          Longbuckby (Northamptonshire) England_x000D_
.died: 15840622-          Longbuckby (Northamptonshire) England, age:69y 5m 21d, _x000D_
.bapt: 1785GE_x000D_
.will: 2004MO_x000D_
.obit: 1890OH_x000D_
.bury: 1850IL _x000D_
.wpbt: 1826PA_x000D_
.anc#:ancestor_x000D_
citiz:foreign_x000D_
#spos:1_x000D_
#srcs:1_x000D_
#comment:0_x000D_
#events:3_x000D_
#kids:1_x000D_
lived:ENNORTALONGBBY_x000D_
issue:_x000D_
.recs:Birth,Marriage,Will Written,Death_x000D_
.imm?:no_x000D_
..Spo:JOHANNE KENCH</t>
        </r>
      </text>
    </comment>
    <comment ref="R9642" authorId="0" shapeId="0" xr:uid="{38F23183-C658-4F21-A95F-9B0821C8F758}">
      <text>
        <r>
          <rPr>
            <sz val="9"/>
            <color indexed="81"/>
            <rFont val="Tahoma"/>
            <family val="2"/>
          </rPr>
          <t>Mrs. {_?_} ROBINS_x000D_
http://yeinfo.com/family/I09066681.html_x000D_
https://www.google.com/search?q={_?_}+ROBINS+1486+1535+ROBINS_x000D_
.born:?1486    -         ?Northamptonshire county England_x000D_
.died: 1535    -         ?Northamptonshire county England, age:49y 0m 0d, _x000D_
.bapt: 1785GE_x000D_
.will: 2004MO_x000D_
.obit: 1890OH_x000D_
.bury: 1850IL _x000D_
.wpbt: 1826PA_x000D_
.anc#:ancestor_x000D_
citiz:foreign_x000D_
#spos:1_x000D_
#srcs:1_x000D_
#comment:0_x000D_
#events:1_x000D_
#kids:1_x000D_
lived:?ENNORTA_x000D_
issue:_x000D_
.recs:Birth,Marriage,Death_x000D_
.imm?:no_x000D_
..Spo:THOMAS ROBINS</t>
        </r>
      </text>
    </comment>
    <comment ref="P9644" authorId="0" shapeId="0" xr:uid="{CDF9A74B-DC82-4F91-91BE-5886665E2428}">
      <text>
        <r>
          <rPr>
            <sz val="9"/>
            <color indexed="81"/>
            <rFont val="Tahoma"/>
            <family val="2"/>
          </rPr>
          <t>THOMAS ROBINS_x000D_
http://yeinfo.com/family/I09024968.html_x000D_
https://www.google.com/search?q=THOMAS+ROBINS+1545+1606+ELIZABETH_x000D_
.born:?1545    -          Longbuckby (Northamptonshire) England_x000D_
.died: 16060807-          Longbuckby (Northamptonshire) England, age:61y 7m 6d, _x000D_
.bapt: 1785GE_x000D_
.will: 2004MO_x000D_
.obit: 1890OH_x000D_
.bury: 1850IL _x000D_
.wpbt: 1826PA_x000D_
.anc#:ancestor_x000D_
citiz:foreign_x000D_
#spos:1_x000D_
#srcs:1_x000D_
#comment:0_x000D_
#events:3_x000D_
#kids:1_x000D_
lived:ENNORTALONGBBY_x000D_
issue:_x000D_
.recs:Birth,Marriage,Will Written,Death_x000D_
.imm?:no_x000D_
..Spo:ELIZABETH PALMER</t>
        </r>
      </text>
    </comment>
    <comment ref="Q9646" authorId="0" shapeId="0" xr:uid="{C57CD7CC-FBBE-4A01-B73B-B1C677F921B6}">
      <text>
        <r>
          <rPr>
            <sz val="9"/>
            <color indexed="81"/>
            <rFont val="Tahoma"/>
            <family val="2"/>
          </rPr>
          <t>JOHANNE KENCH_x000D_
http://yeinfo.com/family/I09049937.html_x000D_
https://www.google.com/search?q=JOHANNE+KENCH+1515+1584+ROBINS_x000D_
.born:?1515    -          Longbuckby (Northamptonshire) England_x000D_
.died: 15840622-          Longbuckby (Northamptonshire) England, age:69y 5m 21d, _x000D_
.bapt: 1785GE_x000D_
.will: 2004MO_x000D_
.obit: 1890OH_x000D_
.bury: 1850IL _x000D_
.wpbt: 1826PA_x000D_
.anc#:ancestor_x000D_
citiz:foreign_x000D_
#spos:1_x000D_
#srcs:1_x000D_
#comment:0_x000D_
#events:3_x000D_
#kids:1_x000D_
lived:ENNORTALONGBBY_x000D_
issue:_x000D_
.recs:Birth,Marriage,Will Written,Death_x000D_
.imm?:no_x000D_
..Spo:RICHARD ROBINS</t>
        </r>
      </text>
    </comment>
    <comment ref="O9648" authorId="0" shapeId="0" xr:uid="{CCFFEF80-2559-46F2-B35F-B3F12BF1391B}">
      <text>
        <r>
          <rPr>
            <sz val="9"/>
            <color indexed="81"/>
            <rFont val="Tahoma"/>
            <family val="2"/>
          </rPr>
          <t>RICHARD ROBINS_x000D_
http://yeinfo.com/family/I09012484.html_x000D_
https://www.google.com/search?q=RICHARD+ROBINS+1570+1623+DOROTHY_x000D_
.born:?1570    -          Longbuckby (Northamptonshire) England_x000D_
.died:?16230519-          Longbuckby (Northamptonshire) England, age:53y 4m 18d, _x000D_
.bapt: 1785GE_x000D_
.will: 2004MO_x000D_
.obit: 1890OH_x000D_
.bury: 1850IL _x000D_
.wpbt: 1826PA_x000D_
.anc#:ancestor_x000D_
citiz:foreign_x000D_
#spos:1_x000D_
#srcs:1_x000D_
#comment:0_x000D_
#events:4_x000D_
#kids:1_x000D_
lived:ENNORTALONGBBY_x000D_
issue:_x000D_
.recs:Birth,Marriage,Will Written,Death_x000D_
.imm?:no_x000D_
..Spo:DOROTHY GOODMAN</t>
        </r>
      </text>
    </comment>
    <comment ref="P9650" authorId="0" shapeId="0" xr:uid="{AFFC59B1-F879-4CCE-9A69-81EAF69E05D5}">
      <text>
        <r>
          <rPr>
            <sz val="9"/>
            <color indexed="81"/>
            <rFont val="Tahoma"/>
            <family val="2"/>
          </rPr>
          <t>ELIZABETH PALMER_x000D_
http://yeinfo.com/family/I09024969.html_x000D_
https://www.google.com/search?q=ELIZABETH+PALMER+1529+1600+ROBINS_x000D_
.born:?1529    -          Longbuckby (Northamptonshire) England_x000D_
.died:?1600    -          England, age:71y 0m 0d, _x000D_
.bapt: 1785GE_x000D_
.will: 2004MO_x000D_
.obit: 1890OH_x000D_
.bury: 1850IL _x000D_
.wpbt: 1826PA_x000D_
.anc#:ancestor_x000D_
citiz:foreign_x000D_
#spos:1_x000D_
#srcs:1_x000D_
#comment:0_x000D_
#events:3_x000D_
#kids:1_x000D_
lived:ENNORTALONGBBY_x000D_
issue:_x000D_
.recs:Birth,Marriage,Will Written,Death_x000D_
.imm?:no_x000D_
..Spo:THOMAS ROBINS</t>
        </r>
      </text>
    </comment>
    <comment ref="N9652" authorId="0" shapeId="0" xr:uid="{6849171A-7B8E-4240-8291-7BF5FAE417B9}">
      <text>
        <r>
          <rPr>
            <sz val="9"/>
            <color indexed="81"/>
            <rFont val="Tahoma"/>
            <family val="2"/>
          </rPr>
          <t>OBEDIENCE ROBINS_x000D_
http://yeinfo.com/family/I09006242.html_x000D_
https://www.google.com/search?q=OBEDIENCE+ROBINS+1600+1662+MARGARET+O'NEILL_x000D_
.born: 16000416-          Longbuckby (Northamptonshire) England_x000D_
.died:a16621230-          Cherrys Crossing (Northampton) Virginia, age:62y 8m 14d, _x000D_
.bapt: 1785GE_x000D_
.will: 2004MO_x000D_
.obit: 1890OH_x000D_
.bury: 1850IL _x000D_
.wpbt: 1826PA_x000D_
.anc#:ancestor_x000D_
citiz:immigrant_x000D_
#spos:2_x000D_
#srcs:1_x000D_
#comment:1_x000D_
#events:6_x000D_
#kids:1_x000D_
lived:ENNORTALONGBBY,VANRTHACHERRYS_x000D_
issue:_x000D_
.recs:Birth,Baptism,Will Written,Death,Immigrate_x000D_
.imm?:immigrant_x000D_
..Spo:MARGARET ROBINS</t>
        </r>
      </text>
    </comment>
    <comment ref="O9654" authorId="0" shapeId="0" xr:uid="{C8ACF136-AC90-436C-8AAF-895629FC6C26}">
      <text>
        <r>
          <rPr>
            <sz val="9"/>
            <color indexed="81"/>
            <rFont val="Tahoma"/>
            <family val="2"/>
          </rPr>
          <t>DOROTHY GOODMAN_x000D_
http://yeinfo.com/family/I09012485.html_x000D_
https://www.google.com/search?q=DOROTHY+GOODMAN+1570+1640+ROBINS_x000D_
.born: 15700912-          Badby (Northamptonshire) England_x000D_
.died: 16400216-          Longbuckby (Northamptonshire) England, age:69y 5m 4d, _x000D_
.bapt: 1785GE_x000D_
.will: 2004MO_x000D_
.obit: 1890OH_x000D_
.bury: 1850IL _x000D_
.wpbt: 1826PA_x000D_
.anc#:ancestor_x000D_
citiz:foreign_x000D_
#spos:1_x000D_
#srcs:1_x000D_
#comment:0_x000D_
#events:3_x000D_
#kids:1_x000D_
lived:ENNORTABADBY,ENNORTALONGBBY_x000D_
issue:_x000D_
.recs:Birth,Marriage,Will Written,Death_x000D_
.imm?:no_x000D_
..Spo:RICHARD ROBINS</t>
        </r>
      </text>
    </comment>
    <comment ref="M9656" authorId="0" shapeId="0" xr:uid="{B302FD5B-CBA6-4FBD-9918-7FEAA4C4CED2}">
      <text>
        <r>
          <rPr>
            <sz val="9"/>
            <color indexed="81"/>
            <rFont val="Tahoma"/>
            <family val="2"/>
          </rPr>
          <t>MARGARET ROBINS_x000D_
http://yeinfo.com/family/I09003121.html_x000D_
https://www.google.com/search?q=MARGARET+ROBINS+1625+1665+WEATHERS_x000D_
.born: 1625    -          Hampton (Hampton) Virginia_x000D_
.died: 1665    -          Northampton county Virginia, age:40y 0m 0d, _x000D_
.bapt: 1785GE_x000D_
.will: 2004MO_x000D_
.obit: 1890OH_x000D_
.bury: 1850IL _x000D_
.wpbt: 1826PA_x000D_
.anc#:ancestor_x000D_
citiz:US born_x000D_
#spos:1_x000D_
#srcs:6_x000D_
#comment:0_x000D_
#events:1_x000D_
#kids:6_x000D_
lived:VAHAMPTHAMPTON,VANRTHA_x000D_
issue:_x000D_
.recs:Birth,Marriage,Death_x000D_
.imm?:no_x000D_
..Spo:WILLIAM WEATHERS</t>
        </r>
      </text>
    </comment>
    <comment ref="N9658" authorId="0" shapeId="0" xr:uid="{33B11CE0-4A81-4832-99DA-D6EB42ABCCB9}">
      <text>
        <r>
          <rPr>
            <sz val="9"/>
            <color indexed="81"/>
            <rFont val="Tahoma"/>
            <family val="2"/>
          </rPr>
          <t>Mrs. MARGARET ROBINS_x000D_
http://yeinfo.com/family/I09006243.html_x000D_
https://www.google.com/search?q=MARGARET+ROBINS+1600+1634+ROBINS_x000D_
.born:?1600    -         ?England_x000D_
.died:a1634    -         ?Northampton county Virginia, age:34y 0m 0d, _x000D_
.bapt: 1785GE_x000D_
.will: 2004MO_x000D_
.obit: 1890OH_x000D_
.bury: 1850IL _x000D_
.wpbt: 1826PA_x000D_
.anc#:ancestor_x000D_
citiz:immigrant_x000D_
#spos:1_x000D_
#srcs:1_x000D_
#comment:0_x000D_
#events:1_x000D_
#kids:1_x000D_
lived:?EN,?VANRTHA_x000D_
issue:_x000D_
.recs:Birth,Marriage,Death_x000D_
.imm?:immigrant_x000D_
..Spo:OBEDIENCE ROBINS</t>
        </r>
      </text>
    </comment>
    <comment ref="K9660" authorId="0" shapeId="0" xr:uid="{19CE8C8F-23B3-4010-AAD0-E710DDC4A607}">
      <text>
        <r>
          <rPr>
            <sz val="9"/>
            <color indexed="81"/>
            <rFont val="Tahoma"/>
            <family val="2"/>
          </rPr>
          <t>THOMAS WEATHERS Jr._x000D_
http://yeinfo.com/family/I09000780.html_x000D_
https://www.google.com/search?q=THOMAS+WEATHERS+1698+1744+LYDIA+PETTWAY_x000D_
.born: 1698    -          Surry county Virginia_x000D_
.died: 174405  -          Surry county Virginia, age:46y 4m 0d, _x000D_
.bapt: 1785GE_x000D_
.will: 2004MO_x000D_
.obit: 1890OH_x000D_
.bury: 1850IL _x000D_
.wpbt: 1826PA_x000D_
.anc#:ancestor_x000D_
citiz:US born_x000D_
#spos:1_x000D_
#srcs:2_x000D_
#comment:0_x000D_
#events:1_x000D_
#kids:1_x000D_
lived:VASURRY_x000D_
issue:_x000D_
.recs:Birth,Marriage,Death_x000D_
.imm?:no_x000D_
..Spo:LYDIA PETTWAY JUDKINS</t>
        </r>
      </text>
    </comment>
    <comment ref="N9662" authorId="0" shapeId="0" xr:uid="{85419896-EC23-45AD-ADDD-60B8C32E1C7E}">
      <text>
        <r>
          <rPr>
            <sz val="9"/>
            <color indexed="81"/>
            <rFont val="Tahoma"/>
            <family val="2"/>
          </rPr>
          <t>EDWARD LLOYD_x000D_
http://yeinfo.com/family/I09006244.html_x000D_
https://www.google.com/search?q=EDWARD+LLOYD+1602+1696+ALICE+Maulden_x000D_
.born: 1602    -          Wales_x000D_
.died: 1696    -          Maryland, age:94y 0m 0d, _x000D_
.bapt: 1785GE_x000D_
.will: 2004MO_x000D_
.obit: 1890OH_x000D_
.bury: 1850IL _x000D_
.wpbt: 1826PA_x000D_
.anc#:ancestor_x000D_
citiz:immigrant_x000D_
#spos:3_x000D_
#srcs:1_x000D_
#comment:1_x000D_
#events:3_x000D_
#kids:1_x000D_
lived:MD,WL_x000D_
issue:_x000D_
.recs:Birth,Marriage,Death_x000D_
.imm?:immigrant_x000D_
..Spo:ALICE CROUCH</t>
        </r>
      </text>
    </comment>
    <comment ref="M9664" authorId="0" shapeId="0" xr:uid="{FD101951-EB01-4D99-961A-E0A864905AA6}">
      <text>
        <r>
          <rPr>
            <sz val="9"/>
            <color indexed="81"/>
            <rFont val="Tahoma"/>
            <family val="2"/>
          </rPr>
          <t>PHILEMON LLOYD Sr._x000D_
http://yeinfo.com/family/I09003122.html_x000D_
https://www.google.com/search?q=PHILEMON+LLOYD+1647+1685+HENRIETTA+MARIA_x000D_
.born: 1647    -          Wye Mills (Talbot) Maryland_x000D_
.died: 16850622-          Wye Mills (Talbot) Maryland, age:38y 5m 21d, _x000D_
.bapt: 1785GE_x000D_
.will: 2004MO_x000D_
.obit: 1890OH_x000D_
.bury: 1850IL _x000D_
.wpbt: 1826PA_x000D_
.anc#:ancestor_x000D_
citiz:US born_x000D_
#spos:1_x000D_
#srcs:7_x000D_
#comment:0_x000D_
#events:1_x000D_
#kids:6_x000D_
lived:MDST.MA,MDTALBOWYEMILL_x000D_
issue:_x000D_
.recs:Birth,Marriage,Death_x000D_
.imm?:no_x000D_
..Spo:HENRIETTA MARIA NEALE</t>
        </r>
      </text>
    </comment>
    <comment ref="N9666" authorId="0" shapeId="0" xr:uid="{F237677B-8C10-460B-A515-DF26B45AB1AF}">
      <text>
        <r>
          <rPr>
            <sz val="9"/>
            <color indexed="81"/>
            <rFont val="Tahoma"/>
            <family val="2"/>
          </rPr>
          <t>ALICE CROUCH_x000D_
http://yeinfo.com/family/I09006245.html_x000D_
https://www.google.com/search?q=ALICE+CROUCH+1602+1647+LLOYD_x000D_
.born: 1602    -          London (Middlesex) England_x000D_
.died: 1647    -1692      Maryland, age:45y 0m 0d, _x000D_
.bapt: 1785GE_x000D_
.will: 2004MO_x000D_
.obit: 1890OH_x000D_
.bury: 1850IL _x000D_
.wpbt: 1826PA_x000D_
.anc#:ancestor_x000D_
citiz:immigrant_x000D_
#spos:1_x000D_
#srcs:1_x000D_
#comment:0_x000D_
#events:1_x000D_
#kids:1_x000D_
lived:ENMIDDLLONDON,MD_x000D_
issue:_x000D_
.recs:Birth,Marriage,Death_x000D_
.imm?:immigrant_x000D_
..Spo:EDWARD LLOYD</t>
        </r>
      </text>
    </comment>
    <comment ref="L9668" authorId="0" shapeId="0" xr:uid="{6E5EDD04-0683-4A50-B34D-DA1E91E6C2AF}">
      <text>
        <r>
          <rPr>
            <sz val="9"/>
            <color indexed="81"/>
            <rFont val="Tahoma"/>
            <family val="2"/>
          </rPr>
          <t>MARY\MARGARET LLOYD_x000D_
http://yeinfo.com/family/I09001561.html_x000D_
https://www.google.com/search?q=MARY\MARGARET+LLOYD+1668+1748+WEATHERS_x000D_
.born: 1668    -          Easton (Talbot) Maryland_x000D_
.died: 17481215-          Queen Anne's county Maryland, age:80y 11m 14d, _x000D_
.bapt: 1785GE_x000D_
.will: 2004MO_x000D_
.obit: 1890OH_x000D_
.bury: 1850IL _x000D_
.wpbt: 1826PA_x000D_
.anc#:ancestor_x000D_
citiz:US born_x000D_
#spos:1_x000D_
#srcs:1_x000D_
#comment:0_x000D_
#events:1_x000D_
#kids:1_x000D_
lived:MDQUEAN,MDTALBOEASTON_x000D_
issue:Died after Age 100_x000D_
.recs:Birth,Marriage,Death_x000D_
.imm?:no_x000D_
..Spo:THOMAS WEATHERS</t>
        </r>
      </text>
    </comment>
    <comment ref="N9670" authorId="0" shapeId="0" xr:uid="{D1C77116-D219-4F48-95BB-56F2E1F23AF7}">
      <text>
        <r>
          <rPr>
            <sz val="9"/>
            <color indexed="81"/>
            <rFont val="Tahoma"/>
            <family val="2"/>
          </rPr>
          <t>JAMES NEALE Sr._x000D_
http://yeinfo.com/family/I09006246.html_x000D_
https://www.google.com/search?q=JAMES+NEALE+1615+1684+ANNA+MARIA_x000D_
.born: 1615    -          London (Middlesex) England_x000D_
.died: 16840329-          Charles county Maryland, age:69y 2m 28d, _x000D_
.bapt: 1785GE_x000D_
.will: 2004MO_x000D_
.obit: 1890OH_x000D_
.bury: 1850IL _x000D_
.wpbt: 1826PA_x000D_
.anc#:ancestor_x000D_
citiz:immigrant_x000D_
#spos:1_x000D_
#srcs:1_x000D_
#comment:1_x000D_
#events:1_x000D_
#kids:1_x000D_
lived:ENMIDDLLONDON,MDCHARC_x000D_
issue:_x000D_
.recs:Birth,Marriage,Death_x000D_
.imm?:immigrant_x000D_
..Spo:ANNA MARIA GILL</t>
        </r>
      </text>
    </comment>
    <comment ref="M9672" authorId="0" shapeId="0" xr:uid="{E7A3C572-C713-4212-95A6-199667FADF58}">
      <text>
        <r>
          <rPr>
            <sz val="9"/>
            <color indexed="81"/>
            <rFont val="Tahoma"/>
            <family val="2"/>
          </rPr>
          <t>HENRIETTA MARIA NEALE_x000D_
http://yeinfo.com/family/I09003123.html_x000D_
https://www.google.com/search?q=HENRIETTA+MARIA+NEALE+1647+1697+LLOYD_x000D_
.born: 16470428-          Isle of Normandy (Isle of Wight) Virginia_x000D_
.died: 16970521-          Easton (Talbot) Maryland, age:50y 0m 23d, _x000D_
.bapt: 1785GE_x000D_
.will: 2004MO_x000D_
.obit: 1890OH_x000D_
.bury: 1850IL _x000D_
.wpbt: 1826PA_x000D_
.anc#:ancestor_x000D_
citiz:US born_x000D_
#spos:1_x000D_
#srcs:7_x000D_
#comment:0_x000D_
#events:1_x000D_
#kids:6_x000D_
lived:MDST.MA,MDTALBOEASTON,VAISLEWISLE OF_x000D_
issue:Born before Parents Married_x000D_
.recs:Birth,Marriage,Death_x000D_
.imm?:no_x000D_
..Spo:PHILEMON LLOYD</t>
        </r>
      </text>
    </comment>
    <comment ref="N9674" authorId="0" shapeId="0" xr:uid="{A4371D8D-2DBF-4F8B-ACC7-6C1DFFF8B03B}">
      <text>
        <r>
          <rPr>
            <sz val="9"/>
            <color indexed="81"/>
            <rFont val="Tahoma"/>
            <family val="2"/>
          </rPr>
          <t>ANNA MARIA GILL_x000D_
http://yeinfo.com/family/I09006247.html_x000D_
https://www.google.com/search?q=ANNA+MARIA+GILL+1630+1682+NEALE_x000D_
.born:c1630    -          London (Middlesex) England_x000D_
.died: 16821220-          Wicomico (Charles) Maryland, age:52y 11m 19d, _x000D_
.bapt: 1785GE_x000D_
.will: 2004MO_x000D_
.obit: 1890OH_x000D_
.bury: 1850IL _x000D_
.wpbt: 1826PA_x000D_
.anc#:ancestor_x000D_
citiz:immigrant_x000D_
#spos:1_x000D_
#srcs:1_x000D_
#comment:0_x000D_
#events:1_x000D_
#kids:1_x000D_
lived:ENMIDDLLONDON,MDCHARCWICOMIC_x000D_
issue:_x000D_
.recs:Birth,Marriage,Death_x000D_
.imm?:immigrant_x000D_
..Spo:JAMES NEALE</t>
        </r>
      </text>
    </comment>
    <comment ref="J9676" authorId="0" shapeId="0" xr:uid="{DC08EFBC-FF75-4A6C-BEC9-D95777C153FB}">
      <text>
        <r>
          <rPr>
            <sz val="9"/>
            <color indexed="81"/>
            <rFont val="Tahoma"/>
            <family val="2"/>
          </rPr>
          <t>WILLIAM WEATHERS_x000D_
http://yeinfo.com/family/I09000390.html_x000D_
https://www.google.com/search?q=WILLIAM+WEATHERS+1726+1764+MARY_x000D_
.born: 17260416-          Albemarle Parish (Surry) Virginia_x000D_
.died: 176406  -          Surry county Virginia, age:38y 1m 16d, _x000D_
.bapt: 1785GE_x000D_
.will: 2004MO_x000D_
.obit: 1890OH_x000D_
.bury: 1850IL _x000D_
.wpbt: 1826PA_x000D_
.anc#:ancestor_x000D_
citiz:US born_x000D_
#spos:1_x000D_
#srcs:2_x000D_
#comment:0_x000D_
#events:1_x000D_
#kids:7_x000D_
lived:VASURRYALBEMAP_x000D_
issue:_x000D_
.recs:Birth,Marriage,Death_x000D_
.imm?:no_x000D_
..Spo:MARY RIVES</t>
        </r>
      </text>
    </comment>
    <comment ref="M9678" authorId="0" shapeId="0" xr:uid="{5D39ADC3-E68B-4FD3-B56A-0D2524FA57C3}">
      <text>
        <r>
          <rPr>
            <sz val="9"/>
            <color indexed="81"/>
            <rFont val="Tahoma"/>
            <family val="2"/>
          </rPr>
          <t>SAMUEL JUDKINS Sr._x000D_
http://yeinfo.com/family/I09003124.html_x000D_
https://www.google.com/search?q=SAMUEL+JUDKINS+1637+1672+LYDIA_x000D_
.born:?1637    -          London (Middlesex) England_x000D_
.died: 1672    -          Surry county Virginia, age:35y 0m 0d, _x000D_
.bapt: 1785GE_x000D_
.will: 2004MO_x000D_
.obit: 1890OH_x000D_
.bury: 1850IL _x000D_
.wpbt: 1826PA_x000D_
.anc#:ancestor_x000D_
citiz:immigrant_x000D_
#spos:1_x000D_
#srcs:1_x000D_
#comment:0_x000D_
#events:1_x000D_
#kids:3_x000D_
lived:ENMIDDLLONDON,VASURRY_x000D_
issue:_x000D_
.recs:Birth,Marriage,Death_x000D_
.imm?:immigrant_x000D_
..Spo:LYDIA GRAY</t>
        </r>
      </text>
    </comment>
    <comment ref="L9680" authorId="0" shapeId="0" xr:uid="{418EFA69-A420-4237-AD43-C92810F5CF9F}">
      <text>
        <r>
          <rPr>
            <sz val="9"/>
            <color indexed="81"/>
            <rFont val="Tahoma"/>
            <family val="2"/>
          </rPr>
          <t>SAMUEL JUDKINS Jr._x000D_
http://yeinfo.com/family/I09001562.html_x000D_
https://www.google.com/search?q=SAMUEL+JUDKINS+1658+1705+ELIZABETH_x000D_
.born: 1658    -          Surry county Virginia_x000D_
.died: 1705    -          Surry county Virginia, age:47y 0m 0d, _x000D_
.bapt: 1785GE_x000D_
.will: 2004MO_x000D_
.obit: 1890OH_x000D_
.bury: 1850IL _x000D_
.wpbt: 1826PA_x000D_
.anc#:ancestor_x000D_
citiz:US born_x000D_
#spos:1_x000D_
#srcs:1_x000D_
#comment:0_x000D_
#events:3_x000D_
#kids:3_x000D_
lived:VASURRY_x000D_
issue:_x000D_
.recs:Birth,Marriage,Will Written,Death_x000D_
.imm?:no_x000D_
..Spo:ELIZABETH PETTWAY</t>
        </r>
      </text>
    </comment>
    <comment ref="N9682" authorId="0" shapeId="0" xr:uid="{2F5D69E5-83F1-45E7-8C11-9D7E6739C87B}">
      <text>
        <r>
          <rPr>
            <sz val="9"/>
            <color indexed="81"/>
            <rFont val="Tahoma"/>
            <family val="2"/>
          </rPr>
          <t>THOMAS GRAY Sr._x000D_
http://yeinfo.com/family/I09006250.html_x000D_
https://www.google.com/search?q=THOMAS+GRAY+1593+1635+REBECCA+GRAY_x000D_
.born: 1593    -          London (Middlesex) England_x000D_
.died: 1635    -1683     ?Jamestown (James City) Virginia, age:42y 0m 0d, _x000D_
.bapt: 1785GE_x000D_
.will: 2004MO_x000D_
.obit: 1890OH_x000D_
.bury: 1850IL _x000D_
.wpbt: 1826PA_x000D_
.anc#:ancestor_x000D_
citiz:immigrant_x000D_
#spos:2_x000D_
#srcs:3_x000D_
#comment:0_x000D_
#events:4_x000D_
#kids:1_x000D_
lived:ENMIDDLLONDON,VAJASCTJAMESTW_x000D_
issue:_x000D_
.recs:Birth,Death,Land Transaction,Immigrate_x000D_
.imm?:immigrant_x000D_
..Spo:REBECCA GRAY</t>
        </r>
      </text>
    </comment>
    <comment ref="M9684" authorId="0" shapeId="0" xr:uid="{EEC8EBB5-067E-4273-A95B-567DD34E1F04}">
      <text>
        <r>
          <rPr>
            <sz val="9"/>
            <color indexed="81"/>
            <rFont val="Tahoma"/>
            <family val="2"/>
          </rPr>
          <t>LYDIA GRAY_x000D_
http://yeinfo.com/family/I09003125.html_x000D_
https://www.google.com/search?q=LYDIA+GRAY+1635+1678+JUDKINS+Thomas_x000D_
.born:?1635    -         ?James City (James City) Virginia_x000D_
.died:c167802  -          Surry county Virginia, age:43y 1m 0d, _x000D_
.bapt: 1785GE_x000D_
.will: 2004MO_x000D_
.obit: 1890OH_x000D_
.bury: 1850IL _x000D_
.wpbt: 1826PA_x000D_
.anc#:ancestor_x000D_
citiz:US born_x000D_
#spos:2_x000D_
#srcs:1_x000D_
#comment:0_x000D_
#events:2_x000D_
#kids:3_x000D_
lived:?VAJASCTJAMESCT,VASURRY_x000D_
issue:_x000D_
.recs:Birth,Marriage,Death_x000D_
.imm?:no_x000D_
..Spo:SAMUEL JUDKINS</t>
        </r>
      </text>
    </comment>
    <comment ref="N9686" authorId="0" shapeId="0" xr:uid="{89EEAE78-1EF2-4C1B-9CF9-780EBD5C95E8}">
      <text>
        <r>
          <rPr>
            <sz val="9"/>
            <color indexed="81"/>
            <rFont val="Tahoma"/>
            <family val="2"/>
          </rPr>
          <t>Mrs. REBECCA GRAY_x000D_
http://yeinfo.com/family/I09006251.html_x000D_
https://www.google.com/search?q=REBECCA+GRAY+1615+1635+GRAY_x000D_
.born:?1615    -         ?_x000D_
.died: 1635    -1705     ?, age:20y 0m 0d, _x000D_
.bapt: 1785GE_x000D_
.will: 2004MO_x000D_
.obit: 1890OH_x000D_
.bury: 1850IL _x000D_
.wpbt: 1826PA_x000D_
.anc#:ancestor_x000D_
citiz:US born_x000D_
#spos:1_x000D_
#srcs:3_x000D_
#comment:0_x000D_
#events:1_x000D_
#kids:1_x000D_
lived:_x000D_
issue:_x000D_
.recs:Birth,Marriage,Death_x000D_
.imm?:no_x000D_
..Spo:THOMAS GRAY</t>
        </r>
      </text>
    </comment>
    <comment ref="K9688" authorId="0" shapeId="0" xr:uid="{80CF2EF7-7AA0-470E-A7D4-399FD6EA2ACD}">
      <text>
        <r>
          <rPr>
            <sz val="9"/>
            <color indexed="81"/>
            <rFont val="Tahoma"/>
            <family val="2"/>
          </rPr>
          <t>LYDIA PETTWAY JUDKINS_x000D_
http://yeinfo.com/family/I09000781.html_x000D_
https://www.google.com/search?q=LYDIA+PETTWAY+JUDKINS+1698+1776+WEATHERS_x000D_
.born: 1698    -          Sussex county Virginia_x000D_
.died: 17761219-          Sussex county Virginia, age:78y 11m 18d, _x000D_
.bapt: 1785GE_x000D_
.will: 2004MO_x000D_
.obit: 1890OH_x000D_
.bury: 1850IL _x000D_
.wpbt: 1826PA_x000D_
.anc#:ancestor_x000D_
citiz:US born_x000D_
#spos:1_x000D_
#srcs:1_x000D_
#comment:0_x000D_
#events:1_x000D_
#kids:1_x000D_
lived:VASURRY,VASUSSE_x000D_
issue:_x000D_
.recs:Birth,Marriage,Death_x000D_
.imm?:no_x000D_
..Spo:THOMAS WEATHERS</t>
        </r>
      </text>
    </comment>
    <comment ref="N9690" authorId="0" shapeId="0" xr:uid="{274CCE90-97E5-427F-B688-743B793A8553}">
      <text>
        <r>
          <rPr>
            <sz val="9"/>
            <color indexed="81"/>
            <rFont val="Tahoma"/>
            <family val="2"/>
          </rPr>
          <t>ROBERT PETTWAY_x000D_
http://yeinfo.com/family/I09006252.html_x000D_
https://www.google.com/search?q=ROBERT+PETTWAY+1604+1638+MARY_x000D_
.born:?1604    -         ?Sussex county England_x000D_
.died: 1638    -1694      Surry county Virginia, age:34y 0m 0d, _x000D_
.bapt: 1785GE_x000D_
.will: 2004MO_x000D_
.obit: 1890OH_x000D_
.bury: 1850IL _x000D_
.wpbt: 1826PA_x000D_
.anc#:ancestor_x000D_
citiz:immigrant_x000D_
#spos:1_x000D_
#srcs:1_x000D_
#comment:0_x000D_
#events:3_x000D_
#kids:2_x000D_
lived:?ENSUSSE,VASURRY_x000D_
issue:_x000D_
.recs:Birth,Death,Land Transaction,Immigrate_x000D_
.imm?:immigrant_x000D_
..Spo:MARY PETTWAY</t>
        </r>
      </text>
    </comment>
    <comment ref="M9692" authorId="0" shapeId="0" xr:uid="{74CFBA29-E8D1-4BF5-BB96-D66EEB462862}">
      <text>
        <r>
          <rPr>
            <sz val="9"/>
            <color indexed="81"/>
            <rFont val="Tahoma"/>
            <family val="2"/>
          </rPr>
          <t>EDWARD PETTWAY_x000D_
http://yeinfo.com/family/I09003126.html_x000D_
https://www.google.com/search?q=EDWARD+PETTWAY+1630+1691+ELIZABETH_x000D_
.born:?1630    -          Surry county Virginia_x000D_
.died: 1691    -          Surry county Virginia, age:61y 0m 0d, _x000D_
.bapt: 1785GE_x000D_
.will: 2004MO_x000D_
.obit: 1890OH_x000D_
.bury: 1850IL _x000D_
.wpbt: 1826PA_x000D_
.anc#:ancestor_x000D_
citiz:US born_x000D_
#spos:1_x000D_
#srcs:1_x000D_
#comment:1_x000D_
#events:3_x000D_
#kids:4_x000D_
lived:VASURRY_x000D_
issue:_x000D_
.recs:Birth,Marriage,Will Written,Death_x000D_
.imm?:no_x000D_
..Spo:ELIZABETH PETTWAY</t>
        </r>
      </text>
    </comment>
    <comment ref="N9694" authorId="0" shapeId="0" xr:uid="{793746DF-4CD0-45F2-8591-A0EDA5351D96}">
      <text>
        <r>
          <rPr>
            <sz val="9"/>
            <color indexed="81"/>
            <rFont val="Tahoma"/>
            <family val="2"/>
          </rPr>
          <t>Mrs. MARY PETTWAY_x000D_
http://yeinfo.com/family/I09006253.html_x000D_
https://www.google.com/search?q=MARY+PETTWAY+1610+1638+PETTWAY_x000D_
.born:?1610    -          England_x000D_
.died: 1638    -1700     ?, age:28y 0m 0d, _x000D_
.bapt: 1785GE_x000D_
.will: 2004MO_x000D_
.obit: 1890OH_x000D_
.bury: 1850IL _x000D_
.wpbt: 1826PA_x000D_
.anc#:ancestor_x000D_
citiz:US born_x000D_
#spos:1_x000D_
#srcs:1_x000D_
#comment:0_x000D_
#events:1_x000D_
#kids:2_x000D_
lived:EN_x000D_
issue:_x000D_
.recs:Birth,Marriage,Death_x000D_
.imm?:no_x000D_
..Spo:ROBERT PETTWAY</t>
        </r>
      </text>
    </comment>
    <comment ref="L9696" authorId="0" shapeId="0" xr:uid="{3661CE3E-FA31-4041-A1B3-DC172C059010}">
      <text>
        <r>
          <rPr>
            <sz val="9"/>
            <color indexed="81"/>
            <rFont val="Tahoma"/>
            <family val="2"/>
          </rPr>
          <t>ELIZABETH PETTWAY_x000D_
http://yeinfo.com/family/I09001563.html_x000D_
https://www.google.com/search?q=ELIZABETH+PETTWAY+1658+1698+JUDKINS_x000D_
.born: 1658    -          Surry county Virginia_x000D_
.died: 1698    -1748     ?Surry county Virginia, age:40y 0m 0d, _x000D_
.bapt: 1785GE_x000D_
.will: 2004MO_x000D_
.obit: 1890OH_x000D_
.bury: 1850IL _x000D_
.wpbt: 1826PA_x000D_
.anc#:ancestor_x000D_
citiz:US born_x000D_
#spos:1_x000D_
#srcs:1_x000D_
#comment:0_x000D_
#events:1_x000D_
#kids:3_x000D_
lived:VASURRY_x000D_
issue:_x000D_
.recs:Birth,Marriage,Death_x000D_
.imm?:no_x000D_
..Spo:SAMUEL JUDKINS</t>
        </r>
      </text>
    </comment>
    <comment ref="M9698" authorId="0" shapeId="0" xr:uid="{110E0323-4815-43E6-A932-6D8FCE287412}">
      <text>
        <r>
          <rPr>
            <sz val="9"/>
            <color indexed="81"/>
            <rFont val="Tahoma"/>
            <family val="2"/>
          </rPr>
          <t>Mrs. ELIZABETH PETTWAY_x000D_
http://yeinfo.com/family/I09003127.html_x000D_
https://www.google.com/search?q=ELIZABETH+PETTWAY+1634+1664+PETTWAY_x000D_
.born: 1634    -          Surry county Virginia_x000D_
.died: 1664    -1724      Surry county Virginia, age:30y 0m 0d, _x000D_
.bapt: 1785GE_x000D_
.will: 2004MO_x000D_
.obit: 1890OH_x000D_
.bury: 1850IL _x000D_
.wpbt: 1826PA_x000D_
.anc#:ancestor_x000D_
citiz:US born_x000D_
#spos:1_x000D_
#srcs:1_x000D_
#comment:1_x000D_
#events:1_x000D_
#kids:4_x000D_
lived:VASURRY_x000D_
issue:_x000D_
.recs:Birth,Marriage,Death_x000D_
.imm?:no_x000D_
..Spo:EDWARD PETTWAY</t>
        </r>
      </text>
    </comment>
    <comment ref="I9700" authorId="0" shapeId="0" xr:uid="{34C5C056-067C-4494-97C0-60D6050F4574}">
      <text>
        <r>
          <rPr>
            <sz val="9"/>
            <color indexed="81"/>
            <rFont val="Tahoma"/>
            <family val="2"/>
          </rPr>
          <t>SARAH WEATHERS_x000D_
http://yeinfo.com/family/I09000195.html_x000D_
https://www.google.com/search?q=SARAH+WEATHERS+1747+1815+YARBOROUGH_x000D_
.born: 17471201-          _x000D_
.died: 1815    -          Rutherford county North Carolina, age:67y 1m 0d, _x000D_
.bapt: 1785GE_x000D_
.will: 2004MO_x000D_
.obit: 1890OH_x000D_
.bury: 1850IL _x000D_
.wpbt: 1826PA_x000D_
.anc#:ancestor_x000D_
citiz:US born_x000D_
#spos:1_x000D_
#srcs:2_x000D_
#comment:1_x000D_
#events:2_x000D_
#kids:9_x000D_
lived:NCRUTHE,VASUSSEALBEMAR,VASUSSEALBERMA_x000D_
issue:_x000D_
.recs:Birth,Baptism,Marriage,Death_x000D_
.imm?:no_x000D_
..Spo:RICHARD YARBOROUGH</t>
        </r>
      </text>
    </comment>
    <comment ref="L9702" authorId="0" shapeId="0" xr:uid="{495C950B-5F9B-45F0-A492-7B6DE5B2A564}">
      <text>
        <r>
          <rPr>
            <sz val="9"/>
            <color indexed="81"/>
            <rFont val="Tahoma"/>
            <family val="2"/>
          </rPr>
          <t>EDWARD RIVES_x000D_
http://yeinfo.com/family/I09001564.html_x000D_
https://www.google.com/search?q=EDWARD+RIVES+1670+1729+{_?_}_x000D_
.born: 1670    -          _x000D_
.died: 1729    -          , age:59y 0m 0d, _x000D_
.bapt: 1785GE_x000D_
.will: 2004MO_x000D_
.obit: 1890OH_x000D_
.bury: 1850IL _x000D_
.wpbt: 1826PA_x000D_
.anc#:ancestor_x000D_
citiz:US born_x000D_
#spos:1_x000D_
#srcs:1_x000D_
#comment:0_x000D_
#events:1_x000D_
#kids:1_x000D_
lived:_x000D_
issue:Died after Age 100_x000D_
.recs:Birth,Marriage,Death_x000D_
.imm?:no_x000D_
..Spo:{_?_} RIVES</t>
        </r>
      </text>
    </comment>
    <comment ref="K9704" authorId="0" shapeId="0" xr:uid="{E0EB9DA0-946B-497C-9A65-5C84DF893E03}">
      <text>
        <r>
          <rPr>
            <sz val="9"/>
            <color indexed="81"/>
            <rFont val="Tahoma"/>
            <family val="2"/>
          </rPr>
          <t>RICHARD RIVES_x000D_
http://yeinfo.com/family/I09000782.html_x000D_
https://www.google.com/search?q=RICHARD+RIVES+1690+1762+DOROTHY_x000D_
.born:c1690    -          Surry county Virginia_x000D_
.died: 1762    -          Pitt county North Carolina, age:72y 0m 0d, _x000D_
.bapt: 1785GE_x000D_
.will: 2004MO_x000D_
.obit: 1890OH_x000D_
.bury: 1850IL _x000D_
.wpbt: 1826PA_x000D_
.anc#:ancestor_x000D_
citiz:US born_x000D_
#spos:1_x000D_
#srcs:2_x000D_
#comment:0_x000D_
#events:1_x000D_
#kids:5_x000D_
lived:NCPITT,VASURRY_x000D_
issue:_x000D_
.recs:Birth,Marriage,Death_x000D_
.imm?:no_x000D_
..Spo:DOROTHY RIVES</t>
        </r>
      </text>
    </comment>
    <comment ref="L9706" authorId="0" shapeId="0" xr:uid="{41DA4003-AC16-4A11-8E48-08346DB00527}">
      <text>
        <r>
          <rPr>
            <sz val="9"/>
            <color indexed="81"/>
            <rFont val="Tahoma"/>
            <family val="2"/>
          </rPr>
          <t>Mrs. {_?_} RIVES_x000D_
http://yeinfo.com/family/I09001565.html_x000D_
https://www.google.com/search?q={_?_}+RIVES+1670+1690+RIVES_x000D_
.born:?1670    -          _x000D_
.died: 1690    -1760      , age:20y 0m 0d, _x000D_
.bapt: 1785GE_x000D_
.will: 2004MO_x000D_
.obit: 1890OH_x000D_
.bury: 1850IL _x000D_
.wpbt: 1826PA_x000D_
.anc#:ancestor_x000D_
citiz:US born_x000D_
#spos:1_x000D_
#srcs:1_x000D_
#comment:0_x000D_
#events:1_x000D_
#kids:1_x000D_
lived:_x000D_
issue:_x000D_
.recs:Birth,Marriage,Death_x000D_
.imm?:no_x000D_
..Spo:EDWARD RIVES</t>
        </r>
      </text>
    </comment>
    <comment ref="J9708" authorId="0" shapeId="0" xr:uid="{7B76E180-3FAB-46DF-9E7B-13643CDE46C0}">
      <text>
        <r>
          <rPr>
            <sz val="9"/>
            <color indexed="81"/>
            <rFont val="Tahoma"/>
            <family val="2"/>
          </rPr>
          <t>MARY RIVES_x000D_
http://yeinfo.com/family/I09000391.html_x000D_
https://www.google.com/search?q=MARY+RIVES+1728+1767+WEATHERS_x000D_
.born: 1728    -          Surry county Virginia_x000D_
.died: 1767    -          Surry county Virginia, age:39y 0m 0d, _x000D_
.bapt: 1785GE_x000D_
.will: 2004MO_x000D_
.obit: 1890OH_x000D_
.bury: 1850IL _x000D_
.wpbt: 1826PA_x000D_
.anc#:ancestor_x000D_
citiz:US born_x000D_
#spos:1_x000D_
#srcs:2_x000D_
#comment:0_x000D_
#events:1_x000D_
#kids:7_x000D_
lived:VASURRYALBEMAP_x000D_
issue:_x000D_
.recs:Birth,Marriage,Death_x000D_
.imm?:no_x000D_
..Spo:WILLIAM WEATHERS</t>
        </r>
      </text>
    </comment>
    <comment ref="K9710" authorId="0" shapeId="0" xr:uid="{F5E5B01B-C61C-47AA-92E9-63A7D5545757}">
      <text>
        <r>
          <rPr>
            <sz val="9"/>
            <color indexed="81"/>
            <rFont val="Tahoma"/>
            <family val="2"/>
          </rPr>
          <t>Mrs. DOROTHY RIVES_x000D_
http://yeinfo.com/family/I09000783.html_x000D_
https://www.google.com/search?q=DOROTHY+RIVES+1690+1748+RIVES_x000D_
.born: 1690    -          Surry county Virginia_x000D_
.died: 1748    -          Surry county Virginia, age:58y 0m 0d, _x000D_
.bapt: 1785GE_x000D_
.will: 2004MO_x000D_
.obit: 1890OH_x000D_
.bury: 1850IL _x000D_
.wpbt: 1826PA_x000D_
.anc#:ancestor_x000D_
citiz:US born_x000D_
#spos:1_x000D_
#srcs:2_x000D_
#comment:0_x000D_
#events:1_x000D_
#kids:5_x000D_
lived:VASURRY_x000D_
issue:_x000D_
.recs:Birth,Marriage,Death_x000D_
.imm?:no_x000D_
..Spo:RICHARD RIVES</t>
        </r>
      </text>
    </comment>
    <comment ref="F9712" authorId="0" shapeId="0" xr:uid="{A8E1A23F-6AF4-4FB1-B2A0-0530E0A11733}">
      <text>
        <r>
          <rPr>
            <sz val="9"/>
            <color indexed="81"/>
            <rFont val="Tahoma"/>
            <family val="2"/>
          </rPr>
          <t>WILLIAM HAROLD DEATON_x000D_
http://yeinfo.com/family/I09000024.html_x000D_
https://www.google.com/search?q=WILLIAM+HAROLD+DEATON+1844+1916+ELIZABETH+ANN_x000D_
.born: 18440613-          Carroll county Arkansas_x000D_
.died: 19160129-          Memphis (Shelby) Tennessee, age:71y 7m 16d, apoplexy_x000D_
.bapt: 1785GE_x000D_
.will: 2004MO_x000D_
.obit: 1890OH_x000D_
.bury: 1850IL Elmwood Cemetery_x000D_
.wpbt: 1826PA_x000D_
.anc#:ancestor_x000D_
citiz:US born_x000D_
#spos:1_x000D_
#srcs:15_x000D_
#comment:2_x000D_
#events:19_x000D_
#kids:12_x000D_
lived:?MOGRENESPRINGF,ARCARRO,ILJOHNNVIENNA,TNCROCKFRNDSHP,TNHARDM,TNMCNAI,TNSHELBMEMPHIS_x000D_
issue:_x000D_
.recs:Birth,Military,Marriage,Death,Interment/Burial_x000D_
.imm?:no_x000D_
..Spo:ELIZABETH ANN CLENDENIN</t>
        </r>
      </text>
    </comment>
    <comment ref="I9714" authorId="0" shapeId="0" xr:uid="{FD9F0B22-4162-415F-81CC-D102EB486E34}">
      <text>
        <r>
          <rPr>
            <sz val="9"/>
            <color indexed="81"/>
            <rFont val="Tahoma"/>
            <family val="2"/>
          </rPr>
          <t>WILLIAM WALKER_x000D_
http://yeinfo.com/family/I09000196.html_x000D_
https://www.google.com/search?q=WILLIAM+WALKER+1741+1801+Nancy+BASS_x000D_
.born: 1741    -          Orange (Orange) Virginia_x000D_
.died: 1801    -          Kentucky, age:60y 0m 0d, _x000D_
.bapt: 1785GE_x000D_
.will: 2004MO_x000D_
.obit: 1890OH_x000D_
.bury: 1850IL _x000D_
.wpbt: 1826PA_x000D_
.anc#:ancestor_x000D_
citiz:US born_x000D_
#spos:2_x000D_
#srcs:2_x000D_
#comment:1_x000D_
#events:2_x000D_
#kids:1_x000D_
lived:KY,VAORANGORANGE_x000D_
issue:_x000D_
.recs:Birth,Marriage,Death_x000D_
.imm?:no_x000D_
..Spo:Nancy Bass</t>
        </r>
      </text>
    </comment>
    <comment ref="H9716" authorId="0" shapeId="0" xr:uid="{ECCE0894-6FD6-4EBC-8379-50F12F35BAD3}">
      <text>
        <r>
          <rPr>
            <sz val="9"/>
            <color indexed="81"/>
            <rFont val="Tahoma"/>
            <family val="2"/>
          </rPr>
          <t>JAMES WALKER Sr._x000D_
http://yeinfo.com/family/I09000098.html_x000D_
https://www.google.com/search?q=JAMES+WALKER+1771+1860+Sarah+CAMPBELL_x000D_
.born: 17710817-         ?Buckingham county Virginia_x000D_
.died: 186002  -          Grundy county Tennessee, age:88y 5m 15d, _x000D_
.bapt: 1785GE_x000D_
.will: 2004MO_x000D_
.obit: 1890OH_x000D_
.bury: 1850IL Philadelphia Church Cemetery_x000D_
.wpbt: 1826PA_x000D_
.anc#:ancestor_x000D_
citiz:US born_x000D_
#spos:2_x000D_
#srcs:3_x000D_
#comment:1_x000D_
#events:3_x000D_
#kids:16_x000D_
lived:?VABUCKM,KY,TNGRUNDMT.OLIV_x000D_
issue:_x000D_
.recs:Birth,Marriage,Death,Interment/Burial_x000D_
.imm?:no_x000D_
..Spo:Sarah WALKER</t>
        </r>
      </text>
    </comment>
    <comment ref="N9718" authorId="0" shapeId="0" xr:uid="{832D130F-ACB2-45FA-9B88-51DCF14FE000}">
      <text>
        <r>
          <rPr>
            <sz val="9"/>
            <color indexed="81"/>
            <rFont val="Tahoma"/>
            <family val="2"/>
          </rPr>
          <t>NATHANIEL BASS_x000D_
http://yeinfo.com/family/I09006304.html_x000D_
https://www.google.com/search?q=NATHANIEL+BASS+1589+1654+MARY_x000D_
.born:a15891219-          London (Middlesex) England_x000D_
.died:a16540703-          London (Middlesex) England, age:64y 6m 14d, _x000D_
.bapt: 1785GE_x000D_
.will: 2004MO_x000D_
.obit: 1890OH_x000D_
.bury: 1850IL _x000D_
.wpbt: 1826PA_x000D_
.anc#:ancestor_x000D_
citiz:foreign_x000D_
#spos:1_x000D_
#srcs:2_x000D_
#comment:0_x000D_
#events:1_x000D_
#kids:11_x000D_
lived:ENMIDDLLONDON_x000D_
issue:_x000D_
.recs:Birth,Marriage,Death_x000D_
.imm?:no_x000D_
..Spo:MARY JOURDON</t>
        </r>
      </text>
    </comment>
    <comment ref="M9720" authorId="0" shapeId="0" xr:uid="{518F8FF8-8BDA-4855-9A10-E80B4BD38673}">
      <text>
        <r>
          <rPr>
            <sz val="9"/>
            <color indexed="81"/>
            <rFont val="Tahoma"/>
            <family val="2"/>
          </rPr>
          <t>WILLIAM BASS_x000D_
http://yeinfo.com/family/I09003152.html_x000D_
https://www.google.com/search?q=WILLIAM+BASS+1618+1695+SARAH_x000D_
.born: 16181225-          London (Middlesex) England_x000D_
.died:c1695    -          Norfolk county Virginia, age:76y 0m 7d, _x000D_
.bapt: 1785GE_x000D_
.will: 2004MO_x000D_
.obit: 1890OH_x000D_
.bury: 1850IL _x000D_
.wpbt: 1826PA_x000D_
.anc#:ancestor_x000D_
citiz:immigrant_x000D_
#spos:1_x000D_
#srcs:2_x000D_
#comment:0_x000D_
#events:1_x000D_
#kids:2_x000D_
lived:ENMIDDLLONDON,VANORFO_x000D_
issue:_x000D_
.recs:Birth,Marriage,Death_x000D_
.imm?:immigrant_x000D_
..Spo:SARAH BATTON</t>
        </r>
      </text>
    </comment>
    <comment ref="N9722" authorId="0" shapeId="0" xr:uid="{43E3B7AD-9170-4F58-8919-97ADA13C14A0}">
      <text>
        <r>
          <rPr>
            <sz val="9"/>
            <color indexed="81"/>
            <rFont val="Tahoma"/>
            <family val="2"/>
          </rPr>
          <t>MARY JOURDON_x000D_
http://yeinfo.com/family/I09006305.html_x000D_
https://www.google.com/search?q=MARY+JOURDON+1590+1630+BASS_x000D_
.born:?1590    -          London (Middlesex) England_x000D_
.died: 1630    -1675      Nansemond county Virginia, age:40y 0m 0d, _x000D_
.bapt: 1785GE_x000D_
.will: 2004MO_x000D_
.obit: 1890OH_x000D_
.bury: 1850IL _x000D_
.wpbt: 1826PA_x000D_
.anc#:ancestor_x000D_
citiz:immigrant_x000D_
#spos:1_x000D_
#srcs:2_x000D_
#comment:0_x000D_
#events:1_x000D_
#kids:11_x000D_
lived:ENMIDDLLONDON,VANANSE_x000D_
issue:_x000D_
.recs:Birth,Marriage,Death_x000D_
.imm?:immigrant_x000D_
..Spo:NATHANIEL BASS</t>
        </r>
      </text>
    </comment>
    <comment ref="L9724" authorId="0" shapeId="0" xr:uid="{24C808C2-B3E7-495A-8F6C-661FCF31D926}">
      <text>
        <r>
          <rPr>
            <sz val="9"/>
            <color indexed="81"/>
            <rFont val="Tahoma"/>
            <family val="2"/>
          </rPr>
          <t>WILLIAM BASS_x000D_
http://yeinfo.com/family/I09001576.html_x000D_
https://www.google.com/search?q=WILLIAM+BASS+1648+1705+HESTER_x000D_
.born: 16480218-          Isle of Wight county Virginia_x000D_
.died: 1705    -1730      Henrico county Virginia, age:56y 10m 14d, _x000D_
.bapt: 1785GE_x000D_
.will: 2004MO_x000D_
.obit: 1890OH_x000D_
.bury: 1850IL _x000D_
.wpbt: 1826PA_x000D_
.anc#:ancestor_x000D_
citiz:US born_x000D_
#spos:1_x000D_
#srcs:2_x000D_
#comment:0_x000D_
#events:1_x000D_
#kids:4_x000D_
lived:VAHENRI,VAISLEW_x000D_
issue:_x000D_
.recs:Birth,Marriage,Death_x000D_
.imm?:no_x000D_
..Spo:HESTER BASS</t>
        </r>
      </text>
    </comment>
    <comment ref="M9726" authorId="0" shapeId="0" xr:uid="{2A9E7F12-ECC0-447E-B049-6C82EB47872F}">
      <text>
        <r>
          <rPr>
            <sz val="9"/>
            <color indexed="81"/>
            <rFont val="Tahoma"/>
            <family val="2"/>
          </rPr>
          <t>SARAH BATTON_x000D_
http://yeinfo.com/family/I09003153.html_x000D_
https://www.google.com/search?q=SARAH+BATTON+1620+1695+BASS_x000D_
.born: 1620    -          Norfolk (Norfolk) Virginia_x000D_
.died: 1695    -          Henrico county Virginia, age:75y 0m 0d, _x000D_
.bapt: 1785GE_x000D_
.will: 2004MO_x000D_
.obit: 1890OH_x000D_
.bury: 1850IL _x000D_
.wpbt: 1826PA_x000D_
.anc#:ancestor_x000D_
citiz:US born_x000D_
#spos:1_x000D_
#srcs:3_x000D_
#comment:0_x000D_
#events:1_x000D_
#kids:2_x000D_
lived:VAHENRI,VANORFONORFOLK_x000D_
issue:_x000D_
.recs:Birth,Marriage,Death_x000D_
.imm?:no_x000D_
..Spo:WILLIAM BASS</t>
        </r>
      </text>
    </comment>
    <comment ref="K9728" authorId="0" shapeId="0" xr:uid="{FFD55E43-7D2D-4D0C-90E2-AAD999D7900C}">
      <text>
        <r>
          <rPr>
            <sz val="9"/>
            <color indexed="81"/>
            <rFont val="Tahoma"/>
            <family val="2"/>
          </rPr>
          <t>THOMAS BASS_x000D_
http://yeinfo.com/family/I09000788.html_x000D_
https://www.google.com/search?q=THOMAS+BASS+1705+1745+ELIZABETH_x000D_
.born:?1705    -         ?Virginia_x000D_
.died: 1745    -1795      Chesterfield county Virginia, age:40y 0m 0d, _x000D_
.bapt: 1785GE_x000D_
.will: 2004MO_x000D_
.obit: 1890OH_x000D_
.bury: 1850IL _x000D_
.wpbt: 1826PA_x000D_
.anc#:ancestor_x000D_
citiz:US born_x000D_
#spos:1_x000D_
#srcs:1_x000D_
#comment:0_x000D_
#events:1_x000D_
#kids:6_x000D_
lived:?VA,VACHESF_x000D_
issue:Born after Mom Age 50,Died after Age 100_x000D_
.recs:Birth,Marriage,Death_x000D_
.imm?:no_x000D_
..Spo:ELIZABETH HOWLETT</t>
        </r>
      </text>
    </comment>
    <comment ref="L9730" authorId="0" shapeId="0" xr:uid="{91FD9CDD-CAA3-40F3-BA83-81A6C6011DE0}">
      <text>
        <r>
          <rPr>
            <sz val="9"/>
            <color indexed="81"/>
            <rFont val="Tahoma"/>
            <family val="2"/>
          </rPr>
          <t>Mrs. HESTER BASS_x000D_
http://yeinfo.com/family/I09001577.html_x000D_
https://www.google.com/search?q=HESTER+BASS+1654+1705+BASS_x000D_
.born:?1654    -          Henrico county Virginia_x000D_
.died:c1705    -          Henrico county Virginia, age:51y 0m 0d, _x000D_
.bapt: 1785GE_x000D_
.will: 2004MO_x000D_
.obit: 1890OH_x000D_
.bury: 1850IL _x000D_
.wpbt: 1826PA_x000D_
.anc#:ancestor_x000D_
citiz:US born_x000D_
#spos:1_x000D_
#srcs:2_x000D_
#comment:0_x000D_
#events:1_x000D_
#kids:4_x000D_
lived:VAHENRI_x000D_
issue:_x000D_
.recs:Birth,Marriage,Death_x000D_
.imm?:no_x000D_
..Spo:WILLIAM BASS</t>
        </r>
      </text>
    </comment>
    <comment ref="J9732" authorId="0" shapeId="0" xr:uid="{5FCC594B-9861-49C3-8B70-D37A28AA388B}">
      <text>
        <r>
          <rPr>
            <sz val="9"/>
            <color indexed="81"/>
            <rFont val="Tahoma"/>
            <family val="2"/>
          </rPr>
          <t>JOSIAH\JOSEPH BASS Sr._x000D_
http://yeinfo.com/family/I09000394.html_x000D_
https://www.google.com/search?q=JOSIAH\JOSEPH+BASS+1732+1812+ELIZABETH_x000D_
.born:?1732    -         ?Henrico county Virginia_x000D_
.died: 18121022-          Greenlee county Kentucky, age:80y 9m 21d, _x000D_
.bapt: 1785GE_x000D_
.will: 2004MO_x000D_
.obit: 1890OH_x000D_
.bury: 1850IL _x000D_
.wpbt: 1826PA_x000D_
.anc#:ancestor_x000D_
citiz:US born_x000D_
#spos:1_x000D_
#srcs:3_x000D_
#comment:1_x000D_
#events:5_x000D_
#kids:15_x000D_
lived:?VAHENRI,KYGRAYN,KYGREEN,VACHESF_x000D_
issue:_x000D_
.recs:Birth,Marriage Intention/Bonds,Death,Inventory_x000D_
.imm?:no_x000D_
..Spo:ELIZABETH ROBERTSON</t>
        </r>
      </text>
    </comment>
    <comment ref="L9734" authorId="0" shapeId="0" xr:uid="{8791C711-866D-4D3A-8985-75BE4FEC649E}">
      <text>
        <r>
          <rPr>
            <sz val="9"/>
            <color indexed="81"/>
            <rFont val="Tahoma"/>
            <family val="2"/>
          </rPr>
          <t>THOMAS HOWLETT_x000D_
http://yeinfo.com/family/I09001578.html_x000D_
https://www.google.com/search?q=THOMAS+HOWLETT+1675+1720+SUSANNA_x000D_
.born:?1675    -         ?Virginia_x000D_
.died: 1720    -         ?Virginia, age:45y 0m 0d, _x000D_
.bapt: 1785GE_x000D_
.will: 2004MO_x000D_
.obit: 1890OH_x000D_
.bury: 1850IL _x000D_
.wpbt: 1826PA_x000D_
.anc#:ancestor_x000D_
citiz:US born_x000D_
#spos:1_x000D_
#srcs:1_x000D_
#comment:0_x000D_
#events:1_x000D_
#kids:1_x000D_
lived:?VA,VAHENRI_x000D_
issue:_x000D_
.recs:Birth,Marriage,Death_x000D_
.imm?:no_x000D_
..Spo:SUSANNA ENGLAND</t>
        </r>
      </text>
    </comment>
    <comment ref="K9736" authorId="0" shapeId="0" xr:uid="{D7EE52A4-1886-4F80-907D-4DEE0916DF61}">
      <text>
        <r>
          <rPr>
            <sz val="9"/>
            <color indexed="81"/>
            <rFont val="Tahoma"/>
            <family val="2"/>
          </rPr>
          <t>ELIZABETH HOWLETT_x000D_
http://yeinfo.com/family/I09000789.html_x000D_
https://www.google.com/search?q=ELIZABETH+HOWLETT+1700+1788+BASS_x000D_
.born: 1700    -          Chesterfield county Virginia_x000D_
.died: 1788    -          Chesterfield county Virginia, age:88y 0m 0d, _x000D_
.bapt: 1785GE_x000D_
.will: 2004MO_x000D_
.obit: 1890OH_x000D_
.bury: 1850IL _x000D_
.wpbt: 1826PA_x000D_
.anc#:ancestor_x000D_
citiz:US born_x000D_
#spos:1_x000D_
#srcs:1_x000D_
#comment:0_x000D_
#events:1_x000D_
#kids:6_x000D_
lived:VACHESF_x000D_
issue:Born before Parents Married,Died after Age 100_x000D_
.recs:Birth,Marriage,Death_x000D_
.imm?:no_x000D_
..Spo:THOMAS BASS</t>
        </r>
      </text>
    </comment>
    <comment ref="L9738" authorId="0" shapeId="0" xr:uid="{CC73CBD6-5827-4210-AB34-C92262E15AB3}">
      <text>
        <r>
          <rPr>
            <sz val="9"/>
            <color indexed="81"/>
            <rFont val="Tahoma"/>
            <family val="2"/>
          </rPr>
          <t>SUSANNA ENGLAND_x000D_
http://yeinfo.com/family/I09001579.html_x000D_
https://www.google.com/search?q=SUSANNA+ENGLAND+1672+1726+HOWLETT_x000D_
.born:?1672    -         ?_x000D_
.died:a17260307-          Henrico county Virginia, age:54y 2m 6d, _x000D_
.bapt: 1785GE_x000D_
.will: 2004MO_x000D_
.obit: 1890OH_x000D_
.bury: 1850IL _x000D_
.wpbt: 1826PA_x000D_
.anc#:ancestor_x000D_
citiz:US born_x000D_
#spos:1_x000D_
#srcs:1_x000D_
#comment:0_x000D_
#events:1_x000D_
#kids:1_x000D_
lived:VAHENRI_x000D_
issue:_x000D_
.recs:Birth,Marriage,Death_x000D_
.imm?:no_x000D_
..Spo:THOMAS HOWLETT</t>
        </r>
      </text>
    </comment>
    <comment ref="I9740" authorId="0" shapeId="0" xr:uid="{41DC37AB-E159-44E9-A66E-33DCA14F5D7D}">
      <text>
        <r>
          <rPr>
            <sz val="9"/>
            <color indexed="81"/>
            <rFont val="Tahoma"/>
            <family val="2"/>
          </rPr>
          <t>ELIZABETH BASS_x000D_
http://yeinfo.com/family/I09000197.html_x000D_
https://www.google.com/search?q=ELIZABETH+BASS+1750+1831+WALKER_x000D_
.born: 1750    -          Chesterfield county Virginia_x000D_
.died: 18310524-          Greenlee county Kentucky, age:81y 4m 23d, _x000D_
.bapt: 1785GE_x000D_
.will: 2004MO_x000D_
.obit: 1890OH_x000D_
.bury: 1850IL _x000D_
.wpbt: 1826PA_x000D_
.anc#:ancestor_x000D_
citiz:US born_x000D_
#spos:1_x000D_
#srcs:2_x000D_
#comment:1_x000D_
#events:1_x000D_
#kids:1_x000D_
lived:?KYCAMPB,KYGREEN,VACHESF_x000D_
issue:Born before Parents Married_x000D_
.recs:Birth,Marriage,Death_x000D_
.imm?:no_x000D_
..Spo:WILLIAM WALKER</t>
        </r>
      </text>
    </comment>
    <comment ref="L9742" authorId="0" shapeId="0" xr:uid="{DAF4F024-E593-46A5-B32F-C3CDB13C6942}">
      <text>
        <r>
          <rPr>
            <sz val="9"/>
            <color indexed="81"/>
            <rFont val="Tahoma"/>
            <family val="2"/>
          </rPr>
          <t>JEFFREY ROBERTSON Sr._x000D_
http://yeinfo.com/family/I09001580.html_x000D_
https://www.google.com/search?q=JEFFREY+ROBERTSON+1654+1734+ELIZABETH_x000D_
.born: 1654    -          Edinburg (Midlothian) Scotland_x000D_
.died: 1734    -          Henrico county Virginia, age:80y 0m 0d, _x000D_
.bapt: 1785GE_x000D_
.will: 2004MO_x000D_
.obit: 1890OH_x000D_
.bury: 1850IL _x000D_
.wpbt: 1826PA_x000D_
.anc#:ancestor_x000D_
citiz:immigrant_x000D_
#spos:1_x000D_
#srcs:1_x000D_
#comment:0_x000D_
#events:1_x000D_
#kids:8_x000D_
lived:?VAHENRI,STMIDLOEDINBUR_x000D_
issue:Married before Age 16,Died before Birth_x000D_
.recs:Birth,Marriage,Death_x000D_
.imm?:immigrant_x000D_
..Spo:ELIZABETH BOWMAN</t>
        </r>
      </text>
    </comment>
    <comment ref="K9744" authorId="0" shapeId="0" xr:uid="{F3E1EA8D-E8A1-469B-8E09-9B8F06053163}">
      <text>
        <r>
          <rPr>
            <sz val="9"/>
            <color indexed="81"/>
            <rFont val="Tahoma"/>
            <family val="2"/>
          </rPr>
          <t>JEFFREY ROBERTSON Jr._x000D_
http://yeinfo.com/family/I09000790.html_x000D_
https://www.google.com/search?q=JEFFREY+ROBERTSON+1709+1784+JUDITH_x000D_
.born: 1709    -          Henrico county Virginia_x000D_
.died: 1784    -1799      Chesterfield county Virginia, age:75y 0m 0d, _x000D_
.bapt: 1785GE_x000D_
.will: 2004MO_x000D_
.obit: 1890OH_x000D_
.bury: 1850IL _x000D_
.wpbt: 1826PA_x000D_
.anc#:ancestor_x000D_
citiz:US born_x000D_
#spos:1_x000D_
#srcs:1_x000D_
#comment:1_x000D_
#events:3_x000D_
#kids:6_x000D_
lived:VACHESF,VAHENRI_x000D_
issue:Born before Parents Married,Born after Mom Age 50,Died after Age 100_x000D_
.recs:Birth,Marriage,Will Written,Death,Land Transaction_x000D_
.imm?:no_x000D_
..Spo:JUDITH TANNER</t>
        </r>
      </text>
    </comment>
    <comment ref="N9746" authorId="0" shapeId="0" xr:uid="{CB2BB469-A5FC-4520-968E-46467758731F}">
      <text>
        <r>
          <rPr>
            <sz val="9"/>
            <color indexed="81"/>
            <rFont val="Tahoma"/>
            <family val="2"/>
          </rPr>
          <t>ROBERT BOWMAN Sr._x000D_
http://yeinfo.com/family/I09006324.html_x000D_
https://www.google.com/search?q=ROBERT+BOWMAN+1600+1671+SARAH_x000D_
.born: 1600    -          England_x000D_
.died: 16710217-          Bermuda (Chesterfield) Virginia, age:71y 1m 16d, _x000D_
.bapt: 1785GE_x000D_
.will: 2004MO_x000D_
.obit: 1890OH_x000D_
.bury: 1850IL _x000D_
.wpbt: 1826PA_x000D_
.anc#:ancestor_x000D_
citiz:immigrant_x000D_
#spos:2_x000D_
#srcs:2_x000D_
#comment:1_x000D_
#events:2_x000D_
#kids:4_x000D_
lived:EN,VACHESFBERMUDA_x000D_
issue:_x000D_
.recs:Birth,Marriage,Death_x000D_
.imm?:immigrant_x000D_
..Spo:SARAH ORME</t>
        </r>
      </text>
    </comment>
    <comment ref="M9748" authorId="0" shapeId="0" xr:uid="{EAF77EAE-1CBB-4044-B919-AB2CA2314346}">
      <text>
        <r>
          <rPr>
            <sz val="9"/>
            <color indexed="81"/>
            <rFont val="Tahoma"/>
            <family val="2"/>
          </rPr>
          <t>JOHN BOWMAN_x000D_
http://yeinfo.com/family/I09003162.html_x000D_
https://www.google.com/search?q=JOHN+BOWMAN+1630+1718+ELIZABETH_x000D_
.born: 1630    -          Henrico county Virginia_x000D_
.died: 1718    -          Henrico county Virginia, age:88y 0m 0d, _x000D_
.bapt: 1785GE_x000D_
.will: 2004MO_x000D_
.obit: 1890OH_x000D_
.bury: 1850IL _x000D_
.wpbt: 1826PA_x000D_
.anc#:ancestor_x000D_
citiz:US born_x000D_
#spos:1_x000D_
#srcs:1_x000D_
#comment:0_x000D_
#events:1_x000D_
#kids:1_x000D_
lived:VAHENRI_x000D_
issue:_x000D_
.recs:Birth,Marriage,Death_x000D_
.imm?:no_x000D_
..Spo:ELIZABETH ELAM</t>
        </r>
      </text>
    </comment>
    <comment ref="O9750" authorId="0" shapeId="0" xr:uid="{F9F78C5F-3278-44BD-B462-01C0C8DCE217}">
      <text>
        <r>
          <rPr>
            <sz val="9"/>
            <color indexed="81"/>
            <rFont val="Tahoma"/>
            <family val="2"/>
          </rPr>
          <t>EDWARD ORME_x000D_
http://yeinfo.com/family/I09012650.html_x000D_
https://www.google.com/search?q=EDWARD+ORME+1586+1610+ALICE\ALICIA_x000D_
.born: 15861013-          Prescot (Lancashire) England_x000D_
.died: 1610    -          Virginia, age:23y 2m 19d, _x000D_
.bapt: 1785GE_x000D_
.will: 2004MO_x000D_
.obit: 1890OH_x000D_
.bury: 1850IL _x000D_
.wpbt: 1826PA_x000D_
.anc#:ancestor_x000D_
citiz:immigrant_x000D_
#spos:1_x000D_
#srcs:2_x000D_
#comment:0_x000D_
#events:1_x000D_
#kids:1_x000D_
lived:ENLANCSPRESCOT,VA_x000D_
issue:_x000D_
.recs:Birth,Marriage,Death_x000D_
.imm?:immigrant_x000D_
..Spo:ALICE\ALICIA LEA</t>
        </r>
      </text>
    </comment>
    <comment ref="N9752" authorId="0" shapeId="0" xr:uid="{316F5360-74F6-4159-9632-0173EE2B0509}">
      <text>
        <r>
          <rPr>
            <sz val="9"/>
            <color indexed="81"/>
            <rFont val="Tahoma"/>
            <family val="2"/>
          </rPr>
          <t>SARAH ORME_x000D_
http://yeinfo.com/family/I09006325.html_x000D_
https://www.google.com/search?q=SARAH+ORME+1610+1675+BOWMAN_x000D_
.born: 1610    -          Virginia_x000D_
.died: 1675    -          Bermuda (Chesterfield) Virginia, age:65y 0m 0d, _x000D_
.bapt: 1785GE_x000D_
.will: 2004MO_x000D_
.obit: 1890OH_x000D_
.bury: 1850IL _x000D_
.wpbt: 1826PA_x000D_
.anc#:ancestor_x000D_
citiz:US born_x000D_
#spos:1_x000D_
#srcs:2_x000D_
#comment:0_x000D_
#events:1_x000D_
#kids:4_x000D_
lived:VACHESFBERMUDA_x000D_
issue:_x000D_
.recs:Birth,Marriage,Death_x000D_
.imm?:no_x000D_
..Spo:ROBERT BOWMAN</t>
        </r>
      </text>
    </comment>
    <comment ref="O9754" authorId="0" shapeId="0" xr:uid="{7FF658A0-D5C1-4980-A9CF-4DB207EC3379}">
      <text>
        <r>
          <rPr>
            <sz val="9"/>
            <color indexed="81"/>
            <rFont val="Tahoma"/>
            <family val="2"/>
          </rPr>
          <t>ALICE\ALICIA LEA_x000D_
http://yeinfo.com/family/I09012651.html_x000D_
https://www.google.com/search?q=ALICE\ALICIA+LEA+1586+1649+ORME_x000D_
.born:?1586    -          Halesowen (Worcestershire) England_x000D_
.died: 1649    -         ?Virginia, age:63y 0m 0d, _x000D_
.bapt: 1785GE_x000D_
.will: 2004MO_x000D_
.obit: 1890OH_x000D_
.bury: 1850IL _x000D_
.wpbt: 1826PA_x000D_
.anc#:ancestor_x000D_
citiz:immigrant_x000D_
#spos:1_x000D_
#srcs:2_x000D_
#comment:0_x000D_
#events:1_x000D_
#kids:1_x000D_
lived:?VA,ENWORCSHALESOW_x000D_
issue:_x000D_
.recs:Birth,Marriage,Death_x000D_
.imm?:immigrant_x000D_
..Spo:EDWARD ORME</t>
        </r>
      </text>
    </comment>
    <comment ref="L9756" authorId="0" shapeId="0" xr:uid="{2D2453D1-5963-4D46-BBB3-C6DA48A18ED3}">
      <text>
        <r>
          <rPr>
            <sz val="9"/>
            <color indexed="81"/>
            <rFont val="Tahoma"/>
            <family val="2"/>
          </rPr>
          <t>ELIZABETH BOWMAN_x000D_
http://yeinfo.com/family/I09001581.html_x000D_
https://www.google.com/search?q=ELIZABETH+BOWMAN+1655+1739+ROBERTSON_x000D_
.born: 1655    -          Chesterfield county Virginia_x000D_
.died: 1739    -          Amelia county Virginia, age:84y 0m 0d, _x000D_
.bapt: 1785GE_x000D_
.will: 2004MO_x000D_
.obit: 1890OH_x000D_
.bury: 1850IL _x000D_
.wpbt: 1826PA_x000D_
.anc#:ancestor_x000D_
citiz:US born_x000D_
#spos:1_x000D_
#srcs:1_x000D_
#comment:1_x000D_
#events:2_x000D_
#kids:8_x000D_
lived:?VAHENRI,VAAMELI,VACHESF_x000D_
issue:Married before Age 16_x000D_
.recs:Birth,Marriage,Will Written,Death_x000D_
.imm?:no_x000D_
..Spo:JEFFREY ROBERTSON</t>
        </r>
      </text>
    </comment>
    <comment ref="N9758" authorId="0" shapeId="0" xr:uid="{D7AA5E10-E925-4BA0-9FD5-3DC963D8D2D8}">
      <text>
        <r>
          <rPr>
            <sz val="9"/>
            <color indexed="81"/>
            <rFont val="Tahoma"/>
            <family val="2"/>
          </rPr>
          <t>WILLIAM THOMAS ELAM_x000D_
http://yeinfo.com/family/I09006326.html_x000D_
https://www.google.com/search?q=WILLIAM+THOMAS+ELAM+1597+1687+MARY+ANN_x000D_
.born: 15970224-          Thurnscoe (Yorkshire) England_x000D_
.died: 1687    -          Henrico county Virginia, age:89y 10m 8d, _x000D_
.bapt: 1785GE_x000D_
.will: 2004MO_x000D_
.obit: 1890OH_x000D_
.bury: 1850IL _x000D_
.wpbt: 1826PA_x000D_
.anc#:ancestor_x000D_
citiz:immigrant_x000D_
#spos:1_x000D_
#srcs:1_x000D_
#comment:0_x000D_
#events:1_x000D_
#kids:2_x000D_
lived:ENYORKSTHURNSC,VAHENRI_x000D_
issue:_x000D_
.recs:Birth,Marriage,Death_x000D_
.imm?:immigrant_x000D_
..Spo:MARY ANN SHIRECLIFFE</t>
        </r>
      </text>
    </comment>
    <comment ref="M9760" authorId="0" shapeId="0" xr:uid="{152D8E36-A40F-415F-9951-BA765FCDC520}">
      <text>
        <r>
          <rPr>
            <sz val="9"/>
            <color indexed="81"/>
            <rFont val="Tahoma"/>
            <family val="2"/>
          </rPr>
          <t>ELIZABETH ELAM_x000D_
http://yeinfo.com/family/I09003163.html_x000D_
https://www.google.com/search?q=ELIZABETH+ELAM+1632+1735+BOWMAN_x000D_
.born: 1632    -          Chesterfield county Virginia_x000D_
.died: 1735    -          Chesterfield county Virginia, age:103y 0m 0d, _x000D_
.bapt: 1785GE_x000D_
.will: 2004MO_x000D_
.obit: 1890OH_x000D_
.bury: 1850IL _x000D_
.wpbt: 1826PA_x000D_
.anc#:ancestor_x000D_
citiz:US born_x000D_
#spos:1_x000D_
#srcs:1_x000D_
#comment:0_x000D_
#events:1_x000D_
#kids:1_x000D_
lived:VACHESF_x000D_
issue:Married after Age 60_x000D_
.recs:Birth,Marriage,Death_x000D_
.imm?:no_x000D_
..Spo:JOHN BOWMAN</t>
        </r>
      </text>
    </comment>
    <comment ref="N9762" authorId="0" shapeId="0" xr:uid="{DC1EB0B5-AD5F-4BE4-9C13-D25A2E86B2B1}">
      <text>
        <r>
          <rPr>
            <sz val="9"/>
            <color indexed="81"/>
            <rFont val="Tahoma"/>
            <family val="2"/>
          </rPr>
          <t>MARY ANN SHIRECLIFFE_x000D_
http://yeinfo.com/family/I09006327.html_x000D_
https://www.google.com/search?q=MARY+ANN+SHIRECLIFFE+1612+1697+ELAM_x000D_
.born: 16120405-          Thurnscoe (Yorkshire) England_x000D_
.died: 16971015-          Henrico county Virginia, age:85y 6m 10d, _x000D_
.bapt: 1785GE_x000D_
.will: 2004MO_x000D_
.obit: 1890OH_x000D_
.bury: 1850IL _x000D_
.wpbt: 1826PA_x000D_
.anc#:ancestor_x000D_
citiz:immigrant_x000D_
#spos:1_x000D_
#srcs:1_x000D_
#comment:1_x000D_
#events:1_x000D_
#kids:2_x000D_
lived:ENYORKSTHURNSC,VAHENRI_x000D_
issue:_x000D_
.recs:Birth,Marriage,Death_x000D_
.imm?:immigrant_x000D_
..Spo:WILLIAM THOMAS ELAM</t>
        </r>
      </text>
    </comment>
    <comment ref="J9764" authorId="0" shapeId="0" xr:uid="{4A8D0E8C-D04D-4F4D-AE91-D80E9EAC6439}">
      <text>
        <r>
          <rPr>
            <sz val="9"/>
            <color indexed="81"/>
            <rFont val="Tahoma"/>
            <family val="2"/>
          </rPr>
          <t>ELIZABETH ROBERTSON_x000D_
http://yeinfo.com/family/I09000395.html_x000D_
https://www.google.com/search?q=ELIZABETH+ROBERTSON+1752+1818+BASS_x000D_
.born: 1752    -          Chesterfield county Virginia_x000D_
.died: 1818    -          Taylor county Kentucky, age:66y 0m 0d, _x000D_
.bapt: 1785GE_x000D_
.will: 2004MO_x000D_
.obit: 1890OH_x000D_
.bury: 1850IL _x000D_
.wpbt: 1826PA_x000D_
.anc#:ancestor_x000D_
citiz:US born_x000D_
#spos:1_x000D_
#srcs:1_x000D_
#comment:1_x000D_
#events:5_x000D_
#kids:15_x000D_
lived:KYGREEN,KYTAYLO,VACHESF_x000D_
issue:_x000D_
.recs:Birth,Marriage,Will Written,Death,Gov't Court_x000D_
.imm?:no_x000D_
..Spo:JOSIAH\JOSEPH BASS</t>
        </r>
      </text>
    </comment>
    <comment ref="O9766" authorId="0" shapeId="0" xr:uid="{9DFA1C65-BC86-4A83-A950-22F3A08D448C}">
      <text>
        <r>
          <rPr>
            <sz val="9"/>
            <color indexed="81"/>
            <rFont val="Tahoma"/>
            <family val="2"/>
          </rPr>
          <t>ABRAHAM TANNER_x000D_
http://yeinfo.com/family/I09012656.html_x000D_
https://www.google.com/search?q=ABRAHAM+TANNER+1562+1640+CATHARINA_x000D_
.born: 15620528-          Switzerland_x000D_
.died: 1640    -          Charles City (Charles City) Virginia, age:77y 7m 4d, _x000D_
.bapt: 1785GE_x000D_
.will: 2004MO_x000D_
.obit: 1890OH_x000D_
.bury: 1850IL _x000D_
.wpbt: 1826PA_x000D_
.anc#:ancestor_x000D_
citiz:immigrant_x000D_
#spos:1_x000D_
#srcs:2_x000D_
#comment:1_x000D_
#events:1_x000D_
#kids:1_x000D_
lived:SZ,VACHACICHARLEC_x000D_
issue:_x000D_
.recs:Birth,Marriage,Death_x000D_
.imm?:immigrant_x000D_
..Spo:CATHARINA JAEGG</t>
        </r>
      </text>
    </comment>
    <comment ref="N9768" authorId="0" shapeId="0" xr:uid="{2C4E4DDB-C997-4C3C-A10E-34514AB278AF}">
      <text>
        <r>
          <rPr>
            <sz val="9"/>
            <color indexed="81"/>
            <rFont val="Tahoma"/>
            <family val="2"/>
          </rPr>
          <t>ABRAHAM TANNER_x000D_
http://yeinfo.com/family/I09006328.html_x000D_
https://www.google.com/search?q=ABRAHAM+TANNER+1603+1629+ANN_x000D_
.born: 1603    -          Henrico county Virginia_x000D_
.died: 1629    -1693      Charles City (Charles City) Virginia, age:26y 0m 0d, _x000D_
.bapt: 1785GE_x000D_
.will: 2004MO_x000D_
.obit: 1890OH_x000D_
.bury: 1850IL _x000D_
.wpbt: 1826PA_x000D_
.anc#:ancestor_x000D_
citiz:US born_x000D_
#spos:1_x000D_
#srcs:1_x000D_
#comment:0_x000D_
#events:1_x000D_
#kids:1_x000D_
lived:VACHACICHARLEC,VAHENRI_x000D_
issue:_x000D_
.recs:Birth,Marriage,Death_x000D_
.imm?:no_x000D_
..Spo:ANN FLOYD</t>
        </r>
      </text>
    </comment>
    <comment ref="O9770" authorId="0" shapeId="0" xr:uid="{C0D5413C-DE1C-4743-8ED3-1F4C003914CA}">
      <text>
        <r>
          <rPr>
            <sz val="9"/>
            <color indexed="81"/>
            <rFont val="Tahoma"/>
            <family val="2"/>
          </rPr>
          <t>CATHARINA JAEGG_x000D_
http://yeinfo.com/family/I09012657.html_x000D_
https://www.google.com/search?q=CATHARINA+JAEGG+1564+1603+TANNER_x000D_
.born: 15641201-          Switzerland_x000D_
.died: 1603    -1654     ?Virginia, age:38y 1m 0d, _x000D_
.bapt: 1785GE_x000D_
.will: 2004MO_x000D_
.obit: 1890OH_x000D_
.bury: 1850IL _x000D_
.wpbt: 1826PA_x000D_
.anc#:ancestor_x000D_
citiz:immigrant_x000D_
#spos:1_x000D_
#srcs:2_x000D_
#comment:1_x000D_
#events:1_x000D_
#kids:1_x000D_
lived:?VA,SZ_x000D_
issue:_x000D_
.recs:Birth,Marriage,Death_x000D_
.imm?:immigrant_x000D_
..Spo:ABRAHAM TANNER</t>
        </r>
      </text>
    </comment>
    <comment ref="M9772" authorId="0" shapeId="0" xr:uid="{B2F0396F-8BCD-460B-83ED-C8766544F8A2}">
      <text>
        <r>
          <rPr>
            <sz val="9"/>
            <color indexed="81"/>
            <rFont val="Tahoma"/>
            <family val="2"/>
          </rPr>
          <t>JOSEPH TANNER_x000D_
http://yeinfo.com/family/I09003164.html_x000D_
https://www.google.com/search?q=JOSEPH+TANNER+1629+1673+MARY_x000D_
.born: 1629    -          Henrico county Virginia_x000D_
.died: 1673    -1719      Henrico county Virginia, age:44y 0m 0d, _x000D_
.bapt: 1785GE_x000D_
.will: 2004MO_x000D_
.obit: 1890OH_x000D_
.bury: 1850IL _x000D_
.wpbt: 1826PA_x000D_
.anc#:ancestor_x000D_
citiz:US born_x000D_
#spos:1_x000D_
#srcs:1_x000D_
#comment:0_x000D_
#events:2_x000D_
#kids:4_x000D_
lived:VAHENRI_x000D_
issue:_x000D_
.recs:Birth,Marriage,Death,Land Transaction_x000D_
.imm?:no_x000D_
..Spo:MARY JONES</t>
        </r>
      </text>
    </comment>
    <comment ref="O9774" authorId="0" shapeId="0" xr:uid="{83175418-3D7F-47A4-B934-6656F82858CB}">
      <text>
        <r>
          <rPr>
            <sz val="9"/>
            <color indexed="81"/>
            <rFont val="Tahoma"/>
            <family val="2"/>
          </rPr>
          <t>EDWARD FLOYD Jr._x000D_
http://yeinfo.com/family/I09012658.html_x000D_
https://www.google.com/search?q=EDWARD+FLOYD+1575+1641+ELIZABETH+ANN_x000D_
.born: 1575    -          England_x000D_
.died: 1641    -          Virginia, age:66y 0m 0d, _x000D_
.bapt: 1785GE_x000D_
.will: 2004MO_x000D_
.obit: 1890OH_x000D_
.bury: 1850IL _x000D_
.wpbt: 1826PA_x000D_
.anc#:ancestor_x000D_
citiz:immigrant_x000D_
#spos:1_x000D_
#srcs:2_x000D_
#comment:1_x000D_
#events:1_x000D_
#kids:1_x000D_
lived:EN,VA_x000D_
issue:_x000D_
.recs:Birth,Marriage,Death_x000D_
.imm?:immigrant_x000D_
..Spo:ELIZABETH ANN FLOYD</t>
        </r>
      </text>
    </comment>
    <comment ref="N9776" authorId="0" shapeId="0" xr:uid="{A3A330D2-54D1-4EEA-9347-BA69227511BE}">
      <text>
        <r>
          <rPr>
            <sz val="9"/>
            <color indexed="81"/>
            <rFont val="Tahoma"/>
            <family val="2"/>
          </rPr>
          <t>ANN FLOYD_x000D_
http://yeinfo.com/family/I09006329.html_x000D_
https://www.google.com/search?q=ANN+FLOYD+1610+1688+TANNER_x000D_
.born: 1610    -          Henrico county Virginia_x000D_
.died: 1688    -          Henrico county Virginia, age:78y 0m 0d, _x000D_
.bapt: 1785GE_x000D_
.will: 2004MO_x000D_
.obit: 1890OH_x000D_
.bury: 1850IL _x000D_
.wpbt: 1826PA_x000D_
.anc#:ancestor_x000D_
citiz:US born_x000D_
#spos:1_x000D_
#srcs:1_x000D_
#comment:0_x000D_
#events:1_x000D_
#kids:1_x000D_
lived:VAHENRI_x000D_
issue:_x000D_
.recs:Birth,Marriage,Death_x000D_
.imm?:no_x000D_
..Spo:ABRAHAM TANNER</t>
        </r>
      </text>
    </comment>
    <comment ref="O9778" authorId="0" shapeId="0" xr:uid="{0B8FB4BD-3CEE-4225-9201-1C2AA36F9CD4}">
      <text>
        <r>
          <rPr>
            <sz val="9"/>
            <color indexed="81"/>
            <rFont val="Tahoma"/>
            <family val="2"/>
          </rPr>
          <t>Mrs. ELIZABETH ANN FLOYD_x000D_
http://yeinfo.com/family/I09012659.html_x000D_
https://www.google.com/search?q=ELIZABETH+ANN+FLOYD+1579+1642+FLOYD_x000D_
.born:c1579    -          London (Middlesex) England_x000D_
.died: 1642    -          Henrico county Virginia, age:63y 0m 0d, _x000D_
.bapt: 1785GE_x000D_
.will: 2004MO_x000D_
.obit: 1890OH_x000D_
.bury: 1850IL _x000D_
.wpbt: 1826PA_x000D_
.anc#:ancestor_x000D_
citiz:immigrant_x000D_
#spos:1_x000D_
#srcs:2_x000D_
#comment:0_x000D_
#events:1_x000D_
#kids:1_x000D_
lived:ENMIDDLLONDON,VAHENRI_x000D_
issue:_x000D_
.recs:Birth,Marriage,Death_x000D_
.imm?:immigrant_x000D_
..Spo:EDWARD FLOYD</t>
        </r>
      </text>
    </comment>
    <comment ref="L9780" authorId="0" shapeId="0" xr:uid="{C9048462-C395-4A23-82DF-8380D4F6ADB2}">
      <text>
        <r>
          <rPr>
            <sz val="9"/>
            <color indexed="81"/>
            <rFont val="Tahoma"/>
            <family val="2"/>
          </rPr>
          <t>EDWARD TANNER Sr._x000D_
http://yeinfo.com/family/I09001582.html_x000D_
https://www.google.com/search?q=EDWARD+TANNER+1664+1719+MARY_x000D_
.born: 1664    -          Henrico county Virginia_x000D_
.died:p17190813-          Henrico county Virginia, age:55y 7m 12d, _x000D_
.bapt: 1785GE_x000D_
.will: 2004MO_x000D_
.obit: 1890OH_x000D_
.bury: 1850IL _x000D_
.wpbt: 1826PA_x000D_
.anc#:ancestor_x000D_
citiz:US born_x000D_
#spos:1_x000D_
#srcs:1_x000D_
#comment:0_x000D_
#events:3_x000D_
#kids:10_x000D_
lived:VAHENRI_x000D_
issue:Born before Parents Married_x000D_
.recs:Birth,Marriage,Will Written,Death,Land Transaction_x000D_
.imm?:no_x000D_
..Spo:MARY HATCHER</t>
        </r>
      </text>
    </comment>
    <comment ref="M9782" authorId="0" shapeId="0" xr:uid="{0742D5B5-49D8-414F-929F-FCA32D4BD46B}">
      <text>
        <r>
          <rPr>
            <sz val="9"/>
            <color indexed="81"/>
            <rFont val="Tahoma"/>
            <family val="2"/>
          </rPr>
          <t>MARY JONES_x000D_
http://yeinfo.com/family/I09003165.html_x000D_
https://www.google.com/search?q=MARY+JONES+1639+1700+TANNER_x000D_
.born: 1639    -          Henrico county Virginia_x000D_
.died: 17000201-          Henrico county Virginia, age:61y 1m 0d, _x000D_
.bapt: 1785GE_x000D_
.will: 2004MO_x000D_
.obit: 1890OH_x000D_
.bury: 1850IL _x000D_
.wpbt: 1826PA_x000D_
.anc#:ancestor_x000D_
citiz:US born_x000D_
#spos:1_x000D_
#srcs:1_x000D_
#comment:0_x000D_
#events:2_x000D_
#kids:4_x000D_
lived:VAHENRI_x000D_
issue:_x000D_
.recs:Birth,Marriage,Will Written,Death_x000D_
.imm?:no_x000D_
..Spo:JOSEPH TANNER</t>
        </r>
      </text>
    </comment>
    <comment ref="K9784" authorId="0" shapeId="0" xr:uid="{701F50D7-5D21-420B-8107-E35777A5045C}">
      <text>
        <r>
          <rPr>
            <sz val="9"/>
            <color indexed="81"/>
            <rFont val="Tahoma"/>
            <family val="2"/>
          </rPr>
          <t>JUDITH TANNER_x000D_
http://yeinfo.com/family/I09000791.html_x000D_
https://www.google.com/search?q=JUDITH+TANNER+1710+1785+ROBERTSON_x000D_
.born: 1710    -          Chesterfield county Virginia_x000D_
.died: 1785    -          Chesterfield county Virginia, age:75y 0m 0d, _x000D_
.bapt: 1785GE_x000D_
.will: 2004MO_x000D_
.obit: 1890OH_x000D_
.bury: 1850IL _x000D_
.wpbt: 1826PA_x000D_
.anc#:ancestor_x000D_
citiz:US born_x000D_
#spos:1_x000D_
#srcs:1_x000D_
#comment:1_x000D_
#events:2_x000D_
#kids:6_x000D_
lived:VACHESF,VAHENRI_x000D_
issue:Died after Age 100_x000D_
.recs:Birth,Marriage,Will Written,Death_x000D_
.imm?:no_x000D_
..Spo:JEFFREY ROBERTSON</t>
        </r>
      </text>
    </comment>
    <comment ref="P9786" authorId="0" shapeId="0" xr:uid="{AE0DC910-3B46-4D84-B97A-4748185E6B52}">
      <text>
        <r>
          <rPr>
            <sz val="9"/>
            <color indexed="81"/>
            <rFont val="Tahoma"/>
            <family val="2"/>
          </rPr>
          <t>THOMAS WILLIAM HATCHER_x000D_
http://yeinfo.com/family/I09025328.html_x000D_
https://www.google.com/search?q=THOMAS+WILLIAM+HATCHER+1535+1583+KATHERINE_x000D_
.born: 1535    -          Cambridge (Cambridgeshire) England_x000D_
.died: 15831114-          Careby (Lincolnshire) England, age:48y 10m 13d, _x000D_
.bapt: 1785GE_x000D_
.will: 2004MO_x000D_
.obit: 1890OH_x000D_
.bury: 1850IL SouthKesteven_x000D_
.wpbt: 1826PA_x000D_
.anc#:ancestor_x000D_
citiz:foreign_x000D_
#spos:1_x000D_
#srcs:1_x000D_
#comment:1_x000D_
#events:3_x000D_
#kids:1_x000D_
lived:ENCAMBSCAMBRID,ENLINCSCAREBY,ENLINCSDOWSBY_x000D_
issue:_x000D_
.recs:Birth,Baptism,Marriage,Death,Interment/Burial_x000D_
.imm?:no_x000D_
..Spo:KATHERINE READE</t>
        </r>
      </text>
    </comment>
    <comment ref="O9788" authorId="0" shapeId="0" xr:uid="{91777B5E-7F7A-4CF0-8DDB-A4CAE1D04164}">
      <text>
        <r>
          <rPr>
            <sz val="9"/>
            <color indexed="81"/>
            <rFont val="Tahoma"/>
            <family val="2"/>
          </rPr>
          <t>WILLIAM HATCHER_x000D_
http://yeinfo.com/family/I09012664.html_x000D_
https://www.google.com/search?q=WILLIAM+HATCHER+1582+1630+{_?_}_x000D_
.born: 15820526-          Careby (Lincolnshire) England_x000D_
.died: 16300820-          Boston (Lincolnshire) England, age:48y 2m 25d, _x000D_
.bapt: 1785GE_x000D_
.will: 2004MO_x000D_
.obit: 1890OH_x000D_
.bury: 1850IL _x000D_
.wpbt: 1826PA_x000D_
.anc#:ancestor_x000D_
citiz:foreign_x000D_
#spos:1_x000D_
#srcs:1_x000D_
#comment:0_x000D_
#events:3_x000D_
#kids:1_x000D_
lived:ENLINCSBOSTON,ENLINCSCAREBY_x000D_
issue:_x000D_
.recs:Birth,Baptism,Marriage,Death_x000D_
.imm?:no_x000D_
..Spo:{_?_} HATCHER</t>
        </r>
      </text>
    </comment>
    <comment ref="P9790" authorId="0" shapeId="0" xr:uid="{DC56832F-C6C9-40CA-B5A3-AEB963C5660A}">
      <text>
        <r>
          <rPr>
            <sz val="9"/>
            <color indexed="81"/>
            <rFont val="Tahoma"/>
            <family val="2"/>
          </rPr>
          <t>KATHERINE READE_x000D_
http://yeinfo.com/family/I09025329.html_x000D_
https://www.google.com/search?q=KATHERINE+READE+1538+1637+HATCHER_x000D_
.born: 1538    -          Cambridgeshire county England_x000D_
.died: 16370813-          Aubourn (Lincolnshire) England, age:99y 7m 12d, _x000D_
.bapt: 1785GE_x000D_
.will: 2004MO_x000D_
.obit: 1890OH_x000D_
.bury: 1850IL _x000D_
.wpbt: 1826PA_x000D_
.anc#:ancestor_x000D_
citiz:foreign_x000D_
#spos:1_x000D_
#srcs:1_x000D_
#comment:0_x000D_
#events:2_x000D_
#kids:1_x000D_
lived:ENCAMBS,ENLINCSAUBOURN,ENLINCSDOWSBY_x000D_
issue:_x000D_
.recs:Birth,Baptism,Marriage,Death_x000D_
.imm?:no_x000D_
..Spo:THOMAS WILLIAM HATCHER</t>
        </r>
      </text>
    </comment>
    <comment ref="N9792" authorId="0" shapeId="0" xr:uid="{E84870F6-0C4E-40C0-B2D8-F64E11C1EA01}">
      <text>
        <r>
          <rPr>
            <sz val="9"/>
            <color indexed="81"/>
            <rFont val="Tahoma"/>
            <family val="2"/>
          </rPr>
          <t>WILLIAM HATCHER Sr._x000D_
http://yeinfo.com/family/I09006332.html_x000D_
https://www.google.com/search?q=WILLIAM+HATCHER+1613+1680+MARIAN_x000D_
.born: 16130114-          Careby (Lincolnshire) England_x000D_
.died: 16800401-          Varina Place (Henrico) Virginia, age:67y 2m 18d, _x000D_
.bapt: 1785GE_x000D_
.will: 2004MO_x000D_
.obit: 1890OH_x000D_
.bury: 1850IL Hatcher Family Cemetery_x000D_
.wpbt: 1826PA_x000D_
.anc#:ancestor_x000D_
citiz:immigrant_x000D_
#spos:1_x000D_
#srcs:1_x000D_
#comment:0_x000D_
#events:3_x000D_
#kids:1_x000D_
lived:ENLINCSCAREBY,MAMIDDLMARLBOR,VAHENRIVARINAP_x000D_
issue:_x000D_
.recs:Birth,Death,Immigrate_x000D_
.imm?:immigrant_x000D_
..Spo:MARIAN NEWPORT</t>
        </r>
      </text>
    </comment>
    <comment ref="O9794" authorId="0" shapeId="0" xr:uid="{F977660C-CC02-4BE2-B27D-95450D6AD37A}">
      <text>
        <r>
          <rPr>
            <sz val="9"/>
            <color indexed="81"/>
            <rFont val="Tahoma"/>
            <family val="2"/>
          </rPr>
          <t>Mrs. {_?_} HATCHER_x000D_
http://yeinfo.com/family/I09012665.html_x000D_
https://www.google.com/search?q={_?_}+HATCHER+1582+1613+HATCHER_x000D_
.born:?1582    -         ?England_x000D_
.died: 1613    -1672     ?, age:31y 0m 0d, _x000D_
.bapt: 1785GE_x000D_
.will: 2004MO_x000D_
.obit: 1890OH_x000D_
.bury: 1850IL _x000D_
.wpbt: 1826PA_x000D_
.anc#:ancestor_x000D_
citiz:US born_x000D_
#spos:1_x000D_
#srcs:1_x000D_
#comment:0_x000D_
#events:2_x000D_
#kids:1_x000D_
lived:?EN,ENLINCSCAREBY,ENYORKSSTOKESL_x000D_
issue:_x000D_
.recs:Birth,Baptism,Marriage,Death_x000D_
.imm?:no_x000D_
..Spo:WILLIAM HATCHER</t>
        </r>
      </text>
    </comment>
    <comment ref="M9796" authorId="0" shapeId="0" xr:uid="{F04E13D9-B948-46BF-85A9-414D0887E7C3}">
      <text>
        <r>
          <rPr>
            <sz val="9"/>
            <color indexed="81"/>
            <rFont val="Tahoma"/>
            <family val="2"/>
          </rPr>
          <t>HENRY HATCHER Sr._x000D_
http://yeinfo.com/family/I09003166.html_x000D_
https://www.google.com/search?q=HENRY+HATCHER+1639+1677+ANNE_x000D_
.born: 1639    -          Henrico county Virginia_x000D_
.died: 16770201-          Varina Place (Henrico) Virginia, age:38y 1m 0d, killed by Indian while trading with them_x000D_
.bapt: 1785GE_x000D_
.will: 2004MO_x000D_
.obit: 1890OH_x000D_
.bury: 1850IL _x000D_
.wpbt: 1826PA_x000D_
.anc#:ancestor_x000D_
citiz:US born_x000D_
#spos:1_x000D_
#srcs:1_x000D_
#comment:0_x000D_
#events:1_x000D_
#kids:6_x000D_
lived:VAHENRIVARINAP_x000D_
issue:_x000D_
.recs:Birth,Marriage,Death_x000D_
.imm?:no_x000D_
..Spo:ANNE LOUND</t>
        </r>
      </text>
    </comment>
    <comment ref="O9798" authorId="0" shapeId="0" xr:uid="{5F686887-CC8D-4588-9AD6-BEA7239F9FFD}">
      <text>
        <r>
          <rPr>
            <sz val="9"/>
            <color indexed="81"/>
            <rFont val="Tahoma"/>
            <family val="2"/>
          </rPr>
          <t>CHRISTOPHER NEWPORT_x000D_
http://yeinfo.com/family/I09012666.html_x000D_
https://www.google.com/search?q=CHRISTOPHER+NEWPORT+1561+1617+ELIZABETH_x000D_
.born: 15610908-          Limehouse (Middlesex) England_x000D_
.died: 16170815-          Indonesia, age:55y 11m 7d, _x000D_
.bapt: 1785GE_x000D_
.will: 2004MO_x000D_
.obit: 1890OH_x000D_
.bury: 1850IL Kabupaten Wonosobo, Jawa Tengah_x000D_
.wpbt: 1826PA_x000D_
.anc#:ancestor_x000D_
citiz:foreign_x000D_
#spos:1_x000D_
#srcs:1_x000D_
#comment:1_x000D_
#events:3_x000D_
#kids:1_x000D_
lived:ENESSEXGREAHLY,ENMIDDLLIMEHOU,ENMIDDLLONDON,IO_x000D_
issue:_x000D_
.recs:Birth,Baptism,Marriage,Death,Interment/Burial_x000D_
.imm?:no_x000D_
..Spo:ELIZABETH GLANVILLE</t>
        </r>
      </text>
    </comment>
    <comment ref="N9800" authorId="0" shapeId="0" xr:uid="{15BBC845-7D7B-4D90-889A-2CB194632804}">
      <text>
        <r>
          <rPr>
            <sz val="9"/>
            <color indexed="81"/>
            <rFont val="Tahoma"/>
            <family val="2"/>
          </rPr>
          <t>MARIAN NEWPORT_x000D_
http://yeinfo.com/family/I09006333.html_x000D_
https://www.google.com/search?q=MARIAN+NEWPORT+1611+1646+HATCHER_x000D_
.born: 16110411-          Dorset county England_x000D_
.died: 1646    -          Varina Place (Henrico) Virginia, age:34y 8m 21d, _x000D_
.bapt: 1785GE_x000D_
.will: 2004MO_x000D_
.obit: 1890OH_x000D_
.bury: 1850IL _x000D_
.wpbt: 1826PA_x000D_
.anc#:ancestor_x000D_
citiz:immigrant_x000D_
#spos:1_x000D_
#srcs:1_x000D_
#comment:0_x000D_
#events:1_x000D_
#kids:1_x000D_
lived:ENDORSE,MAMIDDLMARLBOR,VAHENRIVARINAP_x000D_
issue:_x000D_
.recs:Birth,Marriage,Death_x000D_
.imm?:immigrant_x000D_
..Spo:WILLIAM HATCHER</t>
        </r>
      </text>
    </comment>
    <comment ref="O9802" authorId="0" shapeId="0" xr:uid="{E9384EEB-14FE-44B4-9F33-3201CBD5EA88}">
      <text>
        <r>
          <rPr>
            <sz val="9"/>
            <color indexed="81"/>
            <rFont val="Tahoma"/>
            <family val="2"/>
          </rPr>
          <t>ELIZABETH GLANVILLE_x000D_
http://yeinfo.com/family/I09012667.html_x000D_
https://www.google.com/search?q=ELIZABETH+GLANVILLE+1568+1614+NEWPORT_x000D_
.born: 15680608-          Winchester (Hampshire) England_x000D_
.died: 161401  -          Dartington (Devon) England, age:45y 6m 24d, _x000D_
.bapt: 1785GE_x000D_
.will: 2004MO_x000D_
.obit: 1890OH_x000D_
.bury: 1850IL Saint Savior's Church, South Hams_x000D_
.wpbt: 1826PA_x000D_
.anc#:ancestor_x000D_
citiz:foreign_x000D_
#spos:1_x000D_
#srcs:1_x000D_
#comment:1_x000D_
#events:2_x000D_
#kids:1_x000D_
lived:ENDEVONDARTING,ENDEVONDARTMOU,ENHAMPSWINCHES,ENMIDDLLONDON_x000D_
issue:_x000D_
.recs:Birth,Marriage,Death,Interment/Burial_x000D_
.imm?:no_x000D_
..Spo:CHRISTOPHER NEWPORT</t>
        </r>
      </text>
    </comment>
    <comment ref="L9804" authorId="0" shapeId="0" xr:uid="{3675B723-F48F-44EE-B2AC-BD3D87F8B38E}">
      <text>
        <r>
          <rPr>
            <sz val="9"/>
            <color indexed="81"/>
            <rFont val="Tahoma"/>
            <family val="2"/>
          </rPr>
          <t>MARY HATCHER_x000D_
http://yeinfo.com/family/I09001583.html_x000D_
https://www.google.com/search?q=MARY+HATCHER+1672+1760+TANNER_x000D_
.born: 1672    -          Henrico county Virginia_x000D_
.died: 1760    -          Albemarle county Virginia, age:88y 0m 0d, _x000D_
.bapt: 1785GE_x000D_
.will: 2004MO_x000D_
.obit: 1890OH_x000D_
.bury: 1850IL _x000D_
.wpbt: 1826PA_x000D_
.anc#:ancestor_x000D_
citiz:US born_x000D_
#spos:1_x000D_
#srcs:1_x000D_
#comment:1_x000D_
#events:2_x000D_
#kids:10_x000D_
lived:VAALBEM,VAHENRI_x000D_
issue:Died after Age 100_x000D_
.recs:Birth,Marriage,Will Written,Death_x000D_
.imm?:no_x000D_
..Spo:EDWARD TANNER</t>
        </r>
      </text>
    </comment>
    <comment ref="N9806" authorId="0" shapeId="0" xr:uid="{A6FD5366-DE01-4E49-B696-6CBEA0C073AF}">
      <text>
        <r>
          <rPr>
            <sz val="9"/>
            <color indexed="81"/>
            <rFont val="Tahoma"/>
            <family val="2"/>
          </rPr>
          <t>HENRY THOMAS LOUND_x000D_
http://yeinfo.com/family/I09006334.html_x000D_
https://www.google.com/search?q=HENRY+THOMAS+LOUND+1617+1708+ANN_x000D_
.born: 16170612-          Yorkshire county England_x000D_
.died: 17081101-          Henrico county Virginia, age:91y 4m 20d, _x000D_
.bapt: 1785GE_x000D_
.will: 2004MO_x000D_
.obit: 1890OH_x000D_
.bury: 1850IL _x000D_
.wpbt: 1826PA_x000D_
.anc#:ancestor_x000D_
citiz:immigrant_x000D_
#spos:1_x000D_
#srcs:1_x000D_
#comment:0_x000D_
#events:3_x000D_
#kids:1_x000D_
lived:ENYORKSHEPSTON,VAHENRIVARINAP_x000D_
issue:_x000D_
.recs:Birth,Baptism,Marriage,Will Written,Death_x000D_
.imm?:immigrant_x000D_
..Spo:ANN LOUND</t>
        </r>
      </text>
    </comment>
    <comment ref="M9808" authorId="0" shapeId="0" xr:uid="{4DB14827-92E2-43D2-AB49-30D7C1F52084}">
      <text>
        <r>
          <rPr>
            <sz val="9"/>
            <color indexed="81"/>
            <rFont val="Tahoma"/>
            <family val="2"/>
          </rPr>
          <t>ANNE LOUND_x000D_
http://yeinfo.com/family/I09003167.html_x000D_
https://www.google.com/search?q=ANNE+LOUND+1641+1708+HATCHER_x000D_
.born: 1641    -          Henrico county Virginia_x000D_
.died: 1708    -1731      Varina Place (Henrico) Virginia, age:67y 0m 0d, _x000D_
.bapt: 1785GE_x000D_
.will: 2004MO_x000D_
.obit: 1890OH_x000D_
.bury: 1850IL _x000D_
.wpbt: 1826PA_x000D_
.anc#:ancestor_x000D_
citiz:US born_x000D_
#spos:1_x000D_
#srcs:1_x000D_
#comment:0_x000D_
#events:2_x000D_
#kids:6_x000D_
lived:VAHENRIVARINAP_x000D_
issue:Born before Parents Married_x000D_
.recs:Birth,Marriage,Will Written,Death_x000D_
.imm?:no_x000D_
..Spo:HENRY HATCHER</t>
        </r>
      </text>
    </comment>
    <comment ref="N9810" authorId="0" shapeId="0" xr:uid="{71678178-CAAE-44DB-863B-545D31AD9EA9}">
      <text>
        <r>
          <rPr>
            <sz val="9"/>
            <color indexed="81"/>
            <rFont val="Tahoma"/>
            <family val="2"/>
          </rPr>
          <t>Mrs. ANN LOUND_x000D_
http://yeinfo.com/family/I09006335.html_x000D_
https://www.google.com/search?q=ANN+LOUND+1618+1708+LOUND_x000D_
.born: 1618    -          Yorkshire county England_x000D_
.died: 170807  -          Varina Place (Henrico) Virginia, age:90y 6m 0d, _x000D_
.bapt: 1785GE_x000D_
.will: 2004MO_x000D_
.obit: 1890OH_x000D_
.bury: 1850IL _x000D_
.wpbt: 1826PA_x000D_
.anc#:ancestor_x000D_
citiz:immigrant_x000D_
#spos:1_x000D_
#srcs:2_x000D_
#comment:0_x000D_
#events:1_x000D_
#kids:1_x000D_
lived:ENYORKS,VAHENRIVARINAP_x000D_
issue:_x000D_
.recs:Birth,Marriage,Death_x000D_
.imm?:immigrant_x000D_
..Spo:HENRY THOMAS LOUND</t>
        </r>
      </text>
    </comment>
    <comment ref="G9812" authorId="0" shapeId="0" xr:uid="{8C28D5C3-7813-4CA7-8E87-1A3486DBBF50}">
      <text>
        <r>
          <rPr>
            <sz val="9"/>
            <color indexed="81"/>
            <rFont val="Tahoma"/>
            <family val="2"/>
          </rPr>
          <t>CHRISTINA A. WALKER_x000D_
http://yeinfo.com/family/I09000049.html_x000D_
https://www.google.com/search?q=CHRISTINA+A.+WALKER+1815+1886+DEATON_x000D_
.born: 1815    -          Tennessee_x000D_
.died: 18860831-          Friendship (Crockett) Tennessee, age:71y 7m 30d, _x000D_
.bapt: 1785GE_x000D_
.will: 2004MO_x000D_
.obit: 1890OH_x000D_
.bury: 1850IL College Hill_x000D_
.wpbt: 1826PA_x000D_
.anc#:ancestor_x000D_
citiz:US born_x000D_
#spos:1_x000D_
#srcs:6_x000D_
#comment:0_x000D_
#events:6_x000D_
#kids:9_x000D_
lived:?IL,ARCARRO,TNCROCKFRNDSHP,TNHARDM,TNMCNAI_x000D_
issue:_x000D_
.recs:Birth,Marriage,Death,Interment/Burial_x000D_
.imm?:no_x000D_
..Spo:LITTLEBERRY BIONEY DEATON</t>
        </r>
      </text>
    </comment>
    <comment ref="I9814" authorId="0" shapeId="0" xr:uid="{B35B7A19-FEBE-4874-9C90-58D432237556}">
      <text>
        <r>
          <rPr>
            <sz val="9"/>
            <color indexed="81"/>
            <rFont val="Tahoma"/>
            <family val="2"/>
          </rPr>
          <t>HUGH CAMPBELL_x000D_
http://yeinfo.com/family/I09000198.html_x000D_
https://www.google.com/search?q=HUGH+CAMPBELL+1765+1786+ANN_x000D_
.born:?1765    -         ?_x000D_
.died: 1786    -1855     ?, age:21y 0m 0d, _x000D_
.bapt: 1785GE_x000D_
.will: 2004MO_x000D_
.obit: 1890OH_x000D_
.bury: 1850IL _x000D_
.wpbt: 1826PA_x000D_
.anc#:ancestor_x000D_
citiz:US born_x000D_
#spos:1_x000D_
#srcs:1_x000D_
#comment:1_x000D_
#events:1_x000D_
#kids:1_x000D_
lived:_x000D_
issue:_x000D_
.recs:Birth,Marriage,Death_x000D_
.imm?:no_x000D_
..Spo:ANN HANNAH</t>
        </r>
      </text>
    </comment>
    <comment ref="H9816" authorId="0" shapeId="0" xr:uid="{77D83FCD-9335-4A61-8B18-E34CC16261A3}">
      <text>
        <r>
          <rPr>
            <sz val="9"/>
            <color indexed="81"/>
            <rFont val="Tahoma"/>
            <family val="2"/>
          </rPr>
          <t>MARY POLLY CAMPBELL_x000D_
http://yeinfo.com/family/I09000099.html_x000D_
https://www.google.com/search?q=MARY+POLLY+CAMPBELL+1786+1865+WALKER_x000D_
.born: 17860713-          Fayette county Kentucky_x000D_
.died: 18651111-          Grundy county Tennessee, age:79y 3m 29d, _x000D_
.bapt: 1785GE_x000D_
.will: 2004MO_x000D_
.obit: 1890OH_x000D_
.bury: 1850IL Philadelphia Church Cemetery_x000D_
.wpbt: 1826PA_x000D_
.anc#:ancestor_x000D_
citiz:US born_x000D_
#spos:1_x000D_
#srcs:2_x000D_
#comment:1_x000D_
#events:2_x000D_
#kids:15_x000D_
lived:KYFAYET,TNGRUNDMT.OLIV_x000D_
issue:Died after Age 100_x000D_
.recs:Birth,Marriage,Death,Interment/Burial_x000D_
.imm?:no_x000D_
..Spo:JAMES WALKER</t>
        </r>
      </text>
    </comment>
    <comment ref="I9818" authorId="0" shapeId="0" xr:uid="{EB7D4475-375A-4783-91F6-7E67E78E9D01}">
      <text>
        <r>
          <rPr>
            <sz val="9"/>
            <color indexed="81"/>
            <rFont val="Tahoma"/>
            <family val="2"/>
          </rPr>
          <t>ANN HANNAH_x000D_
http://yeinfo.com/family/I09000199.html_x000D_
https://www.google.com/search?q=ANN+HANNAH+1767+1786+CAMPBELL_x000D_
.born:?1767    -         ?Virginia_x000D_
.died: 1786    -1850     ?, age:19y 0m 0d, _x000D_
.bapt: 1785GE_x000D_
.will: 2004MO_x000D_
.obit: 1890OH_x000D_
.bury: 1850IL _x000D_
.wpbt: 1826PA_x000D_
.anc#:ancestor_x000D_
citiz:US born_x000D_
#spos:1_x000D_
#srcs:2_x000D_
#comment:1_x000D_
#events:1_x000D_
#kids:1_x000D_
lived:?VA_x000D_
issue:_x000D_
.recs:Birth,Marriage,Death_x000D_
.imm?:no_x000D_
..Spo:HUGH CAMPBELL</t>
        </r>
      </text>
    </comment>
    <comment ref="E9820" authorId="0" shapeId="0" xr:uid="{F371B2F9-4A61-4893-9DBE-08E6A69403FA}">
      <text>
        <r>
          <rPr>
            <sz val="9"/>
            <color indexed="81"/>
            <rFont val="Tahoma"/>
            <family val="2"/>
          </rPr>
          <t>ROBERT CARNAHAN DEATON_x000D_
http://yeinfo.com/family/I09000012.html_x000D_
https://www.google.com/search?q=ROBERT+CARNAHAN+DEATON+1867+1939+ADELINE+R.+McDonald_x000D_
.born: 18671114-          McNairy county Tennessee_x000D_
.died: 19391128-          Los Angeles (Los Angeles) California, age:72y 0m 14d, heart attack_x000D_
.bapt: 1785GE_x000D_
.will: 2004MO_x000D_
.obit: 1890OH_x000D_
.bury: 1850IL Forest Lawn Memorial Park Cemetery Graceland lot 6286 space 3_x000D_
.wpbt: 1826PA_x000D_
.anc#:ancestor_x000D_
citiz:US born_x000D_
#spos:3_x000D_
#srcs:11_x000D_
#comment:3_x000D_
#events:23_x000D_
#kids:8_x000D_
lived:CALOS AGLENDAL,CALOS ALOS ANG,ILJOHNN,MOGRENESPRINGF,TNCROCK,TNHARDMBOLIVAR,TNMCNAI,TNSHELBMEMPHIS_x000D_
issue:_x000D_
.recs:Birth,Marriage Intention/Bonds,Job/Occupation,Death,Land Transaction,Image_x000D_
.imm?:no_x000D_
..Spo:ADELINE R. BUHR</t>
        </r>
      </text>
    </comment>
    <comment ref="K9822" authorId="0" shapeId="0" xr:uid="{FC4CFEB7-E8F8-4907-A2B1-71E5C52373B5}">
      <text>
        <r>
          <rPr>
            <sz val="9"/>
            <color indexed="81"/>
            <rFont val="Tahoma"/>
            <family val="2"/>
          </rPr>
          <t>WILLIAM CLENDENIN_x000D_
http://yeinfo.com/family/I09000800.html_x000D_
https://www.google.com/search?q=WILLIAM+CLENDENIN+1680+1764+ROSE+ANNE_x000D_
.born: 16800516-          Langholm (Dumfries) Scotland_x000D_
.died: 17641116-          Down county Northern Ireland, age:84y 6m 0d, _x000D_
.bapt: 1785GE_x000D_
.will: 2004MO_x000D_
.obit: 1890OH_x000D_
.bury: 1850IL _x000D_
.wpbt: 1826PA_x000D_
.anc#:ancestor_x000D_
citiz:foreign_x000D_
#spos:1_x000D_
#srcs:1_x000D_
#comment:1_x000D_
#events:2_x000D_
#kids:1_x000D_
lived:NIDOWN,STDUMFRLANGHOL_x000D_
issue:_x000D_
.recs:Birth,Marriage,Death_x000D_
.imm?:no_x000D_
..Spo:ROSE ANNE KIRKPATRICK</t>
        </r>
      </text>
    </comment>
    <comment ref="J9824" authorId="0" shapeId="0" xr:uid="{C5E8A08C-06BB-461D-A30A-7AF2AD48A8D3}">
      <text>
        <r>
          <rPr>
            <sz val="9"/>
            <color indexed="81"/>
            <rFont val="Tahoma"/>
            <family val="2"/>
          </rPr>
          <t>WILLIAM CLENDENIN_x000D_
http://yeinfo.com/family/I09000400.html_x000D_
https://www.google.com/search?q=WILLIAM+CLENDENIN+1730+1794+MARY+ANN_x000D_
.born: 1730    -          Scotland_x000D_
.died: 1794    -1820      Orange county North Carolina, age:64y 0m 0d, _x000D_
.bapt: 1785GE_x000D_
.will: 2004MO_x000D_
.obit: 1890OH_x000D_
.bury: 1850IL _x000D_
.wpbt: 1826PA_x000D_
.anc#:ancestor_x000D_
citiz:immigrant_x000D_
#spos:1_x000D_
#srcs:1_x000D_
#comment:0_x000D_
#events:5_x000D_
#kids:1_x000D_
lived:?IR,NCORANG,ST_x000D_
issue:Born after Mom Age 50_x000D_
.recs:Birth,Marriage,Taxes,Will Written,Death,Land Transaction_x000D_
.imm?:immigrant_x000D_
..Spo:MARY ANN GRAMMER</t>
        </r>
      </text>
    </comment>
    <comment ref="K9826" authorId="0" shapeId="0" xr:uid="{FE8FF028-3437-4DF8-ADB7-7DD3B7F0DE8B}">
      <text>
        <r>
          <rPr>
            <sz val="9"/>
            <color indexed="81"/>
            <rFont val="Tahoma"/>
            <family val="2"/>
          </rPr>
          <t>ROSE ANNE KIRKPATRICK_x000D_
http://yeinfo.com/family/I09000801.html_x000D_
https://www.google.com/search?q=ROSE+ANNE+KIRKPATRICK+1677+1762+CLENDENIN_x000D_
.born:?1677    -          Kirkmichael (Dunbarton) Scotland_x000D_
.died: 1762    -          Down county Northern Ireland, age:85y 0m 0d, _x000D_
.bapt: 1785GE_x000D_
.will: 2004MO_x000D_
.obit: 1890OH_x000D_
.bury: 1850IL _x000D_
.wpbt: 1826PA_x000D_
.anc#:ancestor_x000D_
citiz:foreign_x000D_
#spos:2_x000D_
#srcs:1_x000D_
#comment:0_x000D_
#events:2_x000D_
#kids:1_x000D_
lived:NIDOWN,STDUNBAKIRKMIC_x000D_
issue:_x000D_
.recs:Birth,Marriage,Death_x000D_
.imm?:no_x000D_
..Spo:WILLIAM CLENDENIN</t>
        </r>
      </text>
    </comment>
    <comment ref="I9828" authorId="0" shapeId="0" xr:uid="{5C5801CE-3415-44FB-A6B0-20D11369B3C0}">
      <text>
        <r>
          <rPr>
            <sz val="9"/>
            <color indexed="81"/>
            <rFont val="Tahoma"/>
            <family val="2"/>
          </rPr>
          <t>FISHER DEHART CLENDENIN_x000D_
http://yeinfo.com/family/I09000200.html_x000D_
https://www.google.com/search?q=FISHER+DEHART+CLENDENIN+1776+1811+ANNA_x000D_
.born: 17760212-          Hawfields (Alamance) North Carolina_x000D_
.died: 18110419-          Hawfields (Alamance) North Carolina, age:35y 2m 7d, _x000D_
.bapt: 1785GE_x000D_
.will: 2004MO_x000D_
.obit: 1890OH_x000D_
.bury: 1850IL _x000D_
.wpbt: 1826PA_x000D_
.anc#:ancestor_x000D_
citiz:US born_x000D_
#spos:1_x000D_
#srcs:2_x000D_
#comment:0_x000D_
#events:9_x000D_
#kids:1_x000D_
lived:NCALAMAHAWFIEL,NCORANGHILLSBO_x000D_
issue:_x000D_
.recs:Birth,Military,Marriage Intention/Bonds,Will Written,Death,Land Transaction_x000D_
.imm?:no_x000D_
..Spo:ANNA BRADSHAW</t>
        </r>
      </text>
    </comment>
    <comment ref="J9830" authorId="0" shapeId="0" xr:uid="{04A9E0BF-2E89-42A0-90F1-AD639B0A0165}">
      <text>
        <r>
          <rPr>
            <sz val="9"/>
            <color indexed="81"/>
            <rFont val="Tahoma"/>
            <family val="2"/>
          </rPr>
          <t>MARY ANN GRAMMER_x000D_
http://yeinfo.com/family/I09000401.html_x000D_
https://www.google.com/search?q=MARY+ANN+GRAMMER+1731+1798+CLENDENIN_x000D_
.born: 1731    -          Ireland_x000D_
.died: 1798    -          Hawfields (Alamance) North Carolina, age:67y 0m 0d, _x000D_
.bapt: 1785GE_x000D_
.will: 2004MO_x000D_
.obit: 1890OH_x000D_
.bury: 1850IL _x000D_
.wpbt: 1826PA_x000D_
.anc#:ancestor_x000D_
citiz:immigrant_x000D_
#spos:1_x000D_
#srcs:1_x000D_
#comment:0_x000D_
#events:5_x000D_
#kids:1_x000D_
lived:IR,NCALAMAHAWFIEL,NCORANGHILLSBO_x000D_
issue:_x000D_
.recs:Birth,Marriage,Will Written,Death_x000D_
.imm?:immigrant_x000D_
..Spo:WILLIAM CLENDENIN</t>
        </r>
      </text>
    </comment>
    <comment ref="H9832" authorId="0" shapeId="0" xr:uid="{CDB6BD6B-BA1D-437F-AE90-75528EFFD0D1}">
      <text>
        <r>
          <rPr>
            <sz val="9"/>
            <color indexed="81"/>
            <rFont val="Tahoma"/>
            <family val="2"/>
          </rPr>
          <t>THOMAS C. CLENDENIN_x000D_
http://yeinfo.com/family/I09000100.html_x000D_
https://www.google.com/search?q=THOMAS+C.+CLENDENIN+1797+1880+RACHEL_x000D_
.born: 17971101-          Hawfields (Alamance) North Carolina_x000D_
.died: 18800714-          Stonefort (Williamson) Illinois, age:82y 8m 13d, _x000D_
.bapt: 1785GE_x000D_
.will: 2004MO_x000D_
.obit: 1890OH_x000D_
.bury: 1850IL _x000D_
.wpbt: 1826PA_x000D_
.anc#:ancestor_x000D_
citiz:US born_x000D_
#spos:3_x000D_
#srcs:2_x000D_
#comment:1_x000D_
#events:14_x000D_
#kids:1_x000D_
lived:ILWILLISTONEFT,NCALAMAHAWFIEL,NCORANG,TNMAURY_x000D_
issue:_x000D_
.recs:Birth,Marriage Intention/Bonds,Taxes,Will Written,Death_x000D_
.imm?:no_x000D_
..Spo:RACHEL WOODY</t>
        </r>
      </text>
    </comment>
    <comment ref="J9834" authorId="0" shapeId="0" xr:uid="{573F60EC-EEA5-4BDC-9C68-05F83A13F561}">
      <text>
        <r>
          <rPr>
            <sz val="9"/>
            <color indexed="81"/>
            <rFont val="Tahoma"/>
            <family val="2"/>
          </rPr>
          <t>THOMAS BRADSHAW_x000D_
http://yeinfo.com/family/I09000402.html_x000D_
https://www.google.com/search?q=THOMAS+BRADSHAW+1750+1834+LUTITIA_x000D_
.born: 17500627-          Ireland_x000D_
.died: 1834    -          North Carolina, age:83y 6m 5d, _x000D_
.bapt: 1785GE_x000D_
.will: 2004MO_x000D_
.obit: 1890OH_x000D_
.bury: 1850IL _x000D_
.wpbt: 1826PA_x000D_
.anc#:ancestor_x000D_
citiz:immigrant_x000D_
#spos:1_x000D_
#srcs:2_x000D_
#comment:0_x000D_
#events:2_x000D_
#kids:1_x000D_
lived:IR,NCALAMA_x000D_
issue:_x000D_
.recs:Birth,Marriage,Death_x000D_
.imm?:immigrant_x000D_
..Spo:LUTITIA WILLIAMS</t>
        </r>
      </text>
    </comment>
    <comment ref="I9836" authorId="0" shapeId="0" xr:uid="{363DB799-6629-4A1F-A3A7-5789E541BA95}">
      <text>
        <r>
          <rPr>
            <sz val="9"/>
            <color indexed="81"/>
            <rFont val="Tahoma"/>
            <family val="2"/>
          </rPr>
          <t>ANNA BRADSHAW_x000D_
http://yeinfo.com/family/I09000201.html_x000D_
https://www.google.com/search?q=ANNA+BRADSHAW+1780+1852+CLENDENIN_x000D_
.born: 1780    -          Orange county North Carolina_x000D_
.died: 18521005-          Maury county Tennessee, age:72y 9m 4d, _x000D_
.bapt: 1785GE_x000D_
.will: 2004MO_x000D_
.obit: 1890OH_x000D_
.bury: 1850IL Bailey Cemetery_x000D_
.wpbt: 1826PA_x000D_
.anc#:ancestor_x000D_
citiz:US born_x000D_
#spos:2_x000D_
#srcs:1_x000D_
#comment:0_x000D_
#events:7_x000D_
#kids:1_x000D_
lived:NCORANG,TNLEWIS,TNMAURYMT.JOY_x000D_
issue:_x000D_
.recs:Birth,Marriage Intention/Bonds,Will Written,Death_x000D_
.imm?:no_x000D_
..Spo:FISHER DEHART CLENDENIN</t>
        </r>
      </text>
    </comment>
    <comment ref="J9838" authorId="0" shapeId="0" xr:uid="{32265BDD-0C2D-4EC6-B149-2B152BB4036C}">
      <text>
        <r>
          <rPr>
            <sz val="9"/>
            <color indexed="81"/>
            <rFont val="Tahoma"/>
            <family val="2"/>
          </rPr>
          <t>LUTITIA WILLIAMS_x000D_
http://yeinfo.com/family/I09000403.html_x000D_
https://www.google.com/search?q=LUTITIA+WILLIAMS+1760+1798+BRADSHAW_x000D_
.born: 1760    -          Hawfields (Orange) North Carolina_x000D_
.died: 1798    -          Hillsboro (Orange) North Carolina, age:38y 0m 0d, _x000D_
.bapt: 1785GE_x000D_
.will: 2004MO_x000D_
.obit: 1890OH_x000D_
.bury: 1850IL _x000D_
.wpbt: 1826PA_x000D_
.anc#:ancestor_x000D_
citiz:US born_x000D_
#spos:1_x000D_
#srcs:1_x000D_
#comment:0_x000D_
#events:3_x000D_
#kids:1_x000D_
lived:ENLANCA,NCALAMA,NCORANGHAWFIEL,NCORANGHILLSBO_x000D_
issue:_x000D_
.recs:Birth,Baptism,Marriage,Will Written,Death_x000D_
.imm?:no_x000D_
..Spo:THOMAS BRADSHAW</t>
        </r>
      </text>
    </comment>
    <comment ref="G9840" authorId="0" shapeId="0" xr:uid="{979F25B1-3A65-4360-B84D-5BE69BF7E829}">
      <text>
        <r>
          <rPr>
            <sz val="9"/>
            <color indexed="81"/>
            <rFont val="Tahoma"/>
            <family val="2"/>
          </rPr>
          <t>SAMUEL G. CLENDENIN_x000D_
http://yeinfo.com/family/I09000050.html_x000D_
https://www.google.com/search?q=SAMUEL+G.+CLENDENIN+1820+1880+MARIA_x000D_
.born: 18200501-          Orange county North Carolina_x000D_
.died: 1880    -1900     ?Tennessee, age:59y 8m 0d, _x000D_
.bapt: 1785GE_x000D_
.will: 2004MO_x000D_
.obit: 1890OH_x000D_
.bury: 1850IL _x000D_
.wpbt: 1826PA_x000D_
.anc#:ancestor_x000D_
citiz:US born_x000D_
#spos:1_x000D_
#srcs:2_x000D_
#comment:1_x000D_
#events:13_x000D_
#kids:1_x000D_
lived:ILJOHNN,ILRANDOLIBERTY,NCORANG,TNMAURY,TNMCNAI_x000D_
issue:_x000D_
.recs:Birth,Military,Marriage,Death,Land Transaction_x000D_
.imm?:no_x000D_
..Spo:MARIA MAYS</t>
        </r>
      </text>
    </comment>
    <comment ref="N9842" authorId="0" shapeId="0" xr:uid="{4149B471-08AB-40F0-B765-9FC3F34729DA}">
      <text>
        <r>
          <rPr>
            <sz val="9"/>
            <color indexed="81"/>
            <rFont val="Tahoma"/>
            <family val="2"/>
          </rPr>
          <t>ISAAC MOODY WOODY Sr._x000D_
http://yeinfo.com/family/I09006464.html_x000D_
https://www.google.com/search?q=ISAAC+MOODY+WOODY+1636+1680+DORCAS_x000D_
.born: 16360902-          Roxbury (Suffolk) Massachusetts_x000D_
.died: 16800523-          Roxbury (Suffolk) Massachusetts, age:43y 8m 21d, _x000D_
.bapt: 1785GE_x000D_
.will: 2004MO_x000D_
.obit: 1890OH_x000D_
.bury: 1850IL _x000D_
.wpbt: 1826PA_x000D_
.anc#:ancestor_x000D_
citiz:US born_x000D_
#spos:1_x000D_
#srcs:1_x000D_
#comment:1_x000D_
#events:1_x000D_
#kids:1_x000D_
lived:MASUFFOBOSTON,MASUFFOROXBURY_x000D_
issue:_x000D_
.recs:Birth,Marriage,Death_x000D_
.imm?:no_x000D_
..Spo:DORCAS HARPER</t>
        </r>
      </text>
    </comment>
    <comment ref="M9844" authorId="0" shapeId="0" xr:uid="{00B2DA48-8EA4-4E9B-9819-5D4CA41028B6}">
      <text>
        <r>
          <rPr>
            <sz val="9"/>
            <color indexed="81"/>
            <rFont val="Tahoma"/>
            <family val="2"/>
          </rPr>
          <t>JOHN W. WOODY I_x000D_
http://yeinfo.com/family/I09003232.html_x000D_
https://www.google.com/search?q=JOHN+W.+WOODY+1659+1695+MARY_x000D_
.born: 16590918-          Boston (Suffolk) Massachusetts_x000D_
.died: 16950814-          Roxbury (Suffolk) Massachusetts, age:35y 10m 27d, _x000D_
.bapt: 1785GE_x000D_
.will: 2004MO_x000D_
.obit: 1890OH_x000D_
.bury: 1850IL _x000D_
.wpbt: 1826PA_x000D_
.anc#:ancestor_x000D_
citiz:US born_x000D_
#spos:1_x000D_
#srcs:1_x000D_
#comment:0_x000D_
#events:1_x000D_
#kids:1_x000D_
lived:MASUFFOBOSTON,MASUFFOROXBURY_x000D_
issue:_x000D_
.recs:Birth,Marriage,Death_x000D_
.imm?:no_x000D_
..Spo:MARY WINCHESTER</t>
        </r>
      </text>
    </comment>
    <comment ref="N9846" authorId="0" shapeId="0" xr:uid="{03F28767-EBE1-4F38-B230-C93004739CFA}">
      <text>
        <r>
          <rPr>
            <sz val="9"/>
            <color indexed="81"/>
            <rFont val="Tahoma"/>
            <family val="2"/>
          </rPr>
          <t>DORCAS HARPER_x000D_
http://yeinfo.com/family/I09006465.html_x000D_
https://www.google.com/search?q=DORCAS+HARPER+1636+1695+WOODY_x000D_
.born: 1636    -          England_x000D_
.died: 1695    -          Roxbury (Suffolk) Massachusetts, age:59y 0m 0d, _x000D_
.bapt: 1785GE_x000D_
.will: 2004MO_x000D_
.obit: 1890OH_x000D_
.bury: 1850IL _x000D_
.wpbt: 1826PA_x000D_
.anc#:ancestor_x000D_
citiz:immigrant_x000D_
#spos:1_x000D_
#srcs:1_x000D_
#comment:1_x000D_
#events:1_x000D_
#kids:1_x000D_
lived:EN,MASUFFOBOSTON,MASUFFOROXBURY_x000D_
issue:_x000D_
.recs:Birth,Marriage,Death_x000D_
.imm?:immigrant_x000D_
..Spo:ISAAC MOODY WOODY</t>
        </r>
      </text>
    </comment>
    <comment ref="L9848" authorId="0" shapeId="0" xr:uid="{33A0B186-C400-4B86-AAEC-8E11A5813689}">
      <text>
        <r>
          <rPr>
            <sz val="9"/>
            <color indexed="81"/>
            <rFont val="Tahoma"/>
            <family val="2"/>
          </rPr>
          <t>JOHN WOODY II_x000D_
http://yeinfo.com/family/I09001616.html_x000D_
https://www.google.com/search?q=JOHN+WOODY+1688+1740+MARY_x000D_
.born: 16880125-          Boston (Suffolk) Massachusetts_x000D_
.died: 17400916-          Henrico county Virginia, age:52y 7m 22d, _x000D_
.bapt: 1785GE_x000D_
.will: 2004MO_x000D_
.obit: 1890OH_x000D_
.bury: 1850IL _x000D_
.wpbt: 1826PA_x000D_
.anc#:ancestor_x000D_
citiz:US born_x000D_
#spos:1_x000D_
#srcs:1_x000D_
#comment:0_x000D_
#events:2_x000D_
#kids:1_x000D_
lived:MASUFFOBOSTON,VAHENRI_x000D_
issue:_x000D_
.recs:Birth,Baptism,Marriage,Death_x000D_
.imm?:no_x000D_
..Spo:MARY GOWEN</t>
        </r>
      </text>
    </comment>
    <comment ref="N9850" authorId="0" shapeId="0" xr:uid="{825DE460-D7AD-468B-B68A-8BD46AAEA2E3}">
      <text>
        <r>
          <rPr>
            <sz val="9"/>
            <color indexed="81"/>
            <rFont val="Tahoma"/>
            <family val="2"/>
          </rPr>
          <t>MOSES WINCHESTER_x000D_
http://yeinfo.com/family/I09006466.html_x000D_
https://www.google.com/search?q=MOSES+WINCHESTER+1630+1700+MARY_x000D_
.born: 1630    -          Bruton (Somerset) England_x000D_
.died: 1700    -         ?Massachusetts, age:70y 0m 0d, _x000D_
.bapt: 1785GE_x000D_
.will: 2004MO_x000D_
.obit: 1890OH_x000D_
.bury: 1850IL _x000D_
.wpbt: 1826PA_x000D_
.anc#:ancestor_x000D_
citiz:immigrant_x000D_
#spos:1_x000D_
#srcs:1_x000D_
#comment:0_x000D_
#events:1_x000D_
#kids:1_x000D_
lived:?MA,ENSOMESBRUTON_x000D_
issue:_x000D_
.recs:Birth,Marriage,Death_x000D_
.imm?:immigrant_x000D_
..Spo:MARY KINNEBROOKE</t>
        </r>
      </text>
    </comment>
    <comment ref="M9852" authorId="0" shapeId="0" xr:uid="{011E384C-8D5B-462A-BD0E-79FF5273EA7A}">
      <text>
        <r>
          <rPr>
            <sz val="9"/>
            <color indexed="81"/>
            <rFont val="Tahoma"/>
            <family val="2"/>
          </rPr>
          <t>MARY WINCHESTER_x000D_
http://yeinfo.com/family/I09003233.html_x000D_
https://www.google.com/search?q=MARY+WINCHESTER+1661+1691+WOODY_x000D_
.born: 1661    -          Dedham (Norfolk) Massachusetts_x000D_
.died: 1691    -         ?Suffolk county Massachusetts, age:30y 0m 0d, _x000D_
.bapt: 1785GE_x000D_
.will: 2004MO_x000D_
.obit: 1890OH_x000D_
.bury: 1850IL _x000D_
.wpbt: 1826PA_x000D_
.anc#:ancestor_x000D_
citiz:US born_x000D_
#spos:1_x000D_
#srcs:1_x000D_
#comment:0_x000D_
#events:1_x000D_
#kids:1_x000D_
lived:MANORFODEDHAM,MASUFFOBOSTON_x000D_
issue:_x000D_
.recs:Birth,Marriage,Death_x000D_
.imm?:no_x000D_
..Spo:JOHN W. WOODY</t>
        </r>
      </text>
    </comment>
    <comment ref="N9854" authorId="0" shapeId="0" xr:uid="{991D9A84-AEB2-41F1-B506-F3A3882855E8}">
      <text>
        <r>
          <rPr>
            <sz val="9"/>
            <color indexed="81"/>
            <rFont val="Tahoma"/>
            <family val="2"/>
          </rPr>
          <t>MARY KINNEBROOKE_x000D_
http://yeinfo.com/family/I09006467.html_x000D_
https://www.google.com/search?q=MARY+KINNEBROOKE+1640+1726+WINCHESTER_x000D_
.born: 1640    -          Bruton (Somerset) England_x000D_
.died: 1726    -          Hadley (Hampshire) Massachusetts, age:86y 0m 0d, _x000D_
.bapt: 1785GE_x000D_
.will: 2004MO_x000D_
.obit: 1890OH_x000D_
.bury: 1850IL _x000D_
.wpbt: 1826PA_x000D_
.anc#:ancestor_x000D_
citiz:immigrant_x000D_
#spos:1_x000D_
#srcs:1_x000D_
#comment:0_x000D_
#events:1_x000D_
#kids:1_x000D_
lived:ENSOMESBRUTON,MAHAMPSHADLEY_x000D_
issue:_x000D_
.recs:Birth,Marriage,Death_x000D_
.imm?:immigrant_x000D_
..Spo:MOSES WINCHESTER</t>
        </r>
      </text>
    </comment>
    <comment ref="K9856" authorId="0" shapeId="0" xr:uid="{DB7300E9-6F28-4CB9-9EA7-D246B1C20420}">
      <text>
        <r>
          <rPr>
            <sz val="9"/>
            <color indexed="81"/>
            <rFont val="Tahoma"/>
            <family val="2"/>
          </rPr>
          <t>JOHN WOODY III_x000D_
http://yeinfo.com/family/I09000808.html_x000D_
https://www.google.com/search?q=JOHN+WOODY+1715+1762+MARY_x000D_
.born: 17150615-          Boston (Suffolk) Massachusetts_x000D_
.died: 176204  -          Chatham county North Carolina, age:46y 9m 17d, _x000D_
.bapt: 1785GE_x000D_
.will: 2004MO_x000D_
.obit: 1890OH_x000D_
.bury: 1850IL Spring Monthly Meeting Cemetery_x000D_
.wpbt: 1826PA_x000D_
.anc#:ancestor_x000D_
citiz:US born_x000D_
#spos:1_x000D_
#srcs:1_x000D_
#comment:1_x000D_
#events:5_x000D_
#kids:1_x000D_
lived:MASUFFOBOSTON,MDBALTI,NCALAMASNOW CA,NCCHATH,NCORANG_x000D_
issue:_x000D_
.recs:Birth,Marriage,Death,Interment/Burial_x000D_
.imm?:no_x000D_
..Spo:MARY LINDLEY</t>
        </r>
      </text>
    </comment>
    <comment ref="N9858" authorId="0" shapeId="0" xr:uid="{80AB62D9-59ED-4B23-9D48-32E06D9E304B}">
      <text>
        <r>
          <rPr>
            <sz val="9"/>
            <color indexed="81"/>
            <rFont val="Tahoma"/>
            <family val="2"/>
          </rPr>
          <t>WILLIAM GOWEN_x000D_
http://yeinfo.com/family/I09006468.html_x000D_
https://www.google.com/search?q=WILLIAM+GOWEN+1640+1686+ELIZABETH_x000D_
.born: 164002  -          Scotland_x000D_
.died: 16860402-          Kittery (York) Maine, age:46y 2m 1d, _x000D_
.bapt: 1785GE_x000D_
.will: 2004MO_x000D_
.obit: 1890OH_x000D_
.bury: 1850IL _x000D_
.wpbt: 1826PA_x000D_
.anc#:ancestor_x000D_
citiz:immigrant_x000D_
#spos:1_x000D_
#srcs:1_x000D_
#comment:1_x000D_
#events:3_x000D_
#kids:1_x000D_
lived:MASUFFOCHAZTWN,MEYORK KITTERY,STLANAR_x000D_
issue:_x000D_
.recs:Birth,Baptism,Marriage,Ship Passenger List,Death_x000D_
.imm?:immigrant_x000D_
..Spo:ELIZABETH FROST</t>
        </r>
      </text>
    </comment>
    <comment ref="M9860" authorId="0" shapeId="0" xr:uid="{73B51583-FF50-4B07-A1A8-CFAB076A5DB0}">
      <text>
        <r>
          <rPr>
            <sz val="9"/>
            <color indexed="81"/>
            <rFont val="Tahoma"/>
            <family val="2"/>
          </rPr>
          <t>JOHN GOWEN_x000D_
http://yeinfo.com/family/I09003234.html_x000D_
https://www.google.com/search?q=JOHN+GOWEN+1668+1733+MERCY_x000D_
.born: 16681119-          Kittery (York) Maine_x000D_
.died: 17330108-          Berwick (York) Maine, age:64y 1m 20d, _x000D_
.bapt: 1785GE_x000D_
.will: 2004MO_x000D_
.obit: 1890OH_x000D_
.bury: 1850IL _x000D_
.wpbt: 1826PA_x000D_
.anc#:ancestor_x000D_
citiz:US born_x000D_
#spos:1_x000D_
#srcs:1_x000D_
#comment:1_x000D_
#events:2_x000D_
#kids:1_x000D_
lived:?MASUFFOBOSTON,MEYORK BERWICK,MEYORK KITTERY_x000D_
issue:_x000D_
.recs:Birth,Marriage,Will Written,Death_x000D_
.imm?:no_x000D_
..Spo:MERCY HAMMOND</t>
        </r>
      </text>
    </comment>
    <comment ref="O9862" authorId="0" shapeId="0" xr:uid="{3A7159C0-577D-4D43-88FA-DEAA86DEB19C}">
      <text>
        <r>
          <rPr>
            <sz val="9"/>
            <color indexed="81"/>
            <rFont val="Tahoma"/>
            <family val="2"/>
          </rPr>
          <t>NICHOLAS FROST_x000D_
http://yeinfo.com/family/I09012938.html_x000D_
https://www.google.com/search?q=NICHOLAS+FROST+1589+1663+&lt;?&gt;_x000D_
.born: 1589    -          Tiverton (Devon) England_x000D_
.died: 16630730-          Kittery (York) Maine, age:74y 6m 29d, _x000D_
.bapt: 1785GE_x000D_
.will: 2004MO_x000D_
.obit: 1890OH_x000D_
.bury: 1850IL _x000D_
.wpbt: 1826PA_x000D_
.anc#:double ancestor_x000D_
citiz:immigrant_x000D_
#spos:1_x000D_
#srcs:1_x000D_
#comment:0_x000D_
#events:3_x000D_
#kids:2_x000D_
lived:?MA,ENDEVONTIVERTO,MEYORK KITTERY_x000D_
issue:_x000D_
.recs:Birth,Death,Immigrate,Inventory_x000D_
.imm?:immigrant_x000D_
..Spo:&lt;?&gt; FROST</t>
        </r>
      </text>
    </comment>
    <comment ref="N9864" authorId="0" shapeId="0" xr:uid="{8116F15F-BEB4-4B1C-A470-08A5E098E361}">
      <text>
        <r>
          <rPr>
            <sz val="9"/>
            <color indexed="81"/>
            <rFont val="Tahoma"/>
            <family val="2"/>
          </rPr>
          <t>ELIZABETH FROST_x000D_
http://yeinfo.com/family/I09006469.html_x000D_
https://www.google.com/search?q=ELIZABETH+FROST+1640+1732+GOWEN_x000D_
.born: 16400510-          Kittery (York) Maine_x000D_
.died: 17320317-          Massachusetts, age:91y 10m 7d, _x000D_
.bapt: 1785GE_x000D_
.will: 2004MO_x000D_
.obit: 1890OH_x000D_
.bury: 1850IL _x000D_
.wpbt: 1826PA_x000D_
.anc#:ancestor_x000D_
citiz:US born_x000D_
#spos:1_x000D_
#srcs:1_x000D_
#comment:1_x000D_
#events:2_x000D_
#kids:1_x000D_
lived:MA,MEYORK KITTERY_x000D_
issue:_x000D_
.recs:Birth,Marriage,Will Written,Death_x000D_
.imm?:no_x000D_
..Spo:WILLIAM GOWEN</t>
        </r>
      </text>
    </comment>
    <comment ref="O9866" authorId="0" shapeId="0" xr:uid="{1DAF00C6-E141-4DE4-B558-3735C905F479}">
      <text>
        <r>
          <rPr>
            <sz val="9"/>
            <color indexed="81"/>
            <rFont val="Tahoma"/>
            <family val="2"/>
          </rPr>
          <t>Mrs. &lt;?&gt; FROST_x000D_
http://yeinfo.com/family/I09012939.html_x000D_
https://www.google.com/search?q=&lt;?&gt;+FROST+1600+1645+FROST_x000D_
.born: 1600    -         ?England_x000D_
.died: 1645    -1680     ?Maine, age:45y 0m 0d, _x000D_
.bapt: 1785GE_x000D_
.will: 2004MO_x000D_
.obit: 1890OH_x000D_
.bury: 1850IL _x000D_
.wpbt: 1826PA_x000D_
.anc#:double ancestor_x000D_
citiz:immigrant_x000D_
#spos:1_x000D_
#srcs:1_x000D_
#comment:0_x000D_
#events:1_x000D_
#kids:2_x000D_
lived:?EN,?MA,?ME_x000D_
issue:_x000D_
.recs:Birth,Marriage,Death_x000D_
.imm?:immigrant_x000D_
..Spo:NICHOLAS FROST</t>
        </r>
      </text>
    </comment>
    <comment ref="L9868" authorId="0" shapeId="0" xr:uid="{89F44AD3-3FCB-4BCF-92C0-67C0ECF73514}">
      <text>
        <r>
          <rPr>
            <sz val="9"/>
            <color indexed="81"/>
            <rFont val="Tahoma"/>
            <family val="2"/>
          </rPr>
          <t>MARY GOWEN_x000D_
http://yeinfo.com/family/I09001617.html_x000D_
https://www.google.com/search?q=MARY+GOWEN+1688+1755+WOODY_x000D_
.born: 16880123-          Boston (Suffolk) Massachusetts_x000D_
.died: 1755    -          Alamance county North Carolina, age:66y 11m 9d, _x000D_
.bapt: 1785GE_x000D_
.will: 2004MO_x000D_
.obit: 1890OH_x000D_
.bury: 1850IL _x000D_
.wpbt: 1826PA_x000D_
.anc#:ancestor_x000D_
citiz:US born_x000D_
#spos:1_x000D_
#srcs:1_x000D_
#comment:0_x000D_
#events:1_x000D_
#kids:1_x000D_
lived:MASUFFOBOSTON,NCALAMA_x000D_
issue:_x000D_
.recs:Birth,Marriage,Death_x000D_
.imm?:no_x000D_
..Spo:JOHN WOODY</t>
        </r>
      </text>
    </comment>
    <comment ref="N9870" authorId="0" shapeId="0" xr:uid="{76466531-DC4F-40EE-AF61-4BB00B6DB8FD}">
      <text>
        <r>
          <rPr>
            <sz val="9"/>
            <color indexed="81"/>
            <rFont val="Tahoma"/>
            <family val="2"/>
          </rPr>
          <t>JOSEPH HAMMOND_x000D_
http://yeinfo.com/family/I09006470.html_x000D_
https://www.google.com/search?q=JOSEPH+HAMMOND+1646+1710+KATHERINE_x000D_
.born: 1646    -          Wells (York) Maine_x000D_
.died: 17100220-          Kittery (York) Maine, age:64y 1m 19d, _x000D_
.bapt: 1785GE_x000D_
.will: 2004MO_x000D_
.obit: 1890OH_x000D_
.bury: 1850IL _x000D_
.wpbt: 1826PA_x000D_
.anc#:ancestor_x000D_
citiz:US born_x000D_
#spos:1_x000D_
#srcs:1_x000D_
#comment:1_x000D_
#events:1_x000D_
#kids:1_x000D_
lived:MEYORK KITTERY,MEYORK WELLS_x000D_
issue:_x000D_
.recs:Birth,Marriage,Death_x000D_
.imm?:no_x000D_
..Spo:KATHERINE FROST</t>
        </r>
      </text>
    </comment>
    <comment ref="M9872" authorId="0" shapeId="0" xr:uid="{5A9FB49F-EAA4-477A-B685-535C3AF72405}">
      <text>
        <r>
          <rPr>
            <sz val="9"/>
            <color indexed="81"/>
            <rFont val="Tahoma"/>
            <family val="2"/>
          </rPr>
          <t>MERCY HAMMOND_x000D_
http://yeinfo.com/family/I09003235.html_x000D_
https://www.google.com/search?q=MERCY+HAMMOND+1672+1733+GOWEN_x000D_
.born: 16720911-          Kittery (York) Maine_x000D_
.died: 17330109-          Kittery (York) Maine, age:60y 3m 29d, _x000D_
.bapt: 1785GE_x000D_
.will: 2004MO_x000D_
.obit: 1890OH_x000D_
.bury: 1850IL _x000D_
.wpbt: 1826PA_x000D_
.anc#:ancestor_x000D_
citiz:US born_x000D_
#spos:1_x000D_
#srcs:1_x000D_
#comment:0_x000D_
#events:1_x000D_
#kids:1_x000D_
lived:?MASUFFOBOSTON,MEYORK KITTERY_x000D_
issue:_x000D_
.recs:Birth,Marriage,Death_x000D_
.imm?:no_x000D_
..Spo:JOHN GOWEN</t>
        </r>
      </text>
    </comment>
    <comment ref="O9874" authorId="0" shapeId="0" xr:uid="{2924EF76-D4DC-4C1E-B6C4-E1C53442F062}">
      <text>
        <r>
          <rPr>
            <sz val="9"/>
            <color indexed="81"/>
            <rFont val="Tahoma"/>
            <family val="2"/>
          </rPr>
          <t>NICHOLAS FROST_x000D_
http://yeinfo.com/family/I09012938.html_x000D_
https://www.google.com/search?q=NICHOLAS+FROST+1589+1663+&lt;?&gt;_x000D_
.born: 1589    -          Tiverton (Devon) England_x000D_
.died: 16630730-          Kittery (York) Maine, age:74y 6m 29d, _x000D_
.bapt: 1785GE_x000D_
.will: 2004MO_x000D_
.obit: 1890OH_x000D_
.bury: 1850IL _x000D_
.wpbt: 1826PA_x000D_
.anc#:double ancestor_x000D_
citiz:immigrant_x000D_
#spos:1_x000D_
#srcs:1_x000D_
#comment:0_x000D_
#events:3_x000D_
#kids:2_x000D_
lived:?MA,ENDEVONTIVERTO,MEYORK KITTERY_x000D_
issue:_x000D_
.recs:Birth,Death,Immigrate,Inventory_x000D_
.imm?:immigrant_x000D_
..Spo:&lt;?&gt; FROST</t>
        </r>
      </text>
    </comment>
    <comment ref="N9876" authorId="0" shapeId="0" xr:uid="{E9A1D374-D102-41DB-BDE2-D1703330530B}">
      <text>
        <r>
          <rPr>
            <sz val="9"/>
            <color indexed="81"/>
            <rFont val="Tahoma"/>
            <family val="2"/>
          </rPr>
          <t>KATHERINE FROST_x000D_
http://yeinfo.com/family/I09006471.html_x000D_
https://www.google.com/search?q=KATHERINE+FROST+1637+1715+HAMMOND_x000D_
.born: 16371225-          Boston (Suffolk) Massachusetts_x000D_
.died: 17150815-          Kittery (York) Maine, age:77y 7m 21d, _x000D_
.bapt: 1785GE_x000D_
.will: 2004MO_x000D_
.obit: 1890OH_x000D_
.bury: 1850IL _x000D_
.wpbt: 1826PA_x000D_
.anc#:ancestor_x000D_
citiz:US born_x000D_
#spos:1_x000D_
#srcs:1_x000D_
#comment:1_x000D_
#events:1_x000D_
#kids:1_x000D_
lived:MASUFFOBOSTON,MEYORK KITTERY_x000D_
issue:_x000D_
.recs:Birth,Marriage,Death_x000D_
.imm?:no_x000D_
..Spo:JOSEPH HAMMOND</t>
        </r>
      </text>
    </comment>
    <comment ref="O9878" authorId="0" shapeId="0" xr:uid="{5CA6D982-0982-4223-9750-C9903C2FAAF5}">
      <text>
        <r>
          <rPr>
            <sz val="9"/>
            <color indexed="81"/>
            <rFont val="Tahoma"/>
            <family val="2"/>
          </rPr>
          <t>Mrs. &lt;?&gt; FROST_x000D_
http://yeinfo.com/family/I09012939.html_x000D_
https://www.google.com/search?q=&lt;?&gt;+FROST+1600+1645+FROST_x000D_
.born: 1600    -         ?England_x000D_
.died: 1645    -1680     ?Maine, age:45y 0m 0d, _x000D_
.bapt: 1785GE_x000D_
.will: 2004MO_x000D_
.obit: 1890OH_x000D_
.bury: 1850IL _x000D_
.wpbt: 1826PA_x000D_
.anc#:double ancestor_x000D_
citiz:immigrant_x000D_
#spos:1_x000D_
#srcs:1_x000D_
#comment:0_x000D_
#events:1_x000D_
#kids:2_x000D_
lived:?EN,?MA,?ME_x000D_
issue:_x000D_
.recs:Birth,Marriage,Death_x000D_
.imm?:immigrant_x000D_
..Spo:NICHOLAS FROST</t>
        </r>
      </text>
    </comment>
    <comment ref="J9880" authorId="0" shapeId="0" xr:uid="{11DFA7E7-8E80-4653-BEFE-0CF475F47FB1}">
      <text>
        <r>
          <rPr>
            <sz val="9"/>
            <color indexed="81"/>
            <rFont val="Tahoma"/>
            <family val="2"/>
          </rPr>
          <t>JOSEPH WOODY Sr._x000D_
http://yeinfo.com/family/I09000404.html_x000D_
https://www.google.com/search?q=JOSEPH+WOODY+1748+1815+SARAH_x000D_
.born: 1748    -          Baltimore Hill (Baltimore) Maryland_x000D_
.died: 181502  -          Orange county North Carolina, age:67y 1m 0d, _x000D_
.bapt: 1785GE_x000D_
.will: 2004MO_x000D_
.obit: 1890OH_x000D_
.bury: 1850IL _x000D_
.wpbt: 1826PA_x000D_
.anc#:ancestor_x000D_
citiz:US born_x000D_
#spos:1_x000D_
#srcs:1_x000D_
#comment:0_x000D_
#events:2_x000D_
#kids:1_x000D_
lived:MDBALTIBALTIMO,NCORANG_x000D_
issue:_x000D_
.recs:Birth,Marriage,Death_x000D_
.imm?:no_x000D_
..Spo:SARAH THOMPSON</t>
        </r>
      </text>
    </comment>
    <comment ref="L9882" authorId="0" shapeId="0" xr:uid="{006F9BAC-1F89-4026-BB38-3BC20F03F116}">
      <text>
        <r>
          <rPr>
            <sz val="9"/>
            <color indexed="81"/>
            <rFont val="Tahoma"/>
            <family val="2"/>
          </rPr>
          <t>JAMES LINDLEY Jr._x000D_
http://yeinfo.com/family/I09001618.html_x000D_
https://www.google.com/search?q=JAMES+LINDLEY+1681+1726+ELEANOR_x000D_
.born: 16810416-          Wicklow county Ireland_x000D_
.died: 17261013-          Chester county Pennsylvania, age:45y 5m 27d, _x000D_
.bapt: 1785GE_x000D_
.will: 2004MO_x000D_
.obit: 1890OH_x000D_
.bury: 1850IL New Garden Friends Cemetery_x000D_
.wpbt: 1826PA_x000D_
.anc#:ancestor_x000D_
citiz:immigrant_x000D_
#spos:1_x000D_
#srcs:1_x000D_
#comment:1_x000D_
#events:5_x000D_
#kids:1_x000D_
lived:IRWICKL,PACHESR_x000D_
issue:_x000D_
.recs:Birth,Deed,Land Transaction,Immigrate_x000D_
.imm?:immigrant_x000D_
..Spo:ELEANOR PARKE</t>
        </r>
      </text>
    </comment>
    <comment ref="K9884" authorId="0" shapeId="0" xr:uid="{BA527796-E3CD-4279-B74F-11222B05CDA1}">
      <text>
        <r>
          <rPr>
            <sz val="9"/>
            <color indexed="81"/>
            <rFont val="Tahoma"/>
            <family val="2"/>
          </rPr>
          <t>MARY LINDLEY_x000D_
http://yeinfo.com/family/I09000809.html_x000D_
https://www.google.com/search?q=MARY+LINDLEY+1717+1795+WOODY_x000D_
.born: 17170904-          Chester county Pennsylvania_x000D_
.died: 17950521-          Orange county North Carolina, age:77y 8m 17d, _x000D_
.bapt: 1785GE_x000D_
.will: 2004MO_x000D_
.obit: 1890OH_x000D_
.bury: 1850IL Spring Monthly Meeting Cemetery_x000D_
.wpbt: 1826PA_x000D_
.anc#:ancestor_x000D_
citiz:US born_x000D_
#spos:1_x000D_
#srcs:1_x000D_
#comment:0_x000D_
#events:4_x000D_
#kids:1_x000D_
lived:MDBALTI,NCALAMASNOW CA,NCORANG,PABUCKSBRISTOL,PACHESR_x000D_
issue:_x000D_
.recs:Birth,Baptism,Marriage,Death,Interment/Burial_x000D_
.imm?:no_x000D_
..Spo:JOHN WOODY</t>
        </r>
      </text>
    </comment>
    <comment ref="M9886" authorId="0" shapeId="0" xr:uid="{93FF5789-1286-4A82-9631-E84E138F92D1}">
      <text>
        <r>
          <rPr>
            <sz val="9"/>
            <color indexed="81"/>
            <rFont val="Tahoma"/>
            <family val="2"/>
          </rPr>
          <t>ROBERT\RICHARD PARKE_x000D_
http://yeinfo.com/family/I09003238.html_x000D_
https://www.google.com/search?q=ROBERT\RICHARD+PARKE+1658+1738+MARGERY\MARY_x000D_
.born: 1658    -          Carlow county Ireland_x000D_
.died: 1738    -          Chester county Pennsylvania, age:80y 0m 0d, _x000D_
.bapt: 1785GE_x000D_
.will: 2004MO_x000D_
.obit: 1890OH_x000D_
.bury: 1850IL _x000D_
.wpbt: 1826PA_x000D_
.anc#:ancestor_x000D_
citiz:immigrant_x000D_
#spos:1_x000D_
#srcs:1_x000D_
#comment:1_x000D_
#events:2_x000D_
#kids:13_x000D_
lived:DE,IRCARLO,PACHESR_x000D_
issue:_x000D_
.recs:Birth,Death,Immigrate_x000D_
.imm?:immigrant_x000D_
..Spo:MARGERY\MARY MEDOWE</t>
        </r>
      </text>
    </comment>
    <comment ref="L9888" authorId="0" shapeId="0" xr:uid="{67E3645B-468F-4AC2-8481-BD59B21C20CA}">
      <text>
        <r>
          <rPr>
            <sz val="9"/>
            <color indexed="81"/>
            <rFont val="Tahoma"/>
            <family val="2"/>
          </rPr>
          <t>ELEANOR PARKE_x000D_
http://yeinfo.com/family/I09001619.html_x000D_
https://www.google.com/search?q=ELEANOR+PARKE+1684+1748+LINDLEY_x000D_
.born: 16840302-          Carlow county Ireland_x000D_
.died: 17480728-          Chester county Pennsylvania, age:64y 4m 26d, _x000D_
.bapt: 1785GE_x000D_
.will: 2004MO_x000D_
.obit: 1890OH_x000D_
.bury: 1850IL _x000D_
.wpbt: 1826PA_x000D_
.anc#:ancestor_x000D_
citiz:immigrant_x000D_
#spos:1_x000D_
#srcs:1_x000D_
#comment:2_x000D_
#events:3_x000D_
#kids:1_x000D_
lived:IRCARLO,IRWICKL,PACHESR_x000D_
issue:_x000D_
.recs:Birth,Marriage,Death,Church_x000D_
.imm?:immigrant_x000D_
..Spo:JAMES LINDLEY</t>
        </r>
      </text>
    </comment>
    <comment ref="M9890" authorId="0" shapeId="0" xr:uid="{86BB7A12-20E6-4D80-9E1C-46B54AE611D2}">
      <text>
        <r>
          <rPr>
            <sz val="9"/>
            <color indexed="81"/>
            <rFont val="Tahoma"/>
            <family val="2"/>
          </rPr>
          <t>MARGERY\MARY MEDOWE_x000D_
http://yeinfo.com/family/I09003239.html_x000D_
https://www.google.com/search?q=MARGERY\MARY+MEDOWE+1655+1738+PARKE_x000D_
.born: 16550420-          Wicklow county Ireland_x000D_
.died: 17380131-          Chester county Pennsylvania, age:82y 9m 11d, _x000D_
.bapt: 1785GE_x000D_
.will: 2004MO_x000D_
.obit: 1890OH_x000D_
.bury: 1850IL _x000D_
.wpbt: 1826PA_x000D_
.anc#:ancestor_x000D_
citiz:immigrant_x000D_
#spos:1_x000D_
#srcs:1_x000D_
#comment:1_x000D_
#events:2_x000D_
#kids:13_x000D_
lived:IRWICKL,PACHESR_x000D_
issue:_x000D_
.recs:Birth,Marriage,Death_x000D_
.imm?:immigrant_x000D_
..Spo:ROBERT\RICHARD PARKE</t>
        </r>
      </text>
    </comment>
    <comment ref="I9892" authorId="0" shapeId="0" xr:uid="{11F42D53-3D04-4B53-9F42-91689EE0E6BA}">
      <text>
        <r>
          <rPr>
            <sz val="9"/>
            <color indexed="81"/>
            <rFont val="Tahoma"/>
            <family val="2"/>
          </rPr>
          <t>SAMUEL THOMAS WOODY Sr._x000D_
http://yeinfo.com/family/I09000202.html_x000D_
https://www.google.com/search?q=SAMUEL+THOMAS+WOODY+1770+1855+JANE_x000D_
.born: 17700912-          Haw River (Alamance) North Carolina_x000D_
.died: 18551022-          Santa Fe (Maury) Tennessee, age:85y 1m 10d, _x000D_
.bapt: 1785GE_x000D_
.will: 2004MO_x000D_
.obit: 1890OH_x000D_
.bury: 1850IL Woody Cemetery_x000D_
.wpbt: 1826PA_x000D_
.anc#:ancestor_x000D_
citiz:US born_x000D_
#spos:1_x000D_
#srcs:3_x000D_
#comment:1_x000D_
#events:4_x000D_
#kids:1_x000D_
lived:NCALAMAHAW RIV,NCORANG,TNMAURYSANTAFE_x000D_
issue:_x000D_
.recs:Birth,Marriage Intention/Bonds,Death_x000D_
.imm?:no_x000D_
..Spo:JANE HOLMES</t>
        </r>
      </text>
    </comment>
    <comment ref="J9894" authorId="0" shapeId="0" xr:uid="{69479C56-3BC5-4FE0-9B60-90E350E04822}">
      <text>
        <r>
          <rPr>
            <sz val="9"/>
            <color indexed="81"/>
            <rFont val="Tahoma"/>
            <family val="2"/>
          </rPr>
          <t>SARAH THOMPSON_x000D_
http://yeinfo.com/family/I09000405.html_x000D_
https://www.google.com/search?q=SARAH+THOMPSON+1748+1822+WOODY_x000D_
.born: 1748    -          Virginia_x000D_
.died: 1822    -          Orange county North Carolina, age:74y 0m 0d, _x000D_
.bapt: 1785GE_x000D_
.will: 2004MO_x000D_
.obit: 1890OH_x000D_
.bury: 1850IL _x000D_
.wpbt: 1826PA_x000D_
.anc#:ancestor_x000D_
citiz:US born_x000D_
#spos:1_x000D_
#srcs:1_x000D_
#comment:1_x000D_
#events:1_x000D_
#kids:1_x000D_
lived:NCORANG,VA_x000D_
issue:_x000D_
.recs:Birth,Marriage,Death_x000D_
.imm?:no_x000D_
..Spo:JOSEPH WOODY</t>
        </r>
      </text>
    </comment>
    <comment ref="H9896" authorId="0" shapeId="0" xr:uid="{9F07CB12-AC4D-4553-944A-E61A54775B68}">
      <text>
        <r>
          <rPr>
            <sz val="9"/>
            <color indexed="81"/>
            <rFont val="Tahoma"/>
            <family val="2"/>
          </rPr>
          <t>RACHEL WOODY_x000D_
http://yeinfo.com/family/I09000101.html_x000D_
https://www.google.com/search?q=RACHEL+WOODY+1796+1850+CLENDENIN_x000D_
.born: 17960819-          Orange county North Carolina_x000D_
.died: 1850    -          Maury county Tennessee, age:53y 4m 13d, _x000D_
.bapt: 1785GE_x000D_
.will: 2004MO_x000D_
.obit: 1890OH_x000D_
.bury: 1850IL _x000D_
.wpbt: 1826PA_x000D_
.anc#:ancestor_x000D_
citiz:US born_x000D_
#spos:1_x000D_
#srcs:2_x000D_
#comment:1_x000D_
#events:4_x000D_
#kids:1_x000D_
lived:ILWILLI,NCORANG,TNMAURY_x000D_
issue:_x000D_
.recs:Birth,Marriage Intention/Bonds,Will Written,Death_x000D_
.imm?:no_x000D_
..Spo:THOMAS C. CLENDENIN</t>
        </r>
      </text>
    </comment>
    <comment ref="L9898" authorId="0" shapeId="0" xr:uid="{4BD8D5EA-0772-4075-A0B8-5BA6F5F43C0F}">
      <text>
        <r>
          <rPr>
            <sz val="9"/>
            <color indexed="81"/>
            <rFont val="Tahoma"/>
            <family val="2"/>
          </rPr>
          <t>JAMES HOLMES_x000D_
http://yeinfo.com/family/I09001624.html_x000D_
https://www.google.com/search?q=JAMES+HOLMES+1695+1749+SARAH+BARRY_x000D_
.born: 1695    -          Aberdeenshire county Scotland_x000D_
.died: 1749    -          Lancaster (Lancaster) Pennsylvania, age:54y 0m 0d, _x000D_
.bapt: 1785GE_x000D_
.will: 2004MO_x000D_
.obit: 1890OH_x000D_
.bury: 1850IL _x000D_
.wpbt: 1826PA_x000D_
.anc#:ancestor_x000D_
citiz:immigrant_x000D_
#spos:1_x000D_
#srcs:1_x000D_
#comment:1_x000D_
#events:2_x000D_
#kids:1_x000D_
lived:PACUMBEE.PENNS,PALANCALANCAST,STABERD_x000D_
issue:_x000D_
.recs:Birth,Marriage,Will Written,Death_x000D_
.imm?:immigrant_x000D_
..Spo:SARAH BARRY LYONS</t>
        </r>
      </text>
    </comment>
    <comment ref="K9900" authorId="0" shapeId="0" xr:uid="{69399665-535B-4587-8D67-A9CE17F1DE41}">
      <text>
        <r>
          <rPr>
            <sz val="9"/>
            <color indexed="81"/>
            <rFont val="Tahoma"/>
            <family val="2"/>
          </rPr>
          <t>JOHN HOLMES_x000D_
http://yeinfo.com/family/I09000812.html_x000D_
https://www.google.com/search?q=JOHN+HOLMES+1722+1812+&lt;?&gt;_x000D_
.born: 1722    -          Lancaster county Pennsylvania_x000D_
.died: 1812    -          Rowan county North Carolina, age:90y 0m 0d, _x000D_
.bapt: 1785GE_x000D_
.will: 2004MO_x000D_
.obit: 1890OH_x000D_
.bury: 1850IL _x000D_
.wpbt: 1826PA_x000D_
.anc#:ancestor_x000D_
citiz:US born_x000D_
#spos:1_x000D_
#srcs:1_x000D_
#comment:0_x000D_
#events:1_x000D_
#kids:1_x000D_
lived:NCROWAN,PALANCA_x000D_
issue:_x000D_
.recs:Birth,Marriage,Death_x000D_
.imm?:no_x000D_
..Spo:&lt;?&gt; HOLMES</t>
        </r>
      </text>
    </comment>
    <comment ref="L9902" authorId="0" shapeId="0" xr:uid="{81C253CC-4E35-46FB-A1AD-75FBCF7E07BA}">
      <text>
        <r>
          <rPr>
            <sz val="9"/>
            <color indexed="81"/>
            <rFont val="Tahoma"/>
            <family val="2"/>
          </rPr>
          <t>SARAH BARRY LYONS_x000D_
http://yeinfo.com/family/I09001625.html_x000D_
https://www.google.com/search?q=SARAH+BARRY+LYONS+1699+1745+HOLMES_x000D_
.born: 16990423-          Scotland_x000D_
.died: 1745    -          Lancaster county Pennsylvania, age:45y 8m 9d, _x000D_
.bapt: 1785GE_x000D_
.will: 2004MO_x000D_
.obit: 1890OH_x000D_
.bury: 1850IL _x000D_
.wpbt: 1826PA_x000D_
.anc#:ancestor_x000D_
citiz:immigrant_x000D_
#spos:1_x000D_
#srcs:1_x000D_
#comment:0_x000D_
#events:4_x000D_
#kids:1_x000D_
lived:PACUMBEE.PENNS,PALANCA,ST_x000D_
issue:_x000D_
.recs:Birth,Baptism,Marriage,Will Inclusion,Will Written,Death_x000D_
.imm?:immigrant_x000D_
..Spo:JAMES HOLMES</t>
        </r>
      </text>
    </comment>
    <comment ref="J9904" authorId="0" shapeId="0" xr:uid="{DA1935A1-0E40-4E50-AD27-22B89CA51373}">
      <text>
        <r>
          <rPr>
            <sz val="9"/>
            <color indexed="81"/>
            <rFont val="Tahoma"/>
            <family val="2"/>
          </rPr>
          <t>ROBERT HOLMES_x000D_
http://yeinfo.com/family/I09000406.html_x000D_
https://www.google.com/search?q=ROBERT+HOLMES+1743+1803+RACHAEL_x000D_
.born: 1743    -         ?North Carolina_x000D_
.died: 18030308-          Orange county North Carolina, age:60y 2m 7d, _x000D_
.bapt: 1785GE_x000D_
.will: 2004MO_x000D_
.obit: 1890OH_x000D_
.bury: 1850IL _x000D_
.wpbt: 1826PA_x000D_
.anc#:ancestor_x000D_
citiz:US born_x000D_
#spos:1_x000D_
#srcs:1_x000D_
#comment:0_x000D_
#events:2_x000D_
#kids:1_x000D_
lived:?NC,NCORANG_x000D_
issue:_x000D_
.recs:Birth,Marriage,Death_x000D_
.imm?:no_x000D_
..Spo:RACHAEL BRUCE</t>
        </r>
      </text>
    </comment>
    <comment ref="K9906" authorId="0" shapeId="0" xr:uid="{B1EBC36A-6620-4775-B6F0-1B9F3243976A}">
      <text>
        <r>
          <rPr>
            <sz val="9"/>
            <color indexed="81"/>
            <rFont val="Tahoma"/>
            <family val="2"/>
          </rPr>
          <t>Mrs. &lt;?&gt; HOLMES_x000D_
http://yeinfo.com/family/I09000813.html_x000D_
https://www.google.com/search?q=&lt;?&gt;+HOLMES+1722+1743+HOLMES_x000D_
.born: 1722    -         ?_x000D_
.died: 1743    -1807     ?, age:21y 0m 0d, _x000D_
.bapt: 1785GE_x000D_
.will: 2004MO_x000D_
.obit: 1890OH_x000D_
.bury: 1850IL _x000D_
.wpbt: 1826PA_x000D_
.anc#:ancestor_x000D_
citiz:US born_x000D_
#spos:1_x000D_
#srcs:1_x000D_
#comment:0_x000D_
#events:1_x000D_
#kids:1_x000D_
lived:_x000D_
issue:_x000D_
.recs:Birth,Marriage,Death_x000D_
.imm?:no_x000D_
..Spo:JOHN HOLMES</t>
        </r>
      </text>
    </comment>
    <comment ref="I9908" authorId="0" shapeId="0" xr:uid="{F45E7442-110C-4A84-8877-2FDA4B3F6C23}">
      <text>
        <r>
          <rPr>
            <sz val="9"/>
            <color indexed="81"/>
            <rFont val="Tahoma"/>
            <family val="2"/>
          </rPr>
          <t>JANE HOLMES_x000D_
http://yeinfo.com/family/I09000203.html_x000D_
https://www.google.com/search?q=JANE+HOLMES+1774+1856+WOODY_x000D_
.born: 17740518-          Orange county North Carolina_x000D_
.died: 18560116-          Santa Fe (Maury) Tennessee, age:81y 7m 29d, _x000D_
.bapt: 1785GE_x000D_
.will: 2004MO_x000D_
.obit: 1890OH_x000D_
.bury: 1850IL Woody Cemetery_x000D_
.wpbt: 1826PA_x000D_
.anc#:ancestor_x000D_
citiz:US born_x000D_
#spos:1_x000D_
#srcs:3_x000D_
#comment:1_x000D_
#events:4_x000D_
#kids:1_x000D_
lived:NCORANG,TNMAURYSANTAFE_x000D_
issue:_x000D_
.recs:Birth,Marriage Intention/Bonds,Death_x000D_
.imm?:no_x000D_
..Spo:SAMUEL THOMAS WOODY</t>
        </r>
      </text>
    </comment>
    <comment ref="L9910" authorId="0" shapeId="0" xr:uid="{3E380208-CEE9-4164-869B-2907C33F2623}">
      <text>
        <r>
          <rPr>
            <sz val="9"/>
            <color indexed="81"/>
            <rFont val="Tahoma"/>
            <family val="2"/>
          </rPr>
          <t>CHARLES BRUCE_x000D_
http://yeinfo.com/family/I09001628.html_x000D_
https://www.google.com/search?q=CHARLES+BRUCE+1664+1728+ELIZABETH_x000D_
.born: 166403  -          Scotland_x000D_
.died: 17281203-          Scotland, age:64y 9m 2d, _x000D_
.bapt: 1785GE_x000D_
.will: 2004MO_x000D_
.obit: 1890OH_x000D_
.bury: 1850IL _x000D_
.wpbt: 1826PA_x000D_
.anc#:ancestor_x000D_
citiz:foreign_x000D_
#spos:1_x000D_
#srcs:1_x000D_
#comment:1_x000D_
#events:1_x000D_
#kids:1_x000D_
lived:ST_x000D_
issue:_x000D_
.recs:Birth,Marriage,Death_x000D_
.imm?:no_x000D_
..Spo:ELIZABETH ROBB</t>
        </r>
      </text>
    </comment>
    <comment ref="K9912" authorId="0" shapeId="0" xr:uid="{DD82225D-BD37-4C1B-9C0B-69E97EE78BB7}">
      <text>
        <r>
          <rPr>
            <sz val="9"/>
            <color indexed="81"/>
            <rFont val="Tahoma"/>
            <family val="2"/>
          </rPr>
          <t>GEORGE C. BRUCE_x000D_
http://yeinfo.com/family/I09000814.html_x000D_
https://www.google.com/search?q=GEORGE+C.+BRUCE+1713+1797+ELIZABETH_x000D_
.born: 1713    -          Augusta county Virginia_x000D_
.died: 1797    -          Bland county Virginia, age:84y 0m 0d, _x000D_
.bapt: 1785GE_x000D_
.will: 2004MO_x000D_
.obit: 1890OH_x000D_
.bury: 1850IL _x000D_
.wpbt: 1826PA_x000D_
.anc#:ancestor_x000D_
citiz:US born_x000D_
#spos:1_x000D_
#srcs:1_x000D_
#comment:0_x000D_
#events:3_x000D_
#kids:1_x000D_
lived:VAAUGUS,VABLAND,VACULPE,VAORANG_x000D_
issue:_x000D_
.recs:Birth,Marriage,Deed_x000D_
.imm?:no_x000D_
..Spo:ELIZABETH QUINN</t>
        </r>
      </text>
    </comment>
    <comment ref="L9914" authorId="0" shapeId="0" xr:uid="{F4B1DC2A-4C70-4FD4-BA13-EF14D3B23934}">
      <text>
        <r>
          <rPr>
            <sz val="9"/>
            <color indexed="81"/>
            <rFont val="Tahoma"/>
            <family val="2"/>
          </rPr>
          <t>ELIZABETH ROBB_x000D_
http://yeinfo.com/family/I09001629.html_x000D_
https://www.google.com/search?q=ELIZABETH+ROBB+1664+1713+BRUCE_x000D_
.born: 1664    -          Scotland_x000D_
.died: 1713    -1750     ?Scotland, age:49y 0m 0d, _x000D_
.bapt: 1785GE_x000D_
.will: 2004MO_x000D_
.obit: 1890OH_x000D_
.bury: 1850IL _x000D_
.wpbt: 1826PA_x000D_
.anc#:ancestor_x000D_
citiz:foreign_x000D_
#spos:1_x000D_
#srcs:1_x000D_
#comment:0_x000D_
#events:1_x000D_
#kids:1_x000D_
lived:ST_x000D_
issue:_x000D_
.recs:Birth,Marriage,Death_x000D_
.imm?:no_x000D_
..Spo:CHARLES BRUCE</t>
        </r>
      </text>
    </comment>
    <comment ref="J9916" authorId="0" shapeId="0" xr:uid="{78C84882-CE89-4D1A-B14B-A4CBD7844637}">
      <text>
        <r>
          <rPr>
            <sz val="9"/>
            <color indexed="81"/>
            <rFont val="Tahoma"/>
            <family val="2"/>
          </rPr>
          <t>RACHAEL BRUCE_x000D_
http://yeinfo.com/family/I09000407.html_x000D_
https://www.google.com/search?q=RACHAEL+BRUCE+1745+1835+HOLMES_x000D_
.born: 17450206-          Mecklenburg county Virginia_x000D_
.died: 1835    -          Mecklenburg county Virginia, age:89y 10m 26d, _x000D_
.bapt: 1785GE_x000D_
.will: 2004MO_x000D_
.obit: 1890OH_x000D_
.bury: 1850IL _x000D_
.wpbt: 1826PA_x000D_
.anc#:ancestor_x000D_
citiz:US born_x000D_
#spos:1_x000D_
#srcs:1_x000D_
#comment:0_x000D_
#events:1_x000D_
#kids:1_x000D_
lived:NCORANG,VAMECKL_x000D_
issue:_x000D_
.recs:Birth,Marriage,Death_x000D_
.imm?:no_x000D_
..Spo:ROBERT HOLMES</t>
        </r>
      </text>
    </comment>
    <comment ref="L9918" authorId="0" shapeId="0" xr:uid="{637B8F2E-EAC1-4434-B3DA-0EFC07C20E6B}">
      <text>
        <r>
          <rPr>
            <sz val="9"/>
            <color indexed="81"/>
            <rFont val="Tahoma"/>
            <family val="2"/>
          </rPr>
          <t>DARBY QUINN_x000D_
http://yeinfo.com/family/I09001630.html_x000D_
https://www.google.com/search?q=DARBY+QUINN+1680+1756+ELIZABETH+MARY_x000D_
.born: 1680    -          Ireland_x000D_
.died: 17560916-          Culpeper county Virginia, age:76y 8m 15d, _x000D_
.bapt: 1785GE_x000D_
.will: 2004MO_x000D_
.obit: 1890OH_x000D_
.bury: 1850IL _x000D_
.wpbt: 1826PA_x000D_
.anc#:ancestor_x000D_
citiz:immigrant_x000D_
#spos:1_x000D_
#srcs:1_x000D_
#comment:1_x000D_
#events:3_x000D_
#kids:1_x000D_
lived:IR,VACULPE,VAORANG_x000D_
issue:_x000D_
.recs:Birth,Marriage,Deed_x000D_
.imm?:immigrant_x000D_
..Spo:ELIZABETH MARY ASHWORTH</t>
        </r>
      </text>
    </comment>
    <comment ref="K9920" authorId="0" shapeId="0" xr:uid="{A6EE668F-3271-451E-B49F-44F4DD480FA6}">
      <text>
        <r>
          <rPr>
            <sz val="9"/>
            <color indexed="81"/>
            <rFont val="Tahoma"/>
            <family val="2"/>
          </rPr>
          <t>ELIZABETH QUINN_x000D_
http://yeinfo.com/family/I09000815.html_x000D_
https://www.google.com/search?q=ELIZABETH+QUINN+1720+1793+BRUCE_x000D_
.born: 17200101-          Culpeper county Virginia_x000D_
.died: 17930913-          Winchester (Frederick) Virginia, age:73y 8m 12d, _x000D_
.bapt: 1785GE_x000D_
.will: 2004MO_x000D_
.obit: 1890OH_x000D_
.bury: 1850IL _x000D_
.wpbt: 1826PA_x000D_
.anc#:ancestor_x000D_
citiz:US born_x000D_
#spos:1_x000D_
#srcs:1_x000D_
#comment:0_x000D_
#events:3_x000D_
#kids:1_x000D_
lived:VACULPE,VAFREDEWINCHES,VAORANG_x000D_
issue:_x000D_
.recs:Birth,Marriage,Deed_x000D_
.imm?:no_x000D_
..Spo:GEORGE C. BRUCE</t>
        </r>
      </text>
    </comment>
    <comment ref="L9922" authorId="0" shapeId="0" xr:uid="{AD9551A0-558E-415F-A3B8-B9C56DD3C010}">
      <text>
        <r>
          <rPr>
            <sz val="9"/>
            <color indexed="81"/>
            <rFont val="Tahoma"/>
            <family val="2"/>
          </rPr>
          <t>ELIZABETH MARY ASHWORTH_x000D_
http://yeinfo.com/family/I09001631.html_x000D_
https://www.google.com/search?q=ELIZABETH+MARY+ASHWORTH+1689+1754+QUINN_x000D_
.born: 16890105-          Rochdale (Lancashire) England_x000D_
.died: 17541221-          Culpeper county Virginia, age:65y 11m 16d, _x000D_
.bapt: 1785GE_x000D_
.will: 2004MO_x000D_
.obit: 1890OH_x000D_
.bury: 1850IL _x000D_
.wpbt: 1826PA_x000D_
.anc#:ancestor_x000D_
citiz:immigrant_x000D_
#spos:1_x000D_
#srcs:1_x000D_
#comment:0_x000D_
#events:2_x000D_
#kids:1_x000D_
lived:ENLANCSROCHDAL,VACULPE_x000D_
issue:_x000D_
.recs:Birth,Baptism,Marriage,Death_x000D_
.imm?:immigrant_x000D_
..Spo:DARBY QUINN</t>
        </r>
      </text>
    </comment>
    <comment ref="F9924" authorId="0" shapeId="0" xr:uid="{D85951C4-F9A6-4ACF-AAE5-ECDBC1A3F6F5}">
      <text>
        <r>
          <rPr>
            <sz val="9"/>
            <color indexed="81"/>
            <rFont val="Tahoma"/>
            <family val="2"/>
          </rPr>
          <t>ELIZABETH ANN CLENDENIN_x000D_
http://yeinfo.com/family/I09000025.html_x000D_
https://www.google.com/search?q=ELIZABETH+ANN+CLENDENIN+1843+1919+DEATON_x000D_
.born: 18431113-          Tennessee_x000D_
.died: 19191128-          Memphis (Shelby) Tennessee, age:76y 0m 15d, apoplexy_x000D_
.bapt: 1785GE_x000D_
.will: 2004MO_x000D_
.obit: 1890OH_x000D_
.bury: 1850IL Elmwood Cemetery plot 400_x000D_
.wpbt: 1826PA_x000D_
.anc#:ancestor_x000D_
citiz:US born_x000D_
#spos:1_x000D_
#srcs:12_x000D_
#comment:2_x000D_
#events:10_x000D_
#kids:12_x000D_
lived:ILJOHNNVIENNA,TNCROCK,TNMAURY,TNMCNAI,TNSHELBMEMPHIS_x000D_
issue:_x000D_
.recs:Birth,Marriage,Death,Interment/Burial_x000D_
.imm?:no_x000D_
..Spo:WILLIAM HAROLD DEATON</t>
        </r>
      </text>
    </comment>
    <comment ref="G9926" authorId="0" shapeId="0" xr:uid="{5AA3A58B-9155-475D-B45F-56437CD77B9B}">
      <text>
        <r>
          <rPr>
            <sz val="9"/>
            <color indexed="81"/>
            <rFont val="Tahoma"/>
            <family val="2"/>
          </rPr>
          <t>MARIA MAYS_x000D_
http://yeinfo.com/family/I09000051.html_x000D_
https://www.google.com/search?q=MARIA+MAYS+1822+1870+CLENDENIN_x000D_
.born: 18221117-          Tennessee_x000D_
.died: 1870    -1879     ?McNairy county Tennessee, age:47y 1m 15d, _x000D_
.bapt: 1785GE_x000D_
.will: 2004MO_x000D_
.obit: 1890OH_x000D_
.bury: 1850IL _x000D_
.wpbt: 1826PA_x000D_
.anc#:ancestor_x000D_
citiz:US born_x000D_
#spos:1_x000D_
#srcs:7_x000D_
#comment:2_x000D_
#events:4_x000D_
#kids:1_x000D_
lived:ILJOHNN,TNMAURY,TNMCNAI_x000D_
issue:_x000D_
.recs:Birth,Marriage,Death_x000D_
.imm?:no_x000D_
..Spo:SAMUEL G. CLENDENIN</t>
        </r>
      </text>
    </comment>
    <comment ref="D9928" authorId="0" shapeId="0" xr:uid="{66A97365-C190-4BA0-9C92-F4F4F8748F97}">
      <text>
        <r>
          <rPr>
            <sz val="9"/>
            <color indexed="81"/>
            <rFont val="Tahoma"/>
            <family val="2"/>
          </rPr>
          <t>CHARLES FRANKLIN DEATON_x000D_
http://yeinfo.com/family/I09000006.html_x000D_
https://www.google.com/search?q=CHARLES+FRANKLIN+DEATON+1889+1972+ANNA+MAE_x000D_
.born: 18890811-          Memphis (Shelby) Tennessee_x000D_
.died: 19721128-          Memphis (Shelby) Tennessee, age:83y 3m 17d, _x000D_
.bapt: 1785GE_x000D_
.will: 2004MO_x000D_
.obit: 1890OH_x000D_
.bury: 1850IL Calvary Cemetery section 10_x000D_
.wpbt: 1826PA_x000D_
.anc#:ancestor_x000D_
citiz:US born_x000D_
#spos:1_x000D_
#srcs:8_x000D_
#comment:3_x000D_
#events:20_x000D_
#kids:4_x000D_
lived:TNSHELBMEMPHIS_x000D_
issue:_x000D_
.recs:Birth,Military,Marriage Intention/Bonds,Job/Occupation,Death,Obituary,Land Transaction,Image_x000D_
.imm?:no_x000D_
..Spo:ANNA MAE CAREY</t>
        </r>
      </text>
    </comment>
    <comment ref="I9930" authorId="0" shapeId="0" xr:uid="{16130287-649A-4BD8-871F-26B7CC80687D}">
      <text>
        <r>
          <rPr>
            <sz val="9"/>
            <color indexed="81"/>
            <rFont val="Tahoma"/>
            <family val="2"/>
          </rPr>
          <t>OLTMANN BUHR_x000D_
http://yeinfo.com/family/I09000208.html_x000D_
https://www.google.com/search?q=OLTMANN+BUHR+1740+1784+GEBKE_x000D_
.born:?1740    -          Germany_x000D_
.died: 1784    -1830     ?, age:44y 0m 0d, _x000D_
.bapt: 1785GE_x000D_
.will: 2004MO_x000D_
.obit: 1890OH_x000D_
.bury: 1850IL _x000D_
.wpbt: 1826PA_x000D_
.anc#:ancestor_x000D_
citiz:US born_x000D_
#spos:1_x000D_
#srcs:1_x000D_
#comment:0_x000D_
#events:1_x000D_
#kids:1_x000D_
lived:GE_x000D_
issue:_x000D_
.recs:Birth,Marriage,Death_x000D_
.imm?:no_x000D_
..Spo:GEBKE HANKEN</t>
        </r>
      </text>
    </comment>
    <comment ref="H9932" authorId="0" shapeId="0" xr:uid="{01D04F05-E311-4BC6-A3BF-0D69AE0DCBBA}">
      <text>
        <r>
          <rPr>
            <sz val="9"/>
            <color indexed="81"/>
            <rFont val="Tahoma"/>
            <family val="2"/>
          </rPr>
          <t>JOHANN FRIEDRICH BUHR_x000D_
http://yeinfo.com/family/I09000104.html_x000D_
https://www.google.com/search?q=JOHANN+FRIEDRICH+BUHR+1784+1845+WUBKE+MARGARETHE_x000D_
.born: 17841010-          Germany_x000D_
.died: 18450718-          Washington county Illinois, age:60y 9m 8d, _x000D_
.bapt: 1785GE_x000D_
.will: 2004MO_x000D_
.obit: 1890OH_x000D_
.bury: 1850IL St. John's United Church_x000D_
.wpbt: 1826PA_x000D_
.anc#:ancestor_x000D_
citiz:immigrant_x000D_
#spos:1_x000D_
#srcs:1_x000D_
#comment:1_x000D_
#events:5_x000D_
#kids:7_x000D_
lived:GE,ILWASHIJOHANNI_x000D_
issue:_x000D_
.recs:Birth,Baptism,Marriage,Ship Passenger List,Death,Interment/Burial,Obituary_x000D_
.imm?:immigrant_x000D_
..Spo:WUBKE MARGARETHE JANSSEN</t>
        </r>
      </text>
    </comment>
    <comment ref="I9934" authorId="0" shapeId="0" xr:uid="{3D8A2C28-7B23-4934-9C4F-B3F0A03FA64D}">
      <text>
        <r>
          <rPr>
            <sz val="9"/>
            <color indexed="81"/>
            <rFont val="Tahoma"/>
            <family val="2"/>
          </rPr>
          <t>GEBKE HANKEN_x000D_
http://yeinfo.com/family/I09000209.html_x000D_
https://www.google.com/search?q=GEBKE+HANKEN+1744+1821+BUHR_x000D_
.born: 17440607-          Germany_x000D_
.died: 18210622-          Germany, age:77y 0m 15d,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..Spo:OLTMANN BUHR</t>
        </r>
      </text>
    </comment>
    <comment ref="G9936" authorId="0" shapeId="0" xr:uid="{709B67BB-D8C9-4E90-873B-94711ACAA25C}">
      <text>
        <r>
          <rPr>
            <sz val="9"/>
            <color indexed="81"/>
            <rFont val="Tahoma"/>
            <family val="2"/>
          </rPr>
          <t>FREDERICH BUHR_x000D_
http://yeinfo.com/family/I09000052.html_x000D_
https://www.google.com/search?q=FREDERICH+BUHR+1811+1859+HELENA_x000D_
.born: 18110818-          Germany_x000D_
.died: 18591025-          Johannisburg (Washington) Illinois, age:48y 2m 7d, _x000D_
.bapt: 1785GE_x000D_
.will: 2004MO_x000D_
.obit: 1890OH_x000D_
.bury: 1850IL _x000D_
.wpbt: 1826PA_x000D_
.anc#:ancestor_x000D_
citiz:immigrant_x000D_
#spos:1_x000D_
#srcs:3_x000D_
#comment:2_x000D_
#events:5_x000D_
#kids:7_x000D_
lived:GE,ILWASHIJOHANNI_x000D_
issue:_x000D_
.recs:Birth,Death,Church,Immigrate_x000D_
.imm?:immigrant_x000D_
..Spo:HELENA OLTJENDIERS</t>
        </r>
      </text>
    </comment>
    <comment ref="I9938" authorId="0" shapeId="0" xr:uid="{8D0340CA-0171-4448-9086-37CC996A2C04}">
      <text>
        <r>
          <rPr>
            <sz val="9"/>
            <color indexed="81"/>
            <rFont val="Tahoma"/>
            <family val="2"/>
          </rPr>
          <t>JOHANN FRIEDERICH JANSSEN_x000D_
http://yeinfo.com/family/I09000210.html_x000D_
https://www.google.com/search?q=JOHANN+FRIEDERICH+JANSSEN+1752+1837+TALKE_x000D_
.born: 17521203-          Germany_x000D_
.died: 18370806-          Germany, age:84y 8m 3d, _x000D_
.bapt: 1785GE_x000D_
.will: 2004MO_x000D_
.obit: 1890OH_x000D_
.bury: 1850IL _x000D_
.wpbt: 1826PA_x000D_
.anc#:ancestor_x000D_
citiz:foreign_x000D_
#spos:1_x000D_
#srcs:1_x000D_
#comment:1_x000D_
#events:1_x000D_
#kids:1_x000D_
lived:GE_x000D_
issue:_x000D_
.recs:Birth,Marriage,Death_x000D_
.imm?:no_x000D_
..Spo:TALKE EILERS-BRAHIE</t>
        </r>
      </text>
    </comment>
    <comment ref="H9940" authorId="0" shapeId="0" xr:uid="{C8E15065-86AF-4DEE-8BE5-EEB12D614FE5}">
      <text>
        <r>
          <rPr>
            <sz val="9"/>
            <color indexed="81"/>
            <rFont val="Tahoma"/>
            <family val="2"/>
          </rPr>
          <t>WUBKE MARGARETHE JANSSEN_x000D_
http://yeinfo.com/family/I09000105.html_x000D_
https://www.google.com/search?q=WUBKE+MARGARETHE+JANSSEN+1783+1847+BUHR_x000D_
.born: 17830605-          Germany_x000D_
.died: 18470216-          Germany, age:63y 8m 11d, _x000D_
.bapt: 1785GE_x000D_
.will: 2004MO_x000D_
.obit: 1890OH_x000D_
.bury: 1850IL _x000D_
.wpbt: 1826PA_x000D_
.anc#:ancestor_x000D_
citiz:foreign_x000D_
#spos:1_x000D_
#srcs:1_x000D_
#comment:1_x000D_
#events:3_x000D_
#kids:7_x000D_
lived:GE,ILWASHI_x000D_
issue:_x000D_
.recs:Birth,Marriage,Ship Passenger List,Deed_x000D_
.imm?:no_x000D_
..Spo:JOHANN FRIEDRICH BUHR</t>
        </r>
      </text>
    </comment>
    <comment ref="I9942" authorId="0" shapeId="0" xr:uid="{410463B9-1772-4473-8121-8938A9668E36}">
      <text>
        <r>
          <rPr>
            <sz val="9"/>
            <color indexed="81"/>
            <rFont val="Tahoma"/>
            <family val="2"/>
          </rPr>
          <t>TALKE EILERS-BRAHIE_x000D_
http://yeinfo.com/family/I09000211.html_x000D_
https://www.google.com/search?q=TALKE+EILERS-BRAHIE+1763+1783+JANSSEN_x000D_
.born:?1763    -          Germany_x000D_
.died: 1783    -1850     ?, age:20y 0m 0d, _x000D_
.bapt: 1785GE_x000D_
.will: 2004MO_x000D_
.obit: 1890OH_x000D_
.bury: 1850IL _x000D_
.wpbt: 1826PA_x000D_
.anc#:ancestor_x000D_
citiz:US born_x000D_
#spos:1_x000D_
#srcs:1_x000D_
#comment:1_x000D_
#events:1_x000D_
#kids:1_x000D_
lived:GE_x000D_
issue:_x000D_
.recs:Birth,Marriage,Death_x000D_
.imm?:no_x000D_
..Spo:JOHANN FRIEDERICH JANSSEN</t>
        </r>
      </text>
    </comment>
    <comment ref="F9944" authorId="0" shapeId="0" xr:uid="{280ED3E9-4B1D-461C-8FD5-A6CB3C071AF6}">
      <text>
        <r>
          <rPr>
            <sz val="9"/>
            <color indexed="81"/>
            <rFont val="Tahoma"/>
            <family val="2"/>
          </rPr>
          <t>WILLIAM DIETRICH BUHR_x000D_
http://yeinfo.com/family/I09000026.html_x000D_
https://www.google.com/search?q=WILLIAM+DIETRICH+BUHR+1844+1887+MARTHA+R._x000D_
.born: 18440406-          Plum Hill (Washington) Illinois_x000D_
.died: 18870207-          Springfield (Greene) Missouri, age:42y 10m 1d, _x000D_
.bapt: 1785GE_x000D_
.will: 2004MO_x000D_
.obit: 1890OH_x000D_
.bury: 1850IL _x000D_
.wpbt: 1826PA_x000D_
.anc#:ancestor_x000D_
citiz:US born_x000D_
#spos:2_x000D_
#srcs:3_x000D_
#comment:1_x000D_
#events:12_x000D_
#kids:4_x000D_
lived:ARPIKE WHITE,ILMARIOCENTRAA,ILST.CL,ILWASHIPLUMHIL,ILWASHIRAINBRG,MOGRENESPRINGF,TN_x000D_
issue:_x000D_
.recs:Birth,Military,Marriage,Death,Land Transaction,Image_x000D_
.imm?:no_x000D_
..Spo:MARTHA R. RAGLAND</t>
        </r>
      </text>
    </comment>
    <comment ref="J9946" authorId="0" shapeId="0" xr:uid="{C862DD31-A0B2-4453-AFDE-45A4589FF0A7}">
      <text>
        <r>
          <rPr>
            <sz val="9"/>
            <color indexed="81"/>
            <rFont val="Tahoma"/>
            <family val="2"/>
          </rPr>
          <t>JOHANN OLTJENDIERS_x000D_
http://yeinfo.com/family/I09000424.html_x000D_
https://www.google.com/search?q=JOHANN+OLTJENDIERS+1721+1761+TALKE_x000D_
.born: 1721    -         ?Germany_x000D_
.died: 1761    -1810     ?Germany, age:40y 0m 0d, _x000D_
.bapt: 1785GE_x000D_
.will: 2004MO_x000D_
.obit: 1890OH_x000D_
.bury: 1850IL _x000D_
.wpbt: 1826PA_x000D_
.anc#:ancestor_x000D_
citiz:foreign_x000D_
#spos:1_x000D_
#srcs:1_x000D_
#comment:0_x000D_
#events:1_x000D_
#kids:5_x000D_
lived:?GE_x000D_
issue:_x000D_
.recs:Birth,Marriage,Death_x000D_
.imm?:no_x000D_
..Spo:TALKE OLTJENDIERS</t>
        </r>
      </text>
    </comment>
    <comment ref="I9948" authorId="0" shapeId="0" xr:uid="{A4A8E84F-9591-4728-BF1E-B21B0A2F271C}">
      <text>
        <r>
          <rPr>
            <sz val="9"/>
            <color indexed="81"/>
            <rFont val="Tahoma"/>
            <family val="2"/>
          </rPr>
          <t>DIERK OLTJENDIERS Sr._x000D_
http://yeinfo.com/family/I09000212.html_x000D_
https://www.google.com/search?q=DIERK+OLTJENDIERS+1761+1835+HELENA_x000D_
.born: 17610106-          Germany_x000D_
.died: 1835    -          Germany, age:73y 11m 26d, _x000D_
.bapt: 1785GE_x000D_
.will: 2004MO_x000D_
.obit: 1890OH_x000D_
.bury: 1850IL _x000D_
.wpbt: 1826PA_x000D_
.anc#:ancestor_x000D_
citiz:foreign_x000D_
#spos:1_x000D_
#srcs:2_x000D_
#comment:1_x000D_
#events:4_x000D_
#kids:5_x000D_
lived:GE_x000D_
issue:Married before Age 16_x000D_
.recs:Birth,Baptism,Marriage,Death_x000D_
.imm?:no_x000D_
..Spo:HELENA STAHMER</t>
        </r>
      </text>
    </comment>
    <comment ref="J9950" authorId="0" shapeId="0" xr:uid="{CB1F552D-272C-41D1-8A9E-97F5B1045064}">
      <text>
        <r>
          <rPr>
            <sz val="9"/>
            <color indexed="81"/>
            <rFont val="Tahoma"/>
            <family val="2"/>
          </rPr>
          <t>Mrs. TALKE OLTJENDIERS_x000D_
http://yeinfo.com/family/I09000425.html_x000D_
https://www.google.com/search?q=TALKE+OLTJENDIERS+1730+1761+OLTJENDIERS_x000D_
.born:?1730    -         ?Germany_x000D_
.died: 1761    -1810     ?Germany, age:31y 0m 0d, _x000D_
.bapt: 1785GE_x000D_
.will: 2004MO_x000D_
.obit: 1890OH_x000D_
.bury: 1850IL _x000D_
.wpbt: 1826PA_x000D_
.anc#:ancestor_x000D_
citiz:foreign_x000D_
#spos:1_x000D_
#srcs:1_x000D_
#comment:0_x000D_
#events:1_x000D_
#kids:5_x000D_
lived:?GE_x000D_
issue:_x000D_
.recs:Birth,Marriage,Death_x000D_
.imm?:no_x000D_
..Spo:JOHANN OLTJENDIERS</t>
        </r>
      </text>
    </comment>
    <comment ref="H9952" authorId="0" shapeId="0" xr:uid="{301DD78F-4502-45B5-B95A-E904CD4CDFB3}">
      <text>
        <r>
          <rPr>
            <sz val="9"/>
            <color indexed="81"/>
            <rFont val="Tahoma"/>
            <family val="2"/>
          </rPr>
          <t>DIERK OLTJENDIERS Jr._x000D_
http://yeinfo.com/family/I09000106.html_x000D_
https://www.google.com/search?q=DIERK+OLTJENDIERS+1792+1872+CATHARINE+MARGARETHE_x000D_
.born: 17921130-          Germany_x000D_
.died: 1872    -1880     ?, age:79y 1m 2d, _x000D_
.bapt: 1785GE_x000D_
.will: 2004MO_x000D_
.obit: 1890OH_x000D_
.bury: 1850IL _x000D_
.wpbt: 1826PA_x000D_
.anc#:ancestor_x000D_
citiz:US born_x000D_
#spos:1_x000D_
#srcs:2_x000D_
#comment:1_x000D_
#events:2_x000D_
#kids:5_x000D_
lived:GE_x000D_
issue:Born before Parents Married,Died after Age 100_x000D_
.recs:Birth,Marriage,Death_x000D_
.imm?:no_x000D_
..Spo:CATHARINE MARGARETHE SANDERS</t>
        </r>
      </text>
    </comment>
    <comment ref="I9954" authorId="0" shapeId="0" xr:uid="{2BCE845D-4FE0-4EB3-AAD1-D438FE80DDE2}">
      <text>
        <r>
          <rPr>
            <sz val="9"/>
            <color indexed="81"/>
            <rFont val="Tahoma"/>
            <family val="2"/>
          </rPr>
          <t>HELENA STAHMER_x000D_
http://yeinfo.com/family/I09000213.html_x000D_
https://www.google.com/search?q=HELENA+STAHMER+1760+1833+OLTJENDIERS_x000D_
.born: 17601225-          Germany_x000D_
.died: 18331030-          Germany, age:72y 10m 5d, _x000D_
.bapt: 1785GE_x000D_
.will: 2004MO_x000D_
.obit: 1890OH_x000D_
.bury: 1850IL _x000D_
.wpbt: 1826PA_x000D_
.anc#:ancestor_x000D_
citiz:foreign_x000D_
#spos:1_x000D_
#srcs:2_x000D_
#comment:1_x000D_
#events:3_x000D_
#kids:5_x000D_
lived:GE_x000D_
issue:Married before Age 16_x000D_
.recs:Birth,Baptism,Marriage,Death_x000D_
.imm?:no_x000D_
..Spo:DIERK OLTJENDIERS</t>
        </r>
      </text>
    </comment>
    <comment ref="G9956" authorId="0" shapeId="0" xr:uid="{58652F0F-EA66-403F-9E9B-84FCE67DF0F5}">
      <text>
        <r>
          <rPr>
            <sz val="9"/>
            <color indexed="81"/>
            <rFont val="Tahoma"/>
            <family val="2"/>
          </rPr>
          <t>HELENA OLTJENDIERS_x000D_
http://yeinfo.com/family/I09000053.html_x000D_
https://www.google.com/search?q=HELENA+OLTJENDIERS+1816+1853+BUHR_x000D_
.born: 18160227-          Germany_x000D_
.died: 18530423-          Johannisburg (Washington) Illinois, age:37y 1m 27d, died from childbirth_x000D_
.bapt: 1785GE_x000D_
.will: 2004MO_x000D_
.obit: 1890OH_x000D_
.bury: 1850IL St. John's United Church of Christ_x000D_
.wpbt: 1826PA_x000D_
.anc#:ancestor_x000D_
citiz:immigrant_x000D_
#spos:1_x000D_
#srcs:2_x000D_
#comment:2_x000D_
#events:4_x000D_
#kids:7_x000D_
lived:GE,ILWASHIJOHANNI_x000D_
issue:_x000D_
.recs:Birth,Marriage,Death,Interment/Burial,Church_x000D_
.imm?:immigrant_x000D_
..Spo:FREDERICH BUHR</t>
        </r>
      </text>
    </comment>
    <comment ref="K9958" authorId="0" shapeId="0" xr:uid="{96B9B264-12A8-4738-BE82-D1115155C0C7}">
      <text>
        <r>
          <rPr>
            <sz val="9"/>
            <color indexed="81"/>
            <rFont val="Tahoma"/>
            <family val="2"/>
          </rPr>
          <t>EILERT SANDERS_x000D_
http://yeinfo.com/family/I09000856.html_x000D_
https://www.google.com/search?q=EILERT+SANDERS+1687+1727+GESCHE_x000D_
.born: 16870325-          Germany_x000D_
.died: 17270205-          Germany, age:39y 10m 11d, _x000D_
.bapt: 1785GE_x000D_
.will: 2004MO_x000D_
.obit: 1890OH_x000D_
.bury: 1850IL _x000D_
.wpbt: 1826PA_x000D_
.anc#:ancestor_x000D_
citiz:foreign_x000D_
#spos:1_x000D_
#srcs:1_x000D_
#comment:1_x000D_
#events:1_x000D_
#kids:1_x000D_
lived:GE_x000D_
issue:_x000D_
.recs:Birth,Marriage,Death_x000D_
.imm?:no_x000D_
..Spo:GESCHE KLOSTERMANN</t>
        </r>
      </text>
    </comment>
    <comment ref="J9960" authorId="0" shapeId="0" xr:uid="{898DB10D-6595-479E-B73B-E49B8CFAC930}">
      <text>
        <r>
          <rPr>
            <sz val="9"/>
            <color indexed="81"/>
            <rFont val="Tahoma"/>
            <family val="2"/>
          </rPr>
          <t>JOHANN FRIEDRICH SANDERS_x000D_
http://yeinfo.com/family/I09000428.html_x000D_
https://www.google.com/search?q=JOHANN+FRIEDRICH+SANDERS+1714+1785+THALKE_x000D_
.born: 17141120-          Germany_x000D_
.died: 17850203-          Germany, age:70y 2m 14d,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..Spo:THALKE BRUMUND</t>
        </r>
      </text>
    </comment>
    <comment ref="K9962" authorId="0" shapeId="0" xr:uid="{B41BD592-980A-49DA-8A53-7B1D80C8853E}">
      <text>
        <r>
          <rPr>
            <sz val="9"/>
            <color indexed="81"/>
            <rFont val="Tahoma"/>
            <family val="2"/>
          </rPr>
          <t>GESCHE KLOSTERMANN_x000D_
http://yeinfo.com/family/I09000857.html_x000D_
https://www.google.com/search?q=GESCHE+KLOSTERMANN+1677+1740+SANDERS_x000D_
.born: 16771003-          Germany_x000D_
.died: 17400630-          Germany, age:62y 8m 27d,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..Spo:EILERT SANDERS</t>
        </r>
      </text>
    </comment>
    <comment ref="I9964" authorId="0" shapeId="0" xr:uid="{732810B0-D6FE-44C6-B7E7-79D51C395EC0}">
      <text>
        <r>
          <rPr>
            <sz val="9"/>
            <color indexed="81"/>
            <rFont val="Tahoma"/>
            <family val="2"/>
          </rPr>
          <t>JOHANN ADAM SANDERS_x000D_
http://yeinfo.com/family/I09000214.html_x000D_
https://www.google.com/search?q=JOHANN+ADAM+SANDERS+1760+1817+TRINA+MARGARETE_x000D_
.born: 17601126-          Germany_x000D_
.died: 18170129-          Germany, age:56y 2m 3d, _x000D_
.bapt: 1785GE_x000D_
.will: 2004MO_x000D_
.obit: 1890OH_x000D_
.bury: 1850IL Westerstede, Oldenburg_x000D_
.wpbt: 1826PA_x000D_
.anc#:ancestor_x000D_
citiz:foreign_x000D_
#spos:1_x000D_
#srcs:1_x000D_
#comment:0_x000D_
#events:3_x000D_
#kids:10_x000D_
lived:GE_x000D_
issue:_x000D_
.recs:Birth,Baptism,Marriage,Death,Interment/Burial_x000D_
.imm?:no_x000D_
..Spo:TRINA MARGARETE DIERS</t>
        </r>
      </text>
    </comment>
    <comment ref="J9966" authorId="0" shapeId="0" xr:uid="{A84E47BD-D685-403A-83DD-742A91EFCDDD}">
      <text>
        <r>
          <rPr>
            <sz val="9"/>
            <color indexed="81"/>
            <rFont val="Tahoma"/>
            <family val="2"/>
          </rPr>
          <t>THALKE BRUMUND_x000D_
http://yeinfo.com/family/I09000429.html_x000D_
https://www.google.com/search?q=THALKE+BRUMUND+1721+1784+SANDERS_x000D_
.born: 17210101-          Germany_x000D_
.died: 17840330-          Germany, age:63y 2m 29d,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..Spo:JOHANN FRIEDRICH SANDERS</t>
        </r>
      </text>
    </comment>
    <comment ref="H9968" authorId="0" shapeId="0" xr:uid="{6F375624-FB14-4A6F-AE60-078E0763C657}">
      <text>
        <r>
          <rPr>
            <sz val="9"/>
            <color indexed="81"/>
            <rFont val="Tahoma"/>
            <family val="2"/>
          </rPr>
          <t>CATHARINE MARGARETHE SANDERS_x000D_
http://yeinfo.com/family/I09000107.html_x000D_
https://www.google.com/search?q=CATHARINE+MARGARETHE+SANDERS+1796+1858+OLTJENDIERS_x000D_
.born: 17960731-          Germany_x000D_
.died: 18580412-          Germany, age:61y 8m 12d, _x000D_
.bapt: 1785GE_x000D_
.will: 2004MO_x000D_
.obit: 1890OH_x000D_
.bury: 1850IL _x000D_
.wpbt: 1826PA_x000D_
.anc#:ancestor_x000D_
citiz:foreign_x000D_
#spos:1_x000D_
#srcs:2_x000D_
#comment:2_x000D_
#events:2_x000D_
#kids:5_x000D_
lived:GE_x000D_
issue:Died after Age 100_x000D_
.recs:Birth,Death,Immigrate_x000D_
.imm?:no_x000D_
..Spo:DIERK OLTJENDIERS</t>
        </r>
      </text>
    </comment>
    <comment ref="J9970" authorId="0" shapeId="0" xr:uid="{65B6AEFB-D80D-4D45-86B1-CFA88EA176F7}">
      <text>
        <r>
          <rPr>
            <sz val="9"/>
            <color indexed="81"/>
            <rFont val="Tahoma"/>
            <family val="2"/>
          </rPr>
          <t>JOHANN JACOB LUDEWIG_x000D_
http://yeinfo.com/family/I09000430.html_x000D_
https://www.google.com/search?q=JOHANN+JACOB+LUDEWIG+1716+1760+ANNA+MARGARETHE_x000D_
.born:?1716    -          Germany_x000D_
.died: 1760    -1805     ?Germany, age:44y 0m 0d,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..Spo:ANNA MARGARETHE DIERS</t>
        </r>
      </text>
    </comment>
    <comment ref="I9972" authorId="0" shapeId="0" xr:uid="{D273F349-0B83-406C-809F-A2237072E9BC}">
      <text>
        <r>
          <rPr>
            <sz val="9"/>
            <color indexed="81"/>
            <rFont val="Tahoma"/>
            <family val="2"/>
          </rPr>
          <t>TRINA MARGARETE DIERS_x000D_
http://yeinfo.com/family/I09000215.html_x000D_
https://www.google.com/search?q=TRINA+MARGARETE+DIERS+1760+1816+SANDERS_x000D_
.born: 17600316-          Germany_x000D_
.died: 18160303-          Germany, age:55y 11m 15d, _x000D_
.bapt: 1785GE_x000D_
.will: 2004MO_x000D_
.obit: 1890OH_x000D_
.bury: 1850IL Westersrede, Oldenburg_x000D_
.wpbt: 1826PA_x000D_
.anc#:ancestor_x000D_
citiz:foreign_x000D_
#spos:1_x000D_
#srcs:1_x000D_
#comment:0_x000D_
#events:3_x000D_
#kids:10_x000D_
lived:GE_x000D_
issue:_x000D_
.recs:Birth,Baptism,Marriage,Death,Interment/Burial_x000D_
.imm?:no_x000D_
..Spo:JOHANN ADAM SANDERS</t>
        </r>
      </text>
    </comment>
    <comment ref="K9974" authorId="0" shapeId="0" xr:uid="{E2E8AE74-8992-4D0D-81F4-EEF1B5BAD285}">
      <text>
        <r>
          <rPr>
            <sz val="9"/>
            <color indexed="81"/>
            <rFont val="Tahoma"/>
            <family val="2"/>
          </rPr>
          <t>MEINE DIERKS_x000D_
http://yeinfo.com/family/I09000862.html_x000D_
https://www.google.com/search?q=MEINE+DIERKS+1660+1727+HILLE_x000D_
.born: 16600905-          Germany_x000D_
.died: 17271111-          Germany, age:67y 2m 6d, _x000D_
.bapt: 1785GE_x000D_
.will: 2004MO_x000D_
.obit: 1890OH_x000D_
.bury: 1850IL _x000D_
.wpbt: 1826PA_x000D_
.anc#:ancestor_x000D_
citiz:foreign_x000D_
#spos:1_x000D_
#srcs:1_x000D_
#comment:1_x000D_
#events:1_x000D_
#kids:1_x000D_
lived:GE_x000D_
issue:_x000D_
.recs:Birth,Marriage,Death_x000D_
.imm?:no_x000D_
..Spo:HILLE SCHMIDT</t>
        </r>
      </text>
    </comment>
    <comment ref="J9976" authorId="0" shapeId="0" xr:uid="{E5D4CCFD-6FDB-4555-BD0F-BFEF1F5C6538}">
      <text>
        <r>
          <rPr>
            <sz val="9"/>
            <color indexed="81"/>
            <rFont val="Tahoma"/>
            <family val="2"/>
          </rPr>
          <t>ANNA MARGARETHE DIERS_x000D_
http://yeinfo.com/family/I09000431.html_x000D_
https://www.google.com/search?q=ANNA+MARGARETHE+DIERS+1718+1795+LUDEWIG_x000D_
.born: 17180826-          Germany_x000D_
.died: 17950502-          Germany, age:76y 8m 6d, _x000D_
.bapt: 1785GE_x000D_
.will: 2004MO_x000D_
.obit: 1890OH_x000D_
.bury: 1850IL _x000D_
.wpbt: 1826PA_x000D_
.anc#:ancestor_x000D_
citiz:foreign_x000D_
#spos:1_x000D_
#srcs:1_x000D_
#comment:0_x000D_
#events:1_x000D_
#kids:1_x000D_
lived:GE_x000D_
issue:_x000D_
.recs:Birth,Marriage,Death_x000D_
.imm?:no_x000D_
..Spo:JOHANN JACOB LUDEWIG</t>
        </r>
      </text>
    </comment>
    <comment ref="K9978" authorId="0" shapeId="0" xr:uid="{335397EA-C5A2-456E-A1D0-F4026150A95C}">
      <text>
        <r>
          <rPr>
            <sz val="9"/>
            <color indexed="81"/>
            <rFont val="Tahoma"/>
            <family val="2"/>
          </rPr>
          <t>HILLE SCHMIDT_x000D_
http://yeinfo.com/family/I09000863.html_x000D_
https://www.google.com/search?q=HILLE+SCHMIDT+1689+1739+DIERKS_x000D_
.born: 16890707-          Germany_x000D_
.died: 17390331-          Germany, age:49y 8m 24d, _x000D_
.bapt: 1785GE_x000D_
.will: 2004MO_x000D_
.obit: 1890OH_x000D_
.bury: 1850IL _x000D_
.wpbt: 1826PA_x000D_
.anc#:ancestor_x000D_
citiz:foreign_x000D_
#spos:1_x000D_
#srcs:1_x000D_
#comment:1_x000D_
#events:1_x000D_
#kids:1_x000D_
lived:GE_x000D_
issue:_x000D_
.recs:Birth,Marriage,Death_x000D_
.imm?:no_x000D_
..Spo:MEINE DIERKS</t>
        </r>
      </text>
    </comment>
    <comment ref="E9980" authorId="0" shapeId="0" xr:uid="{43EDD4A5-DC4F-448D-800F-1507083E2EAC}">
      <text>
        <r>
          <rPr>
            <sz val="9"/>
            <color indexed="81"/>
            <rFont val="Tahoma"/>
            <family val="2"/>
          </rPr>
          <t>ADELINE R. BUHR_x000D_
http://yeinfo.com/family/I09000013.html_x000D_
https://www.google.com/search?q=ADELINE+R.+BUHR+1870+1893+DEATON_x000D_
.born: 18700819-          Georgetown (Vermilion) Illinois_x000D_
.died: 18930614-          Springfield (Greene) Missouri, age:22y 9m 26d, _x000D_
.bapt: 1785GE_x000D_
.will: 2004MO_x000D_
.obit: 1890OH_x000D_
.bury: 1850IL Bellview Cemetery section A row 15_x000D_
.wpbt: 1826PA_x000D_
.anc#:ancestor_x000D_
citiz:US born_x000D_
#spos:1_x000D_
#srcs:10_x000D_
#comment:3_x000D_
#events:6_x000D_
#kids:2_x000D_
lived:ARPIKE WHITE,ILVERMIGEORGET,MOGRENESPRINGF_x000D_
issue:_x000D_
.recs:Birth,Marriage Intention/Bonds,Death_x000D_
.imm?:no_x000D_
..Spo:ROBERT CARNAHAN DEATON</t>
        </r>
      </text>
    </comment>
    <comment ref="M9982" authorId="0" shapeId="0" xr:uid="{67457289-A63C-4D7A-B720-1C2C82D5F1A1}">
      <text>
        <r>
          <rPr>
            <sz val="9"/>
            <color indexed="81"/>
            <rFont val="Tahoma"/>
            <family val="2"/>
          </rPr>
          <t>THOMAS R. RAGLAND Jr._x000D_
http://yeinfo.com/family/I09003456.html_x000D_
https://www.google.com/search?q=THOMAS+R.+RAGLAND+1628+1684+JANE_x000D_
.born: 16280208-          Saint Decumans (Somerset) England_x000D_
.died: 16841123-          Saint Decumans (Somerset) England, age:56y 9m 15d, _x000D_
.bapt: 1785GE_x000D_
.will: 2004MO_x000D_
.obit: 1890OH_x000D_
.bury: 1850IL Saint Peters Parish_x000D_
.wpbt: 1826PA_x000D_
.anc#:ancestor_x000D_
citiz:foreign_x000D_
#spos:1_x000D_
#srcs:1_x000D_
#comment:1_x000D_
#events:2_x000D_
#kids:1_x000D_
lived:ENSOMESSTDECUM,VANEW KTUNSTAL_x000D_
issue:_x000D_
.recs:Birth,Marriage,Death,Interment/Burial_x000D_
.imm?:no_x000D_
..Spo:JANE MORGAN</t>
        </r>
      </text>
    </comment>
    <comment ref="L9984" authorId="0" shapeId="0" xr:uid="{39710072-1C4D-42EB-A5B8-CC82D1441F73}">
      <text>
        <r>
          <rPr>
            <sz val="9"/>
            <color indexed="81"/>
            <rFont val="Tahoma"/>
            <family val="2"/>
          </rPr>
          <t>EVAN RAGLAND Sr._x000D_
http://yeinfo.com/family/I09001728.html_x000D_
https://www.google.com/search?q=EVAN+RAGLAND+1656+1717+SUSANNA_x000D_
.born: 16560331-          Saint Decumans (Somerset) England_x000D_
.died: 17170630-          Tunstall (New Kent) Virginia, age:61y 2m 30d, _x000D_
.bapt: 1785GE_x000D_
.will: 2004MO_x000D_
.obit: 1890OH_x000D_
.bury: 1850IL _x000D_
.wpbt: 1826PA_x000D_
.anc#:ancestor_x000D_
citiz:immigrant_x000D_
#spos:1_x000D_
#srcs:2_x000D_
#comment:1_x000D_
#events:2_x000D_
#kids:1_x000D_
lived:ENSOMESSTDECUM,VANEW KTUNSTAL_x000D_
issue:_x000D_
.recs:Birth,Baptism,Marriage,Death_x000D_
.imm?:immigrant_x000D_
..Spo:SUSANNA PETTUS</t>
        </r>
      </text>
    </comment>
    <comment ref="M9986" authorId="0" shapeId="0" xr:uid="{FB5388E1-E9B0-42B1-8E97-2B19B1B14A03}">
      <text>
        <r>
          <rPr>
            <sz val="9"/>
            <color indexed="81"/>
            <rFont val="Tahoma"/>
            <family val="2"/>
          </rPr>
          <t>JANE MORGAN_x000D_
http://yeinfo.com/family/I09003457.html_x000D_
https://www.google.com/search?q=JANE+MORGAN+1628+1728+RAGLAND_x000D_
.born: 1628    -          Barry (Glamorganshire) Wales_x000D_
.died: 1728    -          Somerset county England, age:100y 0m 0d, _x000D_
.bapt: 1785GE_x000D_
.will: 2004MO_x000D_
.obit: 1890OH_x000D_
.bury: 1850IL _x000D_
.wpbt: 1826PA_x000D_
.anc#:ancestor_x000D_
citiz:foreign_x000D_
#spos:1_x000D_
#srcs:1_x000D_
#comment:1_x000D_
#events:1_x000D_
#kids:1_x000D_
lived:ENSOMESSTDECUM,WLGLAMOBARRY_x000D_
issue:_x000D_
.recs:Birth,Marriage,Death_x000D_
.imm?:no_x000D_
..Spo:THOMAS R. RAGLAND</t>
        </r>
      </text>
    </comment>
    <comment ref="K9988" authorId="0" shapeId="0" xr:uid="{BD937CAF-D4F7-4F81-97D1-5EFB535D66B8}">
      <text>
        <r>
          <rPr>
            <sz val="9"/>
            <color indexed="81"/>
            <rFont val="Tahoma"/>
            <family val="2"/>
          </rPr>
          <t>STEPHEN RAGLAND_x000D_
http://yeinfo.com/family/I09000864.html_x000D_
https://www.google.com/search?q=STEPHEN+RAGLAND+1688+1747+MARY_x000D_
.born: 1688    -          Tunstall (New Kent) Virginia_x000D_
.died: 174701  -          Northampton county North Carolina, age:59y 0m 0d, _x000D_
.bapt: 1785GE_x000D_
.will: 2004MO_x000D_
.obit: 1890OH_x000D_
.bury: 1850IL _x000D_
.wpbt: 1826PA_x000D_
.anc#:ancestor_x000D_
citiz:US born_x000D_
#spos:1_x000D_
#srcs:2_x000D_
#comment:0_x000D_
#events:3_x000D_
#kids:1_x000D_
lived:NCBERTI,NCNRTHA,VANEW KTUNSTAL_x000D_
issue:_x000D_
.recs:Birth,Marriage,Death_x000D_
.imm?:no_x000D_
..Spo:MARY HUDSON</t>
        </r>
      </text>
    </comment>
    <comment ref="N9990" authorId="0" shapeId="0" xr:uid="{4992C63C-2008-4741-B761-E70CB1C5E92B}">
      <text>
        <r>
          <rPr>
            <sz val="9"/>
            <color indexed="81"/>
            <rFont val="Tahoma"/>
            <family val="2"/>
          </rPr>
          <t>THOMAS HUBERT PETTUS_x000D_
http://yeinfo.com/family/I09006916.html_x000D_
https://www.google.com/search?q=THOMAS+HUBERT+PETTUS+1599+1663+ELIZABETH_x000D_
.born:a15990219-          Norwich (Norfolk) England_x000D_
.died: 1663    -1668      James City county Virginia, age:63y 10m 13d, _x000D_
.bapt: 1785GE_x000D_
.will: 2004MO_x000D_
.obit: 1890OH_x000D_
.bury: 1850IL _x000D_
.wpbt: 1826PA_x000D_
.anc#:ancestor_x000D_
citiz:immigrant_x000D_
#spos:1_x000D_
#srcs:1_x000D_
#comment:1_x000D_
#events:1_x000D_
#kids:1_x000D_
lived:ENNORFONORWICH,VAJASCT_x000D_
issue:_x000D_
.recs:Birth,Marriage,Death_x000D_
.imm?:immigrant_x000D_
..Spo:ELIZABETH GROVE</t>
        </r>
      </text>
    </comment>
    <comment ref="M9992" authorId="0" shapeId="0" xr:uid="{065256D9-2671-422F-84BC-C43D1673AAEF}">
      <text>
        <r>
          <rPr>
            <sz val="9"/>
            <color indexed="81"/>
            <rFont val="Tahoma"/>
            <family val="2"/>
          </rPr>
          <t>STEPHEN PETTUS II_x000D_
http://yeinfo.com/family/I09003458.html_x000D_
https://www.google.com/search?q=STEPHEN+PETTUS+1628+1686+MARY+ELIZABETH_x000D_
.born: 1628    -          Virginia_x000D_
.died: 1686    -          Tunstall (New Kent) Virginia, age:58y 0m 0d, _x000D_
.bapt: 1785GE_x000D_
.will: 2004MO_x000D_
.obit: 1890OH_x000D_
.bury: 1850IL _x000D_
.wpbt: 1826PA_x000D_
.anc#:ancestor_x000D_
citiz:US born_x000D_
#spos:1_x000D_
#srcs:2_x000D_
#comment:1_x000D_
#events:2_x000D_
#kids:1_x000D_
lived:VANEW KNEW KEN,VANEW KTUNSTAL_x000D_
issue:Died after Age 100_x000D_
.recs:Birth,Marriage,Death_x000D_
.imm?:no_x000D_
..Spo:MARY ELIZABETH DABNEY</t>
        </r>
      </text>
    </comment>
    <comment ref="N9994" authorId="0" shapeId="0" xr:uid="{354717A8-7BFD-4483-BEF6-EC17D6D6A3C8}">
      <text>
        <r>
          <rPr>
            <sz val="9"/>
            <color indexed="81"/>
            <rFont val="Tahoma"/>
            <family val="2"/>
          </rPr>
          <t>ELIZABETH GROVE_x000D_
http://yeinfo.com/family/I09006917.html_x000D_
https://www.google.com/search?q=ELIZABETH+GROVE+1608+1680+PETTUS_x000D_
.born:?1608    -          Walling Corners (Berks) England_x000D_
.died:a1680    -          Littleton (James City) Virginia, age:72y 0m 0d, _x000D_
.bapt: 1785GE_x000D_
.will: 2004MO_x000D_
.obit: 1890OH_x000D_
.bury: 1850IL _x000D_
.wpbt: 1826PA_x000D_
.anc#:ancestor_x000D_
citiz:immigrant_x000D_
#spos:1_x000D_
#srcs:1_x000D_
#comment:0_x000D_
#events:1_x000D_
#kids:1_x000D_
lived:ENBERKSWALLING,VAJASCTLITTLET_x000D_
issue:_x000D_
.recs:Birth,Marriage,Death_x000D_
.imm?:immigrant_x000D_
..Spo:THOMAS HUBERT PETTUS</t>
        </r>
      </text>
    </comment>
    <comment ref="L9996" authorId="0" shapeId="0" xr:uid="{C134E022-8D39-465B-AEF2-4FB88136F938}">
      <text>
        <r>
          <rPr>
            <sz val="9"/>
            <color indexed="81"/>
            <rFont val="Tahoma"/>
            <family val="2"/>
          </rPr>
          <t>SUSANNA PETTUS_x000D_
http://yeinfo.com/family/I09001729.html_x000D_
https://www.google.com/search?q=SUSANNA+PETTUS+1660+1717+RAGLAND_x000D_
.born: 1660    -          Tunstall (New Kent) Virginia_x000D_
.died: 1717    -          Tunstall (New Kent) Virginia, age:57y 0m 0d, _x000D_
.bapt: 1785GE_x000D_
.will: 2004MO_x000D_
.obit: 1890OH_x000D_
.bury: 1850IL _x000D_
.wpbt: 1826PA_x000D_
.anc#:ancestor_x000D_
citiz:US born_x000D_
#spos:1_x000D_
#srcs:2_x000D_
#comment:0_x000D_
#events:1_x000D_
#kids:1_x000D_
lived:VANEW KTUNSTAL_x000D_
issue:_x000D_
.recs:Birth,Marriage,Death_x000D_
.imm?:no_x000D_
..Spo:EVAN RAGLAND</t>
        </r>
      </text>
    </comment>
    <comment ref="M9998" authorId="0" shapeId="0" xr:uid="{35F3E705-31B9-4716-8055-E001B8F91529}">
      <text>
        <r>
          <rPr>
            <sz val="9"/>
            <color indexed="81"/>
            <rFont val="Tahoma"/>
            <family val="2"/>
          </rPr>
          <t>MARY ELIZABETH DABNEY_x000D_
http://yeinfo.com/family/I09003459.html_x000D_
https://www.google.com/search?q=MARY+ELIZABETH+DABNEY+1640+1737+PETTUS_x000D_
.born:?1640    -          New Kent county Virginia_x000D_
.died: 17370310-          Albemarle county Virginia, age:97y 2m 9d, _x000D_
.bapt: 1785GE_x000D_
.will: 2004MO_x000D_
.obit: 1890OH_x000D_
.bury: 1850IL _x000D_
.wpbt: 1826PA_x000D_
.anc#:ancestor_x000D_
citiz:US born_x000D_
#spos:1_x000D_
#srcs:6_x000D_
#comment:0_x000D_
#events:1_x000D_
#kids:1_x000D_
lived:VAALBEM,VANEW K_x000D_
issue:Died after Age 100_x000D_
.recs:Birth,Marriage,Death_x000D_
.imm?:no_x000D_
..Spo:STEPHEN PETTUS</t>
        </r>
      </text>
    </comment>
    <comment ref="J10000" authorId="0" shapeId="0" xr:uid="{DCD912DD-2879-4750-9548-017D758CA493}">
      <text>
        <r>
          <rPr>
            <sz val="9"/>
            <color indexed="81"/>
            <rFont val="Tahoma"/>
            <family val="2"/>
          </rPr>
          <t>EVAN RAGLAND_x000D_
http://yeinfo.com/family/I09000432.html_x000D_
https://www.google.com/search?q=EVAN+RAGLAND+1714+1778+AMEY\ANNEY+MARYANN_x000D_
.born: 1714    -          Tunstall (New Kent) Virginia_x000D_
.died: 177811  -          North Carolina, age:64y 10m 0d, _x000D_
.bapt: 1785GE_x000D_
.will: 2004MO_x000D_
.obit: 1890OH_x000D_
.bury: 1850IL _x000D_
.wpbt: 1826PA_x000D_
.anc#:ancestor_x000D_
citiz:US born_x000D_
#spos:1_x000D_
#srcs:2_x000D_
#comment:1_x000D_
#events:2_x000D_
#kids:1_x000D_
lived:NCHALIF,VANEW KTUNSTAL_x000D_
issue:_x000D_
.recs:Birth,Marriage,Will Written,Death_x000D_
.imm?:no_x000D_
..Spo:AMEY\ANNEY MARYANN MARRIOTT</t>
        </r>
      </text>
    </comment>
    <comment ref="L10002" authorId="0" shapeId="0" xr:uid="{AA451A00-FBAA-4435-B697-A7143EC11D8D}">
      <text>
        <r>
          <rPr>
            <sz val="9"/>
            <color indexed="81"/>
            <rFont val="Tahoma"/>
            <family val="2"/>
          </rPr>
          <t>WILLIAM MAURICE HUDSON_x000D_
http://yeinfo.com/family/I09001730.html_x000D_
https://www.google.com/search?q=WILLIAM+MAURICE+HUDSON+1668+1701+ADA+ELIZABETH_x000D_
.born: 16680801-          Henrico county Virginia_x000D_
.died: 17011127-          Hanover (Hanover) Virginia, age:33y 3m 26d, _x000D_
.bapt: 1785GE_x000D_
.will: 2004MO_x000D_
.obit: 1890OH_x000D_
.bury: 1850IL _x000D_
.wpbt: 1826PA_x000D_
.anc#:ancestor_x000D_
citiz:US born_x000D_
#spos:1_x000D_
#srcs:1_x000D_
#comment:0_x000D_
#events:1_x000D_
#kids:1_x000D_
lived:VAHANOVHANOVER,VAHENRI_x000D_
issue:Died after Age 100_x000D_
.recs:Birth,Marriage,Death_x000D_
.imm?:no_x000D_
..Spo:ADA ELIZABETH JENNINGS</t>
        </r>
      </text>
    </comment>
    <comment ref="K10004" authorId="0" shapeId="0" xr:uid="{A85E380A-6D67-4833-8E05-527BF3DA5DF2}">
      <text>
        <r>
          <rPr>
            <sz val="9"/>
            <color indexed="81"/>
            <rFont val="Tahoma"/>
            <family val="2"/>
          </rPr>
          <t>MARY HUDSON_x000D_
http://yeinfo.com/family/I09000865.html_x000D_
https://www.google.com/search?q=MARY+HUDSON+1688+1760+RAGLAND_x000D_
.born: 1688    -          Virginia_x000D_
.died: 1760    -          Northampton county North Carolina, age:72y 0m 0d, _x000D_
.bapt: 1785GE_x000D_
.will: 2004MO_x000D_
.obit: 1890OH_x000D_
.bury: 1850IL _x000D_
.wpbt: 1826PA_x000D_
.anc#:ancestor_x000D_
citiz:US born_x000D_
#spos:1_x000D_
#srcs:2_x000D_
#comment:0_x000D_
#events:2_x000D_
#kids:1_x000D_
lived:ENLINCS,NCNRTHA,VANEW KTUNSTAL_x000D_
issue:_x000D_
.recs:Birth,Marriage,Death_x000D_
.imm?:no_x000D_
..Spo:STEPHEN RAGLAND</t>
        </r>
      </text>
    </comment>
    <comment ref="L10006" authorId="0" shapeId="0" xr:uid="{BDE119A0-EB56-47AE-9780-15F0049C08A7}">
      <text>
        <r>
          <rPr>
            <sz val="9"/>
            <color indexed="81"/>
            <rFont val="Tahoma"/>
            <family val="2"/>
          </rPr>
          <t>ADA ELIZABETH JENNINGS_x000D_
http://yeinfo.com/family/I09001731.html_x000D_
https://www.google.com/search?q=ADA+ELIZABETH+JENNINGS+1667+1711+HUDSON_x000D_
.born: 16671003-          Hanover county Virginia_x000D_
.died: 17110716-          Hanover (Hanover) Virginia, age:43y 9m 13d, _x000D_
.bapt: 1785GE_x000D_
.will: 2004MO_x000D_
.obit: 1890OH_x000D_
.bury: 1850IL _x000D_
.wpbt: 1826PA_x000D_
.anc#:ancestor_x000D_
citiz:US born_x000D_
#spos:1_x000D_
#srcs:1_x000D_
#comment:0_x000D_
#events:1_x000D_
#kids:1_x000D_
lived:VAHANOVHANOVER_x000D_
issue:Died after Age 100_x000D_
.recs:Birth,Marriage,Death_x000D_
.imm?:no_x000D_
..Spo:WILLIAM MAURICE HUDSON</t>
        </r>
      </text>
    </comment>
    <comment ref="I10008" authorId="0" shapeId="0" xr:uid="{5E139632-1BED-4E72-9D5F-32E83011A21F}">
      <text>
        <r>
          <rPr>
            <sz val="9"/>
            <color indexed="81"/>
            <rFont val="Tahoma"/>
            <family val="2"/>
          </rPr>
          <t>BENJAMIN RAGLAND_x000D_
http://yeinfo.com/family/I09000216.html_x000D_
https://www.google.com/search?q=BENJAMIN+RAGLAND+1747+1830+ANN_x000D_
.born: 17470512-          Granville county North Carolina_x000D_
.died: 183009  -          Allen county Kentucky, age:83y 3m 20d, _x000D_
.bapt: 1785GE_x000D_
.will: 2004MO_x000D_
.obit: 1890OH_x000D_
.bury: 1850IL _x000D_
.wpbt: 1826PA_x000D_
.anc#:ancestor_x000D_
citiz:US born_x000D_
#spos:1_x000D_
#srcs:1_x000D_
#comment:2_x000D_
#events:8_x000D_
#kids:1_x000D_
lived:GAWILKS,KYALLEN,NCGRANV,SCGRNVL_x000D_
issue:_x000D_
.recs:Birth,Military,Marriage,Will Written,Death_x000D_
.imm?:no_x000D_
..Spo:ANN TUCKER</t>
        </r>
      </text>
    </comment>
    <comment ref="N10010" authorId="0" shapeId="0" xr:uid="{9DDB25A3-C690-4E0B-A32F-4646389C3EC1}">
      <text>
        <r>
          <rPr>
            <sz val="9"/>
            <color indexed="81"/>
            <rFont val="Tahoma"/>
            <family val="2"/>
          </rPr>
          <t>ROBERT MARRIOTT_x000D_
http://yeinfo.com/family/I09006928.html_x000D_
https://www.google.com/search?q=ROBERT+MARRIOTT+1599+1664+SENSE_x000D_
.born: 15990320-          Leicestershire county England_x000D_
.died: 1664    -         ?Henrico county Virginia, age:64y 9m 12d, _x000D_
.bapt: 1785GE_x000D_
.will: 2004MO_x000D_
.obit: 1890OH_x000D_
.bury: 1850IL _x000D_
.wpbt: 1826PA_x000D_
.anc#:ancestor_x000D_
citiz:immigrant_x000D_
#spos:1_x000D_
#srcs:1_x000D_
#comment:1_x000D_
#events:3_x000D_
#kids:1_x000D_
lived:?VAHENRI,ENLEICECLAWSON_x000D_
issue:Died after Age 100_x000D_
.recs:Birth,Baptism,Marriage,Death_x000D_
.imm?:immigrant_x000D_
..Spo:SENSE HICKLING</t>
        </r>
      </text>
    </comment>
    <comment ref="M10012" authorId="0" shapeId="0" xr:uid="{60FD2CE4-FB96-4450-9BC9-D3DB2D953634}">
      <text>
        <r>
          <rPr>
            <sz val="9"/>
            <color indexed="81"/>
            <rFont val="Tahoma"/>
            <family val="2"/>
          </rPr>
          <t>WILLIAM MARRIOTT_x000D_
http://yeinfo.com/family/I09003464.html_x000D_
https://www.google.com/search?q=WILLIAM+MARRIOTT+1615+1670+ELIZABETH_x000D_
.born: 16151027-          Surry county Virginia_x000D_
.died: 167009  -          Henrico county Virginia, age:54y 10m 5d, _x000D_
.bapt: 1785GE_x000D_
.will: 2004MO_x000D_
.obit: 1890OH_x000D_
.bury: 1850IL _x000D_
.wpbt: 1826PA_x000D_
.anc#:ancestor_x000D_
citiz:US born_x000D_
#spos:2_x000D_
#srcs:1_x000D_
#comment:0_x000D_
#events:2_x000D_
#kids:1_x000D_
lived:VAESSEX,VAHENRI,VASURRY_x000D_
issue:_x000D_
.recs:Birth,Marriage,Death_x000D_
.imm?:no_x000D_
..Spo:ELIZABETH NORTON</t>
        </r>
      </text>
    </comment>
    <comment ref="N10014" authorId="0" shapeId="0" xr:uid="{909A3619-C82A-49DF-810A-61E9C6727052}">
      <text>
        <r>
          <rPr>
            <sz val="9"/>
            <color indexed="81"/>
            <rFont val="Tahoma"/>
            <family val="2"/>
          </rPr>
          <t>SENSE HICKLING_x000D_
http://yeinfo.com/family/I09006929.html_x000D_
https://www.google.com/search?q=SENSE+HICKLING+1603+1670+MARRIOTT_x000D_
.born: 1603    -          Leicestershire county England_x000D_
.died: 16700327-          Leicestershire county England, age:67y 2m 26d, _x000D_
.bapt: 1785GE_x000D_
.will: 2004MO_x000D_
.obit: 1890OH_x000D_
.bury: 1850IL _x000D_
.wpbt: 1826PA_x000D_
.anc#:ancestor_x000D_
citiz:foreign_x000D_
#spos:1_x000D_
#srcs:1_x000D_
#comment:1_x000D_
#events:1_x000D_
#kids:1_x000D_
lived:ENLEICE_x000D_
issue:Died after Age 100_x000D_
.recs:Birth,Marriage,Death_x000D_
.imm?:no_x000D_
..Spo:ROBERT MARRIOTT</t>
        </r>
      </text>
    </comment>
    <comment ref="L10016" authorId="0" shapeId="0" xr:uid="{A63D7FF7-2B97-44A1-B359-9AEBCEE8A3AC}">
      <text>
        <r>
          <rPr>
            <sz val="9"/>
            <color indexed="81"/>
            <rFont val="Tahoma"/>
            <family val="2"/>
          </rPr>
          <t>CHARLES MARRIOTT_x000D_
http://yeinfo.com/family/I09001732.html_x000D_
https://www.google.com/search?q=CHARLES+MARRIOTT+1652+1718+ELEANOR+MARY_x000D_
.born: 1652    -          Surry (Surry) Virginia_x000D_
.died: 17180604-          Chowan county North Carolina, age:66y 5m 3d, _x000D_
.bapt: 1785GE_x000D_
.will: 2004MO_x000D_
.obit: 1890OH_x000D_
.bury: 1850IL _x000D_
.wpbt: 1826PA_x000D_
.anc#:ancestor_x000D_
citiz:US born_x000D_
#spos:1_x000D_
#srcs:1_x000D_
#comment:0_x000D_
#events:1_x000D_
#kids:1_x000D_
lived:NCCHOWA,VASURRYSURRY_x000D_
issue:_x000D_
.recs:Birth,Marriage,Death_x000D_
.imm?:no_x000D_
..Spo:ELEANOR MARY EVANS</t>
        </r>
      </text>
    </comment>
    <comment ref="N10018" authorId="0" shapeId="0" xr:uid="{ECD49819-D0E4-4FE8-889D-3CF339676F59}">
      <text>
        <r>
          <rPr>
            <sz val="9"/>
            <color indexed="81"/>
            <rFont val="Tahoma"/>
            <family val="2"/>
          </rPr>
          <t>THOMAS NORTON_x000D_
http://yeinfo.com/family/I09006930.html_x000D_
https://www.google.com/search?q=THOMAS+NORTON+1585+1621+{_?_}_x000D_
.born:?1585    -         ?_x000D_
.died: 1621    -1670     ?, age:36y 0m 0d, _x000D_
.bapt: 1785GE_x000D_
.will: 2004MO_x000D_
.obit: 1890OH_x000D_
.bury: 1850IL _x000D_
.wpbt: 1826PA_x000D_
.anc#:ancestor_x000D_
citiz:US born_x000D_
#spos:1_x000D_
#srcs:1_x000D_
#comment:0_x000D_
#events:2_x000D_
#kids:1_x000D_
lived:VAJASCTJAMESTW_x000D_
issue:_x000D_
.recs:Birth,Death,Immigrate_x000D_
.imm?:no_x000D_
..Spo:{_?_} NORTON</t>
        </r>
      </text>
    </comment>
    <comment ref="M10020" authorId="0" shapeId="0" xr:uid="{40DE9A24-2EFE-407E-9F50-B3E47811C847}">
      <text>
        <r>
          <rPr>
            <sz val="9"/>
            <color indexed="81"/>
            <rFont val="Tahoma"/>
            <family val="2"/>
          </rPr>
          <t>ELIZABETH NORTON_x000D_
http://yeinfo.com/family/I09003465.html_x000D_
https://www.google.com/search?q=ELIZABETH+NORTON+1621+1672+MARRIOTT_x000D_
.born: 1621    -          Jamestown (James City) Virginia_x000D_
.died:p16720109-          Virginia, age:51y 0m 8d, _x000D_
.bapt: 1785GE_x000D_
.will: 2004MO_x000D_
.obit: 1890OH_x000D_
.bury: 1850IL _x000D_
.wpbt: 1826PA_x000D_
.anc#:ancestor_x000D_
citiz:US born_x000D_
#spos:1_x000D_
#srcs:1_x000D_
#comment:0_x000D_
#events:2_x000D_
#kids:1_x000D_
lived:VAESSEX,VAISLEW,VAJASCTJAMESTW_x000D_
issue:_x000D_
.recs:Birth,Marriage,Death_x000D_
.imm?:no_x000D_
..Spo:WILLIAM MARRIOTT</t>
        </r>
      </text>
    </comment>
    <comment ref="N10022" authorId="0" shapeId="0" xr:uid="{75E9ECA3-FDB0-4EFF-B64B-2C5A5F5EAAAF}">
      <text>
        <r>
          <rPr>
            <sz val="9"/>
            <color indexed="81"/>
            <rFont val="Tahoma"/>
            <family val="2"/>
          </rPr>
          <t>Mrs. {_?_} NORTON_x000D_
http://yeinfo.com/family/I09006931.html_x000D_
https://www.google.com/search?q={_?_}+NORTON+1600+1621+NORTON_x000D_
.born:?1600    -         ?_x000D_
.died: 1621    -1691     ?, age:21y 0m 0d, _x000D_
.bapt: 1785GE_x000D_
.will: 2004MO_x000D_
.obit: 1890OH_x000D_
.bury: 1850IL _x000D_
.wpbt: 1826PA_x000D_
.anc#:ancestor_x000D_
citiz:US born_x000D_
#spos:1_x000D_
#srcs:1_x000D_
#comment:0_x000D_
#events:1_x000D_
#kids:1_x000D_
lived:_x000D_
issue:_x000D_
.recs:Birth,Marriage,Death_x000D_
.imm?:no_x000D_
..Spo:THOMAS NORTON</t>
        </r>
      </text>
    </comment>
    <comment ref="K10024" authorId="0" shapeId="0" xr:uid="{15319118-88E0-41FF-8323-3B9AFA365705}">
      <text>
        <r>
          <rPr>
            <sz val="9"/>
            <color indexed="81"/>
            <rFont val="Tahoma"/>
            <family val="2"/>
          </rPr>
          <t>NATHANIEL A. MARRIOTT_x000D_
http://yeinfo.com/family/I09000866.html_x000D_
https://www.google.com/search?q=NATHANIEL+A.+MARRIOTT+1700+1735+MARY_x000D_
.born: 1700    -          Halifax (Halifax) Virginia_x000D_
.died: 17350410-          Edgecombe county North Carolina, age:35y 3m 9d, _x000D_
.bapt: 1785GE_x000D_
.will: 2004MO_x000D_
.obit: 1890OH_x000D_
.bury: 1850IL _x000D_
.wpbt: 1826PA_x000D_
.anc#:ancestor_x000D_
citiz:US born_x000D_
#spos:1_x000D_
#srcs:1_x000D_
#comment:0_x000D_
#events:1_x000D_
#kids:1_x000D_
lived:?NCBERTI,NCEDGEC,VAHALIFHALIFAX_x000D_
issue:_x000D_
.recs:Birth,Marriage,Death_x000D_
.imm?:no_x000D_
..Spo:MARY MOORE</t>
        </r>
      </text>
    </comment>
    <comment ref="M10026" authorId="0" shapeId="0" xr:uid="{953E044C-7D56-499A-9FE1-10884DCF32B4}">
      <text>
        <r>
          <rPr>
            <sz val="9"/>
            <color indexed="81"/>
            <rFont val="Tahoma"/>
            <family val="2"/>
          </rPr>
          <t>PETER EVANS_x000D_
http://yeinfo.com/family/I09003466.html_x000D_
https://www.google.com/search?q=PETER+EVANS+1624+1706+ELLINOR+MARE_x000D_
.born: 1624    -          Wales_x000D_
.died: 17060613-          Richmond (Richmond) Virginia, age:82y 5m 12d, _x000D_
.bapt: 1785GE_x000D_
.will: 2004MO_x000D_
.obit: 1890OH_x000D_
.bury: 1850IL _x000D_
.wpbt: 1826PA_x000D_
.anc#:ancestor_x000D_
citiz:immigrant_x000D_
#spos:1_x000D_
#srcs:1_x000D_
#comment:1_x000D_
#events:2_x000D_
#kids:1_x000D_
lived:VARICHMRICHMON,WL_x000D_
issue:_x000D_
.recs:Birth,Marriage,Death_x000D_
.imm?:immigrant_x000D_
..Spo:ELLINOR MARE MOREHEAD</t>
        </r>
      </text>
    </comment>
    <comment ref="L10028" authorId="0" shapeId="0" xr:uid="{2EBA847A-E7B2-4529-9888-2B47B242E5FD}">
      <text>
        <r>
          <rPr>
            <sz val="9"/>
            <color indexed="81"/>
            <rFont val="Tahoma"/>
            <family val="2"/>
          </rPr>
          <t>ELEANOR MARY EVANS_x000D_
http://yeinfo.com/family/I09001733.html_x000D_
https://www.google.com/search?q=ELEANOR+MARY+EVANS+1658+1757+MARRIOTT_x000D_
.born: 1658    -          North Carolina_x000D_
.died: 17570113-          Chowan county North Carolina, age:99y 0m 12d, _x000D_
.bapt: 1785GE_x000D_
.will: 2004MO_x000D_
.obit: 1890OH_x000D_
.bury: 1850IL _x000D_
.wpbt: 1826PA_x000D_
.anc#:ancestor_x000D_
citiz:US born_x000D_
#spos:1_x000D_
#srcs:1_x000D_
#comment:0_x000D_
#events:1_x000D_
#kids:1_x000D_
lived:NCCHOWA,VA_x000D_
issue:_x000D_
.recs:Birth,Marriage,Death_x000D_
.imm?:no_x000D_
..Spo:CHARLES MARRIOTT</t>
        </r>
      </text>
    </comment>
    <comment ref="M10030" authorId="0" shapeId="0" xr:uid="{A15EA93C-B890-487B-A84E-C5B1C2E5F187}">
      <text>
        <r>
          <rPr>
            <sz val="9"/>
            <color indexed="81"/>
            <rFont val="Tahoma"/>
            <family val="2"/>
          </rPr>
          <t>ELLINOR MARE MOREHEAD_x000D_
http://yeinfo.com/family/I09003467.html_x000D_
https://www.google.com/search?q=ELLINOR+MARE+MOREHEAD+1632+1667+EVANS_x000D_
.born: 1632    -          North Carolina_x000D_
.died: 1667    -1728     ?, age:35y 0m 0d, _x000D_
.bapt: 1785GE_x000D_
.will: 2004MO_x000D_
.obit: 1890OH_x000D_
.bury: 1850IL _x000D_
.wpbt: 1826PA_x000D_
.anc#:ancestor_x000D_
citiz:US born_x000D_
#spos:1_x000D_
#srcs:1_x000D_
#comment:0_x000D_
#events:1_x000D_
#kids:1_x000D_
lived:NC_x000D_
issue:_x000D_
.recs:Birth,Marriage,Death_x000D_
.imm?:no_x000D_
..Spo:PETER EVANS</t>
        </r>
      </text>
    </comment>
    <comment ref="J10032" authorId="0" shapeId="0" xr:uid="{885F9EE9-01C9-4CE9-A0C5-B13049AA2BF6}">
      <text>
        <r>
          <rPr>
            <sz val="9"/>
            <color indexed="81"/>
            <rFont val="Tahoma"/>
            <family val="2"/>
          </rPr>
          <t>AMEY\ANNEY MARYANN MARRIOTT_x000D_
http://yeinfo.com/family/I09000433.html_x000D_
https://www.google.com/search?q=AMEY\ANNEY+MARYANN+MARRIOTT+1724+1802+RAGLAND_x000D_
.born:c1724    -         ?Tarboro (Edgecombe) North Carolina_x000D_
.died: 18020729-          Scott county Kentucky, age:78y 6m 28d, _x000D_
.bapt: 1785GE_x000D_
.will: 2004MO_x000D_
.obit: 1890OH_x000D_
.bury: 1850IL _x000D_
.wpbt: 1826PA_x000D_
.anc#:ancestor_x000D_
citiz:US born_x000D_
#spos:1_x000D_
#srcs:1_x000D_
#comment:2_x000D_
#events:3_x000D_
#kids:1_x000D_
lived:?NCEDGECTARBORO,KYSCOTT,NCGRANV,NCHALIF_x000D_
issue:_x000D_
.recs:Birth,Marriage,Will Written,Death_x000D_
.imm?:no_x000D_
..Spo:EVAN RAGLAND</t>
        </r>
      </text>
    </comment>
    <comment ref="K10034" authorId="0" shapeId="0" xr:uid="{651CA20A-6C4C-4497-A0F3-08010D4BA3CE}">
      <text>
        <r>
          <rPr>
            <sz val="9"/>
            <color indexed="81"/>
            <rFont val="Tahoma"/>
            <family val="2"/>
          </rPr>
          <t>MARY MOORE_x000D_
http://yeinfo.com/family/I09000867.html_x000D_
https://www.google.com/search?q=MARY+MOORE+1707+1765+MARRIOTT_x000D_
.born: 1707    -          Virginia_x000D_
.died:?1765    -          Halifax (Halifax) Virginia, age:58y 0m 0d, _x000D_
.bapt: 1785GE_x000D_
.will: 2004MO_x000D_
.obit: 1890OH_x000D_
.bury: 1850IL _x000D_
.wpbt: 1826PA_x000D_
.anc#:ancestor_x000D_
citiz:US born_x000D_
#spos:1_x000D_
#srcs:1_x000D_
#comment:0_x000D_
#events:1_x000D_
#kids:1_x000D_
lived:?NCBERTI,VAHALIFHALIFAX_x000D_
issue:Died after Age 100_x000D_
.recs:Birth,Marriage,Death_x000D_
.imm?:no_x000D_
..Spo:NATHANIEL A. MARRIOTT</t>
        </r>
      </text>
    </comment>
    <comment ref="H10036" authorId="0" shapeId="0" xr:uid="{FD56E50D-1C8D-46F1-B2D3-15749E4D4A6C}">
      <text>
        <r>
          <rPr>
            <sz val="9"/>
            <color indexed="81"/>
            <rFont val="Tahoma"/>
            <family val="2"/>
          </rPr>
          <t>JOHN B. RAGLAND_x000D_
http://yeinfo.com/family/I09000108.html_x000D_
https://www.google.com/search?q=JOHN+B.+RAGLAND+1777+1845+MARY\MARTHA+POLLY_x000D_
.born: 1777    -          Granville county North Carolina_x000D_
.died: 184509  -          Washington county Illinois, age:68y 8m 0d, _x000D_
.bapt: 1785GE_x000D_
.will: 2004MO_x000D_
.obit: 1890OH_x000D_
.bury: 1850IL _x000D_
.wpbt: 1826PA_x000D_
.anc#:ancestor_x000D_
citiz:US born_x000D_
#spos:1_x000D_
#srcs:2_x000D_
#comment:2_x000D_
#events:10_x000D_
#kids:1_x000D_
lived:ILPERRYPINCKNE,ILWASHI,KYALLEN,NCGRANV,SCGRNVLGREENVI_x000D_
issue:_x000D_
.recs:Birth,Military,Marriage,Deed_x000D_
.imm?:no_x000D_
..Spo:MARY\MARTHA POLLY HAWKINS</t>
        </r>
      </text>
    </comment>
    <comment ref="J10038" authorId="0" shapeId="0" xr:uid="{11335250-A65B-4E11-9500-36C33CEAEAE0}">
      <text>
        <r>
          <rPr>
            <sz val="9"/>
            <color indexed="81"/>
            <rFont val="Tahoma"/>
            <family val="2"/>
          </rPr>
          <t>JOSEPH TUCKER_x000D_
http://yeinfo.com/family/I09000434.html_x000D_
https://www.google.com/search?q=JOSEPH+TUCKER+1725+1780+LUCY_x000D_
.born: 1725    -          North Carolina_x000D_
.died: 1780    -          North Carolina, age:55y 0m 0d, _x000D_
.bapt: 1785GE_x000D_
.will: 2004MO_x000D_
.obit: 1890OH_x000D_
.bury: 1850IL _x000D_
.wpbt: 1826PA_x000D_
.anc#:ancestor_x000D_
citiz:US born_x000D_
#spos:1_x000D_
#srcs:1_x000D_
#comment:0_x000D_
#events:1_x000D_
#kids:1_x000D_
lived:NC_x000D_
issue:_x000D_
.recs:Birth,Marriage,Death_x000D_
.imm?:no_x000D_
..Spo:LUCY WILSON</t>
        </r>
      </text>
    </comment>
    <comment ref="I10040" authorId="0" shapeId="0" xr:uid="{A53E316C-3390-4A2C-A3F0-75E8E473EF33}">
      <text>
        <r>
          <rPr>
            <sz val="9"/>
            <color indexed="81"/>
            <rFont val="Tahoma"/>
            <family val="2"/>
          </rPr>
          <t>ANN TUCKER_x000D_
http://yeinfo.com/family/I09000217.html_x000D_
https://www.google.com/search?q=ANN+TUCKER+1745+1805+RAGLAND_x000D_
.born: 1745    -          Granville county North Carolina_x000D_
.died: 1805    -          Allen county Kentucky, age:60y 0m 0d, _x000D_
.bapt: 1785GE_x000D_
.will: 2004MO_x000D_
.obit: 1890OH_x000D_
.bury: 1850IL _x000D_
.wpbt: 1826PA_x000D_
.anc#:ancestor_x000D_
citiz:US born_x000D_
#spos:1_x000D_
#srcs:1_x000D_
#comment:2_x000D_
#events:1_x000D_
#kids:1_x000D_
lived:KYALLEN,NCGRANV_x000D_
issue:_x000D_
.recs:Birth,Marriage,Death_x000D_
.imm?:no_x000D_
..Spo:BENJAMIN RAGLAND</t>
        </r>
      </text>
    </comment>
    <comment ref="J10042" authorId="0" shapeId="0" xr:uid="{0E618397-8147-43D2-923C-468AEDFFD077}">
      <text>
        <r>
          <rPr>
            <sz val="9"/>
            <color indexed="81"/>
            <rFont val="Tahoma"/>
            <family val="2"/>
          </rPr>
          <t>LUCY WILSON_x000D_
http://yeinfo.com/family/I09000435.html_x000D_
https://www.google.com/search?q=LUCY+WILSON+1720+1800+TUCKER_x000D_
.born:?1720    -          Granville county North Carolina_x000D_
.died:?1800    -         ?North Carolina, age:80y 0m 0d, _x000D_
.bapt: 1785GE_x000D_
.will: 2004MO_x000D_
.obit: 1890OH_x000D_
.bury: 1850IL _x000D_
.wpbt: 1826PA_x000D_
.anc#:ancestor_x000D_
citiz:US born_x000D_
#spos:1_x000D_
#srcs:1_x000D_
#comment:0_x000D_
#events:2_x000D_
#kids:1_x000D_
lived:NCFRKLNLOUISBU,NCGRANV_x000D_
issue:_x000D_
.recs:Birth,Marriage,Death_x000D_
.imm?:no_x000D_
..Spo:JOSEPH TUCKER</t>
        </r>
      </text>
    </comment>
    <comment ref="G10044" authorId="0" shapeId="0" xr:uid="{602137FD-A0F5-42A5-97C5-695C781980D9}">
      <text>
        <r>
          <rPr>
            <sz val="9"/>
            <color indexed="81"/>
            <rFont val="Tahoma"/>
            <family val="2"/>
          </rPr>
          <t>HAWKINS RAGLAND_x000D_
http://yeinfo.com/family/I09000054.html_x000D_
https://www.google.com/search?q=HAWKINS+RAGLAND+1812+1881+LUCINDA_x000D_
.born: 18120927-          Barren county Kentucky_x000D_
.died: 1881    -          Tamaroa (Perry) Illinois, age:68y 3m 5d, _x000D_
.bapt: 1785GE_x000D_
.will: 2004MO_x000D_
.obit: 1890OH_x000D_
.bury: 1850IL Bethel Cemetery row 14 center_x000D_
.wpbt: 1826PA_x000D_
.anc#:ancestor_x000D_
citiz:US born_x000D_
#spos:2_x000D_
#srcs:4_x000D_
#comment:1_x000D_
#events:11_x000D_
#kids:4_x000D_
lived:ILPERRYSWANWIK,ILPERRYTAMAROA,ILWASHI,KYBRREN_x000D_
issue:_x000D_
.recs:Birth,Military,Marriage,Will Written,Death,Interment/Burial,Gov't Court_x000D_
.imm?:no_x000D_
..Spo:LUCINDA SPENCER</t>
        </r>
      </text>
    </comment>
    <comment ref="N10046" authorId="0" shapeId="0" xr:uid="{7A2F8026-0A98-4FD4-8E76-77E801D98177}">
      <text>
        <r>
          <rPr>
            <sz val="9"/>
            <color indexed="81"/>
            <rFont val="Tahoma"/>
            <family val="2"/>
          </rPr>
          <t>WILLIAM HAWKINS Jr._x000D_
http://yeinfo.com/family/I09006976.html_x000D_
https://www.google.com/search?q=WILLIAM+HAWKINS+1587+1655+SARAH_x000D_
.born:c15870228-          Plymouth (Devon) England_x000D_
.died:a16550635-          York county Virginia, age:68y 4m 7d, _x000D_
.bapt: 1785GE_x000D_
.will: 2004MO_x000D_
.obit: 1890OH_x000D_
.bury: 1850IL _x000D_
.wpbt: 1826PA_x000D_
.anc#:ancestor_x000D_
citiz:immigrant_x000D_
#spos:1_x000D_
#srcs:1_x000D_
#comment:1_x000D_
#events:1_x000D_
#kids:1_x000D_
lived:ENDEVONPLYMOUT,VAYORK_x000D_
issue:_x000D_
.recs:Birth,Marriage,Death_x000D_
.imm?:immigrant_x000D_
..Spo:SARAH KAHN</t>
        </r>
      </text>
    </comment>
    <comment ref="M10048" authorId="0" shapeId="0" xr:uid="{5BABD595-117D-4BAA-B3ED-C3618D467FBD}">
      <text>
        <r>
          <rPr>
            <sz val="9"/>
            <color indexed="81"/>
            <rFont val="Tahoma"/>
            <family val="2"/>
          </rPr>
          <t>JOHN EDWARD HAWKINS_x000D_
http://yeinfo.com/family/I09003488.html_x000D_
https://www.google.com/search?q=JOHN+EDWARD+HAWKINS+1633+1675+{_?_}_x000D_
.born: 1633    -          Dartmouth (Devon) England_x000D_
.died: 1675    -          York county Virginia, age:42y 0m 0d, _x000D_
.bapt: 1785GE_x000D_
.will: 2004MO_x000D_
.obit: 1890OH_x000D_
.bury: 1850IL _x000D_
.wpbt: 1826PA_x000D_
.anc#:ancestor_x000D_
citiz:immigrant_x000D_
#spos:1_x000D_
#srcs:1_x000D_
#comment:0_x000D_
#events:1_x000D_
#kids:1_x000D_
lived:ENDEVONDARTMOU,VAYORK_x000D_
issue:_x000D_
.recs:Birth,Marriage,Death_x000D_
.imm?:immigrant_x000D_
..Spo:{_?_} HAWKINS</t>
        </r>
      </text>
    </comment>
    <comment ref="N10050" authorId="0" shapeId="0" xr:uid="{286FD7DA-50C6-4B6C-A068-ABA3966C593E}">
      <text>
        <r>
          <rPr>
            <sz val="9"/>
            <color indexed="81"/>
            <rFont val="Tahoma"/>
            <family val="2"/>
          </rPr>
          <t>SARAH KAHN_x000D_
http://yeinfo.com/family/I09006977.html_x000D_
https://www.google.com/search?q=SARAH+KAHN+1588+1665+HAWKINS_x000D_
.born: 1588    -          England_x000D_
.died: 1665    -          Virginia, age:77y 0m 0d, _x000D_
.bapt: 1785GE_x000D_
.will: 2004MO_x000D_
.obit: 1890OH_x000D_
.bury: 1850IL _x000D_
.wpbt: 1826PA_x000D_
.anc#:ancestor_x000D_
citiz:immigrant_x000D_
#spos:1_x000D_
#srcs:1_x000D_
#comment:0_x000D_
#events:1_x000D_
#kids:1_x000D_
lived:?ENDEVONPLYMOUT,EN,VA_x000D_
issue:_x000D_
.recs:Birth,Marriage,Death_x000D_
.imm?:immigrant_x000D_
..Spo:WILLIAM HAWKINS</t>
        </r>
      </text>
    </comment>
    <comment ref="L10052" authorId="0" shapeId="0" xr:uid="{1A8E112B-F063-4F86-829D-474BDA0776C9}">
      <text>
        <r>
          <rPr>
            <sz val="9"/>
            <color indexed="81"/>
            <rFont val="Tahoma"/>
            <family val="2"/>
          </rPr>
          <t>EDWARD HAWKINS_x000D_
http://yeinfo.com/family/I09001744.html_x000D_
https://www.google.com/search?q=EDWARD+HAWKINS+1660+1720+{_?_}_x000D_
.born: 1660    -          York county Virginia_x000D_
.died: 1720    -          Prince George county Virginia, age:60y 0m 0d, _x000D_
.bapt: 1785GE_x000D_
.will: 2004MO_x000D_
.obit: 1890OH_x000D_
.bury: 1850IL _x000D_
.wpbt: 1826PA_x000D_
.anc#:ancestor_x000D_
citiz:US born_x000D_
#spos:1_x000D_
#srcs:1_x000D_
#comment:0_x000D_
#events:1_x000D_
#kids:1_x000D_
lived:VAPRING,VAYORK_x000D_
issue:_x000D_
.recs:Birth,Marriage,Death_x000D_
.imm?:no_x000D_
..Spo:{_?_} HAWKINS</t>
        </r>
      </text>
    </comment>
    <comment ref="M10054" authorId="0" shapeId="0" xr:uid="{87667714-B515-43A9-992D-D0F530E01C9B}">
      <text>
        <r>
          <rPr>
            <sz val="9"/>
            <color indexed="81"/>
            <rFont val="Tahoma"/>
            <family val="2"/>
          </rPr>
          <t>Mrs. {_?_} HAWKINS_x000D_
http://yeinfo.com/family/I09003489.html_x000D_
https://www.google.com/search?q={_?_}+HAWKINS+1635+1660+HAWKINS_x000D_
.born:?1635    -         ?England_x000D_
.died: 1660    -1730     ?Virginia, age:25y 0m 0d, _x000D_
.bapt: 1785GE_x000D_
.will: 2004MO_x000D_
.obit: 1890OH_x000D_
.bury: 1850IL _x000D_
.wpbt: 1826PA_x000D_
.anc#:ancestor_x000D_
citiz:immigrant_x000D_
#spos:1_x000D_
#srcs:1_x000D_
#comment:0_x000D_
#events:1_x000D_
#kids:1_x000D_
lived:?EN,?VA_x000D_
issue:_x000D_
.recs:Birth,Marriage,Death_x000D_
.imm?:immigrant_x000D_
..Spo:JOHN EDWARD HAWKINS</t>
        </r>
      </text>
    </comment>
    <comment ref="K10056" authorId="0" shapeId="0" xr:uid="{40200391-1F9E-45D0-8D5F-96A4316A27AF}">
      <text>
        <r>
          <rPr>
            <sz val="9"/>
            <color indexed="81"/>
            <rFont val="Tahoma"/>
            <family val="2"/>
          </rPr>
          <t>MICHAEL HAWKINS_x000D_
http://yeinfo.com/family/I09000872.html_x000D_
https://www.google.com/search?q=MICHAEL+HAWKINS+1695+1752+AGNES_x000D_
.born:?1695    -          York county Virginia_x000D_
.died: 1752    -          Bristol (Prince George) Virginia, age:57y 0m 0d, _x000D_
.bapt: 1785GE_x000D_
.will: 2004MO_x000D_
.obit: 1890OH_x000D_
.bury: 1850IL _x000D_
.wpbt: 1826PA_x000D_
.anc#:ancestor_x000D_
citiz:US born_x000D_
#spos:1_x000D_
#srcs:1_x000D_
#comment:1_x000D_
#events:1_x000D_
#kids:1_x000D_
lived:VAPRINGBRISTOL,VAPRINGPRINGEO,VAYORK_x000D_
issue:_x000D_
.recs:Birth,Marriage,Death_x000D_
.imm?:no_x000D_
..Spo:AGNES EATON</t>
        </r>
      </text>
    </comment>
    <comment ref="L10058" authorId="0" shapeId="0" xr:uid="{61C3E357-0D63-4C40-81E4-A9B7B0B9BE4B}">
      <text>
        <r>
          <rPr>
            <sz val="9"/>
            <color indexed="81"/>
            <rFont val="Tahoma"/>
            <family val="2"/>
          </rPr>
          <t>Mrs. {_?_} HAWKINS_x000D_
http://yeinfo.com/family/I09001745.html_x000D_
https://www.google.com/search?q={_?_}+HAWKINS+1665+1695+HAWKINS_x000D_
.born:?1665    -         ?Virginia_x000D_
.died: 1695    -1765     ?, age:30y 0m 0d, _x000D_
.bapt: 1785GE_x000D_
.will: 2004MO_x000D_
.obit: 1890OH_x000D_
.bury: 1850IL _x000D_
.wpbt: 1826PA_x000D_
.anc#:ancestor_x000D_
citiz:US born_x000D_
#spos:1_x000D_
#srcs:1_x000D_
#comment:0_x000D_
#events:1_x000D_
#kids:1_x000D_
lived:?VA_x000D_
issue:_x000D_
.recs:Birth,Marriage,Death_x000D_
.imm?:no_x000D_
..Spo:EDWARD HAWKINS</t>
        </r>
      </text>
    </comment>
    <comment ref="J10060" authorId="0" shapeId="0" xr:uid="{0F98255F-CA40-487E-B4AD-087C37D76728}">
      <text>
        <r>
          <rPr>
            <sz val="9"/>
            <color indexed="81"/>
            <rFont val="Tahoma"/>
            <family val="2"/>
          </rPr>
          <t>JOSHUA HAWKINS_x000D_
http://yeinfo.com/family/I09000436.html_x000D_
https://www.google.com/search?q=JOSHUA+HAWKINS+1725+1803+SARAH_x000D_
.born: 17250725-          Prince George county Virginia_x000D_
.died: 18030812-          Travelers Rest (Greenville) South Carolina, age:78y 0m 18d, _x000D_
.bapt: 1785GE_x000D_
.will: 2004MO_x000D_
.obit: 1890OH_x000D_
.bury: 1850IL Reedy River Baptist Church Cemetery_x000D_
.wpbt: 1826PA_x000D_
.anc#:ancestor_x000D_
citiz:US born_x000D_
#spos:1_x000D_
#srcs:1_x000D_
#comment:2_x000D_
#events:6_x000D_
#kids:1_x000D_
lived:SCGRNVLGREENVI,SCGRNVLTRAVELR,VALUNEN,VAPRING_x000D_
issue:_x000D_
.recs:Birth,Military,Marriage,Will Written,Death,Interment/Burial_x000D_
.imm?:no_x000D_
..Spo:SARAH COOK</t>
        </r>
      </text>
    </comment>
    <comment ref="L10062" authorId="0" shapeId="0" xr:uid="{470958DC-B860-4DD6-893E-5C452AE01771}">
      <text>
        <r>
          <rPr>
            <sz val="9"/>
            <color indexed="81"/>
            <rFont val="Tahoma"/>
            <family val="2"/>
          </rPr>
          <t>WILLIAM MARABLE EATON_x000D_
http://yeinfo.com/family/I09001746.html_x000D_
https://www.google.com/search?q=WILLIAM+MARABLE+EATON+1670+1714+SARAH_x000D_
.born:?1670    -          York county Virginia_x000D_
.died:?1714    -          York county Virginia, age:44y 0m 0d, _x000D_
.bapt: 1785GE_x000D_
.will: 2004MO_x000D_
.obit: 1890OH_x000D_
.bury: 1850IL _x000D_
.wpbt: 1826PA_x000D_
.anc#:ancestor_x000D_
citiz:US born_x000D_
#spos:1_x000D_
#srcs:1_x000D_
#comment:0_x000D_
#events:1_x000D_
#kids:1_x000D_
lived:VAYORK_x000D_
issue:_x000D_
.recs:Birth,Marriage,Death_x000D_
.imm?:no_x000D_
..Spo:SARAH PINKETHMAN</t>
        </r>
      </text>
    </comment>
    <comment ref="K10064" authorId="0" shapeId="0" xr:uid="{862043A0-B0CF-4FFF-A170-3D47DD8E4EDB}">
      <text>
        <r>
          <rPr>
            <sz val="9"/>
            <color indexed="81"/>
            <rFont val="Tahoma"/>
            <family val="2"/>
          </rPr>
          <t>AGNES EATON_x000D_
http://yeinfo.com/family/I09000873.html_x000D_
https://www.google.com/search?q=AGNES+EATON+1695+1755+HAWKINS_x000D_
.born: 1695    -          Prince George county Virginia_x000D_
.died: 1755    -          Laurel county Kentucky, age:60y 0m 0d, _x000D_
.bapt: 1785GE_x000D_
.will: 2004MO_x000D_
.obit: 1890OH_x000D_
.bury: 1850IL _x000D_
.wpbt: 1826PA_x000D_
.anc#:ancestor_x000D_
citiz:US born_x000D_
#spos:1_x000D_
#srcs:1_x000D_
#comment:1_x000D_
#events:1_x000D_
#kids:1_x000D_
lived:KYLAURE,VAPRING_x000D_
issue:_x000D_
.recs:Birth,Marriage,Death_x000D_
.imm?:no_x000D_
..Spo:MICHAEL HAWKINS</t>
        </r>
      </text>
    </comment>
    <comment ref="N10066" authorId="0" shapeId="0" xr:uid="{189D2AAC-6175-4710-9822-4845397ADDAC}">
      <text>
        <r>
          <rPr>
            <sz val="9"/>
            <color indexed="81"/>
            <rFont val="Tahoma"/>
            <family val="2"/>
          </rPr>
          <t>TIMOTHY PINKETHMAN_x000D_
http://yeinfo.com/family/I09006988.html_x000D_
https://www.google.com/search?q=TIMOTHY+PINKETHMAN+1610+1672+JOANNE_x000D_
.born:?1610    -          England_x000D_
.died: 16721206-          York county Virginia, age:62y 11m 5d, _x000D_
.bapt: 1785GE_x000D_
.will: 2004MO_x000D_
.obit: 1890OH_x000D_
.bury: 1850IL _x000D_
.wpbt: 1826PA_x000D_
.anc#:ancestor_x000D_
citiz:immigrant_x000D_
#spos:1_x000D_
#srcs:1_x000D_
#comment:0_x000D_
#events:1_x000D_
#kids:1_x000D_
lived:EN,VAYORK_x000D_
issue:_x000D_
.recs:Birth,Marriage,Death_x000D_
.imm?:immigrant_x000D_
..Spo:JOANNE BIRCH</t>
        </r>
      </text>
    </comment>
    <comment ref="M10068" authorId="0" shapeId="0" xr:uid="{AAAAA321-DF0A-4437-AA51-802A3A87125B}">
      <text>
        <r>
          <rPr>
            <sz val="9"/>
            <color indexed="81"/>
            <rFont val="Tahoma"/>
            <family val="2"/>
          </rPr>
          <t>WILLIAM PINKETHMAN_x000D_
http://yeinfo.com/family/I09003494.html_x000D_
https://www.google.com/search?q=WILLIAM+PINKETHMAN+1653+1713+{_?_}_x000D_
.born: 1653    -          York county Virginia_x000D_
.died:a17130216-          York county Virginia, age:60y 1m 15d, _x000D_
.bapt: 1785GE_x000D_
.will: 2004MO_x000D_
.obit: 1890OH_x000D_
.bury: 1850IL _x000D_
.wpbt: 1826PA_x000D_
.anc#:ancestor_x000D_
citiz:US born_x000D_
#spos:1_x000D_
#srcs:1_x000D_
#comment:0_x000D_
#events:1_x000D_
#kids:1_x000D_
lived:VAYORK_x000D_
issue:_x000D_
.recs:Birth,Marriage,Death_x000D_
.imm?:no_x000D_
..Spo:{_?_} PINKETHMAN</t>
        </r>
      </text>
    </comment>
    <comment ref="N10070" authorId="0" shapeId="0" xr:uid="{3F747F9D-1417-4EAE-9F5B-6D39F3AE4953}">
      <text>
        <r>
          <rPr>
            <sz val="9"/>
            <color indexed="81"/>
            <rFont val="Tahoma"/>
            <family val="2"/>
          </rPr>
          <t>JOANNE BIRCH_x000D_
http://yeinfo.com/family/I09006989.html_x000D_
https://www.google.com/search?q=JOANNE+BIRCH+1630+1653+PINKETHMAN_x000D_
.born:?1630    -          Manchester (Lancashire) England_x000D_
.died: 1653    -1723     ?Virginia, age:23y 0m 0d, _x000D_
.bapt: 1785GE_x000D_
.will: 2004MO_x000D_
.obit: 1890OH_x000D_
.bury: 1850IL _x000D_
.wpbt: 1826PA_x000D_
.anc#:ancestor_x000D_
citiz:immigrant_x000D_
#spos:1_x000D_
#srcs:1_x000D_
#comment:1_x000D_
#events:1_x000D_
#kids:1_x000D_
lived:?VA,ENLANCSMANCHES_x000D_
issue:_x000D_
.recs:Birth,Marriage,Death_x000D_
.imm?:immigrant_x000D_
..Spo:TIMOTHY PINKETHMAN</t>
        </r>
      </text>
    </comment>
    <comment ref="L10072" authorId="0" shapeId="0" xr:uid="{86011410-D280-49E3-85E1-535A4F9A6316}">
      <text>
        <r>
          <rPr>
            <sz val="9"/>
            <color indexed="81"/>
            <rFont val="Tahoma"/>
            <family val="2"/>
          </rPr>
          <t>SARAH PINKETHMAN_x000D_
http://yeinfo.com/family/I09001747.html_x000D_
https://www.google.com/search?q=SARAH+PINKETHMAN+1674+1714+EATON_x000D_
.born: 1674    -          Bruton (York) Virginia_x000D_
.died:p1714    -         ?Virginia, age:40y 0m 0d, _x000D_
.bapt: 1785GE_x000D_
.will: 2004MO_x000D_
.obit: 1890OH_x000D_
.bury: 1850IL _x000D_
.wpbt: 1826PA_x000D_
.anc#:ancestor_x000D_
citiz:US born_x000D_
#spos:1_x000D_
#srcs:1_x000D_
#comment:0_x000D_
#events:1_x000D_
#kids:1_x000D_
lived:VAYORK BRUTON_x000D_
issue:_x000D_
.recs:Birth,Marriage,Death_x000D_
.imm?:no_x000D_
..Spo:WILLIAM MARABLE EATON</t>
        </r>
      </text>
    </comment>
    <comment ref="M10074" authorId="0" shapeId="0" xr:uid="{23047E11-3FD6-482E-AAD8-EAA566140944}">
      <text>
        <r>
          <rPr>
            <sz val="9"/>
            <color indexed="81"/>
            <rFont val="Tahoma"/>
            <family val="2"/>
          </rPr>
          <t>Mrs. {_?_} PINKETHMAN_x000D_
http://yeinfo.com/family/I09003495.html_x000D_
https://www.google.com/search?q={_?_}+PINKETHMAN+1654+1674+PINKETHMAN_x000D_
.born:?1654    -         ?Virginia_x000D_
.died: 1674    -1744     ?Virginia, age:20y 0m 0d, _x000D_
.bapt: 1785GE_x000D_
.will: 2004MO_x000D_
.obit: 1890OH_x000D_
.bury: 1850IL _x000D_
.wpbt: 1826PA_x000D_
.anc#:ancestor_x000D_
citiz:US born_x000D_
#spos:1_x000D_
#srcs:1_x000D_
#comment:0_x000D_
#events:1_x000D_
#kids:1_x000D_
lived:?VA_x000D_
issue:_x000D_
.recs:Birth,Marriage,Death_x000D_
.imm?:no_x000D_
..Spo:WILLIAM PINKETHMAN</t>
        </r>
      </text>
    </comment>
    <comment ref="I10076" authorId="0" shapeId="0" xr:uid="{CB57C04B-9A5D-4558-8C7E-46A33D4BEA43}">
      <text>
        <r>
          <rPr>
            <sz val="9"/>
            <color indexed="81"/>
            <rFont val="Tahoma"/>
            <family val="2"/>
          </rPr>
          <t>WILLIAM EATON ROBERT HAWKINS_x000D_
http://yeinfo.com/family/I09000218.html_x000D_
https://www.google.com/search?q=WILLIAM+EATON+ROBERT+HAWKINS+1750+1812+ELIZABETH+CATHERINE_x000D_
.born:?1750    -          Lunenburg county Virginia_x000D_
.died: 18120125-          Greenville county South Carolina, age:62y 0m 24d, _x000D_
.bapt: 1785GE_x000D_
.will: 2004MO_x000D_
.obit: 1890OH_x000D_
.bury: 1850IL Reedy River Baptist Church Cemetery_x000D_
.wpbt: 1826PA_x000D_
.anc#:ancestor_x000D_
citiz:US born_x000D_
#spos:1_x000D_
#srcs:2_x000D_
#comment:1_x000D_
#events:7_x000D_
#kids:1_x000D_
lived:SCGRNVLGREENVI,VALUNEN_x000D_
issue:_x000D_
.recs:Birth,Marriage,Will Written,Death,Interment/Burial_x000D_
.imm?:no_x000D_
..Spo:ELIZABETH CATHERINE BOLLING</t>
        </r>
      </text>
    </comment>
    <comment ref="J10078" authorId="0" shapeId="0" xr:uid="{84A112AE-3AAB-44BF-B378-26A89558035D}">
      <text>
        <r>
          <rPr>
            <sz val="9"/>
            <color indexed="81"/>
            <rFont val="Tahoma"/>
            <family val="2"/>
          </rPr>
          <t>SARAH COOK_x000D_
http://yeinfo.com/family/I09000437.html_x000D_
https://www.google.com/search?q=SARAH+COOK+1725+1803+HAWKINS_x000D_
.born: 17251217-          Prince George county Virginia_x000D_
.died: 18030812-          Greenville (Greenville) South Carolina, age:77y 7m 26d, _x000D_
.bapt: 1785GE_x000D_
.will: 2004MO_x000D_
.obit: 1890OH_x000D_
.bury: 1850IL _x000D_
.wpbt: 1826PA_x000D_
.anc#:ancestor_x000D_
citiz:US born_x000D_
#spos:1_x000D_
#srcs:1_x000D_
#comment:2_x000D_
#events:2_x000D_
#kids:1_x000D_
lived:SCGRNVLGREENVI,VALUNEN,VAPRING_x000D_
issue:_x000D_
.recs:Birth,Marriage,Will Written,Death_x000D_
.imm?:no_x000D_
..Spo:JOSHUA HAWKINS</t>
        </r>
      </text>
    </comment>
    <comment ref="H10080" authorId="0" shapeId="0" xr:uid="{F0EAED7B-7F59-47B1-B2EA-3C91C638477C}">
      <text>
        <r>
          <rPr>
            <sz val="9"/>
            <color indexed="81"/>
            <rFont val="Tahoma"/>
            <family val="2"/>
          </rPr>
          <t>MARY\MARTHA POLLY HAWKINS_x000D_
http://yeinfo.com/family/I09000109.html_x000D_
https://www.google.com/search?q=MARY\MARTHA+POLLY+HAWKINS+1782+1843+RAGLAND_x000D_
.born:?1782    -          Greenville (Greenville) South Carolina_x000D_
.died: 1843    -          Washington county Illinois, age:61y 0m 0d, _x000D_
.bapt: 1785GE_x000D_
.will: 2004MO_x000D_
.obit: 1890OH_x000D_
.bury: 1850IL _x000D_
.wpbt: 1826PA_x000D_
.anc#:ancestor_x000D_
citiz:US born_x000D_
#spos:1_x000D_
#srcs:2_x000D_
#comment:3_x000D_
#events:2_x000D_
#kids:1_x000D_
lived:ILWASHI,KYALLEN,SCGRNVLGREENVI_x000D_
issue:Died after Age 100_x000D_
.recs:Birth,Marriage,Deed_x000D_
.imm?:no_x000D_
..Spo:JOHN B. RAGLAND</t>
        </r>
      </text>
    </comment>
    <comment ref="J10082" authorId="0" shapeId="0" xr:uid="{BE936430-A7E9-4CBC-9AA3-3CB3F0D6907A}">
      <text>
        <r>
          <rPr>
            <sz val="9"/>
            <color indexed="81"/>
            <rFont val="Tahoma"/>
            <family val="2"/>
          </rPr>
          <t>RANDOLPH WILLIAM BOLLING_x000D_
http://yeinfo.com/family/I09000438.html_x000D_
https://www.google.com/search?q=RANDOLPH+WILLIAM+BOLLING+1731+1776+{_?_}_x000D_
.born: 17310405-          Goochland (Goochland) Virginia_x000D_
.died: 17760405-          Goochland county Virginia, age:45y 0m 0d, _x000D_
.bapt: 1785GE_x000D_
.will: 2004MO_x000D_
.obit: 1890OH_x000D_
.bury: 1850IL _x000D_
.wpbt: 1826PA_x000D_
.anc#:ancestor_x000D_
citiz:US born_x000D_
#spos:1_x000D_
#srcs:2_x000D_
#comment:0_x000D_
#events:1_x000D_
#kids:1_x000D_
lived:VAGOLNDGOOCHLA_x000D_
issue:_x000D_
.recs:Birth,Marriage,Death_x000D_
.imm?:no_x000D_
..Spo:{_?_} BOLLING</t>
        </r>
      </text>
    </comment>
    <comment ref="I10084" authorId="0" shapeId="0" xr:uid="{2FF6E33D-2777-4021-90F8-FE0F8EDEAEFB}">
      <text>
        <r>
          <rPr>
            <sz val="9"/>
            <color indexed="81"/>
            <rFont val="Tahoma"/>
            <family val="2"/>
          </rPr>
          <t>ELIZABETH CATHERINE BOLLING_x000D_
http://yeinfo.com/family/I09000219.html_x000D_
https://www.google.com/search?q=ELIZABETH+CATHERINE+BOLLING+1754+1829+HAWKINS_x000D_
.born: 1754    -          Georgia_x000D_
.died: 1829    -          Greenville (Greenville) South Carolina, age:75y 0m 0d, _x000D_
.bapt: 1785GE_x000D_
.will: 2004MO_x000D_
.obit: 1890OH_x000D_
.bury: 1850IL Reedy River Baptist Church Cemetery_x000D_
.wpbt: 1826PA_x000D_
.anc#:ancestor_x000D_
citiz:US born_x000D_
#spos:1_x000D_
#srcs:2_x000D_
#comment:1_x000D_
#events:2_x000D_
#kids:1_x000D_
lived:GA,SCGRNVLGREENVI_x000D_
issue:Born before Parents Married_x000D_
.recs:Birth,Marriage,Death,Interment/Burial_x000D_
.imm?:no_x000D_
..Spo:WILLIAM EATON ROBERT HAWKINS</t>
        </r>
      </text>
    </comment>
    <comment ref="J10086" authorId="0" shapeId="0" xr:uid="{FDE32973-2089-4F9B-AF11-9DBE82219DDF}">
      <text>
        <r>
          <rPr>
            <sz val="9"/>
            <color indexed="81"/>
            <rFont val="Tahoma"/>
            <family val="2"/>
          </rPr>
          <t>Mrs. {_?_} BOLLING_x000D_
http://yeinfo.com/family/I09000439.html_x000D_
https://www.google.com/search?q={_?_}+BOLLING+1732+1755+BOLLING_x000D_
.born:?1732    -         ?Virginia_x000D_
.died: 1755    -1820     ?Virginia, age:23y 0m 0d, _x000D_
.bapt: 1785GE_x000D_
.will: 2004MO_x000D_
.obit: 1890OH_x000D_
.bury: 1850IL _x000D_
.wpbt: 1826PA_x000D_
.anc#:ancestor_x000D_
citiz:US born_x000D_
#spos:1_x000D_
#srcs:1_x000D_
#comment:0_x000D_
#events:1_x000D_
#kids:1_x000D_
lived:?VA_x000D_
issue:_x000D_
.recs:Birth,Marriage,Death_x000D_
.imm?:no_x000D_
..Spo:RANDOLPH WILLIAM BOLLING</t>
        </r>
      </text>
    </comment>
    <comment ref="F10088" authorId="0" shapeId="0" xr:uid="{2B4C2B25-8D91-41D3-B8D9-AF1A8BBCA9A2}">
      <text>
        <r>
          <rPr>
            <sz val="9"/>
            <color indexed="81"/>
            <rFont val="Tahoma"/>
            <family val="2"/>
          </rPr>
          <t>MARTHA R. RAGLAND_x000D_
http://yeinfo.com/family/I09000027.html_x000D_
https://www.google.com/search?q=MARTHA+R.+RAGLAND+1840+1881+BUHR_x000D_
.born: 18400807-          Plum Hill (Washington) Illinois_x000D_
.died: 18810915-          Amity (Clark) Arkansas, age:41y 1m 8d, _x000D_
.bapt: 1785GE_x000D_
.will: 2004MO_x000D_
.obit: 1890OH_x000D_
.bury: 1850IL _x000D_
.wpbt: 1826PA_x000D_
.anc#:ancestor_x000D_
citiz:US born_x000D_
#spos:1_x000D_
#srcs:2_x000D_
#comment:1_x000D_
#events:7_x000D_
#kids:4_x000D_
lived:ARCLARKAMITY,ARPIKE WHITE,ILPERRY,ILWASHIPLUMHIL_x000D_
issue:_x000D_
.recs:Birth,Marriage,Death,Image_x000D_
.imm?:no_x000D_
..Spo:WILLIAM DIETRICH BUHR</t>
        </r>
      </text>
    </comment>
    <comment ref="G10090" authorId="0" shapeId="0" xr:uid="{C434F842-0FB1-486A-83F7-ACB979D126D5}">
      <text>
        <r>
          <rPr>
            <sz val="9"/>
            <color indexed="81"/>
            <rFont val="Tahoma"/>
            <family val="2"/>
          </rPr>
          <t>LUCINDA SPENCER_x000D_
http://yeinfo.com/family/I09000055.html_x000D_
https://www.google.com/search?q=LUCINDA+SPENCER+1814+1856+RAGLAND_x000D_
.born: 18140318-          Kentucky_x000D_
.died: 18560425-          Washington county Illinois, age:42y 1m 7d, _x000D_
.bapt: 1785GE_x000D_
.will: 2004MO_x000D_
.obit: 1890OH_x000D_
.bury: 1850IL Wild Hyena Cemetery_x000D_
.wpbt: 1826PA_x000D_
.anc#:ancestor_x000D_
citiz:US born_x000D_
#spos:1_x000D_
#srcs:3_x000D_
#comment:1_x000D_
#events:4_x000D_
#kids:4_x000D_
lived:ILPERRYTAMAROA,ILWASHIJOHANNI,ILWASHIPLUMHIL,KY_x000D_
issue:_x000D_
.recs:Birth,Marriage,Death,Interment/Burial_x000D_
.imm?:no_x000D_
..Spo:HAWKINS RAGLAND</t>
        </r>
      </text>
    </comment>
    <comment ref="C10092" authorId="0" shapeId="0" xr:uid="{1789BD1E-4F70-4B5E-A702-EAE1DA7155F0}">
      <text>
        <r>
          <rPr>
            <sz val="9"/>
            <color indexed="81"/>
            <rFont val="Tahoma"/>
            <family val="2"/>
          </rPr>
          <t>Patricia Ann DEATON_x000D_
http://yeinfo.com/family/I09000003.html_x000D_
https://www.google.com/search?q=Patricia+Ann+DEATON+1932+2015+WILSON_x000D_
.born: 19320126-          Memphis (Shelby) Tennessee_x000D_
.died: 20150528-          Excelsior Springs (Clay) Missouri, age:83y 4m 2d, _x000D_
.bapt: 1785GE_x000D_
.will: 2004MO_x000D_
.obit: 1890OH_x000D_
.bury: 1850IL Crownhill Cemetery section 4, block 2, lot 52_x000D_
.wpbt: 1826PA_x000D_
.anc#:ancestor_x000D_
citiz:US born_x000D_
#spos:1_x000D_
#srcs:2_x000D_
#comment:2_x000D_
#events:20_x000D_
#kids:4_x000D_
lived:ARSEBASFT SMIT,MOCLAY EXCELSI,MOJACKSKANSASC,TNMADISBEMIS,TNMADISJACKSON,TNSHELBMEMPHIS_x000D_
issue:_x000D_
.recs:Birth,High School,College,Marriage,Job/Occupation,Will Written,Death,Interment/Burial,Obituary,Church,Image_x000D_
.imm?:no_x000D_
..Spo:Daniel Merideth WILSON</t>
        </r>
      </text>
    </comment>
    <comment ref="E10094" authorId="0" shapeId="0" xr:uid="{5B0FC272-F2A2-43B8-AB9F-094B8BD46423}">
      <text>
        <r>
          <rPr>
            <sz val="9"/>
            <color indexed="81"/>
            <rFont val="Tahoma"/>
            <family val="2"/>
          </rPr>
          <t>JOHN P. CAREY_x000D_
http://yeinfo.com/family/I09000014.html_x000D_
https://www.google.com/search?q=JOHN+P.+CAREY+1868+1893+CATHERINE+E._x000D_
.born: 1868    -          Ireland_x000D_
.died: 18930602-          Memphis (Shelby) Tennessee, age:25y 5m 1d, concussion of the brain_x000D_
.bapt: 1785GE_x000D_
.will: 2004MO_x000D_
.obit: 1890OH_x000D_
.bury: 1850IL Calvary Cemetery section A division 2, unmarked_x000D_
.wpbt: 1826PA_x000D_
.anc#:ancestor_x000D_
citiz:immigrant_x000D_
#spos:1_x000D_
#srcs:10_x000D_
#comment:1_x000D_
#events:7_x000D_
#kids:1_x000D_
lived:?EN,?IN,IRCORK FERMOY,TNSHELBMEMPHIS_x000D_
issue:_x000D_
.recs:Birth,Baptism,Marriage Intention/Bonds,Death,Obituary_x000D_
.imm?:immigrant_x000D_
..Spo:CATHERINE E. DOWLING</t>
        </r>
      </text>
    </comment>
    <comment ref="D10096" authorId="0" shapeId="0" xr:uid="{BAF3D0C5-59EC-462A-8D7C-5BE2E5D76B2C}">
      <text>
        <r>
          <rPr>
            <sz val="9"/>
            <color indexed="81"/>
            <rFont val="Tahoma"/>
            <family val="2"/>
          </rPr>
          <t>ANNA MAE CAREY_x000D_
http://yeinfo.com/family/I09000007.html_x000D_
https://www.google.com/search?q=ANNA+MAE+CAREY+1891+1953+DEATON_x000D_
.born: 18911027-          Memphis (Shelby) Tennessee_x000D_
.died: 19530920-          Memphis (Shelby) Tennessee, age:61y 10m 24d, _x000D_
.bapt: 1785GE_x000D_
.will: 2004MO_x000D_
.obit: 1890OH_x000D_
.bury: 1850IL Calvary Cemetery section 10_x000D_
.wpbt: 1826PA_x000D_
.anc#:ancestor_x000D_
citiz:US born_x000D_
#spos:1_x000D_
#srcs:3_x000D_
#comment:1_x000D_
#events:14_x000D_
#kids:4_x000D_
lived:TNSHELBMEMPHIS_x000D_
issue:_x000D_
.recs:Birth,Marriage Intention/Bonds,Death,Obituary,Land Transaction,Image_x000D_
.imm?:no_x000D_
..Spo:CHARLES FRANKLIN DEATON</t>
        </r>
      </text>
    </comment>
    <comment ref="G10098" authorId="0" shapeId="0" xr:uid="{0BD71131-8B27-4A9C-8534-0A8A7986D6F7}">
      <text>
        <r>
          <rPr>
            <sz val="9"/>
            <color indexed="81"/>
            <rFont val="Tahoma"/>
            <family val="2"/>
          </rPr>
          <t>HENRY DOWLING_x000D_
http://yeinfo.com/family/I09000060.html_x000D_
https://www.google.com/search?q=HENRY+DOWLING+1818+1838+ALICIA_x000D_
.born:?1818    -         ?Ireland_x000D_
.died: 1838    -1900     ?Ireland, age:20y 0m 0d, _x000D_
.bapt: 1785GE_x000D_
.will: 2004MO_x000D_
.obit: 1890OH_x000D_
.bury: 1850IL _x000D_
.wpbt: 1826PA_x000D_
.anc#:ancestor_x000D_
citiz:foreign_x000D_
#spos:1_x000D_
#srcs:1_x000D_
#comment:0_x000D_
#events:2_x000D_
#kids:1_x000D_
lived:?IRROSCO_x000D_
issue:_x000D_
.recs:Birth,Baptism,Marriage,Death_x000D_
.imm?:no_x000D_
..Spo:ALICIA COMPTON</t>
        </r>
      </text>
    </comment>
    <comment ref="F10100" authorId="0" shapeId="0" xr:uid="{C40C888A-4AD2-4F3D-84B7-DBD455FE97EF}">
      <text>
        <r>
          <rPr>
            <sz val="9"/>
            <color indexed="81"/>
            <rFont val="Tahoma"/>
            <family val="2"/>
          </rPr>
          <t>PAT DOWLING_x000D_
http://yeinfo.com/family/I09000030.html_x000D_
https://www.google.com/search?q=PAT+DOWLING+1838+1860+{_?_}_x000D_
.born:c1838    -          Ireland_x000D_
.died: 1860    -1920     ?Ireland, age:22y 0m 0d, _x000D_
.bapt: 1785GE_x000D_
.will: 2004MO_x000D_
.obit: 1890OH_x000D_
.bury: 1850IL _x000D_
.wpbt: 1826PA_x000D_
.anc#:ancestor_x000D_
citiz:foreign_x000D_
#spos:1_x000D_
#srcs:1_x000D_
#comment:0_x000D_
#events:4_x000D_
#kids:1_x000D_
lived:IRROSCO,NY     NEW YOR_x000D_
issue:_x000D_
.recs:Birth,Baptism,Marriage,Death_x000D_
.imm?:no_x000D_
..Spo:{_?_} DOWLING</t>
        </r>
      </text>
    </comment>
    <comment ref="G10102" authorId="0" shapeId="0" xr:uid="{00A03D23-96B8-4684-B345-5938EC612CE9}">
      <text>
        <r>
          <rPr>
            <sz val="9"/>
            <color indexed="81"/>
            <rFont val="Tahoma"/>
            <family val="2"/>
          </rPr>
          <t>ALICIA COMPTON_x000D_
http://yeinfo.com/family/I09000061.html_x000D_
https://www.google.com/search?q=ALICIA+COMPTON+1818+1838+DOWLING_x000D_
.born:?1818    -         ?Ireland_x000D_
.died: 1838    -1900     ?Ireland, age:20y 0m 0d, _x000D_
.bapt: 1785GE_x000D_
.will: 2004MO_x000D_
.obit: 1890OH_x000D_
.bury: 1850IL _x000D_
.wpbt: 1826PA_x000D_
.anc#:ancestor_x000D_
citiz:foreign_x000D_
#spos:1_x000D_
#srcs:1_x000D_
#comment:0_x000D_
#events:2_x000D_
#kids:1_x000D_
lived:?IRROSCO_x000D_
issue:_x000D_
.recs:Birth,Baptism,Marriage,Death_x000D_
.imm?:no_x000D_
..Spo:HENRY DOWLING</t>
        </r>
      </text>
    </comment>
    <comment ref="E10104" authorId="0" shapeId="0" xr:uid="{95846D2F-459E-412F-B596-BD20F2309928}">
      <text>
        <r>
          <rPr>
            <sz val="9"/>
            <color indexed="81"/>
            <rFont val="Tahoma"/>
            <family val="2"/>
          </rPr>
          <t>CATHERINE E. DOWLING_x000D_
http://yeinfo.com/family/I09000015.html_x000D_
https://www.google.com/search?q=CATHERINE+E.+DOWLING+1859+1912+JOHN+P._x000D_
.born: 185906  -          Bray (Wicklow) Ireland_x000D_
.died: 19120620-          Memphis (Shelby) Tennessee, age:53y 0m 19d, _x000D_
.bapt: 1785GE_x000D_
.will: 2004MO_x000D_
.obit: 1890OH_x000D_
.bury: 1850IL Calvary Cemetery section A division 3, unmarked_x000D_
.wpbt: 1826PA_x000D_
.anc#:ancestor_x000D_
citiz:immigrant_x000D_
#spos:2_x000D_
#srcs:11_x000D_
#comment:2_x000D_
#events:15_x000D_
#kids:1_x000D_
lived:IRWICKLBRAY,NY     NEW YOR,TNSHELBMEMPHIS_x000D_
issue:_x000D_
.recs:Birth,Baptism,Marriage Intention/Bonds,Death,Obituary,Immigrate_x000D_
.imm?:immigrant_x000D_
..Spo:</t>
        </r>
      </text>
    </comment>
    <comment ref="F10106" authorId="0" shapeId="0" xr:uid="{56E86330-8237-4AFE-BD70-F2A58D7216DB}">
      <text>
        <r>
          <rPr>
            <sz val="9"/>
            <color indexed="81"/>
            <rFont val="Tahoma"/>
            <family val="2"/>
          </rPr>
          <t>Mrs. {_?_} DOWLING_x000D_
http://yeinfo.com/family/I09000031.html_x000D_
https://www.google.com/search?q={_?_}+DOWLING+1840+1860+DOWLING_x000D_
.born:?1840    -         ?Ireland_x000D_
.died: 1860    -1920     ?Ireland, age:20y 0m 0d, _x000D_
.bapt: 1785GE_x000D_
.will: 2004MO_x000D_
.obit: 1890OH_x000D_
.bury: 1850IL _x000D_
.wpbt: 1826PA_x000D_
.anc#:ancestor_x000D_
citiz:foreign_x000D_
#spos:1_x000D_
#srcs:1_x000D_
#comment:0_x000D_
#events:2_x000D_
#kids:1_x000D_
lived:?IR_x000D_
issue:_x000D_
.recs:Birth,Marriage,Death_x000D_
.imm?:no_x000D_
..Spo:PAT DOWLING</t>
        </r>
      </text>
    </comment>
  </commentList>
</comments>
</file>

<file path=xl/sharedStrings.xml><?xml version="1.0" encoding="utf-8"?>
<sst xmlns="http://schemas.openxmlformats.org/spreadsheetml/2006/main" count="81319" uniqueCount="10">
  <si>
    <t xml:space="preserve">     L E G E N D :</t>
  </si>
  <si>
    <t>Males only in US</t>
  </si>
  <si>
    <t>Males Immig to US</t>
  </si>
  <si>
    <t>/</t>
  </si>
  <si>
    <t>Males never in US</t>
  </si>
  <si>
    <t>Females only in US</t>
  </si>
  <si>
    <t>\</t>
  </si>
  <si>
    <t>Females Immig to US</t>
  </si>
  <si>
    <t>|</t>
  </si>
  <si>
    <t>Females never in 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</si>
</sst>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theme="1"/>
      <name val="Britannic Bold"/>
      <family val="2"/>
    </font>
    <font>
      <b/>
      <u/>
      <sz val="11"/>
      <color rgb="FFFFFF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Britannic Bold"/>
      <family val="2"/>
    </font>
    <font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rgb="FFB2B2B2"/>
        <bgColor indexed="64"/>
      </patternFill>
    </fill>
    <fill>
      <patternFill patternType="solid">
        <fgColor rgb="FFA9C3ED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7D7DFF"/>
        <bgColor indexed="64"/>
      </patternFill>
    </fill>
    <fill>
      <patternFill patternType="solid">
        <fgColor rgb="FFEDA9C0"/>
        <bgColor indexed="64"/>
      </patternFill>
    </fill>
    <fill>
      <patternFill patternType="solid">
        <fgColor rgb="FFF542D7"/>
        <bgColor indexed="64"/>
      </patternFill>
    </fill>
    <fill>
      <patternFill patternType="solid">
        <fgColor rgb="FFEE5286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6">
    <xf numFmtId="0" fontId="0" fillId="0" borderId="0" xfId="0"/>
    <xf numFmtId="0" fontId="1" fillId="2" borderId="0" xfId="0" applyFont="1" applyFill="1"/>
    <xf numFmtId="0" fontId="0" fillId="2" borderId="0" xfId="0" applyFill="1"/>
    <xf numFmtId="0" fontId="1" fillId="3" borderId="0" xfId="0" applyFont="1" applyFill="1"/>
    <xf numFmtId="0" fontId="0" fillId="3" borderId="0" xfId="0" applyFill="1"/>
    <xf numFmtId="0" fontId="3" fillId="3" borderId="0" xfId="1" applyFont="1" applyFill="1"/>
    <xf numFmtId="0" fontId="4" fillId="4" borderId="0" xfId="0" applyFont="1" applyFill="1"/>
    <xf numFmtId="0" fontId="0" fillId="4" borderId="0" xfId="0" applyFill="1"/>
    <xf numFmtId="0" fontId="1" fillId="0" borderId="0" xfId="0" applyFont="1"/>
    <xf numFmtId="0" fontId="1" fillId="5" borderId="0" xfId="0" applyFont="1" applyFill="1"/>
    <xf numFmtId="0" fontId="0" fillId="5" borderId="0" xfId="0" applyFill="1"/>
    <xf numFmtId="0" fontId="1" fillId="6" borderId="0" xfId="0" applyFont="1" applyFill="1"/>
    <xf numFmtId="0" fontId="0" fillId="6" borderId="0" xfId="0" applyFill="1"/>
    <xf numFmtId="0" fontId="4" fillId="7" borderId="0" xfId="0" applyFont="1" applyFill="1"/>
    <xf numFmtId="0" fontId="0" fillId="7" borderId="0" xfId="0" applyFill="1"/>
    <xf numFmtId="0" fontId="5" fillId="0" borderId="0" xfId="0" applyFont="1"/>
    <xf numFmtId="0" fontId="3" fillId="6" borderId="0" xfId="1" applyFont="1" applyFill="1"/>
    <xf numFmtId="0" fontId="1" fillId="8" borderId="0" xfId="0" applyFont="1" applyFill="1"/>
    <xf numFmtId="0" fontId="0" fillId="8" borderId="0" xfId="0" applyFill="1"/>
    <xf numFmtId="0" fontId="3" fillId="5" borderId="0" xfId="1" applyFont="1" applyFill="1"/>
    <xf numFmtId="0" fontId="3" fillId="8" borderId="0" xfId="1" applyFont="1" applyFill="1"/>
    <xf numFmtId="0" fontId="6" fillId="4" borderId="0" xfId="1" applyFont="1" applyFill="1"/>
    <xf numFmtId="0" fontId="6" fillId="7" borderId="0" xfId="1" applyFont="1" applyFill="1"/>
    <xf numFmtId="0" fontId="7" fillId="3" borderId="0" xfId="0" applyFont="1" applyFill="1"/>
    <xf numFmtId="0" fontId="8" fillId="3" borderId="0" xfId="0" applyFont="1" applyFill="1"/>
    <xf numFmtId="0" fontId="7" fillId="6" borderId="0" xfId="0" applyFont="1" applyFill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A:\lmw\gen\_software_dev_by_larry\gen_master_of_all__revising.xlsm" TargetMode="External"/><Relationship Id="rId1" Type="http://schemas.openxmlformats.org/officeDocument/2006/relationships/externalLinkPath" Target="/lmw/gen/_software_dev_by_larry/gen_master_of_all__revising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kshts"/>
      <sheetName val="Rpts"/>
      <sheetName val="FldsMstr"/>
      <sheetName val="Consts"/>
      <sheetName val="DotDat"/>
      <sheetName val="DataLayouts"/>
      <sheetName val="RecordsHave"/>
      <sheetName val="ExceptionFlags"/>
      <sheetName val="LastIDs"/>
      <sheetName val="FGSInput"/>
      <sheetName val="PAF2Rpt"/>
      <sheetName val="AncCountyEvents"/>
      <sheetName val="Ahnentafel"/>
      <sheetName val="Pedigree"/>
      <sheetName val="Stats"/>
      <sheetName val="AncMajorEvents"/>
      <sheetName val="People"/>
      <sheetName val="ToResearch"/>
      <sheetName val="AncQuickRef"/>
      <sheetName val="AncByPlace"/>
      <sheetName val="AncEventsByYear"/>
      <sheetName val="Baptism"/>
      <sheetName val="Calendar"/>
      <sheetName val="Cemetery"/>
      <sheetName val="Census"/>
      <sheetName val="Chronology"/>
      <sheetName val="College"/>
      <sheetName val="DataIssues"/>
      <sheetName val="FirstName"/>
      <sheetName val="GovtCourt"/>
      <sheetName val="Immigrate"/>
      <sheetName val="Land&amp;Deed"/>
      <sheetName val="LastName"/>
      <sheetName val="Military"/>
      <sheetName val="Occupation"/>
      <sheetName val="PlacesIn"/>
      <sheetName val="Religion"/>
      <sheetName val="Ship"/>
      <sheetName val="SrcDocIn"/>
      <sheetName val="Will&amp;After"/>
      <sheetName val="WillIn&amp;Inherit"/>
      <sheetName val="AncsMapp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1F7E1-B938-45E6-88D2-41ADF4281CA9}">
  <sheetPr codeName="Sheet2"/>
  <dimension ref="A1:AI10106"/>
  <sheetViews>
    <sheetView tabSelected="1" zoomScale="55" zoomScaleNormal="55" workbookViewId="0">
      <pane ySplit="1" topLeftCell="A2" activePane="bottomLeft" state="frozen"/>
      <selection pane="bottomLeft" activeCell="A2" sqref="A2"/>
    </sheetView>
  </sheetViews>
  <sheetFormatPr defaultColWidth="10" defaultRowHeight="14.5" x14ac:dyDescent="0.35"/>
  <sheetData>
    <row r="1" spans="1:13" x14ac:dyDescent="0.35">
      <c r="A1" s="1" t="s">
        <v>0</v>
      </c>
      <c r="B1" s="2"/>
    </row>
    <row r="2" spans="1:13" x14ac:dyDescent="0.35">
      <c r="A2" s="3" t="s">
        <v>1</v>
      </c>
      <c r="B2" s="4"/>
      <c r="I2" s="5" t="str">
        <f>HYPERLINK("http://yeinfo.com/family/I09000064.html", "WILLIAM WILSON 1725 PA-1809 PA ID:09000128")</f>
        <v>WILLIAM WILSON 1725 PA-1809 PA ID:09000128</v>
      </c>
      <c r="J2" s="3"/>
      <c r="K2" s="3"/>
      <c r="L2" s="3"/>
      <c r="M2" s="3"/>
    </row>
    <row r="3" spans="1:13" x14ac:dyDescent="0.35">
      <c r="A3" s="6" t="s">
        <v>2</v>
      </c>
      <c r="B3" s="7"/>
      <c r="I3" s="8" t="s">
        <v>3</v>
      </c>
    </row>
    <row r="4" spans="1:13" x14ac:dyDescent="0.35">
      <c r="A4" s="9" t="s">
        <v>4</v>
      </c>
      <c r="B4" s="10"/>
      <c r="H4" s="5" t="str">
        <f>HYPERLINK("http://yeinfo.com/family/I09000032.html", "JAMES WILSON 1740 PA-1826 PA ID:09000064")</f>
        <v>JAMES WILSON 1740 PA-1826 PA ID:09000064</v>
      </c>
      <c r="I4" s="3"/>
      <c r="J4" s="3"/>
      <c r="K4" s="3"/>
      <c r="L4" s="3"/>
    </row>
    <row r="5" spans="1:13" x14ac:dyDescent="0.35">
      <c r="A5" s="11" t="s">
        <v>5</v>
      </c>
      <c r="B5" s="12"/>
      <c r="H5" s="8" t="s">
        <v>3</v>
      </c>
      <c r="I5" s="8" t="s">
        <v>6</v>
      </c>
    </row>
    <row r="6" spans="1:13" x14ac:dyDescent="0.35">
      <c r="A6" s="13" t="s">
        <v>7</v>
      </c>
      <c r="B6" s="14"/>
      <c r="H6" s="15" t="s">
        <v>8</v>
      </c>
      <c r="I6" s="16" t="str">
        <f>HYPERLINK("http://yeinfo.com/family/I09000128.html", "Mrs. {_?_} WILSON 1715 PA-1752 PA ID:09000129")</f>
        <v>Mrs. {_?_} WILSON 1715 PA-1752 PA ID:09000129</v>
      </c>
      <c r="J6" s="11"/>
      <c r="K6" s="11"/>
      <c r="L6" s="11"/>
      <c r="M6" s="11"/>
    </row>
    <row r="7" spans="1:13" x14ac:dyDescent="0.35">
      <c r="A7" s="17" t="s">
        <v>9</v>
      </c>
      <c r="B7" s="18"/>
      <c r="H7" s="15" t="s">
        <v>8</v>
      </c>
    </row>
    <row r="8" spans="1:13" x14ac:dyDescent="0.35">
      <c r="G8" s="5" t="str">
        <f>HYPERLINK("http://yeinfo.com/family/I09000016.html", "MATHEW WILSON 1777 PA-1864 OH ID:09000032")</f>
        <v>MATHEW WILSON 1777 PA-1864 OH ID:09000032</v>
      </c>
      <c r="H8" s="3"/>
      <c r="I8" s="3"/>
      <c r="J8" s="3"/>
      <c r="K8" s="3"/>
    </row>
    <row r="9" spans="1:13" x14ac:dyDescent="0.35">
      <c r="G9" s="8" t="s">
        <v>3</v>
      </c>
      <c r="H9" s="8" t="s">
        <v>6</v>
      </c>
    </row>
    <row r="10" spans="1:13" x14ac:dyDescent="0.35">
      <c r="G10" s="15" t="s">
        <v>8</v>
      </c>
      <c r="H10" s="16" t="str">
        <f>HYPERLINK("http://yeinfo.com/family/I09000129.html", "Mrs. {_?_} WILSON 1745 -1826 PA ID:09000065")</f>
        <v>Mrs. {_?_} WILSON 1745 -1826 PA ID:09000065</v>
      </c>
      <c r="I10" s="11"/>
      <c r="J10" s="11"/>
      <c r="K10" s="11"/>
      <c r="L10" s="11"/>
    </row>
    <row r="11" spans="1:13" x14ac:dyDescent="0.35">
      <c r="G11" s="15" t="s">
        <v>8</v>
      </c>
    </row>
    <row r="12" spans="1:13" x14ac:dyDescent="0.35">
      <c r="F12" s="5" t="str">
        <f>HYPERLINK("http://yeinfo.com/family/I09000008.html", "MATTHEW MEREDITH WILSON 1810 PA-1886 OH ID:09000016")</f>
        <v>MATTHEW MEREDITH WILSON 1810 PA-1886 OH ID:09000016</v>
      </c>
      <c r="G12" s="3"/>
      <c r="H12" s="3"/>
      <c r="I12" s="3"/>
      <c r="J12" s="3"/>
    </row>
    <row r="13" spans="1:13" x14ac:dyDescent="0.35">
      <c r="F13" s="8" t="s">
        <v>3</v>
      </c>
      <c r="G13" s="8" t="s">
        <v>6</v>
      </c>
    </row>
    <row r="14" spans="1:13" x14ac:dyDescent="0.35">
      <c r="F14" s="15" t="s">
        <v>8</v>
      </c>
      <c r="G14" s="16" t="str">
        <f>HYPERLINK("http://yeinfo.com/family/I09000065.html", "HANNAH MEREDITH 1779 PA-1849 OH ID:09000033")</f>
        <v>HANNAH MEREDITH 1779 PA-1849 OH ID:09000033</v>
      </c>
      <c r="H14" s="11"/>
      <c r="I14" s="11"/>
      <c r="J14" s="11"/>
      <c r="K14" s="11"/>
    </row>
    <row r="15" spans="1:13" x14ac:dyDescent="0.35">
      <c r="F15" s="15" t="s">
        <v>8</v>
      </c>
    </row>
    <row r="16" spans="1:13" x14ac:dyDescent="0.35">
      <c r="E16" s="5" t="str">
        <f>HYPERLINK("http://yeinfo.com/family/I09000004.html", "ROBERT STITT WILSON 1856 OH-1916 MO ID:09000008")</f>
        <v>ROBERT STITT WILSON 1856 OH-1916 MO ID:09000008</v>
      </c>
      <c r="F16" s="3"/>
      <c r="G16" s="3"/>
      <c r="H16" s="3"/>
      <c r="I16" s="3"/>
    </row>
    <row r="17" spans="5:16" x14ac:dyDescent="0.35">
      <c r="E17" s="8" t="s">
        <v>3</v>
      </c>
      <c r="F17" s="15" t="s">
        <v>8</v>
      </c>
    </row>
    <row r="18" spans="5:16" x14ac:dyDescent="0.35">
      <c r="E18" s="15" t="s">
        <v>8</v>
      </c>
      <c r="F18" s="15" t="s">
        <v>8</v>
      </c>
      <c r="L18" s="19" t="str">
        <f>HYPERLINK("http://yeinfo.com/family/I09000544.html", "JACOB HILDEBRAND 1624 GE-1644 GE ID:09001088")</f>
        <v>JACOB HILDEBRAND 1624 GE-1644 GE ID:09001088</v>
      </c>
      <c r="M18" s="9"/>
      <c r="N18" s="9"/>
      <c r="O18" s="9"/>
      <c r="P18" s="9"/>
    </row>
    <row r="19" spans="5:16" x14ac:dyDescent="0.35">
      <c r="E19" s="15" t="s">
        <v>8</v>
      </c>
      <c r="F19" s="15" t="s">
        <v>8</v>
      </c>
      <c r="L19" s="8" t="s">
        <v>3</v>
      </c>
    </row>
    <row r="20" spans="5:16" x14ac:dyDescent="0.35">
      <c r="E20" s="15" t="s">
        <v>8</v>
      </c>
      <c r="F20" s="15" t="s">
        <v>8</v>
      </c>
      <c r="K20" s="19" t="str">
        <f>HYPERLINK("http://yeinfo.com/family/I09000272.html", "HANS JACOB HILDEBRAND Sr. 1640 GE-1704 GE ID:09000544")</f>
        <v>HANS JACOB HILDEBRAND Sr. 1640 GE-1704 GE ID:09000544</v>
      </c>
      <c r="L20" s="9"/>
      <c r="M20" s="9"/>
      <c r="N20" s="9"/>
      <c r="O20" s="9"/>
    </row>
    <row r="21" spans="5:16" x14ac:dyDescent="0.35">
      <c r="E21" s="15" t="s">
        <v>8</v>
      </c>
      <c r="F21" s="15" t="s">
        <v>8</v>
      </c>
      <c r="K21" s="8" t="s">
        <v>3</v>
      </c>
      <c r="L21" s="8" t="s">
        <v>6</v>
      </c>
    </row>
    <row r="22" spans="5:16" x14ac:dyDescent="0.35">
      <c r="E22" s="15" t="s">
        <v>8</v>
      </c>
      <c r="F22" s="15" t="s">
        <v>8</v>
      </c>
      <c r="K22" s="15" t="s">
        <v>8</v>
      </c>
      <c r="L22" s="16" t="str">
        <f>HYPERLINK("http://yeinfo.com/family/I09001088.html", "Mrs. {_?_} HILDEBRAND 1625 -1645  ID:09001089")</f>
        <v>Mrs. {_?_} HILDEBRAND 1625 -1645  ID:09001089</v>
      </c>
      <c r="M22" s="11"/>
      <c r="N22" s="11"/>
      <c r="O22" s="11"/>
      <c r="P22" s="11"/>
    </row>
    <row r="23" spans="5:16" x14ac:dyDescent="0.35">
      <c r="E23" s="15" t="s">
        <v>8</v>
      </c>
      <c r="F23" s="15" t="s">
        <v>8</v>
      </c>
      <c r="K23" s="15" t="s">
        <v>8</v>
      </c>
    </row>
    <row r="24" spans="5:16" x14ac:dyDescent="0.35">
      <c r="E24" s="15" t="s">
        <v>8</v>
      </c>
      <c r="F24" s="15" t="s">
        <v>8</v>
      </c>
      <c r="J24" s="19" t="str">
        <f>HYPERLINK("http://yeinfo.com/family/I09000136.html", "HANS JACOB HILDEBRAND Jr. 1669 GE-1739 GE ID:09000272")</f>
        <v>HANS JACOB HILDEBRAND Jr. 1669 GE-1739 GE ID:09000272</v>
      </c>
      <c r="K24" s="9"/>
      <c r="L24" s="9"/>
      <c r="M24" s="9"/>
      <c r="N24" s="9"/>
    </row>
    <row r="25" spans="5:16" x14ac:dyDescent="0.35">
      <c r="E25" s="15" t="s">
        <v>8</v>
      </c>
      <c r="F25" s="15" t="s">
        <v>8</v>
      </c>
      <c r="J25" s="8" t="s">
        <v>3</v>
      </c>
      <c r="K25" s="15" t="s">
        <v>8</v>
      </c>
    </row>
    <row r="26" spans="5:16" x14ac:dyDescent="0.35">
      <c r="E26" s="15" t="s">
        <v>8</v>
      </c>
      <c r="F26" s="15" t="s">
        <v>8</v>
      </c>
      <c r="J26" s="15" t="s">
        <v>8</v>
      </c>
      <c r="K26" s="15" t="s">
        <v>8</v>
      </c>
      <c r="L26" s="19" t="str">
        <f>HYPERLINK("http://yeinfo.com/family/I09000545.html", "STEFFEN KRAFT 1617 GE-1677 GE ID:09001090")</f>
        <v>STEFFEN KRAFT 1617 GE-1677 GE ID:09001090</v>
      </c>
      <c r="M26" s="9"/>
      <c r="N26" s="9"/>
      <c r="O26" s="9"/>
      <c r="P26" s="9"/>
    </row>
    <row r="27" spans="5:16" x14ac:dyDescent="0.35">
      <c r="E27" s="15" t="s">
        <v>8</v>
      </c>
      <c r="F27" s="15" t="s">
        <v>8</v>
      </c>
      <c r="J27" s="15" t="s">
        <v>8</v>
      </c>
      <c r="K27" s="8" t="s">
        <v>6</v>
      </c>
      <c r="L27" s="8" t="s">
        <v>3</v>
      </c>
    </row>
    <row r="28" spans="5:16" x14ac:dyDescent="0.35">
      <c r="E28" s="15" t="s">
        <v>8</v>
      </c>
      <c r="F28" s="15" t="s">
        <v>8</v>
      </c>
      <c r="J28" s="15" t="s">
        <v>8</v>
      </c>
      <c r="K28" s="20" t="str">
        <f>HYPERLINK("http://yeinfo.com/family/I09001089.html", "ANNA KRAFT 1644 GE-1696 GE ID:09000545")</f>
        <v>ANNA KRAFT 1644 GE-1696 GE ID:09000545</v>
      </c>
      <c r="L28" s="17"/>
      <c r="M28" s="17"/>
      <c r="N28" s="17"/>
      <c r="O28" s="17"/>
    </row>
    <row r="29" spans="5:16" x14ac:dyDescent="0.35">
      <c r="E29" s="15" t="s">
        <v>8</v>
      </c>
      <c r="F29" s="15" t="s">
        <v>8</v>
      </c>
      <c r="J29" s="15" t="s">
        <v>8</v>
      </c>
      <c r="L29" s="8" t="s">
        <v>6</v>
      </c>
    </row>
    <row r="30" spans="5:16" x14ac:dyDescent="0.35">
      <c r="E30" s="15" t="s">
        <v>8</v>
      </c>
      <c r="F30" s="15" t="s">
        <v>8</v>
      </c>
      <c r="J30" s="15" t="s">
        <v>8</v>
      </c>
      <c r="L30" s="20" t="str">
        <f>HYPERLINK("http://yeinfo.com/family/I09001090.html", "ELISE BOHNER 1620 GE-1644 GE ID:09001091")</f>
        <v>ELISE BOHNER 1620 GE-1644 GE ID:09001091</v>
      </c>
      <c r="M30" s="17"/>
      <c r="N30" s="17"/>
      <c r="O30" s="17"/>
      <c r="P30" s="17"/>
    </row>
    <row r="31" spans="5:16" x14ac:dyDescent="0.35">
      <c r="E31" s="15" t="s">
        <v>8</v>
      </c>
      <c r="F31" s="15" t="s">
        <v>8</v>
      </c>
      <c r="J31" s="15" t="s">
        <v>8</v>
      </c>
    </row>
    <row r="32" spans="5:16" x14ac:dyDescent="0.35">
      <c r="E32" s="15" t="s">
        <v>8</v>
      </c>
      <c r="F32" s="15" t="s">
        <v>8</v>
      </c>
      <c r="I32" s="21" t="str">
        <f>HYPERLINK("http://yeinfo.com/family/I09000068.html", "JOHANN JACOB HILDEBRAND 1705 GE-1800 PA ID:09000136")</f>
        <v>JOHANN JACOB HILDEBRAND 1705 GE-1800 PA ID:09000136</v>
      </c>
      <c r="J32" s="6"/>
      <c r="K32" s="6"/>
      <c r="L32" s="6"/>
      <c r="M32" s="6"/>
    </row>
    <row r="33" spans="5:16" x14ac:dyDescent="0.35">
      <c r="E33" s="15" t="s">
        <v>8</v>
      </c>
      <c r="F33" s="15" t="s">
        <v>8</v>
      </c>
      <c r="I33" s="8" t="s">
        <v>3</v>
      </c>
      <c r="J33" s="8" t="s">
        <v>6</v>
      </c>
    </row>
    <row r="34" spans="5:16" x14ac:dyDescent="0.35">
      <c r="E34" s="15" t="s">
        <v>8</v>
      </c>
      <c r="F34" s="15" t="s">
        <v>8</v>
      </c>
      <c r="I34" s="15" t="s">
        <v>8</v>
      </c>
      <c r="J34" s="16" t="str">
        <f>HYPERLINK("http://yeinfo.com/family/I09001091.html", "ANNA CATHARINA MULLER 1670 GE-1716  ID:09000273")</f>
        <v>ANNA CATHARINA MULLER 1670 GE-1716  ID:09000273</v>
      </c>
      <c r="K34" s="11"/>
      <c r="L34" s="11"/>
      <c r="M34" s="11"/>
      <c r="N34" s="11"/>
    </row>
    <row r="35" spans="5:16" x14ac:dyDescent="0.35">
      <c r="E35" s="15" t="s">
        <v>8</v>
      </c>
      <c r="F35" s="15" t="s">
        <v>8</v>
      </c>
      <c r="I35" s="15" t="s">
        <v>8</v>
      </c>
    </row>
    <row r="36" spans="5:16" x14ac:dyDescent="0.35">
      <c r="E36" s="15" t="s">
        <v>8</v>
      </c>
      <c r="F36" s="15" t="s">
        <v>8</v>
      </c>
      <c r="H36" s="21" t="str">
        <f>HYPERLINK("http://yeinfo.com/family/I09000034.html", "ABRAHAM HILDEBRAND 1748 GE-1833 PA ID:09000068")</f>
        <v>ABRAHAM HILDEBRAND 1748 GE-1833 PA ID:09000068</v>
      </c>
      <c r="I36" s="6"/>
      <c r="J36" s="6"/>
      <c r="K36" s="6"/>
      <c r="L36" s="6"/>
    </row>
    <row r="37" spans="5:16" x14ac:dyDescent="0.35">
      <c r="E37" s="15" t="s">
        <v>8</v>
      </c>
      <c r="F37" s="15" t="s">
        <v>8</v>
      </c>
      <c r="H37" s="8" t="s">
        <v>3</v>
      </c>
      <c r="I37" s="8" t="s">
        <v>6</v>
      </c>
    </row>
    <row r="38" spans="5:16" x14ac:dyDescent="0.35">
      <c r="E38" s="15" t="s">
        <v>8</v>
      </c>
      <c r="F38" s="15" t="s">
        <v>8</v>
      </c>
      <c r="H38" s="15" t="s">
        <v>8</v>
      </c>
      <c r="I38" s="22" t="str">
        <f>HYPERLINK("http://yeinfo.com/family/I09000273.html", "MARIE ELIZABETH SCHNEIDER 1708 GE-1755 PA ID:09000137")</f>
        <v>MARIE ELIZABETH SCHNEIDER 1708 GE-1755 PA ID:09000137</v>
      </c>
      <c r="J38" s="13"/>
      <c r="K38" s="13"/>
      <c r="L38" s="13"/>
      <c r="M38" s="13"/>
    </row>
    <row r="39" spans="5:16" x14ac:dyDescent="0.35">
      <c r="E39" s="15" t="s">
        <v>8</v>
      </c>
      <c r="F39" s="15" t="s">
        <v>8</v>
      </c>
      <c r="H39" s="15" t="s">
        <v>8</v>
      </c>
    </row>
    <row r="40" spans="5:16" x14ac:dyDescent="0.35">
      <c r="E40" s="15" t="s">
        <v>8</v>
      </c>
      <c r="F40" s="15" t="s">
        <v>8</v>
      </c>
      <c r="G40" s="5" t="str">
        <f>HYPERLINK("http://yeinfo.com/family/I09000017.html", "JOHN HILDEBRAND 1779 PA-1877 PA ID:09000034")</f>
        <v>JOHN HILDEBRAND 1779 PA-1877 PA ID:09000034</v>
      </c>
      <c r="H40" s="3"/>
      <c r="I40" s="3"/>
      <c r="J40" s="3"/>
      <c r="K40" s="3"/>
    </row>
    <row r="41" spans="5:16" x14ac:dyDescent="0.35">
      <c r="E41" s="15" t="s">
        <v>8</v>
      </c>
      <c r="F41" s="15" t="s">
        <v>8</v>
      </c>
      <c r="G41" s="8" t="s">
        <v>3</v>
      </c>
      <c r="H41" s="15" t="s">
        <v>8</v>
      </c>
    </row>
    <row r="42" spans="5:16" x14ac:dyDescent="0.35">
      <c r="E42" s="15" t="s">
        <v>8</v>
      </c>
      <c r="F42" s="15" t="s">
        <v>8</v>
      </c>
      <c r="G42" s="15" t="s">
        <v>8</v>
      </c>
      <c r="H42" s="15" t="s">
        <v>8</v>
      </c>
      <c r="K42" s="21" t="str">
        <f>HYPERLINK("http://yeinfo.com/family/I09000276.html", "CHRISTIAN\HANS SHANTZ 1685 SZ-1753 PA ID:09000552")</f>
        <v>CHRISTIAN\HANS SHANTZ 1685 SZ-1753 PA ID:09000552</v>
      </c>
      <c r="L42" s="6"/>
      <c r="M42" s="6"/>
      <c r="N42" s="6"/>
      <c r="O42" s="6"/>
      <c r="P42" s="6"/>
    </row>
    <row r="43" spans="5:16" x14ac:dyDescent="0.35">
      <c r="E43" s="15" t="s">
        <v>8</v>
      </c>
      <c r="F43" s="15" t="s">
        <v>8</v>
      </c>
      <c r="G43" s="15" t="s">
        <v>8</v>
      </c>
      <c r="H43" s="15" t="s">
        <v>8</v>
      </c>
      <c r="K43" s="8" t="s">
        <v>3</v>
      </c>
    </row>
    <row r="44" spans="5:16" x14ac:dyDescent="0.35">
      <c r="E44" s="15" t="s">
        <v>8</v>
      </c>
      <c r="F44" s="15" t="s">
        <v>8</v>
      </c>
      <c r="G44" s="15" t="s">
        <v>8</v>
      </c>
      <c r="H44" s="15" t="s">
        <v>8</v>
      </c>
      <c r="J44" s="21" t="str">
        <f>HYPERLINK("http://yeinfo.com/family/I09000138.html", "CHRISTIAN SHANTZ 1715 SZ-1776 PA ID:09000276")</f>
        <v>CHRISTIAN SHANTZ 1715 SZ-1776 PA ID:09000276</v>
      </c>
      <c r="K44" s="6"/>
      <c r="L44" s="6"/>
      <c r="M44" s="6"/>
      <c r="N44" s="6"/>
    </row>
    <row r="45" spans="5:16" x14ac:dyDescent="0.35">
      <c r="E45" s="15" t="s">
        <v>8</v>
      </c>
      <c r="F45" s="15" t="s">
        <v>8</v>
      </c>
      <c r="G45" s="15" t="s">
        <v>8</v>
      </c>
      <c r="H45" s="15" t="s">
        <v>8</v>
      </c>
      <c r="J45" s="8" t="s">
        <v>3</v>
      </c>
      <c r="K45" s="8" t="s">
        <v>6</v>
      </c>
    </row>
    <row r="46" spans="5:16" x14ac:dyDescent="0.35">
      <c r="E46" s="15" t="s">
        <v>8</v>
      </c>
      <c r="F46" s="15" t="s">
        <v>8</v>
      </c>
      <c r="G46" s="15" t="s">
        <v>8</v>
      </c>
      <c r="H46" s="15" t="s">
        <v>8</v>
      </c>
      <c r="J46" s="15" t="s">
        <v>8</v>
      </c>
      <c r="K46" s="22" t="str">
        <f>HYPERLINK("http://yeinfo.com/family/I09000552.html", "Mrs. BARBARA SHANTZ 1693 SZ-1770 PA ID:09000553")</f>
        <v>Mrs. BARBARA SHANTZ 1693 SZ-1770 PA ID:09000553</v>
      </c>
      <c r="L46" s="13"/>
      <c r="M46" s="13"/>
      <c r="N46" s="13"/>
      <c r="O46" s="13"/>
    </row>
    <row r="47" spans="5:16" x14ac:dyDescent="0.35">
      <c r="E47" s="15" t="s">
        <v>8</v>
      </c>
      <c r="F47" s="15" t="s">
        <v>8</v>
      </c>
      <c r="G47" s="15" t="s">
        <v>8</v>
      </c>
      <c r="H47" s="15" t="s">
        <v>8</v>
      </c>
      <c r="J47" s="15" t="s">
        <v>8</v>
      </c>
    </row>
    <row r="48" spans="5:16" x14ac:dyDescent="0.35">
      <c r="E48" s="15" t="s">
        <v>8</v>
      </c>
      <c r="F48" s="15" t="s">
        <v>8</v>
      </c>
      <c r="G48" s="15" t="s">
        <v>8</v>
      </c>
      <c r="H48" s="15" t="s">
        <v>8</v>
      </c>
      <c r="I48" s="5" t="str">
        <f>HYPERLINK("http://yeinfo.com/family/I09000069.html", "JACOB PETER SHANTZ 1730 PA-1782 PA ID:09000138")</f>
        <v>JACOB PETER SHANTZ 1730 PA-1782 PA ID:09000138</v>
      </c>
      <c r="J48" s="3"/>
      <c r="K48" s="3"/>
      <c r="L48" s="3"/>
      <c r="M48" s="3"/>
    </row>
    <row r="49" spans="5:15" x14ac:dyDescent="0.35">
      <c r="E49" s="15" t="s">
        <v>8</v>
      </c>
      <c r="F49" s="15" t="s">
        <v>8</v>
      </c>
      <c r="G49" s="15" t="s">
        <v>8</v>
      </c>
      <c r="H49" s="15" t="s">
        <v>8</v>
      </c>
      <c r="I49" s="8" t="s">
        <v>3</v>
      </c>
      <c r="J49" s="8" t="s">
        <v>6</v>
      </c>
    </row>
    <row r="50" spans="5:15" x14ac:dyDescent="0.35">
      <c r="E50" s="15" t="s">
        <v>8</v>
      </c>
      <c r="F50" s="15" t="s">
        <v>8</v>
      </c>
      <c r="G50" s="15" t="s">
        <v>8</v>
      </c>
      <c r="H50" s="15" t="s">
        <v>8</v>
      </c>
      <c r="I50" s="15" t="s">
        <v>8</v>
      </c>
      <c r="J50" s="22" t="str">
        <f>HYPERLINK("http://yeinfo.com/family/I09000553.html", "Mrs. ANNA SHANTZ 1719 SZ-1739 PA ID:09000277")</f>
        <v>Mrs. ANNA SHANTZ 1719 SZ-1739 PA ID:09000277</v>
      </c>
      <c r="K50" s="13"/>
      <c r="L50" s="13"/>
      <c r="M50" s="13"/>
      <c r="N50" s="13"/>
    </row>
    <row r="51" spans="5:15" x14ac:dyDescent="0.35">
      <c r="E51" s="15" t="s">
        <v>8</v>
      </c>
      <c r="F51" s="15" t="s">
        <v>8</v>
      </c>
      <c r="G51" s="15" t="s">
        <v>8</v>
      </c>
      <c r="H51" s="8" t="s">
        <v>6</v>
      </c>
      <c r="I51" s="15" t="s">
        <v>8</v>
      </c>
    </row>
    <row r="52" spans="5:15" x14ac:dyDescent="0.35">
      <c r="E52" s="15" t="s">
        <v>8</v>
      </c>
      <c r="F52" s="15" t="s">
        <v>8</v>
      </c>
      <c r="G52" s="15" t="s">
        <v>8</v>
      </c>
      <c r="H52" s="16" t="str">
        <f>HYPERLINK("http://yeinfo.com/family/I09000137.html", "ANN\ANNA SHANTZ 1761 PA-1822 PA ID:09000069")</f>
        <v>ANN\ANNA SHANTZ 1761 PA-1822 PA ID:09000069</v>
      </c>
      <c r="I52" s="11"/>
      <c r="J52" s="11"/>
      <c r="K52" s="11"/>
      <c r="L52" s="11"/>
      <c r="M52" s="11"/>
    </row>
    <row r="53" spans="5:15" x14ac:dyDescent="0.35">
      <c r="E53" s="15" t="s">
        <v>8</v>
      </c>
      <c r="F53" s="15" t="s">
        <v>8</v>
      </c>
      <c r="G53" s="15" t="s">
        <v>8</v>
      </c>
      <c r="I53" s="15" t="s">
        <v>8</v>
      </c>
    </row>
    <row r="54" spans="5:15" x14ac:dyDescent="0.35">
      <c r="E54" s="15" t="s">
        <v>8</v>
      </c>
      <c r="F54" s="15" t="s">
        <v>8</v>
      </c>
      <c r="G54" s="15" t="s">
        <v>8</v>
      </c>
      <c r="I54" s="15" t="s">
        <v>8</v>
      </c>
      <c r="J54" s="21" t="str">
        <f>HYPERLINK("http://yeinfo.com/family/I09000139.html", "JOHANN ZIEHME RUND 1710 GE-1787 PA ID:09000278")</f>
        <v>JOHANN ZIEHME RUND 1710 GE-1787 PA ID:09000278</v>
      </c>
      <c r="K54" s="6"/>
      <c r="L54" s="6"/>
      <c r="M54" s="6"/>
      <c r="N54" s="6"/>
    </row>
    <row r="55" spans="5:15" x14ac:dyDescent="0.35">
      <c r="E55" s="15" t="s">
        <v>8</v>
      </c>
      <c r="F55" s="15" t="s">
        <v>8</v>
      </c>
      <c r="G55" s="15" t="s">
        <v>8</v>
      </c>
      <c r="I55" s="8" t="s">
        <v>6</v>
      </c>
      <c r="J55" s="8" t="s">
        <v>3</v>
      </c>
    </row>
    <row r="56" spans="5:15" x14ac:dyDescent="0.35">
      <c r="E56" s="15" t="s">
        <v>8</v>
      </c>
      <c r="F56" s="15" t="s">
        <v>8</v>
      </c>
      <c r="G56" s="15" t="s">
        <v>8</v>
      </c>
      <c r="I56" s="16" t="str">
        <f>HYPERLINK("http://yeinfo.com/family/I09000277.html", "MARIA BARBARA RUND 1730 -1830 PA ID:09000139")</f>
        <v>MARIA BARBARA RUND 1730 -1830 PA ID:09000139</v>
      </c>
      <c r="J56" s="11"/>
      <c r="K56" s="11"/>
      <c r="L56" s="11"/>
      <c r="M56" s="11"/>
    </row>
    <row r="57" spans="5:15" x14ac:dyDescent="0.35">
      <c r="E57" s="15" t="s">
        <v>8</v>
      </c>
      <c r="F57" s="15" t="s">
        <v>8</v>
      </c>
      <c r="G57" s="15" t="s">
        <v>8</v>
      </c>
      <c r="J57" s="8" t="s">
        <v>6</v>
      </c>
    </row>
    <row r="58" spans="5:15" x14ac:dyDescent="0.35">
      <c r="E58" s="15" t="s">
        <v>8</v>
      </c>
      <c r="F58" s="15" t="s">
        <v>8</v>
      </c>
      <c r="G58" s="15" t="s">
        <v>8</v>
      </c>
      <c r="J58" s="22" t="str">
        <f>HYPERLINK("http://yeinfo.com/family/I09000278.html", "CATHARINA WAGNER 1712 GE-1815 PA ID:09000279")</f>
        <v>CATHARINA WAGNER 1712 GE-1815 PA ID:09000279</v>
      </c>
      <c r="K58" s="13"/>
      <c r="L58" s="13"/>
      <c r="M58" s="13"/>
      <c r="N58" s="13"/>
    </row>
    <row r="59" spans="5:15" x14ac:dyDescent="0.35">
      <c r="E59" s="15" t="s">
        <v>8</v>
      </c>
      <c r="F59" s="8" t="s">
        <v>6</v>
      </c>
      <c r="G59" s="15" t="s">
        <v>8</v>
      </c>
    </row>
    <row r="60" spans="5:15" x14ac:dyDescent="0.35">
      <c r="E60" s="15" t="s">
        <v>8</v>
      </c>
      <c r="F60" s="16" t="str">
        <f>HYPERLINK("http://yeinfo.com/family/I09000033.html", "KEZIAH H. HILDEBRAND 1816 PA-1909 OH ID:09000017")</f>
        <v>KEZIAH H. HILDEBRAND 1816 PA-1909 OH ID:09000017</v>
      </c>
      <c r="G60" s="11"/>
      <c r="H60" s="11"/>
      <c r="I60" s="11"/>
      <c r="J60" s="11"/>
    </row>
    <row r="61" spans="5:15" x14ac:dyDescent="0.35">
      <c r="E61" s="15" t="s">
        <v>8</v>
      </c>
      <c r="G61" s="15" t="s">
        <v>8</v>
      </c>
    </row>
    <row r="62" spans="5:15" x14ac:dyDescent="0.35">
      <c r="E62" s="15" t="s">
        <v>8</v>
      </c>
      <c r="G62" s="15" t="s">
        <v>8</v>
      </c>
      <c r="K62" s="19" t="str">
        <f>HYPERLINK("http://yeinfo.com/family/I09000280.html", "JOHANN MARTIN SHULTZ 1664 GE-1690 GE ID:09000560")</f>
        <v>JOHANN MARTIN SHULTZ 1664 GE-1690 GE ID:09000560</v>
      </c>
      <c r="L62" s="9"/>
      <c r="M62" s="9"/>
      <c r="N62" s="9"/>
      <c r="O62" s="9"/>
    </row>
    <row r="63" spans="5:15" x14ac:dyDescent="0.35">
      <c r="E63" s="15" t="s">
        <v>8</v>
      </c>
      <c r="G63" s="15" t="s">
        <v>8</v>
      </c>
      <c r="K63" s="8" t="s">
        <v>3</v>
      </c>
    </row>
    <row r="64" spans="5:15" x14ac:dyDescent="0.35">
      <c r="E64" s="15" t="s">
        <v>8</v>
      </c>
      <c r="G64" s="15" t="s">
        <v>8</v>
      </c>
      <c r="J64" s="19" t="str">
        <f>HYPERLINK("http://yeinfo.com/family/I09000140.html", "JOHANN JACOB SHULTZ 1690 GE-1727 GE ID:09000280")</f>
        <v>JOHANN JACOB SHULTZ 1690 GE-1727 GE ID:09000280</v>
      </c>
      <c r="K64" s="9"/>
      <c r="L64" s="9"/>
      <c r="M64" s="9"/>
      <c r="N64" s="9"/>
    </row>
    <row r="65" spans="5:16" x14ac:dyDescent="0.35">
      <c r="E65" s="15" t="s">
        <v>8</v>
      </c>
      <c r="G65" s="15" t="s">
        <v>8</v>
      </c>
      <c r="J65" s="8" t="s">
        <v>3</v>
      </c>
      <c r="K65" s="8" t="s">
        <v>6</v>
      </c>
    </row>
    <row r="66" spans="5:16" x14ac:dyDescent="0.35">
      <c r="E66" s="15" t="s">
        <v>8</v>
      </c>
      <c r="G66" s="15" t="s">
        <v>8</v>
      </c>
      <c r="J66" s="15" t="s">
        <v>8</v>
      </c>
      <c r="K66" s="20" t="str">
        <f>HYPERLINK("http://yeinfo.com/family/I09000560.html", "Mrs. {_?_} SHULTZ 1669 GE-1690 GE ID:09000561")</f>
        <v>Mrs. {_?_} SHULTZ 1669 GE-1690 GE ID:09000561</v>
      </c>
      <c r="L66" s="17"/>
      <c r="M66" s="17"/>
      <c r="N66" s="17"/>
      <c r="O66" s="17"/>
    </row>
    <row r="67" spans="5:16" x14ac:dyDescent="0.35">
      <c r="E67" s="15" t="s">
        <v>8</v>
      </c>
      <c r="G67" s="15" t="s">
        <v>8</v>
      </c>
      <c r="J67" s="15" t="s">
        <v>8</v>
      </c>
    </row>
    <row r="68" spans="5:16" x14ac:dyDescent="0.35">
      <c r="E68" s="15" t="s">
        <v>8</v>
      </c>
      <c r="G68" s="15" t="s">
        <v>8</v>
      </c>
      <c r="I68" s="5" t="str">
        <f>HYPERLINK("http://yeinfo.com/family/I09000070.html", "JOHANN MARTIN SHULTZ II 1720 GE-1763  ID:09000140")</f>
        <v>JOHANN MARTIN SHULTZ II 1720 GE-1763  ID:09000140</v>
      </c>
      <c r="J68" s="3"/>
      <c r="K68" s="3"/>
      <c r="L68" s="3"/>
      <c r="M68" s="3"/>
    </row>
    <row r="69" spans="5:16" x14ac:dyDescent="0.35">
      <c r="E69" s="15" t="s">
        <v>8</v>
      </c>
      <c r="G69" s="15" t="s">
        <v>8</v>
      </c>
      <c r="I69" s="8" t="s">
        <v>3</v>
      </c>
      <c r="J69" s="15" t="s">
        <v>8</v>
      </c>
    </row>
    <row r="70" spans="5:16" x14ac:dyDescent="0.35">
      <c r="E70" s="15" t="s">
        <v>8</v>
      </c>
      <c r="G70" s="15" t="s">
        <v>8</v>
      </c>
      <c r="I70" s="15" t="s">
        <v>8</v>
      </c>
      <c r="J70" s="15" t="s">
        <v>8</v>
      </c>
      <c r="K70" s="19" t="str">
        <f>HYPERLINK("http://yeinfo.com/family/I09000281.html", "JOHANNES SPENDLER 1669 GE-1700 GE ID:09000562")</f>
        <v>JOHANNES SPENDLER 1669 GE-1700 GE ID:09000562</v>
      </c>
      <c r="L70" s="9"/>
      <c r="M70" s="9"/>
      <c r="N70" s="9"/>
      <c r="O70" s="9"/>
    </row>
    <row r="71" spans="5:16" x14ac:dyDescent="0.35">
      <c r="E71" s="15" t="s">
        <v>8</v>
      </c>
      <c r="G71" s="15" t="s">
        <v>8</v>
      </c>
      <c r="I71" s="15" t="s">
        <v>8</v>
      </c>
      <c r="J71" s="8" t="s">
        <v>6</v>
      </c>
      <c r="K71" s="8" t="s">
        <v>3</v>
      </c>
    </row>
    <row r="72" spans="5:16" x14ac:dyDescent="0.35">
      <c r="E72" s="15" t="s">
        <v>8</v>
      </c>
      <c r="G72" s="15" t="s">
        <v>8</v>
      </c>
      <c r="I72" s="15" t="s">
        <v>8</v>
      </c>
      <c r="J72" s="20" t="str">
        <f>HYPERLINK("http://yeinfo.com/family/I09000561.html", "MARIA DOROTHEA SPENDLER 1699 GE-1727 GE ID:09000281")</f>
        <v>MARIA DOROTHEA SPENDLER 1699 GE-1727 GE ID:09000281</v>
      </c>
      <c r="K72" s="17"/>
      <c r="L72" s="17"/>
      <c r="M72" s="17"/>
      <c r="N72" s="17"/>
    </row>
    <row r="73" spans="5:16" x14ac:dyDescent="0.35">
      <c r="E73" s="15" t="s">
        <v>8</v>
      </c>
      <c r="G73" s="15" t="s">
        <v>8</v>
      </c>
      <c r="I73" s="15" t="s">
        <v>8</v>
      </c>
      <c r="K73" s="8" t="s">
        <v>6</v>
      </c>
    </row>
    <row r="74" spans="5:16" x14ac:dyDescent="0.35">
      <c r="E74" s="15" t="s">
        <v>8</v>
      </c>
      <c r="G74" s="15" t="s">
        <v>8</v>
      </c>
      <c r="I74" s="15" t="s">
        <v>8</v>
      </c>
      <c r="K74" s="20" t="str">
        <f>HYPERLINK("http://yeinfo.com/family/I09000562.html", "Mrs. {_?_} SPENDLER 1669 GE-1700 GE ID:09000563")</f>
        <v>Mrs. {_?_} SPENDLER 1669 GE-1700 GE ID:09000563</v>
      </c>
      <c r="L74" s="17"/>
      <c r="M74" s="17"/>
      <c r="N74" s="17"/>
      <c r="O74" s="17"/>
    </row>
    <row r="75" spans="5:16" x14ac:dyDescent="0.35">
      <c r="E75" s="15" t="s">
        <v>8</v>
      </c>
      <c r="G75" s="15" t="s">
        <v>8</v>
      </c>
      <c r="I75" s="15" t="s">
        <v>8</v>
      </c>
    </row>
    <row r="76" spans="5:16" x14ac:dyDescent="0.35">
      <c r="E76" s="15" t="s">
        <v>8</v>
      </c>
      <c r="G76" s="15" t="s">
        <v>8</v>
      </c>
      <c r="H76" s="21" t="str">
        <f>HYPERLINK("http://yeinfo.com/family/I09000035.html", "LAWRENCE\LORENTZ SHULTZ 1739 GE-1827 PA ID:09000070")</f>
        <v>LAWRENCE\LORENTZ SHULTZ 1739 GE-1827 PA ID:09000070</v>
      </c>
      <c r="I76" s="6"/>
      <c r="J76" s="6"/>
      <c r="K76" s="6"/>
      <c r="L76" s="6"/>
      <c r="M76" s="6"/>
    </row>
    <row r="77" spans="5:16" x14ac:dyDescent="0.35">
      <c r="E77" s="15" t="s">
        <v>8</v>
      </c>
      <c r="G77" s="15" t="s">
        <v>8</v>
      </c>
      <c r="H77" s="8" t="s">
        <v>3</v>
      </c>
      <c r="I77" s="15" t="s">
        <v>8</v>
      </c>
    </row>
    <row r="78" spans="5:16" x14ac:dyDescent="0.35">
      <c r="E78" s="15" t="s">
        <v>8</v>
      </c>
      <c r="G78" s="15" t="s">
        <v>8</v>
      </c>
      <c r="H78" s="15" t="s">
        <v>8</v>
      </c>
      <c r="I78" s="15" t="s">
        <v>8</v>
      </c>
      <c r="L78" s="19" t="str">
        <f>HYPERLINK("http://yeinfo.com/family/I09000564.html", "JOHANN ADAM KRAMER Sr. 1615 GE-1688 GE ID:09001128")</f>
        <v>JOHANN ADAM KRAMER Sr. 1615 GE-1688 GE ID:09001128</v>
      </c>
      <c r="M78" s="9"/>
      <c r="N78" s="9"/>
      <c r="O78" s="9"/>
      <c r="P78" s="9"/>
    </row>
    <row r="79" spans="5:16" x14ac:dyDescent="0.35">
      <c r="E79" s="15" t="s">
        <v>8</v>
      </c>
      <c r="G79" s="15" t="s">
        <v>8</v>
      </c>
      <c r="H79" s="15" t="s">
        <v>8</v>
      </c>
      <c r="I79" s="15" t="s">
        <v>8</v>
      </c>
      <c r="L79" s="8" t="s">
        <v>3</v>
      </c>
    </row>
    <row r="80" spans="5:16" x14ac:dyDescent="0.35">
      <c r="E80" s="15" t="s">
        <v>8</v>
      </c>
      <c r="G80" s="15" t="s">
        <v>8</v>
      </c>
      <c r="H80" s="15" t="s">
        <v>8</v>
      </c>
      <c r="I80" s="15" t="s">
        <v>8</v>
      </c>
      <c r="K80" s="19" t="str">
        <f>HYPERLINK("http://yeinfo.com/family/I09000282.html", "JOHANN ADAM KRAMER Jr. 1646 GE-1708 GE ID:09000564")</f>
        <v>JOHANN ADAM KRAMER Jr. 1646 GE-1708 GE ID:09000564</v>
      </c>
      <c r="L80" s="9"/>
      <c r="M80" s="9"/>
      <c r="N80" s="9"/>
      <c r="O80" s="9"/>
    </row>
    <row r="81" spans="5:20" x14ac:dyDescent="0.35">
      <c r="E81" s="15" t="s">
        <v>8</v>
      </c>
      <c r="G81" s="15" t="s">
        <v>8</v>
      </c>
      <c r="H81" s="15" t="s">
        <v>8</v>
      </c>
      <c r="I81" s="15" t="s">
        <v>8</v>
      </c>
      <c r="K81" s="8" t="s">
        <v>3</v>
      </c>
      <c r="L81" s="8" t="s">
        <v>6</v>
      </c>
    </row>
    <row r="82" spans="5:20" x14ac:dyDescent="0.35">
      <c r="E82" s="15" t="s">
        <v>8</v>
      </c>
      <c r="G82" s="15" t="s">
        <v>8</v>
      </c>
      <c r="H82" s="15" t="s">
        <v>8</v>
      </c>
      <c r="I82" s="15" t="s">
        <v>8</v>
      </c>
      <c r="K82" s="15" t="s">
        <v>8</v>
      </c>
      <c r="L82" s="20" t="str">
        <f>HYPERLINK("http://yeinfo.com/family/I09001128.html", "ELISABETH KERN 1615 GE-1663 GE ID:09001129")</f>
        <v>ELISABETH KERN 1615 GE-1663 GE ID:09001129</v>
      </c>
      <c r="M82" s="17"/>
      <c r="N82" s="17"/>
      <c r="O82" s="17"/>
      <c r="P82" s="17"/>
    </row>
    <row r="83" spans="5:20" x14ac:dyDescent="0.35">
      <c r="E83" s="15" t="s">
        <v>8</v>
      </c>
      <c r="G83" s="15" t="s">
        <v>8</v>
      </c>
      <c r="H83" s="15" t="s">
        <v>8</v>
      </c>
      <c r="I83" s="15" t="s">
        <v>8</v>
      </c>
      <c r="K83" s="15" t="s">
        <v>8</v>
      </c>
    </row>
    <row r="84" spans="5:20" x14ac:dyDescent="0.35">
      <c r="E84" s="15" t="s">
        <v>8</v>
      </c>
      <c r="G84" s="15" t="s">
        <v>8</v>
      </c>
      <c r="H84" s="15" t="s">
        <v>8</v>
      </c>
      <c r="I84" s="15" t="s">
        <v>8</v>
      </c>
      <c r="J84" s="21" t="str">
        <f>HYPERLINK("http://yeinfo.com/family/I09000141.html", "HANS ADAM KRAMER 1679 GE-1761 PA ID:09000282")</f>
        <v>HANS ADAM KRAMER 1679 GE-1761 PA ID:09000282</v>
      </c>
      <c r="K84" s="6"/>
      <c r="L84" s="6"/>
      <c r="M84" s="6"/>
      <c r="N84" s="6"/>
    </row>
    <row r="85" spans="5:20" x14ac:dyDescent="0.35">
      <c r="E85" s="15" t="s">
        <v>8</v>
      </c>
      <c r="G85" s="15" t="s">
        <v>8</v>
      </c>
      <c r="H85" s="15" t="s">
        <v>8</v>
      </c>
      <c r="I85" s="15" t="s">
        <v>8</v>
      </c>
      <c r="J85" s="8" t="s">
        <v>3</v>
      </c>
      <c r="K85" s="15" t="s">
        <v>8</v>
      </c>
    </row>
    <row r="86" spans="5:20" x14ac:dyDescent="0.35">
      <c r="E86" s="15" t="s">
        <v>8</v>
      </c>
      <c r="G86" s="15" t="s">
        <v>8</v>
      </c>
      <c r="H86" s="15" t="s">
        <v>8</v>
      </c>
      <c r="I86" s="15" t="s">
        <v>8</v>
      </c>
      <c r="J86" s="15" t="s">
        <v>8</v>
      </c>
      <c r="K86" s="15" t="s">
        <v>8</v>
      </c>
      <c r="O86" s="19" t="str">
        <f>HYPERLINK("http://yeinfo.com/family/I09004520.html", "CHRISTIAN SCHMAHL 1525 GE-1555 GE ID:09009040")</f>
        <v>CHRISTIAN SCHMAHL 1525 GE-1555 GE ID:09009040</v>
      </c>
      <c r="P86" s="9"/>
      <c r="Q86" s="9"/>
      <c r="R86" s="9"/>
      <c r="S86" s="9"/>
    </row>
    <row r="87" spans="5:20" x14ac:dyDescent="0.35">
      <c r="E87" s="15" t="s">
        <v>8</v>
      </c>
      <c r="G87" s="15" t="s">
        <v>8</v>
      </c>
      <c r="H87" s="15" t="s">
        <v>8</v>
      </c>
      <c r="I87" s="15" t="s">
        <v>8</v>
      </c>
      <c r="J87" s="15" t="s">
        <v>8</v>
      </c>
      <c r="K87" s="15" t="s">
        <v>8</v>
      </c>
      <c r="O87" s="8" t="s">
        <v>3</v>
      </c>
    </row>
    <row r="88" spans="5:20" x14ac:dyDescent="0.35">
      <c r="E88" s="15" t="s">
        <v>8</v>
      </c>
      <c r="G88" s="15" t="s">
        <v>8</v>
      </c>
      <c r="H88" s="15" t="s">
        <v>8</v>
      </c>
      <c r="I88" s="15" t="s">
        <v>8</v>
      </c>
      <c r="J88" s="15" t="s">
        <v>8</v>
      </c>
      <c r="K88" s="15" t="s">
        <v>8</v>
      </c>
      <c r="N88" s="19" t="str">
        <f>HYPERLINK("http://yeinfo.com/family/I09002260.html", "NICLAUSS SCHMAHL 1555 GE-1613 GE ID:09004520")</f>
        <v>NICLAUSS SCHMAHL 1555 GE-1613 GE ID:09004520</v>
      </c>
      <c r="O88" s="9"/>
      <c r="P88" s="9"/>
      <c r="Q88" s="9"/>
      <c r="R88" s="9"/>
    </row>
    <row r="89" spans="5:20" x14ac:dyDescent="0.35">
      <c r="E89" s="15" t="s">
        <v>8</v>
      </c>
      <c r="G89" s="15" t="s">
        <v>8</v>
      </c>
      <c r="H89" s="15" t="s">
        <v>8</v>
      </c>
      <c r="I89" s="15" t="s">
        <v>8</v>
      </c>
      <c r="J89" s="15" t="s">
        <v>8</v>
      </c>
      <c r="K89" s="15" t="s">
        <v>8</v>
      </c>
      <c r="N89" s="8" t="s">
        <v>3</v>
      </c>
      <c r="O89" s="15" t="s">
        <v>8</v>
      </c>
    </row>
    <row r="90" spans="5:20" x14ac:dyDescent="0.35">
      <c r="E90" s="15" t="s">
        <v>8</v>
      </c>
      <c r="G90" s="15" t="s">
        <v>8</v>
      </c>
      <c r="H90" s="15" t="s">
        <v>8</v>
      </c>
      <c r="I90" s="15" t="s">
        <v>8</v>
      </c>
      <c r="J90" s="15" t="s">
        <v>8</v>
      </c>
      <c r="K90" s="15" t="s">
        <v>8</v>
      </c>
      <c r="N90" s="15" t="s">
        <v>8</v>
      </c>
      <c r="O90" s="15" t="s">
        <v>8</v>
      </c>
      <c r="P90" s="19" t="str">
        <f>HYPERLINK("http://yeinfo.com/family/I09009041.html", "CONRAD SCHODNER 1495 GE-1525 GE ID:09018082")</f>
        <v>CONRAD SCHODNER 1495 GE-1525 GE ID:09018082</v>
      </c>
      <c r="Q90" s="9"/>
      <c r="R90" s="9"/>
      <c r="S90" s="9"/>
      <c r="T90" s="9"/>
    </row>
    <row r="91" spans="5:20" x14ac:dyDescent="0.35">
      <c r="E91" s="15" t="s">
        <v>8</v>
      </c>
      <c r="G91" s="15" t="s">
        <v>8</v>
      </c>
      <c r="H91" s="15" t="s">
        <v>8</v>
      </c>
      <c r="I91" s="15" t="s">
        <v>8</v>
      </c>
      <c r="J91" s="15" t="s">
        <v>8</v>
      </c>
      <c r="K91" s="15" t="s">
        <v>8</v>
      </c>
      <c r="N91" s="15" t="s">
        <v>8</v>
      </c>
      <c r="O91" s="8" t="s">
        <v>6</v>
      </c>
      <c r="P91" s="8" t="s">
        <v>3</v>
      </c>
    </row>
    <row r="92" spans="5:20" x14ac:dyDescent="0.35">
      <c r="E92" s="15" t="s">
        <v>8</v>
      </c>
      <c r="G92" s="15" t="s">
        <v>8</v>
      </c>
      <c r="H92" s="15" t="s">
        <v>8</v>
      </c>
      <c r="I92" s="15" t="s">
        <v>8</v>
      </c>
      <c r="J92" s="15" t="s">
        <v>8</v>
      </c>
      <c r="K92" s="15" t="s">
        <v>8</v>
      </c>
      <c r="N92" s="15" t="s">
        <v>8</v>
      </c>
      <c r="O92" s="20" t="str">
        <f>HYPERLINK("http://yeinfo.com/family/I09009040.html", "MARGARETH SCHODNER 1525 GE-1555 GE ID:09009041")</f>
        <v>MARGARETH SCHODNER 1525 GE-1555 GE ID:09009041</v>
      </c>
      <c r="P92" s="17"/>
      <c r="Q92" s="17"/>
      <c r="R92" s="17"/>
      <c r="S92" s="17"/>
    </row>
    <row r="93" spans="5:20" x14ac:dyDescent="0.35">
      <c r="E93" s="15" t="s">
        <v>8</v>
      </c>
      <c r="G93" s="15" t="s">
        <v>8</v>
      </c>
      <c r="H93" s="15" t="s">
        <v>8</v>
      </c>
      <c r="I93" s="15" t="s">
        <v>8</v>
      </c>
      <c r="J93" s="15" t="s">
        <v>8</v>
      </c>
      <c r="K93" s="15" t="s">
        <v>8</v>
      </c>
      <c r="N93" s="15" t="s">
        <v>8</v>
      </c>
      <c r="P93" s="8" t="s">
        <v>6</v>
      </c>
    </row>
    <row r="94" spans="5:20" x14ac:dyDescent="0.35">
      <c r="E94" s="15" t="s">
        <v>8</v>
      </c>
      <c r="G94" s="15" t="s">
        <v>8</v>
      </c>
      <c r="H94" s="15" t="s">
        <v>8</v>
      </c>
      <c r="I94" s="15" t="s">
        <v>8</v>
      </c>
      <c r="J94" s="15" t="s">
        <v>8</v>
      </c>
      <c r="K94" s="15" t="s">
        <v>8</v>
      </c>
      <c r="N94" s="15" t="s">
        <v>8</v>
      </c>
      <c r="P94" s="20" t="str">
        <f>HYPERLINK("http://yeinfo.com/family/I09018082.html", "Mrs. {_?_} SCHODNER 1495 GE-1525 GE ID:09018083")</f>
        <v>Mrs. {_?_} SCHODNER 1495 GE-1525 GE ID:09018083</v>
      </c>
      <c r="Q94" s="17"/>
      <c r="R94" s="17"/>
      <c r="S94" s="17"/>
      <c r="T94" s="17"/>
    </row>
    <row r="95" spans="5:20" x14ac:dyDescent="0.35">
      <c r="E95" s="15" t="s">
        <v>8</v>
      </c>
      <c r="G95" s="15" t="s">
        <v>8</v>
      </c>
      <c r="H95" s="15" t="s">
        <v>8</v>
      </c>
      <c r="I95" s="15" t="s">
        <v>8</v>
      </c>
      <c r="J95" s="15" t="s">
        <v>8</v>
      </c>
      <c r="K95" s="15" t="s">
        <v>8</v>
      </c>
      <c r="N95" s="15" t="s">
        <v>8</v>
      </c>
    </row>
    <row r="96" spans="5:20" x14ac:dyDescent="0.35">
      <c r="E96" s="15" t="s">
        <v>8</v>
      </c>
      <c r="G96" s="15" t="s">
        <v>8</v>
      </c>
      <c r="H96" s="15" t="s">
        <v>8</v>
      </c>
      <c r="I96" s="15" t="s">
        <v>8</v>
      </c>
      <c r="J96" s="15" t="s">
        <v>8</v>
      </c>
      <c r="K96" s="15" t="s">
        <v>8</v>
      </c>
      <c r="M96" s="19" t="str">
        <f>HYPERLINK("http://yeinfo.com/family/I09001130.html", "LORENZ SCHMAHL 1588 GE-1664 GE ID:09002260")</f>
        <v>LORENZ SCHMAHL 1588 GE-1664 GE ID:09002260</v>
      </c>
      <c r="N96" s="9"/>
      <c r="O96" s="9"/>
      <c r="P96" s="9"/>
      <c r="Q96" s="9"/>
    </row>
    <row r="97" spans="5:19" x14ac:dyDescent="0.35">
      <c r="E97" s="15" t="s">
        <v>8</v>
      </c>
      <c r="G97" s="15" t="s">
        <v>8</v>
      </c>
      <c r="H97" s="15" t="s">
        <v>8</v>
      </c>
      <c r="I97" s="15" t="s">
        <v>8</v>
      </c>
      <c r="J97" s="15" t="s">
        <v>8</v>
      </c>
      <c r="K97" s="15" t="s">
        <v>8</v>
      </c>
      <c r="M97" s="8" t="s">
        <v>3</v>
      </c>
      <c r="N97" s="8" t="s">
        <v>6</v>
      </c>
    </row>
    <row r="98" spans="5:19" x14ac:dyDescent="0.35">
      <c r="E98" s="15" t="s">
        <v>8</v>
      </c>
      <c r="G98" s="15" t="s">
        <v>8</v>
      </c>
      <c r="H98" s="15" t="s">
        <v>8</v>
      </c>
      <c r="I98" s="15" t="s">
        <v>8</v>
      </c>
      <c r="J98" s="15" t="s">
        <v>8</v>
      </c>
      <c r="K98" s="15" t="s">
        <v>8</v>
      </c>
      <c r="M98" s="15" t="s">
        <v>8</v>
      </c>
      <c r="N98" s="20" t="str">
        <f>HYPERLINK("http://yeinfo.com/family/I09018083.html", "OTILLIA WOLFF CORMENN 1560 GE-1606 GE ID:09004521")</f>
        <v>OTILLIA WOLFF CORMENN 1560 GE-1606 GE ID:09004521</v>
      </c>
      <c r="O98" s="17"/>
      <c r="P98" s="17"/>
      <c r="Q98" s="17"/>
      <c r="R98" s="17"/>
    </row>
    <row r="99" spans="5:19" x14ac:dyDescent="0.35">
      <c r="E99" s="15" t="s">
        <v>8</v>
      </c>
      <c r="G99" s="15" t="s">
        <v>8</v>
      </c>
      <c r="H99" s="15" t="s">
        <v>8</v>
      </c>
      <c r="I99" s="15" t="s">
        <v>8</v>
      </c>
      <c r="J99" s="15" t="s">
        <v>8</v>
      </c>
      <c r="K99" s="15" t="s">
        <v>8</v>
      </c>
      <c r="M99" s="15" t="s">
        <v>8</v>
      </c>
    </row>
    <row r="100" spans="5:19" x14ac:dyDescent="0.35">
      <c r="E100" s="15" t="s">
        <v>8</v>
      </c>
      <c r="G100" s="15" t="s">
        <v>8</v>
      </c>
      <c r="H100" s="15" t="s">
        <v>8</v>
      </c>
      <c r="I100" s="15" t="s">
        <v>8</v>
      </c>
      <c r="J100" s="15" t="s">
        <v>8</v>
      </c>
      <c r="K100" s="15" t="s">
        <v>8</v>
      </c>
      <c r="L100" s="19" t="str">
        <f>HYPERLINK("http://yeinfo.com/family/I09000565.html", "LORENTZ SCHMAHL 1614 GE-1698 GE ID:09001130")</f>
        <v>LORENTZ SCHMAHL 1614 GE-1698 GE ID:09001130</v>
      </c>
      <c r="M100" s="9"/>
      <c r="N100" s="9"/>
      <c r="O100" s="9"/>
      <c r="P100" s="9"/>
    </row>
    <row r="101" spans="5:19" x14ac:dyDescent="0.35">
      <c r="E101" s="15" t="s">
        <v>8</v>
      </c>
      <c r="G101" s="15" t="s">
        <v>8</v>
      </c>
      <c r="H101" s="15" t="s">
        <v>8</v>
      </c>
      <c r="I101" s="15" t="s">
        <v>8</v>
      </c>
      <c r="J101" s="15" t="s">
        <v>8</v>
      </c>
      <c r="K101" s="15" t="s">
        <v>8</v>
      </c>
      <c r="L101" s="8" t="s">
        <v>3</v>
      </c>
      <c r="M101" s="15" t="s">
        <v>8</v>
      </c>
    </row>
    <row r="102" spans="5:19" x14ac:dyDescent="0.35">
      <c r="E102" s="15" t="s">
        <v>8</v>
      </c>
      <c r="G102" s="15" t="s">
        <v>8</v>
      </c>
      <c r="H102" s="15" t="s">
        <v>8</v>
      </c>
      <c r="I102" s="15" t="s">
        <v>8</v>
      </c>
      <c r="J102" s="15" t="s">
        <v>8</v>
      </c>
      <c r="K102" s="15" t="s">
        <v>8</v>
      </c>
      <c r="L102" s="15" t="s">
        <v>8</v>
      </c>
      <c r="M102" s="15" t="s">
        <v>8</v>
      </c>
      <c r="O102" s="19" t="str">
        <f>HYPERLINK("http://yeinfo.com/family/I09004522.html", "GEORG SENDERLIN 1534 GE-1559 GE ID:09009044")</f>
        <v>GEORG SENDERLIN 1534 GE-1559 GE ID:09009044</v>
      </c>
      <c r="P102" s="9"/>
      <c r="Q102" s="9"/>
      <c r="R102" s="9"/>
      <c r="S102" s="9"/>
    </row>
    <row r="103" spans="5:19" x14ac:dyDescent="0.35">
      <c r="E103" s="15" t="s">
        <v>8</v>
      </c>
      <c r="G103" s="15" t="s">
        <v>8</v>
      </c>
      <c r="H103" s="15" t="s">
        <v>8</v>
      </c>
      <c r="I103" s="15" t="s">
        <v>8</v>
      </c>
      <c r="J103" s="15" t="s">
        <v>8</v>
      </c>
      <c r="K103" s="15" t="s">
        <v>8</v>
      </c>
      <c r="L103" s="15" t="s">
        <v>8</v>
      </c>
      <c r="M103" s="15" t="s">
        <v>8</v>
      </c>
      <c r="O103" s="8" t="s">
        <v>3</v>
      </c>
    </row>
    <row r="104" spans="5:19" x14ac:dyDescent="0.35">
      <c r="E104" s="15" t="s">
        <v>8</v>
      </c>
      <c r="G104" s="15" t="s">
        <v>8</v>
      </c>
      <c r="H104" s="15" t="s">
        <v>8</v>
      </c>
      <c r="I104" s="15" t="s">
        <v>8</v>
      </c>
      <c r="J104" s="15" t="s">
        <v>8</v>
      </c>
      <c r="K104" s="15" t="s">
        <v>8</v>
      </c>
      <c r="L104" s="15" t="s">
        <v>8</v>
      </c>
      <c r="M104" s="15" t="s">
        <v>8</v>
      </c>
      <c r="N104" s="19" t="str">
        <f>HYPERLINK("http://yeinfo.com/family/I09002261.html", "JUSTUS SENDERLIN 1559 GE-1634 GE ID:09004522")</f>
        <v>JUSTUS SENDERLIN 1559 GE-1634 GE ID:09004522</v>
      </c>
      <c r="O104" s="9"/>
      <c r="P104" s="9"/>
      <c r="Q104" s="9"/>
      <c r="R104" s="9"/>
    </row>
    <row r="105" spans="5:19" x14ac:dyDescent="0.35">
      <c r="E105" s="15" t="s">
        <v>8</v>
      </c>
      <c r="G105" s="15" t="s">
        <v>8</v>
      </c>
      <c r="H105" s="15" t="s">
        <v>8</v>
      </c>
      <c r="I105" s="15" t="s">
        <v>8</v>
      </c>
      <c r="J105" s="15" t="s">
        <v>8</v>
      </c>
      <c r="K105" s="15" t="s">
        <v>8</v>
      </c>
      <c r="L105" s="15" t="s">
        <v>8</v>
      </c>
      <c r="M105" s="15" t="s">
        <v>8</v>
      </c>
      <c r="N105" s="8" t="s">
        <v>3</v>
      </c>
      <c r="O105" s="8" t="s">
        <v>6</v>
      </c>
    </row>
    <row r="106" spans="5:19" x14ac:dyDescent="0.35">
      <c r="E106" s="15" t="s">
        <v>8</v>
      </c>
      <c r="G106" s="15" t="s">
        <v>8</v>
      </c>
      <c r="H106" s="15" t="s">
        <v>8</v>
      </c>
      <c r="I106" s="15" t="s">
        <v>8</v>
      </c>
      <c r="J106" s="15" t="s">
        <v>8</v>
      </c>
      <c r="K106" s="15" t="s">
        <v>8</v>
      </c>
      <c r="L106" s="15" t="s">
        <v>8</v>
      </c>
      <c r="M106" s="15" t="s">
        <v>8</v>
      </c>
      <c r="N106" s="15" t="s">
        <v>8</v>
      </c>
      <c r="O106" s="20" t="str">
        <f>HYPERLINK("http://yeinfo.com/family/I09009044.html", "Mrs. BETTE SENDERLIN 1535 GE-1559 GE ID:09009045")</f>
        <v>Mrs. BETTE SENDERLIN 1535 GE-1559 GE ID:09009045</v>
      </c>
      <c r="P106" s="17"/>
      <c r="Q106" s="17"/>
      <c r="R106" s="17"/>
      <c r="S106" s="17"/>
    </row>
    <row r="107" spans="5:19" x14ac:dyDescent="0.35">
      <c r="E107" s="15" t="s">
        <v>8</v>
      </c>
      <c r="G107" s="15" t="s">
        <v>8</v>
      </c>
      <c r="H107" s="15" t="s">
        <v>8</v>
      </c>
      <c r="I107" s="15" t="s">
        <v>8</v>
      </c>
      <c r="J107" s="15" t="s">
        <v>8</v>
      </c>
      <c r="K107" s="15" t="s">
        <v>8</v>
      </c>
      <c r="L107" s="15" t="s">
        <v>8</v>
      </c>
      <c r="M107" s="8" t="s">
        <v>6</v>
      </c>
      <c r="N107" s="15" t="s">
        <v>8</v>
      </c>
    </row>
    <row r="108" spans="5:19" x14ac:dyDescent="0.35">
      <c r="E108" s="15" t="s">
        <v>8</v>
      </c>
      <c r="G108" s="15" t="s">
        <v>8</v>
      </c>
      <c r="H108" s="15" t="s">
        <v>8</v>
      </c>
      <c r="I108" s="15" t="s">
        <v>8</v>
      </c>
      <c r="J108" s="15" t="s">
        <v>8</v>
      </c>
      <c r="K108" s="15" t="s">
        <v>8</v>
      </c>
      <c r="L108" s="15" t="s">
        <v>8</v>
      </c>
      <c r="M108" s="20" t="str">
        <f>HYPERLINK("http://yeinfo.com/family/I09004521.html", "BARBARA SENDERLIN 1590 GE-1670 GE ID:09002261")</f>
        <v>BARBARA SENDERLIN 1590 GE-1670 GE ID:09002261</v>
      </c>
      <c r="N108" s="17"/>
      <c r="O108" s="17"/>
      <c r="P108" s="17"/>
      <c r="Q108" s="17"/>
    </row>
    <row r="109" spans="5:19" x14ac:dyDescent="0.35">
      <c r="E109" s="15" t="s">
        <v>8</v>
      </c>
      <c r="G109" s="15" t="s">
        <v>8</v>
      </c>
      <c r="H109" s="15" t="s">
        <v>8</v>
      </c>
      <c r="I109" s="15" t="s">
        <v>8</v>
      </c>
      <c r="J109" s="15" t="s">
        <v>8</v>
      </c>
      <c r="K109" s="15" t="s">
        <v>8</v>
      </c>
      <c r="L109" s="15" t="s">
        <v>8</v>
      </c>
      <c r="N109" s="15" t="s">
        <v>8</v>
      </c>
    </row>
    <row r="110" spans="5:19" x14ac:dyDescent="0.35">
      <c r="E110" s="15" t="s">
        <v>8</v>
      </c>
      <c r="G110" s="15" t="s">
        <v>8</v>
      </c>
      <c r="H110" s="15" t="s">
        <v>8</v>
      </c>
      <c r="I110" s="15" t="s">
        <v>8</v>
      </c>
      <c r="J110" s="15" t="s">
        <v>8</v>
      </c>
      <c r="K110" s="15" t="s">
        <v>8</v>
      </c>
      <c r="L110" s="15" t="s">
        <v>8</v>
      </c>
      <c r="N110" s="15" t="s">
        <v>8</v>
      </c>
      <c r="O110" s="19" t="str">
        <f>HYPERLINK("http://yeinfo.com/family/I09004523.html", "JOHANN JACOBI TAUTPHAEUS 1530 GE-1601 GE ID:09009046")</f>
        <v>JOHANN JACOBI TAUTPHAEUS 1530 GE-1601 GE ID:09009046</v>
      </c>
      <c r="P110" s="9"/>
      <c r="Q110" s="9"/>
      <c r="R110" s="9"/>
      <c r="S110" s="9"/>
    </row>
    <row r="111" spans="5:19" x14ac:dyDescent="0.35">
      <c r="E111" s="15" t="s">
        <v>8</v>
      </c>
      <c r="G111" s="15" t="s">
        <v>8</v>
      </c>
      <c r="H111" s="15" t="s">
        <v>8</v>
      </c>
      <c r="I111" s="15" t="s">
        <v>8</v>
      </c>
      <c r="J111" s="15" t="s">
        <v>8</v>
      </c>
      <c r="K111" s="15" t="s">
        <v>8</v>
      </c>
      <c r="L111" s="15" t="s">
        <v>8</v>
      </c>
      <c r="N111" s="8" t="s">
        <v>6</v>
      </c>
      <c r="O111" s="8" t="s">
        <v>3</v>
      </c>
    </row>
    <row r="112" spans="5:19" x14ac:dyDescent="0.35">
      <c r="E112" s="15" t="s">
        <v>8</v>
      </c>
      <c r="G112" s="15" t="s">
        <v>8</v>
      </c>
      <c r="H112" s="15" t="s">
        <v>8</v>
      </c>
      <c r="I112" s="15" t="s">
        <v>8</v>
      </c>
      <c r="J112" s="15" t="s">
        <v>8</v>
      </c>
      <c r="K112" s="15" t="s">
        <v>8</v>
      </c>
      <c r="L112" s="15" t="s">
        <v>8</v>
      </c>
      <c r="N112" s="20" t="str">
        <f>HYPERLINK("http://yeinfo.com/family/I09009045.html", "ANNA JACOBI TAUTPHAEUS 1567 GE-1608 GE ID:09004523")</f>
        <v>ANNA JACOBI TAUTPHAEUS 1567 GE-1608 GE ID:09004523</v>
      </c>
      <c r="O112" s="17"/>
      <c r="P112" s="17"/>
      <c r="Q112" s="17"/>
      <c r="R112" s="17"/>
    </row>
    <row r="113" spans="5:22" x14ac:dyDescent="0.35">
      <c r="E113" s="15" t="s">
        <v>8</v>
      </c>
      <c r="G113" s="15" t="s">
        <v>8</v>
      </c>
      <c r="H113" s="15" t="s">
        <v>8</v>
      </c>
      <c r="I113" s="15" t="s">
        <v>8</v>
      </c>
      <c r="J113" s="15" t="s">
        <v>8</v>
      </c>
      <c r="K113" s="15" t="s">
        <v>8</v>
      </c>
      <c r="L113" s="15" t="s">
        <v>8</v>
      </c>
      <c r="O113" s="15" t="s">
        <v>8</v>
      </c>
    </row>
    <row r="114" spans="5:22" x14ac:dyDescent="0.35">
      <c r="E114" s="15" t="s">
        <v>8</v>
      </c>
      <c r="G114" s="15" t="s">
        <v>8</v>
      </c>
      <c r="H114" s="15" t="s">
        <v>8</v>
      </c>
      <c r="I114" s="15" t="s">
        <v>8</v>
      </c>
      <c r="J114" s="15" t="s">
        <v>8</v>
      </c>
      <c r="K114" s="15" t="s">
        <v>8</v>
      </c>
      <c r="L114" s="15" t="s">
        <v>8</v>
      </c>
      <c r="O114" s="15" t="s">
        <v>8</v>
      </c>
      <c r="Q114" s="19" t="str">
        <f>HYPERLINK("http://yeinfo.com/family/I09018094.html", "JOHANNES WALTHER 1465 GE-1516 GE ID:09036188")</f>
        <v>JOHANNES WALTHER 1465 GE-1516 GE ID:09036188</v>
      </c>
      <c r="R114" s="9"/>
      <c r="S114" s="9"/>
      <c r="T114" s="9"/>
      <c r="U114" s="9"/>
    </row>
    <row r="115" spans="5:22" x14ac:dyDescent="0.35">
      <c r="E115" s="15" t="s">
        <v>8</v>
      </c>
      <c r="G115" s="15" t="s">
        <v>8</v>
      </c>
      <c r="H115" s="15" t="s">
        <v>8</v>
      </c>
      <c r="I115" s="15" t="s">
        <v>8</v>
      </c>
      <c r="J115" s="15" t="s">
        <v>8</v>
      </c>
      <c r="K115" s="15" t="s">
        <v>8</v>
      </c>
      <c r="L115" s="15" t="s">
        <v>8</v>
      </c>
      <c r="O115" s="15" t="s">
        <v>8</v>
      </c>
      <c r="Q115" s="8" t="s">
        <v>3</v>
      </c>
    </row>
    <row r="116" spans="5:22" x14ac:dyDescent="0.35">
      <c r="E116" s="15" t="s">
        <v>8</v>
      </c>
      <c r="G116" s="15" t="s">
        <v>8</v>
      </c>
      <c r="H116" s="15" t="s">
        <v>8</v>
      </c>
      <c r="I116" s="15" t="s">
        <v>8</v>
      </c>
      <c r="J116" s="15" t="s">
        <v>8</v>
      </c>
      <c r="K116" s="15" t="s">
        <v>8</v>
      </c>
      <c r="L116" s="15" t="s">
        <v>8</v>
      </c>
      <c r="O116" s="15" t="s">
        <v>8</v>
      </c>
      <c r="P116" s="19" t="str">
        <f>HYPERLINK("http://yeinfo.com/family/I09009047.html", "GERLACH WALTHER 1494 GE-1573 GE ID:09018094")</f>
        <v>GERLACH WALTHER 1494 GE-1573 GE ID:09018094</v>
      </c>
      <c r="Q116" s="9"/>
      <c r="R116" s="9"/>
      <c r="S116" s="9"/>
      <c r="T116" s="9"/>
    </row>
    <row r="117" spans="5:22" x14ac:dyDescent="0.35">
      <c r="E117" s="15" t="s">
        <v>8</v>
      </c>
      <c r="G117" s="15" t="s">
        <v>8</v>
      </c>
      <c r="H117" s="15" t="s">
        <v>8</v>
      </c>
      <c r="I117" s="15" t="s">
        <v>8</v>
      </c>
      <c r="J117" s="15" t="s">
        <v>8</v>
      </c>
      <c r="K117" s="15" t="s">
        <v>8</v>
      </c>
      <c r="L117" s="15" t="s">
        <v>8</v>
      </c>
      <c r="O117" s="15" t="s">
        <v>8</v>
      </c>
      <c r="P117" s="8" t="s">
        <v>3</v>
      </c>
      <c r="Q117" s="15" t="s">
        <v>8</v>
      </c>
    </row>
    <row r="118" spans="5:22" x14ac:dyDescent="0.35">
      <c r="E118" s="15" t="s">
        <v>8</v>
      </c>
      <c r="G118" s="15" t="s">
        <v>8</v>
      </c>
      <c r="H118" s="15" t="s">
        <v>8</v>
      </c>
      <c r="I118" s="15" t="s">
        <v>8</v>
      </c>
      <c r="J118" s="15" t="s">
        <v>8</v>
      </c>
      <c r="K118" s="15" t="s">
        <v>8</v>
      </c>
      <c r="L118" s="15" t="s">
        <v>8</v>
      </c>
      <c r="O118" s="15" t="s">
        <v>8</v>
      </c>
      <c r="P118" s="15" t="s">
        <v>8</v>
      </c>
      <c r="Q118" s="15" t="s">
        <v>8</v>
      </c>
      <c r="R118" s="19" t="str">
        <f>HYPERLINK("http://yeinfo.com/family/I09036189.html", "BECK BODENBENDER 1440 GE-1470 GE ID:09066678")</f>
        <v>BECK BODENBENDER 1440 GE-1470 GE ID:09066678</v>
      </c>
      <c r="S118" s="9"/>
      <c r="T118" s="9"/>
      <c r="U118" s="9"/>
      <c r="V118" s="9"/>
    </row>
    <row r="119" spans="5:22" x14ac:dyDescent="0.35">
      <c r="E119" s="15" t="s">
        <v>8</v>
      </c>
      <c r="G119" s="15" t="s">
        <v>8</v>
      </c>
      <c r="H119" s="15" t="s">
        <v>8</v>
      </c>
      <c r="I119" s="15" t="s">
        <v>8</v>
      </c>
      <c r="J119" s="15" t="s">
        <v>8</v>
      </c>
      <c r="K119" s="15" t="s">
        <v>8</v>
      </c>
      <c r="L119" s="15" t="s">
        <v>8</v>
      </c>
      <c r="O119" s="15" t="s">
        <v>8</v>
      </c>
      <c r="P119" s="15" t="s">
        <v>8</v>
      </c>
      <c r="Q119" s="8" t="s">
        <v>6</v>
      </c>
      <c r="R119" s="8" t="s">
        <v>3</v>
      </c>
    </row>
    <row r="120" spans="5:22" x14ac:dyDescent="0.35">
      <c r="E120" s="15" t="s">
        <v>8</v>
      </c>
      <c r="G120" s="15" t="s">
        <v>8</v>
      </c>
      <c r="H120" s="15" t="s">
        <v>8</v>
      </c>
      <c r="I120" s="15" t="s">
        <v>8</v>
      </c>
      <c r="J120" s="15" t="s">
        <v>8</v>
      </c>
      <c r="K120" s="15" t="s">
        <v>8</v>
      </c>
      <c r="L120" s="15" t="s">
        <v>8</v>
      </c>
      <c r="O120" s="15" t="s">
        <v>8</v>
      </c>
      <c r="P120" s="15" t="s">
        <v>8</v>
      </c>
      <c r="Q120" s="20" t="str">
        <f>HYPERLINK("http://yeinfo.com/family/I09036188.html", "ANNA CATHARINA BODENBENDER 1470 GE-1494 GE ID:09036189")</f>
        <v>ANNA CATHARINA BODENBENDER 1470 GE-1494 GE ID:09036189</v>
      </c>
      <c r="R120" s="17"/>
      <c r="S120" s="17"/>
      <c r="T120" s="17"/>
      <c r="U120" s="17"/>
    </row>
    <row r="121" spans="5:22" x14ac:dyDescent="0.35">
      <c r="E121" s="15" t="s">
        <v>8</v>
      </c>
      <c r="G121" s="15" t="s">
        <v>8</v>
      </c>
      <c r="H121" s="15" t="s">
        <v>8</v>
      </c>
      <c r="I121" s="15" t="s">
        <v>8</v>
      </c>
      <c r="J121" s="15" t="s">
        <v>8</v>
      </c>
      <c r="K121" s="15" t="s">
        <v>8</v>
      </c>
      <c r="L121" s="15" t="s">
        <v>8</v>
      </c>
      <c r="O121" s="15" t="s">
        <v>8</v>
      </c>
      <c r="P121" s="15" t="s">
        <v>8</v>
      </c>
      <c r="R121" s="8" t="s">
        <v>6</v>
      </c>
    </row>
    <row r="122" spans="5:22" x14ac:dyDescent="0.35">
      <c r="E122" s="15" t="s">
        <v>8</v>
      </c>
      <c r="G122" s="15" t="s">
        <v>8</v>
      </c>
      <c r="H122" s="15" t="s">
        <v>8</v>
      </c>
      <c r="I122" s="15" t="s">
        <v>8</v>
      </c>
      <c r="J122" s="15" t="s">
        <v>8</v>
      </c>
      <c r="K122" s="15" t="s">
        <v>8</v>
      </c>
      <c r="L122" s="15" t="s">
        <v>8</v>
      </c>
      <c r="O122" s="15" t="s">
        <v>8</v>
      </c>
      <c r="P122" s="15" t="s">
        <v>8</v>
      </c>
      <c r="R122" s="20" t="str">
        <f>HYPERLINK("http://yeinfo.com/family/I09066678.html", "Mrs. BETTE BODENBENDER 1440 GE-1470 GE ID:09066679")</f>
        <v>Mrs. BETTE BODENBENDER 1440 GE-1470 GE ID:09066679</v>
      </c>
      <c r="S122" s="17"/>
      <c r="T122" s="17"/>
      <c r="U122" s="17"/>
      <c r="V122" s="17"/>
    </row>
    <row r="123" spans="5:22" x14ac:dyDescent="0.35">
      <c r="E123" s="15" t="s">
        <v>8</v>
      </c>
      <c r="G123" s="15" t="s">
        <v>8</v>
      </c>
      <c r="H123" s="15" t="s">
        <v>8</v>
      </c>
      <c r="I123" s="15" t="s">
        <v>8</v>
      </c>
      <c r="J123" s="15" t="s">
        <v>8</v>
      </c>
      <c r="K123" s="15" t="s">
        <v>8</v>
      </c>
      <c r="L123" s="15" t="s">
        <v>8</v>
      </c>
      <c r="O123" s="8" t="s">
        <v>6</v>
      </c>
      <c r="P123" s="15" t="s">
        <v>8</v>
      </c>
    </row>
    <row r="124" spans="5:22" x14ac:dyDescent="0.35">
      <c r="E124" s="15" t="s">
        <v>8</v>
      </c>
      <c r="G124" s="15" t="s">
        <v>8</v>
      </c>
      <c r="H124" s="15" t="s">
        <v>8</v>
      </c>
      <c r="I124" s="15" t="s">
        <v>8</v>
      </c>
      <c r="J124" s="15" t="s">
        <v>8</v>
      </c>
      <c r="K124" s="15" t="s">
        <v>8</v>
      </c>
      <c r="L124" s="15" t="s">
        <v>8</v>
      </c>
      <c r="O124" s="20" t="str">
        <f>HYPERLINK("http://yeinfo.com/family/I09009046.html", "MARGARETHA WALTHER 1532 GE-1567 GE ID:09009047")</f>
        <v>MARGARETHA WALTHER 1532 GE-1567 GE ID:09009047</v>
      </c>
      <c r="P124" s="17"/>
      <c r="Q124" s="17"/>
      <c r="R124" s="17"/>
      <c r="S124" s="17"/>
    </row>
    <row r="125" spans="5:22" x14ac:dyDescent="0.35">
      <c r="E125" s="15" t="s">
        <v>8</v>
      </c>
      <c r="G125" s="15" t="s">
        <v>8</v>
      </c>
      <c r="H125" s="15" t="s">
        <v>8</v>
      </c>
      <c r="I125" s="15" t="s">
        <v>8</v>
      </c>
      <c r="J125" s="15" t="s">
        <v>8</v>
      </c>
      <c r="K125" s="15" t="s">
        <v>8</v>
      </c>
      <c r="L125" s="15" t="s">
        <v>8</v>
      </c>
      <c r="P125" s="15" t="s">
        <v>8</v>
      </c>
    </row>
    <row r="126" spans="5:22" x14ac:dyDescent="0.35">
      <c r="E126" s="15" t="s">
        <v>8</v>
      </c>
      <c r="G126" s="15" t="s">
        <v>8</v>
      </c>
      <c r="H126" s="15" t="s">
        <v>8</v>
      </c>
      <c r="I126" s="15" t="s">
        <v>8</v>
      </c>
      <c r="J126" s="15" t="s">
        <v>8</v>
      </c>
      <c r="K126" s="15" t="s">
        <v>8</v>
      </c>
      <c r="L126" s="15" t="s">
        <v>8</v>
      </c>
      <c r="P126" s="15" t="s">
        <v>8</v>
      </c>
      <c r="Q126" s="19" t="str">
        <f>HYPERLINK("http://yeinfo.com/family/I09018095.html", "JOACHIM HAPPEL 1470 GE-1552 GE ID:09036190")</f>
        <v>JOACHIM HAPPEL 1470 GE-1552 GE ID:09036190</v>
      </c>
      <c r="R126" s="9"/>
      <c r="S126" s="9"/>
      <c r="T126" s="9"/>
      <c r="U126" s="9"/>
    </row>
    <row r="127" spans="5:22" x14ac:dyDescent="0.35">
      <c r="E127" s="15" t="s">
        <v>8</v>
      </c>
      <c r="G127" s="15" t="s">
        <v>8</v>
      </c>
      <c r="H127" s="15" t="s">
        <v>8</v>
      </c>
      <c r="I127" s="15" t="s">
        <v>8</v>
      </c>
      <c r="J127" s="15" t="s">
        <v>8</v>
      </c>
      <c r="K127" s="15" t="s">
        <v>8</v>
      </c>
      <c r="L127" s="15" t="s">
        <v>8</v>
      </c>
      <c r="P127" s="8" t="s">
        <v>6</v>
      </c>
      <c r="Q127" s="8" t="s">
        <v>3</v>
      </c>
    </row>
    <row r="128" spans="5:22" x14ac:dyDescent="0.35">
      <c r="E128" s="15" t="s">
        <v>8</v>
      </c>
      <c r="G128" s="15" t="s">
        <v>8</v>
      </c>
      <c r="H128" s="15" t="s">
        <v>8</v>
      </c>
      <c r="I128" s="15" t="s">
        <v>8</v>
      </c>
      <c r="J128" s="15" t="s">
        <v>8</v>
      </c>
      <c r="K128" s="15" t="s">
        <v>8</v>
      </c>
      <c r="L128" s="15" t="s">
        <v>8</v>
      </c>
      <c r="P128" s="20" t="str">
        <f>HYPERLINK("http://yeinfo.com/family/I09066679.html", "BARBARA HAPPELS 1510 GE-1574 GE ID:09018095")</f>
        <v>BARBARA HAPPELS 1510 GE-1574 GE ID:09018095</v>
      </c>
      <c r="Q128" s="17"/>
      <c r="R128" s="17"/>
      <c r="S128" s="17"/>
      <c r="T128" s="17"/>
    </row>
    <row r="129" spans="5:21" x14ac:dyDescent="0.35">
      <c r="E129" s="15" t="s">
        <v>8</v>
      </c>
      <c r="G129" s="15" t="s">
        <v>8</v>
      </c>
      <c r="H129" s="15" t="s">
        <v>8</v>
      </c>
      <c r="I129" s="15" t="s">
        <v>8</v>
      </c>
      <c r="J129" s="15" t="s">
        <v>8</v>
      </c>
      <c r="K129" s="15" t="s">
        <v>8</v>
      </c>
      <c r="L129" s="15" t="s">
        <v>8</v>
      </c>
      <c r="Q129" s="8" t="s">
        <v>6</v>
      </c>
    </row>
    <row r="130" spans="5:21" x14ac:dyDescent="0.35">
      <c r="E130" s="15" t="s">
        <v>8</v>
      </c>
      <c r="G130" s="15" t="s">
        <v>8</v>
      </c>
      <c r="H130" s="15" t="s">
        <v>8</v>
      </c>
      <c r="I130" s="15" t="s">
        <v>8</v>
      </c>
      <c r="J130" s="15" t="s">
        <v>8</v>
      </c>
      <c r="K130" s="15" t="s">
        <v>8</v>
      </c>
      <c r="L130" s="15" t="s">
        <v>8</v>
      </c>
      <c r="Q130" s="20" t="str">
        <f>HYPERLINK("http://yeinfo.com/family/I09036190.html", "MARGARETHA APOLLONIA SANDMANN 1482 GE-1537 GE ID:09036191")</f>
        <v>MARGARETHA APOLLONIA SANDMANN 1482 GE-1537 GE ID:09036191</v>
      </c>
      <c r="R130" s="17"/>
      <c r="S130" s="17"/>
      <c r="T130" s="17"/>
      <c r="U130" s="17"/>
    </row>
    <row r="131" spans="5:21" x14ac:dyDescent="0.35">
      <c r="E131" s="15" t="s">
        <v>8</v>
      </c>
      <c r="G131" s="15" t="s">
        <v>8</v>
      </c>
      <c r="H131" s="15" t="s">
        <v>8</v>
      </c>
      <c r="I131" s="15" t="s">
        <v>8</v>
      </c>
      <c r="J131" s="15" t="s">
        <v>8</v>
      </c>
      <c r="K131" s="8" t="s">
        <v>6</v>
      </c>
      <c r="L131" s="15" t="s">
        <v>8</v>
      </c>
    </row>
    <row r="132" spans="5:21" x14ac:dyDescent="0.35">
      <c r="E132" s="15" t="s">
        <v>8</v>
      </c>
      <c r="G132" s="15" t="s">
        <v>8</v>
      </c>
      <c r="H132" s="15" t="s">
        <v>8</v>
      </c>
      <c r="I132" s="15" t="s">
        <v>8</v>
      </c>
      <c r="J132" s="15" t="s">
        <v>8</v>
      </c>
      <c r="K132" s="20" t="str">
        <f>HYPERLINK("http://yeinfo.com/family/I09001129.html", "ANNA ELIZABETH SCHMAHL 1650 GE-1736 GE ID:09000565")</f>
        <v>ANNA ELIZABETH SCHMAHL 1650 GE-1736 GE ID:09000565</v>
      </c>
      <c r="L132" s="17"/>
      <c r="M132" s="17"/>
      <c r="N132" s="17"/>
      <c r="O132" s="17"/>
    </row>
    <row r="133" spans="5:21" x14ac:dyDescent="0.35">
      <c r="E133" s="15" t="s">
        <v>8</v>
      </c>
      <c r="G133" s="15" t="s">
        <v>8</v>
      </c>
      <c r="H133" s="15" t="s">
        <v>8</v>
      </c>
      <c r="I133" s="15" t="s">
        <v>8</v>
      </c>
      <c r="J133" s="15" t="s">
        <v>8</v>
      </c>
      <c r="L133" s="15" t="s">
        <v>8</v>
      </c>
    </row>
    <row r="134" spans="5:21" x14ac:dyDescent="0.35">
      <c r="E134" s="15" t="s">
        <v>8</v>
      </c>
      <c r="G134" s="15" t="s">
        <v>8</v>
      </c>
      <c r="H134" s="15" t="s">
        <v>8</v>
      </c>
      <c r="I134" s="15" t="s">
        <v>8</v>
      </c>
      <c r="J134" s="15" t="s">
        <v>8</v>
      </c>
      <c r="L134" s="15" t="s">
        <v>8</v>
      </c>
      <c r="N134" s="19" t="str">
        <f>HYPERLINK("http://yeinfo.com/family/I09002262.html", "KIIAN SCHNOOR 1562 GE-1585 GE ID:09004524")</f>
        <v>KIIAN SCHNOOR 1562 GE-1585 GE ID:09004524</v>
      </c>
      <c r="O134" s="9"/>
      <c r="P134" s="9"/>
      <c r="Q134" s="9"/>
      <c r="R134" s="9"/>
    </row>
    <row r="135" spans="5:21" x14ac:dyDescent="0.35">
      <c r="E135" s="15" t="s">
        <v>8</v>
      </c>
      <c r="G135" s="15" t="s">
        <v>8</v>
      </c>
      <c r="H135" s="15" t="s">
        <v>8</v>
      </c>
      <c r="I135" s="15" t="s">
        <v>8</v>
      </c>
      <c r="J135" s="15" t="s">
        <v>8</v>
      </c>
      <c r="L135" s="15" t="s">
        <v>8</v>
      </c>
      <c r="N135" s="8" t="s">
        <v>3</v>
      </c>
    </row>
    <row r="136" spans="5:21" x14ac:dyDescent="0.35">
      <c r="E136" s="15" t="s">
        <v>8</v>
      </c>
      <c r="G136" s="15" t="s">
        <v>8</v>
      </c>
      <c r="H136" s="15" t="s">
        <v>8</v>
      </c>
      <c r="I136" s="15" t="s">
        <v>8</v>
      </c>
      <c r="J136" s="15" t="s">
        <v>8</v>
      </c>
      <c r="L136" s="15" t="s">
        <v>8</v>
      </c>
      <c r="M136" s="19" t="str">
        <f>HYPERLINK("http://yeinfo.com/family/I09001131.html", "KILIAN SCHNOOR 1585 GE-1656 GE ID:09002262")</f>
        <v>KILIAN SCHNOOR 1585 GE-1656 GE ID:09002262</v>
      </c>
      <c r="N136" s="9"/>
      <c r="O136" s="9"/>
      <c r="P136" s="9"/>
      <c r="Q136" s="9"/>
    </row>
    <row r="137" spans="5:21" x14ac:dyDescent="0.35">
      <c r="E137" s="15" t="s">
        <v>8</v>
      </c>
      <c r="G137" s="15" t="s">
        <v>8</v>
      </c>
      <c r="H137" s="15" t="s">
        <v>8</v>
      </c>
      <c r="I137" s="15" t="s">
        <v>8</v>
      </c>
      <c r="J137" s="15" t="s">
        <v>8</v>
      </c>
      <c r="L137" s="15" t="s">
        <v>8</v>
      </c>
      <c r="M137" s="8" t="s">
        <v>3</v>
      </c>
      <c r="N137" s="8" t="s">
        <v>6</v>
      </c>
    </row>
    <row r="138" spans="5:21" x14ac:dyDescent="0.35">
      <c r="E138" s="15" t="s">
        <v>8</v>
      </c>
      <c r="G138" s="15" t="s">
        <v>8</v>
      </c>
      <c r="H138" s="15" t="s">
        <v>8</v>
      </c>
      <c r="I138" s="15" t="s">
        <v>8</v>
      </c>
      <c r="J138" s="15" t="s">
        <v>8</v>
      </c>
      <c r="L138" s="15" t="s">
        <v>8</v>
      </c>
      <c r="M138" s="15" t="s">
        <v>8</v>
      </c>
      <c r="N138" s="20" t="str">
        <f>HYPERLINK("http://yeinfo.com/family/I09004524.html", "Mrs. {_?_} SCHNOOR 1562 GE-1585 GE ID:09004525")</f>
        <v>Mrs. {_?_} SCHNOOR 1562 GE-1585 GE ID:09004525</v>
      </c>
      <c r="O138" s="17"/>
      <c r="P138" s="17"/>
      <c r="Q138" s="17"/>
      <c r="R138" s="17"/>
    </row>
    <row r="139" spans="5:21" x14ac:dyDescent="0.35">
      <c r="E139" s="15" t="s">
        <v>8</v>
      </c>
      <c r="G139" s="15" t="s">
        <v>8</v>
      </c>
      <c r="H139" s="15" t="s">
        <v>8</v>
      </c>
      <c r="I139" s="15" t="s">
        <v>8</v>
      </c>
      <c r="J139" s="15" t="s">
        <v>8</v>
      </c>
      <c r="L139" s="8" t="s">
        <v>6</v>
      </c>
      <c r="M139" s="15" t="s">
        <v>8</v>
      </c>
    </row>
    <row r="140" spans="5:21" x14ac:dyDescent="0.35">
      <c r="E140" s="15" t="s">
        <v>8</v>
      </c>
      <c r="G140" s="15" t="s">
        <v>8</v>
      </c>
      <c r="H140" s="15" t="s">
        <v>8</v>
      </c>
      <c r="I140" s="15" t="s">
        <v>8</v>
      </c>
      <c r="J140" s="15" t="s">
        <v>8</v>
      </c>
      <c r="L140" s="20" t="str">
        <f>HYPERLINK("http://yeinfo.com/family/I09036191.html", "ELISABETHA SCHNOOR 1625 GE-1678 GE ID:09001131")</f>
        <v>ELISABETHA SCHNOOR 1625 GE-1678 GE ID:09001131</v>
      </c>
      <c r="M140" s="17"/>
      <c r="N140" s="17"/>
      <c r="O140" s="17"/>
      <c r="P140" s="17"/>
    </row>
    <row r="141" spans="5:21" x14ac:dyDescent="0.35">
      <c r="E141" s="15" t="s">
        <v>8</v>
      </c>
      <c r="G141" s="15" t="s">
        <v>8</v>
      </c>
      <c r="H141" s="15" t="s">
        <v>8</v>
      </c>
      <c r="I141" s="15" t="s">
        <v>8</v>
      </c>
      <c r="J141" s="15" t="s">
        <v>8</v>
      </c>
      <c r="M141" s="8" t="s">
        <v>6</v>
      </c>
    </row>
    <row r="142" spans="5:21" x14ac:dyDescent="0.35">
      <c r="E142" s="15" t="s">
        <v>8</v>
      </c>
      <c r="G142" s="15" t="s">
        <v>8</v>
      </c>
      <c r="H142" s="15" t="s">
        <v>8</v>
      </c>
      <c r="I142" s="15" t="s">
        <v>8</v>
      </c>
      <c r="J142" s="15" t="s">
        <v>8</v>
      </c>
      <c r="M142" s="20" t="str">
        <f>HYPERLINK("http://yeinfo.com/family/I09004525.html", "Mrs. ELISABETH SCHNOOR 1562 GE-1661 GE ID:09002263")</f>
        <v>Mrs. ELISABETH SCHNOOR 1562 GE-1661 GE ID:09002263</v>
      </c>
      <c r="N142" s="17"/>
      <c r="O142" s="17"/>
      <c r="P142" s="17"/>
      <c r="Q142" s="17"/>
    </row>
    <row r="143" spans="5:21" x14ac:dyDescent="0.35">
      <c r="E143" s="15" t="s">
        <v>8</v>
      </c>
      <c r="G143" s="15" t="s">
        <v>8</v>
      </c>
      <c r="H143" s="15" t="s">
        <v>8</v>
      </c>
      <c r="I143" s="8" t="s">
        <v>6</v>
      </c>
      <c r="J143" s="15" t="s">
        <v>8</v>
      </c>
    </row>
    <row r="144" spans="5:21" x14ac:dyDescent="0.35">
      <c r="E144" s="15" t="s">
        <v>8</v>
      </c>
      <c r="G144" s="15" t="s">
        <v>8</v>
      </c>
      <c r="H144" s="15" t="s">
        <v>8</v>
      </c>
      <c r="I144" s="20" t="str">
        <f>HYPERLINK("http://yeinfo.com/family/I09000563.html", "ANNA CATHARINA KRAMER 1720 GE-1761 GE ID:09000141")</f>
        <v>ANNA CATHARINA KRAMER 1720 GE-1761 GE ID:09000141</v>
      </c>
      <c r="J144" s="17"/>
      <c r="K144" s="17"/>
      <c r="L144" s="17"/>
      <c r="M144" s="17"/>
    </row>
    <row r="145" spans="5:16" x14ac:dyDescent="0.35">
      <c r="E145" s="15" t="s">
        <v>8</v>
      </c>
      <c r="G145" s="15" t="s">
        <v>8</v>
      </c>
      <c r="H145" s="15" t="s">
        <v>8</v>
      </c>
      <c r="J145" s="15" t="s">
        <v>8</v>
      </c>
    </row>
    <row r="146" spans="5:16" x14ac:dyDescent="0.35">
      <c r="E146" s="15" t="s">
        <v>8</v>
      </c>
      <c r="G146" s="15" t="s">
        <v>8</v>
      </c>
      <c r="H146" s="15" t="s">
        <v>8</v>
      </c>
      <c r="J146" s="15" t="s">
        <v>8</v>
      </c>
      <c r="L146" s="19" t="str">
        <f>HYPERLINK("http://yeinfo.com/family/I09000566.html", "LORENZ WOLFF 1612 GE-1685 GE ID:09001132")</f>
        <v>LORENZ WOLFF 1612 GE-1685 GE ID:09001132</v>
      </c>
      <c r="M146" s="9"/>
      <c r="N146" s="9"/>
      <c r="O146" s="9"/>
      <c r="P146" s="9"/>
    </row>
    <row r="147" spans="5:16" x14ac:dyDescent="0.35">
      <c r="E147" s="15" t="s">
        <v>8</v>
      </c>
      <c r="G147" s="15" t="s">
        <v>8</v>
      </c>
      <c r="H147" s="15" t="s">
        <v>8</v>
      </c>
      <c r="J147" s="15" t="s">
        <v>8</v>
      </c>
      <c r="L147" s="8" t="s">
        <v>3</v>
      </c>
    </row>
    <row r="148" spans="5:16" x14ac:dyDescent="0.35">
      <c r="E148" s="15" t="s">
        <v>8</v>
      </c>
      <c r="G148" s="15" t="s">
        <v>8</v>
      </c>
      <c r="H148" s="15" t="s">
        <v>8</v>
      </c>
      <c r="J148" s="15" t="s">
        <v>8</v>
      </c>
      <c r="K148" s="19" t="str">
        <f>HYPERLINK("http://yeinfo.com/family/I09000283.html", "WENZEL WOLFF 1647 GE-1711 GE ID:09000566")</f>
        <v>WENZEL WOLFF 1647 GE-1711 GE ID:09000566</v>
      </c>
      <c r="L148" s="9"/>
      <c r="M148" s="9"/>
      <c r="N148" s="9"/>
      <c r="O148" s="9"/>
    </row>
    <row r="149" spans="5:16" x14ac:dyDescent="0.35">
      <c r="E149" s="15" t="s">
        <v>8</v>
      </c>
      <c r="G149" s="15" t="s">
        <v>8</v>
      </c>
      <c r="H149" s="15" t="s">
        <v>8</v>
      </c>
      <c r="J149" s="15" t="s">
        <v>8</v>
      </c>
      <c r="K149" s="8" t="s">
        <v>3</v>
      </c>
      <c r="L149" s="8" t="s">
        <v>6</v>
      </c>
    </row>
    <row r="150" spans="5:16" x14ac:dyDescent="0.35">
      <c r="E150" s="15" t="s">
        <v>8</v>
      </c>
      <c r="G150" s="15" t="s">
        <v>8</v>
      </c>
      <c r="H150" s="15" t="s">
        <v>8</v>
      </c>
      <c r="J150" s="15" t="s">
        <v>8</v>
      </c>
      <c r="K150" s="15" t="s">
        <v>8</v>
      </c>
      <c r="L150" s="20" t="str">
        <f>HYPERLINK("http://yeinfo.com/family/I09001132.html", "APOLONIA PLOTT 1616 GE-1688 GE ID:09001133")</f>
        <v>APOLONIA PLOTT 1616 GE-1688 GE ID:09001133</v>
      </c>
      <c r="M150" s="17"/>
      <c r="N150" s="17"/>
      <c r="O150" s="17"/>
      <c r="P150" s="17"/>
    </row>
    <row r="151" spans="5:16" x14ac:dyDescent="0.35">
      <c r="E151" s="15" t="s">
        <v>8</v>
      </c>
      <c r="G151" s="15" t="s">
        <v>8</v>
      </c>
      <c r="H151" s="15" t="s">
        <v>8</v>
      </c>
      <c r="J151" s="8" t="s">
        <v>6</v>
      </c>
      <c r="K151" s="15" t="s">
        <v>8</v>
      </c>
    </row>
    <row r="152" spans="5:16" x14ac:dyDescent="0.35">
      <c r="E152" s="15" t="s">
        <v>8</v>
      </c>
      <c r="G152" s="15" t="s">
        <v>8</v>
      </c>
      <c r="H152" s="15" t="s">
        <v>8</v>
      </c>
      <c r="J152" s="22" t="str">
        <f>HYPERLINK("http://yeinfo.com/family/I09002263.html", "MARIA ELISABETHA WOLFF 1687 GE-1743 PA ID:09000283")</f>
        <v>MARIA ELISABETHA WOLFF 1687 GE-1743 PA ID:09000283</v>
      </c>
      <c r="K152" s="13"/>
      <c r="L152" s="13"/>
      <c r="M152" s="13"/>
      <c r="N152" s="13"/>
    </row>
    <row r="153" spans="5:16" x14ac:dyDescent="0.35">
      <c r="E153" s="15" t="s">
        <v>8</v>
      </c>
      <c r="G153" s="15" t="s">
        <v>8</v>
      </c>
      <c r="H153" s="15" t="s">
        <v>8</v>
      </c>
      <c r="K153" s="15" t="s">
        <v>8</v>
      </c>
    </row>
    <row r="154" spans="5:16" x14ac:dyDescent="0.35">
      <c r="E154" s="15" t="s">
        <v>8</v>
      </c>
      <c r="G154" s="15" t="s">
        <v>8</v>
      </c>
      <c r="H154" s="15" t="s">
        <v>8</v>
      </c>
      <c r="K154" s="15" t="s">
        <v>8</v>
      </c>
      <c r="L154" s="19" t="str">
        <f>HYPERLINK("http://yeinfo.com/family/I09000567.html", "PHILIPP KILIAN VETTER 1626 GE-1649 GE ID:09001134")</f>
        <v>PHILIPP KILIAN VETTER 1626 GE-1649 GE ID:09001134</v>
      </c>
      <c r="M154" s="9"/>
      <c r="N154" s="9"/>
      <c r="O154" s="9"/>
      <c r="P154" s="9"/>
    </row>
    <row r="155" spans="5:16" x14ac:dyDescent="0.35">
      <c r="E155" s="15" t="s">
        <v>8</v>
      </c>
      <c r="G155" s="15" t="s">
        <v>8</v>
      </c>
      <c r="H155" s="15" t="s">
        <v>8</v>
      </c>
      <c r="K155" s="8" t="s">
        <v>6</v>
      </c>
      <c r="L155" s="8" t="s">
        <v>3</v>
      </c>
    </row>
    <row r="156" spans="5:16" x14ac:dyDescent="0.35">
      <c r="E156" s="15" t="s">
        <v>8</v>
      </c>
      <c r="G156" s="15" t="s">
        <v>8</v>
      </c>
      <c r="H156" s="15" t="s">
        <v>8</v>
      </c>
      <c r="K156" s="20" t="str">
        <f>HYPERLINK("http://yeinfo.com/family/I09001133.html", "ELIZABETH VETTER 1649 GE-1696 GE ID:09000567")</f>
        <v>ELIZABETH VETTER 1649 GE-1696 GE ID:09000567</v>
      </c>
      <c r="L156" s="17"/>
      <c r="M156" s="17"/>
      <c r="N156" s="17"/>
      <c r="O156" s="17"/>
    </row>
    <row r="157" spans="5:16" x14ac:dyDescent="0.35">
      <c r="E157" s="15" t="s">
        <v>8</v>
      </c>
      <c r="G157" s="15" t="s">
        <v>8</v>
      </c>
      <c r="H157" s="15" t="s">
        <v>8</v>
      </c>
      <c r="L157" s="8" t="s">
        <v>6</v>
      </c>
    </row>
    <row r="158" spans="5:16" x14ac:dyDescent="0.35">
      <c r="E158" s="15" t="s">
        <v>8</v>
      </c>
      <c r="G158" s="15" t="s">
        <v>8</v>
      </c>
      <c r="H158" s="15" t="s">
        <v>8</v>
      </c>
      <c r="L158" s="20" t="str">
        <f>HYPERLINK("http://yeinfo.com/family/I09001134.html", "Mrs. {_?_} VETTER 1626 GE-1649 GE ID:09001135")</f>
        <v>Mrs. {_?_} VETTER 1626 GE-1649 GE ID:09001135</v>
      </c>
      <c r="M158" s="17"/>
      <c r="N158" s="17"/>
      <c r="O158" s="17"/>
      <c r="P158" s="17"/>
    </row>
    <row r="159" spans="5:16" x14ac:dyDescent="0.35">
      <c r="E159" s="15" t="s">
        <v>8</v>
      </c>
      <c r="G159" s="8" t="s">
        <v>6</v>
      </c>
      <c r="H159" s="15" t="s">
        <v>8</v>
      </c>
    </row>
    <row r="160" spans="5:16" x14ac:dyDescent="0.35">
      <c r="E160" s="15" t="s">
        <v>8</v>
      </c>
      <c r="G160" s="16" t="str">
        <f>HYPERLINK("http://yeinfo.com/family/I09000279.html", "BARBARA SHULTZ 1788 PA-1864 PA ID:09000035")</f>
        <v>BARBARA SHULTZ 1788 PA-1864 PA ID:09000035</v>
      </c>
      <c r="H160" s="11"/>
      <c r="I160" s="11"/>
      <c r="J160" s="11"/>
      <c r="K160" s="11"/>
    </row>
    <row r="161" spans="4:14" x14ac:dyDescent="0.35">
      <c r="E161" s="15" t="s">
        <v>8</v>
      </c>
      <c r="H161" s="15" t="s">
        <v>8</v>
      </c>
    </row>
    <row r="162" spans="4:14" x14ac:dyDescent="0.35">
      <c r="E162" s="15" t="s">
        <v>8</v>
      </c>
      <c r="H162" s="15" t="s">
        <v>8</v>
      </c>
      <c r="J162" s="19" t="str">
        <f>HYPERLINK("http://yeinfo.com/family/I09000142.html", "JACOB HOLLANDER 1708 GE-1728 GE ID:09000284")</f>
        <v>JACOB HOLLANDER 1708 GE-1728 GE ID:09000284</v>
      </c>
      <c r="K162" s="9"/>
      <c r="L162" s="9"/>
      <c r="M162" s="9"/>
      <c r="N162" s="9"/>
    </row>
    <row r="163" spans="4:14" x14ac:dyDescent="0.35">
      <c r="E163" s="15" t="s">
        <v>8</v>
      </c>
      <c r="H163" s="15" t="s">
        <v>8</v>
      </c>
      <c r="J163" s="8" t="s">
        <v>3</v>
      </c>
    </row>
    <row r="164" spans="4:14" x14ac:dyDescent="0.35">
      <c r="E164" s="15" t="s">
        <v>8</v>
      </c>
      <c r="H164" s="15" t="s">
        <v>8</v>
      </c>
      <c r="I164" s="19" t="str">
        <f>HYPERLINK("http://yeinfo.com/family/I09000071.html", "JOHANN PETER HOLLANDER Sr. 1720 GE-1761 GE ID:09000142")</f>
        <v>JOHANN PETER HOLLANDER Sr. 1720 GE-1761 GE ID:09000142</v>
      </c>
      <c r="J164" s="9"/>
      <c r="K164" s="9"/>
      <c r="L164" s="9"/>
      <c r="M164" s="9"/>
    </row>
    <row r="165" spans="4:14" x14ac:dyDescent="0.35">
      <c r="E165" s="15" t="s">
        <v>8</v>
      </c>
      <c r="H165" s="15" t="s">
        <v>8</v>
      </c>
      <c r="I165" s="8" t="s">
        <v>3</v>
      </c>
      <c r="J165" s="8" t="s">
        <v>6</v>
      </c>
    </row>
    <row r="166" spans="4:14" x14ac:dyDescent="0.35">
      <c r="E166" s="15" t="s">
        <v>8</v>
      </c>
      <c r="H166" s="15" t="s">
        <v>8</v>
      </c>
      <c r="I166" s="15" t="s">
        <v>8</v>
      </c>
      <c r="J166" s="20" t="str">
        <f>HYPERLINK("http://yeinfo.com/family/I09000284.html", "Mrs. {_?_} HOLLANDER 1708 GE-1728 GE ID:09000285")</f>
        <v>Mrs. {_?_} HOLLANDER 1708 GE-1728 GE ID:09000285</v>
      </c>
      <c r="K166" s="17"/>
      <c r="L166" s="17"/>
      <c r="M166" s="17"/>
      <c r="N166" s="17"/>
    </row>
    <row r="167" spans="4:14" x14ac:dyDescent="0.35">
      <c r="E167" s="15" t="s">
        <v>8</v>
      </c>
      <c r="H167" s="8" t="s">
        <v>6</v>
      </c>
      <c r="I167" s="15" t="s">
        <v>8</v>
      </c>
    </row>
    <row r="168" spans="4:14" x14ac:dyDescent="0.35">
      <c r="E168" s="15" t="s">
        <v>8</v>
      </c>
      <c r="H168" s="22" t="str">
        <f>HYPERLINK("http://yeinfo.com/family/I09001135.html", "MARIE CATHERINE HOLLANDER 1749 GE-1826 PA ID:09000071")</f>
        <v>MARIE CATHERINE HOLLANDER 1749 GE-1826 PA ID:09000071</v>
      </c>
      <c r="I168" s="13"/>
      <c r="J168" s="13"/>
      <c r="K168" s="13"/>
      <c r="L168" s="13"/>
    </row>
    <row r="169" spans="4:14" x14ac:dyDescent="0.35">
      <c r="E169" s="15" t="s">
        <v>8</v>
      </c>
      <c r="I169" s="15" t="s">
        <v>8</v>
      </c>
    </row>
    <row r="170" spans="4:14" x14ac:dyDescent="0.35">
      <c r="E170" s="15" t="s">
        <v>8</v>
      </c>
      <c r="I170" s="15" t="s">
        <v>8</v>
      </c>
      <c r="J170" s="19" t="str">
        <f>HYPERLINK("http://yeinfo.com/family/I09000143.html", "GABRIEL FABER 1705 GE-1725 GE ID:09000286")</f>
        <v>GABRIEL FABER 1705 GE-1725 GE ID:09000286</v>
      </c>
      <c r="K170" s="9"/>
      <c r="L170" s="9"/>
      <c r="M170" s="9"/>
      <c r="N170" s="9"/>
    </row>
    <row r="171" spans="4:14" x14ac:dyDescent="0.35">
      <c r="E171" s="15" t="s">
        <v>8</v>
      </c>
      <c r="I171" s="8" t="s">
        <v>6</v>
      </c>
      <c r="J171" s="8" t="s">
        <v>3</v>
      </c>
    </row>
    <row r="172" spans="4:14" x14ac:dyDescent="0.35">
      <c r="E172" s="15" t="s">
        <v>8</v>
      </c>
      <c r="I172" s="16" t="str">
        <f>HYPERLINK("http://yeinfo.com/family/I09000285.html", "ANNAE MARGARETHAE FABER 1725 GE-1760  ID:09000143")</f>
        <v>ANNAE MARGARETHAE FABER 1725 GE-1760  ID:09000143</v>
      </c>
      <c r="J172" s="11"/>
      <c r="K172" s="11"/>
      <c r="L172" s="11"/>
      <c r="M172" s="11"/>
    </row>
    <row r="173" spans="4:14" x14ac:dyDescent="0.35">
      <c r="E173" s="15" t="s">
        <v>8</v>
      </c>
      <c r="J173" s="8" t="s">
        <v>6</v>
      </c>
    </row>
    <row r="174" spans="4:14" x14ac:dyDescent="0.35">
      <c r="E174" s="15" t="s">
        <v>8</v>
      </c>
      <c r="J174" s="20" t="str">
        <f>HYPERLINK("http://yeinfo.com/family/I09000286.html", "Mrs. {_?_} FABER 1705 GE-1725 GE ID:09000287")</f>
        <v>Mrs. {_?_} FABER 1705 GE-1725 GE ID:09000287</v>
      </c>
      <c r="K174" s="17"/>
      <c r="L174" s="17"/>
      <c r="M174" s="17"/>
      <c r="N174" s="17"/>
    </row>
    <row r="175" spans="4:14" x14ac:dyDescent="0.35">
      <c r="E175" s="15" t="s">
        <v>8</v>
      </c>
    </row>
    <row r="176" spans="4:14" x14ac:dyDescent="0.35">
      <c r="D176" s="5" t="str">
        <f>HYPERLINK("http://yeinfo.com/family/I09000002.html", "Ancestor ID:09000004")</f>
        <v>Ancestor ID:09000004</v>
      </c>
      <c r="E176" s="3"/>
      <c r="F176" s="3"/>
      <c r="G176" s="3"/>
      <c r="H176" s="3"/>
    </row>
    <row r="177" spans="3:16" x14ac:dyDescent="0.35">
      <c r="D177" s="8" t="s">
        <v>3</v>
      </c>
      <c r="E177" s="15" t="s">
        <v>8</v>
      </c>
    </row>
    <row r="178" spans="3:16" x14ac:dyDescent="0.35">
      <c r="D178" s="15" t="s">
        <v>8</v>
      </c>
      <c r="E178" s="15" t="s">
        <v>8</v>
      </c>
      <c r="F178" s="5" t="str">
        <f>HYPERLINK("http://yeinfo.com/family/I09000009.html", "THOMAS K. MELVIN 1822 VA-1890 OH ID:09000018")</f>
        <v>THOMAS K. MELVIN 1822 VA-1890 OH ID:09000018</v>
      </c>
      <c r="G178" s="3"/>
      <c r="H178" s="3"/>
      <c r="I178" s="3"/>
      <c r="J178" s="3"/>
    </row>
    <row r="179" spans="3:16" x14ac:dyDescent="0.35">
      <c r="D179" s="15" t="s">
        <v>8</v>
      </c>
      <c r="E179" s="8" t="s">
        <v>6</v>
      </c>
      <c r="F179" s="8" t="s">
        <v>3</v>
      </c>
    </row>
    <row r="180" spans="3:16" x14ac:dyDescent="0.35">
      <c r="D180" s="15" t="s">
        <v>8</v>
      </c>
      <c r="E180" s="16" t="str">
        <f>HYPERLINK("http://yeinfo.com/family/I09000287.html", "IDA MELVIN 1862 OH-1922 MO ID:09000009")</f>
        <v>IDA MELVIN 1862 OH-1922 MO ID:09000009</v>
      </c>
      <c r="F180" s="11"/>
      <c r="G180" s="11"/>
      <c r="H180" s="11"/>
      <c r="I180" s="11"/>
    </row>
    <row r="181" spans="3:16" x14ac:dyDescent="0.35">
      <c r="D181" s="15" t="s">
        <v>8</v>
      </c>
      <c r="F181" s="8" t="s">
        <v>6</v>
      </c>
    </row>
    <row r="182" spans="3:16" x14ac:dyDescent="0.35">
      <c r="D182" s="15" t="s">
        <v>8</v>
      </c>
      <c r="F182" s="16" t="str">
        <f>HYPERLINK("http://yeinfo.com/family/I09000018.html", "ELIZABETH JANE RIGGS 1825 MO-1915 CN ID:09000019")</f>
        <v>ELIZABETH JANE RIGGS 1825 MO-1915 CN ID:09000019</v>
      </c>
      <c r="G182" s="11"/>
      <c r="H182" s="11"/>
      <c r="I182" s="11"/>
      <c r="J182" s="11"/>
    </row>
    <row r="183" spans="3:16" x14ac:dyDescent="0.35">
      <c r="D183" s="15" t="s">
        <v>8</v>
      </c>
    </row>
    <row r="184" spans="3:16" x14ac:dyDescent="0.35">
      <c r="C184" s="5" t="str">
        <f>HYPERLINK("http://yeinfo.com/family/N09000001.html", "Ancestor ID:09000002")</f>
        <v>Ancestor ID:09000002</v>
      </c>
      <c r="D184" s="3"/>
      <c r="E184" s="3"/>
      <c r="F184" s="3"/>
      <c r="G184" s="3"/>
    </row>
    <row r="185" spans="3:16" x14ac:dyDescent="0.35">
      <c r="C185" s="8" t="s">
        <v>3</v>
      </c>
      <c r="D185" s="15" t="s">
        <v>8</v>
      </c>
    </row>
    <row r="186" spans="3:16" x14ac:dyDescent="0.35">
      <c r="C186" s="15" t="s">
        <v>8</v>
      </c>
      <c r="D186" s="15" t="s">
        <v>8</v>
      </c>
      <c r="L186" s="19" t="str">
        <f>HYPERLINK("http://yeinfo.com/family/I09000640.html", "ROBERT SEARLS &lt;2&gt; 1640 EN-1663 EN ID:09001280")</f>
        <v>ROBERT SEARLS &lt;2&gt; 1640 EN-1663 EN ID:09001280</v>
      </c>
      <c r="M186" s="9"/>
      <c r="N186" s="9"/>
      <c r="O186" s="9"/>
      <c r="P186" s="9"/>
    </row>
    <row r="187" spans="3:16" x14ac:dyDescent="0.35">
      <c r="C187" s="15" t="s">
        <v>8</v>
      </c>
      <c r="D187" s="15" t="s">
        <v>8</v>
      </c>
      <c r="L187" s="8" t="s">
        <v>3</v>
      </c>
    </row>
    <row r="188" spans="3:16" x14ac:dyDescent="0.35">
      <c r="C188" s="15" t="s">
        <v>8</v>
      </c>
      <c r="D188" s="15" t="s">
        <v>8</v>
      </c>
      <c r="K188" s="19" t="str">
        <f>HYPERLINK("http://yeinfo.com/family/I09000320.html", "ROBERT SEARLS &lt;2&gt; 1663 EN-1711 EN ID:09000640")</f>
        <v>ROBERT SEARLS &lt;2&gt; 1663 EN-1711 EN ID:09000640</v>
      </c>
      <c r="L188" s="9"/>
      <c r="M188" s="9"/>
      <c r="N188" s="9"/>
      <c r="O188" s="9"/>
    </row>
    <row r="189" spans="3:16" x14ac:dyDescent="0.35">
      <c r="C189" s="15" t="s">
        <v>8</v>
      </c>
      <c r="D189" s="15" t="s">
        <v>8</v>
      </c>
      <c r="K189" s="8" t="s">
        <v>3</v>
      </c>
      <c r="L189" s="8" t="s">
        <v>6</v>
      </c>
    </row>
    <row r="190" spans="3:16" x14ac:dyDescent="0.35">
      <c r="C190" s="15" t="s">
        <v>8</v>
      </c>
      <c r="D190" s="15" t="s">
        <v>8</v>
      </c>
      <c r="K190" s="15" t="s">
        <v>8</v>
      </c>
      <c r="L190" s="20" t="str">
        <f>HYPERLINK("http://yeinfo.com/family/I09001280.html", "Mrs. JOHANNA SEARLS &lt;2&gt; 1640 EN-1663 EN ID:09001281")</f>
        <v>Mrs. JOHANNA SEARLS &lt;2&gt; 1640 EN-1663 EN ID:09001281</v>
      </c>
      <c r="M190" s="17"/>
      <c r="N190" s="17"/>
      <c r="O190" s="17"/>
      <c r="P190" s="17"/>
    </row>
    <row r="191" spans="3:16" x14ac:dyDescent="0.35">
      <c r="C191" s="15" t="s">
        <v>8</v>
      </c>
      <c r="D191" s="15" t="s">
        <v>8</v>
      </c>
      <c r="K191" s="15" t="s">
        <v>8</v>
      </c>
    </row>
    <row r="192" spans="3:16" x14ac:dyDescent="0.35">
      <c r="C192" s="15" t="s">
        <v>8</v>
      </c>
      <c r="D192" s="15" t="s">
        <v>8</v>
      </c>
      <c r="J192" s="21" t="str">
        <f>HYPERLINK("http://yeinfo.com/family/I09000160.html", "JOHN SEARLS Sr. &lt;2&gt; 1711 EN-1770 NY ID:09000320")</f>
        <v>JOHN SEARLS Sr. &lt;2&gt; 1711 EN-1770 NY ID:09000320</v>
      </c>
      <c r="K192" s="6"/>
      <c r="L192" s="6"/>
      <c r="M192" s="6"/>
      <c r="N192" s="6"/>
    </row>
    <row r="193" spans="3:18" x14ac:dyDescent="0.35">
      <c r="C193" s="15" t="s">
        <v>8</v>
      </c>
      <c r="D193" s="15" t="s">
        <v>8</v>
      </c>
      <c r="J193" s="8" t="s">
        <v>3</v>
      </c>
      <c r="K193" s="8" t="s">
        <v>6</v>
      </c>
    </row>
    <row r="194" spans="3:18" x14ac:dyDescent="0.35">
      <c r="C194" s="15" t="s">
        <v>8</v>
      </c>
      <c r="D194" s="15" t="s">
        <v>8</v>
      </c>
      <c r="J194" s="15" t="s">
        <v>8</v>
      </c>
      <c r="K194" s="20" t="str">
        <f>HYPERLINK("http://yeinfo.com/family/I09001281.html", "MARY\MATILDA QUARTERMAIN &lt;2&gt; 1670 EN-1711 EN ID:09000641")</f>
        <v>MARY\MATILDA QUARTERMAIN &lt;2&gt; 1670 EN-1711 EN ID:09000641</v>
      </c>
      <c r="L194" s="17"/>
      <c r="M194" s="17"/>
      <c r="N194" s="17"/>
      <c r="O194" s="17"/>
      <c r="P194" s="17"/>
    </row>
    <row r="195" spans="3:18" x14ac:dyDescent="0.35">
      <c r="C195" s="15" t="s">
        <v>8</v>
      </c>
      <c r="D195" s="15" t="s">
        <v>8</v>
      </c>
      <c r="J195" s="15" t="s">
        <v>8</v>
      </c>
    </row>
    <row r="196" spans="3:18" x14ac:dyDescent="0.35">
      <c r="C196" s="15" t="s">
        <v>8</v>
      </c>
      <c r="D196" s="15" t="s">
        <v>8</v>
      </c>
      <c r="I196" s="5" t="str">
        <f>HYPERLINK("http://yeinfo.com/family/I09000080.html", "JOHN SEARLS Jr. &lt;2&gt; 1732 NY-1810 NY ID:09000160")</f>
        <v>JOHN SEARLS Jr. &lt;2&gt; 1732 NY-1810 NY ID:09000160</v>
      </c>
      <c r="J196" s="3"/>
      <c r="K196" s="3"/>
      <c r="L196" s="3"/>
      <c r="M196" s="3"/>
    </row>
    <row r="197" spans="3:18" x14ac:dyDescent="0.35">
      <c r="C197" s="15" t="s">
        <v>8</v>
      </c>
      <c r="D197" s="15" t="s">
        <v>8</v>
      </c>
      <c r="I197" s="8" t="s">
        <v>3</v>
      </c>
      <c r="J197" s="8" t="s">
        <v>6</v>
      </c>
    </row>
    <row r="198" spans="3:18" x14ac:dyDescent="0.35">
      <c r="C198" s="15" t="s">
        <v>8</v>
      </c>
      <c r="D198" s="15" t="s">
        <v>8</v>
      </c>
      <c r="I198" s="15" t="s">
        <v>8</v>
      </c>
      <c r="J198" s="22" t="str">
        <f>HYPERLINK("http://yeinfo.com/family/I09000641.html", "MARY ELIZABETH PACKER &lt;2&gt; 1709 EN-1732 NY ID:09000321")</f>
        <v>MARY ELIZABETH PACKER &lt;2&gt; 1709 EN-1732 NY ID:09000321</v>
      </c>
      <c r="K198" s="13"/>
      <c r="L198" s="13"/>
      <c r="M198" s="13"/>
      <c r="N198" s="13"/>
    </row>
    <row r="199" spans="3:18" x14ac:dyDescent="0.35">
      <c r="C199" s="15" t="s">
        <v>8</v>
      </c>
      <c r="D199" s="15" t="s">
        <v>8</v>
      </c>
      <c r="I199" s="15" t="s">
        <v>8</v>
      </c>
    </row>
    <row r="200" spans="3:18" x14ac:dyDescent="0.35">
      <c r="C200" s="15" t="s">
        <v>8</v>
      </c>
      <c r="D200" s="15" t="s">
        <v>8</v>
      </c>
      <c r="H200" s="5" t="str">
        <f>HYPERLINK("http://yeinfo.com/family/I09000040.html", "DANIEL SEARLS 1775 NY-1854 OH ID:09000080")</f>
        <v>DANIEL SEARLS 1775 NY-1854 OH ID:09000080</v>
      </c>
      <c r="I200" s="3"/>
      <c r="J200" s="3"/>
      <c r="K200" s="3"/>
      <c r="L200" s="3"/>
    </row>
    <row r="201" spans="3:18" x14ac:dyDescent="0.35">
      <c r="C201" s="15" t="s">
        <v>8</v>
      </c>
      <c r="D201" s="15" t="s">
        <v>8</v>
      </c>
      <c r="H201" s="8" t="s">
        <v>3</v>
      </c>
      <c r="I201" s="15" t="s">
        <v>8</v>
      </c>
    </row>
    <row r="202" spans="3:18" x14ac:dyDescent="0.35">
      <c r="C202" s="15" t="s">
        <v>8</v>
      </c>
      <c r="D202" s="15" t="s">
        <v>8</v>
      </c>
      <c r="H202" s="15" t="s">
        <v>8</v>
      </c>
      <c r="I202" s="15" t="s">
        <v>8</v>
      </c>
      <c r="M202" s="5" t="str">
        <f>HYPERLINK("http://yeinfo.com/family/I09001288.html", "WILLIAM\SAMUEL IRELAND Jr. &lt;2&gt; 1603 EN-1639  ID:09002576")</f>
        <v>WILLIAM\SAMUEL IRELAND Jr. &lt;2&gt; 1603 EN-1639  ID:09002576</v>
      </c>
      <c r="N202" s="3"/>
      <c r="O202" s="3"/>
      <c r="P202" s="3"/>
      <c r="Q202" s="3"/>
      <c r="R202" s="3"/>
    </row>
    <row r="203" spans="3:18" x14ac:dyDescent="0.35">
      <c r="C203" s="15" t="s">
        <v>8</v>
      </c>
      <c r="D203" s="15" t="s">
        <v>8</v>
      </c>
      <c r="H203" s="15" t="s">
        <v>8</v>
      </c>
      <c r="I203" s="15" t="s">
        <v>8</v>
      </c>
      <c r="M203" s="8" t="s">
        <v>3</v>
      </c>
    </row>
    <row r="204" spans="3:18" x14ac:dyDescent="0.35">
      <c r="C204" s="15" t="s">
        <v>8</v>
      </c>
      <c r="D204" s="15" t="s">
        <v>8</v>
      </c>
      <c r="H204" s="15" t="s">
        <v>8</v>
      </c>
      <c r="I204" s="15" t="s">
        <v>8</v>
      </c>
      <c r="L204" s="5" t="str">
        <f>HYPERLINK("http://yeinfo.com/family/I09000644.html", "THOMAS IRELAND &lt;2&gt; 1622 EN-1668  ID:09001288")</f>
        <v>THOMAS IRELAND &lt;2&gt; 1622 EN-1668  ID:09001288</v>
      </c>
      <c r="M204" s="3"/>
      <c r="N204" s="3"/>
      <c r="O204" s="3"/>
      <c r="P204" s="3"/>
    </row>
    <row r="205" spans="3:18" x14ac:dyDescent="0.35">
      <c r="C205" s="15" t="s">
        <v>8</v>
      </c>
      <c r="D205" s="15" t="s">
        <v>8</v>
      </c>
      <c r="H205" s="15" t="s">
        <v>8</v>
      </c>
      <c r="I205" s="15" t="s">
        <v>8</v>
      </c>
      <c r="L205" s="8" t="s">
        <v>3</v>
      </c>
      <c r="M205" s="8" t="s">
        <v>6</v>
      </c>
    </row>
    <row r="206" spans="3:18" x14ac:dyDescent="0.35">
      <c r="C206" s="15" t="s">
        <v>8</v>
      </c>
      <c r="D206" s="15" t="s">
        <v>8</v>
      </c>
      <c r="H206" s="15" t="s">
        <v>8</v>
      </c>
      <c r="I206" s="15" t="s">
        <v>8</v>
      </c>
      <c r="L206" s="15" t="s">
        <v>8</v>
      </c>
      <c r="M206" s="16" t="str">
        <f>HYPERLINK("http://yeinfo.com/family/I09002576.html", "MARY LOAH &lt;2&gt; 1590 EN-1622  ID:09002577")</f>
        <v>MARY LOAH &lt;2&gt; 1590 EN-1622  ID:09002577</v>
      </c>
      <c r="N206" s="11"/>
      <c r="O206" s="11"/>
      <c r="P206" s="11"/>
      <c r="Q206" s="11"/>
    </row>
    <row r="207" spans="3:18" x14ac:dyDescent="0.35">
      <c r="C207" s="15" t="s">
        <v>8</v>
      </c>
      <c r="D207" s="15" t="s">
        <v>8</v>
      </c>
      <c r="H207" s="15" t="s">
        <v>8</v>
      </c>
      <c r="I207" s="15" t="s">
        <v>8</v>
      </c>
      <c r="L207" s="15" t="s">
        <v>8</v>
      </c>
    </row>
    <row r="208" spans="3:18" x14ac:dyDescent="0.35">
      <c r="C208" s="15" t="s">
        <v>8</v>
      </c>
      <c r="D208" s="15" t="s">
        <v>8</v>
      </c>
      <c r="H208" s="15" t="s">
        <v>8</v>
      </c>
      <c r="I208" s="15" t="s">
        <v>8</v>
      </c>
      <c r="K208" s="5" t="str">
        <f>HYPERLINK("http://yeinfo.com/family/I09000322.html", "THOMAS JOSEPH IRELAND &lt;2&gt; 1647 NY-1710 NY ID:09000644")</f>
        <v>THOMAS JOSEPH IRELAND &lt;2&gt; 1647 NY-1710 NY ID:09000644</v>
      </c>
      <c r="L208" s="3"/>
      <c r="M208" s="3"/>
      <c r="N208" s="3"/>
      <c r="O208" s="3"/>
    </row>
    <row r="209" spans="3:24" x14ac:dyDescent="0.35">
      <c r="C209" s="15" t="s">
        <v>8</v>
      </c>
      <c r="D209" s="15" t="s">
        <v>8</v>
      </c>
      <c r="H209" s="15" t="s">
        <v>8</v>
      </c>
      <c r="I209" s="15" t="s">
        <v>8</v>
      </c>
      <c r="K209" s="8" t="s">
        <v>3</v>
      </c>
      <c r="L209" s="15" t="s">
        <v>8</v>
      </c>
    </row>
    <row r="210" spans="3:24" x14ac:dyDescent="0.35">
      <c r="C210" s="15" t="s">
        <v>8</v>
      </c>
      <c r="D210" s="15" t="s">
        <v>8</v>
      </c>
      <c r="H210" s="15" t="s">
        <v>8</v>
      </c>
      <c r="I210" s="15" t="s">
        <v>8</v>
      </c>
      <c r="K210" s="15" t="s">
        <v>8</v>
      </c>
      <c r="L210" s="15" t="s">
        <v>8</v>
      </c>
      <c r="N210" s="19" t="str">
        <f>HYPERLINK("http://yeinfo.com/family/I09002578.html", "THOMAS DUTTON &lt;2&gt; 1568 EN-1614 EN ID:09005156")</f>
        <v>THOMAS DUTTON &lt;2&gt; 1568 EN-1614 EN ID:09005156</v>
      </c>
      <c r="O210" s="9"/>
      <c r="P210" s="9"/>
      <c r="Q210" s="9"/>
      <c r="R210" s="9"/>
    </row>
    <row r="211" spans="3:24" x14ac:dyDescent="0.35">
      <c r="C211" s="15" t="s">
        <v>8</v>
      </c>
      <c r="D211" s="15" t="s">
        <v>8</v>
      </c>
      <c r="H211" s="15" t="s">
        <v>8</v>
      </c>
      <c r="I211" s="15" t="s">
        <v>8</v>
      </c>
      <c r="K211" s="15" t="s">
        <v>8</v>
      </c>
      <c r="L211" s="15" t="s">
        <v>8</v>
      </c>
      <c r="N211" s="8" t="s">
        <v>3</v>
      </c>
    </row>
    <row r="212" spans="3:24" x14ac:dyDescent="0.35">
      <c r="C212" s="15" t="s">
        <v>8</v>
      </c>
      <c r="D212" s="15" t="s">
        <v>8</v>
      </c>
      <c r="H212" s="15" t="s">
        <v>8</v>
      </c>
      <c r="I212" s="15" t="s">
        <v>8</v>
      </c>
      <c r="K212" s="15" t="s">
        <v>8</v>
      </c>
      <c r="L212" s="15" t="s">
        <v>8</v>
      </c>
      <c r="M212" s="19" t="str">
        <f>HYPERLINK("http://yeinfo.com/family/I09001289.html", "ROLAND DUTTON &lt;2&gt; 1585 EN-1653 AS ID:09002578")</f>
        <v>ROLAND DUTTON &lt;2&gt; 1585 EN-1653 AS ID:09002578</v>
      </c>
      <c r="N212" s="9"/>
      <c r="O212" s="9"/>
      <c r="P212" s="9"/>
      <c r="Q212" s="9"/>
    </row>
    <row r="213" spans="3:24" x14ac:dyDescent="0.35">
      <c r="C213" s="15" t="s">
        <v>8</v>
      </c>
      <c r="D213" s="15" t="s">
        <v>8</v>
      </c>
      <c r="H213" s="15" t="s">
        <v>8</v>
      </c>
      <c r="I213" s="15" t="s">
        <v>8</v>
      </c>
      <c r="K213" s="15" t="s">
        <v>8</v>
      </c>
      <c r="L213" s="15" t="s">
        <v>8</v>
      </c>
      <c r="M213" s="8" t="s">
        <v>3</v>
      </c>
      <c r="N213" s="15" t="s">
        <v>8</v>
      </c>
    </row>
    <row r="214" spans="3:24" x14ac:dyDescent="0.35">
      <c r="C214" s="15" t="s">
        <v>8</v>
      </c>
      <c r="D214" s="15" t="s">
        <v>8</v>
      </c>
      <c r="H214" s="15" t="s">
        <v>8</v>
      </c>
      <c r="I214" s="15" t="s">
        <v>8</v>
      </c>
      <c r="K214" s="15" t="s">
        <v>8</v>
      </c>
      <c r="L214" s="15" t="s">
        <v>8</v>
      </c>
      <c r="M214" s="15" t="s">
        <v>8</v>
      </c>
      <c r="N214" s="15" t="s">
        <v>8</v>
      </c>
      <c r="Q214" s="19" t="str">
        <f>HYPERLINK("http://yeinfo.com/family/I09020628.html", "JAMES ANDERTON &lt;2&gt; 1495 EN-1552 EN ID:09041256")</f>
        <v>JAMES ANDERTON &lt;2&gt; 1495 EN-1552 EN ID:09041256</v>
      </c>
      <c r="R214" s="9"/>
      <c r="S214" s="9"/>
      <c r="T214" s="9"/>
      <c r="U214" s="9"/>
    </row>
    <row r="215" spans="3:24" x14ac:dyDescent="0.35">
      <c r="C215" s="15" t="s">
        <v>8</v>
      </c>
      <c r="D215" s="15" t="s">
        <v>8</v>
      </c>
      <c r="H215" s="15" t="s">
        <v>8</v>
      </c>
      <c r="I215" s="15" t="s">
        <v>8</v>
      </c>
      <c r="K215" s="15" t="s">
        <v>8</v>
      </c>
      <c r="L215" s="15" t="s">
        <v>8</v>
      </c>
      <c r="M215" s="15" t="s">
        <v>8</v>
      </c>
      <c r="N215" s="15" t="s">
        <v>8</v>
      </c>
      <c r="Q215" s="8" t="s">
        <v>3</v>
      </c>
    </row>
    <row r="216" spans="3:24" x14ac:dyDescent="0.35">
      <c r="C216" s="15" t="s">
        <v>8</v>
      </c>
      <c r="D216" s="15" t="s">
        <v>8</v>
      </c>
      <c r="H216" s="15" t="s">
        <v>8</v>
      </c>
      <c r="I216" s="15" t="s">
        <v>8</v>
      </c>
      <c r="K216" s="15" t="s">
        <v>8</v>
      </c>
      <c r="L216" s="15" t="s">
        <v>8</v>
      </c>
      <c r="M216" s="15" t="s">
        <v>8</v>
      </c>
      <c r="N216" s="15" t="s">
        <v>8</v>
      </c>
      <c r="P216" s="19" t="str">
        <f>HYPERLINK("http://yeinfo.com/family/I09010314.html", "ROGER ANDERTON Sr. &lt;2&gt; 1510 EN-1546 EN ID:09020628")</f>
        <v>ROGER ANDERTON Sr. &lt;2&gt; 1510 EN-1546 EN ID:09020628</v>
      </c>
      <c r="Q216" s="9"/>
      <c r="R216" s="9"/>
      <c r="S216" s="9"/>
      <c r="T216" s="9"/>
    </row>
    <row r="217" spans="3:24" x14ac:dyDescent="0.35">
      <c r="C217" s="15" t="s">
        <v>8</v>
      </c>
      <c r="D217" s="15" t="s">
        <v>8</v>
      </c>
      <c r="H217" s="15" t="s">
        <v>8</v>
      </c>
      <c r="I217" s="15" t="s">
        <v>8</v>
      </c>
      <c r="K217" s="15" t="s">
        <v>8</v>
      </c>
      <c r="L217" s="15" t="s">
        <v>8</v>
      </c>
      <c r="M217" s="15" t="s">
        <v>8</v>
      </c>
      <c r="N217" s="15" t="s">
        <v>8</v>
      </c>
      <c r="P217" s="8" t="s">
        <v>3</v>
      </c>
      <c r="Q217" s="15" t="s">
        <v>8</v>
      </c>
    </row>
    <row r="218" spans="3:24" x14ac:dyDescent="0.35">
      <c r="C218" s="15" t="s">
        <v>8</v>
      </c>
      <c r="D218" s="15" t="s">
        <v>8</v>
      </c>
      <c r="H218" s="15" t="s">
        <v>8</v>
      </c>
      <c r="I218" s="15" t="s">
        <v>8</v>
      </c>
      <c r="K218" s="15" t="s">
        <v>8</v>
      </c>
      <c r="L218" s="15" t="s">
        <v>8</v>
      </c>
      <c r="M218" s="15" t="s">
        <v>8</v>
      </c>
      <c r="N218" s="15" t="s">
        <v>8</v>
      </c>
      <c r="P218" s="15" t="s">
        <v>8</v>
      </c>
      <c r="Q218" s="15" t="s">
        <v>8</v>
      </c>
      <c r="T218" s="19" t="str">
        <f>HYPERLINK("http://yeinfo.com/family/I09066773.html", "WILLIAM BANASTRE II &lt;3&gt; 1359 EN-1395 EN ID:09066438")</f>
        <v>WILLIAM BANASTRE II &lt;3&gt; 1359 EN-1395 EN ID:09066438</v>
      </c>
      <c r="U218" s="9"/>
      <c r="V218" s="9"/>
      <c r="W218" s="9"/>
      <c r="X218" s="9"/>
    </row>
    <row r="219" spans="3:24" x14ac:dyDescent="0.35">
      <c r="C219" s="15" t="s">
        <v>8</v>
      </c>
      <c r="D219" s="15" t="s">
        <v>8</v>
      </c>
      <c r="H219" s="15" t="s">
        <v>8</v>
      </c>
      <c r="I219" s="15" t="s">
        <v>8</v>
      </c>
      <c r="K219" s="15" t="s">
        <v>8</v>
      </c>
      <c r="L219" s="15" t="s">
        <v>8</v>
      </c>
      <c r="M219" s="15" t="s">
        <v>8</v>
      </c>
      <c r="N219" s="15" t="s">
        <v>8</v>
      </c>
      <c r="P219" s="15" t="s">
        <v>8</v>
      </c>
      <c r="Q219" s="15" t="s">
        <v>8</v>
      </c>
      <c r="T219" s="8" t="s">
        <v>3</v>
      </c>
    </row>
    <row r="220" spans="3:24" x14ac:dyDescent="0.35">
      <c r="C220" s="15" t="s">
        <v>8</v>
      </c>
      <c r="D220" s="15" t="s">
        <v>8</v>
      </c>
      <c r="H220" s="15" t="s">
        <v>8</v>
      </c>
      <c r="I220" s="15" t="s">
        <v>8</v>
      </c>
      <c r="K220" s="15" t="s">
        <v>8</v>
      </c>
      <c r="L220" s="15" t="s">
        <v>8</v>
      </c>
      <c r="M220" s="15" t="s">
        <v>8</v>
      </c>
      <c r="N220" s="15" t="s">
        <v>8</v>
      </c>
      <c r="P220" s="15" t="s">
        <v>8</v>
      </c>
      <c r="Q220" s="15" t="s">
        <v>8</v>
      </c>
      <c r="S220" s="19" t="str">
        <f>HYPERLINK("http://yeinfo.com/family/I09066774.html", "FRANCIS BANASTRE &lt;2&gt; 1400 EN-1495 EN ID:09066773")</f>
        <v>FRANCIS BANASTRE &lt;2&gt; 1400 EN-1495 EN ID:09066773</v>
      </c>
      <c r="T220" s="9"/>
      <c r="U220" s="9"/>
      <c r="V220" s="9"/>
      <c r="W220" s="9"/>
    </row>
    <row r="221" spans="3:24" x14ac:dyDescent="0.35">
      <c r="C221" s="15" t="s">
        <v>8</v>
      </c>
      <c r="D221" s="15" t="s">
        <v>8</v>
      </c>
      <c r="H221" s="15" t="s">
        <v>8</v>
      </c>
      <c r="I221" s="15" t="s">
        <v>8</v>
      </c>
      <c r="K221" s="15" t="s">
        <v>8</v>
      </c>
      <c r="L221" s="15" t="s">
        <v>8</v>
      </c>
      <c r="M221" s="15" t="s">
        <v>8</v>
      </c>
      <c r="N221" s="15" t="s">
        <v>8</v>
      </c>
      <c r="P221" s="15" t="s">
        <v>8</v>
      </c>
      <c r="Q221" s="15" t="s">
        <v>8</v>
      </c>
      <c r="S221" s="8" t="s">
        <v>3</v>
      </c>
      <c r="T221" s="8" t="s">
        <v>6</v>
      </c>
    </row>
    <row r="222" spans="3:24" x14ac:dyDescent="0.35">
      <c r="C222" s="15" t="s">
        <v>8</v>
      </c>
      <c r="D222" s="15" t="s">
        <v>8</v>
      </c>
      <c r="H222" s="15" t="s">
        <v>8</v>
      </c>
      <c r="I222" s="15" t="s">
        <v>8</v>
      </c>
      <c r="K222" s="15" t="s">
        <v>8</v>
      </c>
      <c r="L222" s="15" t="s">
        <v>8</v>
      </c>
      <c r="M222" s="15" t="s">
        <v>8</v>
      </c>
      <c r="N222" s="15" t="s">
        <v>8</v>
      </c>
      <c r="P222" s="15" t="s">
        <v>8</v>
      </c>
      <c r="Q222" s="15" t="s">
        <v>8</v>
      </c>
      <c r="S222" s="15" t="s">
        <v>8</v>
      </c>
      <c r="T222" s="20" t="str">
        <f>HYPERLINK("http://yeinfo.com/family/I09066438.html", "ELIZABETH WELLESLEY &lt;3&gt; 1363 EN-1400 EN ID:09066486")</f>
        <v>ELIZABETH WELLESLEY &lt;3&gt; 1363 EN-1400 EN ID:09066486</v>
      </c>
      <c r="U222" s="17"/>
      <c r="V222" s="17"/>
      <c r="W222" s="17"/>
      <c r="X222" s="17"/>
    </row>
    <row r="223" spans="3:24" x14ac:dyDescent="0.35">
      <c r="C223" s="15" t="s">
        <v>8</v>
      </c>
      <c r="D223" s="15" t="s">
        <v>8</v>
      </c>
      <c r="H223" s="15" t="s">
        <v>8</v>
      </c>
      <c r="I223" s="15" t="s">
        <v>8</v>
      </c>
      <c r="K223" s="15" t="s">
        <v>8</v>
      </c>
      <c r="L223" s="15" t="s">
        <v>8</v>
      </c>
      <c r="M223" s="15" t="s">
        <v>8</v>
      </c>
      <c r="N223" s="15" t="s">
        <v>8</v>
      </c>
      <c r="P223" s="15" t="s">
        <v>8</v>
      </c>
      <c r="Q223" s="15" t="s">
        <v>8</v>
      </c>
      <c r="S223" s="15" t="s">
        <v>8</v>
      </c>
    </row>
    <row r="224" spans="3:24" x14ac:dyDescent="0.35">
      <c r="C224" s="15" t="s">
        <v>8</v>
      </c>
      <c r="D224" s="15" t="s">
        <v>8</v>
      </c>
      <c r="H224" s="15" t="s">
        <v>8</v>
      </c>
      <c r="I224" s="15" t="s">
        <v>8</v>
      </c>
      <c r="K224" s="15" t="s">
        <v>8</v>
      </c>
      <c r="L224" s="15" t="s">
        <v>8</v>
      </c>
      <c r="M224" s="15" t="s">
        <v>8</v>
      </c>
      <c r="N224" s="15" t="s">
        <v>8</v>
      </c>
      <c r="P224" s="15" t="s">
        <v>8</v>
      </c>
      <c r="Q224" s="15" t="s">
        <v>8</v>
      </c>
      <c r="R224" s="19" t="str">
        <f>HYPERLINK("http://yeinfo.com/family/I09041257.html", "HENRY BANASTRE &lt;2&gt; 1460 EN-1526 EN ID:09066774")</f>
        <v>HENRY BANASTRE &lt;2&gt; 1460 EN-1526 EN ID:09066774</v>
      </c>
      <c r="S224" s="9"/>
      <c r="T224" s="9"/>
      <c r="U224" s="9"/>
      <c r="V224" s="9"/>
    </row>
    <row r="225" spans="3:25" x14ac:dyDescent="0.35">
      <c r="C225" s="15" t="s">
        <v>8</v>
      </c>
      <c r="D225" s="15" t="s">
        <v>8</v>
      </c>
      <c r="H225" s="15" t="s">
        <v>8</v>
      </c>
      <c r="I225" s="15" t="s">
        <v>8</v>
      </c>
      <c r="K225" s="15" t="s">
        <v>8</v>
      </c>
      <c r="L225" s="15" t="s">
        <v>8</v>
      </c>
      <c r="M225" s="15" t="s">
        <v>8</v>
      </c>
      <c r="N225" s="15" t="s">
        <v>8</v>
      </c>
      <c r="P225" s="15" t="s">
        <v>8</v>
      </c>
      <c r="Q225" s="15" t="s">
        <v>8</v>
      </c>
      <c r="R225" s="8" t="s">
        <v>3</v>
      </c>
      <c r="S225" s="15" t="s">
        <v>8</v>
      </c>
    </row>
    <row r="226" spans="3:25" x14ac:dyDescent="0.35">
      <c r="C226" s="15" t="s">
        <v>8</v>
      </c>
      <c r="D226" s="15" t="s">
        <v>8</v>
      </c>
      <c r="H226" s="15" t="s">
        <v>8</v>
      </c>
      <c r="I226" s="15" t="s">
        <v>8</v>
      </c>
      <c r="K226" s="15" t="s">
        <v>8</v>
      </c>
      <c r="L226" s="15" t="s">
        <v>8</v>
      </c>
      <c r="M226" s="15" t="s">
        <v>8</v>
      </c>
      <c r="N226" s="15" t="s">
        <v>8</v>
      </c>
      <c r="P226" s="15" t="s">
        <v>8</v>
      </c>
      <c r="Q226" s="15" t="s">
        <v>8</v>
      </c>
      <c r="R226" s="15" t="s">
        <v>8</v>
      </c>
      <c r="S226" s="15" t="s">
        <v>8</v>
      </c>
      <c r="T226" s="19" t="str">
        <f>HYPERLINK("http://yeinfo.com/family/I09066808.html", "THOMAS JOSEPH &lt;2&gt; 1395 EN-1418 EN ID:09066807")</f>
        <v>THOMAS JOSEPH &lt;2&gt; 1395 EN-1418 EN ID:09066807</v>
      </c>
      <c r="U226" s="9"/>
      <c r="V226" s="9"/>
      <c r="W226" s="9"/>
      <c r="X226" s="9"/>
    </row>
    <row r="227" spans="3:25" x14ac:dyDescent="0.35">
      <c r="C227" s="15" t="s">
        <v>8</v>
      </c>
      <c r="D227" s="15" t="s">
        <v>8</v>
      </c>
      <c r="H227" s="15" t="s">
        <v>8</v>
      </c>
      <c r="I227" s="15" t="s">
        <v>8</v>
      </c>
      <c r="K227" s="15" t="s">
        <v>8</v>
      </c>
      <c r="L227" s="15" t="s">
        <v>8</v>
      </c>
      <c r="M227" s="15" t="s">
        <v>8</v>
      </c>
      <c r="N227" s="15" t="s">
        <v>8</v>
      </c>
      <c r="P227" s="15" t="s">
        <v>8</v>
      </c>
      <c r="Q227" s="15" t="s">
        <v>8</v>
      </c>
      <c r="R227" s="15" t="s">
        <v>8</v>
      </c>
      <c r="S227" s="8" t="s">
        <v>6</v>
      </c>
      <c r="T227" s="8" t="s">
        <v>3</v>
      </c>
    </row>
    <row r="228" spans="3:25" x14ac:dyDescent="0.35">
      <c r="C228" s="15" t="s">
        <v>8</v>
      </c>
      <c r="D228" s="15" t="s">
        <v>8</v>
      </c>
      <c r="H228" s="15" t="s">
        <v>8</v>
      </c>
      <c r="I228" s="15" t="s">
        <v>8</v>
      </c>
      <c r="K228" s="15" t="s">
        <v>8</v>
      </c>
      <c r="L228" s="15" t="s">
        <v>8</v>
      </c>
      <c r="M228" s="15" t="s">
        <v>8</v>
      </c>
      <c r="N228" s="15" t="s">
        <v>8</v>
      </c>
      <c r="P228" s="15" t="s">
        <v>8</v>
      </c>
      <c r="Q228" s="15" t="s">
        <v>8</v>
      </c>
      <c r="R228" s="15" t="s">
        <v>8</v>
      </c>
      <c r="S228" s="20" t="str">
        <f>HYPERLINK("http://yeinfo.com/family/I09066486.html", "ELIZABETH JOSEPH &lt;2&gt; 1418 EN-1475 EN ID:09066808")</f>
        <v>ELIZABETH JOSEPH &lt;2&gt; 1418 EN-1475 EN ID:09066808</v>
      </c>
      <c r="T228" s="17"/>
      <c r="U228" s="17"/>
      <c r="V228" s="17"/>
      <c r="W228" s="17"/>
    </row>
    <row r="229" spans="3:25" x14ac:dyDescent="0.35">
      <c r="C229" s="15" t="s">
        <v>8</v>
      </c>
      <c r="D229" s="15" t="s">
        <v>8</v>
      </c>
      <c r="H229" s="15" t="s">
        <v>8</v>
      </c>
      <c r="I229" s="15" t="s">
        <v>8</v>
      </c>
      <c r="K229" s="15" t="s">
        <v>8</v>
      </c>
      <c r="L229" s="15" t="s">
        <v>8</v>
      </c>
      <c r="M229" s="15" t="s">
        <v>8</v>
      </c>
      <c r="N229" s="15" t="s">
        <v>8</v>
      </c>
      <c r="P229" s="15" t="s">
        <v>8</v>
      </c>
      <c r="Q229" s="15" t="s">
        <v>8</v>
      </c>
      <c r="R229" s="15" t="s">
        <v>8</v>
      </c>
      <c r="T229" s="8" t="s">
        <v>6</v>
      </c>
    </row>
    <row r="230" spans="3:25" x14ac:dyDescent="0.35">
      <c r="C230" s="15" t="s">
        <v>8</v>
      </c>
      <c r="D230" s="15" t="s">
        <v>8</v>
      </c>
      <c r="H230" s="15" t="s">
        <v>8</v>
      </c>
      <c r="I230" s="15" t="s">
        <v>8</v>
      </c>
      <c r="K230" s="15" t="s">
        <v>8</v>
      </c>
      <c r="L230" s="15" t="s">
        <v>8</v>
      </c>
      <c r="M230" s="15" t="s">
        <v>8</v>
      </c>
      <c r="N230" s="15" t="s">
        <v>8</v>
      </c>
      <c r="P230" s="15" t="s">
        <v>8</v>
      </c>
      <c r="Q230" s="15" t="s">
        <v>8</v>
      </c>
      <c r="R230" s="15" t="s">
        <v>8</v>
      </c>
      <c r="T230" s="20" t="str">
        <f>HYPERLINK("http://yeinfo.com/family/I09066807.html", "Mrs. {_?_} JOSEPH &lt;2&gt; 1398 EN-1418 EN ID:09066806")</f>
        <v>Mrs. {_?_} JOSEPH &lt;2&gt; 1398 EN-1418 EN ID:09066806</v>
      </c>
      <c r="U230" s="17"/>
      <c r="V230" s="17"/>
      <c r="W230" s="17"/>
      <c r="X230" s="17"/>
    </row>
    <row r="231" spans="3:25" x14ac:dyDescent="0.35">
      <c r="C231" s="15" t="s">
        <v>8</v>
      </c>
      <c r="D231" s="15" t="s">
        <v>8</v>
      </c>
      <c r="H231" s="15" t="s">
        <v>8</v>
      </c>
      <c r="I231" s="15" t="s">
        <v>8</v>
      </c>
      <c r="K231" s="15" t="s">
        <v>8</v>
      </c>
      <c r="L231" s="15" t="s">
        <v>8</v>
      </c>
      <c r="M231" s="15" t="s">
        <v>8</v>
      </c>
      <c r="N231" s="15" t="s">
        <v>8</v>
      </c>
      <c r="P231" s="15" t="s">
        <v>8</v>
      </c>
      <c r="Q231" s="8" t="s">
        <v>6</v>
      </c>
      <c r="R231" s="15" t="s">
        <v>8</v>
      </c>
    </row>
    <row r="232" spans="3:25" x14ac:dyDescent="0.35">
      <c r="C232" s="15" t="s">
        <v>8</v>
      </c>
      <c r="D232" s="15" t="s">
        <v>8</v>
      </c>
      <c r="H232" s="15" t="s">
        <v>8</v>
      </c>
      <c r="I232" s="15" t="s">
        <v>8</v>
      </c>
      <c r="K232" s="15" t="s">
        <v>8</v>
      </c>
      <c r="L232" s="15" t="s">
        <v>8</v>
      </c>
      <c r="M232" s="15" t="s">
        <v>8</v>
      </c>
      <c r="N232" s="15" t="s">
        <v>8</v>
      </c>
      <c r="P232" s="15" t="s">
        <v>8</v>
      </c>
      <c r="Q232" s="20" t="str">
        <f>HYPERLINK("http://yeinfo.com/family/I09041256.html", "ANNE BANASTRE &lt;2&gt; 1503 EN-1552 EN ID:09041257")</f>
        <v>ANNE BANASTRE &lt;2&gt; 1503 EN-1552 EN ID:09041257</v>
      </c>
      <c r="R232" s="17"/>
      <c r="S232" s="17"/>
      <c r="T232" s="17"/>
      <c r="U232" s="17"/>
    </row>
    <row r="233" spans="3:25" x14ac:dyDescent="0.35">
      <c r="C233" s="15" t="s">
        <v>8</v>
      </c>
      <c r="D233" s="15" t="s">
        <v>8</v>
      </c>
      <c r="H233" s="15" t="s">
        <v>8</v>
      </c>
      <c r="I233" s="15" t="s">
        <v>8</v>
      </c>
      <c r="K233" s="15" t="s">
        <v>8</v>
      </c>
      <c r="L233" s="15" t="s">
        <v>8</v>
      </c>
      <c r="M233" s="15" t="s">
        <v>8</v>
      </c>
      <c r="N233" s="15" t="s">
        <v>8</v>
      </c>
      <c r="P233" s="15" t="s">
        <v>8</v>
      </c>
      <c r="R233" s="15" t="s">
        <v>8</v>
      </c>
    </row>
    <row r="234" spans="3:25" x14ac:dyDescent="0.35">
      <c r="C234" s="15" t="s">
        <v>8</v>
      </c>
      <c r="D234" s="15" t="s">
        <v>8</v>
      </c>
      <c r="H234" s="15" t="s">
        <v>8</v>
      </c>
      <c r="I234" s="15" t="s">
        <v>8</v>
      </c>
      <c r="K234" s="15" t="s">
        <v>8</v>
      </c>
      <c r="L234" s="15" t="s">
        <v>8</v>
      </c>
      <c r="M234" s="15" t="s">
        <v>8</v>
      </c>
      <c r="N234" s="15" t="s">
        <v>8</v>
      </c>
      <c r="P234" s="15" t="s">
        <v>8</v>
      </c>
      <c r="R234" s="15" t="s">
        <v>8</v>
      </c>
      <c r="U234" s="19" t="str">
        <f>HYPERLINK("http://yeinfo.com/family/I09066822.html", "GEOFFREY OSBALDESTON &lt;2&gt; 1335 EN-1383 EN ID:09066820")</f>
        <v>GEOFFREY OSBALDESTON &lt;2&gt; 1335 EN-1383 EN ID:09066820</v>
      </c>
      <c r="V234" s="9"/>
      <c r="W234" s="9"/>
      <c r="X234" s="9"/>
      <c r="Y234" s="9"/>
    </row>
    <row r="235" spans="3:25" x14ac:dyDescent="0.35">
      <c r="C235" s="15" t="s">
        <v>8</v>
      </c>
      <c r="D235" s="15" t="s">
        <v>8</v>
      </c>
      <c r="H235" s="15" t="s">
        <v>8</v>
      </c>
      <c r="I235" s="15" t="s">
        <v>8</v>
      </c>
      <c r="K235" s="15" t="s">
        <v>8</v>
      </c>
      <c r="L235" s="15" t="s">
        <v>8</v>
      </c>
      <c r="M235" s="15" t="s">
        <v>8</v>
      </c>
      <c r="N235" s="15" t="s">
        <v>8</v>
      </c>
      <c r="P235" s="15" t="s">
        <v>8</v>
      </c>
      <c r="R235" s="15" t="s">
        <v>8</v>
      </c>
      <c r="U235" s="8" t="s">
        <v>3</v>
      </c>
    </row>
    <row r="236" spans="3:25" x14ac:dyDescent="0.35">
      <c r="C236" s="15" t="s">
        <v>8</v>
      </c>
      <c r="D236" s="15" t="s">
        <v>8</v>
      </c>
      <c r="H236" s="15" t="s">
        <v>8</v>
      </c>
      <c r="I236" s="15" t="s">
        <v>8</v>
      </c>
      <c r="K236" s="15" t="s">
        <v>8</v>
      </c>
      <c r="L236" s="15" t="s">
        <v>8</v>
      </c>
      <c r="M236" s="15" t="s">
        <v>8</v>
      </c>
      <c r="N236" s="15" t="s">
        <v>8</v>
      </c>
      <c r="P236" s="15" t="s">
        <v>8</v>
      </c>
      <c r="R236" s="15" t="s">
        <v>8</v>
      </c>
      <c r="T236" s="19" t="str">
        <f>HYPERLINK("http://yeinfo.com/family/I09066823.html", "THOMAS OSBALDESTON &lt;2&gt; 1383 EN-1412 EN ID:09066822")</f>
        <v>THOMAS OSBALDESTON &lt;2&gt; 1383 EN-1412 EN ID:09066822</v>
      </c>
      <c r="U236" s="9"/>
      <c r="V236" s="9"/>
      <c r="W236" s="9"/>
      <c r="X236" s="9"/>
    </row>
    <row r="237" spans="3:25" x14ac:dyDescent="0.35">
      <c r="C237" s="15" t="s">
        <v>8</v>
      </c>
      <c r="D237" s="15" t="s">
        <v>8</v>
      </c>
      <c r="H237" s="15" t="s">
        <v>8</v>
      </c>
      <c r="I237" s="15" t="s">
        <v>8</v>
      </c>
      <c r="K237" s="15" t="s">
        <v>8</v>
      </c>
      <c r="L237" s="15" t="s">
        <v>8</v>
      </c>
      <c r="M237" s="15" t="s">
        <v>8</v>
      </c>
      <c r="N237" s="15" t="s">
        <v>8</v>
      </c>
      <c r="P237" s="15" t="s">
        <v>8</v>
      </c>
      <c r="R237" s="15" t="s">
        <v>8</v>
      </c>
      <c r="T237" s="8" t="s">
        <v>3</v>
      </c>
      <c r="U237" s="8" t="s">
        <v>6</v>
      </c>
    </row>
    <row r="238" spans="3:25" x14ac:dyDescent="0.35">
      <c r="C238" s="15" t="s">
        <v>8</v>
      </c>
      <c r="D238" s="15" t="s">
        <v>8</v>
      </c>
      <c r="H238" s="15" t="s">
        <v>8</v>
      </c>
      <c r="I238" s="15" t="s">
        <v>8</v>
      </c>
      <c r="K238" s="15" t="s">
        <v>8</v>
      </c>
      <c r="L238" s="15" t="s">
        <v>8</v>
      </c>
      <c r="M238" s="15" t="s">
        <v>8</v>
      </c>
      <c r="N238" s="15" t="s">
        <v>8</v>
      </c>
      <c r="P238" s="15" t="s">
        <v>8</v>
      </c>
      <c r="R238" s="15" t="s">
        <v>8</v>
      </c>
      <c r="T238" s="15" t="s">
        <v>8</v>
      </c>
      <c r="U238" s="20" t="str">
        <f>HYPERLINK("http://yeinfo.com/family/I09066820.html", "CECILY MASSEY &lt;2&gt; 1360 EN-1383 EN ID:09066817")</f>
        <v>CECILY MASSEY &lt;2&gt; 1360 EN-1383 EN ID:09066817</v>
      </c>
      <c r="V238" s="17"/>
      <c r="W238" s="17"/>
      <c r="X238" s="17"/>
      <c r="Y238" s="17"/>
    </row>
    <row r="239" spans="3:25" x14ac:dyDescent="0.35">
      <c r="C239" s="15" t="s">
        <v>8</v>
      </c>
      <c r="D239" s="15" t="s">
        <v>8</v>
      </c>
      <c r="H239" s="15" t="s">
        <v>8</v>
      </c>
      <c r="I239" s="15" t="s">
        <v>8</v>
      </c>
      <c r="K239" s="15" t="s">
        <v>8</v>
      </c>
      <c r="L239" s="15" t="s">
        <v>8</v>
      </c>
      <c r="M239" s="15" t="s">
        <v>8</v>
      </c>
      <c r="N239" s="15" t="s">
        <v>8</v>
      </c>
      <c r="P239" s="15" t="s">
        <v>8</v>
      </c>
      <c r="R239" s="15" t="s">
        <v>8</v>
      </c>
      <c r="T239" s="15" t="s">
        <v>8</v>
      </c>
    </row>
    <row r="240" spans="3:25" x14ac:dyDescent="0.35">
      <c r="C240" s="15" t="s">
        <v>8</v>
      </c>
      <c r="D240" s="15" t="s">
        <v>8</v>
      </c>
      <c r="H240" s="15" t="s">
        <v>8</v>
      </c>
      <c r="I240" s="15" t="s">
        <v>8</v>
      </c>
      <c r="K240" s="15" t="s">
        <v>8</v>
      </c>
      <c r="L240" s="15" t="s">
        <v>8</v>
      </c>
      <c r="M240" s="15" t="s">
        <v>8</v>
      </c>
      <c r="N240" s="15" t="s">
        <v>8</v>
      </c>
      <c r="P240" s="15" t="s">
        <v>8</v>
      </c>
      <c r="R240" s="15" t="s">
        <v>8</v>
      </c>
      <c r="S240" s="19" t="str">
        <f>HYPERLINK("http://yeinfo.com/family/I09066824.html", "GEOFFREY OSBALDESTON &lt;2&gt; 1405 EN-1475 EN ID:09066823")</f>
        <v>GEOFFREY OSBALDESTON &lt;2&gt; 1405 EN-1475 EN ID:09066823</v>
      </c>
      <c r="T240" s="9"/>
      <c r="U240" s="9"/>
      <c r="V240" s="9"/>
      <c r="W240" s="9"/>
    </row>
    <row r="241" spans="3:25" x14ac:dyDescent="0.35">
      <c r="C241" s="15" t="s">
        <v>8</v>
      </c>
      <c r="D241" s="15" t="s">
        <v>8</v>
      </c>
      <c r="H241" s="15" t="s">
        <v>8</v>
      </c>
      <c r="I241" s="15" t="s">
        <v>8</v>
      </c>
      <c r="K241" s="15" t="s">
        <v>8</v>
      </c>
      <c r="L241" s="15" t="s">
        <v>8</v>
      </c>
      <c r="M241" s="15" t="s">
        <v>8</v>
      </c>
      <c r="N241" s="15" t="s">
        <v>8</v>
      </c>
      <c r="P241" s="15" t="s">
        <v>8</v>
      </c>
      <c r="R241" s="15" t="s">
        <v>8</v>
      </c>
      <c r="S241" s="8" t="s">
        <v>3</v>
      </c>
      <c r="T241" s="8" t="s">
        <v>6</v>
      </c>
    </row>
    <row r="242" spans="3:25" x14ac:dyDescent="0.35">
      <c r="C242" s="15" t="s">
        <v>8</v>
      </c>
      <c r="D242" s="15" t="s">
        <v>8</v>
      </c>
      <c r="H242" s="15" t="s">
        <v>8</v>
      </c>
      <c r="I242" s="15" t="s">
        <v>8</v>
      </c>
      <c r="K242" s="15" t="s">
        <v>8</v>
      </c>
      <c r="L242" s="15" t="s">
        <v>8</v>
      </c>
      <c r="M242" s="15" t="s">
        <v>8</v>
      </c>
      <c r="N242" s="15" t="s">
        <v>8</v>
      </c>
      <c r="P242" s="15" t="s">
        <v>8</v>
      </c>
      <c r="R242" s="15" t="s">
        <v>8</v>
      </c>
      <c r="S242" s="15" t="s">
        <v>8</v>
      </c>
      <c r="T242" s="20" t="str">
        <f>HYPERLINK("http://yeinfo.com/family/I09066817.html", "Mrs. ALICE OSBALDESTON &lt;2&gt; 1385 EN-1459 EN ID:09066821")</f>
        <v>Mrs. ALICE OSBALDESTON &lt;2&gt; 1385 EN-1459 EN ID:09066821</v>
      </c>
      <c r="U242" s="17"/>
      <c r="V242" s="17"/>
      <c r="W242" s="17"/>
      <c r="X242" s="17"/>
    </row>
    <row r="243" spans="3:25" x14ac:dyDescent="0.35">
      <c r="C243" s="15" t="s">
        <v>8</v>
      </c>
      <c r="D243" s="15" t="s">
        <v>8</v>
      </c>
      <c r="H243" s="15" t="s">
        <v>8</v>
      </c>
      <c r="I243" s="15" t="s">
        <v>8</v>
      </c>
      <c r="K243" s="15" t="s">
        <v>8</v>
      </c>
      <c r="L243" s="15" t="s">
        <v>8</v>
      </c>
      <c r="M243" s="15" t="s">
        <v>8</v>
      </c>
      <c r="N243" s="15" t="s">
        <v>8</v>
      </c>
      <c r="P243" s="15" t="s">
        <v>8</v>
      </c>
      <c r="R243" s="8" t="s">
        <v>6</v>
      </c>
      <c r="S243" s="15" t="s">
        <v>8</v>
      </c>
    </row>
    <row r="244" spans="3:25" x14ac:dyDescent="0.35">
      <c r="C244" s="15" t="s">
        <v>8</v>
      </c>
      <c r="D244" s="15" t="s">
        <v>8</v>
      </c>
      <c r="H244" s="15" t="s">
        <v>8</v>
      </c>
      <c r="I244" s="15" t="s">
        <v>8</v>
      </c>
      <c r="K244" s="15" t="s">
        <v>8</v>
      </c>
      <c r="L244" s="15" t="s">
        <v>8</v>
      </c>
      <c r="M244" s="15" t="s">
        <v>8</v>
      </c>
      <c r="N244" s="15" t="s">
        <v>8</v>
      </c>
      <c r="P244" s="15" t="s">
        <v>8</v>
      </c>
      <c r="R244" s="20" t="str">
        <f>HYPERLINK("http://yeinfo.com/family/I09066806.html", "ELIZABETH OSBALDESTON &lt;2&gt; 1449 EN-1507 EN ID:09066824")</f>
        <v>ELIZABETH OSBALDESTON &lt;2&gt; 1449 EN-1507 EN ID:09066824</v>
      </c>
      <c r="S244" s="17"/>
      <c r="T244" s="17"/>
      <c r="U244" s="17"/>
      <c r="V244" s="17"/>
    </row>
    <row r="245" spans="3:25" x14ac:dyDescent="0.35">
      <c r="C245" s="15" t="s">
        <v>8</v>
      </c>
      <c r="D245" s="15" t="s">
        <v>8</v>
      </c>
      <c r="H245" s="15" t="s">
        <v>8</v>
      </c>
      <c r="I245" s="15" t="s">
        <v>8</v>
      </c>
      <c r="K245" s="15" t="s">
        <v>8</v>
      </c>
      <c r="L245" s="15" t="s">
        <v>8</v>
      </c>
      <c r="M245" s="15" t="s">
        <v>8</v>
      </c>
      <c r="N245" s="15" t="s">
        <v>8</v>
      </c>
      <c r="P245" s="15" t="s">
        <v>8</v>
      </c>
      <c r="S245" s="15" t="s">
        <v>8</v>
      </c>
    </row>
    <row r="246" spans="3:25" x14ac:dyDescent="0.35">
      <c r="C246" s="15" t="s">
        <v>8</v>
      </c>
      <c r="D246" s="15" t="s">
        <v>8</v>
      </c>
      <c r="H246" s="15" t="s">
        <v>8</v>
      </c>
      <c r="I246" s="15" t="s">
        <v>8</v>
      </c>
      <c r="K246" s="15" t="s">
        <v>8</v>
      </c>
      <c r="L246" s="15" t="s">
        <v>8</v>
      </c>
      <c r="M246" s="15" t="s">
        <v>8</v>
      </c>
      <c r="N246" s="15" t="s">
        <v>8</v>
      </c>
      <c r="P246" s="15" t="s">
        <v>8</v>
      </c>
      <c r="S246" s="15" t="s">
        <v>8</v>
      </c>
      <c r="U246" s="19" t="str">
        <f>HYPERLINK("http://yeinfo.com/family/I09066810.html", "RALPH LANGTON &lt;2&gt; 1340 EN-1406 EN ID:09066809")</f>
        <v>RALPH LANGTON &lt;2&gt; 1340 EN-1406 EN ID:09066809</v>
      </c>
      <c r="V246" s="9"/>
      <c r="W246" s="9"/>
      <c r="X246" s="9"/>
      <c r="Y246" s="9"/>
    </row>
    <row r="247" spans="3:25" x14ac:dyDescent="0.35">
      <c r="C247" s="15" t="s">
        <v>8</v>
      </c>
      <c r="D247" s="15" t="s">
        <v>8</v>
      </c>
      <c r="H247" s="15" t="s">
        <v>8</v>
      </c>
      <c r="I247" s="15" t="s">
        <v>8</v>
      </c>
      <c r="K247" s="15" t="s">
        <v>8</v>
      </c>
      <c r="L247" s="15" t="s">
        <v>8</v>
      </c>
      <c r="M247" s="15" t="s">
        <v>8</v>
      </c>
      <c r="N247" s="15" t="s">
        <v>8</v>
      </c>
      <c r="P247" s="15" t="s">
        <v>8</v>
      </c>
      <c r="S247" s="15" t="s">
        <v>8</v>
      </c>
      <c r="U247" s="8" t="s">
        <v>3</v>
      </c>
    </row>
    <row r="248" spans="3:25" x14ac:dyDescent="0.35">
      <c r="C248" s="15" t="s">
        <v>8</v>
      </c>
      <c r="D248" s="15" t="s">
        <v>8</v>
      </c>
      <c r="H248" s="15" t="s">
        <v>8</v>
      </c>
      <c r="I248" s="15" t="s">
        <v>8</v>
      </c>
      <c r="K248" s="15" t="s">
        <v>8</v>
      </c>
      <c r="L248" s="15" t="s">
        <v>8</v>
      </c>
      <c r="M248" s="15" t="s">
        <v>8</v>
      </c>
      <c r="N248" s="15" t="s">
        <v>8</v>
      </c>
      <c r="P248" s="15" t="s">
        <v>8</v>
      </c>
      <c r="S248" s="15" t="s">
        <v>8</v>
      </c>
      <c r="T248" s="19" t="str">
        <f>HYPERLINK("http://yeinfo.com/family/I09066811.html", "HENRY LANGTON &lt;2&gt; 1372 EN-1419 EN ID:09066810")</f>
        <v>HENRY LANGTON &lt;2&gt; 1372 EN-1419 EN ID:09066810</v>
      </c>
      <c r="U248" s="9"/>
      <c r="V248" s="9"/>
      <c r="W248" s="9"/>
      <c r="X248" s="9"/>
    </row>
    <row r="249" spans="3:25" x14ac:dyDescent="0.35">
      <c r="C249" s="15" t="s">
        <v>8</v>
      </c>
      <c r="D249" s="15" t="s">
        <v>8</v>
      </c>
      <c r="H249" s="15" t="s">
        <v>8</v>
      </c>
      <c r="I249" s="15" t="s">
        <v>8</v>
      </c>
      <c r="K249" s="15" t="s">
        <v>8</v>
      </c>
      <c r="L249" s="15" t="s">
        <v>8</v>
      </c>
      <c r="M249" s="15" t="s">
        <v>8</v>
      </c>
      <c r="N249" s="15" t="s">
        <v>8</v>
      </c>
      <c r="P249" s="15" t="s">
        <v>8</v>
      </c>
      <c r="S249" s="15" t="s">
        <v>8</v>
      </c>
      <c r="T249" s="8" t="s">
        <v>3</v>
      </c>
      <c r="U249" s="8" t="s">
        <v>6</v>
      </c>
    </row>
    <row r="250" spans="3:25" x14ac:dyDescent="0.35">
      <c r="C250" s="15" t="s">
        <v>8</v>
      </c>
      <c r="D250" s="15" t="s">
        <v>8</v>
      </c>
      <c r="H250" s="15" t="s">
        <v>8</v>
      </c>
      <c r="I250" s="15" t="s">
        <v>8</v>
      </c>
      <c r="K250" s="15" t="s">
        <v>8</v>
      </c>
      <c r="L250" s="15" t="s">
        <v>8</v>
      </c>
      <c r="M250" s="15" t="s">
        <v>8</v>
      </c>
      <c r="N250" s="15" t="s">
        <v>8</v>
      </c>
      <c r="P250" s="15" t="s">
        <v>8</v>
      </c>
      <c r="S250" s="15" t="s">
        <v>8</v>
      </c>
      <c r="T250" s="15" t="s">
        <v>8</v>
      </c>
      <c r="U250" s="20" t="str">
        <f>HYPERLINK("http://yeinfo.com/family/I09066809.html", "JOAN RADCLIFFE &lt;2&gt; 1340 EN-1425 WL ID:09066828")</f>
        <v>JOAN RADCLIFFE &lt;2&gt; 1340 EN-1425 WL ID:09066828</v>
      </c>
      <c r="V250" s="17"/>
      <c r="W250" s="17"/>
      <c r="X250" s="17"/>
      <c r="Y250" s="17"/>
    </row>
    <row r="251" spans="3:25" x14ac:dyDescent="0.35">
      <c r="C251" s="15" t="s">
        <v>8</v>
      </c>
      <c r="D251" s="15" t="s">
        <v>8</v>
      </c>
      <c r="H251" s="15" t="s">
        <v>8</v>
      </c>
      <c r="I251" s="15" t="s">
        <v>8</v>
      </c>
      <c r="K251" s="15" t="s">
        <v>8</v>
      </c>
      <c r="L251" s="15" t="s">
        <v>8</v>
      </c>
      <c r="M251" s="15" t="s">
        <v>8</v>
      </c>
      <c r="N251" s="15" t="s">
        <v>8</v>
      </c>
      <c r="P251" s="15" t="s">
        <v>8</v>
      </c>
      <c r="S251" s="8" t="s">
        <v>6</v>
      </c>
      <c r="T251" s="15" t="s">
        <v>8</v>
      </c>
    </row>
    <row r="252" spans="3:25" x14ac:dyDescent="0.35">
      <c r="C252" s="15" t="s">
        <v>8</v>
      </c>
      <c r="D252" s="15" t="s">
        <v>8</v>
      </c>
      <c r="H252" s="15" t="s">
        <v>8</v>
      </c>
      <c r="I252" s="15" t="s">
        <v>8</v>
      </c>
      <c r="K252" s="15" t="s">
        <v>8</v>
      </c>
      <c r="L252" s="15" t="s">
        <v>8</v>
      </c>
      <c r="M252" s="15" t="s">
        <v>8</v>
      </c>
      <c r="N252" s="15" t="s">
        <v>8</v>
      </c>
      <c r="P252" s="15" t="s">
        <v>8</v>
      </c>
      <c r="S252" s="20" t="str">
        <f>HYPERLINK("http://yeinfo.com/family/I09066821.html", "ISABEL LANGTON &lt;2&gt; 1405 EN-1438 EN ID:09066811")</f>
        <v>ISABEL LANGTON &lt;2&gt; 1405 EN-1438 EN ID:09066811</v>
      </c>
      <c r="T252" s="17"/>
      <c r="U252" s="17"/>
      <c r="V252" s="17"/>
      <c r="W252" s="17"/>
    </row>
    <row r="253" spans="3:25" x14ac:dyDescent="0.35">
      <c r="C253" s="15" t="s">
        <v>8</v>
      </c>
      <c r="D253" s="15" t="s">
        <v>8</v>
      </c>
      <c r="H253" s="15" t="s">
        <v>8</v>
      </c>
      <c r="I253" s="15" t="s">
        <v>8</v>
      </c>
      <c r="K253" s="15" t="s">
        <v>8</v>
      </c>
      <c r="L253" s="15" t="s">
        <v>8</v>
      </c>
      <c r="M253" s="15" t="s">
        <v>8</v>
      </c>
      <c r="N253" s="15" t="s">
        <v>8</v>
      </c>
      <c r="P253" s="15" t="s">
        <v>8</v>
      </c>
      <c r="T253" s="15" t="s">
        <v>8</v>
      </c>
    </row>
    <row r="254" spans="3:25" x14ac:dyDescent="0.35">
      <c r="C254" s="15" t="s">
        <v>8</v>
      </c>
      <c r="D254" s="15" t="s">
        <v>8</v>
      </c>
      <c r="H254" s="15" t="s">
        <v>8</v>
      </c>
      <c r="I254" s="15" t="s">
        <v>8</v>
      </c>
      <c r="K254" s="15" t="s">
        <v>8</v>
      </c>
      <c r="L254" s="15" t="s">
        <v>8</v>
      </c>
      <c r="M254" s="15" t="s">
        <v>8</v>
      </c>
      <c r="N254" s="15" t="s">
        <v>8</v>
      </c>
      <c r="P254" s="15" t="s">
        <v>8</v>
      </c>
      <c r="T254" s="15" t="s">
        <v>8</v>
      </c>
      <c r="U254" s="19" t="str">
        <f>HYPERLINK("http://yeinfo.com/family/I09066790.html", "JOHN DAVENPORT &lt;2&gt; 1320 EN-1384 EN ID:09066789")</f>
        <v>JOHN DAVENPORT &lt;2&gt; 1320 EN-1384 EN ID:09066789</v>
      </c>
      <c r="V254" s="9"/>
      <c r="W254" s="9"/>
      <c r="X254" s="9"/>
      <c r="Y254" s="9"/>
    </row>
    <row r="255" spans="3:25" x14ac:dyDescent="0.35">
      <c r="C255" s="15" t="s">
        <v>8</v>
      </c>
      <c r="D255" s="15" t="s">
        <v>8</v>
      </c>
      <c r="H255" s="15" t="s">
        <v>8</v>
      </c>
      <c r="I255" s="15" t="s">
        <v>8</v>
      </c>
      <c r="K255" s="15" t="s">
        <v>8</v>
      </c>
      <c r="L255" s="15" t="s">
        <v>8</v>
      </c>
      <c r="M255" s="15" t="s">
        <v>8</v>
      </c>
      <c r="N255" s="15" t="s">
        <v>8</v>
      </c>
      <c r="P255" s="15" t="s">
        <v>8</v>
      </c>
      <c r="T255" s="8" t="s">
        <v>6</v>
      </c>
      <c r="U255" s="8" t="s">
        <v>3</v>
      </c>
    </row>
    <row r="256" spans="3:25" x14ac:dyDescent="0.35">
      <c r="C256" s="15" t="s">
        <v>8</v>
      </c>
      <c r="D256" s="15" t="s">
        <v>8</v>
      </c>
      <c r="H256" s="15" t="s">
        <v>8</v>
      </c>
      <c r="I256" s="15" t="s">
        <v>8</v>
      </c>
      <c r="K256" s="15" t="s">
        <v>8</v>
      </c>
      <c r="L256" s="15" t="s">
        <v>8</v>
      </c>
      <c r="M256" s="15" t="s">
        <v>8</v>
      </c>
      <c r="N256" s="15" t="s">
        <v>8</v>
      </c>
      <c r="P256" s="15" t="s">
        <v>8</v>
      </c>
      <c r="T256" s="20" t="str">
        <f>HYPERLINK("http://yeinfo.com/family/I09066828.html", "AGNES DAVENPORT &lt;2&gt; 1370 EN-1405 EN ID:09066790")</f>
        <v>AGNES DAVENPORT &lt;2&gt; 1370 EN-1405 EN ID:09066790</v>
      </c>
      <c r="U256" s="17"/>
      <c r="V256" s="17"/>
      <c r="W256" s="17"/>
      <c r="X256" s="17"/>
    </row>
    <row r="257" spans="3:25" x14ac:dyDescent="0.35">
      <c r="C257" s="15" t="s">
        <v>8</v>
      </c>
      <c r="D257" s="15" t="s">
        <v>8</v>
      </c>
      <c r="H257" s="15" t="s">
        <v>8</v>
      </c>
      <c r="I257" s="15" t="s">
        <v>8</v>
      </c>
      <c r="K257" s="15" t="s">
        <v>8</v>
      </c>
      <c r="L257" s="15" t="s">
        <v>8</v>
      </c>
      <c r="M257" s="15" t="s">
        <v>8</v>
      </c>
      <c r="N257" s="15" t="s">
        <v>8</v>
      </c>
      <c r="P257" s="15" t="s">
        <v>8</v>
      </c>
      <c r="U257" s="8" t="s">
        <v>6</v>
      </c>
    </row>
    <row r="258" spans="3:25" x14ac:dyDescent="0.35">
      <c r="C258" s="15" t="s">
        <v>8</v>
      </c>
      <c r="D258" s="15" t="s">
        <v>8</v>
      </c>
      <c r="H258" s="15" t="s">
        <v>8</v>
      </c>
      <c r="I258" s="15" t="s">
        <v>8</v>
      </c>
      <c r="K258" s="15" t="s">
        <v>8</v>
      </c>
      <c r="L258" s="15" t="s">
        <v>8</v>
      </c>
      <c r="M258" s="15" t="s">
        <v>8</v>
      </c>
      <c r="N258" s="15" t="s">
        <v>8</v>
      </c>
      <c r="P258" s="15" t="s">
        <v>8</v>
      </c>
      <c r="U258" s="20" t="str">
        <f>HYPERLINK("http://yeinfo.com/family/I09066789.html", "MARGARET DONNE &lt;2&gt; 1342 EN-1417 EN ID:09066791")</f>
        <v>MARGARET DONNE &lt;2&gt; 1342 EN-1417 EN ID:09066791</v>
      </c>
      <c r="V258" s="17"/>
      <c r="W258" s="17"/>
      <c r="X258" s="17"/>
      <c r="Y258" s="17"/>
    </row>
    <row r="259" spans="3:25" x14ac:dyDescent="0.35">
      <c r="C259" s="15" t="s">
        <v>8</v>
      </c>
      <c r="D259" s="15" t="s">
        <v>8</v>
      </c>
      <c r="H259" s="15" t="s">
        <v>8</v>
      </c>
      <c r="I259" s="15" t="s">
        <v>8</v>
      </c>
      <c r="K259" s="15" t="s">
        <v>8</v>
      </c>
      <c r="L259" s="15" t="s">
        <v>8</v>
      </c>
      <c r="M259" s="15" t="s">
        <v>8</v>
      </c>
      <c r="N259" s="15" t="s">
        <v>8</v>
      </c>
      <c r="P259" s="15" t="s">
        <v>8</v>
      </c>
    </row>
    <row r="260" spans="3:25" x14ac:dyDescent="0.35">
      <c r="C260" s="15" t="s">
        <v>8</v>
      </c>
      <c r="D260" s="15" t="s">
        <v>8</v>
      </c>
      <c r="H260" s="15" t="s">
        <v>8</v>
      </c>
      <c r="I260" s="15" t="s">
        <v>8</v>
      </c>
      <c r="K260" s="15" t="s">
        <v>8</v>
      </c>
      <c r="L260" s="15" t="s">
        <v>8</v>
      </c>
      <c r="M260" s="15" t="s">
        <v>8</v>
      </c>
      <c r="N260" s="15" t="s">
        <v>8</v>
      </c>
      <c r="O260" s="19" t="str">
        <f>HYPERLINK("http://yeinfo.com/family/I09005157.html", "ROGER ANDERTON Jr. &lt;2&gt; 1546 EN-1640 EN ID:09010314")</f>
        <v>ROGER ANDERTON Jr. &lt;2&gt; 1546 EN-1640 EN ID:09010314</v>
      </c>
      <c r="P260" s="9"/>
      <c r="Q260" s="9"/>
      <c r="R260" s="9"/>
      <c r="S260" s="9"/>
    </row>
    <row r="261" spans="3:25" x14ac:dyDescent="0.35">
      <c r="C261" s="15" t="s">
        <v>8</v>
      </c>
      <c r="D261" s="15" t="s">
        <v>8</v>
      </c>
      <c r="H261" s="15" t="s">
        <v>8</v>
      </c>
      <c r="I261" s="15" t="s">
        <v>8</v>
      </c>
      <c r="K261" s="15" t="s">
        <v>8</v>
      </c>
      <c r="L261" s="15" t="s">
        <v>8</v>
      </c>
      <c r="M261" s="15" t="s">
        <v>8</v>
      </c>
      <c r="N261" s="15" t="s">
        <v>8</v>
      </c>
      <c r="O261" s="8" t="s">
        <v>3</v>
      </c>
      <c r="P261" s="8" t="s">
        <v>6</v>
      </c>
    </row>
    <row r="262" spans="3:25" x14ac:dyDescent="0.35">
      <c r="C262" s="15" t="s">
        <v>8</v>
      </c>
      <c r="D262" s="15" t="s">
        <v>8</v>
      </c>
      <c r="H262" s="15" t="s">
        <v>8</v>
      </c>
      <c r="I262" s="15" t="s">
        <v>8</v>
      </c>
      <c r="K262" s="15" t="s">
        <v>8</v>
      </c>
      <c r="L262" s="15" t="s">
        <v>8</v>
      </c>
      <c r="M262" s="15" t="s">
        <v>8</v>
      </c>
      <c r="N262" s="15" t="s">
        <v>8</v>
      </c>
      <c r="O262" s="15" t="s">
        <v>8</v>
      </c>
      <c r="P262" s="20" t="str">
        <f>HYPERLINK("http://yeinfo.com/family/I09066791.html", "Mrs. {_?_} ANDERTON &lt;2&gt; 1526 EN-1546 EN ID:09020629")</f>
        <v>Mrs. {_?_} ANDERTON &lt;2&gt; 1526 EN-1546 EN ID:09020629</v>
      </c>
      <c r="Q262" s="17"/>
      <c r="R262" s="17"/>
      <c r="S262" s="17"/>
      <c r="T262" s="17"/>
    </row>
    <row r="263" spans="3:25" x14ac:dyDescent="0.35">
      <c r="C263" s="15" t="s">
        <v>8</v>
      </c>
      <c r="D263" s="15" t="s">
        <v>8</v>
      </c>
      <c r="H263" s="15" t="s">
        <v>8</v>
      </c>
      <c r="I263" s="15" t="s">
        <v>8</v>
      </c>
      <c r="K263" s="15" t="s">
        <v>8</v>
      </c>
      <c r="L263" s="15" t="s">
        <v>8</v>
      </c>
      <c r="M263" s="15" t="s">
        <v>8</v>
      </c>
      <c r="N263" s="8" t="s">
        <v>6</v>
      </c>
      <c r="O263" s="15" t="s">
        <v>8</v>
      </c>
    </row>
    <row r="264" spans="3:25" x14ac:dyDescent="0.35">
      <c r="C264" s="15" t="s">
        <v>8</v>
      </c>
      <c r="D264" s="15" t="s">
        <v>8</v>
      </c>
      <c r="H264" s="15" t="s">
        <v>8</v>
      </c>
      <c r="I264" s="15" t="s">
        <v>8</v>
      </c>
      <c r="K264" s="15" t="s">
        <v>8</v>
      </c>
      <c r="L264" s="15" t="s">
        <v>8</v>
      </c>
      <c r="M264" s="15" t="s">
        <v>8</v>
      </c>
      <c r="N264" s="20" t="str">
        <f>HYPERLINK("http://yeinfo.com/family/I09005156.html", "THOMASYN ANDERTON &lt;2&gt; 1567 EN-1596 EN ID:09005157")</f>
        <v>THOMASYN ANDERTON &lt;2&gt; 1567 EN-1596 EN ID:09005157</v>
      </c>
      <c r="O264" s="17"/>
      <c r="P264" s="17"/>
      <c r="Q264" s="17"/>
      <c r="R264" s="17"/>
    </row>
    <row r="265" spans="3:25" x14ac:dyDescent="0.35">
      <c r="C265" s="15" t="s">
        <v>8</v>
      </c>
      <c r="D265" s="15" t="s">
        <v>8</v>
      </c>
      <c r="H265" s="15" t="s">
        <v>8</v>
      </c>
      <c r="I265" s="15" t="s">
        <v>8</v>
      </c>
      <c r="K265" s="15" t="s">
        <v>8</v>
      </c>
      <c r="L265" s="15" t="s">
        <v>8</v>
      </c>
      <c r="M265" s="15" t="s">
        <v>8</v>
      </c>
      <c r="O265" s="15" t="s">
        <v>8</v>
      </c>
    </row>
    <row r="266" spans="3:25" x14ac:dyDescent="0.35">
      <c r="C266" s="15" t="s">
        <v>8</v>
      </c>
      <c r="D266" s="15" t="s">
        <v>8</v>
      </c>
      <c r="H266" s="15" t="s">
        <v>8</v>
      </c>
      <c r="I266" s="15" t="s">
        <v>8</v>
      </c>
      <c r="K266" s="15" t="s">
        <v>8</v>
      </c>
      <c r="L266" s="15" t="s">
        <v>8</v>
      </c>
      <c r="M266" s="15" t="s">
        <v>8</v>
      </c>
      <c r="O266" s="15" t="s">
        <v>8</v>
      </c>
      <c r="Q266" s="19" t="str">
        <f>HYPERLINK("http://yeinfo.com/family/I09020630.html", "GEOFFREY SHAKERLEY Sr. &lt;2&gt; 1500 EN-1525 EN ID:09041260")</f>
        <v>GEOFFREY SHAKERLEY Sr. &lt;2&gt; 1500 EN-1525 EN ID:09041260</v>
      </c>
      <c r="R266" s="9"/>
      <c r="S266" s="9"/>
      <c r="T266" s="9"/>
      <c r="U266" s="9"/>
    </row>
    <row r="267" spans="3:25" x14ac:dyDescent="0.35">
      <c r="C267" s="15" t="s">
        <v>8</v>
      </c>
      <c r="D267" s="15" t="s">
        <v>8</v>
      </c>
      <c r="H267" s="15" t="s">
        <v>8</v>
      </c>
      <c r="I267" s="15" t="s">
        <v>8</v>
      </c>
      <c r="K267" s="15" t="s">
        <v>8</v>
      </c>
      <c r="L267" s="15" t="s">
        <v>8</v>
      </c>
      <c r="M267" s="15" t="s">
        <v>8</v>
      </c>
      <c r="O267" s="15" t="s">
        <v>8</v>
      </c>
      <c r="Q267" s="8" t="s">
        <v>3</v>
      </c>
    </row>
    <row r="268" spans="3:25" x14ac:dyDescent="0.35">
      <c r="C268" s="15" t="s">
        <v>8</v>
      </c>
      <c r="D268" s="15" t="s">
        <v>8</v>
      </c>
      <c r="H268" s="15" t="s">
        <v>8</v>
      </c>
      <c r="I268" s="15" t="s">
        <v>8</v>
      </c>
      <c r="K268" s="15" t="s">
        <v>8</v>
      </c>
      <c r="L268" s="15" t="s">
        <v>8</v>
      </c>
      <c r="M268" s="15" t="s">
        <v>8</v>
      </c>
      <c r="O268" s="15" t="s">
        <v>8</v>
      </c>
      <c r="P268" s="19" t="str">
        <f>HYPERLINK("http://yeinfo.com/family/I09010315.html", "GEOFFREY SHAKERLEY Jr. &lt;2&gt; 1525 EN-1550 EN ID:09020630")</f>
        <v>GEOFFREY SHAKERLEY Jr. &lt;2&gt; 1525 EN-1550 EN ID:09020630</v>
      </c>
      <c r="Q268" s="9"/>
      <c r="R268" s="9"/>
      <c r="S268" s="9"/>
      <c r="T268" s="9"/>
    </row>
    <row r="269" spans="3:25" x14ac:dyDescent="0.35">
      <c r="C269" s="15" t="s">
        <v>8</v>
      </c>
      <c r="D269" s="15" t="s">
        <v>8</v>
      </c>
      <c r="H269" s="15" t="s">
        <v>8</v>
      </c>
      <c r="I269" s="15" t="s">
        <v>8</v>
      </c>
      <c r="K269" s="15" t="s">
        <v>8</v>
      </c>
      <c r="L269" s="15" t="s">
        <v>8</v>
      </c>
      <c r="M269" s="15" t="s">
        <v>8</v>
      </c>
      <c r="O269" s="15" t="s">
        <v>8</v>
      </c>
      <c r="P269" s="8" t="s">
        <v>3</v>
      </c>
      <c r="Q269" s="8" t="s">
        <v>6</v>
      </c>
    </row>
    <row r="270" spans="3:25" x14ac:dyDescent="0.35">
      <c r="C270" s="15" t="s">
        <v>8</v>
      </c>
      <c r="D270" s="15" t="s">
        <v>8</v>
      </c>
      <c r="H270" s="15" t="s">
        <v>8</v>
      </c>
      <c r="I270" s="15" t="s">
        <v>8</v>
      </c>
      <c r="K270" s="15" t="s">
        <v>8</v>
      </c>
      <c r="L270" s="15" t="s">
        <v>8</v>
      </c>
      <c r="M270" s="15" t="s">
        <v>8</v>
      </c>
      <c r="O270" s="15" t="s">
        <v>8</v>
      </c>
      <c r="P270" s="15" t="s">
        <v>8</v>
      </c>
      <c r="Q270" s="20" t="str">
        <f>HYPERLINK("http://yeinfo.com/family/I09041260.html", "ISABEL VENABLES &lt;2&gt; 1496 EN-1530 EN ID:09041261")</f>
        <v>ISABEL VENABLES &lt;2&gt; 1496 EN-1530 EN ID:09041261</v>
      </c>
      <c r="R270" s="17"/>
      <c r="S270" s="17"/>
      <c r="T270" s="17"/>
      <c r="U270" s="17"/>
    </row>
    <row r="271" spans="3:25" x14ac:dyDescent="0.35">
      <c r="C271" s="15" t="s">
        <v>8</v>
      </c>
      <c r="D271" s="15" t="s">
        <v>8</v>
      </c>
      <c r="H271" s="15" t="s">
        <v>8</v>
      </c>
      <c r="I271" s="15" t="s">
        <v>8</v>
      </c>
      <c r="K271" s="15" t="s">
        <v>8</v>
      </c>
      <c r="L271" s="15" t="s">
        <v>8</v>
      </c>
      <c r="M271" s="15" t="s">
        <v>8</v>
      </c>
      <c r="O271" s="8" t="s">
        <v>6</v>
      </c>
      <c r="P271" s="15" t="s">
        <v>8</v>
      </c>
    </row>
    <row r="272" spans="3:25" x14ac:dyDescent="0.35">
      <c r="C272" s="15" t="s">
        <v>8</v>
      </c>
      <c r="D272" s="15" t="s">
        <v>8</v>
      </c>
      <c r="H272" s="15" t="s">
        <v>8</v>
      </c>
      <c r="I272" s="15" t="s">
        <v>8</v>
      </c>
      <c r="K272" s="15" t="s">
        <v>8</v>
      </c>
      <c r="L272" s="15" t="s">
        <v>8</v>
      </c>
      <c r="M272" s="15" t="s">
        <v>8</v>
      </c>
      <c r="O272" s="20" t="str">
        <f>HYPERLINK("http://yeinfo.com/family/I09020629.html", "ISABEL SHAKERLEY &lt;2&gt; 1550 EN-1588 EN ID:09010315")</f>
        <v>ISABEL SHAKERLEY &lt;2&gt; 1550 EN-1588 EN ID:09010315</v>
      </c>
      <c r="P272" s="17"/>
      <c r="Q272" s="17"/>
      <c r="R272" s="17"/>
      <c r="S272" s="17"/>
    </row>
    <row r="273" spans="3:21" x14ac:dyDescent="0.35">
      <c r="C273" s="15" t="s">
        <v>8</v>
      </c>
      <c r="D273" s="15" t="s">
        <v>8</v>
      </c>
      <c r="H273" s="15" t="s">
        <v>8</v>
      </c>
      <c r="I273" s="15" t="s">
        <v>8</v>
      </c>
      <c r="K273" s="15" t="s">
        <v>8</v>
      </c>
      <c r="L273" s="15" t="s">
        <v>8</v>
      </c>
      <c r="M273" s="15" t="s">
        <v>8</v>
      </c>
      <c r="P273" s="15" t="s">
        <v>8</v>
      </c>
    </row>
    <row r="274" spans="3:21" x14ac:dyDescent="0.35">
      <c r="C274" s="15" t="s">
        <v>8</v>
      </c>
      <c r="D274" s="15" t="s">
        <v>8</v>
      </c>
      <c r="H274" s="15" t="s">
        <v>8</v>
      </c>
      <c r="I274" s="15" t="s">
        <v>8</v>
      </c>
      <c r="K274" s="15" t="s">
        <v>8</v>
      </c>
      <c r="L274" s="15" t="s">
        <v>8</v>
      </c>
      <c r="M274" s="15" t="s">
        <v>8</v>
      </c>
      <c r="P274" s="15" t="s">
        <v>8</v>
      </c>
      <c r="Q274" s="19" t="str">
        <f>HYPERLINK("http://yeinfo.com/family/I09020631.html", "GEORGE BEESTON &lt;2&gt; 1501 EN-1601 EN ID:09041262")</f>
        <v>GEORGE BEESTON &lt;2&gt; 1501 EN-1601 EN ID:09041262</v>
      </c>
      <c r="R274" s="9"/>
      <c r="S274" s="9"/>
      <c r="T274" s="9"/>
      <c r="U274" s="9"/>
    </row>
    <row r="275" spans="3:21" x14ac:dyDescent="0.35">
      <c r="C275" s="15" t="s">
        <v>8</v>
      </c>
      <c r="D275" s="15" t="s">
        <v>8</v>
      </c>
      <c r="H275" s="15" t="s">
        <v>8</v>
      </c>
      <c r="I275" s="15" t="s">
        <v>8</v>
      </c>
      <c r="K275" s="15" t="s">
        <v>8</v>
      </c>
      <c r="L275" s="15" t="s">
        <v>8</v>
      </c>
      <c r="M275" s="15" t="s">
        <v>8</v>
      </c>
      <c r="P275" s="8" t="s">
        <v>6</v>
      </c>
      <c r="Q275" s="8" t="s">
        <v>3</v>
      </c>
    </row>
    <row r="276" spans="3:21" x14ac:dyDescent="0.35">
      <c r="C276" s="15" t="s">
        <v>8</v>
      </c>
      <c r="D276" s="15" t="s">
        <v>8</v>
      </c>
      <c r="H276" s="15" t="s">
        <v>8</v>
      </c>
      <c r="I276" s="15" t="s">
        <v>8</v>
      </c>
      <c r="K276" s="15" t="s">
        <v>8</v>
      </c>
      <c r="L276" s="15" t="s">
        <v>8</v>
      </c>
      <c r="M276" s="15" t="s">
        <v>8</v>
      </c>
      <c r="P276" s="20" t="str">
        <f>HYPERLINK("http://yeinfo.com/family/I09041261.html", "ELIZABETH BEESTON &lt;2&gt; 1529 EN-1620 EN ID:09020631")</f>
        <v>ELIZABETH BEESTON &lt;2&gt; 1529 EN-1620 EN ID:09020631</v>
      </c>
      <c r="Q276" s="17"/>
      <c r="R276" s="17"/>
      <c r="S276" s="17"/>
      <c r="T276" s="17"/>
    </row>
    <row r="277" spans="3:21" x14ac:dyDescent="0.35">
      <c r="C277" s="15" t="s">
        <v>8</v>
      </c>
      <c r="D277" s="15" t="s">
        <v>8</v>
      </c>
      <c r="H277" s="15" t="s">
        <v>8</v>
      </c>
      <c r="I277" s="15" t="s">
        <v>8</v>
      </c>
      <c r="K277" s="15" t="s">
        <v>8</v>
      </c>
      <c r="L277" s="15" t="s">
        <v>8</v>
      </c>
      <c r="M277" s="15" t="s">
        <v>8</v>
      </c>
      <c r="Q277" s="8" t="s">
        <v>6</v>
      </c>
    </row>
    <row r="278" spans="3:21" x14ac:dyDescent="0.35">
      <c r="C278" s="15" t="s">
        <v>8</v>
      </c>
      <c r="D278" s="15" t="s">
        <v>8</v>
      </c>
      <c r="H278" s="15" t="s">
        <v>8</v>
      </c>
      <c r="I278" s="15" t="s">
        <v>8</v>
      </c>
      <c r="K278" s="15" t="s">
        <v>8</v>
      </c>
      <c r="L278" s="15" t="s">
        <v>8</v>
      </c>
      <c r="M278" s="15" t="s">
        <v>8</v>
      </c>
      <c r="Q278" s="20" t="str">
        <f>HYPERLINK("http://yeinfo.com/family/I09041262.html", "ALICE DAVENPORT &lt;2&gt; 1506 EN-1591 EN ID:09041263")</f>
        <v>ALICE DAVENPORT &lt;2&gt; 1506 EN-1591 EN ID:09041263</v>
      </c>
      <c r="R278" s="17"/>
      <c r="S278" s="17"/>
      <c r="T278" s="17"/>
      <c r="U278" s="17"/>
    </row>
    <row r="279" spans="3:21" x14ac:dyDescent="0.35">
      <c r="C279" s="15" t="s">
        <v>8</v>
      </c>
      <c r="D279" s="15" t="s">
        <v>8</v>
      </c>
      <c r="H279" s="15" t="s">
        <v>8</v>
      </c>
      <c r="I279" s="15" t="s">
        <v>8</v>
      </c>
      <c r="K279" s="15" t="s">
        <v>8</v>
      </c>
      <c r="L279" s="8" t="s">
        <v>6</v>
      </c>
      <c r="M279" s="15" t="s">
        <v>8</v>
      </c>
    </row>
    <row r="280" spans="3:21" x14ac:dyDescent="0.35">
      <c r="C280" s="15" t="s">
        <v>8</v>
      </c>
      <c r="D280" s="15" t="s">
        <v>8</v>
      </c>
      <c r="H280" s="15" t="s">
        <v>8</v>
      </c>
      <c r="I280" s="15" t="s">
        <v>8</v>
      </c>
      <c r="K280" s="15" t="s">
        <v>8</v>
      </c>
      <c r="L280" s="22" t="str">
        <f>HYPERLINK("http://yeinfo.com/family/I09002577.html", "JOAN DUTTON &lt;2&gt; 1618 EN-1671 NY ID:09001289")</f>
        <v>JOAN DUTTON &lt;2&gt; 1618 EN-1671 NY ID:09001289</v>
      </c>
      <c r="M280" s="13"/>
      <c r="N280" s="13"/>
      <c r="O280" s="13"/>
      <c r="P280" s="13"/>
    </row>
    <row r="281" spans="3:21" x14ac:dyDescent="0.35">
      <c r="C281" s="15" t="s">
        <v>8</v>
      </c>
      <c r="D281" s="15" t="s">
        <v>8</v>
      </c>
      <c r="H281" s="15" t="s">
        <v>8</v>
      </c>
      <c r="I281" s="15" t="s">
        <v>8</v>
      </c>
      <c r="K281" s="15" t="s">
        <v>8</v>
      </c>
      <c r="M281" s="15" t="s">
        <v>8</v>
      </c>
    </row>
    <row r="282" spans="3:21" x14ac:dyDescent="0.35">
      <c r="C282" s="15" t="s">
        <v>8</v>
      </c>
      <c r="D282" s="15" t="s">
        <v>8</v>
      </c>
      <c r="H282" s="15" t="s">
        <v>8</v>
      </c>
      <c r="I282" s="15" t="s">
        <v>8</v>
      </c>
      <c r="K282" s="15" t="s">
        <v>8</v>
      </c>
      <c r="M282" s="15" t="s">
        <v>8</v>
      </c>
      <c r="N282" s="19" t="str">
        <f>HYPERLINK("http://yeinfo.com/family/I09002579.html", "JOHN JONES &lt;2&gt; 1569 -1589  ID:09005158")</f>
        <v>JOHN JONES &lt;2&gt; 1569 -1589  ID:09005158</v>
      </c>
      <c r="O282" s="9"/>
      <c r="P282" s="9"/>
      <c r="Q282" s="9"/>
      <c r="R282" s="9"/>
    </row>
    <row r="283" spans="3:21" x14ac:dyDescent="0.35">
      <c r="C283" s="15" t="s">
        <v>8</v>
      </c>
      <c r="D283" s="15" t="s">
        <v>8</v>
      </c>
      <c r="H283" s="15" t="s">
        <v>8</v>
      </c>
      <c r="I283" s="15" t="s">
        <v>8</v>
      </c>
      <c r="K283" s="15" t="s">
        <v>8</v>
      </c>
      <c r="M283" s="8" t="s">
        <v>6</v>
      </c>
      <c r="N283" s="8" t="s">
        <v>3</v>
      </c>
    </row>
    <row r="284" spans="3:21" x14ac:dyDescent="0.35">
      <c r="C284" s="15" t="s">
        <v>8</v>
      </c>
      <c r="D284" s="15" t="s">
        <v>8</v>
      </c>
      <c r="H284" s="15" t="s">
        <v>8</v>
      </c>
      <c r="I284" s="15" t="s">
        <v>8</v>
      </c>
      <c r="K284" s="15" t="s">
        <v>8</v>
      </c>
      <c r="M284" s="20" t="str">
        <f>HYPERLINK("http://yeinfo.com/family/I09041263.html", "ELIZABETH JONES &lt;2&gt; 1589 EN-1634 EN ID:09002579")</f>
        <v>ELIZABETH JONES &lt;2&gt; 1589 EN-1634 EN ID:09002579</v>
      </c>
      <c r="N284" s="17"/>
      <c r="O284" s="17"/>
      <c r="P284" s="17"/>
      <c r="Q284" s="17"/>
    </row>
    <row r="285" spans="3:21" x14ac:dyDescent="0.35">
      <c r="C285" s="15" t="s">
        <v>8</v>
      </c>
      <c r="D285" s="15" t="s">
        <v>8</v>
      </c>
      <c r="H285" s="15" t="s">
        <v>8</v>
      </c>
      <c r="I285" s="15" t="s">
        <v>8</v>
      </c>
      <c r="K285" s="15" t="s">
        <v>8</v>
      </c>
      <c r="N285" s="8" t="s">
        <v>6</v>
      </c>
    </row>
    <row r="286" spans="3:21" x14ac:dyDescent="0.35">
      <c r="C286" s="15" t="s">
        <v>8</v>
      </c>
      <c r="D286" s="15" t="s">
        <v>8</v>
      </c>
      <c r="H286" s="15" t="s">
        <v>8</v>
      </c>
      <c r="I286" s="15" t="s">
        <v>8</v>
      </c>
      <c r="K286" s="15" t="s">
        <v>8</v>
      </c>
      <c r="N286" s="20" t="str">
        <f>HYPERLINK("http://yeinfo.com/family/I09005158.html", "ALICE EVANS &lt;2&gt; 1566 EN-1653 EN ID:09005159")</f>
        <v>ALICE EVANS &lt;2&gt; 1566 EN-1653 EN ID:09005159</v>
      </c>
      <c r="O286" s="17"/>
      <c r="P286" s="17"/>
      <c r="Q286" s="17"/>
      <c r="R286" s="17"/>
    </row>
    <row r="287" spans="3:21" x14ac:dyDescent="0.35">
      <c r="C287" s="15" t="s">
        <v>8</v>
      </c>
      <c r="D287" s="15" t="s">
        <v>8</v>
      </c>
      <c r="H287" s="15" t="s">
        <v>8</v>
      </c>
      <c r="I287" s="15" t="s">
        <v>8</v>
      </c>
      <c r="K287" s="15" t="s">
        <v>8</v>
      </c>
    </row>
    <row r="288" spans="3:21" x14ac:dyDescent="0.35">
      <c r="C288" s="15" t="s">
        <v>8</v>
      </c>
      <c r="D288" s="15" t="s">
        <v>8</v>
      </c>
      <c r="H288" s="15" t="s">
        <v>8</v>
      </c>
      <c r="I288" s="15" t="s">
        <v>8</v>
      </c>
      <c r="J288" s="5" t="str">
        <f>HYPERLINK("http://yeinfo.com/family/I09000161.html", "ADAM IRELAND &lt;2&gt; 1694 NY-1760 NY ID:09000322")</f>
        <v>ADAM IRELAND &lt;2&gt; 1694 NY-1760 NY ID:09000322</v>
      </c>
      <c r="K288" s="3"/>
      <c r="L288" s="3"/>
      <c r="M288" s="3"/>
      <c r="N288" s="3"/>
    </row>
    <row r="289" spans="3:19" x14ac:dyDescent="0.35">
      <c r="C289" s="15" t="s">
        <v>8</v>
      </c>
      <c r="D289" s="15" t="s">
        <v>8</v>
      </c>
      <c r="H289" s="15" t="s">
        <v>8</v>
      </c>
      <c r="I289" s="15" t="s">
        <v>8</v>
      </c>
      <c r="J289" s="8" t="s">
        <v>3</v>
      </c>
      <c r="K289" s="15" t="s">
        <v>8</v>
      </c>
    </row>
    <row r="290" spans="3:19" x14ac:dyDescent="0.35">
      <c r="C290" s="15" t="s">
        <v>8</v>
      </c>
      <c r="D290" s="15" t="s">
        <v>8</v>
      </c>
      <c r="H290" s="15" t="s">
        <v>8</v>
      </c>
      <c r="I290" s="15" t="s">
        <v>8</v>
      </c>
      <c r="J290" s="15" t="s">
        <v>8</v>
      </c>
      <c r="K290" s="15" t="s">
        <v>8</v>
      </c>
      <c r="O290" s="19" t="str">
        <f>HYPERLINK("http://yeinfo.com/family/I09005160.html", "CHARLES HENRY ABRAHAMS &lt;2&gt; 1560 FR-1580 FR ID:09010320")</f>
        <v>CHARLES HENRY ABRAHAMS &lt;2&gt; 1560 FR-1580 FR ID:09010320</v>
      </c>
      <c r="P290" s="9"/>
      <c r="Q290" s="9"/>
      <c r="R290" s="9"/>
      <c r="S290" s="9"/>
    </row>
    <row r="291" spans="3:19" x14ac:dyDescent="0.35">
      <c r="C291" s="15" t="s">
        <v>8</v>
      </c>
      <c r="D291" s="15" t="s">
        <v>8</v>
      </c>
      <c r="H291" s="15" t="s">
        <v>8</v>
      </c>
      <c r="I291" s="15" t="s">
        <v>8</v>
      </c>
      <c r="J291" s="15" t="s">
        <v>8</v>
      </c>
      <c r="K291" s="15" t="s">
        <v>8</v>
      </c>
      <c r="O291" s="8" t="s">
        <v>3</v>
      </c>
    </row>
    <row r="292" spans="3:19" x14ac:dyDescent="0.35">
      <c r="C292" s="15" t="s">
        <v>8</v>
      </c>
      <c r="D292" s="15" t="s">
        <v>8</v>
      </c>
      <c r="H292" s="15" t="s">
        <v>8</v>
      </c>
      <c r="I292" s="15" t="s">
        <v>8</v>
      </c>
      <c r="J292" s="15" t="s">
        <v>8</v>
      </c>
      <c r="K292" s="15" t="s">
        <v>8</v>
      </c>
      <c r="N292" s="19" t="str">
        <f>HYPERLINK("http://yeinfo.com/family/I09002580.html", "CHARLES BENJAMIN ABRAHAMS &lt;2&gt; 1580 FR-1610 EN ID:09005160")</f>
        <v>CHARLES BENJAMIN ABRAHAMS &lt;2&gt; 1580 FR-1610 EN ID:09005160</v>
      </c>
      <c r="O292" s="9"/>
      <c r="P292" s="9"/>
      <c r="Q292" s="9"/>
      <c r="R292" s="9"/>
    </row>
    <row r="293" spans="3:19" x14ac:dyDescent="0.35">
      <c r="C293" s="15" t="s">
        <v>8</v>
      </c>
      <c r="D293" s="15" t="s">
        <v>8</v>
      </c>
      <c r="H293" s="15" t="s">
        <v>8</v>
      </c>
      <c r="I293" s="15" t="s">
        <v>8</v>
      </c>
      <c r="J293" s="15" t="s">
        <v>8</v>
      </c>
      <c r="K293" s="15" t="s">
        <v>8</v>
      </c>
      <c r="N293" s="8" t="s">
        <v>3</v>
      </c>
      <c r="O293" s="8" t="s">
        <v>6</v>
      </c>
    </row>
    <row r="294" spans="3:19" x14ac:dyDescent="0.35">
      <c r="C294" s="15" t="s">
        <v>8</v>
      </c>
      <c r="D294" s="15" t="s">
        <v>8</v>
      </c>
      <c r="H294" s="15" t="s">
        <v>8</v>
      </c>
      <c r="I294" s="15" t="s">
        <v>8</v>
      </c>
      <c r="J294" s="15" t="s">
        <v>8</v>
      </c>
      <c r="K294" s="15" t="s">
        <v>8</v>
      </c>
      <c r="N294" s="15" t="s">
        <v>8</v>
      </c>
      <c r="O294" s="20" t="str">
        <f>HYPERLINK("http://yeinfo.com/family/I09010320.html", "MARIE ANN LEVAY &lt;2&gt; 1560 FR-1622 FR ID:09010321")</f>
        <v>MARIE ANN LEVAY &lt;2&gt; 1560 FR-1622 FR ID:09010321</v>
      </c>
      <c r="P294" s="17"/>
      <c r="Q294" s="17"/>
      <c r="R294" s="17"/>
      <c r="S294" s="17"/>
    </row>
    <row r="295" spans="3:19" x14ac:dyDescent="0.35">
      <c r="C295" s="15" t="s">
        <v>8</v>
      </c>
      <c r="D295" s="15" t="s">
        <v>8</v>
      </c>
      <c r="H295" s="15" t="s">
        <v>8</v>
      </c>
      <c r="I295" s="15" t="s">
        <v>8</v>
      </c>
      <c r="J295" s="15" t="s">
        <v>8</v>
      </c>
      <c r="K295" s="15" t="s">
        <v>8</v>
      </c>
      <c r="N295" s="15" t="s">
        <v>8</v>
      </c>
    </row>
    <row r="296" spans="3:19" x14ac:dyDescent="0.35">
      <c r="C296" s="15" t="s">
        <v>8</v>
      </c>
      <c r="D296" s="15" t="s">
        <v>8</v>
      </c>
      <c r="H296" s="15" t="s">
        <v>8</v>
      </c>
      <c r="I296" s="15" t="s">
        <v>8</v>
      </c>
      <c r="J296" s="15" t="s">
        <v>8</v>
      </c>
      <c r="K296" s="15" t="s">
        <v>8</v>
      </c>
      <c r="M296" s="19" t="str">
        <f>HYPERLINK("http://yeinfo.com/family/I09001290.html", "HENRY ABRAHAMS &lt;2&gt; 1610 FR-1674 EN ID:09002580")</f>
        <v>HENRY ABRAHAMS &lt;2&gt; 1610 FR-1674 EN ID:09002580</v>
      </c>
      <c r="N296" s="9"/>
      <c r="O296" s="9"/>
      <c r="P296" s="9"/>
      <c r="Q296" s="9"/>
    </row>
    <row r="297" spans="3:19" x14ac:dyDescent="0.35">
      <c r="C297" s="15" t="s">
        <v>8</v>
      </c>
      <c r="D297" s="15" t="s">
        <v>8</v>
      </c>
      <c r="H297" s="15" t="s">
        <v>8</v>
      </c>
      <c r="I297" s="15" t="s">
        <v>8</v>
      </c>
      <c r="J297" s="15" t="s">
        <v>8</v>
      </c>
      <c r="K297" s="15" t="s">
        <v>8</v>
      </c>
      <c r="M297" s="8" t="s">
        <v>3</v>
      </c>
      <c r="N297" s="8" t="s">
        <v>6</v>
      </c>
    </row>
    <row r="298" spans="3:19" x14ac:dyDescent="0.35">
      <c r="C298" s="15" t="s">
        <v>8</v>
      </c>
      <c r="D298" s="15" t="s">
        <v>8</v>
      </c>
      <c r="H298" s="15" t="s">
        <v>8</v>
      </c>
      <c r="I298" s="15" t="s">
        <v>8</v>
      </c>
      <c r="J298" s="15" t="s">
        <v>8</v>
      </c>
      <c r="K298" s="15" t="s">
        <v>8</v>
      </c>
      <c r="M298" s="15" t="s">
        <v>8</v>
      </c>
      <c r="N298" s="20" t="str">
        <f>HYPERLINK("http://yeinfo.com/family/I09010321.html", "CLAUDET MAGNIER &lt;2&gt; 1580 FR-1628 FR ID:09005161")</f>
        <v>CLAUDET MAGNIER &lt;2&gt; 1580 FR-1628 FR ID:09005161</v>
      </c>
      <c r="O298" s="17"/>
      <c r="P298" s="17"/>
      <c r="Q298" s="17"/>
      <c r="R298" s="17"/>
    </row>
    <row r="299" spans="3:19" x14ac:dyDescent="0.35">
      <c r="C299" s="15" t="s">
        <v>8</v>
      </c>
      <c r="D299" s="15" t="s">
        <v>8</v>
      </c>
      <c r="H299" s="15" t="s">
        <v>8</v>
      </c>
      <c r="I299" s="15" t="s">
        <v>8</v>
      </c>
      <c r="J299" s="15" t="s">
        <v>8</v>
      </c>
      <c r="K299" s="15" t="s">
        <v>8</v>
      </c>
      <c r="M299" s="15" t="s">
        <v>8</v>
      </c>
    </row>
    <row r="300" spans="3:19" x14ac:dyDescent="0.35">
      <c r="C300" s="15" t="s">
        <v>8</v>
      </c>
      <c r="D300" s="15" t="s">
        <v>8</v>
      </c>
      <c r="H300" s="15" t="s">
        <v>8</v>
      </c>
      <c r="I300" s="15" t="s">
        <v>8</v>
      </c>
      <c r="J300" s="15" t="s">
        <v>8</v>
      </c>
      <c r="K300" s="15" t="s">
        <v>8</v>
      </c>
      <c r="L300" s="21" t="str">
        <f>HYPERLINK("http://yeinfo.com/family/I09000645.html", "ISAAC JOSEPH ABRAHAMS &lt;2&gt; 1639 FR-1726 MD ID:09001290")</f>
        <v>ISAAC JOSEPH ABRAHAMS &lt;2&gt; 1639 FR-1726 MD ID:09001290</v>
      </c>
      <c r="M300" s="6"/>
      <c r="N300" s="6"/>
      <c r="O300" s="6"/>
      <c r="P300" s="6"/>
    </row>
    <row r="301" spans="3:19" x14ac:dyDescent="0.35">
      <c r="C301" s="15" t="s">
        <v>8</v>
      </c>
      <c r="D301" s="15" t="s">
        <v>8</v>
      </c>
      <c r="H301" s="15" t="s">
        <v>8</v>
      </c>
      <c r="I301" s="15" t="s">
        <v>8</v>
      </c>
      <c r="J301" s="15" t="s">
        <v>8</v>
      </c>
      <c r="K301" s="15" t="s">
        <v>8</v>
      </c>
      <c r="L301" s="8" t="s">
        <v>3</v>
      </c>
      <c r="M301" s="8" t="s">
        <v>6</v>
      </c>
    </row>
    <row r="302" spans="3:19" x14ac:dyDescent="0.35">
      <c r="C302" s="15" t="s">
        <v>8</v>
      </c>
      <c r="D302" s="15" t="s">
        <v>8</v>
      </c>
      <c r="H302" s="15" t="s">
        <v>8</v>
      </c>
      <c r="I302" s="15" t="s">
        <v>8</v>
      </c>
      <c r="J302" s="15" t="s">
        <v>8</v>
      </c>
      <c r="K302" s="15" t="s">
        <v>8</v>
      </c>
      <c r="L302" s="15" t="s">
        <v>8</v>
      </c>
      <c r="M302" s="20" t="str">
        <f>HYPERLINK("http://yeinfo.com/family/I09005161.html", "ANNE HODGES &lt;2&gt; 1615 EN-1678 EN ID:09002581")</f>
        <v>ANNE HODGES &lt;2&gt; 1615 EN-1678 EN ID:09002581</v>
      </c>
      <c r="N302" s="17"/>
      <c r="O302" s="17"/>
      <c r="P302" s="17"/>
      <c r="Q302" s="17"/>
    </row>
    <row r="303" spans="3:19" x14ac:dyDescent="0.35">
      <c r="C303" s="15" t="s">
        <v>8</v>
      </c>
      <c r="D303" s="15" t="s">
        <v>8</v>
      </c>
      <c r="H303" s="15" t="s">
        <v>8</v>
      </c>
      <c r="I303" s="15" t="s">
        <v>8</v>
      </c>
      <c r="J303" s="15" t="s">
        <v>8</v>
      </c>
      <c r="K303" s="8" t="s">
        <v>6</v>
      </c>
      <c r="L303" s="15" t="s">
        <v>8</v>
      </c>
    </row>
    <row r="304" spans="3:19" x14ac:dyDescent="0.35">
      <c r="C304" s="15" t="s">
        <v>8</v>
      </c>
      <c r="D304" s="15" t="s">
        <v>8</v>
      </c>
      <c r="H304" s="15" t="s">
        <v>8</v>
      </c>
      <c r="I304" s="15" t="s">
        <v>8</v>
      </c>
      <c r="J304" s="15" t="s">
        <v>8</v>
      </c>
      <c r="K304" s="16" t="str">
        <f>HYPERLINK("http://yeinfo.com/family/I09005159.html", "MARY ABRAHAMS &lt;2&gt; 1657 NY-1723 NY ID:09000645")</f>
        <v>MARY ABRAHAMS &lt;2&gt; 1657 NY-1723 NY ID:09000645</v>
      </c>
      <c r="L304" s="11"/>
      <c r="M304" s="11"/>
      <c r="N304" s="11"/>
      <c r="O304" s="11"/>
    </row>
    <row r="305" spans="3:26" x14ac:dyDescent="0.35">
      <c r="C305" s="15" t="s">
        <v>8</v>
      </c>
      <c r="D305" s="15" t="s">
        <v>8</v>
      </c>
      <c r="H305" s="15" t="s">
        <v>8</v>
      </c>
      <c r="I305" s="15" t="s">
        <v>8</v>
      </c>
      <c r="J305" s="15" t="s">
        <v>8</v>
      </c>
      <c r="L305" s="8" t="s">
        <v>6</v>
      </c>
    </row>
    <row r="306" spans="3:26" x14ac:dyDescent="0.35">
      <c r="C306" s="15" t="s">
        <v>8</v>
      </c>
      <c r="D306" s="15" t="s">
        <v>8</v>
      </c>
      <c r="H306" s="15" t="s">
        <v>8</v>
      </c>
      <c r="I306" s="15" t="s">
        <v>8</v>
      </c>
      <c r="J306" s="15" t="s">
        <v>8</v>
      </c>
      <c r="L306" s="16" t="str">
        <f>HYPERLINK("http://yeinfo.com/family/I09002581.html", "ELIZABETH REED &lt;2&gt; 1639 -1661 II ID:09001291")</f>
        <v>ELIZABETH REED &lt;2&gt; 1639 -1661 II ID:09001291</v>
      </c>
      <c r="M306" s="11"/>
      <c r="N306" s="11"/>
      <c r="O306" s="11"/>
      <c r="P306" s="11"/>
    </row>
    <row r="307" spans="3:26" x14ac:dyDescent="0.35">
      <c r="C307" s="15" t="s">
        <v>8</v>
      </c>
      <c r="D307" s="15" t="s">
        <v>8</v>
      </c>
      <c r="H307" s="15" t="s">
        <v>8</v>
      </c>
      <c r="I307" s="8" t="s">
        <v>6</v>
      </c>
      <c r="J307" s="15" t="s">
        <v>8</v>
      </c>
    </row>
    <row r="308" spans="3:26" x14ac:dyDescent="0.35">
      <c r="C308" s="15" t="s">
        <v>8</v>
      </c>
      <c r="D308" s="15" t="s">
        <v>8</v>
      </c>
      <c r="H308" s="15" t="s">
        <v>8</v>
      </c>
      <c r="I308" s="16" t="str">
        <f>HYPERLINK("http://yeinfo.com/family/I09000321.html", "HANNAH IRELAND &lt;2&gt; 1735 NY-1821 NY ID:09000161")</f>
        <v>HANNAH IRELAND &lt;2&gt; 1735 NY-1821 NY ID:09000161</v>
      </c>
      <c r="J308" s="11"/>
      <c r="K308" s="11"/>
      <c r="L308" s="11"/>
      <c r="M308" s="11"/>
    </row>
    <row r="309" spans="3:26" x14ac:dyDescent="0.35">
      <c r="C309" s="15" t="s">
        <v>8</v>
      </c>
      <c r="D309" s="15" t="s">
        <v>8</v>
      </c>
      <c r="H309" s="15" t="s">
        <v>8</v>
      </c>
      <c r="J309" s="15" t="s">
        <v>8</v>
      </c>
    </row>
    <row r="310" spans="3:26" x14ac:dyDescent="0.35">
      <c r="C310" s="15" t="s">
        <v>8</v>
      </c>
      <c r="D310" s="15" t="s">
        <v>8</v>
      </c>
      <c r="H310" s="15" t="s">
        <v>8</v>
      </c>
      <c r="J310" s="15" t="s">
        <v>8</v>
      </c>
      <c r="U310" s="19" t="str">
        <f>HYPERLINK("http://yeinfo.com/family/I09065807.html", "HENRY FOWLER &lt;2&gt; 1380 EN-1400 EN ID:09065959")</f>
        <v>HENRY FOWLER &lt;2&gt; 1380 EN-1400 EN ID:09065959</v>
      </c>
      <c r="V310" s="9"/>
      <c r="W310" s="9"/>
      <c r="X310" s="9"/>
      <c r="Y310" s="9"/>
    </row>
    <row r="311" spans="3:26" x14ac:dyDescent="0.35">
      <c r="C311" s="15" t="s">
        <v>8</v>
      </c>
      <c r="D311" s="15" t="s">
        <v>8</v>
      </c>
      <c r="H311" s="15" t="s">
        <v>8</v>
      </c>
      <c r="J311" s="15" t="s">
        <v>8</v>
      </c>
      <c r="U311" s="8" t="s">
        <v>3</v>
      </c>
    </row>
    <row r="312" spans="3:26" x14ac:dyDescent="0.35">
      <c r="C312" s="15" t="s">
        <v>8</v>
      </c>
      <c r="D312" s="15" t="s">
        <v>8</v>
      </c>
      <c r="H312" s="15" t="s">
        <v>8</v>
      </c>
      <c r="J312" s="15" t="s">
        <v>8</v>
      </c>
      <c r="T312" s="19" t="str">
        <f>HYPERLINK("http://yeinfo.com/family/I09065682.html", "WILLIAM FOWLER &lt;2&gt; 1400 EN-1452 EN ID:09065807")</f>
        <v>WILLIAM FOWLER &lt;2&gt; 1400 EN-1452 EN ID:09065807</v>
      </c>
      <c r="U312" s="9"/>
      <c r="V312" s="9"/>
      <c r="W312" s="9"/>
      <c r="X312" s="9"/>
    </row>
    <row r="313" spans="3:26" x14ac:dyDescent="0.35">
      <c r="C313" s="15" t="s">
        <v>8</v>
      </c>
      <c r="D313" s="15" t="s">
        <v>8</v>
      </c>
      <c r="H313" s="15" t="s">
        <v>8</v>
      </c>
      <c r="J313" s="15" t="s">
        <v>8</v>
      </c>
      <c r="T313" s="8" t="s">
        <v>3</v>
      </c>
      <c r="U313" s="8" t="s">
        <v>6</v>
      </c>
    </row>
    <row r="314" spans="3:26" x14ac:dyDescent="0.35">
      <c r="C314" s="15" t="s">
        <v>8</v>
      </c>
      <c r="D314" s="15" t="s">
        <v>8</v>
      </c>
      <c r="H314" s="15" t="s">
        <v>8</v>
      </c>
      <c r="J314" s="15" t="s">
        <v>8</v>
      </c>
      <c r="T314" s="15" t="s">
        <v>8</v>
      </c>
      <c r="U314" s="20" t="str">
        <f>HYPERLINK("http://yeinfo.com/family/I09065959.html", "ISABEL ELIZABETH BARTON &lt;2&gt; 1382 EN-1405 EN ID:09065960")</f>
        <v>ISABEL ELIZABETH BARTON &lt;2&gt; 1382 EN-1405 EN ID:09065960</v>
      </c>
      <c r="V314" s="17"/>
      <c r="W314" s="17"/>
      <c r="X314" s="17"/>
      <c r="Y314" s="17"/>
    </row>
    <row r="315" spans="3:26" x14ac:dyDescent="0.35">
      <c r="C315" s="15" t="s">
        <v>8</v>
      </c>
      <c r="D315" s="15" t="s">
        <v>8</v>
      </c>
      <c r="H315" s="15" t="s">
        <v>8</v>
      </c>
      <c r="J315" s="15" t="s">
        <v>8</v>
      </c>
      <c r="T315" s="15" t="s">
        <v>8</v>
      </c>
    </row>
    <row r="316" spans="3:26" x14ac:dyDescent="0.35">
      <c r="C316" s="15" t="s">
        <v>8</v>
      </c>
      <c r="D316" s="15" t="s">
        <v>8</v>
      </c>
      <c r="H316" s="15" t="s">
        <v>8</v>
      </c>
      <c r="J316" s="15" t="s">
        <v>8</v>
      </c>
      <c r="S316" s="19" t="str">
        <f>HYPERLINK("http://yeinfo.com/family/I09065545.html", "RICHARD FOWLER &lt;2&gt; 1425 EN-1477 EN ID:09065682")</f>
        <v>RICHARD FOWLER &lt;2&gt; 1425 EN-1477 EN ID:09065682</v>
      </c>
      <c r="T316" s="9"/>
      <c r="U316" s="9"/>
      <c r="V316" s="9"/>
      <c r="W316" s="9"/>
    </row>
    <row r="317" spans="3:26" x14ac:dyDescent="0.35">
      <c r="C317" s="15" t="s">
        <v>8</v>
      </c>
      <c r="D317" s="15" t="s">
        <v>8</v>
      </c>
      <c r="H317" s="15" t="s">
        <v>8</v>
      </c>
      <c r="J317" s="15" t="s">
        <v>8</v>
      </c>
      <c r="S317" s="8" t="s">
        <v>3</v>
      </c>
      <c r="T317" s="15" t="s">
        <v>8</v>
      </c>
    </row>
    <row r="318" spans="3:26" x14ac:dyDescent="0.35">
      <c r="C318" s="15" t="s">
        <v>8</v>
      </c>
      <c r="D318" s="15" t="s">
        <v>8</v>
      </c>
      <c r="H318" s="15" t="s">
        <v>8</v>
      </c>
      <c r="J318" s="15" t="s">
        <v>8</v>
      </c>
      <c r="S318" s="15" t="s">
        <v>8</v>
      </c>
      <c r="T318" s="15" t="s">
        <v>8</v>
      </c>
      <c r="V318" s="19" t="str">
        <f>HYPERLINK("http://yeinfo.com/family/I09065961.html", "PHILIP ENGLEFIELD &lt;2&gt; 1348 EN-1380 EN ID:09066135")</f>
        <v>PHILIP ENGLEFIELD &lt;2&gt; 1348 EN-1380 EN ID:09066135</v>
      </c>
      <c r="W318" s="9"/>
      <c r="X318" s="9"/>
      <c r="Y318" s="9"/>
      <c r="Z318" s="9"/>
    </row>
    <row r="319" spans="3:26" x14ac:dyDescent="0.35">
      <c r="C319" s="15" t="s">
        <v>8</v>
      </c>
      <c r="D319" s="15" t="s">
        <v>8</v>
      </c>
      <c r="H319" s="15" t="s">
        <v>8</v>
      </c>
      <c r="J319" s="15" t="s">
        <v>8</v>
      </c>
      <c r="S319" s="15" t="s">
        <v>8</v>
      </c>
      <c r="T319" s="15" t="s">
        <v>8</v>
      </c>
      <c r="V319" s="8" t="s">
        <v>3</v>
      </c>
    </row>
    <row r="320" spans="3:26" x14ac:dyDescent="0.35">
      <c r="C320" s="15" t="s">
        <v>8</v>
      </c>
      <c r="D320" s="15" t="s">
        <v>8</v>
      </c>
      <c r="H320" s="15" t="s">
        <v>8</v>
      </c>
      <c r="J320" s="15" t="s">
        <v>8</v>
      </c>
      <c r="S320" s="15" t="s">
        <v>8</v>
      </c>
      <c r="T320" s="15" t="s">
        <v>8</v>
      </c>
      <c r="U320" s="19" t="str">
        <f>HYPERLINK("http://yeinfo.com/family/I09065808.html", "NICHOLAS ENGLEFIELD &lt;2&gt; 1378 EN-1415 EN ID:09065961")</f>
        <v>NICHOLAS ENGLEFIELD &lt;2&gt; 1378 EN-1415 EN ID:09065961</v>
      </c>
      <c r="V320" s="9"/>
      <c r="W320" s="9"/>
      <c r="X320" s="9"/>
      <c r="Y320" s="9"/>
    </row>
    <row r="321" spans="3:27" x14ac:dyDescent="0.35">
      <c r="C321" s="15" t="s">
        <v>8</v>
      </c>
      <c r="D321" s="15" t="s">
        <v>8</v>
      </c>
      <c r="H321" s="15" t="s">
        <v>8</v>
      </c>
      <c r="J321" s="15" t="s">
        <v>8</v>
      </c>
      <c r="S321" s="15" t="s">
        <v>8</v>
      </c>
      <c r="T321" s="15" t="s">
        <v>8</v>
      </c>
      <c r="U321" s="8" t="s">
        <v>3</v>
      </c>
      <c r="V321" s="8" t="s">
        <v>6</v>
      </c>
    </row>
    <row r="322" spans="3:27" x14ac:dyDescent="0.35">
      <c r="C322" s="15" t="s">
        <v>8</v>
      </c>
      <c r="D322" s="15" t="s">
        <v>8</v>
      </c>
      <c r="H322" s="15" t="s">
        <v>8</v>
      </c>
      <c r="J322" s="15" t="s">
        <v>8</v>
      </c>
      <c r="S322" s="15" t="s">
        <v>8</v>
      </c>
      <c r="T322" s="15" t="s">
        <v>8</v>
      </c>
      <c r="U322" s="15" t="s">
        <v>8</v>
      </c>
      <c r="V322" s="20" t="str">
        <f>HYPERLINK("http://yeinfo.com/family/I09066135.html", "JOHANNE BURNET &lt;2&gt; 1352 EN-1378 EN ID:09066136")</f>
        <v>JOHANNE BURNET &lt;2&gt; 1352 EN-1378 EN ID:09066136</v>
      </c>
      <c r="W322" s="17"/>
      <c r="X322" s="17"/>
      <c r="Y322" s="17"/>
      <c r="Z322" s="17"/>
    </row>
    <row r="323" spans="3:27" x14ac:dyDescent="0.35">
      <c r="C323" s="15" t="s">
        <v>8</v>
      </c>
      <c r="D323" s="15" t="s">
        <v>8</v>
      </c>
      <c r="H323" s="15" t="s">
        <v>8</v>
      </c>
      <c r="J323" s="15" t="s">
        <v>8</v>
      </c>
      <c r="S323" s="15" t="s">
        <v>8</v>
      </c>
      <c r="T323" s="8" t="s">
        <v>6</v>
      </c>
      <c r="U323" s="15" t="s">
        <v>8</v>
      </c>
    </row>
    <row r="324" spans="3:27" x14ac:dyDescent="0.35">
      <c r="C324" s="15" t="s">
        <v>8</v>
      </c>
      <c r="D324" s="15" t="s">
        <v>8</v>
      </c>
      <c r="H324" s="15" t="s">
        <v>8</v>
      </c>
      <c r="J324" s="15" t="s">
        <v>8</v>
      </c>
      <c r="S324" s="15" t="s">
        <v>8</v>
      </c>
      <c r="T324" s="20" t="str">
        <f>HYPERLINK("http://yeinfo.com/family/I09065960.html", "CECILY ENGLEFIELD &lt;2&gt; 1403 EN-1425 EN ID:09065808")</f>
        <v>CECILY ENGLEFIELD &lt;2&gt; 1403 EN-1425 EN ID:09065808</v>
      </c>
      <c r="U324" s="17"/>
      <c r="V324" s="17"/>
      <c r="W324" s="17"/>
      <c r="X324" s="17"/>
    </row>
    <row r="325" spans="3:27" x14ac:dyDescent="0.35">
      <c r="C325" s="15" t="s">
        <v>8</v>
      </c>
      <c r="D325" s="15" t="s">
        <v>8</v>
      </c>
      <c r="H325" s="15" t="s">
        <v>8</v>
      </c>
      <c r="J325" s="15" t="s">
        <v>8</v>
      </c>
      <c r="S325" s="15" t="s">
        <v>8</v>
      </c>
      <c r="U325" s="15" t="s">
        <v>8</v>
      </c>
    </row>
    <row r="326" spans="3:27" x14ac:dyDescent="0.35">
      <c r="C326" s="15" t="s">
        <v>8</v>
      </c>
      <c r="D326" s="15" t="s">
        <v>8</v>
      </c>
      <c r="H326" s="15" t="s">
        <v>8</v>
      </c>
      <c r="J326" s="15" t="s">
        <v>8</v>
      </c>
      <c r="S326" s="15" t="s">
        <v>8</v>
      </c>
      <c r="U326" s="15" t="s">
        <v>8</v>
      </c>
      <c r="V326" s="19" t="str">
        <f>HYPERLINK("http://yeinfo.com/family/I09065962.html", "NICHOLAS RYCOTE &lt;2&gt; 1358 EN-1412 EN ID:09066137")</f>
        <v>NICHOLAS RYCOTE &lt;2&gt; 1358 EN-1412 EN ID:09066137</v>
      </c>
      <c r="W326" s="9"/>
      <c r="X326" s="9"/>
      <c r="Y326" s="9"/>
      <c r="Z326" s="9"/>
    </row>
    <row r="327" spans="3:27" x14ac:dyDescent="0.35">
      <c r="C327" s="15" t="s">
        <v>8</v>
      </c>
      <c r="D327" s="15" t="s">
        <v>8</v>
      </c>
      <c r="H327" s="15" t="s">
        <v>8</v>
      </c>
      <c r="J327" s="15" t="s">
        <v>8</v>
      </c>
      <c r="S327" s="15" t="s">
        <v>8</v>
      </c>
      <c r="U327" s="8" t="s">
        <v>6</v>
      </c>
      <c r="V327" s="8" t="s">
        <v>3</v>
      </c>
    </row>
    <row r="328" spans="3:27" x14ac:dyDescent="0.35">
      <c r="C328" s="15" t="s">
        <v>8</v>
      </c>
      <c r="D328" s="15" t="s">
        <v>8</v>
      </c>
      <c r="H328" s="15" t="s">
        <v>8</v>
      </c>
      <c r="J328" s="15" t="s">
        <v>8</v>
      </c>
      <c r="S328" s="15" t="s">
        <v>8</v>
      </c>
      <c r="U328" s="20" t="str">
        <f>HYPERLINK("http://yeinfo.com/family/I09066136.html", "JOAN\JOHANNA RYCOTE &lt;2&gt; 1378 EN-1403 EN ID:09065962")</f>
        <v>JOAN\JOHANNA RYCOTE &lt;2&gt; 1378 EN-1403 EN ID:09065962</v>
      </c>
      <c r="V328" s="17"/>
      <c r="W328" s="17"/>
      <c r="X328" s="17"/>
      <c r="Y328" s="17"/>
      <c r="Z328" s="17"/>
    </row>
    <row r="329" spans="3:27" x14ac:dyDescent="0.35">
      <c r="C329" s="15" t="s">
        <v>8</v>
      </c>
      <c r="D329" s="15" t="s">
        <v>8</v>
      </c>
      <c r="H329" s="15" t="s">
        <v>8</v>
      </c>
      <c r="J329" s="15" t="s">
        <v>8</v>
      </c>
      <c r="S329" s="15" t="s">
        <v>8</v>
      </c>
      <c r="V329" s="8" t="s">
        <v>6</v>
      </c>
    </row>
    <row r="330" spans="3:27" x14ac:dyDescent="0.35">
      <c r="C330" s="15" t="s">
        <v>8</v>
      </c>
      <c r="D330" s="15" t="s">
        <v>8</v>
      </c>
      <c r="H330" s="15" t="s">
        <v>8</v>
      </c>
      <c r="J330" s="15" t="s">
        <v>8</v>
      </c>
      <c r="S330" s="15" t="s">
        <v>8</v>
      </c>
      <c r="V330" s="20" t="str">
        <f>HYPERLINK("http://yeinfo.com/family/I09066137.html", "KATHERINE CLARKE &lt;2&gt; 1350 EN-1378 EN ID:09066138")</f>
        <v>KATHERINE CLARKE &lt;2&gt; 1350 EN-1378 EN ID:09066138</v>
      </c>
      <c r="W330" s="17"/>
      <c r="X330" s="17"/>
      <c r="Y330" s="17"/>
      <c r="Z330" s="17"/>
    </row>
    <row r="331" spans="3:27" x14ac:dyDescent="0.35">
      <c r="C331" s="15" t="s">
        <v>8</v>
      </c>
      <c r="D331" s="15" t="s">
        <v>8</v>
      </c>
      <c r="H331" s="15" t="s">
        <v>8</v>
      </c>
      <c r="J331" s="15" t="s">
        <v>8</v>
      </c>
      <c r="S331" s="15" t="s">
        <v>8</v>
      </c>
    </row>
    <row r="332" spans="3:27" x14ac:dyDescent="0.35">
      <c r="C332" s="15" t="s">
        <v>8</v>
      </c>
      <c r="D332" s="15" t="s">
        <v>8</v>
      </c>
      <c r="H332" s="15" t="s">
        <v>8</v>
      </c>
      <c r="J332" s="15" t="s">
        <v>8</v>
      </c>
      <c r="R332" s="19" t="str">
        <f>HYPERLINK("http://yeinfo.com/family/I09041344.html", "RICHARD FOWLER &lt;2&gt; 1466 EN-1504 EN ID:09065545")</f>
        <v>RICHARD FOWLER &lt;2&gt; 1466 EN-1504 EN ID:09065545</v>
      </c>
      <c r="S332" s="9"/>
      <c r="T332" s="9"/>
      <c r="U332" s="9"/>
      <c r="V332" s="9"/>
    </row>
    <row r="333" spans="3:27" x14ac:dyDescent="0.35">
      <c r="C333" s="15" t="s">
        <v>8</v>
      </c>
      <c r="D333" s="15" t="s">
        <v>8</v>
      </c>
      <c r="H333" s="15" t="s">
        <v>8</v>
      </c>
      <c r="J333" s="15" t="s">
        <v>8</v>
      </c>
      <c r="R333" s="8" t="s">
        <v>3</v>
      </c>
      <c r="S333" s="15" t="s">
        <v>8</v>
      </c>
    </row>
    <row r="334" spans="3:27" x14ac:dyDescent="0.35">
      <c r="C334" s="15" t="s">
        <v>8</v>
      </c>
      <c r="D334" s="15" t="s">
        <v>8</v>
      </c>
      <c r="H334" s="15" t="s">
        <v>8</v>
      </c>
      <c r="J334" s="15" t="s">
        <v>8</v>
      </c>
      <c r="R334" s="15" t="s">
        <v>8</v>
      </c>
      <c r="S334" s="15" t="s">
        <v>8</v>
      </c>
      <c r="W334" s="19" t="str">
        <f>HYPERLINK("http://yeinfo.com/family/I09066139.html", "SIMON DANVERS &lt;3&gt; 1256 EN-1331 EN ID:09066319")</f>
        <v>SIMON DANVERS &lt;3&gt; 1256 EN-1331 EN ID:09066319</v>
      </c>
      <c r="X334" s="9"/>
      <c r="Y334" s="9"/>
      <c r="Z334" s="9"/>
      <c r="AA334" s="9"/>
    </row>
    <row r="335" spans="3:27" x14ac:dyDescent="0.35">
      <c r="C335" s="15" t="s">
        <v>8</v>
      </c>
      <c r="D335" s="15" t="s">
        <v>8</v>
      </c>
      <c r="H335" s="15" t="s">
        <v>8</v>
      </c>
      <c r="J335" s="15" t="s">
        <v>8</v>
      </c>
      <c r="R335" s="15" t="s">
        <v>8</v>
      </c>
      <c r="S335" s="15" t="s">
        <v>8</v>
      </c>
      <c r="W335" s="8" t="s">
        <v>3</v>
      </c>
    </row>
    <row r="336" spans="3:27" x14ac:dyDescent="0.35">
      <c r="C336" s="15" t="s">
        <v>8</v>
      </c>
      <c r="D336" s="15" t="s">
        <v>8</v>
      </c>
      <c r="H336" s="15" t="s">
        <v>8</v>
      </c>
      <c r="J336" s="15" t="s">
        <v>8</v>
      </c>
      <c r="R336" s="15" t="s">
        <v>8</v>
      </c>
      <c r="S336" s="15" t="s">
        <v>8</v>
      </c>
      <c r="V336" s="19" t="str">
        <f>HYPERLINK("http://yeinfo.com/family/I09065963.html", "JOHN DANVERS &lt;3&gt; 1295 EN-1347 EN ID:09066139")</f>
        <v>JOHN DANVERS &lt;3&gt; 1295 EN-1347 EN ID:09066139</v>
      </c>
      <c r="W336" s="9"/>
      <c r="X336" s="9"/>
      <c r="Y336" s="9"/>
      <c r="Z336" s="9"/>
    </row>
    <row r="337" spans="3:27" x14ac:dyDescent="0.35">
      <c r="C337" s="15" t="s">
        <v>8</v>
      </c>
      <c r="D337" s="15" t="s">
        <v>8</v>
      </c>
      <c r="H337" s="15" t="s">
        <v>8</v>
      </c>
      <c r="J337" s="15" t="s">
        <v>8</v>
      </c>
      <c r="R337" s="15" t="s">
        <v>8</v>
      </c>
      <c r="S337" s="15" t="s">
        <v>8</v>
      </c>
      <c r="V337" s="8" t="s">
        <v>3</v>
      </c>
      <c r="W337" s="8" t="s">
        <v>6</v>
      </c>
    </row>
    <row r="338" spans="3:27" x14ac:dyDescent="0.35">
      <c r="C338" s="15" t="s">
        <v>8</v>
      </c>
      <c r="D338" s="15" t="s">
        <v>8</v>
      </c>
      <c r="H338" s="15" t="s">
        <v>8</v>
      </c>
      <c r="J338" s="15" t="s">
        <v>8</v>
      </c>
      <c r="R338" s="15" t="s">
        <v>8</v>
      </c>
      <c r="S338" s="15" t="s">
        <v>8</v>
      </c>
      <c r="V338" s="15" t="s">
        <v>8</v>
      </c>
      <c r="W338" s="20" t="str">
        <f>HYPERLINK("http://yeinfo.com/family/I09066319.html", "ALICE COOK &lt;3&gt; 1262 EN-1364 EN ID:09066320")</f>
        <v>ALICE COOK &lt;3&gt; 1262 EN-1364 EN ID:09066320</v>
      </c>
      <c r="X338" s="17"/>
      <c r="Y338" s="17"/>
      <c r="Z338" s="17"/>
      <c r="AA338" s="17"/>
    </row>
    <row r="339" spans="3:27" x14ac:dyDescent="0.35">
      <c r="C339" s="15" t="s">
        <v>8</v>
      </c>
      <c r="D339" s="15" t="s">
        <v>8</v>
      </c>
      <c r="H339" s="15" t="s">
        <v>8</v>
      </c>
      <c r="J339" s="15" t="s">
        <v>8</v>
      </c>
      <c r="R339" s="15" t="s">
        <v>8</v>
      </c>
      <c r="S339" s="15" t="s">
        <v>8</v>
      </c>
      <c r="V339" s="15" t="s">
        <v>8</v>
      </c>
    </row>
    <row r="340" spans="3:27" x14ac:dyDescent="0.35">
      <c r="C340" s="15" t="s">
        <v>8</v>
      </c>
      <c r="D340" s="15" t="s">
        <v>8</v>
      </c>
      <c r="H340" s="15" t="s">
        <v>8</v>
      </c>
      <c r="J340" s="15" t="s">
        <v>8</v>
      </c>
      <c r="R340" s="15" t="s">
        <v>8</v>
      </c>
      <c r="S340" s="15" t="s">
        <v>8</v>
      </c>
      <c r="U340" s="19" t="str">
        <f>HYPERLINK("http://yeinfo.com/family/I09065809.html", "RICHARD DANVERS &lt;3&gt; 1330 EN-1409 EN ID:09065963")</f>
        <v>RICHARD DANVERS &lt;3&gt; 1330 EN-1409 EN ID:09065963</v>
      </c>
      <c r="V340" s="9"/>
      <c r="W340" s="9"/>
      <c r="X340" s="9"/>
      <c r="Y340" s="9"/>
    </row>
    <row r="341" spans="3:27" x14ac:dyDescent="0.35">
      <c r="C341" s="15" t="s">
        <v>8</v>
      </c>
      <c r="D341" s="15" t="s">
        <v>8</v>
      </c>
      <c r="H341" s="15" t="s">
        <v>8</v>
      </c>
      <c r="J341" s="15" t="s">
        <v>8</v>
      </c>
      <c r="R341" s="15" t="s">
        <v>8</v>
      </c>
      <c r="S341" s="15" t="s">
        <v>8</v>
      </c>
      <c r="U341" s="8" t="s">
        <v>3</v>
      </c>
      <c r="V341" s="8" t="s">
        <v>6</v>
      </c>
    </row>
    <row r="342" spans="3:27" x14ac:dyDescent="0.35">
      <c r="C342" s="15" t="s">
        <v>8</v>
      </c>
      <c r="D342" s="15" t="s">
        <v>8</v>
      </c>
      <c r="H342" s="15" t="s">
        <v>8</v>
      </c>
      <c r="J342" s="15" t="s">
        <v>8</v>
      </c>
      <c r="R342" s="15" t="s">
        <v>8</v>
      </c>
      <c r="S342" s="15" t="s">
        <v>8</v>
      </c>
      <c r="U342" s="15" t="s">
        <v>8</v>
      </c>
      <c r="V342" s="20" t="str">
        <f>HYPERLINK("http://yeinfo.com/family/I09066320.html", "ISABEL LEE &lt;3&gt; 1310 EN-1330 EN ID:09066140")</f>
        <v>ISABEL LEE &lt;3&gt; 1310 EN-1330 EN ID:09066140</v>
      </c>
      <c r="W342" s="17"/>
      <c r="X342" s="17"/>
      <c r="Y342" s="17"/>
      <c r="Z342" s="17"/>
    </row>
    <row r="343" spans="3:27" x14ac:dyDescent="0.35">
      <c r="C343" s="15" t="s">
        <v>8</v>
      </c>
      <c r="D343" s="15" t="s">
        <v>8</v>
      </c>
      <c r="H343" s="15" t="s">
        <v>8</v>
      </c>
      <c r="J343" s="15" t="s">
        <v>8</v>
      </c>
      <c r="R343" s="15" t="s">
        <v>8</v>
      </c>
      <c r="S343" s="15" t="s">
        <v>8</v>
      </c>
      <c r="U343" s="15" t="s">
        <v>8</v>
      </c>
    </row>
    <row r="344" spans="3:27" x14ac:dyDescent="0.35">
      <c r="C344" s="15" t="s">
        <v>8</v>
      </c>
      <c r="D344" s="15" t="s">
        <v>8</v>
      </c>
      <c r="H344" s="15" t="s">
        <v>8</v>
      </c>
      <c r="J344" s="15" t="s">
        <v>8</v>
      </c>
      <c r="R344" s="15" t="s">
        <v>8</v>
      </c>
      <c r="S344" s="15" t="s">
        <v>8</v>
      </c>
      <c r="T344" s="19" t="str">
        <f>HYPERLINK("http://yeinfo.com/family/I09065683.html", "JOHN DANVERS &lt;3&gt; 1390 EN-1449 EN ID:09065809")</f>
        <v>JOHN DANVERS &lt;3&gt; 1390 EN-1449 EN ID:09065809</v>
      </c>
      <c r="U344" s="9"/>
      <c r="V344" s="9"/>
      <c r="W344" s="9"/>
      <c r="X344" s="9"/>
    </row>
    <row r="345" spans="3:27" x14ac:dyDescent="0.35">
      <c r="C345" s="15" t="s">
        <v>8</v>
      </c>
      <c r="D345" s="15" t="s">
        <v>8</v>
      </c>
      <c r="H345" s="15" t="s">
        <v>8</v>
      </c>
      <c r="J345" s="15" t="s">
        <v>8</v>
      </c>
      <c r="R345" s="15" t="s">
        <v>8</v>
      </c>
      <c r="S345" s="15" t="s">
        <v>8</v>
      </c>
      <c r="T345" s="8" t="s">
        <v>3</v>
      </c>
      <c r="U345" s="15" t="s">
        <v>8</v>
      </c>
    </row>
    <row r="346" spans="3:27" x14ac:dyDescent="0.35">
      <c r="C346" s="15" t="s">
        <v>8</v>
      </c>
      <c r="D346" s="15" t="s">
        <v>8</v>
      </c>
      <c r="H346" s="15" t="s">
        <v>8</v>
      </c>
      <c r="J346" s="15" t="s">
        <v>8</v>
      </c>
      <c r="R346" s="15" t="s">
        <v>8</v>
      </c>
      <c r="S346" s="15" t="s">
        <v>8</v>
      </c>
      <c r="T346" s="15" t="s">
        <v>8</v>
      </c>
      <c r="U346" s="15" t="s">
        <v>8</v>
      </c>
      <c r="V346" s="19" t="str">
        <f>HYPERLINK("http://yeinfo.com/family/I09065964.html", "JOHN\RICHARD BRANCESTRE &lt;3&gt; 1340 EN-1392 EN ID:09066141")</f>
        <v>JOHN\RICHARD BRANCESTRE &lt;3&gt; 1340 EN-1392 EN ID:09066141</v>
      </c>
      <c r="W346" s="9"/>
      <c r="X346" s="9"/>
      <c r="Y346" s="9"/>
      <c r="Z346" s="9"/>
      <c r="AA346" s="9"/>
    </row>
    <row r="347" spans="3:27" x14ac:dyDescent="0.35">
      <c r="C347" s="15" t="s">
        <v>8</v>
      </c>
      <c r="D347" s="15" t="s">
        <v>8</v>
      </c>
      <c r="H347" s="15" t="s">
        <v>8</v>
      </c>
      <c r="J347" s="15" t="s">
        <v>8</v>
      </c>
      <c r="R347" s="15" t="s">
        <v>8</v>
      </c>
      <c r="S347" s="15" t="s">
        <v>8</v>
      </c>
      <c r="T347" s="15" t="s">
        <v>8</v>
      </c>
      <c r="U347" s="8" t="s">
        <v>6</v>
      </c>
      <c r="V347" s="8" t="s">
        <v>3</v>
      </c>
    </row>
    <row r="348" spans="3:27" x14ac:dyDescent="0.35">
      <c r="C348" s="15" t="s">
        <v>8</v>
      </c>
      <c r="D348" s="15" t="s">
        <v>8</v>
      </c>
      <c r="H348" s="15" t="s">
        <v>8</v>
      </c>
      <c r="J348" s="15" t="s">
        <v>8</v>
      </c>
      <c r="R348" s="15" t="s">
        <v>8</v>
      </c>
      <c r="S348" s="15" t="s">
        <v>8</v>
      </c>
      <c r="T348" s="15" t="s">
        <v>8</v>
      </c>
      <c r="U348" s="20" t="str">
        <f>HYPERLINK("http://yeinfo.com/family/I09066140.html", "AGNES BRANCESTRE &lt;3&gt; 1365 EN-1394 EN ID:09065964")</f>
        <v>AGNES BRANCESTRE &lt;3&gt; 1365 EN-1394 EN ID:09065964</v>
      </c>
      <c r="V348" s="17"/>
      <c r="W348" s="17"/>
      <c r="X348" s="17"/>
      <c r="Y348" s="17"/>
    </row>
    <row r="349" spans="3:27" x14ac:dyDescent="0.35">
      <c r="C349" s="15" t="s">
        <v>8</v>
      </c>
      <c r="D349" s="15" t="s">
        <v>8</v>
      </c>
      <c r="H349" s="15" t="s">
        <v>8</v>
      </c>
      <c r="J349" s="15" t="s">
        <v>8</v>
      </c>
      <c r="R349" s="15" t="s">
        <v>8</v>
      </c>
      <c r="S349" s="15" t="s">
        <v>8</v>
      </c>
      <c r="T349" s="15" t="s">
        <v>8</v>
      </c>
      <c r="V349" s="8" t="s">
        <v>6</v>
      </c>
    </row>
    <row r="350" spans="3:27" x14ac:dyDescent="0.35">
      <c r="C350" s="15" t="s">
        <v>8</v>
      </c>
      <c r="D350" s="15" t="s">
        <v>8</v>
      </c>
      <c r="H350" s="15" t="s">
        <v>8</v>
      </c>
      <c r="J350" s="15" t="s">
        <v>8</v>
      </c>
      <c r="R350" s="15" t="s">
        <v>8</v>
      </c>
      <c r="S350" s="15" t="s">
        <v>8</v>
      </c>
      <c r="T350" s="15" t="s">
        <v>8</v>
      </c>
      <c r="V350" s="20" t="str">
        <f>HYPERLINK("http://yeinfo.com/family/I09066141.html", "MARGARET\AGNES MILE &lt;3&gt; 1330 EN-1374 EN ID:09066142")</f>
        <v>MARGARET\AGNES MILE &lt;3&gt; 1330 EN-1374 EN ID:09066142</v>
      </c>
      <c r="W350" s="17"/>
      <c r="X350" s="17"/>
      <c r="Y350" s="17"/>
      <c r="Z350" s="17"/>
      <c r="AA350" s="17"/>
    </row>
    <row r="351" spans="3:27" x14ac:dyDescent="0.35">
      <c r="C351" s="15" t="s">
        <v>8</v>
      </c>
      <c r="D351" s="15" t="s">
        <v>8</v>
      </c>
      <c r="H351" s="15" t="s">
        <v>8</v>
      </c>
      <c r="J351" s="15" t="s">
        <v>8</v>
      </c>
      <c r="R351" s="15" t="s">
        <v>8</v>
      </c>
      <c r="S351" s="8" t="s">
        <v>6</v>
      </c>
      <c r="T351" s="15" t="s">
        <v>8</v>
      </c>
    </row>
    <row r="352" spans="3:27" x14ac:dyDescent="0.35">
      <c r="C352" s="15" t="s">
        <v>8</v>
      </c>
      <c r="D352" s="15" t="s">
        <v>8</v>
      </c>
      <c r="H352" s="15" t="s">
        <v>8</v>
      </c>
      <c r="J352" s="15" t="s">
        <v>8</v>
      </c>
      <c r="R352" s="15" t="s">
        <v>8</v>
      </c>
      <c r="S352" s="20" t="str">
        <f>HYPERLINK("http://yeinfo.com/family/I09066138.html", "JOAN DANVERS &lt;2&gt; 1422 EN-1505 EN ID:09065683")</f>
        <v>JOAN DANVERS &lt;2&gt; 1422 EN-1505 EN ID:09065683</v>
      </c>
      <c r="T352" s="17"/>
      <c r="U352" s="17"/>
      <c r="V352" s="17"/>
      <c r="W352" s="17"/>
    </row>
    <row r="353" spans="3:27" x14ac:dyDescent="0.35">
      <c r="C353" s="15" t="s">
        <v>8</v>
      </c>
      <c r="D353" s="15" t="s">
        <v>8</v>
      </c>
      <c r="H353" s="15" t="s">
        <v>8</v>
      </c>
      <c r="J353" s="15" t="s">
        <v>8</v>
      </c>
      <c r="R353" s="15" t="s">
        <v>8</v>
      </c>
      <c r="T353" s="15" t="s">
        <v>8</v>
      </c>
    </row>
    <row r="354" spans="3:27" x14ac:dyDescent="0.35">
      <c r="C354" s="15" t="s">
        <v>8</v>
      </c>
      <c r="D354" s="15" t="s">
        <v>8</v>
      </c>
      <c r="H354" s="15" t="s">
        <v>8</v>
      </c>
      <c r="J354" s="15" t="s">
        <v>8</v>
      </c>
      <c r="R354" s="15" t="s">
        <v>8</v>
      </c>
      <c r="T354" s="15" t="s">
        <v>8</v>
      </c>
      <c r="V354" s="19" t="str">
        <f>HYPERLINK("http://yeinfo.com/family/I09065965.html", "WILLIAM BRULEY &lt;2&gt; 1348 EN-1436 EN ID:09066143")</f>
        <v>WILLIAM BRULEY &lt;2&gt; 1348 EN-1436 EN ID:09066143</v>
      </c>
      <c r="W354" s="9"/>
      <c r="X354" s="9"/>
      <c r="Y354" s="9"/>
      <c r="Z354" s="9"/>
    </row>
    <row r="355" spans="3:27" x14ac:dyDescent="0.35">
      <c r="C355" s="15" t="s">
        <v>8</v>
      </c>
      <c r="D355" s="15" t="s">
        <v>8</v>
      </c>
      <c r="H355" s="15" t="s">
        <v>8</v>
      </c>
      <c r="J355" s="15" t="s">
        <v>8</v>
      </c>
      <c r="R355" s="15" t="s">
        <v>8</v>
      </c>
      <c r="T355" s="15" t="s">
        <v>8</v>
      </c>
      <c r="V355" s="8" t="s">
        <v>3</v>
      </c>
    </row>
    <row r="356" spans="3:27" x14ac:dyDescent="0.35">
      <c r="C356" s="15" t="s">
        <v>8</v>
      </c>
      <c r="D356" s="15" t="s">
        <v>8</v>
      </c>
      <c r="H356" s="15" t="s">
        <v>8</v>
      </c>
      <c r="J356" s="15" t="s">
        <v>8</v>
      </c>
      <c r="R356" s="15" t="s">
        <v>8</v>
      </c>
      <c r="T356" s="15" t="s">
        <v>8</v>
      </c>
      <c r="U356" s="19" t="str">
        <f>HYPERLINK("http://yeinfo.com/family/I09065810.html", "JOHN BRULEY &lt;2&gt; 1375 EN-1403 EN ID:09065965")</f>
        <v>JOHN BRULEY &lt;2&gt; 1375 EN-1403 EN ID:09065965</v>
      </c>
      <c r="V356" s="9"/>
      <c r="W356" s="9"/>
      <c r="X356" s="9"/>
      <c r="Y356" s="9"/>
    </row>
    <row r="357" spans="3:27" x14ac:dyDescent="0.35">
      <c r="C357" s="15" t="s">
        <v>8</v>
      </c>
      <c r="D357" s="15" t="s">
        <v>8</v>
      </c>
      <c r="H357" s="15" t="s">
        <v>8</v>
      </c>
      <c r="J357" s="15" t="s">
        <v>8</v>
      </c>
      <c r="R357" s="15" t="s">
        <v>8</v>
      </c>
      <c r="T357" s="15" t="s">
        <v>8</v>
      </c>
      <c r="U357" s="8" t="s">
        <v>3</v>
      </c>
      <c r="V357" s="8" t="s">
        <v>6</v>
      </c>
    </row>
    <row r="358" spans="3:27" x14ac:dyDescent="0.35">
      <c r="C358" s="15" t="s">
        <v>8</v>
      </c>
      <c r="D358" s="15" t="s">
        <v>8</v>
      </c>
      <c r="H358" s="15" t="s">
        <v>8</v>
      </c>
      <c r="J358" s="15" t="s">
        <v>8</v>
      </c>
      <c r="R358" s="15" t="s">
        <v>8</v>
      </c>
      <c r="T358" s="15" t="s">
        <v>8</v>
      </c>
      <c r="U358" s="15" t="s">
        <v>8</v>
      </c>
      <c r="V358" s="20" t="str">
        <f>HYPERLINK("http://yeinfo.com/family/I09066143.html", "Mrs. AGNES BRULEY &lt;2&gt; 1350 EN-1383 EN ID:09066144")</f>
        <v>Mrs. AGNES BRULEY &lt;2&gt; 1350 EN-1383 EN ID:09066144</v>
      </c>
      <c r="W358" s="17"/>
      <c r="X358" s="17"/>
      <c r="Y358" s="17"/>
      <c r="Z358" s="17"/>
    </row>
    <row r="359" spans="3:27" x14ac:dyDescent="0.35">
      <c r="C359" s="15" t="s">
        <v>8</v>
      </c>
      <c r="D359" s="15" t="s">
        <v>8</v>
      </c>
      <c r="H359" s="15" t="s">
        <v>8</v>
      </c>
      <c r="J359" s="15" t="s">
        <v>8</v>
      </c>
      <c r="R359" s="15" t="s">
        <v>8</v>
      </c>
      <c r="T359" s="8" t="s">
        <v>6</v>
      </c>
      <c r="U359" s="15" t="s">
        <v>8</v>
      </c>
    </row>
    <row r="360" spans="3:27" x14ac:dyDescent="0.35">
      <c r="C360" s="15" t="s">
        <v>8</v>
      </c>
      <c r="D360" s="15" t="s">
        <v>8</v>
      </c>
      <c r="H360" s="15" t="s">
        <v>8</v>
      </c>
      <c r="J360" s="15" t="s">
        <v>8</v>
      </c>
      <c r="R360" s="15" t="s">
        <v>8</v>
      </c>
      <c r="T360" s="20" t="str">
        <f>HYPERLINK("http://yeinfo.com/family/I09066142.html", "JOAN\JOANE BRULEY &lt;2&gt; 1396 EN-1422 EN ID:09065810")</f>
        <v>JOAN\JOANE BRULEY &lt;2&gt; 1396 EN-1422 EN ID:09065810</v>
      </c>
      <c r="U360" s="17"/>
      <c r="V360" s="17"/>
      <c r="W360" s="17"/>
      <c r="X360" s="17"/>
      <c r="Y360" s="17"/>
    </row>
    <row r="361" spans="3:27" x14ac:dyDescent="0.35">
      <c r="C361" s="15" t="s">
        <v>8</v>
      </c>
      <c r="D361" s="15" t="s">
        <v>8</v>
      </c>
      <c r="H361" s="15" t="s">
        <v>8</v>
      </c>
      <c r="J361" s="15" t="s">
        <v>8</v>
      </c>
      <c r="R361" s="15" t="s">
        <v>8</v>
      </c>
      <c r="U361" s="15" t="s">
        <v>8</v>
      </c>
    </row>
    <row r="362" spans="3:27" x14ac:dyDescent="0.35">
      <c r="C362" s="15" t="s">
        <v>8</v>
      </c>
      <c r="D362" s="15" t="s">
        <v>8</v>
      </c>
      <c r="H362" s="15" t="s">
        <v>8</v>
      </c>
      <c r="J362" s="15" t="s">
        <v>8</v>
      </c>
      <c r="R362" s="15" t="s">
        <v>8</v>
      </c>
      <c r="U362" s="15" t="s">
        <v>8</v>
      </c>
      <c r="W362" s="19" t="str">
        <f>HYPERLINK("http://yeinfo.com/family/I09066145.html", "THOMAS QUARTERMAIN Sr. &lt;2&gt; 1313 EN-1399 EN ID:09066432")</f>
        <v>THOMAS QUARTERMAIN Sr. &lt;2&gt; 1313 EN-1399 EN ID:09066432</v>
      </c>
      <c r="X362" s="9"/>
      <c r="Y362" s="9"/>
      <c r="Z362" s="9"/>
      <c r="AA362" s="9"/>
    </row>
    <row r="363" spans="3:27" x14ac:dyDescent="0.35">
      <c r="C363" s="15" t="s">
        <v>8</v>
      </c>
      <c r="D363" s="15" t="s">
        <v>8</v>
      </c>
      <c r="H363" s="15" t="s">
        <v>8</v>
      </c>
      <c r="J363" s="15" t="s">
        <v>8</v>
      </c>
      <c r="R363" s="15" t="s">
        <v>8</v>
      </c>
      <c r="U363" s="15" t="s">
        <v>8</v>
      </c>
      <c r="W363" s="8" t="s">
        <v>3</v>
      </c>
    </row>
    <row r="364" spans="3:27" x14ac:dyDescent="0.35">
      <c r="C364" s="15" t="s">
        <v>8</v>
      </c>
      <c r="D364" s="15" t="s">
        <v>8</v>
      </c>
      <c r="H364" s="15" t="s">
        <v>8</v>
      </c>
      <c r="J364" s="15" t="s">
        <v>8</v>
      </c>
      <c r="R364" s="15" t="s">
        <v>8</v>
      </c>
      <c r="U364" s="15" t="s">
        <v>8</v>
      </c>
      <c r="V364" s="19" t="str">
        <f>HYPERLINK("http://yeinfo.com/family/I09065966.html", "THOMAS QUARTERMAIN Jr. &lt;2&gt; 1338 EN-1398 EN ID:09066145")</f>
        <v>THOMAS QUARTERMAIN Jr. &lt;2&gt; 1338 EN-1398 EN ID:09066145</v>
      </c>
      <c r="W364" s="9"/>
      <c r="X364" s="9"/>
      <c r="Y364" s="9"/>
      <c r="Z364" s="9"/>
    </row>
    <row r="365" spans="3:27" x14ac:dyDescent="0.35">
      <c r="C365" s="15" t="s">
        <v>8</v>
      </c>
      <c r="D365" s="15" t="s">
        <v>8</v>
      </c>
      <c r="H365" s="15" t="s">
        <v>8</v>
      </c>
      <c r="J365" s="15" t="s">
        <v>8</v>
      </c>
      <c r="R365" s="15" t="s">
        <v>8</v>
      </c>
      <c r="U365" s="15" t="s">
        <v>8</v>
      </c>
      <c r="V365" s="8" t="s">
        <v>3</v>
      </c>
      <c r="W365" s="8" t="s">
        <v>6</v>
      </c>
    </row>
    <row r="366" spans="3:27" x14ac:dyDescent="0.35">
      <c r="C366" s="15" t="s">
        <v>8</v>
      </c>
      <c r="D366" s="15" t="s">
        <v>8</v>
      </c>
      <c r="H366" s="15" t="s">
        <v>8</v>
      </c>
      <c r="J366" s="15" t="s">
        <v>8</v>
      </c>
      <c r="R366" s="15" t="s">
        <v>8</v>
      </c>
      <c r="U366" s="15" t="s">
        <v>8</v>
      </c>
      <c r="V366" s="15" t="s">
        <v>8</v>
      </c>
      <c r="W366" s="20" t="str">
        <f>HYPERLINK("http://yeinfo.com/family/I09066432.html", "CATHERINE BRETTON &lt;2&gt; 1317 EN-1342 EN ID:09066435")</f>
        <v>CATHERINE BRETTON &lt;2&gt; 1317 EN-1342 EN ID:09066435</v>
      </c>
      <c r="X366" s="17"/>
      <c r="Y366" s="17"/>
      <c r="Z366" s="17"/>
      <c r="AA366" s="17"/>
    </row>
    <row r="367" spans="3:27" x14ac:dyDescent="0.35">
      <c r="C367" s="15" t="s">
        <v>8</v>
      </c>
      <c r="D367" s="15" t="s">
        <v>8</v>
      </c>
      <c r="H367" s="15" t="s">
        <v>8</v>
      </c>
      <c r="J367" s="15" t="s">
        <v>8</v>
      </c>
      <c r="R367" s="15" t="s">
        <v>8</v>
      </c>
      <c r="U367" s="8" t="s">
        <v>6</v>
      </c>
      <c r="V367" s="15" t="s">
        <v>8</v>
      </c>
    </row>
    <row r="368" spans="3:27" x14ac:dyDescent="0.35">
      <c r="C368" s="15" t="s">
        <v>8</v>
      </c>
      <c r="D368" s="15" t="s">
        <v>8</v>
      </c>
      <c r="H368" s="15" t="s">
        <v>8</v>
      </c>
      <c r="J368" s="15" t="s">
        <v>8</v>
      </c>
      <c r="R368" s="15" t="s">
        <v>8</v>
      </c>
      <c r="U368" s="20" t="str">
        <f>HYPERLINK("http://yeinfo.com/family/I09066144.html", "MAUD MATILDA QUARTERMAIN &lt;2&gt; 1378 EN-1410 EN ID:09065966")</f>
        <v>MAUD MATILDA QUARTERMAIN &lt;2&gt; 1378 EN-1410 EN ID:09065966</v>
      </c>
      <c r="V368" s="17"/>
      <c r="W368" s="17"/>
      <c r="X368" s="17"/>
      <c r="Y368" s="17"/>
    </row>
    <row r="369" spans="3:27" x14ac:dyDescent="0.35">
      <c r="C369" s="15" t="s">
        <v>8</v>
      </c>
      <c r="D369" s="15" t="s">
        <v>8</v>
      </c>
      <c r="H369" s="15" t="s">
        <v>8</v>
      </c>
      <c r="J369" s="15" t="s">
        <v>8</v>
      </c>
      <c r="R369" s="15" t="s">
        <v>8</v>
      </c>
      <c r="V369" s="8" t="s">
        <v>6</v>
      </c>
    </row>
    <row r="370" spans="3:27" x14ac:dyDescent="0.35">
      <c r="C370" s="15" t="s">
        <v>8</v>
      </c>
      <c r="D370" s="15" t="s">
        <v>8</v>
      </c>
      <c r="H370" s="15" t="s">
        <v>8</v>
      </c>
      <c r="J370" s="15" t="s">
        <v>8</v>
      </c>
      <c r="R370" s="15" t="s">
        <v>8</v>
      </c>
      <c r="V370" s="20" t="str">
        <f>HYPERLINK("http://yeinfo.com/family/I09066435.html", "JOAN RUSSELL &lt;2&gt; 1340 EN-1399 EN ID:09066146")</f>
        <v>JOAN RUSSELL &lt;2&gt; 1340 EN-1399 EN ID:09066146</v>
      </c>
      <c r="W370" s="17"/>
      <c r="X370" s="17"/>
      <c r="Y370" s="17"/>
      <c r="Z370" s="17"/>
    </row>
    <row r="371" spans="3:27" x14ac:dyDescent="0.35">
      <c r="C371" s="15" t="s">
        <v>8</v>
      </c>
      <c r="D371" s="15" t="s">
        <v>8</v>
      </c>
      <c r="H371" s="15" t="s">
        <v>8</v>
      </c>
      <c r="J371" s="15" t="s">
        <v>8</v>
      </c>
      <c r="R371" s="15" t="s">
        <v>8</v>
      </c>
    </row>
    <row r="372" spans="3:27" x14ac:dyDescent="0.35">
      <c r="C372" s="15" t="s">
        <v>8</v>
      </c>
      <c r="D372" s="15" t="s">
        <v>8</v>
      </c>
      <c r="H372" s="15" t="s">
        <v>8</v>
      </c>
      <c r="J372" s="15" t="s">
        <v>8</v>
      </c>
      <c r="Q372" s="19" t="str">
        <f>HYPERLINK("http://yeinfo.com/family/I09020672.html", "ANTHONY FOWLER &lt;2&gt; 1504 EN-1530 EN ID:09041344")</f>
        <v>ANTHONY FOWLER &lt;2&gt; 1504 EN-1530 EN ID:09041344</v>
      </c>
      <c r="R372" s="9"/>
      <c r="S372" s="9"/>
      <c r="T372" s="9"/>
      <c r="U372" s="9"/>
    </row>
    <row r="373" spans="3:27" x14ac:dyDescent="0.35">
      <c r="C373" s="15" t="s">
        <v>8</v>
      </c>
      <c r="D373" s="15" t="s">
        <v>8</v>
      </c>
      <c r="H373" s="15" t="s">
        <v>8</v>
      </c>
      <c r="J373" s="15" t="s">
        <v>8</v>
      </c>
      <c r="Q373" s="8" t="s">
        <v>3</v>
      </c>
      <c r="R373" s="15" t="s">
        <v>8</v>
      </c>
    </row>
    <row r="374" spans="3:27" x14ac:dyDescent="0.35">
      <c r="C374" s="15" t="s">
        <v>8</v>
      </c>
      <c r="D374" s="15" t="s">
        <v>8</v>
      </c>
      <c r="H374" s="15" t="s">
        <v>8</v>
      </c>
      <c r="J374" s="15" t="s">
        <v>8</v>
      </c>
      <c r="Q374" s="15" t="s">
        <v>8</v>
      </c>
      <c r="R374" s="15" t="s">
        <v>8</v>
      </c>
      <c r="V374" s="19" t="str">
        <f>HYPERLINK("http://yeinfo.com/family/I09065967.html", "BRYAN WINDSOR &lt;2&gt; 1371 EN-1399 EN ID:09066147")</f>
        <v>BRYAN WINDSOR &lt;2&gt; 1371 EN-1399 EN ID:09066147</v>
      </c>
      <c r="W374" s="9"/>
      <c r="X374" s="9"/>
      <c r="Y374" s="9"/>
      <c r="Z374" s="9"/>
    </row>
    <row r="375" spans="3:27" x14ac:dyDescent="0.35">
      <c r="C375" s="15" t="s">
        <v>8</v>
      </c>
      <c r="D375" s="15" t="s">
        <v>8</v>
      </c>
      <c r="H375" s="15" t="s">
        <v>8</v>
      </c>
      <c r="J375" s="15" t="s">
        <v>8</v>
      </c>
      <c r="Q375" s="15" t="s">
        <v>8</v>
      </c>
      <c r="R375" s="15" t="s">
        <v>8</v>
      </c>
      <c r="V375" s="8" t="s">
        <v>3</v>
      </c>
    </row>
    <row r="376" spans="3:27" x14ac:dyDescent="0.35">
      <c r="C376" s="15" t="s">
        <v>8</v>
      </c>
      <c r="D376" s="15" t="s">
        <v>8</v>
      </c>
      <c r="H376" s="15" t="s">
        <v>8</v>
      </c>
      <c r="J376" s="15" t="s">
        <v>8</v>
      </c>
      <c r="Q376" s="15" t="s">
        <v>8</v>
      </c>
      <c r="R376" s="15" t="s">
        <v>8</v>
      </c>
      <c r="U376" s="19" t="str">
        <f>HYPERLINK("http://yeinfo.com/family/I09065811.html", "RICHARD WINDSOR &lt;2&gt; 1380 EN-1428 EN ID:09065967")</f>
        <v>RICHARD WINDSOR &lt;2&gt; 1380 EN-1428 EN ID:09065967</v>
      </c>
      <c r="V376" s="9"/>
      <c r="W376" s="9"/>
      <c r="X376" s="9"/>
      <c r="Y376" s="9"/>
    </row>
    <row r="377" spans="3:27" x14ac:dyDescent="0.35">
      <c r="C377" s="15" t="s">
        <v>8</v>
      </c>
      <c r="D377" s="15" t="s">
        <v>8</v>
      </c>
      <c r="H377" s="15" t="s">
        <v>8</v>
      </c>
      <c r="J377" s="15" t="s">
        <v>8</v>
      </c>
      <c r="Q377" s="15" t="s">
        <v>8</v>
      </c>
      <c r="R377" s="15" t="s">
        <v>8</v>
      </c>
      <c r="U377" s="8" t="s">
        <v>3</v>
      </c>
      <c r="V377" s="8" t="s">
        <v>6</v>
      </c>
    </row>
    <row r="378" spans="3:27" x14ac:dyDescent="0.35">
      <c r="C378" s="15" t="s">
        <v>8</v>
      </c>
      <c r="D378" s="15" t="s">
        <v>8</v>
      </c>
      <c r="H378" s="15" t="s">
        <v>8</v>
      </c>
      <c r="J378" s="15" t="s">
        <v>8</v>
      </c>
      <c r="Q378" s="15" t="s">
        <v>8</v>
      </c>
      <c r="R378" s="15" t="s">
        <v>8</v>
      </c>
      <c r="U378" s="15" t="s">
        <v>8</v>
      </c>
      <c r="V378" s="20" t="str">
        <f>HYPERLINK("http://yeinfo.com/family/I09066147.html", "ALICE DREW &lt;2&gt; 1378 EN-1405 EN ID:09066148")</f>
        <v>ALICE DREW &lt;2&gt; 1378 EN-1405 EN ID:09066148</v>
      </c>
      <c r="W378" s="17"/>
      <c r="X378" s="17"/>
      <c r="Y378" s="17"/>
      <c r="Z378" s="17"/>
    </row>
    <row r="379" spans="3:27" x14ac:dyDescent="0.35">
      <c r="C379" s="15" t="s">
        <v>8</v>
      </c>
      <c r="D379" s="15" t="s">
        <v>8</v>
      </c>
      <c r="H379" s="15" t="s">
        <v>8</v>
      </c>
      <c r="J379" s="15" t="s">
        <v>8</v>
      </c>
      <c r="Q379" s="15" t="s">
        <v>8</v>
      </c>
      <c r="R379" s="15" t="s">
        <v>8</v>
      </c>
      <c r="U379" s="15" t="s">
        <v>8</v>
      </c>
    </row>
    <row r="380" spans="3:27" x14ac:dyDescent="0.35">
      <c r="C380" s="15" t="s">
        <v>8</v>
      </c>
      <c r="D380" s="15" t="s">
        <v>8</v>
      </c>
      <c r="H380" s="15" t="s">
        <v>8</v>
      </c>
      <c r="J380" s="15" t="s">
        <v>8</v>
      </c>
      <c r="Q380" s="15" t="s">
        <v>8</v>
      </c>
      <c r="R380" s="15" t="s">
        <v>8</v>
      </c>
      <c r="T380" s="19" t="str">
        <f>HYPERLINK("http://yeinfo.com/family/I09065684.html", "MILES WINDSOR &lt;2&gt; 1399 EN-1451 IT ID:09065811")</f>
        <v>MILES WINDSOR &lt;2&gt; 1399 EN-1451 IT ID:09065811</v>
      </c>
      <c r="U380" s="9"/>
      <c r="V380" s="9"/>
      <c r="W380" s="9"/>
      <c r="X380" s="9"/>
    </row>
    <row r="381" spans="3:27" x14ac:dyDescent="0.35">
      <c r="C381" s="15" t="s">
        <v>8</v>
      </c>
      <c r="D381" s="15" t="s">
        <v>8</v>
      </c>
      <c r="H381" s="15" t="s">
        <v>8</v>
      </c>
      <c r="J381" s="15" t="s">
        <v>8</v>
      </c>
      <c r="Q381" s="15" t="s">
        <v>8</v>
      </c>
      <c r="R381" s="15" t="s">
        <v>8</v>
      </c>
      <c r="T381" s="8" t="s">
        <v>3</v>
      </c>
      <c r="U381" s="15" t="s">
        <v>8</v>
      </c>
    </row>
    <row r="382" spans="3:27" x14ac:dyDescent="0.35">
      <c r="C382" s="15" t="s">
        <v>8</v>
      </c>
      <c r="D382" s="15" t="s">
        <v>8</v>
      </c>
      <c r="H382" s="15" t="s">
        <v>8</v>
      </c>
      <c r="J382" s="15" t="s">
        <v>8</v>
      </c>
      <c r="Q382" s="15" t="s">
        <v>8</v>
      </c>
      <c r="R382" s="15" t="s">
        <v>8</v>
      </c>
      <c r="T382" s="15" t="s">
        <v>8</v>
      </c>
      <c r="U382" s="15" t="s">
        <v>8</v>
      </c>
      <c r="W382" s="19" t="str">
        <f>HYPERLINK("http://yeinfo.com/family/I09066149.html", "RICHARD FAULKNER Sr. &lt;2&gt; 1334 EN-1401 EN ID:09066452")</f>
        <v>RICHARD FAULKNER Sr. &lt;2&gt; 1334 EN-1401 EN ID:09066452</v>
      </c>
      <c r="X382" s="9"/>
      <c r="Y382" s="9"/>
      <c r="Z382" s="9"/>
      <c r="AA382" s="9"/>
    </row>
    <row r="383" spans="3:27" x14ac:dyDescent="0.35">
      <c r="C383" s="15" t="s">
        <v>8</v>
      </c>
      <c r="D383" s="15" t="s">
        <v>8</v>
      </c>
      <c r="H383" s="15" t="s">
        <v>8</v>
      </c>
      <c r="J383" s="15" t="s">
        <v>8</v>
      </c>
      <c r="Q383" s="15" t="s">
        <v>8</v>
      </c>
      <c r="R383" s="15" t="s">
        <v>8</v>
      </c>
      <c r="T383" s="15" t="s">
        <v>8</v>
      </c>
      <c r="U383" s="15" t="s">
        <v>8</v>
      </c>
      <c r="W383" s="8" t="s">
        <v>3</v>
      </c>
    </row>
    <row r="384" spans="3:27" x14ac:dyDescent="0.35">
      <c r="C384" s="15" t="s">
        <v>8</v>
      </c>
      <c r="D384" s="15" t="s">
        <v>8</v>
      </c>
      <c r="H384" s="15" t="s">
        <v>8</v>
      </c>
      <c r="J384" s="15" t="s">
        <v>8</v>
      </c>
      <c r="Q384" s="15" t="s">
        <v>8</v>
      </c>
      <c r="R384" s="15" t="s">
        <v>8</v>
      </c>
      <c r="T384" s="15" t="s">
        <v>8</v>
      </c>
      <c r="U384" s="15" t="s">
        <v>8</v>
      </c>
      <c r="V384" s="19" t="str">
        <f>HYPERLINK("http://yeinfo.com/family/I09065968.html", "RICHARD FAULKNER Jr. &lt;2&gt; 1354 EN-1401 EN ID:09066149")</f>
        <v>RICHARD FAULKNER Jr. &lt;2&gt; 1354 EN-1401 EN ID:09066149</v>
      </c>
      <c r="W384" s="9"/>
      <c r="X384" s="9"/>
      <c r="Y384" s="9"/>
      <c r="Z384" s="9"/>
    </row>
    <row r="385" spans="3:27" x14ac:dyDescent="0.35">
      <c r="C385" s="15" t="s">
        <v>8</v>
      </c>
      <c r="D385" s="15" t="s">
        <v>8</v>
      </c>
      <c r="H385" s="15" t="s">
        <v>8</v>
      </c>
      <c r="J385" s="15" t="s">
        <v>8</v>
      </c>
      <c r="Q385" s="15" t="s">
        <v>8</v>
      </c>
      <c r="R385" s="15" t="s">
        <v>8</v>
      </c>
      <c r="T385" s="15" t="s">
        <v>8</v>
      </c>
      <c r="U385" s="15" t="s">
        <v>8</v>
      </c>
      <c r="V385" s="8" t="s">
        <v>3</v>
      </c>
      <c r="W385" s="8" t="s">
        <v>6</v>
      </c>
    </row>
    <row r="386" spans="3:27" x14ac:dyDescent="0.35">
      <c r="C386" s="15" t="s">
        <v>8</v>
      </c>
      <c r="D386" s="15" t="s">
        <v>8</v>
      </c>
      <c r="H386" s="15" t="s">
        <v>8</v>
      </c>
      <c r="J386" s="15" t="s">
        <v>8</v>
      </c>
      <c r="Q386" s="15" t="s">
        <v>8</v>
      </c>
      <c r="R386" s="15" t="s">
        <v>8</v>
      </c>
      <c r="T386" s="15" t="s">
        <v>8</v>
      </c>
      <c r="U386" s="15" t="s">
        <v>8</v>
      </c>
      <c r="V386" s="15" t="s">
        <v>8</v>
      </c>
      <c r="W386" s="20" t="str">
        <f>HYPERLINK("http://yeinfo.com/family/I09066452.html", "Mrs. {_?_} FAULKNER &lt;2&gt; 1335 EN-1355 EN ID:09066451")</f>
        <v>Mrs. {_?_} FAULKNER &lt;2&gt; 1335 EN-1355 EN ID:09066451</v>
      </c>
      <c r="X386" s="17"/>
      <c r="Y386" s="17"/>
      <c r="Z386" s="17"/>
      <c r="AA386" s="17"/>
    </row>
    <row r="387" spans="3:27" x14ac:dyDescent="0.35">
      <c r="C387" s="15" t="s">
        <v>8</v>
      </c>
      <c r="D387" s="15" t="s">
        <v>8</v>
      </c>
      <c r="H387" s="15" t="s">
        <v>8</v>
      </c>
      <c r="J387" s="15" t="s">
        <v>8</v>
      </c>
      <c r="Q387" s="15" t="s">
        <v>8</v>
      </c>
      <c r="R387" s="15" t="s">
        <v>8</v>
      </c>
      <c r="T387" s="15" t="s">
        <v>8</v>
      </c>
      <c r="U387" s="8" t="s">
        <v>6</v>
      </c>
      <c r="V387" s="15" t="s">
        <v>8</v>
      </c>
    </row>
    <row r="388" spans="3:27" x14ac:dyDescent="0.35">
      <c r="C388" s="15" t="s">
        <v>8</v>
      </c>
      <c r="D388" s="15" t="s">
        <v>8</v>
      </c>
      <c r="H388" s="15" t="s">
        <v>8</v>
      </c>
      <c r="J388" s="15" t="s">
        <v>8</v>
      </c>
      <c r="Q388" s="15" t="s">
        <v>8</v>
      </c>
      <c r="R388" s="15" t="s">
        <v>8</v>
      </c>
      <c r="T388" s="15" t="s">
        <v>8</v>
      </c>
      <c r="U388" s="20" t="str">
        <f>HYPERLINK("http://yeinfo.com/family/I09066148.html", "CHRISTIAN FAULKNER &lt;2&gt; 1380 EN-1418 EN ID:09065968")</f>
        <v>CHRISTIAN FAULKNER &lt;2&gt; 1380 EN-1418 EN ID:09065968</v>
      </c>
      <c r="V388" s="17"/>
      <c r="W388" s="17"/>
      <c r="X388" s="17"/>
      <c r="Y388" s="17"/>
    </row>
    <row r="389" spans="3:27" x14ac:dyDescent="0.35">
      <c r="C389" s="15" t="s">
        <v>8</v>
      </c>
      <c r="D389" s="15" t="s">
        <v>8</v>
      </c>
      <c r="H389" s="15" t="s">
        <v>8</v>
      </c>
      <c r="J389" s="15" t="s">
        <v>8</v>
      </c>
      <c r="Q389" s="15" t="s">
        <v>8</v>
      </c>
      <c r="R389" s="15" t="s">
        <v>8</v>
      </c>
      <c r="T389" s="15" t="s">
        <v>8</v>
      </c>
      <c r="V389" s="8" t="s">
        <v>6</v>
      </c>
    </row>
    <row r="390" spans="3:27" x14ac:dyDescent="0.35">
      <c r="C390" s="15" t="s">
        <v>8</v>
      </c>
      <c r="D390" s="15" t="s">
        <v>8</v>
      </c>
      <c r="H390" s="15" t="s">
        <v>8</v>
      </c>
      <c r="J390" s="15" t="s">
        <v>8</v>
      </c>
      <c r="Q390" s="15" t="s">
        <v>8</v>
      </c>
      <c r="R390" s="15" t="s">
        <v>8</v>
      </c>
      <c r="T390" s="15" t="s">
        <v>8</v>
      </c>
      <c r="V390" s="20" t="str">
        <f>HYPERLINK("http://yeinfo.com/family/I09066451.html", "MARGARET BOULTON &lt;2&gt; 1360 EN-1400 EN ID:09066150")</f>
        <v>MARGARET BOULTON &lt;2&gt; 1360 EN-1400 EN ID:09066150</v>
      </c>
      <c r="W390" s="17"/>
      <c r="X390" s="17"/>
      <c r="Y390" s="17"/>
      <c r="Z390" s="17"/>
    </row>
    <row r="391" spans="3:27" x14ac:dyDescent="0.35">
      <c r="C391" s="15" t="s">
        <v>8</v>
      </c>
      <c r="D391" s="15" t="s">
        <v>8</v>
      </c>
      <c r="H391" s="15" t="s">
        <v>8</v>
      </c>
      <c r="J391" s="15" t="s">
        <v>8</v>
      </c>
      <c r="Q391" s="15" t="s">
        <v>8</v>
      </c>
      <c r="R391" s="15" t="s">
        <v>8</v>
      </c>
      <c r="T391" s="15" t="s">
        <v>8</v>
      </c>
    </row>
    <row r="392" spans="3:27" x14ac:dyDescent="0.35">
      <c r="C392" s="15" t="s">
        <v>8</v>
      </c>
      <c r="D392" s="15" t="s">
        <v>8</v>
      </c>
      <c r="H392" s="15" t="s">
        <v>8</v>
      </c>
      <c r="J392" s="15" t="s">
        <v>8</v>
      </c>
      <c r="Q392" s="15" t="s">
        <v>8</v>
      </c>
      <c r="R392" s="15" t="s">
        <v>8</v>
      </c>
      <c r="S392" s="19" t="str">
        <f>HYPERLINK("http://yeinfo.com/family/I09065546.html", "THOMAS WINDSOR &lt;2&gt; 1440 EN-1485 EN ID:09065684")</f>
        <v>THOMAS WINDSOR &lt;2&gt; 1440 EN-1485 EN ID:09065684</v>
      </c>
      <c r="T392" s="9"/>
      <c r="U392" s="9"/>
      <c r="V392" s="9"/>
      <c r="W392" s="9"/>
    </row>
    <row r="393" spans="3:27" x14ac:dyDescent="0.35">
      <c r="C393" s="15" t="s">
        <v>8</v>
      </c>
      <c r="D393" s="15" t="s">
        <v>8</v>
      </c>
      <c r="H393" s="15" t="s">
        <v>8</v>
      </c>
      <c r="J393" s="15" t="s">
        <v>8</v>
      </c>
      <c r="Q393" s="15" t="s">
        <v>8</v>
      </c>
      <c r="R393" s="15" t="s">
        <v>8</v>
      </c>
      <c r="S393" s="8" t="s">
        <v>3</v>
      </c>
      <c r="T393" s="15" t="s">
        <v>8</v>
      </c>
    </row>
    <row r="394" spans="3:27" x14ac:dyDescent="0.35">
      <c r="C394" s="15" t="s">
        <v>8</v>
      </c>
      <c r="D394" s="15" t="s">
        <v>8</v>
      </c>
      <c r="H394" s="15" t="s">
        <v>8</v>
      </c>
      <c r="J394" s="15" t="s">
        <v>8</v>
      </c>
      <c r="Q394" s="15" t="s">
        <v>8</v>
      </c>
      <c r="R394" s="15" t="s">
        <v>8</v>
      </c>
      <c r="S394" s="15" t="s">
        <v>8</v>
      </c>
      <c r="T394" s="15" t="s">
        <v>8</v>
      </c>
      <c r="V394" s="19" t="str">
        <f>HYPERLINK("http://yeinfo.com/family/I09065969.html", "WALTER GREENE &lt;2&gt; 1370 EN-1475 EN ID:09066151")</f>
        <v>WALTER GREENE &lt;2&gt; 1370 EN-1475 EN ID:09066151</v>
      </c>
      <c r="W394" s="9"/>
      <c r="X394" s="9"/>
      <c r="Y394" s="9"/>
      <c r="Z394" s="9"/>
    </row>
    <row r="395" spans="3:27" x14ac:dyDescent="0.35">
      <c r="C395" s="15" t="s">
        <v>8</v>
      </c>
      <c r="D395" s="15" t="s">
        <v>8</v>
      </c>
      <c r="H395" s="15" t="s">
        <v>8</v>
      </c>
      <c r="J395" s="15" t="s">
        <v>8</v>
      </c>
      <c r="Q395" s="15" t="s">
        <v>8</v>
      </c>
      <c r="R395" s="15" t="s">
        <v>8</v>
      </c>
      <c r="S395" s="15" t="s">
        <v>8</v>
      </c>
      <c r="T395" s="15" t="s">
        <v>8</v>
      </c>
      <c r="V395" s="8" t="s">
        <v>3</v>
      </c>
    </row>
    <row r="396" spans="3:27" x14ac:dyDescent="0.35">
      <c r="C396" s="15" t="s">
        <v>8</v>
      </c>
      <c r="D396" s="15" t="s">
        <v>8</v>
      </c>
      <c r="H396" s="15" t="s">
        <v>8</v>
      </c>
      <c r="J396" s="15" t="s">
        <v>8</v>
      </c>
      <c r="Q396" s="15" t="s">
        <v>8</v>
      </c>
      <c r="R396" s="15" t="s">
        <v>8</v>
      </c>
      <c r="S396" s="15" t="s">
        <v>8</v>
      </c>
      <c r="T396" s="15" t="s">
        <v>8</v>
      </c>
      <c r="U396" s="19" t="str">
        <f>HYPERLINK("http://yeinfo.com/family/I09065812.html", "WALTER GREENE &lt;2&gt; 1384 EN-1475 EN ID:09065969")</f>
        <v>WALTER GREENE &lt;2&gt; 1384 EN-1475 EN ID:09065969</v>
      </c>
      <c r="V396" s="9"/>
      <c r="W396" s="9"/>
      <c r="X396" s="9"/>
      <c r="Y396" s="9"/>
    </row>
    <row r="397" spans="3:27" x14ac:dyDescent="0.35">
      <c r="C397" s="15" t="s">
        <v>8</v>
      </c>
      <c r="D397" s="15" t="s">
        <v>8</v>
      </c>
      <c r="H397" s="15" t="s">
        <v>8</v>
      </c>
      <c r="J397" s="15" t="s">
        <v>8</v>
      </c>
      <c r="Q397" s="15" t="s">
        <v>8</v>
      </c>
      <c r="R397" s="15" t="s">
        <v>8</v>
      </c>
      <c r="S397" s="15" t="s">
        <v>8</v>
      </c>
      <c r="T397" s="15" t="s">
        <v>8</v>
      </c>
      <c r="U397" s="8" t="s">
        <v>3</v>
      </c>
      <c r="V397" s="8" t="s">
        <v>6</v>
      </c>
    </row>
    <row r="398" spans="3:27" x14ac:dyDescent="0.35">
      <c r="C398" s="15" t="s">
        <v>8</v>
      </c>
      <c r="D398" s="15" t="s">
        <v>8</v>
      </c>
      <c r="H398" s="15" t="s">
        <v>8</v>
      </c>
      <c r="J398" s="15" t="s">
        <v>8</v>
      </c>
      <c r="Q398" s="15" t="s">
        <v>8</v>
      </c>
      <c r="R398" s="15" t="s">
        <v>8</v>
      </c>
      <c r="S398" s="15" t="s">
        <v>8</v>
      </c>
      <c r="T398" s="15" t="s">
        <v>8</v>
      </c>
      <c r="U398" s="15" t="s">
        <v>8</v>
      </c>
      <c r="V398" s="20" t="str">
        <f>HYPERLINK("http://yeinfo.com/family/I09066151.html", "MARGERY MABLETHORPE &lt;2&gt; 1370 EN-1390 EN ID:09066152")</f>
        <v>MARGERY MABLETHORPE &lt;2&gt; 1370 EN-1390 EN ID:09066152</v>
      </c>
      <c r="W398" s="17"/>
      <c r="X398" s="17"/>
      <c r="Y398" s="17"/>
      <c r="Z398" s="17"/>
    </row>
    <row r="399" spans="3:27" x14ac:dyDescent="0.35">
      <c r="C399" s="15" t="s">
        <v>8</v>
      </c>
      <c r="D399" s="15" t="s">
        <v>8</v>
      </c>
      <c r="H399" s="15" t="s">
        <v>8</v>
      </c>
      <c r="J399" s="15" t="s">
        <v>8</v>
      </c>
      <c r="Q399" s="15" t="s">
        <v>8</v>
      </c>
      <c r="R399" s="15" t="s">
        <v>8</v>
      </c>
      <c r="S399" s="15" t="s">
        <v>8</v>
      </c>
      <c r="T399" s="8" t="s">
        <v>6</v>
      </c>
      <c r="U399" s="15" t="s">
        <v>8</v>
      </c>
    </row>
    <row r="400" spans="3:27" x14ac:dyDescent="0.35">
      <c r="C400" s="15" t="s">
        <v>8</v>
      </c>
      <c r="D400" s="15" t="s">
        <v>8</v>
      </c>
      <c r="H400" s="15" t="s">
        <v>8</v>
      </c>
      <c r="J400" s="15" t="s">
        <v>8</v>
      </c>
      <c r="Q400" s="15" t="s">
        <v>8</v>
      </c>
      <c r="R400" s="15" t="s">
        <v>8</v>
      </c>
      <c r="S400" s="15" t="s">
        <v>8</v>
      </c>
      <c r="T400" s="20" t="str">
        <f>HYPERLINK("http://yeinfo.com/family/I09066150.html", "JOAN GREENE &lt;2&gt; 1414 EN-1451 EN ID:09065812")</f>
        <v>JOAN GREENE &lt;2&gt; 1414 EN-1451 EN ID:09065812</v>
      </c>
      <c r="U400" s="17"/>
      <c r="V400" s="17"/>
      <c r="W400" s="17"/>
      <c r="X400" s="17"/>
    </row>
    <row r="401" spans="3:26" x14ac:dyDescent="0.35">
      <c r="C401" s="15" t="s">
        <v>8</v>
      </c>
      <c r="D401" s="15" t="s">
        <v>8</v>
      </c>
      <c r="H401" s="15" t="s">
        <v>8</v>
      </c>
      <c r="J401" s="15" t="s">
        <v>8</v>
      </c>
      <c r="Q401" s="15" t="s">
        <v>8</v>
      </c>
      <c r="R401" s="15" t="s">
        <v>8</v>
      </c>
      <c r="S401" s="15" t="s">
        <v>8</v>
      </c>
      <c r="U401" s="8" t="s">
        <v>6</v>
      </c>
    </row>
    <row r="402" spans="3:26" x14ac:dyDescent="0.35">
      <c r="C402" s="15" t="s">
        <v>8</v>
      </c>
      <c r="D402" s="15" t="s">
        <v>8</v>
      </c>
      <c r="H402" s="15" t="s">
        <v>8</v>
      </c>
      <c r="J402" s="15" t="s">
        <v>8</v>
      </c>
      <c r="Q402" s="15" t="s">
        <v>8</v>
      </c>
      <c r="R402" s="15" t="s">
        <v>8</v>
      </c>
      <c r="S402" s="15" t="s">
        <v>8</v>
      </c>
      <c r="U402" s="20" t="str">
        <f>HYPERLINK("http://yeinfo.com/family/I09066152.html", "Mrs. {_?_} GREENE &lt;2&gt; 1386 EN-1414 EN ID:09065970")</f>
        <v>Mrs. {_?_} GREENE &lt;2&gt; 1386 EN-1414 EN ID:09065970</v>
      </c>
      <c r="V402" s="17"/>
      <c r="W402" s="17"/>
      <c r="X402" s="17"/>
      <c r="Y402" s="17"/>
    </row>
    <row r="403" spans="3:26" x14ac:dyDescent="0.35">
      <c r="C403" s="15" t="s">
        <v>8</v>
      </c>
      <c r="D403" s="15" t="s">
        <v>8</v>
      </c>
      <c r="H403" s="15" t="s">
        <v>8</v>
      </c>
      <c r="J403" s="15" t="s">
        <v>8</v>
      </c>
      <c r="Q403" s="15" t="s">
        <v>8</v>
      </c>
      <c r="R403" s="8" t="s">
        <v>6</v>
      </c>
      <c r="S403" s="15" t="s">
        <v>8</v>
      </c>
    </row>
    <row r="404" spans="3:26" x14ac:dyDescent="0.35">
      <c r="C404" s="15" t="s">
        <v>8</v>
      </c>
      <c r="D404" s="15" t="s">
        <v>8</v>
      </c>
      <c r="H404" s="15" t="s">
        <v>8</v>
      </c>
      <c r="J404" s="15" t="s">
        <v>8</v>
      </c>
      <c r="Q404" s="15" t="s">
        <v>8</v>
      </c>
      <c r="R404" s="20" t="str">
        <f>HYPERLINK("http://yeinfo.com/family/I09066146.html", "ELIZABETH WINDSOR &lt;2&gt; 1467 EN-1504 EN ID:09065546")</f>
        <v>ELIZABETH WINDSOR &lt;2&gt; 1467 EN-1504 EN ID:09065546</v>
      </c>
      <c r="S404" s="17"/>
      <c r="T404" s="17"/>
      <c r="U404" s="17"/>
      <c r="V404" s="17"/>
    </row>
    <row r="405" spans="3:26" x14ac:dyDescent="0.35">
      <c r="C405" s="15" t="s">
        <v>8</v>
      </c>
      <c r="D405" s="15" t="s">
        <v>8</v>
      </c>
      <c r="H405" s="15" t="s">
        <v>8</v>
      </c>
      <c r="J405" s="15" t="s">
        <v>8</v>
      </c>
      <c r="Q405" s="15" t="s">
        <v>8</v>
      </c>
      <c r="S405" s="15" t="s">
        <v>8</v>
      </c>
    </row>
    <row r="406" spans="3:26" x14ac:dyDescent="0.35">
      <c r="C406" s="15" t="s">
        <v>8</v>
      </c>
      <c r="D406" s="15" t="s">
        <v>8</v>
      </c>
      <c r="H406" s="15" t="s">
        <v>8</v>
      </c>
      <c r="J406" s="15" t="s">
        <v>8</v>
      </c>
      <c r="Q406" s="15" t="s">
        <v>8</v>
      </c>
      <c r="S406" s="15" t="s">
        <v>8</v>
      </c>
      <c r="V406" s="19" t="str">
        <f>HYPERLINK("http://yeinfo.com/family/I09065971.html", "WILLIAM ANDREWS &lt;2&gt; 1366 EN-1397 EN ID:09066153")</f>
        <v>WILLIAM ANDREWS &lt;2&gt; 1366 EN-1397 EN ID:09066153</v>
      </c>
      <c r="W406" s="9"/>
      <c r="X406" s="9"/>
      <c r="Y406" s="9"/>
      <c r="Z406" s="9"/>
    </row>
    <row r="407" spans="3:26" x14ac:dyDescent="0.35">
      <c r="C407" s="15" t="s">
        <v>8</v>
      </c>
      <c r="D407" s="15" t="s">
        <v>8</v>
      </c>
      <c r="H407" s="15" t="s">
        <v>8</v>
      </c>
      <c r="J407" s="15" t="s">
        <v>8</v>
      </c>
      <c r="Q407" s="15" t="s">
        <v>8</v>
      </c>
      <c r="S407" s="15" t="s">
        <v>8</v>
      </c>
      <c r="V407" s="8" t="s">
        <v>3</v>
      </c>
    </row>
    <row r="408" spans="3:26" x14ac:dyDescent="0.35">
      <c r="C408" s="15" t="s">
        <v>8</v>
      </c>
      <c r="D408" s="15" t="s">
        <v>8</v>
      </c>
      <c r="H408" s="15" t="s">
        <v>8</v>
      </c>
      <c r="J408" s="15" t="s">
        <v>8</v>
      </c>
      <c r="Q408" s="15" t="s">
        <v>8</v>
      </c>
      <c r="S408" s="15" t="s">
        <v>8</v>
      </c>
      <c r="U408" s="19" t="str">
        <f>HYPERLINK("http://yeinfo.com/family/I09065813.html", "JAMES ANDREWS &lt;2&gt; 1397 EN-1434 EN ID:09065971")</f>
        <v>JAMES ANDREWS &lt;2&gt; 1397 EN-1434 EN ID:09065971</v>
      </c>
      <c r="V408" s="9"/>
      <c r="W408" s="9"/>
      <c r="X408" s="9"/>
      <c r="Y408" s="9"/>
    </row>
    <row r="409" spans="3:26" x14ac:dyDescent="0.35">
      <c r="C409" s="15" t="s">
        <v>8</v>
      </c>
      <c r="D409" s="15" t="s">
        <v>8</v>
      </c>
      <c r="H409" s="15" t="s">
        <v>8</v>
      </c>
      <c r="J409" s="15" t="s">
        <v>8</v>
      </c>
      <c r="Q409" s="15" t="s">
        <v>8</v>
      </c>
      <c r="S409" s="15" t="s">
        <v>8</v>
      </c>
      <c r="U409" s="8" t="s">
        <v>3</v>
      </c>
      <c r="V409" s="8" t="s">
        <v>6</v>
      </c>
    </row>
    <row r="410" spans="3:26" x14ac:dyDescent="0.35">
      <c r="C410" s="15" t="s">
        <v>8</v>
      </c>
      <c r="D410" s="15" t="s">
        <v>8</v>
      </c>
      <c r="H410" s="15" t="s">
        <v>8</v>
      </c>
      <c r="J410" s="15" t="s">
        <v>8</v>
      </c>
      <c r="Q410" s="15" t="s">
        <v>8</v>
      </c>
      <c r="S410" s="15" t="s">
        <v>8</v>
      </c>
      <c r="U410" s="15" t="s">
        <v>8</v>
      </c>
      <c r="V410" s="20" t="str">
        <f>HYPERLINK("http://yeinfo.com/family/I09066153.html", "MARGARET CHISLINGTON &lt;2&gt; 1372 EN-1397 EN ID:09066154")</f>
        <v>MARGARET CHISLINGTON &lt;2&gt; 1372 EN-1397 EN ID:09066154</v>
      </c>
      <c r="W410" s="17"/>
      <c r="X410" s="17"/>
      <c r="Y410" s="17"/>
      <c r="Z410" s="17"/>
    </row>
    <row r="411" spans="3:26" x14ac:dyDescent="0.35">
      <c r="C411" s="15" t="s">
        <v>8</v>
      </c>
      <c r="D411" s="15" t="s">
        <v>8</v>
      </c>
      <c r="H411" s="15" t="s">
        <v>8</v>
      </c>
      <c r="J411" s="15" t="s">
        <v>8</v>
      </c>
      <c r="Q411" s="15" t="s">
        <v>8</v>
      </c>
      <c r="S411" s="15" t="s">
        <v>8</v>
      </c>
      <c r="U411" s="15" t="s">
        <v>8</v>
      </c>
    </row>
    <row r="412" spans="3:26" x14ac:dyDescent="0.35">
      <c r="C412" s="15" t="s">
        <v>8</v>
      </c>
      <c r="D412" s="15" t="s">
        <v>8</v>
      </c>
      <c r="H412" s="15" t="s">
        <v>8</v>
      </c>
      <c r="J412" s="15" t="s">
        <v>8</v>
      </c>
      <c r="Q412" s="15" t="s">
        <v>8</v>
      </c>
      <c r="S412" s="15" t="s">
        <v>8</v>
      </c>
      <c r="T412" s="19" t="str">
        <f>HYPERLINK("http://yeinfo.com/family/I09065685.html", "JOHN ANDREWS &lt;2&gt; 1415 EN-1473 EN ID:09065813")</f>
        <v>JOHN ANDREWS &lt;2&gt; 1415 EN-1473 EN ID:09065813</v>
      </c>
      <c r="U412" s="9"/>
      <c r="V412" s="9"/>
      <c r="W412" s="9"/>
      <c r="X412" s="9"/>
    </row>
    <row r="413" spans="3:26" x14ac:dyDescent="0.35">
      <c r="C413" s="15" t="s">
        <v>8</v>
      </c>
      <c r="D413" s="15" t="s">
        <v>8</v>
      </c>
      <c r="H413" s="15" t="s">
        <v>8</v>
      </c>
      <c r="J413" s="15" t="s">
        <v>8</v>
      </c>
      <c r="Q413" s="15" t="s">
        <v>8</v>
      </c>
      <c r="S413" s="15" t="s">
        <v>8</v>
      </c>
      <c r="T413" s="8" t="s">
        <v>3</v>
      </c>
      <c r="U413" s="15" t="s">
        <v>8</v>
      </c>
    </row>
    <row r="414" spans="3:26" x14ac:dyDescent="0.35">
      <c r="C414" s="15" t="s">
        <v>8</v>
      </c>
      <c r="D414" s="15" t="s">
        <v>8</v>
      </c>
      <c r="H414" s="15" t="s">
        <v>8</v>
      </c>
      <c r="J414" s="15" t="s">
        <v>8</v>
      </c>
      <c r="Q414" s="15" t="s">
        <v>8</v>
      </c>
      <c r="S414" s="15" t="s">
        <v>8</v>
      </c>
      <c r="T414" s="15" t="s">
        <v>8</v>
      </c>
      <c r="U414" s="15" t="s">
        <v>8</v>
      </c>
      <c r="V414" s="19" t="str">
        <f>HYPERLINK("http://yeinfo.com/family/I09065972.html", "JOHN WEYLAND &lt;2&gt; 1373 EN-1399 EN ID:09066155")</f>
        <v>JOHN WEYLAND &lt;2&gt; 1373 EN-1399 EN ID:09066155</v>
      </c>
      <c r="W414" s="9"/>
      <c r="X414" s="9"/>
      <c r="Y414" s="9"/>
      <c r="Z414" s="9"/>
    </row>
    <row r="415" spans="3:26" x14ac:dyDescent="0.35">
      <c r="C415" s="15" t="s">
        <v>8</v>
      </c>
      <c r="D415" s="15" t="s">
        <v>8</v>
      </c>
      <c r="H415" s="15" t="s">
        <v>8</v>
      </c>
      <c r="J415" s="15" t="s">
        <v>8</v>
      </c>
      <c r="Q415" s="15" t="s">
        <v>8</v>
      </c>
      <c r="S415" s="15" t="s">
        <v>8</v>
      </c>
      <c r="T415" s="15" t="s">
        <v>8</v>
      </c>
      <c r="U415" s="8" t="s">
        <v>6</v>
      </c>
      <c r="V415" s="8" t="s">
        <v>3</v>
      </c>
    </row>
    <row r="416" spans="3:26" x14ac:dyDescent="0.35">
      <c r="C416" s="15" t="s">
        <v>8</v>
      </c>
      <c r="D416" s="15" t="s">
        <v>8</v>
      </c>
      <c r="H416" s="15" t="s">
        <v>8</v>
      </c>
      <c r="J416" s="15" t="s">
        <v>8</v>
      </c>
      <c r="Q416" s="15" t="s">
        <v>8</v>
      </c>
      <c r="S416" s="15" t="s">
        <v>8</v>
      </c>
      <c r="T416" s="15" t="s">
        <v>8</v>
      </c>
      <c r="U416" s="20" t="str">
        <f>HYPERLINK("http://yeinfo.com/family/I09066154.html", "ALICE WEYLAND &lt;2&gt; 1399 EN-1419 EN ID:09065972")</f>
        <v>ALICE WEYLAND &lt;2&gt; 1399 EN-1419 EN ID:09065972</v>
      </c>
      <c r="V416" s="17"/>
      <c r="W416" s="17"/>
      <c r="X416" s="17"/>
      <c r="Y416" s="17"/>
    </row>
    <row r="417" spans="3:26" x14ac:dyDescent="0.35">
      <c r="C417" s="15" t="s">
        <v>8</v>
      </c>
      <c r="D417" s="15" t="s">
        <v>8</v>
      </c>
      <c r="H417" s="15" t="s">
        <v>8</v>
      </c>
      <c r="J417" s="15" t="s">
        <v>8</v>
      </c>
      <c r="Q417" s="15" t="s">
        <v>8</v>
      </c>
      <c r="S417" s="15" t="s">
        <v>8</v>
      </c>
      <c r="T417" s="15" t="s">
        <v>8</v>
      </c>
      <c r="V417" s="8" t="s">
        <v>6</v>
      </c>
    </row>
    <row r="418" spans="3:26" x14ac:dyDescent="0.35">
      <c r="C418" s="15" t="s">
        <v>8</v>
      </c>
      <c r="D418" s="15" t="s">
        <v>8</v>
      </c>
      <c r="H418" s="15" t="s">
        <v>8</v>
      </c>
      <c r="J418" s="15" t="s">
        <v>8</v>
      </c>
      <c r="Q418" s="15" t="s">
        <v>8</v>
      </c>
      <c r="S418" s="15" t="s">
        <v>8</v>
      </c>
      <c r="T418" s="15" t="s">
        <v>8</v>
      </c>
      <c r="V418" s="20" t="str">
        <f>HYPERLINK("http://yeinfo.com/family/I09066155.html", "MARGARET BURNAVILLE &lt;2&gt; 1373 EN-1399 EN ID:09066156")</f>
        <v>MARGARET BURNAVILLE &lt;2&gt; 1373 EN-1399 EN ID:09066156</v>
      </c>
      <c r="W418" s="17"/>
      <c r="X418" s="17"/>
      <c r="Y418" s="17"/>
      <c r="Z418" s="17"/>
    </row>
    <row r="419" spans="3:26" x14ac:dyDescent="0.35">
      <c r="C419" s="15" t="s">
        <v>8</v>
      </c>
      <c r="D419" s="15" t="s">
        <v>8</v>
      </c>
      <c r="H419" s="15" t="s">
        <v>8</v>
      </c>
      <c r="J419" s="15" t="s">
        <v>8</v>
      </c>
      <c r="Q419" s="15" t="s">
        <v>8</v>
      </c>
      <c r="S419" s="8" t="s">
        <v>6</v>
      </c>
      <c r="T419" s="15" t="s">
        <v>8</v>
      </c>
    </row>
    <row r="420" spans="3:26" x14ac:dyDescent="0.35">
      <c r="C420" s="15" t="s">
        <v>8</v>
      </c>
      <c r="D420" s="15" t="s">
        <v>8</v>
      </c>
      <c r="H420" s="15" t="s">
        <v>8</v>
      </c>
      <c r="J420" s="15" t="s">
        <v>8</v>
      </c>
      <c r="Q420" s="15" t="s">
        <v>8</v>
      </c>
      <c r="S420" s="20" t="str">
        <f>HYPERLINK("http://yeinfo.com/family/I09065970.html", "ELIZABETH ANDREWS &lt;2&gt; 1444 EN-1467 EN ID:09065685")</f>
        <v>ELIZABETH ANDREWS &lt;2&gt; 1444 EN-1467 EN ID:09065685</v>
      </c>
      <c r="T420" s="17"/>
      <c r="U420" s="17"/>
      <c r="V420" s="17"/>
      <c r="W420" s="17"/>
    </row>
    <row r="421" spans="3:26" x14ac:dyDescent="0.35">
      <c r="C421" s="15" t="s">
        <v>8</v>
      </c>
      <c r="D421" s="15" t="s">
        <v>8</v>
      </c>
      <c r="H421" s="15" t="s">
        <v>8</v>
      </c>
      <c r="J421" s="15" t="s">
        <v>8</v>
      </c>
      <c r="Q421" s="15" t="s">
        <v>8</v>
      </c>
      <c r="T421" s="8" t="s">
        <v>6</v>
      </c>
    </row>
    <row r="422" spans="3:26" x14ac:dyDescent="0.35">
      <c r="C422" s="15" t="s">
        <v>8</v>
      </c>
      <c r="D422" s="15" t="s">
        <v>8</v>
      </c>
      <c r="H422" s="15" t="s">
        <v>8</v>
      </c>
      <c r="J422" s="15" t="s">
        <v>8</v>
      </c>
      <c r="Q422" s="15" t="s">
        <v>8</v>
      </c>
      <c r="T422" s="20" t="str">
        <f>HYPERLINK("http://yeinfo.com/family/I09066156.html", "ELIZABETH STRATTON &lt;2&gt; 1425 EN-1474 EN ID:09065814")</f>
        <v>ELIZABETH STRATTON &lt;2&gt; 1425 EN-1474 EN ID:09065814</v>
      </c>
      <c r="U422" s="17"/>
      <c r="V422" s="17"/>
      <c r="W422" s="17"/>
      <c r="X422" s="17"/>
    </row>
    <row r="423" spans="3:26" x14ac:dyDescent="0.35">
      <c r="C423" s="15" t="s">
        <v>8</v>
      </c>
      <c r="D423" s="15" t="s">
        <v>8</v>
      </c>
      <c r="H423" s="15" t="s">
        <v>8</v>
      </c>
      <c r="J423" s="15" t="s">
        <v>8</v>
      </c>
      <c r="Q423" s="15" t="s">
        <v>8</v>
      </c>
    </row>
    <row r="424" spans="3:26" x14ac:dyDescent="0.35">
      <c r="C424" s="15" t="s">
        <v>8</v>
      </c>
      <c r="D424" s="15" t="s">
        <v>8</v>
      </c>
      <c r="H424" s="15" t="s">
        <v>8</v>
      </c>
      <c r="J424" s="15" t="s">
        <v>8</v>
      </c>
      <c r="P424" s="19" t="str">
        <f>HYPERLINK("http://yeinfo.com/family/I09010336.html", "THOMAS FOWLER &lt;2&gt; 1530 EN-1566 EN ID:09020672")</f>
        <v>THOMAS FOWLER &lt;2&gt; 1530 EN-1566 EN ID:09020672</v>
      </c>
      <c r="Q424" s="9"/>
      <c r="R424" s="9"/>
      <c r="S424" s="9"/>
      <c r="T424" s="9"/>
    </row>
    <row r="425" spans="3:26" x14ac:dyDescent="0.35">
      <c r="C425" s="15" t="s">
        <v>8</v>
      </c>
      <c r="D425" s="15" t="s">
        <v>8</v>
      </c>
      <c r="H425" s="15" t="s">
        <v>8</v>
      </c>
      <c r="J425" s="15" t="s">
        <v>8</v>
      </c>
      <c r="P425" s="8" t="s">
        <v>3</v>
      </c>
      <c r="Q425" s="8" t="s">
        <v>6</v>
      </c>
    </row>
    <row r="426" spans="3:26" x14ac:dyDescent="0.35">
      <c r="C426" s="15" t="s">
        <v>8</v>
      </c>
      <c r="D426" s="15" t="s">
        <v>8</v>
      </c>
      <c r="H426" s="15" t="s">
        <v>8</v>
      </c>
      <c r="J426" s="15" t="s">
        <v>8</v>
      </c>
      <c r="P426" s="15" t="s">
        <v>8</v>
      </c>
      <c r="Q426" s="20" t="str">
        <f>HYPERLINK("http://yeinfo.com/family/I09065814.html", "Mrs. ELIZABETH FOWLER &lt;2&gt; 1505 EN-1530 EN ID:09041345")</f>
        <v>Mrs. ELIZABETH FOWLER &lt;2&gt; 1505 EN-1530 EN ID:09041345</v>
      </c>
      <c r="R426" s="17"/>
      <c r="S426" s="17"/>
      <c r="T426" s="17"/>
      <c r="U426" s="17"/>
    </row>
    <row r="427" spans="3:26" x14ac:dyDescent="0.35">
      <c r="C427" s="15" t="s">
        <v>8</v>
      </c>
      <c r="D427" s="15" t="s">
        <v>8</v>
      </c>
      <c r="H427" s="15" t="s">
        <v>8</v>
      </c>
      <c r="J427" s="15" t="s">
        <v>8</v>
      </c>
      <c r="P427" s="15" t="s">
        <v>8</v>
      </c>
    </row>
    <row r="428" spans="3:26" x14ac:dyDescent="0.35">
      <c r="C428" s="15" t="s">
        <v>8</v>
      </c>
      <c r="D428" s="15" t="s">
        <v>8</v>
      </c>
      <c r="H428" s="15" t="s">
        <v>8</v>
      </c>
      <c r="J428" s="15" t="s">
        <v>8</v>
      </c>
      <c r="O428" s="19" t="str">
        <f>HYPERLINK("http://yeinfo.com/family/I09005168.html", "HENRY FOWLER I &lt;2&gt; 1546 EN-1590 EN ID:09010336")</f>
        <v>HENRY FOWLER I &lt;2&gt; 1546 EN-1590 EN ID:09010336</v>
      </c>
      <c r="P428" s="9"/>
      <c r="Q428" s="9"/>
      <c r="R428" s="9"/>
      <c r="S428" s="9"/>
    </row>
    <row r="429" spans="3:26" x14ac:dyDescent="0.35">
      <c r="C429" s="15" t="s">
        <v>8</v>
      </c>
      <c r="D429" s="15" t="s">
        <v>8</v>
      </c>
      <c r="H429" s="15" t="s">
        <v>8</v>
      </c>
      <c r="J429" s="15" t="s">
        <v>8</v>
      </c>
      <c r="O429" s="8" t="s">
        <v>3</v>
      </c>
      <c r="P429" s="8" t="s">
        <v>6</v>
      </c>
    </row>
    <row r="430" spans="3:26" x14ac:dyDescent="0.35">
      <c r="C430" s="15" t="s">
        <v>8</v>
      </c>
      <c r="D430" s="15" t="s">
        <v>8</v>
      </c>
      <c r="H430" s="15" t="s">
        <v>8</v>
      </c>
      <c r="J430" s="15" t="s">
        <v>8</v>
      </c>
      <c r="O430" s="15" t="s">
        <v>8</v>
      </c>
      <c r="P430" s="20" t="str">
        <f>HYPERLINK("http://yeinfo.com/family/I09041345.html", "Mrs. {_?_} FOWLER &lt;2&gt; 1535 EN-1566 EN ID:09020673")</f>
        <v>Mrs. {_?_} FOWLER &lt;2&gt; 1535 EN-1566 EN ID:09020673</v>
      </c>
      <c r="Q430" s="17"/>
      <c r="R430" s="17"/>
      <c r="S430" s="17"/>
      <c r="T430" s="17"/>
    </row>
    <row r="431" spans="3:26" x14ac:dyDescent="0.35">
      <c r="C431" s="15" t="s">
        <v>8</v>
      </c>
      <c r="D431" s="15" t="s">
        <v>8</v>
      </c>
      <c r="H431" s="15" t="s">
        <v>8</v>
      </c>
      <c r="J431" s="15" t="s">
        <v>8</v>
      </c>
      <c r="O431" s="15" t="s">
        <v>8</v>
      </c>
    </row>
    <row r="432" spans="3:26" x14ac:dyDescent="0.35">
      <c r="C432" s="15" t="s">
        <v>8</v>
      </c>
      <c r="D432" s="15" t="s">
        <v>8</v>
      </c>
      <c r="H432" s="15" t="s">
        <v>8</v>
      </c>
      <c r="J432" s="15" t="s">
        <v>8</v>
      </c>
      <c r="N432" s="21" t="str">
        <f>HYPERLINK("http://yeinfo.com/family/I09002584.html", "HENRY FOWLER II &lt;2&gt; 1590 EN-1661 NY ID:09005168")</f>
        <v>HENRY FOWLER II &lt;2&gt; 1590 EN-1661 NY ID:09005168</v>
      </c>
      <c r="O432" s="6"/>
      <c r="P432" s="6"/>
      <c r="Q432" s="6"/>
      <c r="R432" s="6"/>
    </row>
    <row r="433" spans="3:20" x14ac:dyDescent="0.35">
      <c r="C433" s="15" t="s">
        <v>8</v>
      </c>
      <c r="D433" s="15" t="s">
        <v>8</v>
      </c>
      <c r="H433" s="15" t="s">
        <v>8</v>
      </c>
      <c r="J433" s="15" t="s">
        <v>8</v>
      </c>
      <c r="N433" s="8" t="s">
        <v>3</v>
      </c>
      <c r="O433" s="8" t="s">
        <v>6</v>
      </c>
    </row>
    <row r="434" spans="3:20" x14ac:dyDescent="0.35">
      <c r="C434" s="15" t="s">
        <v>8</v>
      </c>
      <c r="D434" s="15" t="s">
        <v>8</v>
      </c>
      <c r="H434" s="15" t="s">
        <v>8</v>
      </c>
      <c r="J434" s="15" t="s">
        <v>8</v>
      </c>
      <c r="N434" s="15" t="s">
        <v>8</v>
      </c>
      <c r="O434" s="20" t="str">
        <f>HYPERLINK("http://yeinfo.com/family/I09020673.html", "ARMIS KNIGHT &lt;2&gt; 1560 EN-1590 EN ID:09010337")</f>
        <v>ARMIS KNIGHT &lt;2&gt; 1560 EN-1590 EN ID:09010337</v>
      </c>
      <c r="P434" s="17"/>
      <c r="Q434" s="17"/>
      <c r="R434" s="17"/>
      <c r="S434" s="17"/>
    </row>
    <row r="435" spans="3:20" x14ac:dyDescent="0.35">
      <c r="C435" s="15" t="s">
        <v>8</v>
      </c>
      <c r="D435" s="15" t="s">
        <v>8</v>
      </c>
      <c r="H435" s="15" t="s">
        <v>8</v>
      </c>
      <c r="J435" s="15" t="s">
        <v>8</v>
      </c>
      <c r="N435" s="15" t="s">
        <v>8</v>
      </c>
    </row>
    <row r="436" spans="3:20" x14ac:dyDescent="0.35">
      <c r="C436" s="15" t="s">
        <v>8</v>
      </c>
      <c r="D436" s="15" t="s">
        <v>8</v>
      </c>
      <c r="H436" s="15" t="s">
        <v>8</v>
      </c>
      <c r="J436" s="15" t="s">
        <v>8</v>
      </c>
      <c r="M436" s="21" t="str">
        <f>HYPERLINK("http://yeinfo.com/family/I09001292.html", "HENRY FOWLER III &lt;2&gt; 1633 EN-1687 NY ID:09002584")</f>
        <v>HENRY FOWLER III &lt;2&gt; 1633 EN-1687 NY ID:09002584</v>
      </c>
      <c r="N436" s="6"/>
      <c r="O436" s="6"/>
      <c r="P436" s="6"/>
      <c r="Q436" s="6"/>
    </row>
    <row r="437" spans="3:20" x14ac:dyDescent="0.35">
      <c r="C437" s="15" t="s">
        <v>8</v>
      </c>
      <c r="D437" s="15" t="s">
        <v>8</v>
      </c>
      <c r="H437" s="15" t="s">
        <v>8</v>
      </c>
      <c r="J437" s="15" t="s">
        <v>8</v>
      </c>
      <c r="M437" s="8" t="s">
        <v>3</v>
      </c>
      <c r="N437" s="15" t="s">
        <v>8</v>
      </c>
    </row>
    <row r="438" spans="3:20" x14ac:dyDescent="0.35">
      <c r="C438" s="15" t="s">
        <v>8</v>
      </c>
      <c r="D438" s="15" t="s">
        <v>8</v>
      </c>
      <c r="H438" s="15" t="s">
        <v>8</v>
      </c>
      <c r="J438" s="15" t="s">
        <v>8</v>
      </c>
      <c r="M438" s="15" t="s">
        <v>8</v>
      </c>
      <c r="N438" s="15" t="s">
        <v>8</v>
      </c>
      <c r="P438" s="19" t="str">
        <f>HYPERLINK("http://yeinfo.com/family/I09010338.html", "MONTEGUE KEVINGTON Jr. &lt;2&gt; 1540 EN-1575 EN ID:09020676")</f>
        <v>MONTEGUE KEVINGTON Jr. &lt;2&gt; 1540 EN-1575 EN ID:09020676</v>
      </c>
      <c r="Q438" s="9"/>
      <c r="R438" s="9"/>
      <c r="S438" s="9"/>
      <c r="T438" s="9"/>
    </row>
    <row r="439" spans="3:20" x14ac:dyDescent="0.35">
      <c r="C439" s="15" t="s">
        <v>8</v>
      </c>
      <c r="D439" s="15" t="s">
        <v>8</v>
      </c>
      <c r="H439" s="15" t="s">
        <v>8</v>
      </c>
      <c r="J439" s="15" t="s">
        <v>8</v>
      </c>
      <c r="M439" s="15" t="s">
        <v>8</v>
      </c>
      <c r="N439" s="15" t="s">
        <v>8</v>
      </c>
      <c r="P439" s="8" t="s">
        <v>3</v>
      </c>
    </row>
    <row r="440" spans="3:20" x14ac:dyDescent="0.35">
      <c r="C440" s="15" t="s">
        <v>8</v>
      </c>
      <c r="D440" s="15" t="s">
        <v>8</v>
      </c>
      <c r="H440" s="15" t="s">
        <v>8</v>
      </c>
      <c r="J440" s="15" t="s">
        <v>8</v>
      </c>
      <c r="M440" s="15" t="s">
        <v>8</v>
      </c>
      <c r="N440" s="15" t="s">
        <v>8</v>
      </c>
      <c r="O440" s="19" t="str">
        <f>HYPERLINK("http://yeinfo.com/family/I09005169.html", "MONTEGUE KEVINGTON III &lt;2&gt; 1575 EN-1600 EN ID:09010338")</f>
        <v>MONTEGUE KEVINGTON III &lt;2&gt; 1575 EN-1600 EN ID:09010338</v>
      </c>
      <c r="P440" s="9"/>
      <c r="Q440" s="9"/>
      <c r="R440" s="9"/>
      <c r="S440" s="9"/>
    </row>
    <row r="441" spans="3:20" x14ac:dyDescent="0.35">
      <c r="C441" s="15" t="s">
        <v>8</v>
      </c>
      <c r="D441" s="15" t="s">
        <v>8</v>
      </c>
      <c r="H441" s="15" t="s">
        <v>8</v>
      </c>
      <c r="J441" s="15" t="s">
        <v>8</v>
      </c>
      <c r="M441" s="15" t="s">
        <v>8</v>
      </c>
      <c r="N441" s="15" t="s">
        <v>8</v>
      </c>
      <c r="O441" s="8" t="s">
        <v>3</v>
      </c>
      <c r="P441" s="8" t="s">
        <v>6</v>
      </c>
    </row>
    <row r="442" spans="3:20" x14ac:dyDescent="0.35">
      <c r="C442" s="15" t="s">
        <v>8</v>
      </c>
      <c r="D442" s="15" t="s">
        <v>8</v>
      </c>
      <c r="H442" s="15" t="s">
        <v>8</v>
      </c>
      <c r="J442" s="15" t="s">
        <v>8</v>
      </c>
      <c r="M442" s="15" t="s">
        <v>8</v>
      </c>
      <c r="N442" s="15" t="s">
        <v>8</v>
      </c>
      <c r="O442" s="15" t="s">
        <v>8</v>
      </c>
      <c r="P442" s="20" t="str">
        <f>HYPERLINK("http://yeinfo.com/family/I09020676.html", "Mrs. {_?_} KEVINGTON &lt;2&gt; 1550 EN-1575 EN ID:09020677")</f>
        <v>Mrs. {_?_} KEVINGTON &lt;2&gt; 1550 EN-1575 EN ID:09020677</v>
      </c>
      <c r="Q442" s="17"/>
      <c r="R442" s="17"/>
      <c r="S442" s="17"/>
      <c r="T442" s="17"/>
    </row>
    <row r="443" spans="3:20" x14ac:dyDescent="0.35">
      <c r="C443" s="15" t="s">
        <v>8</v>
      </c>
      <c r="D443" s="15" t="s">
        <v>8</v>
      </c>
      <c r="H443" s="15" t="s">
        <v>8</v>
      </c>
      <c r="J443" s="15" t="s">
        <v>8</v>
      </c>
      <c r="M443" s="15" t="s">
        <v>8</v>
      </c>
      <c r="N443" s="8" t="s">
        <v>6</v>
      </c>
      <c r="O443" s="15" t="s">
        <v>8</v>
      </c>
    </row>
    <row r="444" spans="3:20" x14ac:dyDescent="0.35">
      <c r="C444" s="15" t="s">
        <v>8</v>
      </c>
      <c r="D444" s="15" t="s">
        <v>8</v>
      </c>
      <c r="H444" s="15" t="s">
        <v>8</v>
      </c>
      <c r="J444" s="15" t="s">
        <v>8</v>
      </c>
      <c r="M444" s="15" t="s">
        <v>8</v>
      </c>
      <c r="N444" s="22" t="str">
        <f>HYPERLINK("http://yeinfo.com/family/I09010337.html", "SARAH ALICE KEVINGTON &lt;2&gt; 1600 EN-1633 NY ID:09005169")</f>
        <v>SARAH ALICE KEVINGTON &lt;2&gt; 1600 EN-1633 NY ID:09005169</v>
      </c>
      <c r="O444" s="13"/>
      <c r="P444" s="13"/>
      <c r="Q444" s="13"/>
      <c r="R444" s="13"/>
    </row>
    <row r="445" spans="3:20" x14ac:dyDescent="0.35">
      <c r="C445" s="15" t="s">
        <v>8</v>
      </c>
      <c r="D445" s="15" t="s">
        <v>8</v>
      </c>
      <c r="H445" s="15" t="s">
        <v>8</v>
      </c>
      <c r="J445" s="15" t="s">
        <v>8</v>
      </c>
      <c r="M445" s="15" t="s">
        <v>8</v>
      </c>
      <c r="O445" s="8" t="s">
        <v>6</v>
      </c>
    </row>
    <row r="446" spans="3:20" x14ac:dyDescent="0.35">
      <c r="C446" s="15" t="s">
        <v>8</v>
      </c>
      <c r="D446" s="15" t="s">
        <v>8</v>
      </c>
      <c r="H446" s="15" t="s">
        <v>8</v>
      </c>
      <c r="J446" s="15" t="s">
        <v>8</v>
      </c>
      <c r="M446" s="15" t="s">
        <v>8</v>
      </c>
      <c r="O446" s="20" t="str">
        <f>HYPERLINK("http://yeinfo.com/family/I09020677.html", "DEIDRE BUCKINGHAM &lt;2&gt; 1576 EN-1600 EN ID:09010339")</f>
        <v>DEIDRE BUCKINGHAM &lt;2&gt; 1576 EN-1600 EN ID:09010339</v>
      </c>
      <c r="P446" s="17"/>
      <c r="Q446" s="17"/>
      <c r="R446" s="17"/>
      <c r="S446" s="17"/>
    </row>
    <row r="447" spans="3:20" x14ac:dyDescent="0.35">
      <c r="C447" s="15" t="s">
        <v>8</v>
      </c>
      <c r="D447" s="15" t="s">
        <v>8</v>
      </c>
      <c r="H447" s="15" t="s">
        <v>8</v>
      </c>
      <c r="J447" s="15" t="s">
        <v>8</v>
      </c>
      <c r="M447" s="15" t="s">
        <v>8</v>
      </c>
    </row>
    <row r="448" spans="3:20" x14ac:dyDescent="0.35">
      <c r="C448" s="15" t="s">
        <v>8</v>
      </c>
      <c r="D448" s="15" t="s">
        <v>8</v>
      </c>
      <c r="H448" s="15" t="s">
        <v>8</v>
      </c>
      <c r="J448" s="15" t="s">
        <v>8</v>
      </c>
      <c r="L448" s="5" t="str">
        <f>HYPERLINK("http://yeinfo.com/family/I09000646.html", "HENRY FOWLER &lt;2&gt; 1657 RI-1687 NY ID:09001292")</f>
        <v>HENRY FOWLER &lt;2&gt; 1657 RI-1687 NY ID:09001292</v>
      </c>
      <c r="M448" s="3"/>
      <c r="N448" s="3"/>
      <c r="O448" s="3"/>
      <c r="P448" s="3"/>
    </row>
    <row r="449" spans="3:19" x14ac:dyDescent="0.35">
      <c r="C449" s="15" t="s">
        <v>8</v>
      </c>
      <c r="D449" s="15" t="s">
        <v>8</v>
      </c>
      <c r="H449" s="15" t="s">
        <v>8</v>
      </c>
      <c r="J449" s="15" t="s">
        <v>8</v>
      </c>
      <c r="L449" s="8" t="s">
        <v>3</v>
      </c>
      <c r="M449" s="15" t="s">
        <v>8</v>
      </c>
    </row>
    <row r="450" spans="3:19" x14ac:dyDescent="0.35">
      <c r="C450" s="15" t="s">
        <v>8</v>
      </c>
      <c r="D450" s="15" t="s">
        <v>8</v>
      </c>
      <c r="H450" s="15" t="s">
        <v>8</v>
      </c>
      <c r="J450" s="15" t="s">
        <v>8</v>
      </c>
      <c r="L450" s="15" t="s">
        <v>8</v>
      </c>
      <c r="M450" s="15" t="s">
        <v>8</v>
      </c>
      <c r="O450" s="19" t="str">
        <f>HYPERLINK("http://yeinfo.com/family/I09005170.html", "ABRAHAM NEWELL Sr. &lt;2&gt; 1555 EN-1592 EN ID:09010340")</f>
        <v>ABRAHAM NEWELL Sr. &lt;2&gt; 1555 EN-1592 EN ID:09010340</v>
      </c>
      <c r="P450" s="9"/>
      <c r="Q450" s="9"/>
      <c r="R450" s="9"/>
      <c r="S450" s="9"/>
    </row>
    <row r="451" spans="3:19" x14ac:dyDescent="0.35">
      <c r="C451" s="15" t="s">
        <v>8</v>
      </c>
      <c r="D451" s="15" t="s">
        <v>8</v>
      </c>
      <c r="H451" s="15" t="s">
        <v>8</v>
      </c>
      <c r="J451" s="15" t="s">
        <v>8</v>
      </c>
      <c r="L451" s="15" t="s">
        <v>8</v>
      </c>
      <c r="M451" s="15" t="s">
        <v>8</v>
      </c>
      <c r="O451" s="8" t="s">
        <v>3</v>
      </c>
    </row>
    <row r="452" spans="3:19" x14ac:dyDescent="0.35">
      <c r="C452" s="15" t="s">
        <v>8</v>
      </c>
      <c r="D452" s="15" t="s">
        <v>8</v>
      </c>
      <c r="H452" s="15" t="s">
        <v>8</v>
      </c>
      <c r="J452" s="15" t="s">
        <v>8</v>
      </c>
      <c r="L452" s="15" t="s">
        <v>8</v>
      </c>
      <c r="M452" s="15" t="s">
        <v>8</v>
      </c>
      <c r="N452" s="21" t="str">
        <f>HYPERLINK("http://yeinfo.com/family/I09002585.html", "ABRAHAM NEWELL Jr. &lt;2&gt; 1583 EN-1683 MA ID:09005170")</f>
        <v>ABRAHAM NEWELL Jr. &lt;2&gt; 1583 EN-1683 MA ID:09005170</v>
      </c>
      <c r="O452" s="6"/>
      <c r="P452" s="6"/>
      <c r="Q452" s="6"/>
      <c r="R452" s="6"/>
    </row>
    <row r="453" spans="3:19" x14ac:dyDescent="0.35">
      <c r="C453" s="15" t="s">
        <v>8</v>
      </c>
      <c r="D453" s="15" t="s">
        <v>8</v>
      </c>
      <c r="H453" s="15" t="s">
        <v>8</v>
      </c>
      <c r="J453" s="15" t="s">
        <v>8</v>
      </c>
      <c r="L453" s="15" t="s">
        <v>8</v>
      </c>
      <c r="M453" s="15" t="s">
        <v>8</v>
      </c>
      <c r="N453" s="8" t="s">
        <v>3</v>
      </c>
      <c r="O453" s="8" t="s">
        <v>6</v>
      </c>
    </row>
    <row r="454" spans="3:19" x14ac:dyDescent="0.35">
      <c r="C454" s="15" t="s">
        <v>8</v>
      </c>
      <c r="D454" s="15" t="s">
        <v>8</v>
      </c>
      <c r="H454" s="15" t="s">
        <v>8</v>
      </c>
      <c r="J454" s="15" t="s">
        <v>8</v>
      </c>
      <c r="L454" s="15" t="s">
        <v>8</v>
      </c>
      <c r="M454" s="15" t="s">
        <v>8</v>
      </c>
      <c r="N454" s="15" t="s">
        <v>8</v>
      </c>
      <c r="O454" s="20" t="str">
        <f>HYPERLINK("http://yeinfo.com/family/I09010340.html", "FRANCES HYNDE &lt;2&gt; 1559 EN-1583 EN ID:09010341")</f>
        <v>FRANCES HYNDE &lt;2&gt; 1559 EN-1583 EN ID:09010341</v>
      </c>
      <c r="P454" s="17"/>
      <c r="Q454" s="17"/>
      <c r="R454" s="17"/>
      <c r="S454" s="17"/>
    </row>
    <row r="455" spans="3:19" x14ac:dyDescent="0.35">
      <c r="C455" s="15" t="s">
        <v>8</v>
      </c>
      <c r="D455" s="15" t="s">
        <v>8</v>
      </c>
      <c r="H455" s="15" t="s">
        <v>8</v>
      </c>
      <c r="J455" s="15" t="s">
        <v>8</v>
      </c>
      <c r="L455" s="15" t="s">
        <v>8</v>
      </c>
      <c r="M455" s="8" t="s">
        <v>6</v>
      </c>
      <c r="N455" s="15" t="s">
        <v>8</v>
      </c>
    </row>
    <row r="456" spans="3:19" x14ac:dyDescent="0.35">
      <c r="C456" s="15" t="s">
        <v>8</v>
      </c>
      <c r="D456" s="15" t="s">
        <v>8</v>
      </c>
      <c r="H456" s="15" t="s">
        <v>8</v>
      </c>
      <c r="J456" s="15" t="s">
        <v>8</v>
      </c>
      <c r="L456" s="15" t="s">
        <v>8</v>
      </c>
      <c r="M456" s="16" t="str">
        <f>HYPERLINK("http://yeinfo.com/family/I09010339.html", "REBECCA NEWELL &lt;2&gt; 1637 MA-1730 MA ID:09002585")</f>
        <v>REBECCA NEWELL &lt;2&gt; 1637 MA-1730 MA ID:09002585</v>
      </c>
      <c r="N456" s="11"/>
      <c r="O456" s="11"/>
      <c r="P456" s="11"/>
      <c r="Q456" s="11"/>
    </row>
    <row r="457" spans="3:19" x14ac:dyDescent="0.35">
      <c r="C457" s="15" t="s">
        <v>8</v>
      </c>
      <c r="D457" s="15" t="s">
        <v>8</v>
      </c>
      <c r="H457" s="15" t="s">
        <v>8</v>
      </c>
      <c r="J457" s="15" t="s">
        <v>8</v>
      </c>
      <c r="L457" s="15" t="s">
        <v>8</v>
      </c>
      <c r="N457" s="8" t="s">
        <v>6</v>
      </c>
    </row>
    <row r="458" spans="3:19" x14ac:dyDescent="0.35">
      <c r="C458" s="15" t="s">
        <v>8</v>
      </c>
      <c r="D458" s="15" t="s">
        <v>8</v>
      </c>
      <c r="H458" s="15" t="s">
        <v>8</v>
      </c>
      <c r="J458" s="15" t="s">
        <v>8</v>
      </c>
      <c r="L458" s="15" t="s">
        <v>8</v>
      </c>
      <c r="N458" s="22" t="str">
        <f>HYPERLINK("http://yeinfo.com/family/I09010341.html", "FRANCES FOOTE &lt;2&gt; 1594 EN-1637 MA ID:09005171")</f>
        <v>FRANCES FOOTE &lt;2&gt; 1594 EN-1637 MA ID:09005171</v>
      </c>
      <c r="O458" s="13"/>
      <c r="P458" s="13"/>
      <c r="Q458" s="13"/>
      <c r="R458" s="13"/>
    </row>
    <row r="459" spans="3:19" x14ac:dyDescent="0.35">
      <c r="C459" s="15" t="s">
        <v>8</v>
      </c>
      <c r="D459" s="15" t="s">
        <v>8</v>
      </c>
      <c r="H459" s="15" t="s">
        <v>8</v>
      </c>
      <c r="J459" s="15" t="s">
        <v>8</v>
      </c>
      <c r="L459" s="15" t="s">
        <v>8</v>
      </c>
    </row>
    <row r="460" spans="3:19" x14ac:dyDescent="0.35">
      <c r="C460" s="15" t="s">
        <v>8</v>
      </c>
      <c r="D460" s="15" t="s">
        <v>8</v>
      </c>
      <c r="H460" s="15" t="s">
        <v>8</v>
      </c>
      <c r="J460" s="15" t="s">
        <v>8</v>
      </c>
      <c r="K460" s="5" t="str">
        <f>HYPERLINK("http://yeinfo.com/family/I09000323.html", "WILLIAM FOWLER &lt;2&gt; 1687 NY-1747 NY ID:09000646")</f>
        <v>WILLIAM FOWLER &lt;2&gt; 1687 NY-1747 NY ID:09000646</v>
      </c>
      <c r="L460" s="3"/>
      <c r="M460" s="3"/>
      <c r="N460" s="3"/>
      <c r="O460" s="3"/>
    </row>
    <row r="461" spans="3:19" x14ac:dyDescent="0.35">
      <c r="C461" s="15" t="s">
        <v>8</v>
      </c>
      <c r="D461" s="15" t="s">
        <v>8</v>
      </c>
      <c r="H461" s="15" t="s">
        <v>8</v>
      </c>
      <c r="J461" s="15" t="s">
        <v>8</v>
      </c>
      <c r="K461" s="8" t="s">
        <v>3</v>
      </c>
      <c r="L461" s="15" t="s">
        <v>8</v>
      </c>
    </row>
    <row r="462" spans="3:19" x14ac:dyDescent="0.35">
      <c r="C462" s="15" t="s">
        <v>8</v>
      </c>
      <c r="D462" s="15" t="s">
        <v>8</v>
      </c>
      <c r="H462" s="15" t="s">
        <v>8</v>
      </c>
      <c r="J462" s="15" t="s">
        <v>8</v>
      </c>
      <c r="K462" s="15" t="s">
        <v>8</v>
      </c>
      <c r="L462" s="15" t="s">
        <v>8</v>
      </c>
      <c r="N462" s="5" t="str">
        <f>HYPERLINK("http://yeinfo.com/family/I09002586.html", "SIMON HOYT &lt;2&gt; 1593 EN-1637  ID:09005172")</f>
        <v>SIMON HOYT &lt;2&gt; 1593 EN-1637  ID:09005172</v>
      </c>
      <c r="O462" s="3"/>
      <c r="P462" s="3"/>
      <c r="Q462" s="3"/>
      <c r="R462" s="3"/>
    </row>
    <row r="463" spans="3:19" x14ac:dyDescent="0.35">
      <c r="C463" s="15" t="s">
        <v>8</v>
      </c>
      <c r="D463" s="15" t="s">
        <v>8</v>
      </c>
      <c r="H463" s="15" t="s">
        <v>8</v>
      </c>
      <c r="J463" s="15" t="s">
        <v>8</v>
      </c>
      <c r="K463" s="15" t="s">
        <v>8</v>
      </c>
      <c r="L463" s="15" t="s">
        <v>8</v>
      </c>
      <c r="N463" s="8" t="s">
        <v>3</v>
      </c>
    </row>
    <row r="464" spans="3:19" x14ac:dyDescent="0.35">
      <c r="C464" s="15" t="s">
        <v>8</v>
      </c>
      <c r="D464" s="15" t="s">
        <v>8</v>
      </c>
      <c r="H464" s="15" t="s">
        <v>8</v>
      </c>
      <c r="J464" s="15" t="s">
        <v>8</v>
      </c>
      <c r="K464" s="15" t="s">
        <v>8</v>
      </c>
      <c r="L464" s="15" t="s">
        <v>8</v>
      </c>
      <c r="M464" s="5" t="str">
        <f>HYPERLINK("http://yeinfo.com/family/I09001293.html", "MOSES HOYT Sr. &lt;2&gt; 1637 CT-1658 NY ID:09002586")</f>
        <v>MOSES HOYT Sr. &lt;2&gt; 1637 CT-1658 NY ID:09002586</v>
      </c>
      <c r="N464" s="3"/>
      <c r="O464" s="3"/>
      <c r="P464" s="3"/>
      <c r="Q464" s="3"/>
    </row>
    <row r="465" spans="3:25" x14ac:dyDescent="0.35">
      <c r="C465" s="15" t="s">
        <v>8</v>
      </c>
      <c r="D465" s="15" t="s">
        <v>8</v>
      </c>
      <c r="H465" s="15" t="s">
        <v>8</v>
      </c>
      <c r="J465" s="15" t="s">
        <v>8</v>
      </c>
      <c r="K465" s="15" t="s">
        <v>8</v>
      </c>
      <c r="L465" s="15" t="s">
        <v>8</v>
      </c>
      <c r="M465" s="8" t="s">
        <v>3</v>
      </c>
      <c r="N465" s="8" t="s">
        <v>6</v>
      </c>
    </row>
    <row r="466" spans="3:25" x14ac:dyDescent="0.35">
      <c r="C466" s="15" t="s">
        <v>8</v>
      </c>
      <c r="D466" s="15" t="s">
        <v>8</v>
      </c>
      <c r="H466" s="15" t="s">
        <v>8</v>
      </c>
      <c r="J466" s="15" t="s">
        <v>8</v>
      </c>
      <c r="K466" s="15" t="s">
        <v>8</v>
      </c>
      <c r="L466" s="15" t="s">
        <v>8</v>
      </c>
      <c r="M466" s="15" t="s">
        <v>8</v>
      </c>
      <c r="N466" s="22" t="str">
        <f>HYPERLINK("http://yeinfo.com/family/I09005172.html", "SUSANNAH SMITH &lt;2&gt; 1615 EN-1637 CT ID:09005173")</f>
        <v>SUSANNAH SMITH &lt;2&gt; 1615 EN-1637 CT ID:09005173</v>
      </c>
      <c r="O466" s="13"/>
      <c r="P466" s="13"/>
      <c r="Q466" s="13"/>
      <c r="R466" s="13"/>
    </row>
    <row r="467" spans="3:25" x14ac:dyDescent="0.35">
      <c r="C467" s="15" t="s">
        <v>8</v>
      </c>
      <c r="D467" s="15" t="s">
        <v>8</v>
      </c>
      <c r="H467" s="15" t="s">
        <v>8</v>
      </c>
      <c r="J467" s="15" t="s">
        <v>8</v>
      </c>
      <c r="K467" s="15" t="s">
        <v>8</v>
      </c>
      <c r="L467" s="8" t="s">
        <v>6</v>
      </c>
      <c r="M467" s="15" t="s">
        <v>8</v>
      </c>
    </row>
    <row r="468" spans="3:25" x14ac:dyDescent="0.35">
      <c r="C468" s="15" t="s">
        <v>8</v>
      </c>
      <c r="D468" s="15" t="s">
        <v>8</v>
      </c>
      <c r="H468" s="15" t="s">
        <v>8</v>
      </c>
      <c r="J468" s="15" t="s">
        <v>8</v>
      </c>
      <c r="K468" s="15" t="s">
        <v>8</v>
      </c>
      <c r="L468" s="16" t="str">
        <f>HYPERLINK("http://yeinfo.com/family/I09005171.html", "ABIGAIL HOYT &lt;2&gt; 1658 -1738  ID:09001293")</f>
        <v>ABIGAIL HOYT &lt;2&gt; 1658 -1738  ID:09001293</v>
      </c>
      <c r="M468" s="11"/>
      <c r="N468" s="11"/>
      <c r="O468" s="11"/>
      <c r="P468" s="11"/>
    </row>
    <row r="469" spans="3:25" x14ac:dyDescent="0.35">
      <c r="C469" s="15" t="s">
        <v>8</v>
      </c>
      <c r="D469" s="15" t="s">
        <v>8</v>
      </c>
      <c r="H469" s="15" t="s">
        <v>8</v>
      </c>
      <c r="J469" s="15" t="s">
        <v>8</v>
      </c>
      <c r="K469" s="15" t="s">
        <v>8</v>
      </c>
      <c r="M469" s="15" t="s">
        <v>8</v>
      </c>
    </row>
    <row r="470" spans="3:25" x14ac:dyDescent="0.35">
      <c r="C470" s="15" t="s">
        <v>8</v>
      </c>
      <c r="D470" s="15" t="s">
        <v>8</v>
      </c>
      <c r="H470" s="15" t="s">
        <v>8</v>
      </c>
      <c r="J470" s="15" t="s">
        <v>8</v>
      </c>
      <c r="K470" s="15" t="s">
        <v>8</v>
      </c>
      <c r="M470" s="15" t="s">
        <v>8</v>
      </c>
      <c r="S470" s="19" t="str">
        <f>HYPERLINK("http://yeinfo.com/family/I09065639.html", "JOHN BUDD &lt;2&gt; 1450 EN-1520 EN ID:09065773")</f>
        <v>JOHN BUDD &lt;2&gt; 1450 EN-1520 EN ID:09065773</v>
      </c>
      <c r="T470" s="9"/>
      <c r="U470" s="9"/>
      <c r="V470" s="9"/>
      <c r="W470" s="9"/>
    </row>
    <row r="471" spans="3:25" x14ac:dyDescent="0.35">
      <c r="C471" s="15" t="s">
        <v>8</v>
      </c>
      <c r="D471" s="15" t="s">
        <v>8</v>
      </c>
      <c r="H471" s="15" t="s">
        <v>8</v>
      </c>
      <c r="J471" s="15" t="s">
        <v>8</v>
      </c>
      <c r="K471" s="15" t="s">
        <v>8</v>
      </c>
      <c r="M471" s="15" t="s">
        <v>8</v>
      </c>
      <c r="S471" s="8" t="s">
        <v>3</v>
      </c>
    </row>
    <row r="472" spans="3:25" x14ac:dyDescent="0.35">
      <c r="C472" s="15" t="s">
        <v>8</v>
      </c>
      <c r="D472" s="15" t="s">
        <v>8</v>
      </c>
      <c r="H472" s="15" t="s">
        <v>8</v>
      </c>
      <c r="J472" s="15" t="s">
        <v>8</v>
      </c>
      <c r="K472" s="15" t="s">
        <v>8</v>
      </c>
      <c r="M472" s="15" t="s">
        <v>8</v>
      </c>
      <c r="R472" s="19" t="str">
        <f>HYPERLINK("http://yeinfo.com/family/I09041392.html", "WILLIAM BUDD &lt;2&gt; 1479 EN-1557 EN ID:09065639")</f>
        <v>WILLIAM BUDD &lt;2&gt; 1479 EN-1557 EN ID:09065639</v>
      </c>
      <c r="S472" s="9"/>
      <c r="T472" s="9"/>
      <c r="U472" s="9"/>
      <c r="V472" s="9"/>
    </row>
    <row r="473" spans="3:25" x14ac:dyDescent="0.35">
      <c r="C473" s="15" t="s">
        <v>8</v>
      </c>
      <c r="D473" s="15" t="s">
        <v>8</v>
      </c>
      <c r="H473" s="15" t="s">
        <v>8</v>
      </c>
      <c r="J473" s="15" t="s">
        <v>8</v>
      </c>
      <c r="K473" s="15" t="s">
        <v>8</v>
      </c>
      <c r="M473" s="15" t="s">
        <v>8</v>
      </c>
      <c r="R473" s="8" t="s">
        <v>3</v>
      </c>
      <c r="S473" s="8" t="s">
        <v>6</v>
      </c>
    </row>
    <row r="474" spans="3:25" x14ac:dyDescent="0.35">
      <c r="C474" s="15" t="s">
        <v>8</v>
      </c>
      <c r="D474" s="15" t="s">
        <v>8</v>
      </c>
      <c r="H474" s="15" t="s">
        <v>8</v>
      </c>
      <c r="J474" s="15" t="s">
        <v>8</v>
      </c>
      <c r="K474" s="15" t="s">
        <v>8</v>
      </c>
      <c r="M474" s="15" t="s">
        <v>8</v>
      </c>
      <c r="R474" s="15" t="s">
        <v>8</v>
      </c>
      <c r="S474" s="20" t="str">
        <f>HYPERLINK("http://yeinfo.com/family/I09065773.html", "ELIZABETH BISHOPPE &lt;2&gt; 1454 EN-1525 EN ID:09065771")</f>
        <v>ELIZABETH BISHOPPE &lt;2&gt; 1454 EN-1525 EN ID:09065771</v>
      </c>
      <c r="T474" s="17"/>
      <c r="U474" s="17"/>
      <c r="V474" s="17"/>
      <c r="W474" s="17"/>
    </row>
    <row r="475" spans="3:25" x14ac:dyDescent="0.35">
      <c r="C475" s="15" t="s">
        <v>8</v>
      </c>
      <c r="D475" s="15" t="s">
        <v>8</v>
      </c>
      <c r="H475" s="15" t="s">
        <v>8</v>
      </c>
      <c r="J475" s="15" t="s">
        <v>8</v>
      </c>
      <c r="K475" s="15" t="s">
        <v>8</v>
      </c>
      <c r="M475" s="15" t="s">
        <v>8</v>
      </c>
      <c r="R475" s="15" t="s">
        <v>8</v>
      </c>
    </row>
    <row r="476" spans="3:25" x14ac:dyDescent="0.35">
      <c r="C476" s="15" t="s">
        <v>8</v>
      </c>
      <c r="D476" s="15" t="s">
        <v>8</v>
      </c>
      <c r="H476" s="15" t="s">
        <v>8</v>
      </c>
      <c r="J476" s="15" t="s">
        <v>8</v>
      </c>
      <c r="K476" s="15" t="s">
        <v>8</v>
      </c>
      <c r="M476" s="15" t="s">
        <v>8</v>
      </c>
      <c r="Q476" s="19" t="str">
        <f>HYPERLINK("http://yeinfo.com/family/I09020696.html", "NICHOLAS BUDD &lt;2&gt; 1500 EN-1536 EN ID:09041392")</f>
        <v>NICHOLAS BUDD &lt;2&gt; 1500 EN-1536 EN ID:09041392</v>
      </c>
      <c r="R476" s="9"/>
      <c r="S476" s="9"/>
      <c r="T476" s="9"/>
      <c r="U476" s="9"/>
    </row>
    <row r="477" spans="3:25" x14ac:dyDescent="0.35">
      <c r="C477" s="15" t="s">
        <v>8</v>
      </c>
      <c r="D477" s="15" t="s">
        <v>8</v>
      </c>
      <c r="H477" s="15" t="s">
        <v>8</v>
      </c>
      <c r="J477" s="15" t="s">
        <v>8</v>
      </c>
      <c r="K477" s="15" t="s">
        <v>8</v>
      </c>
      <c r="M477" s="15" t="s">
        <v>8</v>
      </c>
      <c r="Q477" s="8" t="s">
        <v>3</v>
      </c>
      <c r="R477" s="15" t="s">
        <v>8</v>
      </c>
    </row>
    <row r="478" spans="3:25" x14ac:dyDescent="0.35">
      <c r="C478" s="15" t="s">
        <v>8</v>
      </c>
      <c r="D478" s="15" t="s">
        <v>8</v>
      </c>
      <c r="H478" s="15" t="s">
        <v>8</v>
      </c>
      <c r="J478" s="15" t="s">
        <v>8</v>
      </c>
      <c r="K478" s="15" t="s">
        <v>8</v>
      </c>
      <c r="M478" s="15" t="s">
        <v>8</v>
      </c>
      <c r="Q478" s="15" t="s">
        <v>8</v>
      </c>
      <c r="R478" s="15" t="s">
        <v>8</v>
      </c>
      <c r="U478" s="19" t="str">
        <f>HYPERLINK("http://yeinfo.com/family/I09065940.html", "THOMAS SAUNDERS &lt;2&gt; 1405 EN-1425 EN ID:09066110")</f>
        <v>THOMAS SAUNDERS &lt;2&gt; 1405 EN-1425 EN ID:09066110</v>
      </c>
      <c r="V478" s="9"/>
      <c r="W478" s="9"/>
      <c r="X478" s="9"/>
      <c r="Y478" s="9"/>
    </row>
    <row r="479" spans="3:25" x14ac:dyDescent="0.35">
      <c r="C479" s="15" t="s">
        <v>8</v>
      </c>
      <c r="D479" s="15" t="s">
        <v>8</v>
      </c>
      <c r="H479" s="15" t="s">
        <v>8</v>
      </c>
      <c r="J479" s="15" t="s">
        <v>8</v>
      </c>
      <c r="K479" s="15" t="s">
        <v>8</v>
      </c>
      <c r="M479" s="15" t="s">
        <v>8</v>
      </c>
      <c r="Q479" s="15" t="s">
        <v>8</v>
      </c>
      <c r="R479" s="15" t="s">
        <v>8</v>
      </c>
      <c r="U479" s="8" t="s">
        <v>3</v>
      </c>
    </row>
    <row r="480" spans="3:25" x14ac:dyDescent="0.35">
      <c r="C480" s="15" t="s">
        <v>8</v>
      </c>
      <c r="D480" s="15" t="s">
        <v>8</v>
      </c>
      <c r="H480" s="15" t="s">
        <v>8</v>
      </c>
      <c r="J480" s="15" t="s">
        <v>8</v>
      </c>
      <c r="K480" s="15" t="s">
        <v>8</v>
      </c>
      <c r="M480" s="15" t="s">
        <v>8</v>
      </c>
      <c r="Q480" s="15" t="s">
        <v>8</v>
      </c>
      <c r="R480" s="15" t="s">
        <v>8</v>
      </c>
      <c r="T480" s="19" t="str">
        <f>HYPERLINK("http://yeinfo.com/family/I09065792.html", "WILLIAM SAUNDERS &lt;2&gt; 1420 EN-1481 EN ID:09065940")</f>
        <v>WILLIAM SAUNDERS &lt;2&gt; 1420 EN-1481 EN ID:09065940</v>
      </c>
      <c r="U480" s="9"/>
      <c r="V480" s="9"/>
      <c r="W480" s="9"/>
      <c r="X480" s="9"/>
    </row>
    <row r="481" spans="3:27" x14ac:dyDescent="0.35">
      <c r="C481" s="15" t="s">
        <v>8</v>
      </c>
      <c r="D481" s="15" t="s">
        <v>8</v>
      </c>
      <c r="H481" s="15" t="s">
        <v>8</v>
      </c>
      <c r="J481" s="15" t="s">
        <v>8</v>
      </c>
      <c r="K481" s="15" t="s">
        <v>8</v>
      </c>
      <c r="M481" s="15" t="s">
        <v>8</v>
      </c>
      <c r="Q481" s="15" t="s">
        <v>8</v>
      </c>
      <c r="R481" s="15" t="s">
        <v>8</v>
      </c>
      <c r="T481" s="8" t="s">
        <v>3</v>
      </c>
      <c r="U481" s="8" t="s">
        <v>6</v>
      </c>
    </row>
    <row r="482" spans="3:27" x14ac:dyDescent="0.35">
      <c r="C482" s="15" t="s">
        <v>8</v>
      </c>
      <c r="D482" s="15" t="s">
        <v>8</v>
      </c>
      <c r="H482" s="15" t="s">
        <v>8</v>
      </c>
      <c r="J482" s="15" t="s">
        <v>8</v>
      </c>
      <c r="K482" s="15" t="s">
        <v>8</v>
      </c>
      <c r="M482" s="15" t="s">
        <v>8</v>
      </c>
      <c r="Q482" s="15" t="s">
        <v>8</v>
      </c>
      <c r="R482" s="15" t="s">
        <v>8</v>
      </c>
      <c r="T482" s="15" t="s">
        <v>8</v>
      </c>
      <c r="U482" s="20" t="str">
        <f>HYPERLINK("http://yeinfo.com/family/I09066110.html", "JOANNA POLLARD &lt;2&gt; 1405 EN-1425 EN ID:09066107")</f>
        <v>JOANNA POLLARD &lt;2&gt; 1405 EN-1425 EN ID:09066107</v>
      </c>
      <c r="V482" s="17"/>
      <c r="W482" s="17"/>
      <c r="X482" s="17"/>
      <c r="Y482" s="17"/>
    </row>
    <row r="483" spans="3:27" x14ac:dyDescent="0.35">
      <c r="C483" s="15" t="s">
        <v>8</v>
      </c>
      <c r="D483" s="15" t="s">
        <v>8</v>
      </c>
      <c r="H483" s="15" t="s">
        <v>8</v>
      </c>
      <c r="J483" s="15" t="s">
        <v>8</v>
      </c>
      <c r="K483" s="15" t="s">
        <v>8</v>
      </c>
      <c r="M483" s="15" t="s">
        <v>8</v>
      </c>
      <c r="Q483" s="15" t="s">
        <v>8</v>
      </c>
      <c r="R483" s="15" t="s">
        <v>8</v>
      </c>
      <c r="T483" s="15" t="s">
        <v>8</v>
      </c>
    </row>
    <row r="484" spans="3:27" x14ac:dyDescent="0.35">
      <c r="C484" s="15" t="s">
        <v>8</v>
      </c>
      <c r="D484" s="15" t="s">
        <v>8</v>
      </c>
      <c r="H484" s="15" t="s">
        <v>8</v>
      </c>
      <c r="J484" s="15" t="s">
        <v>8</v>
      </c>
      <c r="K484" s="15" t="s">
        <v>8</v>
      </c>
      <c r="M484" s="15" t="s">
        <v>8</v>
      </c>
      <c r="Q484" s="15" t="s">
        <v>8</v>
      </c>
      <c r="R484" s="15" t="s">
        <v>8</v>
      </c>
      <c r="S484" s="19" t="str">
        <f>HYPERLINK("http://yeinfo.com/family/I09065665.html", "RICHARD OSWELL SAUNDERS &lt;2&gt; 1452 EN-1480 EN ID:09065792")</f>
        <v>RICHARD OSWELL SAUNDERS &lt;2&gt; 1452 EN-1480 EN ID:09065792</v>
      </c>
      <c r="T484" s="9"/>
      <c r="U484" s="9"/>
      <c r="V484" s="9"/>
      <c r="W484" s="9"/>
    </row>
    <row r="485" spans="3:27" x14ac:dyDescent="0.35">
      <c r="C485" s="15" t="s">
        <v>8</v>
      </c>
      <c r="D485" s="15" t="s">
        <v>8</v>
      </c>
      <c r="H485" s="15" t="s">
        <v>8</v>
      </c>
      <c r="J485" s="15" t="s">
        <v>8</v>
      </c>
      <c r="K485" s="15" t="s">
        <v>8</v>
      </c>
      <c r="M485" s="15" t="s">
        <v>8</v>
      </c>
      <c r="Q485" s="15" t="s">
        <v>8</v>
      </c>
      <c r="R485" s="15" t="s">
        <v>8</v>
      </c>
      <c r="S485" s="8" t="s">
        <v>3</v>
      </c>
      <c r="T485" s="15" t="s">
        <v>8</v>
      </c>
    </row>
    <row r="486" spans="3:27" x14ac:dyDescent="0.35">
      <c r="C486" s="15" t="s">
        <v>8</v>
      </c>
      <c r="D486" s="15" t="s">
        <v>8</v>
      </c>
      <c r="H486" s="15" t="s">
        <v>8</v>
      </c>
      <c r="J486" s="15" t="s">
        <v>8</v>
      </c>
      <c r="K486" s="15" t="s">
        <v>8</v>
      </c>
      <c r="M486" s="15" t="s">
        <v>8</v>
      </c>
      <c r="Q486" s="15" t="s">
        <v>8</v>
      </c>
      <c r="R486" s="15" t="s">
        <v>8</v>
      </c>
      <c r="S486" s="15" t="s">
        <v>8</v>
      </c>
      <c r="T486" s="15" t="s">
        <v>8</v>
      </c>
      <c r="W486" s="19" t="str">
        <f>HYPERLINK("http://yeinfo.com/family/I09066281.html", "NICHOLAS CAREW &lt;2&gt; 1322 EN-1390 EN ID:09066447")</f>
        <v>NICHOLAS CAREW &lt;2&gt; 1322 EN-1390 EN ID:09066447</v>
      </c>
      <c r="X486" s="9"/>
      <c r="Y486" s="9"/>
      <c r="Z486" s="9"/>
      <c r="AA486" s="9"/>
    </row>
    <row r="487" spans="3:27" x14ac:dyDescent="0.35">
      <c r="C487" s="15" t="s">
        <v>8</v>
      </c>
      <c r="D487" s="15" t="s">
        <v>8</v>
      </c>
      <c r="H487" s="15" t="s">
        <v>8</v>
      </c>
      <c r="J487" s="15" t="s">
        <v>8</v>
      </c>
      <c r="K487" s="15" t="s">
        <v>8</v>
      </c>
      <c r="M487" s="15" t="s">
        <v>8</v>
      </c>
      <c r="Q487" s="15" t="s">
        <v>8</v>
      </c>
      <c r="R487" s="15" t="s">
        <v>8</v>
      </c>
      <c r="S487" s="15" t="s">
        <v>8</v>
      </c>
      <c r="T487" s="15" t="s">
        <v>8</v>
      </c>
      <c r="W487" s="8" t="s">
        <v>3</v>
      </c>
    </row>
    <row r="488" spans="3:27" x14ac:dyDescent="0.35">
      <c r="C488" s="15" t="s">
        <v>8</v>
      </c>
      <c r="D488" s="15" t="s">
        <v>8</v>
      </c>
      <c r="H488" s="15" t="s">
        <v>8</v>
      </c>
      <c r="J488" s="15" t="s">
        <v>8</v>
      </c>
      <c r="K488" s="15" t="s">
        <v>8</v>
      </c>
      <c r="M488" s="15" t="s">
        <v>8</v>
      </c>
      <c r="Q488" s="15" t="s">
        <v>8</v>
      </c>
      <c r="R488" s="15" t="s">
        <v>8</v>
      </c>
      <c r="S488" s="15" t="s">
        <v>8</v>
      </c>
      <c r="T488" s="15" t="s">
        <v>8</v>
      </c>
      <c r="V488" s="19" t="str">
        <f>HYPERLINK("http://yeinfo.com/family/I09066080.html", "NICHOLAS CAREW &lt;2&gt; 1356 EN-1432 EN ID:09066281")</f>
        <v>NICHOLAS CAREW &lt;2&gt; 1356 EN-1432 EN ID:09066281</v>
      </c>
      <c r="W488" s="9"/>
      <c r="X488" s="9"/>
      <c r="Y488" s="9"/>
      <c r="Z488" s="9"/>
    </row>
    <row r="489" spans="3:27" x14ac:dyDescent="0.35">
      <c r="C489" s="15" t="s">
        <v>8</v>
      </c>
      <c r="D489" s="15" t="s">
        <v>8</v>
      </c>
      <c r="H489" s="15" t="s">
        <v>8</v>
      </c>
      <c r="J489" s="15" t="s">
        <v>8</v>
      </c>
      <c r="K489" s="15" t="s">
        <v>8</v>
      </c>
      <c r="M489" s="15" t="s">
        <v>8</v>
      </c>
      <c r="Q489" s="15" t="s">
        <v>8</v>
      </c>
      <c r="R489" s="15" t="s">
        <v>8</v>
      </c>
      <c r="S489" s="15" t="s">
        <v>8</v>
      </c>
      <c r="T489" s="15" t="s">
        <v>8</v>
      </c>
      <c r="V489" s="8" t="s">
        <v>3</v>
      </c>
      <c r="W489" s="8" t="s">
        <v>6</v>
      </c>
    </row>
    <row r="490" spans="3:27" x14ac:dyDescent="0.35">
      <c r="C490" s="15" t="s">
        <v>8</v>
      </c>
      <c r="D490" s="15" t="s">
        <v>8</v>
      </c>
      <c r="H490" s="15" t="s">
        <v>8</v>
      </c>
      <c r="J490" s="15" t="s">
        <v>8</v>
      </c>
      <c r="K490" s="15" t="s">
        <v>8</v>
      </c>
      <c r="M490" s="15" t="s">
        <v>8</v>
      </c>
      <c r="Q490" s="15" t="s">
        <v>8</v>
      </c>
      <c r="R490" s="15" t="s">
        <v>8</v>
      </c>
      <c r="S490" s="15" t="s">
        <v>8</v>
      </c>
      <c r="T490" s="15" t="s">
        <v>8</v>
      </c>
      <c r="V490" s="15" t="s">
        <v>8</v>
      </c>
      <c r="W490" s="20" t="str">
        <f>HYPERLINK("http://yeinfo.com/family/I09066447.html", "LUCY WILLOUGHBY &lt;2&gt; 1330 EN-1390 EN ID:09066489")</f>
        <v>LUCY WILLOUGHBY &lt;2&gt; 1330 EN-1390 EN ID:09066489</v>
      </c>
      <c r="X490" s="17"/>
      <c r="Y490" s="17"/>
      <c r="Z490" s="17"/>
      <c r="AA490" s="17"/>
    </row>
    <row r="491" spans="3:27" x14ac:dyDescent="0.35">
      <c r="C491" s="15" t="s">
        <v>8</v>
      </c>
      <c r="D491" s="15" t="s">
        <v>8</v>
      </c>
      <c r="H491" s="15" t="s">
        <v>8</v>
      </c>
      <c r="J491" s="15" t="s">
        <v>8</v>
      </c>
      <c r="K491" s="15" t="s">
        <v>8</v>
      </c>
      <c r="M491" s="15" t="s">
        <v>8</v>
      </c>
      <c r="Q491" s="15" t="s">
        <v>8</v>
      </c>
      <c r="R491" s="15" t="s">
        <v>8</v>
      </c>
      <c r="S491" s="15" t="s">
        <v>8</v>
      </c>
      <c r="T491" s="15" t="s">
        <v>8</v>
      </c>
      <c r="V491" s="15" t="s">
        <v>8</v>
      </c>
    </row>
    <row r="492" spans="3:27" x14ac:dyDescent="0.35">
      <c r="C492" s="15" t="s">
        <v>8</v>
      </c>
      <c r="D492" s="15" t="s">
        <v>8</v>
      </c>
      <c r="H492" s="15" t="s">
        <v>8</v>
      </c>
      <c r="J492" s="15" t="s">
        <v>8</v>
      </c>
      <c r="K492" s="15" t="s">
        <v>8</v>
      </c>
      <c r="M492" s="15" t="s">
        <v>8</v>
      </c>
      <c r="Q492" s="15" t="s">
        <v>8</v>
      </c>
      <c r="R492" s="15" t="s">
        <v>8</v>
      </c>
      <c r="S492" s="15" t="s">
        <v>8</v>
      </c>
      <c r="T492" s="15" t="s">
        <v>8</v>
      </c>
      <c r="U492" s="19" t="str">
        <f>HYPERLINK("http://yeinfo.com/family/I09065918.html", "THOMAS CAREW &lt;2&gt; 1398 EN-1430 EN ID:09066080")</f>
        <v>THOMAS CAREW &lt;2&gt; 1398 EN-1430 EN ID:09066080</v>
      </c>
      <c r="V492" s="9"/>
      <c r="W492" s="9"/>
      <c r="X492" s="9"/>
      <c r="Y492" s="9"/>
    </row>
    <row r="493" spans="3:27" x14ac:dyDescent="0.35">
      <c r="C493" s="15" t="s">
        <v>8</v>
      </c>
      <c r="D493" s="15" t="s">
        <v>8</v>
      </c>
      <c r="H493" s="15" t="s">
        <v>8</v>
      </c>
      <c r="J493" s="15" t="s">
        <v>8</v>
      </c>
      <c r="K493" s="15" t="s">
        <v>8</v>
      </c>
      <c r="M493" s="15" t="s">
        <v>8</v>
      </c>
      <c r="Q493" s="15" t="s">
        <v>8</v>
      </c>
      <c r="R493" s="15" t="s">
        <v>8</v>
      </c>
      <c r="S493" s="15" t="s">
        <v>8</v>
      </c>
      <c r="T493" s="15" t="s">
        <v>8</v>
      </c>
      <c r="U493" s="8" t="s">
        <v>3</v>
      </c>
      <c r="V493" s="15" t="s">
        <v>8</v>
      </c>
    </row>
    <row r="494" spans="3:27" x14ac:dyDescent="0.35">
      <c r="C494" s="15" t="s">
        <v>8</v>
      </c>
      <c r="D494" s="15" t="s">
        <v>8</v>
      </c>
      <c r="H494" s="15" t="s">
        <v>8</v>
      </c>
      <c r="J494" s="15" t="s">
        <v>8</v>
      </c>
      <c r="K494" s="15" t="s">
        <v>8</v>
      </c>
      <c r="M494" s="15" t="s">
        <v>8</v>
      </c>
      <c r="Q494" s="15" t="s">
        <v>8</v>
      </c>
      <c r="R494" s="15" t="s">
        <v>8</v>
      </c>
      <c r="S494" s="15" t="s">
        <v>8</v>
      </c>
      <c r="T494" s="15" t="s">
        <v>8</v>
      </c>
      <c r="U494" s="15" t="s">
        <v>8</v>
      </c>
      <c r="V494" s="15" t="s">
        <v>8</v>
      </c>
      <c r="W494" s="19" t="str">
        <f>HYPERLINK("http://yeinfo.com/family/I09066299.html", "STEPHEN MARE &lt;2&gt; 1330 EN-1362 EN ID:09066472")</f>
        <v>STEPHEN MARE &lt;2&gt; 1330 EN-1362 EN ID:09066472</v>
      </c>
      <c r="X494" s="9"/>
      <c r="Y494" s="9"/>
      <c r="Z494" s="9"/>
      <c r="AA494" s="9"/>
    </row>
    <row r="495" spans="3:27" x14ac:dyDescent="0.35">
      <c r="C495" s="15" t="s">
        <v>8</v>
      </c>
      <c r="D495" s="15" t="s">
        <v>8</v>
      </c>
      <c r="H495" s="15" t="s">
        <v>8</v>
      </c>
      <c r="J495" s="15" t="s">
        <v>8</v>
      </c>
      <c r="K495" s="15" t="s">
        <v>8</v>
      </c>
      <c r="M495" s="15" t="s">
        <v>8</v>
      </c>
      <c r="Q495" s="15" t="s">
        <v>8</v>
      </c>
      <c r="R495" s="15" t="s">
        <v>8</v>
      </c>
      <c r="S495" s="15" t="s">
        <v>8</v>
      </c>
      <c r="T495" s="15" t="s">
        <v>8</v>
      </c>
      <c r="U495" s="15" t="s">
        <v>8</v>
      </c>
      <c r="V495" s="8" t="s">
        <v>6</v>
      </c>
      <c r="W495" s="8" t="s">
        <v>3</v>
      </c>
    </row>
    <row r="496" spans="3:27" x14ac:dyDescent="0.35">
      <c r="C496" s="15" t="s">
        <v>8</v>
      </c>
      <c r="D496" s="15" t="s">
        <v>8</v>
      </c>
      <c r="H496" s="15" t="s">
        <v>8</v>
      </c>
      <c r="J496" s="15" t="s">
        <v>8</v>
      </c>
      <c r="K496" s="15" t="s">
        <v>8</v>
      </c>
      <c r="M496" s="15" t="s">
        <v>8</v>
      </c>
      <c r="Q496" s="15" t="s">
        <v>8</v>
      </c>
      <c r="R496" s="15" t="s">
        <v>8</v>
      </c>
      <c r="S496" s="15" t="s">
        <v>8</v>
      </c>
      <c r="T496" s="15" t="s">
        <v>8</v>
      </c>
      <c r="U496" s="15" t="s">
        <v>8</v>
      </c>
      <c r="V496" s="20" t="str">
        <f>HYPERLINK("http://yeinfo.com/family/I09066489.html", "ISABELLA MARE &lt;2&gt; 1362 EN-1421 EN ID:09066299")</f>
        <v>ISABELLA MARE &lt;2&gt; 1362 EN-1421 EN ID:09066299</v>
      </c>
      <c r="W496" s="17"/>
      <c r="X496" s="17"/>
      <c r="Y496" s="17"/>
      <c r="Z496" s="17"/>
    </row>
    <row r="497" spans="3:27" x14ac:dyDescent="0.35">
      <c r="C497" s="15" t="s">
        <v>8</v>
      </c>
      <c r="D497" s="15" t="s">
        <v>8</v>
      </c>
      <c r="H497" s="15" t="s">
        <v>8</v>
      </c>
      <c r="J497" s="15" t="s">
        <v>8</v>
      </c>
      <c r="K497" s="15" t="s">
        <v>8</v>
      </c>
      <c r="M497" s="15" t="s">
        <v>8</v>
      </c>
      <c r="Q497" s="15" t="s">
        <v>8</v>
      </c>
      <c r="R497" s="15" t="s">
        <v>8</v>
      </c>
      <c r="S497" s="15" t="s">
        <v>8</v>
      </c>
      <c r="T497" s="15" t="s">
        <v>8</v>
      </c>
      <c r="U497" s="15" t="s">
        <v>8</v>
      </c>
      <c r="W497" s="8" t="s">
        <v>6</v>
      </c>
    </row>
    <row r="498" spans="3:27" x14ac:dyDescent="0.35">
      <c r="C498" s="15" t="s">
        <v>8</v>
      </c>
      <c r="D498" s="15" t="s">
        <v>8</v>
      </c>
      <c r="H498" s="15" t="s">
        <v>8</v>
      </c>
      <c r="J498" s="15" t="s">
        <v>8</v>
      </c>
      <c r="K498" s="15" t="s">
        <v>8</v>
      </c>
      <c r="M498" s="15" t="s">
        <v>8</v>
      </c>
      <c r="Q498" s="15" t="s">
        <v>8</v>
      </c>
      <c r="R498" s="15" t="s">
        <v>8</v>
      </c>
      <c r="S498" s="15" t="s">
        <v>8</v>
      </c>
      <c r="T498" s="15" t="s">
        <v>8</v>
      </c>
      <c r="U498" s="15" t="s">
        <v>8</v>
      </c>
      <c r="W498" s="20" t="str">
        <f>HYPERLINK("http://yeinfo.com/family/I09066472.html", "Mrs. ALICE MARE &lt;2&gt; 1335 EN-1362 EN ID:09066471")</f>
        <v>Mrs. ALICE MARE &lt;2&gt; 1335 EN-1362 EN ID:09066471</v>
      </c>
      <c r="X498" s="17"/>
      <c r="Y498" s="17"/>
      <c r="Z498" s="17"/>
      <c r="AA498" s="17"/>
    </row>
    <row r="499" spans="3:27" x14ac:dyDescent="0.35">
      <c r="C499" s="15" t="s">
        <v>8</v>
      </c>
      <c r="D499" s="15" t="s">
        <v>8</v>
      </c>
      <c r="H499" s="15" t="s">
        <v>8</v>
      </c>
      <c r="J499" s="15" t="s">
        <v>8</v>
      </c>
      <c r="K499" s="15" t="s">
        <v>8</v>
      </c>
      <c r="M499" s="15" t="s">
        <v>8</v>
      </c>
      <c r="Q499" s="15" t="s">
        <v>8</v>
      </c>
      <c r="R499" s="15" t="s">
        <v>8</v>
      </c>
      <c r="S499" s="15" t="s">
        <v>8</v>
      </c>
      <c r="T499" s="8" t="s">
        <v>6</v>
      </c>
      <c r="U499" s="15" t="s">
        <v>8</v>
      </c>
    </row>
    <row r="500" spans="3:27" x14ac:dyDescent="0.35">
      <c r="C500" s="15" t="s">
        <v>8</v>
      </c>
      <c r="D500" s="15" t="s">
        <v>8</v>
      </c>
      <c r="H500" s="15" t="s">
        <v>8</v>
      </c>
      <c r="J500" s="15" t="s">
        <v>8</v>
      </c>
      <c r="K500" s="15" t="s">
        <v>8</v>
      </c>
      <c r="M500" s="15" t="s">
        <v>8</v>
      </c>
      <c r="Q500" s="15" t="s">
        <v>8</v>
      </c>
      <c r="R500" s="15" t="s">
        <v>8</v>
      </c>
      <c r="S500" s="15" t="s">
        <v>8</v>
      </c>
      <c r="T500" s="20" t="str">
        <f>HYPERLINK("http://yeinfo.com/family/I09066107.html", "JOAN CAREW &lt;2&gt; 1430 EN-1470 EN ID:09065918")</f>
        <v>JOAN CAREW &lt;2&gt; 1430 EN-1470 EN ID:09065918</v>
      </c>
      <c r="U500" s="17"/>
      <c r="V500" s="17"/>
      <c r="W500" s="17"/>
      <c r="X500" s="17"/>
    </row>
    <row r="501" spans="3:27" x14ac:dyDescent="0.35">
      <c r="C501" s="15" t="s">
        <v>8</v>
      </c>
      <c r="D501" s="15" t="s">
        <v>8</v>
      </c>
      <c r="H501" s="15" t="s">
        <v>8</v>
      </c>
      <c r="J501" s="15" t="s">
        <v>8</v>
      </c>
      <c r="K501" s="15" t="s">
        <v>8</v>
      </c>
      <c r="M501" s="15" t="s">
        <v>8</v>
      </c>
      <c r="Q501" s="15" t="s">
        <v>8</v>
      </c>
      <c r="R501" s="15" t="s">
        <v>8</v>
      </c>
      <c r="S501" s="15" t="s">
        <v>8</v>
      </c>
      <c r="U501" s="15" t="s">
        <v>8</v>
      </c>
    </row>
    <row r="502" spans="3:27" x14ac:dyDescent="0.35">
      <c r="C502" s="15" t="s">
        <v>8</v>
      </c>
      <c r="D502" s="15" t="s">
        <v>8</v>
      </c>
      <c r="H502" s="15" t="s">
        <v>8</v>
      </c>
      <c r="J502" s="15" t="s">
        <v>8</v>
      </c>
      <c r="K502" s="15" t="s">
        <v>8</v>
      </c>
      <c r="M502" s="15" t="s">
        <v>8</v>
      </c>
      <c r="Q502" s="15" t="s">
        <v>8</v>
      </c>
      <c r="R502" s="15" t="s">
        <v>8</v>
      </c>
      <c r="S502" s="15" t="s">
        <v>8</v>
      </c>
      <c r="U502" s="15" t="s">
        <v>8</v>
      </c>
      <c r="V502" s="19" t="str">
        <f>HYPERLINK("http://yeinfo.com/family/I09066093.html", "THOMAS HAYTON &lt;2&gt; 1370 EN-1432 EN ID:09066294")</f>
        <v>THOMAS HAYTON &lt;2&gt; 1370 EN-1432 EN ID:09066294</v>
      </c>
      <c r="W502" s="9"/>
      <c r="X502" s="9"/>
      <c r="Y502" s="9"/>
      <c r="Z502" s="9"/>
    </row>
    <row r="503" spans="3:27" x14ac:dyDescent="0.35">
      <c r="C503" s="15" t="s">
        <v>8</v>
      </c>
      <c r="D503" s="15" t="s">
        <v>8</v>
      </c>
      <c r="H503" s="15" t="s">
        <v>8</v>
      </c>
      <c r="J503" s="15" t="s">
        <v>8</v>
      </c>
      <c r="K503" s="15" t="s">
        <v>8</v>
      </c>
      <c r="M503" s="15" t="s">
        <v>8</v>
      </c>
      <c r="Q503" s="15" t="s">
        <v>8</v>
      </c>
      <c r="R503" s="15" t="s">
        <v>8</v>
      </c>
      <c r="S503" s="15" t="s">
        <v>8</v>
      </c>
      <c r="U503" s="8" t="s">
        <v>6</v>
      </c>
      <c r="V503" s="8" t="s">
        <v>3</v>
      </c>
    </row>
    <row r="504" spans="3:27" x14ac:dyDescent="0.35">
      <c r="C504" s="15" t="s">
        <v>8</v>
      </c>
      <c r="D504" s="15" t="s">
        <v>8</v>
      </c>
      <c r="H504" s="15" t="s">
        <v>8</v>
      </c>
      <c r="J504" s="15" t="s">
        <v>8</v>
      </c>
      <c r="K504" s="15" t="s">
        <v>8</v>
      </c>
      <c r="M504" s="15" t="s">
        <v>8</v>
      </c>
      <c r="Q504" s="15" t="s">
        <v>8</v>
      </c>
      <c r="R504" s="15" t="s">
        <v>8</v>
      </c>
      <c r="S504" s="15" t="s">
        <v>8</v>
      </c>
      <c r="U504" s="20" t="str">
        <f>HYPERLINK("http://yeinfo.com/family/I09066471.html", "AGNES HAYTON &lt;2&gt; 1395 EN-1450 EN ID:09066093")</f>
        <v>AGNES HAYTON &lt;2&gt; 1395 EN-1450 EN ID:09066093</v>
      </c>
      <c r="V504" s="17"/>
      <c r="W504" s="17"/>
      <c r="X504" s="17"/>
      <c r="Y504" s="17"/>
    </row>
    <row r="505" spans="3:27" x14ac:dyDescent="0.35">
      <c r="C505" s="15" t="s">
        <v>8</v>
      </c>
      <c r="D505" s="15" t="s">
        <v>8</v>
      </c>
      <c r="H505" s="15" t="s">
        <v>8</v>
      </c>
      <c r="J505" s="15" t="s">
        <v>8</v>
      </c>
      <c r="K505" s="15" t="s">
        <v>8</v>
      </c>
      <c r="M505" s="15" t="s">
        <v>8</v>
      </c>
      <c r="Q505" s="15" t="s">
        <v>8</v>
      </c>
      <c r="R505" s="15" t="s">
        <v>8</v>
      </c>
      <c r="S505" s="15" t="s">
        <v>8</v>
      </c>
      <c r="V505" s="8" t="s">
        <v>6</v>
      </c>
    </row>
    <row r="506" spans="3:27" x14ac:dyDescent="0.35">
      <c r="C506" s="15" t="s">
        <v>8</v>
      </c>
      <c r="D506" s="15" t="s">
        <v>8</v>
      </c>
      <c r="H506" s="15" t="s">
        <v>8</v>
      </c>
      <c r="J506" s="15" t="s">
        <v>8</v>
      </c>
      <c r="K506" s="15" t="s">
        <v>8</v>
      </c>
      <c r="M506" s="15" t="s">
        <v>8</v>
      </c>
      <c r="Q506" s="15" t="s">
        <v>8</v>
      </c>
      <c r="R506" s="15" t="s">
        <v>8</v>
      </c>
      <c r="S506" s="15" t="s">
        <v>8</v>
      </c>
      <c r="V506" s="20" t="str">
        <f>HYPERLINK("http://yeinfo.com/family/I09066294.html", "Mrs. BEATRICE HAYTON &lt;2&gt; 1370 EN-1395 EN ID:09066293")</f>
        <v>Mrs. BEATRICE HAYTON &lt;2&gt; 1370 EN-1395 EN ID:09066293</v>
      </c>
      <c r="W506" s="17"/>
      <c r="X506" s="17"/>
      <c r="Y506" s="17"/>
      <c r="Z506" s="17"/>
    </row>
    <row r="507" spans="3:27" x14ac:dyDescent="0.35">
      <c r="C507" s="15" t="s">
        <v>8</v>
      </c>
      <c r="D507" s="15" t="s">
        <v>8</v>
      </c>
      <c r="H507" s="15" t="s">
        <v>8</v>
      </c>
      <c r="J507" s="15" t="s">
        <v>8</v>
      </c>
      <c r="K507" s="15" t="s">
        <v>8</v>
      </c>
      <c r="M507" s="15" t="s">
        <v>8</v>
      </c>
      <c r="Q507" s="15" t="s">
        <v>8</v>
      </c>
      <c r="R507" s="8" t="s">
        <v>6</v>
      </c>
      <c r="S507" s="15" t="s">
        <v>8</v>
      </c>
    </row>
    <row r="508" spans="3:27" x14ac:dyDescent="0.35">
      <c r="C508" s="15" t="s">
        <v>8</v>
      </c>
      <c r="D508" s="15" t="s">
        <v>8</v>
      </c>
      <c r="H508" s="15" t="s">
        <v>8</v>
      </c>
      <c r="J508" s="15" t="s">
        <v>8</v>
      </c>
      <c r="K508" s="15" t="s">
        <v>8</v>
      </c>
      <c r="M508" s="15" t="s">
        <v>8</v>
      </c>
      <c r="Q508" s="15" t="s">
        <v>8</v>
      </c>
      <c r="R508" s="20" t="str">
        <f>HYPERLINK("http://yeinfo.com/family/I09065771.html", "KATHERINE SAUNDERS &lt;2&gt; 1480 EN-1550 EN ID:09065665")</f>
        <v>KATHERINE SAUNDERS &lt;2&gt; 1480 EN-1550 EN ID:09065665</v>
      </c>
      <c r="S508" s="17"/>
      <c r="T508" s="17"/>
      <c r="U508" s="17"/>
      <c r="V508" s="17"/>
    </row>
    <row r="509" spans="3:27" x14ac:dyDescent="0.35">
      <c r="C509" s="15" t="s">
        <v>8</v>
      </c>
      <c r="D509" s="15" t="s">
        <v>8</v>
      </c>
      <c r="H509" s="15" t="s">
        <v>8</v>
      </c>
      <c r="J509" s="15" t="s">
        <v>8</v>
      </c>
      <c r="K509" s="15" t="s">
        <v>8</v>
      </c>
      <c r="M509" s="15" t="s">
        <v>8</v>
      </c>
      <c r="Q509" s="15" t="s">
        <v>8</v>
      </c>
      <c r="S509" s="8" t="s">
        <v>6</v>
      </c>
    </row>
    <row r="510" spans="3:27" x14ac:dyDescent="0.35">
      <c r="C510" s="15" t="s">
        <v>8</v>
      </c>
      <c r="D510" s="15" t="s">
        <v>8</v>
      </c>
      <c r="H510" s="15" t="s">
        <v>8</v>
      </c>
      <c r="J510" s="15" t="s">
        <v>8</v>
      </c>
      <c r="K510" s="15" t="s">
        <v>8</v>
      </c>
      <c r="M510" s="15" t="s">
        <v>8</v>
      </c>
      <c r="Q510" s="15" t="s">
        <v>8</v>
      </c>
      <c r="S510" s="20" t="str">
        <f>HYPERLINK("http://yeinfo.com/family/I09066293.html", "Mrs. AGNES SAUNDERS &lt;2&gt; 1452 EN-1485 EN ID:09065791")</f>
        <v>Mrs. AGNES SAUNDERS &lt;2&gt; 1452 EN-1485 EN ID:09065791</v>
      </c>
      <c r="T510" s="17"/>
      <c r="U510" s="17"/>
      <c r="V510" s="17"/>
      <c r="W510" s="17"/>
    </row>
    <row r="511" spans="3:27" x14ac:dyDescent="0.35">
      <c r="C511" s="15" t="s">
        <v>8</v>
      </c>
      <c r="D511" s="15" t="s">
        <v>8</v>
      </c>
      <c r="H511" s="15" t="s">
        <v>8</v>
      </c>
      <c r="J511" s="15" t="s">
        <v>8</v>
      </c>
      <c r="K511" s="15" t="s">
        <v>8</v>
      </c>
      <c r="M511" s="15" t="s">
        <v>8</v>
      </c>
      <c r="Q511" s="15" t="s">
        <v>8</v>
      </c>
    </row>
    <row r="512" spans="3:27" x14ac:dyDescent="0.35">
      <c r="C512" s="15" t="s">
        <v>8</v>
      </c>
      <c r="D512" s="15" t="s">
        <v>8</v>
      </c>
      <c r="H512" s="15" t="s">
        <v>8</v>
      </c>
      <c r="J512" s="15" t="s">
        <v>8</v>
      </c>
      <c r="K512" s="15" t="s">
        <v>8</v>
      </c>
      <c r="M512" s="15" t="s">
        <v>8</v>
      </c>
      <c r="P512" s="19" t="str">
        <f>HYPERLINK("http://yeinfo.com/family/I09010348.html", "RICHARD WRIGHT BUDD Sr. &lt;2&gt; 1528 EN-1550 EN ID:09020696")</f>
        <v>RICHARD WRIGHT BUDD Sr. &lt;2&gt; 1528 EN-1550 EN ID:09020696</v>
      </c>
      <c r="Q512" s="9"/>
      <c r="R512" s="9"/>
      <c r="S512" s="9"/>
      <c r="T512" s="9"/>
    </row>
    <row r="513" spans="3:23" x14ac:dyDescent="0.35">
      <c r="C513" s="15" t="s">
        <v>8</v>
      </c>
      <c r="D513" s="15" t="s">
        <v>8</v>
      </c>
      <c r="H513" s="15" t="s">
        <v>8</v>
      </c>
      <c r="J513" s="15" t="s">
        <v>8</v>
      </c>
      <c r="K513" s="15" t="s">
        <v>8</v>
      </c>
      <c r="M513" s="15" t="s">
        <v>8</v>
      </c>
      <c r="P513" s="8" t="s">
        <v>3</v>
      </c>
      <c r="Q513" s="15" t="s">
        <v>8</v>
      </c>
    </row>
    <row r="514" spans="3:23" x14ac:dyDescent="0.35">
      <c r="C514" s="15" t="s">
        <v>8</v>
      </c>
      <c r="D514" s="15" t="s">
        <v>8</v>
      </c>
      <c r="H514" s="15" t="s">
        <v>8</v>
      </c>
      <c r="J514" s="15" t="s">
        <v>8</v>
      </c>
      <c r="K514" s="15" t="s">
        <v>8</v>
      </c>
      <c r="M514" s="15" t="s">
        <v>8</v>
      </c>
      <c r="P514" s="15" t="s">
        <v>8</v>
      </c>
      <c r="Q514" s="15" t="s">
        <v>8</v>
      </c>
      <c r="R514" s="19" t="str">
        <f>HYPERLINK("http://yeinfo.com/family/I09041393.html", "THOMAS WRIGHT &lt;2&gt; 1476 EN-1550 EN ID:09065674")</f>
        <v>THOMAS WRIGHT &lt;2&gt; 1476 EN-1550 EN ID:09065674</v>
      </c>
      <c r="S514" s="9"/>
      <c r="T514" s="9"/>
      <c r="U514" s="9"/>
      <c r="V514" s="9"/>
    </row>
    <row r="515" spans="3:23" x14ac:dyDescent="0.35">
      <c r="C515" s="15" t="s">
        <v>8</v>
      </c>
      <c r="D515" s="15" t="s">
        <v>8</v>
      </c>
      <c r="H515" s="15" t="s">
        <v>8</v>
      </c>
      <c r="J515" s="15" t="s">
        <v>8</v>
      </c>
      <c r="K515" s="15" t="s">
        <v>8</v>
      </c>
      <c r="M515" s="15" t="s">
        <v>8</v>
      </c>
      <c r="P515" s="15" t="s">
        <v>8</v>
      </c>
      <c r="Q515" s="8" t="s">
        <v>6</v>
      </c>
      <c r="R515" s="8" t="s">
        <v>3</v>
      </c>
    </row>
    <row r="516" spans="3:23" x14ac:dyDescent="0.35">
      <c r="C516" s="15" t="s">
        <v>8</v>
      </c>
      <c r="D516" s="15" t="s">
        <v>8</v>
      </c>
      <c r="H516" s="15" t="s">
        <v>8</v>
      </c>
      <c r="J516" s="15" t="s">
        <v>8</v>
      </c>
      <c r="K516" s="15" t="s">
        <v>8</v>
      </c>
      <c r="M516" s="15" t="s">
        <v>8</v>
      </c>
      <c r="P516" s="15" t="s">
        <v>8</v>
      </c>
      <c r="Q516" s="20" t="str">
        <f>HYPERLINK("http://yeinfo.com/family/I09065791.html", "ELIZABETH WRIGHT &lt;2&gt; 1504 EN-1575 EN ID:09041393")</f>
        <v>ELIZABETH WRIGHT &lt;2&gt; 1504 EN-1575 EN ID:09041393</v>
      </c>
      <c r="R516" s="17"/>
      <c r="S516" s="17"/>
      <c r="T516" s="17"/>
      <c r="U516" s="17"/>
    </row>
    <row r="517" spans="3:23" x14ac:dyDescent="0.35">
      <c r="C517" s="15" t="s">
        <v>8</v>
      </c>
      <c r="D517" s="15" t="s">
        <v>8</v>
      </c>
      <c r="H517" s="15" t="s">
        <v>8</v>
      </c>
      <c r="J517" s="15" t="s">
        <v>8</v>
      </c>
      <c r="K517" s="15" t="s">
        <v>8</v>
      </c>
      <c r="M517" s="15" t="s">
        <v>8</v>
      </c>
      <c r="P517" s="15" t="s">
        <v>8</v>
      </c>
      <c r="R517" s="15" t="s">
        <v>8</v>
      </c>
    </row>
    <row r="518" spans="3:23" x14ac:dyDescent="0.35">
      <c r="C518" s="15" t="s">
        <v>8</v>
      </c>
      <c r="D518" s="15" t="s">
        <v>8</v>
      </c>
      <c r="H518" s="15" t="s">
        <v>8</v>
      </c>
      <c r="J518" s="15" t="s">
        <v>8</v>
      </c>
      <c r="K518" s="15" t="s">
        <v>8</v>
      </c>
      <c r="M518" s="15" t="s">
        <v>8</v>
      </c>
      <c r="P518" s="15" t="s">
        <v>8</v>
      </c>
      <c r="R518" s="15" t="s">
        <v>8</v>
      </c>
      <c r="S518" s="19" t="str">
        <f>HYPERLINK("http://yeinfo.com/family/I09065656.html", "JOHN LECHE &lt;2&gt; 1449 EN-1475 EN ID:09065784")</f>
        <v>JOHN LECHE &lt;2&gt; 1449 EN-1475 EN ID:09065784</v>
      </c>
      <c r="T518" s="9"/>
      <c r="U518" s="9"/>
      <c r="V518" s="9"/>
      <c r="W518" s="9"/>
    </row>
    <row r="519" spans="3:23" x14ac:dyDescent="0.35">
      <c r="C519" s="15" t="s">
        <v>8</v>
      </c>
      <c r="D519" s="15" t="s">
        <v>8</v>
      </c>
      <c r="H519" s="15" t="s">
        <v>8</v>
      </c>
      <c r="J519" s="15" t="s">
        <v>8</v>
      </c>
      <c r="K519" s="15" t="s">
        <v>8</v>
      </c>
      <c r="M519" s="15" t="s">
        <v>8</v>
      </c>
      <c r="P519" s="15" t="s">
        <v>8</v>
      </c>
      <c r="R519" s="8" t="s">
        <v>6</v>
      </c>
      <c r="S519" s="8" t="s">
        <v>3</v>
      </c>
    </row>
    <row r="520" spans="3:23" x14ac:dyDescent="0.35">
      <c r="C520" s="15" t="s">
        <v>8</v>
      </c>
      <c r="D520" s="15" t="s">
        <v>8</v>
      </c>
      <c r="H520" s="15" t="s">
        <v>8</v>
      </c>
      <c r="J520" s="15" t="s">
        <v>8</v>
      </c>
      <c r="K520" s="15" t="s">
        <v>8</v>
      </c>
      <c r="M520" s="15" t="s">
        <v>8</v>
      </c>
      <c r="P520" s="15" t="s">
        <v>8</v>
      </c>
      <c r="R520" s="20" t="str">
        <f>HYPERLINK("http://yeinfo.com/family/I09065674.html", "MARGARET LECHE &lt;2&gt; 1475 EN-1552 EN ID:09065656")</f>
        <v>MARGARET LECHE &lt;2&gt; 1475 EN-1552 EN ID:09065656</v>
      </c>
      <c r="S520" s="17"/>
      <c r="T520" s="17"/>
      <c r="U520" s="17"/>
      <c r="V520" s="17"/>
    </row>
    <row r="521" spans="3:23" x14ac:dyDescent="0.35">
      <c r="C521" s="15" t="s">
        <v>8</v>
      </c>
      <c r="D521" s="15" t="s">
        <v>8</v>
      </c>
      <c r="H521" s="15" t="s">
        <v>8</v>
      </c>
      <c r="J521" s="15" t="s">
        <v>8</v>
      </c>
      <c r="K521" s="15" t="s">
        <v>8</v>
      </c>
      <c r="M521" s="15" t="s">
        <v>8</v>
      </c>
      <c r="P521" s="15" t="s">
        <v>8</v>
      </c>
      <c r="S521" s="8" t="s">
        <v>6</v>
      </c>
    </row>
    <row r="522" spans="3:23" x14ac:dyDescent="0.35">
      <c r="C522" s="15" t="s">
        <v>8</v>
      </c>
      <c r="D522" s="15" t="s">
        <v>8</v>
      </c>
      <c r="H522" s="15" t="s">
        <v>8</v>
      </c>
      <c r="J522" s="15" t="s">
        <v>8</v>
      </c>
      <c r="K522" s="15" t="s">
        <v>8</v>
      </c>
      <c r="M522" s="15" t="s">
        <v>8</v>
      </c>
      <c r="P522" s="15" t="s">
        <v>8</v>
      </c>
      <c r="S522" s="20" t="str">
        <f>HYPERLINK("http://yeinfo.com/family/I09065784.html", "MARGARET MAINWARING &lt;2&gt; 1455 EN-1475 EN ID:09065788")</f>
        <v>MARGARET MAINWARING &lt;2&gt; 1455 EN-1475 EN ID:09065788</v>
      </c>
      <c r="T522" s="17"/>
      <c r="U522" s="17"/>
      <c r="V522" s="17"/>
      <c r="W522" s="17"/>
    </row>
    <row r="523" spans="3:23" x14ac:dyDescent="0.35">
      <c r="C523" s="15" t="s">
        <v>8</v>
      </c>
      <c r="D523" s="15" t="s">
        <v>8</v>
      </c>
      <c r="H523" s="15" t="s">
        <v>8</v>
      </c>
      <c r="J523" s="15" t="s">
        <v>8</v>
      </c>
      <c r="K523" s="15" t="s">
        <v>8</v>
      </c>
      <c r="M523" s="15" t="s">
        <v>8</v>
      </c>
      <c r="P523" s="15" t="s">
        <v>8</v>
      </c>
    </row>
    <row r="524" spans="3:23" x14ac:dyDescent="0.35">
      <c r="C524" s="15" t="s">
        <v>8</v>
      </c>
      <c r="D524" s="15" t="s">
        <v>8</v>
      </c>
      <c r="H524" s="15" t="s">
        <v>8</v>
      </c>
      <c r="J524" s="15" t="s">
        <v>8</v>
      </c>
      <c r="K524" s="15" t="s">
        <v>8</v>
      </c>
      <c r="M524" s="15" t="s">
        <v>8</v>
      </c>
      <c r="O524" s="19" t="str">
        <f>HYPERLINK("http://yeinfo.com/family/I09005174.html", "THOMAS BUDD &lt;2&gt; 1550 EN-1609 EN ID:09010348")</f>
        <v>THOMAS BUDD &lt;2&gt; 1550 EN-1609 EN ID:09010348</v>
      </c>
      <c r="P524" s="9"/>
      <c r="Q524" s="9"/>
      <c r="R524" s="9"/>
      <c r="S524" s="9"/>
    </row>
    <row r="525" spans="3:23" x14ac:dyDescent="0.35">
      <c r="C525" s="15" t="s">
        <v>8</v>
      </c>
      <c r="D525" s="15" t="s">
        <v>8</v>
      </c>
      <c r="H525" s="15" t="s">
        <v>8</v>
      </c>
      <c r="J525" s="15" t="s">
        <v>8</v>
      </c>
      <c r="K525" s="15" t="s">
        <v>8</v>
      </c>
      <c r="M525" s="15" t="s">
        <v>8</v>
      </c>
      <c r="O525" s="8" t="s">
        <v>3</v>
      </c>
      <c r="P525" s="15" t="s">
        <v>8</v>
      </c>
    </row>
    <row r="526" spans="3:23" x14ac:dyDescent="0.35">
      <c r="C526" s="15" t="s">
        <v>8</v>
      </c>
      <c r="D526" s="15" t="s">
        <v>8</v>
      </c>
      <c r="H526" s="15" t="s">
        <v>8</v>
      </c>
      <c r="J526" s="15" t="s">
        <v>8</v>
      </c>
      <c r="K526" s="15" t="s">
        <v>8</v>
      </c>
      <c r="M526" s="15" t="s">
        <v>8</v>
      </c>
      <c r="O526" s="15" t="s">
        <v>8</v>
      </c>
      <c r="P526" s="15" t="s">
        <v>8</v>
      </c>
      <c r="Q526" s="19" t="str">
        <f>HYPERLINK("http://yeinfo.com/family/I09020697.html", "THOMAS SYMONDS &lt;2&gt; 1500 EN-1532 EN ID:09041394")</f>
        <v>THOMAS SYMONDS &lt;2&gt; 1500 EN-1532 EN ID:09041394</v>
      </c>
      <c r="R526" s="9"/>
      <c r="S526" s="9"/>
      <c r="T526" s="9"/>
      <c r="U526" s="9"/>
    </row>
    <row r="527" spans="3:23" x14ac:dyDescent="0.35">
      <c r="C527" s="15" t="s">
        <v>8</v>
      </c>
      <c r="D527" s="15" t="s">
        <v>8</v>
      </c>
      <c r="H527" s="15" t="s">
        <v>8</v>
      </c>
      <c r="J527" s="15" t="s">
        <v>8</v>
      </c>
      <c r="K527" s="15" t="s">
        <v>8</v>
      </c>
      <c r="M527" s="15" t="s">
        <v>8</v>
      </c>
      <c r="O527" s="15" t="s">
        <v>8</v>
      </c>
      <c r="P527" s="8" t="s">
        <v>6</v>
      </c>
      <c r="Q527" s="8" t="s">
        <v>3</v>
      </c>
    </row>
    <row r="528" spans="3:23" x14ac:dyDescent="0.35">
      <c r="C528" s="15" t="s">
        <v>8</v>
      </c>
      <c r="D528" s="15" t="s">
        <v>8</v>
      </c>
      <c r="H528" s="15" t="s">
        <v>8</v>
      </c>
      <c r="J528" s="15" t="s">
        <v>8</v>
      </c>
      <c r="K528" s="15" t="s">
        <v>8</v>
      </c>
      <c r="M528" s="15" t="s">
        <v>8</v>
      </c>
      <c r="O528" s="15" t="s">
        <v>8</v>
      </c>
      <c r="P528" s="20" t="str">
        <f>HYPERLINK("http://yeinfo.com/family/I09065788.html", "MARGARET SYMONDS &lt;2&gt; 1532 EN-1556 EN ID:09020697")</f>
        <v>MARGARET SYMONDS &lt;2&gt; 1532 EN-1556 EN ID:09020697</v>
      </c>
      <c r="Q528" s="17"/>
      <c r="R528" s="17"/>
      <c r="S528" s="17"/>
      <c r="T528" s="17"/>
    </row>
    <row r="529" spans="3:21" x14ac:dyDescent="0.35">
      <c r="C529" s="15" t="s">
        <v>8</v>
      </c>
      <c r="D529" s="15" t="s">
        <v>8</v>
      </c>
      <c r="H529" s="15" t="s">
        <v>8</v>
      </c>
      <c r="J529" s="15" t="s">
        <v>8</v>
      </c>
      <c r="K529" s="15" t="s">
        <v>8</v>
      </c>
      <c r="M529" s="15" t="s">
        <v>8</v>
      </c>
      <c r="O529" s="15" t="s">
        <v>8</v>
      </c>
      <c r="Q529" s="8" t="s">
        <v>6</v>
      </c>
    </row>
    <row r="530" spans="3:21" x14ac:dyDescent="0.35">
      <c r="C530" s="15" t="s">
        <v>8</v>
      </c>
      <c r="D530" s="15" t="s">
        <v>8</v>
      </c>
      <c r="H530" s="15" t="s">
        <v>8</v>
      </c>
      <c r="J530" s="15" t="s">
        <v>8</v>
      </c>
      <c r="K530" s="15" t="s">
        <v>8</v>
      </c>
      <c r="M530" s="15" t="s">
        <v>8</v>
      </c>
      <c r="O530" s="15" t="s">
        <v>8</v>
      </c>
      <c r="Q530" s="20" t="str">
        <f>HYPERLINK("http://yeinfo.com/family/I09041394.html", "Mrs. {_?_} SYMONDS &lt;2&gt; 1500 EN-1532 EN ID:09041395")</f>
        <v>Mrs. {_?_} SYMONDS &lt;2&gt; 1500 EN-1532 EN ID:09041395</v>
      </c>
      <c r="R530" s="17"/>
      <c r="S530" s="17"/>
      <c r="T530" s="17"/>
      <c r="U530" s="17"/>
    </row>
    <row r="531" spans="3:21" x14ac:dyDescent="0.35">
      <c r="C531" s="15" t="s">
        <v>8</v>
      </c>
      <c r="D531" s="15" t="s">
        <v>8</v>
      </c>
      <c r="H531" s="15" t="s">
        <v>8</v>
      </c>
      <c r="J531" s="15" t="s">
        <v>8</v>
      </c>
      <c r="K531" s="15" t="s">
        <v>8</v>
      </c>
      <c r="M531" s="15" t="s">
        <v>8</v>
      </c>
      <c r="O531" s="15" t="s">
        <v>8</v>
      </c>
    </row>
    <row r="532" spans="3:21" x14ac:dyDescent="0.35">
      <c r="C532" s="15" t="s">
        <v>8</v>
      </c>
      <c r="D532" s="15" t="s">
        <v>8</v>
      </c>
      <c r="H532" s="15" t="s">
        <v>8</v>
      </c>
      <c r="J532" s="15" t="s">
        <v>8</v>
      </c>
      <c r="K532" s="15" t="s">
        <v>8</v>
      </c>
      <c r="M532" s="15" t="s">
        <v>8</v>
      </c>
      <c r="N532" s="5" t="str">
        <f>HYPERLINK("http://yeinfo.com/family/I09002587.html", "JOHN BUDD Sr. &lt;2&gt; 1599 -1670  ID:09005174")</f>
        <v>JOHN BUDD Sr. &lt;2&gt; 1599 -1670  ID:09005174</v>
      </c>
      <c r="O532" s="3"/>
      <c r="P532" s="3"/>
      <c r="Q532" s="3"/>
      <c r="R532" s="3"/>
    </row>
    <row r="533" spans="3:21" x14ac:dyDescent="0.35">
      <c r="C533" s="15" t="s">
        <v>8</v>
      </c>
      <c r="D533" s="15" t="s">
        <v>8</v>
      </c>
      <c r="H533" s="15" t="s">
        <v>8</v>
      </c>
      <c r="J533" s="15" t="s">
        <v>8</v>
      </c>
      <c r="K533" s="15" t="s">
        <v>8</v>
      </c>
      <c r="M533" s="15" t="s">
        <v>8</v>
      </c>
      <c r="N533" s="8" t="s">
        <v>3</v>
      </c>
      <c r="O533" s="8" t="s">
        <v>6</v>
      </c>
    </row>
    <row r="534" spans="3:21" x14ac:dyDescent="0.35">
      <c r="C534" s="15" t="s">
        <v>8</v>
      </c>
      <c r="D534" s="15" t="s">
        <v>8</v>
      </c>
      <c r="H534" s="15" t="s">
        <v>8</v>
      </c>
      <c r="J534" s="15" t="s">
        <v>8</v>
      </c>
      <c r="K534" s="15" t="s">
        <v>8</v>
      </c>
      <c r="M534" s="15" t="s">
        <v>8</v>
      </c>
      <c r="N534" s="15" t="s">
        <v>8</v>
      </c>
      <c r="O534" s="20" t="str">
        <f>HYPERLINK("http://yeinfo.com/family/I09041395.html", "MARGARET WEST &lt;2&gt; 1555 EN-1630 EN ID:09010349")</f>
        <v>MARGARET WEST &lt;2&gt; 1555 EN-1630 EN ID:09010349</v>
      </c>
      <c r="P534" s="17"/>
      <c r="Q534" s="17"/>
      <c r="R534" s="17"/>
      <c r="S534" s="17"/>
    </row>
    <row r="535" spans="3:21" x14ac:dyDescent="0.35">
      <c r="C535" s="15" t="s">
        <v>8</v>
      </c>
      <c r="D535" s="15" t="s">
        <v>8</v>
      </c>
      <c r="H535" s="15" t="s">
        <v>8</v>
      </c>
      <c r="J535" s="15" t="s">
        <v>8</v>
      </c>
      <c r="K535" s="15" t="s">
        <v>8</v>
      </c>
      <c r="M535" s="8" t="s">
        <v>6</v>
      </c>
      <c r="N535" s="15" t="s">
        <v>8</v>
      </c>
    </row>
    <row r="536" spans="3:21" x14ac:dyDescent="0.35">
      <c r="C536" s="15" t="s">
        <v>8</v>
      </c>
      <c r="D536" s="15" t="s">
        <v>8</v>
      </c>
      <c r="H536" s="15" t="s">
        <v>8</v>
      </c>
      <c r="J536" s="15" t="s">
        <v>8</v>
      </c>
      <c r="K536" s="15" t="s">
        <v>8</v>
      </c>
      <c r="M536" s="16" t="str">
        <f>HYPERLINK("http://yeinfo.com/family/I09005173.html", "ELIZABETH BUDD &lt;2&gt; 1641 -1661 NY ID:09002587")</f>
        <v>ELIZABETH BUDD &lt;2&gt; 1641 -1661 NY ID:09002587</v>
      </c>
      <c r="N536" s="11"/>
      <c r="O536" s="11"/>
      <c r="P536" s="11"/>
      <c r="Q536" s="11"/>
    </row>
    <row r="537" spans="3:21" x14ac:dyDescent="0.35">
      <c r="C537" s="15" t="s">
        <v>8</v>
      </c>
      <c r="D537" s="15" t="s">
        <v>8</v>
      </c>
      <c r="H537" s="15" t="s">
        <v>8</v>
      </c>
      <c r="J537" s="15" t="s">
        <v>8</v>
      </c>
      <c r="K537" s="15" t="s">
        <v>8</v>
      </c>
      <c r="N537" s="15" t="s">
        <v>8</v>
      </c>
    </row>
    <row r="538" spans="3:21" x14ac:dyDescent="0.35">
      <c r="C538" s="15" t="s">
        <v>8</v>
      </c>
      <c r="D538" s="15" t="s">
        <v>8</v>
      </c>
      <c r="H538" s="15" t="s">
        <v>8</v>
      </c>
      <c r="J538" s="15" t="s">
        <v>8</v>
      </c>
      <c r="K538" s="15" t="s">
        <v>8</v>
      </c>
      <c r="N538" s="15" t="s">
        <v>8</v>
      </c>
      <c r="O538" s="19" t="str">
        <f>HYPERLINK("http://yeinfo.com/family/I09005175.html", "RICHARD BUTCHER &lt;2&gt; 1550 EN-1601 EN ID:09010350")</f>
        <v>RICHARD BUTCHER &lt;2&gt; 1550 EN-1601 EN ID:09010350</v>
      </c>
      <c r="P538" s="9"/>
      <c r="Q538" s="9"/>
      <c r="R538" s="9"/>
      <c r="S538" s="9"/>
    </row>
    <row r="539" spans="3:21" x14ac:dyDescent="0.35">
      <c r="C539" s="15" t="s">
        <v>8</v>
      </c>
      <c r="D539" s="15" t="s">
        <v>8</v>
      </c>
      <c r="H539" s="15" t="s">
        <v>8</v>
      </c>
      <c r="J539" s="15" t="s">
        <v>8</v>
      </c>
      <c r="K539" s="15" t="s">
        <v>8</v>
      </c>
      <c r="N539" s="8" t="s">
        <v>6</v>
      </c>
      <c r="O539" s="8" t="s">
        <v>3</v>
      </c>
    </row>
    <row r="540" spans="3:21" x14ac:dyDescent="0.35">
      <c r="C540" s="15" t="s">
        <v>8</v>
      </c>
      <c r="D540" s="15" t="s">
        <v>8</v>
      </c>
      <c r="H540" s="15" t="s">
        <v>8</v>
      </c>
      <c r="J540" s="15" t="s">
        <v>8</v>
      </c>
      <c r="K540" s="15" t="s">
        <v>8</v>
      </c>
      <c r="N540" s="22" t="str">
        <f>HYPERLINK("http://yeinfo.com/family/I09010349.html", "KATHERINE BUTCHER &lt;2&gt; 1598 EN-1674 NY ID:09005175")</f>
        <v>KATHERINE BUTCHER &lt;2&gt; 1598 EN-1674 NY ID:09005175</v>
      </c>
      <c r="O540" s="13"/>
      <c r="P540" s="13"/>
      <c r="Q540" s="13"/>
      <c r="R540" s="13"/>
    </row>
    <row r="541" spans="3:21" x14ac:dyDescent="0.35">
      <c r="C541" s="15" t="s">
        <v>8</v>
      </c>
      <c r="D541" s="15" t="s">
        <v>8</v>
      </c>
      <c r="H541" s="15" t="s">
        <v>8</v>
      </c>
      <c r="J541" s="15" t="s">
        <v>8</v>
      </c>
      <c r="K541" s="15" t="s">
        <v>8</v>
      </c>
      <c r="O541" s="8" t="s">
        <v>6</v>
      </c>
    </row>
    <row r="542" spans="3:21" x14ac:dyDescent="0.35">
      <c r="C542" s="15" t="s">
        <v>8</v>
      </c>
      <c r="D542" s="15" t="s">
        <v>8</v>
      </c>
      <c r="H542" s="15" t="s">
        <v>8</v>
      </c>
      <c r="J542" s="15" t="s">
        <v>8</v>
      </c>
      <c r="K542" s="15" t="s">
        <v>8</v>
      </c>
      <c r="O542" s="20" t="str">
        <f>HYPERLINK("http://yeinfo.com/family/I09010350.html", "KATHERINE HARGRAVE &lt;2&gt; 1561 EN-1601 EN ID:09010351")</f>
        <v>KATHERINE HARGRAVE &lt;2&gt; 1561 EN-1601 EN ID:09010351</v>
      </c>
      <c r="P542" s="17"/>
      <c r="Q542" s="17"/>
      <c r="R542" s="17"/>
      <c r="S542" s="17"/>
    </row>
    <row r="543" spans="3:21" x14ac:dyDescent="0.35">
      <c r="C543" s="15" t="s">
        <v>8</v>
      </c>
      <c r="D543" s="15" t="s">
        <v>8</v>
      </c>
      <c r="H543" s="15" t="s">
        <v>8</v>
      </c>
      <c r="J543" s="8" t="s">
        <v>6</v>
      </c>
      <c r="K543" s="15" t="s">
        <v>8</v>
      </c>
    </row>
    <row r="544" spans="3:21" x14ac:dyDescent="0.35">
      <c r="C544" s="15" t="s">
        <v>8</v>
      </c>
      <c r="D544" s="15" t="s">
        <v>8</v>
      </c>
      <c r="H544" s="15" t="s">
        <v>8</v>
      </c>
      <c r="J544" s="16" t="str">
        <f>HYPERLINK("http://yeinfo.com/family/I09001291.html", "MARTHA FOWLER &lt;2&gt; 1704 NY-1737 NY ID:09000323")</f>
        <v>MARTHA FOWLER &lt;2&gt; 1704 NY-1737 NY ID:09000323</v>
      </c>
      <c r="K544" s="11"/>
      <c r="L544" s="11"/>
      <c r="M544" s="11"/>
      <c r="N544" s="11"/>
    </row>
    <row r="545" spans="3:20" x14ac:dyDescent="0.35">
      <c r="C545" s="15" t="s">
        <v>8</v>
      </c>
      <c r="D545" s="15" t="s">
        <v>8</v>
      </c>
      <c r="H545" s="15" t="s">
        <v>8</v>
      </c>
      <c r="K545" s="15" t="s">
        <v>8</v>
      </c>
    </row>
    <row r="546" spans="3:20" x14ac:dyDescent="0.35">
      <c r="C546" s="15" t="s">
        <v>8</v>
      </c>
      <c r="D546" s="15" t="s">
        <v>8</v>
      </c>
      <c r="H546" s="15" t="s">
        <v>8</v>
      </c>
      <c r="K546" s="15" t="s">
        <v>8</v>
      </c>
      <c r="P546" s="19" t="str">
        <f>HYPERLINK("http://yeinfo.com/family/I09010352.html", "ROBERT DRAKE &lt;2&gt; 1528 EN-1600 EN ID:09020704")</f>
        <v>ROBERT DRAKE &lt;2&gt; 1528 EN-1600 EN ID:09020704</v>
      </c>
      <c r="Q546" s="9"/>
      <c r="R546" s="9"/>
      <c r="S546" s="9"/>
      <c r="T546" s="9"/>
    </row>
    <row r="547" spans="3:20" x14ac:dyDescent="0.35">
      <c r="C547" s="15" t="s">
        <v>8</v>
      </c>
      <c r="D547" s="15" t="s">
        <v>8</v>
      </c>
      <c r="H547" s="15" t="s">
        <v>8</v>
      </c>
      <c r="K547" s="15" t="s">
        <v>8</v>
      </c>
      <c r="P547" s="8" t="s">
        <v>3</v>
      </c>
    </row>
    <row r="548" spans="3:20" x14ac:dyDescent="0.35">
      <c r="C548" s="15" t="s">
        <v>8</v>
      </c>
      <c r="D548" s="15" t="s">
        <v>8</v>
      </c>
      <c r="H548" s="15" t="s">
        <v>8</v>
      </c>
      <c r="K548" s="15" t="s">
        <v>8</v>
      </c>
      <c r="O548" s="19" t="str">
        <f>HYPERLINK("http://yeinfo.com/family/I09005176.html", "WILLIAM DRAKE &lt;2&gt; 1564 EN-1625 EN ID:09010352")</f>
        <v>WILLIAM DRAKE &lt;2&gt; 1564 EN-1625 EN ID:09010352</v>
      </c>
      <c r="P548" s="9"/>
      <c r="Q548" s="9"/>
      <c r="R548" s="9"/>
      <c r="S548" s="9"/>
    </row>
    <row r="549" spans="3:20" x14ac:dyDescent="0.35">
      <c r="C549" s="15" t="s">
        <v>8</v>
      </c>
      <c r="D549" s="15" t="s">
        <v>8</v>
      </c>
      <c r="H549" s="15" t="s">
        <v>8</v>
      </c>
      <c r="K549" s="15" t="s">
        <v>8</v>
      </c>
      <c r="O549" s="8" t="s">
        <v>3</v>
      </c>
      <c r="P549" s="8" t="s">
        <v>6</v>
      </c>
    </row>
    <row r="550" spans="3:20" x14ac:dyDescent="0.35">
      <c r="C550" s="15" t="s">
        <v>8</v>
      </c>
      <c r="D550" s="15" t="s">
        <v>8</v>
      </c>
      <c r="H550" s="15" t="s">
        <v>8</v>
      </c>
      <c r="K550" s="15" t="s">
        <v>8</v>
      </c>
      <c r="O550" s="15" t="s">
        <v>8</v>
      </c>
      <c r="P550" s="20" t="str">
        <f>HYPERLINK("http://yeinfo.com/family/I09020704.html", "ELIZABETH PRIDEAUX &lt;2&gt; 1523 EN-1572 EN ID:09020705")</f>
        <v>ELIZABETH PRIDEAUX &lt;2&gt; 1523 EN-1572 EN ID:09020705</v>
      </c>
      <c r="Q550" s="17"/>
      <c r="R550" s="17"/>
      <c r="S550" s="17"/>
      <c r="T550" s="17"/>
    </row>
    <row r="551" spans="3:20" x14ac:dyDescent="0.35">
      <c r="C551" s="15" t="s">
        <v>8</v>
      </c>
      <c r="D551" s="15" t="s">
        <v>8</v>
      </c>
      <c r="H551" s="15" t="s">
        <v>8</v>
      </c>
      <c r="K551" s="15" t="s">
        <v>8</v>
      </c>
      <c r="O551" s="15" t="s">
        <v>8</v>
      </c>
    </row>
    <row r="552" spans="3:20" x14ac:dyDescent="0.35">
      <c r="C552" s="15" t="s">
        <v>8</v>
      </c>
      <c r="D552" s="15" t="s">
        <v>8</v>
      </c>
      <c r="H552" s="15" t="s">
        <v>8</v>
      </c>
      <c r="K552" s="15" t="s">
        <v>8</v>
      </c>
      <c r="N552" s="21" t="str">
        <f>HYPERLINK("http://yeinfo.com/family/I09002588.html", "JOHN DRAKE Sr. &lt;2&gt; 1585 EN-1659 CT ID:09005176")</f>
        <v>JOHN DRAKE Sr. &lt;2&gt; 1585 EN-1659 CT ID:09005176</v>
      </c>
      <c r="O552" s="6"/>
      <c r="P552" s="6"/>
      <c r="Q552" s="6"/>
      <c r="R552" s="6"/>
    </row>
    <row r="553" spans="3:20" x14ac:dyDescent="0.35">
      <c r="C553" s="15" t="s">
        <v>8</v>
      </c>
      <c r="D553" s="15" t="s">
        <v>8</v>
      </c>
      <c r="H553" s="15" t="s">
        <v>8</v>
      </c>
      <c r="K553" s="15" t="s">
        <v>8</v>
      </c>
      <c r="N553" s="8" t="s">
        <v>3</v>
      </c>
      <c r="O553" s="15" t="s">
        <v>8</v>
      </c>
    </row>
    <row r="554" spans="3:20" x14ac:dyDescent="0.35">
      <c r="C554" s="15" t="s">
        <v>8</v>
      </c>
      <c r="D554" s="15" t="s">
        <v>8</v>
      </c>
      <c r="H554" s="15" t="s">
        <v>8</v>
      </c>
      <c r="K554" s="15" t="s">
        <v>8</v>
      </c>
      <c r="N554" s="15" t="s">
        <v>8</v>
      </c>
      <c r="O554" s="15" t="s">
        <v>8</v>
      </c>
      <c r="P554" s="19" t="str">
        <f>HYPERLINK("http://yeinfo.com/family/I09010353.html", "ROBERT DENNIS &lt;2&gt; 1540 EN-1592 EN ID:09020706")</f>
        <v>ROBERT DENNIS &lt;2&gt; 1540 EN-1592 EN ID:09020706</v>
      </c>
      <c r="Q554" s="9"/>
      <c r="R554" s="9"/>
      <c r="S554" s="9"/>
      <c r="T554" s="9"/>
    </row>
    <row r="555" spans="3:20" x14ac:dyDescent="0.35">
      <c r="C555" s="15" t="s">
        <v>8</v>
      </c>
      <c r="D555" s="15" t="s">
        <v>8</v>
      </c>
      <c r="H555" s="15" t="s">
        <v>8</v>
      </c>
      <c r="K555" s="15" t="s">
        <v>8</v>
      </c>
      <c r="N555" s="15" t="s">
        <v>8</v>
      </c>
      <c r="O555" s="8" t="s">
        <v>6</v>
      </c>
      <c r="P555" s="8" t="s">
        <v>3</v>
      </c>
    </row>
    <row r="556" spans="3:20" x14ac:dyDescent="0.35">
      <c r="C556" s="15" t="s">
        <v>8</v>
      </c>
      <c r="D556" s="15" t="s">
        <v>8</v>
      </c>
      <c r="H556" s="15" t="s">
        <v>8</v>
      </c>
      <c r="K556" s="15" t="s">
        <v>8</v>
      </c>
      <c r="N556" s="15" t="s">
        <v>8</v>
      </c>
      <c r="O556" s="20" t="str">
        <f>HYPERLINK("http://yeinfo.com/family/I09020705.html", "PHILLIPPA DENNIS &lt;2&gt; 1561 EN-1655 EN ID:09010353")</f>
        <v>PHILLIPPA DENNIS &lt;2&gt; 1561 EN-1655 EN ID:09010353</v>
      </c>
      <c r="P556" s="17"/>
      <c r="Q556" s="17"/>
      <c r="R556" s="17"/>
      <c r="S556" s="17"/>
    </row>
    <row r="557" spans="3:20" x14ac:dyDescent="0.35">
      <c r="C557" s="15" t="s">
        <v>8</v>
      </c>
      <c r="D557" s="15" t="s">
        <v>8</v>
      </c>
      <c r="H557" s="15" t="s">
        <v>8</v>
      </c>
      <c r="K557" s="15" t="s">
        <v>8</v>
      </c>
      <c r="N557" s="15" t="s">
        <v>8</v>
      </c>
      <c r="P557" s="8" t="s">
        <v>6</v>
      </c>
    </row>
    <row r="558" spans="3:20" x14ac:dyDescent="0.35">
      <c r="C558" s="15" t="s">
        <v>8</v>
      </c>
      <c r="D558" s="15" t="s">
        <v>8</v>
      </c>
      <c r="H558" s="15" t="s">
        <v>8</v>
      </c>
      <c r="K558" s="15" t="s">
        <v>8</v>
      </c>
      <c r="N558" s="15" t="s">
        <v>8</v>
      </c>
      <c r="P558" s="20" t="str">
        <f>HYPERLINK("http://yeinfo.com/family/I09020706.html", "Mrs. {_?_} DENNIS &lt;2&gt; 1540 EN-1561 EN ID:09020707")</f>
        <v>Mrs. {_?_} DENNIS &lt;2&gt; 1540 EN-1561 EN ID:09020707</v>
      </c>
      <c r="Q558" s="17"/>
      <c r="R558" s="17"/>
      <c r="S558" s="17"/>
      <c r="T558" s="17"/>
    </row>
    <row r="559" spans="3:20" x14ac:dyDescent="0.35">
      <c r="C559" s="15" t="s">
        <v>8</v>
      </c>
      <c r="D559" s="15" t="s">
        <v>8</v>
      </c>
      <c r="H559" s="15" t="s">
        <v>8</v>
      </c>
      <c r="K559" s="15" t="s">
        <v>8</v>
      </c>
      <c r="N559" s="15" t="s">
        <v>8</v>
      </c>
    </row>
    <row r="560" spans="3:20" x14ac:dyDescent="0.35">
      <c r="C560" s="15" t="s">
        <v>8</v>
      </c>
      <c r="D560" s="15" t="s">
        <v>8</v>
      </c>
      <c r="H560" s="15" t="s">
        <v>8</v>
      </c>
      <c r="K560" s="15" t="s">
        <v>8</v>
      </c>
      <c r="M560" s="21" t="str">
        <f>HYPERLINK("http://yeinfo.com/family/I09001294.html", "SAMUEL DRAKE &lt;2&gt; 1623 EN-1686 NY ID:09002588")</f>
        <v>SAMUEL DRAKE &lt;2&gt; 1623 EN-1686 NY ID:09002588</v>
      </c>
      <c r="N560" s="6"/>
      <c r="O560" s="6"/>
      <c r="P560" s="6"/>
      <c r="Q560" s="6"/>
    </row>
    <row r="561" spans="3:23" x14ac:dyDescent="0.35">
      <c r="C561" s="15" t="s">
        <v>8</v>
      </c>
      <c r="D561" s="15" t="s">
        <v>8</v>
      </c>
      <c r="H561" s="15" t="s">
        <v>8</v>
      </c>
      <c r="K561" s="15" t="s">
        <v>8</v>
      </c>
      <c r="M561" s="8" t="s">
        <v>3</v>
      </c>
      <c r="N561" s="8" t="s">
        <v>6</v>
      </c>
    </row>
    <row r="562" spans="3:23" x14ac:dyDescent="0.35">
      <c r="C562" s="15" t="s">
        <v>8</v>
      </c>
      <c r="D562" s="15" t="s">
        <v>8</v>
      </c>
      <c r="H562" s="15" t="s">
        <v>8</v>
      </c>
      <c r="K562" s="15" t="s">
        <v>8</v>
      </c>
      <c r="M562" s="15" t="s">
        <v>8</v>
      </c>
      <c r="N562" s="22" t="str">
        <f>HYPERLINK("http://yeinfo.com/family/I09020707.html", "ELIZABETH ROGERS &lt;2&gt; 1600 EN-1681 CT ID:09005177")</f>
        <v>ELIZABETH ROGERS &lt;2&gt; 1600 EN-1681 CT ID:09005177</v>
      </c>
      <c r="O562" s="13"/>
      <c r="P562" s="13"/>
      <c r="Q562" s="13"/>
      <c r="R562" s="13"/>
    </row>
    <row r="563" spans="3:23" x14ac:dyDescent="0.35">
      <c r="C563" s="15" t="s">
        <v>8</v>
      </c>
      <c r="D563" s="15" t="s">
        <v>8</v>
      </c>
      <c r="H563" s="15" t="s">
        <v>8</v>
      </c>
      <c r="K563" s="15" t="s">
        <v>8</v>
      </c>
      <c r="M563" s="15" t="s">
        <v>8</v>
      </c>
    </row>
    <row r="564" spans="3:23" x14ac:dyDescent="0.35">
      <c r="C564" s="15" t="s">
        <v>8</v>
      </c>
      <c r="D564" s="15" t="s">
        <v>8</v>
      </c>
      <c r="H564" s="15" t="s">
        <v>8</v>
      </c>
      <c r="K564" s="15" t="s">
        <v>8</v>
      </c>
      <c r="L564" s="5" t="str">
        <f>HYPERLINK("http://yeinfo.com/family/I09000647.html", "JOSEPH DRAKE &lt;2&gt; 1663 NY-1731 NY ID:09001294")</f>
        <v>JOSEPH DRAKE &lt;2&gt; 1663 NY-1731 NY ID:09001294</v>
      </c>
      <c r="M564" s="3"/>
      <c r="N564" s="3"/>
      <c r="O564" s="3"/>
      <c r="P564" s="3"/>
    </row>
    <row r="565" spans="3:23" x14ac:dyDescent="0.35">
      <c r="C565" s="15" t="s">
        <v>8</v>
      </c>
      <c r="D565" s="15" t="s">
        <v>8</v>
      </c>
      <c r="H565" s="15" t="s">
        <v>8</v>
      </c>
      <c r="K565" s="15" t="s">
        <v>8</v>
      </c>
      <c r="L565" s="8" t="s">
        <v>3</v>
      </c>
      <c r="M565" s="15" t="s">
        <v>8</v>
      </c>
    </row>
    <row r="566" spans="3:23" x14ac:dyDescent="0.35">
      <c r="C566" s="15" t="s">
        <v>8</v>
      </c>
      <c r="D566" s="15" t="s">
        <v>8</v>
      </c>
      <c r="H566" s="15" t="s">
        <v>8</v>
      </c>
      <c r="K566" s="15" t="s">
        <v>8</v>
      </c>
      <c r="L566" s="15" t="s">
        <v>8</v>
      </c>
      <c r="M566" s="15" t="s">
        <v>8</v>
      </c>
      <c r="S566" s="19" t="str">
        <f>HYPERLINK("http://yeinfo.com/family/I09066779.html", "ALEXANDER BARLOW &lt;2&gt; 1414 EN-1466 EN ID:09066778")</f>
        <v>ALEXANDER BARLOW &lt;2&gt; 1414 EN-1466 EN ID:09066778</v>
      </c>
      <c r="T566" s="9"/>
      <c r="U566" s="9"/>
      <c r="V566" s="9"/>
      <c r="W566" s="9"/>
    </row>
    <row r="567" spans="3:23" x14ac:dyDescent="0.35">
      <c r="C567" s="15" t="s">
        <v>8</v>
      </c>
      <c r="D567" s="15" t="s">
        <v>8</v>
      </c>
      <c r="H567" s="15" t="s">
        <v>8</v>
      </c>
      <c r="K567" s="15" t="s">
        <v>8</v>
      </c>
      <c r="L567" s="15" t="s">
        <v>8</v>
      </c>
      <c r="M567" s="15" t="s">
        <v>8</v>
      </c>
      <c r="S567" s="8" t="s">
        <v>3</v>
      </c>
    </row>
    <row r="568" spans="3:23" x14ac:dyDescent="0.35">
      <c r="C568" s="15" t="s">
        <v>8</v>
      </c>
      <c r="D568" s="15" t="s">
        <v>8</v>
      </c>
      <c r="H568" s="15" t="s">
        <v>8</v>
      </c>
      <c r="K568" s="15" t="s">
        <v>8</v>
      </c>
      <c r="L568" s="15" t="s">
        <v>8</v>
      </c>
      <c r="M568" s="15" t="s">
        <v>8</v>
      </c>
      <c r="R568" s="19" t="str">
        <f>HYPERLINK("http://yeinfo.com/family/I09041424.html", "ROGER BARLOW &lt;2&gt; 1461 EN-1529 EN ID:09066779")</f>
        <v>ROGER BARLOW &lt;2&gt; 1461 EN-1529 EN ID:09066779</v>
      </c>
      <c r="S568" s="9"/>
      <c r="T568" s="9"/>
      <c r="U568" s="9"/>
      <c r="V568" s="9"/>
    </row>
    <row r="569" spans="3:23" x14ac:dyDescent="0.35">
      <c r="C569" s="15" t="s">
        <v>8</v>
      </c>
      <c r="D569" s="15" t="s">
        <v>8</v>
      </c>
      <c r="H569" s="15" t="s">
        <v>8</v>
      </c>
      <c r="K569" s="15" t="s">
        <v>8</v>
      </c>
      <c r="L569" s="15" t="s">
        <v>8</v>
      </c>
      <c r="M569" s="15" t="s">
        <v>8</v>
      </c>
      <c r="R569" s="8" t="s">
        <v>3</v>
      </c>
      <c r="S569" s="8" t="s">
        <v>6</v>
      </c>
    </row>
    <row r="570" spans="3:23" x14ac:dyDescent="0.35">
      <c r="C570" s="15" t="s">
        <v>8</v>
      </c>
      <c r="D570" s="15" t="s">
        <v>8</v>
      </c>
      <c r="H570" s="15" t="s">
        <v>8</v>
      </c>
      <c r="K570" s="15" t="s">
        <v>8</v>
      </c>
      <c r="L570" s="15" t="s">
        <v>8</v>
      </c>
      <c r="M570" s="15" t="s">
        <v>8</v>
      </c>
      <c r="R570" s="15" t="s">
        <v>8</v>
      </c>
      <c r="S570" s="20" t="str">
        <f>HYPERLINK("http://yeinfo.com/family/I09066778.html", "ELIZABETH ASHTON &lt;2&gt; 1428 EN-1465 EN ID:09066772")</f>
        <v>ELIZABETH ASHTON &lt;2&gt; 1428 EN-1465 EN ID:09066772</v>
      </c>
      <c r="T570" s="17"/>
      <c r="U570" s="17"/>
      <c r="V570" s="17"/>
      <c r="W570" s="17"/>
    </row>
    <row r="571" spans="3:23" x14ac:dyDescent="0.35">
      <c r="C571" s="15" t="s">
        <v>8</v>
      </c>
      <c r="D571" s="15" t="s">
        <v>8</v>
      </c>
      <c r="H571" s="15" t="s">
        <v>8</v>
      </c>
      <c r="K571" s="15" t="s">
        <v>8</v>
      </c>
      <c r="L571" s="15" t="s">
        <v>8</v>
      </c>
      <c r="M571" s="15" t="s">
        <v>8</v>
      </c>
      <c r="R571" s="15" t="s">
        <v>8</v>
      </c>
    </row>
    <row r="572" spans="3:23" x14ac:dyDescent="0.35">
      <c r="C572" s="15" t="s">
        <v>8</v>
      </c>
      <c r="D572" s="15" t="s">
        <v>8</v>
      </c>
      <c r="H572" s="15" t="s">
        <v>8</v>
      </c>
      <c r="K572" s="15" t="s">
        <v>8</v>
      </c>
      <c r="L572" s="15" t="s">
        <v>8</v>
      </c>
      <c r="M572" s="15" t="s">
        <v>8</v>
      </c>
      <c r="Q572" s="19" t="str">
        <f>HYPERLINK("http://yeinfo.com/family/I09020712.html", "ELLIS BARLOW &lt;2&gt; 1501 -1521 EN ID:09041424")</f>
        <v>ELLIS BARLOW &lt;2&gt; 1501 -1521 EN ID:09041424</v>
      </c>
      <c r="R572" s="9"/>
      <c r="S572" s="9"/>
      <c r="T572" s="9"/>
      <c r="U572" s="9"/>
    </row>
    <row r="573" spans="3:23" x14ac:dyDescent="0.35">
      <c r="C573" s="15" t="s">
        <v>8</v>
      </c>
      <c r="D573" s="15" t="s">
        <v>8</v>
      </c>
      <c r="H573" s="15" t="s">
        <v>8</v>
      </c>
      <c r="K573" s="15" t="s">
        <v>8</v>
      </c>
      <c r="L573" s="15" t="s">
        <v>8</v>
      </c>
      <c r="M573" s="15" t="s">
        <v>8</v>
      </c>
      <c r="Q573" s="8" t="s">
        <v>3</v>
      </c>
      <c r="R573" s="15" t="s">
        <v>8</v>
      </c>
    </row>
    <row r="574" spans="3:23" x14ac:dyDescent="0.35">
      <c r="C574" s="15" t="s">
        <v>8</v>
      </c>
      <c r="D574" s="15" t="s">
        <v>8</v>
      </c>
      <c r="H574" s="15" t="s">
        <v>8</v>
      </c>
      <c r="K574" s="15" t="s">
        <v>8</v>
      </c>
      <c r="L574" s="15" t="s">
        <v>8</v>
      </c>
      <c r="M574" s="15" t="s">
        <v>8</v>
      </c>
      <c r="Q574" s="15" t="s">
        <v>8</v>
      </c>
      <c r="R574" s="15" t="s">
        <v>8</v>
      </c>
      <c r="S574" s="19" t="str">
        <f>HYPERLINK("http://yeinfo.com/family/I09066827.html", "ELLIS PRESTWICH &lt;2&gt; 1437 EN-1501 EN ID:09066826")</f>
        <v>ELLIS PRESTWICH &lt;2&gt; 1437 EN-1501 EN ID:09066826</v>
      </c>
      <c r="T574" s="9"/>
      <c r="U574" s="9"/>
      <c r="V574" s="9"/>
      <c r="W574" s="9"/>
    </row>
    <row r="575" spans="3:23" x14ac:dyDescent="0.35">
      <c r="C575" s="15" t="s">
        <v>8</v>
      </c>
      <c r="D575" s="15" t="s">
        <v>8</v>
      </c>
      <c r="H575" s="15" t="s">
        <v>8</v>
      </c>
      <c r="K575" s="15" t="s">
        <v>8</v>
      </c>
      <c r="L575" s="15" t="s">
        <v>8</v>
      </c>
      <c r="M575" s="15" t="s">
        <v>8</v>
      </c>
      <c r="Q575" s="15" t="s">
        <v>8</v>
      </c>
      <c r="R575" s="8" t="s">
        <v>6</v>
      </c>
      <c r="S575" s="8" t="s">
        <v>3</v>
      </c>
    </row>
    <row r="576" spans="3:23" x14ac:dyDescent="0.35">
      <c r="C576" s="15" t="s">
        <v>8</v>
      </c>
      <c r="D576" s="15" t="s">
        <v>8</v>
      </c>
      <c r="H576" s="15" t="s">
        <v>8</v>
      </c>
      <c r="K576" s="15" t="s">
        <v>8</v>
      </c>
      <c r="L576" s="15" t="s">
        <v>8</v>
      </c>
      <c r="M576" s="15" t="s">
        <v>8</v>
      </c>
      <c r="Q576" s="15" t="s">
        <v>8</v>
      </c>
      <c r="R576" s="20" t="str">
        <f>HYPERLINK("http://yeinfo.com/family/I09066772.html", "CATHERINE PRESTWICH &lt;2&gt; 1463 EN-1525 EN ID:09066827")</f>
        <v>CATHERINE PRESTWICH &lt;2&gt; 1463 EN-1525 EN ID:09066827</v>
      </c>
      <c r="S576" s="17"/>
      <c r="T576" s="17"/>
      <c r="U576" s="17"/>
      <c r="V576" s="17"/>
    </row>
    <row r="577" spans="3:25" x14ac:dyDescent="0.35">
      <c r="C577" s="15" t="s">
        <v>8</v>
      </c>
      <c r="D577" s="15" t="s">
        <v>8</v>
      </c>
      <c r="H577" s="15" t="s">
        <v>8</v>
      </c>
      <c r="K577" s="15" t="s">
        <v>8</v>
      </c>
      <c r="L577" s="15" t="s">
        <v>8</v>
      </c>
      <c r="M577" s="15" t="s">
        <v>8</v>
      </c>
      <c r="Q577" s="15" t="s">
        <v>8</v>
      </c>
      <c r="S577" s="15" t="s">
        <v>8</v>
      </c>
    </row>
    <row r="578" spans="3:25" x14ac:dyDescent="0.35">
      <c r="C578" s="15" t="s">
        <v>8</v>
      </c>
      <c r="D578" s="15" t="s">
        <v>8</v>
      </c>
      <c r="H578" s="15" t="s">
        <v>8</v>
      </c>
      <c r="K578" s="15" t="s">
        <v>8</v>
      </c>
      <c r="L578" s="15" t="s">
        <v>8</v>
      </c>
      <c r="M578" s="15" t="s">
        <v>8</v>
      </c>
      <c r="Q578" s="15" t="s">
        <v>8</v>
      </c>
      <c r="S578" s="15" t="s">
        <v>8</v>
      </c>
      <c r="U578" s="19" t="str">
        <f>HYPERLINK("http://yeinfo.com/family/I09066840.html", "HUGH TYLDESLEY &lt;2&gt; 1370 EN-1434 EN ID:09066839")</f>
        <v>HUGH TYLDESLEY &lt;2&gt; 1370 EN-1434 EN ID:09066839</v>
      </c>
      <c r="V578" s="9"/>
      <c r="W578" s="9"/>
      <c r="X578" s="9"/>
      <c r="Y578" s="9"/>
    </row>
    <row r="579" spans="3:25" x14ac:dyDescent="0.35">
      <c r="C579" s="15" t="s">
        <v>8</v>
      </c>
      <c r="D579" s="15" t="s">
        <v>8</v>
      </c>
      <c r="H579" s="15" t="s">
        <v>8</v>
      </c>
      <c r="K579" s="15" t="s">
        <v>8</v>
      </c>
      <c r="L579" s="15" t="s">
        <v>8</v>
      </c>
      <c r="M579" s="15" t="s">
        <v>8</v>
      </c>
      <c r="Q579" s="15" t="s">
        <v>8</v>
      </c>
      <c r="S579" s="15" t="s">
        <v>8</v>
      </c>
      <c r="U579" s="8" t="s">
        <v>3</v>
      </c>
    </row>
    <row r="580" spans="3:25" x14ac:dyDescent="0.35">
      <c r="C580" s="15" t="s">
        <v>8</v>
      </c>
      <c r="D580" s="15" t="s">
        <v>8</v>
      </c>
      <c r="H580" s="15" t="s">
        <v>8</v>
      </c>
      <c r="K580" s="15" t="s">
        <v>8</v>
      </c>
      <c r="L580" s="15" t="s">
        <v>8</v>
      </c>
      <c r="M580" s="15" t="s">
        <v>8</v>
      </c>
      <c r="Q580" s="15" t="s">
        <v>8</v>
      </c>
      <c r="S580" s="15" t="s">
        <v>8</v>
      </c>
      <c r="T580" s="19" t="str">
        <f>HYPERLINK("http://yeinfo.com/family/I09066841.html", "THURSTON TYLDESLEY &lt;2&gt; 1400 EN-1441 EN ID:09066840")</f>
        <v>THURSTON TYLDESLEY &lt;2&gt; 1400 EN-1441 EN ID:09066840</v>
      </c>
      <c r="U580" s="9"/>
      <c r="V580" s="9"/>
      <c r="W580" s="9"/>
      <c r="X580" s="9"/>
    </row>
    <row r="581" spans="3:25" x14ac:dyDescent="0.35">
      <c r="C581" s="15" t="s">
        <v>8</v>
      </c>
      <c r="D581" s="15" t="s">
        <v>8</v>
      </c>
      <c r="H581" s="15" t="s">
        <v>8</v>
      </c>
      <c r="K581" s="15" t="s">
        <v>8</v>
      </c>
      <c r="L581" s="15" t="s">
        <v>8</v>
      </c>
      <c r="M581" s="15" t="s">
        <v>8</v>
      </c>
      <c r="Q581" s="15" t="s">
        <v>8</v>
      </c>
      <c r="S581" s="15" t="s">
        <v>8</v>
      </c>
      <c r="T581" s="8" t="s">
        <v>3</v>
      </c>
      <c r="U581" s="8" t="s">
        <v>6</v>
      </c>
    </row>
    <row r="582" spans="3:25" x14ac:dyDescent="0.35">
      <c r="C582" s="15" t="s">
        <v>8</v>
      </c>
      <c r="D582" s="15" t="s">
        <v>8</v>
      </c>
      <c r="H582" s="15" t="s">
        <v>8</v>
      </c>
      <c r="K582" s="15" t="s">
        <v>8</v>
      </c>
      <c r="L582" s="15" t="s">
        <v>8</v>
      </c>
      <c r="M582" s="15" t="s">
        <v>8</v>
      </c>
      <c r="Q582" s="15" t="s">
        <v>8</v>
      </c>
      <c r="S582" s="15" t="s">
        <v>8</v>
      </c>
      <c r="T582" s="15" t="s">
        <v>8</v>
      </c>
      <c r="U582" s="20" t="str">
        <f>HYPERLINK("http://yeinfo.com/family/I09066839.html", "CECILIA ASHTON &lt;2&gt; 1372 EN-1430 EN ID:09066771")</f>
        <v>CECILIA ASHTON &lt;2&gt; 1372 EN-1430 EN ID:09066771</v>
      </c>
      <c r="V582" s="17"/>
      <c r="W582" s="17"/>
      <c r="X582" s="17"/>
      <c r="Y582" s="17"/>
    </row>
    <row r="583" spans="3:25" x14ac:dyDescent="0.35">
      <c r="C583" s="15" t="s">
        <v>8</v>
      </c>
      <c r="D583" s="15" t="s">
        <v>8</v>
      </c>
      <c r="H583" s="15" t="s">
        <v>8</v>
      </c>
      <c r="K583" s="15" t="s">
        <v>8</v>
      </c>
      <c r="L583" s="15" t="s">
        <v>8</v>
      </c>
      <c r="M583" s="15" t="s">
        <v>8</v>
      </c>
      <c r="Q583" s="15" t="s">
        <v>8</v>
      </c>
      <c r="S583" s="8" t="s">
        <v>6</v>
      </c>
      <c r="T583" s="15" t="s">
        <v>8</v>
      </c>
    </row>
    <row r="584" spans="3:25" x14ac:dyDescent="0.35">
      <c r="C584" s="15" t="s">
        <v>8</v>
      </c>
      <c r="D584" s="15" t="s">
        <v>8</v>
      </c>
      <c r="H584" s="15" t="s">
        <v>8</v>
      </c>
      <c r="K584" s="15" t="s">
        <v>8</v>
      </c>
      <c r="L584" s="15" t="s">
        <v>8</v>
      </c>
      <c r="M584" s="15" t="s">
        <v>8</v>
      </c>
      <c r="Q584" s="15" t="s">
        <v>8</v>
      </c>
      <c r="S584" s="20" t="str">
        <f>HYPERLINK("http://yeinfo.com/family/I09066826.html", "ISABELLA TYLDESLEY &lt;2&gt; 1441 EN-1508 EN ID:09066841")</f>
        <v>ISABELLA TYLDESLEY &lt;2&gt; 1441 EN-1508 EN ID:09066841</v>
      </c>
      <c r="T584" s="17"/>
      <c r="U584" s="17"/>
      <c r="V584" s="17"/>
      <c r="W584" s="17"/>
    </row>
    <row r="585" spans="3:25" x14ac:dyDescent="0.35">
      <c r="C585" s="15" t="s">
        <v>8</v>
      </c>
      <c r="D585" s="15" t="s">
        <v>8</v>
      </c>
      <c r="H585" s="15" t="s">
        <v>8</v>
      </c>
      <c r="K585" s="15" t="s">
        <v>8</v>
      </c>
      <c r="L585" s="15" t="s">
        <v>8</v>
      </c>
      <c r="M585" s="15" t="s">
        <v>8</v>
      </c>
      <c r="Q585" s="15" t="s">
        <v>8</v>
      </c>
      <c r="T585" s="8" t="s">
        <v>6</v>
      </c>
    </row>
    <row r="586" spans="3:25" x14ac:dyDescent="0.35">
      <c r="C586" s="15" t="s">
        <v>8</v>
      </c>
      <c r="D586" s="15" t="s">
        <v>8</v>
      </c>
      <c r="H586" s="15" t="s">
        <v>8</v>
      </c>
      <c r="K586" s="15" t="s">
        <v>8</v>
      </c>
      <c r="L586" s="15" t="s">
        <v>8</v>
      </c>
      <c r="M586" s="15" t="s">
        <v>8</v>
      </c>
      <c r="Q586" s="15" t="s">
        <v>8</v>
      </c>
      <c r="T586" s="20" t="str">
        <f>HYPERLINK("http://yeinfo.com/family/I09066771.html", "MARY SAVAGE &lt;2&gt; 1419 EN-1460 EN ID:09066831")</f>
        <v>MARY SAVAGE &lt;2&gt; 1419 EN-1460 EN ID:09066831</v>
      </c>
      <c r="U586" s="17"/>
      <c r="V586" s="17"/>
      <c r="W586" s="17"/>
      <c r="X586" s="17"/>
    </row>
    <row r="587" spans="3:25" x14ac:dyDescent="0.35">
      <c r="C587" s="15" t="s">
        <v>8</v>
      </c>
      <c r="D587" s="15" t="s">
        <v>8</v>
      </c>
      <c r="H587" s="15" t="s">
        <v>8</v>
      </c>
      <c r="K587" s="15" t="s">
        <v>8</v>
      </c>
      <c r="L587" s="15" t="s">
        <v>8</v>
      </c>
      <c r="M587" s="15" t="s">
        <v>8</v>
      </c>
      <c r="Q587" s="15" t="s">
        <v>8</v>
      </c>
    </row>
    <row r="588" spans="3:25" x14ac:dyDescent="0.35">
      <c r="C588" s="15" t="s">
        <v>8</v>
      </c>
      <c r="D588" s="15" t="s">
        <v>8</v>
      </c>
      <c r="H588" s="15" t="s">
        <v>8</v>
      </c>
      <c r="K588" s="15" t="s">
        <v>8</v>
      </c>
      <c r="L588" s="15" t="s">
        <v>8</v>
      </c>
      <c r="M588" s="15" t="s">
        <v>8</v>
      </c>
      <c r="P588" s="19" t="str">
        <f>HYPERLINK("http://yeinfo.com/family/I09010356.html", "ALEXANDER BARLOW &lt;2&gt; 1506 EN-1584 EN ID:09020712")</f>
        <v>ALEXANDER BARLOW &lt;2&gt; 1506 EN-1584 EN ID:09020712</v>
      </c>
      <c r="Q588" s="9"/>
      <c r="R588" s="9"/>
      <c r="S588" s="9"/>
      <c r="T588" s="9"/>
    </row>
    <row r="589" spans="3:25" x14ac:dyDescent="0.35">
      <c r="C589" s="15" t="s">
        <v>8</v>
      </c>
      <c r="D589" s="15" t="s">
        <v>8</v>
      </c>
      <c r="H589" s="15" t="s">
        <v>8</v>
      </c>
      <c r="K589" s="15" t="s">
        <v>8</v>
      </c>
      <c r="L589" s="15" t="s">
        <v>8</v>
      </c>
      <c r="M589" s="15" t="s">
        <v>8</v>
      </c>
      <c r="P589" s="8" t="s">
        <v>3</v>
      </c>
      <c r="Q589" s="15" t="s">
        <v>8</v>
      </c>
    </row>
    <row r="590" spans="3:25" x14ac:dyDescent="0.35">
      <c r="C590" s="15" t="s">
        <v>8</v>
      </c>
      <c r="D590" s="15" t="s">
        <v>8</v>
      </c>
      <c r="H590" s="15" t="s">
        <v>8</v>
      </c>
      <c r="K590" s="15" t="s">
        <v>8</v>
      </c>
      <c r="L590" s="15" t="s">
        <v>8</v>
      </c>
      <c r="M590" s="15" t="s">
        <v>8</v>
      </c>
      <c r="P590" s="15" t="s">
        <v>8</v>
      </c>
      <c r="Q590" s="15" t="s">
        <v>8</v>
      </c>
      <c r="R590" s="19" t="str">
        <f>HYPERLINK("http://yeinfo.com/family/I09041425.html", "JOHN REDDISH &lt;2&gt; 1477 EN-1559 EN ID:09066830")</f>
        <v>JOHN REDDISH &lt;2&gt; 1477 EN-1559 EN ID:09066830</v>
      </c>
      <c r="S590" s="9"/>
      <c r="T590" s="9"/>
      <c r="U590" s="9"/>
      <c r="V590" s="9"/>
    </row>
    <row r="591" spans="3:25" x14ac:dyDescent="0.35">
      <c r="C591" s="15" t="s">
        <v>8</v>
      </c>
      <c r="D591" s="15" t="s">
        <v>8</v>
      </c>
      <c r="H591" s="15" t="s">
        <v>8</v>
      </c>
      <c r="K591" s="15" t="s">
        <v>8</v>
      </c>
      <c r="L591" s="15" t="s">
        <v>8</v>
      </c>
      <c r="M591" s="15" t="s">
        <v>8</v>
      </c>
      <c r="P591" s="15" t="s">
        <v>8</v>
      </c>
      <c r="Q591" s="8" t="s">
        <v>6</v>
      </c>
      <c r="R591" s="8" t="s">
        <v>3</v>
      </c>
    </row>
    <row r="592" spans="3:25" x14ac:dyDescent="0.35">
      <c r="C592" s="15" t="s">
        <v>8</v>
      </c>
      <c r="D592" s="15" t="s">
        <v>8</v>
      </c>
      <c r="H592" s="15" t="s">
        <v>8</v>
      </c>
      <c r="K592" s="15" t="s">
        <v>8</v>
      </c>
      <c r="L592" s="15" t="s">
        <v>8</v>
      </c>
      <c r="M592" s="15" t="s">
        <v>8</v>
      </c>
      <c r="P592" s="15" t="s">
        <v>8</v>
      </c>
      <c r="Q592" s="20" t="str">
        <f>HYPERLINK("http://yeinfo.com/family/I09066831.html", "ANNE REDDISH &lt;2&gt; 1464 EN-1521 EN ID:09041425")</f>
        <v>ANNE REDDISH &lt;2&gt; 1464 EN-1521 EN ID:09041425</v>
      </c>
      <c r="R592" s="17"/>
      <c r="S592" s="17"/>
      <c r="T592" s="17"/>
      <c r="U592" s="17"/>
    </row>
    <row r="593" spans="3:22" x14ac:dyDescent="0.35">
      <c r="C593" s="15" t="s">
        <v>8</v>
      </c>
      <c r="D593" s="15" t="s">
        <v>8</v>
      </c>
      <c r="H593" s="15" t="s">
        <v>8</v>
      </c>
      <c r="K593" s="15" t="s">
        <v>8</v>
      </c>
      <c r="L593" s="15" t="s">
        <v>8</v>
      </c>
      <c r="M593" s="15" t="s">
        <v>8</v>
      </c>
      <c r="P593" s="15" t="s">
        <v>8</v>
      </c>
      <c r="R593" s="8" t="s">
        <v>6</v>
      </c>
    </row>
    <row r="594" spans="3:22" x14ac:dyDescent="0.35">
      <c r="C594" s="15" t="s">
        <v>8</v>
      </c>
      <c r="D594" s="15" t="s">
        <v>8</v>
      </c>
      <c r="H594" s="15" t="s">
        <v>8</v>
      </c>
      <c r="K594" s="15" t="s">
        <v>8</v>
      </c>
      <c r="L594" s="15" t="s">
        <v>8</v>
      </c>
      <c r="M594" s="15" t="s">
        <v>8</v>
      </c>
      <c r="P594" s="15" t="s">
        <v>8</v>
      </c>
      <c r="R594" s="20" t="str">
        <f>HYPERLINK("http://yeinfo.com/family/I09066830.html", "Mrs. {_?_} REDDISH &lt;2&gt; 1480 EN-1479 EN ID:09066829")</f>
        <v>Mrs. {_?_} REDDISH &lt;2&gt; 1480 EN-1479 EN ID:09066829</v>
      </c>
      <c r="S594" s="17"/>
      <c r="T594" s="17"/>
      <c r="U594" s="17"/>
      <c r="V594" s="17"/>
    </row>
    <row r="595" spans="3:22" x14ac:dyDescent="0.35">
      <c r="C595" s="15" t="s">
        <v>8</v>
      </c>
      <c r="D595" s="15" t="s">
        <v>8</v>
      </c>
      <c r="H595" s="15" t="s">
        <v>8</v>
      </c>
      <c r="K595" s="15" t="s">
        <v>8</v>
      </c>
      <c r="L595" s="15" t="s">
        <v>8</v>
      </c>
      <c r="M595" s="15" t="s">
        <v>8</v>
      </c>
      <c r="P595" s="15" t="s">
        <v>8</v>
      </c>
    </row>
    <row r="596" spans="3:22" x14ac:dyDescent="0.35">
      <c r="C596" s="15" t="s">
        <v>8</v>
      </c>
      <c r="D596" s="15" t="s">
        <v>8</v>
      </c>
      <c r="H596" s="15" t="s">
        <v>8</v>
      </c>
      <c r="K596" s="15" t="s">
        <v>8</v>
      </c>
      <c r="L596" s="15" t="s">
        <v>8</v>
      </c>
      <c r="M596" s="15" t="s">
        <v>8</v>
      </c>
      <c r="O596" s="19" t="str">
        <f>HYPERLINK("http://yeinfo.com/family/I09005178.html", "ALEXANDER BARLOW &lt;2&gt; 1557 EN-1620 EN ID:09010356")</f>
        <v>ALEXANDER BARLOW &lt;2&gt; 1557 EN-1620 EN ID:09010356</v>
      </c>
      <c r="P596" s="9"/>
      <c r="Q596" s="9"/>
      <c r="R596" s="9"/>
      <c r="S596" s="9"/>
    </row>
    <row r="597" spans="3:22" x14ac:dyDescent="0.35">
      <c r="C597" s="15" t="s">
        <v>8</v>
      </c>
      <c r="D597" s="15" t="s">
        <v>8</v>
      </c>
      <c r="H597" s="15" t="s">
        <v>8</v>
      </c>
      <c r="K597" s="15" t="s">
        <v>8</v>
      </c>
      <c r="L597" s="15" t="s">
        <v>8</v>
      </c>
      <c r="M597" s="15" t="s">
        <v>8</v>
      </c>
      <c r="O597" s="8" t="s">
        <v>3</v>
      </c>
      <c r="P597" s="15" t="s">
        <v>8</v>
      </c>
    </row>
    <row r="598" spans="3:22" x14ac:dyDescent="0.35">
      <c r="C598" s="15" t="s">
        <v>8</v>
      </c>
      <c r="D598" s="15" t="s">
        <v>8</v>
      </c>
      <c r="H598" s="15" t="s">
        <v>8</v>
      </c>
      <c r="K598" s="15" t="s">
        <v>8</v>
      </c>
      <c r="L598" s="15" t="s">
        <v>8</v>
      </c>
      <c r="M598" s="15" t="s">
        <v>8</v>
      </c>
      <c r="O598" s="15" t="s">
        <v>8</v>
      </c>
      <c r="P598" s="15" t="s">
        <v>8</v>
      </c>
      <c r="R598" s="19" t="str">
        <f>HYPERLINK("http://yeinfo.com/family/I09041426.html", "THOMAS LEIGH &lt;2&gt; 1451 EN-1499 EN ID:09066812")</f>
        <v>THOMAS LEIGH &lt;2&gt; 1451 EN-1499 EN ID:09066812</v>
      </c>
      <c r="S598" s="9"/>
      <c r="T598" s="9"/>
      <c r="U598" s="9"/>
      <c r="V598" s="9"/>
    </row>
    <row r="599" spans="3:22" x14ac:dyDescent="0.35">
      <c r="C599" s="15" t="s">
        <v>8</v>
      </c>
      <c r="D599" s="15" t="s">
        <v>8</v>
      </c>
      <c r="H599" s="15" t="s">
        <v>8</v>
      </c>
      <c r="K599" s="15" t="s">
        <v>8</v>
      </c>
      <c r="L599" s="15" t="s">
        <v>8</v>
      </c>
      <c r="M599" s="15" t="s">
        <v>8</v>
      </c>
      <c r="O599" s="15" t="s">
        <v>8</v>
      </c>
      <c r="P599" s="15" t="s">
        <v>8</v>
      </c>
      <c r="R599" s="8" t="s">
        <v>3</v>
      </c>
    </row>
    <row r="600" spans="3:22" x14ac:dyDescent="0.35">
      <c r="C600" s="15" t="s">
        <v>8</v>
      </c>
      <c r="D600" s="15" t="s">
        <v>8</v>
      </c>
      <c r="H600" s="15" t="s">
        <v>8</v>
      </c>
      <c r="K600" s="15" t="s">
        <v>8</v>
      </c>
      <c r="L600" s="15" t="s">
        <v>8</v>
      </c>
      <c r="M600" s="15" t="s">
        <v>8</v>
      </c>
      <c r="O600" s="15" t="s">
        <v>8</v>
      </c>
      <c r="P600" s="15" t="s">
        <v>8</v>
      </c>
      <c r="Q600" s="19" t="str">
        <f>HYPERLINK("http://yeinfo.com/family/I09020713.html", "GEORGE LEIGH &lt;2&gt; 1499 EN-1530 EN ID:09041426")</f>
        <v>GEORGE LEIGH &lt;2&gt; 1499 EN-1530 EN ID:09041426</v>
      </c>
      <c r="R600" s="9"/>
      <c r="S600" s="9"/>
      <c r="T600" s="9"/>
      <c r="U600" s="9"/>
    </row>
    <row r="601" spans="3:22" x14ac:dyDescent="0.35">
      <c r="C601" s="15" t="s">
        <v>8</v>
      </c>
      <c r="D601" s="15" t="s">
        <v>8</v>
      </c>
      <c r="H601" s="15" t="s">
        <v>8</v>
      </c>
      <c r="K601" s="15" t="s">
        <v>8</v>
      </c>
      <c r="L601" s="15" t="s">
        <v>8</v>
      </c>
      <c r="M601" s="15" t="s">
        <v>8</v>
      </c>
      <c r="O601" s="15" t="s">
        <v>8</v>
      </c>
      <c r="P601" s="15" t="s">
        <v>8</v>
      </c>
      <c r="Q601" s="8" t="s">
        <v>3</v>
      </c>
      <c r="R601" s="8" t="s">
        <v>6</v>
      </c>
    </row>
    <row r="602" spans="3:22" x14ac:dyDescent="0.35">
      <c r="C602" s="15" t="s">
        <v>8</v>
      </c>
      <c r="D602" s="15" t="s">
        <v>8</v>
      </c>
      <c r="H602" s="15" t="s">
        <v>8</v>
      </c>
      <c r="K602" s="15" t="s">
        <v>8</v>
      </c>
      <c r="L602" s="15" t="s">
        <v>8</v>
      </c>
      <c r="M602" s="15" t="s">
        <v>8</v>
      </c>
      <c r="O602" s="15" t="s">
        <v>8</v>
      </c>
      <c r="P602" s="15" t="s">
        <v>8</v>
      </c>
      <c r="Q602" s="15" t="s">
        <v>8</v>
      </c>
      <c r="R602" s="20" t="str">
        <f>HYPERLINK("http://yeinfo.com/family/I09066812.html", "DULCIA BOOTH &lt;2&gt; 1460 EN-1499 EN ID:09066781")</f>
        <v>DULCIA BOOTH &lt;2&gt; 1460 EN-1499 EN ID:09066781</v>
      </c>
      <c r="S602" s="17"/>
      <c r="T602" s="17"/>
      <c r="U602" s="17"/>
      <c r="V602" s="17"/>
    </row>
    <row r="603" spans="3:22" x14ac:dyDescent="0.35">
      <c r="C603" s="15" t="s">
        <v>8</v>
      </c>
      <c r="D603" s="15" t="s">
        <v>8</v>
      </c>
      <c r="H603" s="15" t="s">
        <v>8</v>
      </c>
      <c r="K603" s="15" t="s">
        <v>8</v>
      </c>
      <c r="L603" s="15" t="s">
        <v>8</v>
      </c>
      <c r="M603" s="15" t="s">
        <v>8</v>
      </c>
      <c r="O603" s="15" t="s">
        <v>8</v>
      </c>
      <c r="P603" s="8" t="s">
        <v>6</v>
      </c>
      <c r="Q603" s="15" t="s">
        <v>8</v>
      </c>
    </row>
    <row r="604" spans="3:22" x14ac:dyDescent="0.35">
      <c r="C604" s="15" t="s">
        <v>8</v>
      </c>
      <c r="D604" s="15" t="s">
        <v>8</v>
      </c>
      <c r="H604" s="15" t="s">
        <v>8</v>
      </c>
      <c r="K604" s="15" t="s">
        <v>8</v>
      </c>
      <c r="L604" s="15" t="s">
        <v>8</v>
      </c>
      <c r="M604" s="15" t="s">
        <v>8</v>
      </c>
      <c r="O604" s="15" t="s">
        <v>8</v>
      </c>
      <c r="P604" s="20" t="str">
        <f>HYPERLINK("http://yeinfo.com/family/I09066829.html", "ELIZABETH LEIGH &lt;2&gt; 1530 EN-1563 EN ID:09020713")</f>
        <v>ELIZABETH LEIGH &lt;2&gt; 1530 EN-1563 EN ID:09020713</v>
      </c>
      <c r="Q604" s="17"/>
      <c r="R604" s="17"/>
      <c r="S604" s="17"/>
      <c r="T604" s="17"/>
    </row>
    <row r="605" spans="3:22" x14ac:dyDescent="0.35">
      <c r="C605" s="15" t="s">
        <v>8</v>
      </c>
      <c r="D605" s="15" t="s">
        <v>8</v>
      </c>
      <c r="H605" s="15" t="s">
        <v>8</v>
      </c>
      <c r="K605" s="15" t="s">
        <v>8</v>
      </c>
      <c r="L605" s="15" t="s">
        <v>8</v>
      </c>
      <c r="M605" s="15" t="s">
        <v>8</v>
      </c>
      <c r="O605" s="15" t="s">
        <v>8</v>
      </c>
      <c r="Q605" s="8" t="s">
        <v>6</v>
      </c>
    </row>
    <row r="606" spans="3:22" x14ac:dyDescent="0.35">
      <c r="C606" s="15" t="s">
        <v>8</v>
      </c>
      <c r="D606" s="15" t="s">
        <v>8</v>
      </c>
      <c r="H606" s="15" t="s">
        <v>8</v>
      </c>
      <c r="K606" s="15" t="s">
        <v>8</v>
      </c>
      <c r="L606" s="15" t="s">
        <v>8</v>
      </c>
      <c r="M606" s="15" t="s">
        <v>8</v>
      </c>
      <c r="O606" s="15" t="s">
        <v>8</v>
      </c>
      <c r="Q606" s="20" t="str">
        <f>HYPERLINK("http://yeinfo.com/family/I09066781.html", "Mrs. {_?_} LEIGH &lt;2&gt; 1484 EN-1530 EN ID:09041427")</f>
        <v>Mrs. {_?_} LEIGH &lt;2&gt; 1484 EN-1530 EN ID:09041427</v>
      </c>
      <c r="R606" s="17"/>
      <c r="S606" s="17"/>
      <c r="T606" s="17"/>
      <c r="U606" s="17"/>
    </row>
    <row r="607" spans="3:22" x14ac:dyDescent="0.35">
      <c r="C607" s="15" t="s">
        <v>8</v>
      </c>
      <c r="D607" s="15" t="s">
        <v>8</v>
      </c>
      <c r="H607" s="15" t="s">
        <v>8</v>
      </c>
      <c r="K607" s="15" t="s">
        <v>8</v>
      </c>
      <c r="L607" s="15" t="s">
        <v>8</v>
      </c>
      <c r="M607" s="15" t="s">
        <v>8</v>
      </c>
      <c r="O607" s="15" t="s">
        <v>8</v>
      </c>
    </row>
    <row r="608" spans="3:22" x14ac:dyDescent="0.35">
      <c r="C608" s="15" t="s">
        <v>8</v>
      </c>
      <c r="D608" s="15" t="s">
        <v>8</v>
      </c>
      <c r="H608" s="15" t="s">
        <v>8</v>
      </c>
      <c r="K608" s="15" t="s">
        <v>8</v>
      </c>
      <c r="L608" s="15" t="s">
        <v>8</v>
      </c>
      <c r="M608" s="15" t="s">
        <v>8</v>
      </c>
      <c r="N608" s="21" t="str">
        <f>HYPERLINK("http://yeinfo.com/family/I09002589.html", "JOHN BARLOW Jr. &lt;2&gt; 1594 EN-1674 CT ID:09005178")</f>
        <v>JOHN BARLOW Jr. &lt;2&gt; 1594 EN-1674 CT ID:09005178</v>
      </c>
      <c r="O608" s="6"/>
      <c r="P608" s="6"/>
      <c r="Q608" s="6"/>
      <c r="R608" s="6"/>
    </row>
    <row r="609" spans="3:29" x14ac:dyDescent="0.35">
      <c r="C609" s="15" t="s">
        <v>8</v>
      </c>
      <c r="D609" s="15" t="s">
        <v>8</v>
      </c>
      <c r="H609" s="15" t="s">
        <v>8</v>
      </c>
      <c r="K609" s="15" t="s">
        <v>8</v>
      </c>
      <c r="L609" s="15" t="s">
        <v>8</v>
      </c>
      <c r="M609" s="15" t="s">
        <v>8</v>
      </c>
      <c r="N609" s="8" t="s">
        <v>3</v>
      </c>
      <c r="O609" s="15" t="s">
        <v>8</v>
      </c>
    </row>
    <row r="610" spans="3:29" x14ac:dyDescent="0.35">
      <c r="C610" s="15" t="s">
        <v>8</v>
      </c>
      <c r="D610" s="15" t="s">
        <v>8</v>
      </c>
      <c r="H610" s="15" t="s">
        <v>8</v>
      </c>
      <c r="K610" s="15" t="s">
        <v>8</v>
      </c>
      <c r="L610" s="15" t="s">
        <v>8</v>
      </c>
      <c r="M610" s="15" t="s">
        <v>8</v>
      </c>
      <c r="N610" s="15" t="s">
        <v>8</v>
      </c>
      <c r="O610" s="15" t="s">
        <v>8</v>
      </c>
      <c r="P610" s="19" t="str">
        <f>HYPERLINK("http://yeinfo.com/family/I09010357.html", "URIAN BRERETON &lt;2&gt; 1522 EN-1577 EN ID:09020714")</f>
        <v>URIAN BRERETON &lt;2&gt; 1522 EN-1577 EN ID:09020714</v>
      </c>
      <c r="Q610" s="9"/>
      <c r="R610" s="9"/>
      <c r="S610" s="9"/>
      <c r="T610" s="9"/>
    </row>
    <row r="611" spans="3:29" x14ac:dyDescent="0.35">
      <c r="C611" s="15" t="s">
        <v>8</v>
      </c>
      <c r="D611" s="15" t="s">
        <v>8</v>
      </c>
      <c r="H611" s="15" t="s">
        <v>8</v>
      </c>
      <c r="K611" s="15" t="s">
        <v>8</v>
      </c>
      <c r="L611" s="15" t="s">
        <v>8</v>
      </c>
      <c r="M611" s="15" t="s">
        <v>8</v>
      </c>
      <c r="N611" s="15" t="s">
        <v>8</v>
      </c>
      <c r="O611" s="8" t="s">
        <v>6</v>
      </c>
      <c r="P611" s="8" t="s">
        <v>3</v>
      </c>
    </row>
    <row r="612" spans="3:29" x14ac:dyDescent="0.35">
      <c r="C612" s="15" t="s">
        <v>8</v>
      </c>
      <c r="D612" s="15" t="s">
        <v>8</v>
      </c>
      <c r="H612" s="15" t="s">
        <v>8</v>
      </c>
      <c r="K612" s="15" t="s">
        <v>8</v>
      </c>
      <c r="L612" s="15" t="s">
        <v>8</v>
      </c>
      <c r="M612" s="15" t="s">
        <v>8</v>
      </c>
      <c r="N612" s="15" t="s">
        <v>8</v>
      </c>
      <c r="O612" s="20" t="str">
        <f>HYPERLINK("http://yeinfo.com/family/I09041427.html", "MARY BRERETON &lt;2&gt; 1552 EN-1627 EN ID:09010357")</f>
        <v>MARY BRERETON &lt;2&gt; 1552 EN-1627 EN ID:09010357</v>
      </c>
      <c r="P612" s="17"/>
      <c r="Q612" s="17"/>
      <c r="R612" s="17"/>
      <c r="S612" s="17"/>
    </row>
    <row r="613" spans="3:29" x14ac:dyDescent="0.35">
      <c r="C613" s="15" t="s">
        <v>8</v>
      </c>
      <c r="D613" s="15" t="s">
        <v>8</v>
      </c>
      <c r="H613" s="15" t="s">
        <v>8</v>
      </c>
      <c r="K613" s="15" t="s">
        <v>8</v>
      </c>
      <c r="L613" s="15" t="s">
        <v>8</v>
      </c>
      <c r="M613" s="15" t="s">
        <v>8</v>
      </c>
      <c r="N613" s="15" t="s">
        <v>8</v>
      </c>
      <c r="P613" s="15" t="s">
        <v>8</v>
      </c>
    </row>
    <row r="614" spans="3:29" x14ac:dyDescent="0.35">
      <c r="C614" s="15" t="s">
        <v>8</v>
      </c>
      <c r="D614" s="15" t="s">
        <v>8</v>
      </c>
      <c r="H614" s="15" t="s">
        <v>8</v>
      </c>
      <c r="K614" s="15" t="s">
        <v>8</v>
      </c>
      <c r="L614" s="15" t="s">
        <v>8</v>
      </c>
      <c r="M614" s="15" t="s">
        <v>8</v>
      </c>
      <c r="N614" s="15" t="s">
        <v>8</v>
      </c>
      <c r="P614" s="15" t="s">
        <v>8</v>
      </c>
      <c r="Y614" s="19" t="str">
        <f>HYPERLINK("http://yeinfo.com/family/I09066434.html", "HENRY TRAFFORD &lt;9&gt; 1225 EN-1264 EN ID:09066981")</f>
        <v>HENRY TRAFFORD &lt;9&gt; 1225 EN-1264 EN ID:09066981</v>
      </c>
      <c r="Z614" s="9"/>
      <c r="AA614" s="9"/>
      <c r="AB614" s="9"/>
      <c r="AC614" s="9"/>
    </row>
    <row r="615" spans="3:29" x14ac:dyDescent="0.35">
      <c r="C615" s="15" t="s">
        <v>8</v>
      </c>
      <c r="D615" s="15" t="s">
        <v>8</v>
      </c>
      <c r="H615" s="15" t="s">
        <v>8</v>
      </c>
      <c r="K615" s="15" t="s">
        <v>8</v>
      </c>
      <c r="L615" s="15" t="s">
        <v>8</v>
      </c>
      <c r="M615" s="15" t="s">
        <v>8</v>
      </c>
      <c r="N615" s="15" t="s">
        <v>8</v>
      </c>
      <c r="P615" s="15" t="s">
        <v>8</v>
      </c>
      <c r="Y615" s="8" t="s">
        <v>3</v>
      </c>
    </row>
    <row r="616" spans="3:29" x14ac:dyDescent="0.35">
      <c r="C616" s="15" t="s">
        <v>8</v>
      </c>
      <c r="D616" s="15" t="s">
        <v>8</v>
      </c>
      <c r="H616" s="15" t="s">
        <v>8</v>
      </c>
      <c r="K616" s="15" t="s">
        <v>8</v>
      </c>
      <c r="L616" s="15" t="s">
        <v>8</v>
      </c>
      <c r="M616" s="15" t="s">
        <v>8</v>
      </c>
      <c r="N616" s="15" t="s">
        <v>8</v>
      </c>
      <c r="P616" s="15" t="s">
        <v>8</v>
      </c>
      <c r="X616" s="19" t="str">
        <f>HYPERLINK("http://yeinfo.com/family/I09066317.html", "JOHN TRAFFORD &lt;9&gt; 1264 EN-1340 EN ID:09066434")</f>
        <v>JOHN TRAFFORD &lt;9&gt; 1264 EN-1340 EN ID:09066434</v>
      </c>
      <c r="Y616" s="9"/>
      <c r="Z616" s="9"/>
      <c r="AA616" s="9"/>
      <c r="AB616" s="9"/>
    </row>
    <row r="617" spans="3:29" x14ac:dyDescent="0.35">
      <c r="C617" s="15" t="s">
        <v>8</v>
      </c>
      <c r="D617" s="15" t="s">
        <v>8</v>
      </c>
      <c r="H617" s="15" t="s">
        <v>8</v>
      </c>
      <c r="K617" s="15" t="s">
        <v>8</v>
      </c>
      <c r="L617" s="15" t="s">
        <v>8</v>
      </c>
      <c r="M617" s="15" t="s">
        <v>8</v>
      </c>
      <c r="N617" s="15" t="s">
        <v>8</v>
      </c>
      <c r="P617" s="15" t="s">
        <v>8</v>
      </c>
      <c r="X617" s="8" t="s">
        <v>3</v>
      </c>
      <c r="Y617" s="8" t="s">
        <v>6</v>
      </c>
    </row>
    <row r="618" spans="3:29" x14ac:dyDescent="0.35">
      <c r="C618" s="15" t="s">
        <v>8</v>
      </c>
      <c r="D618" s="15" t="s">
        <v>8</v>
      </c>
      <c r="H618" s="15" t="s">
        <v>8</v>
      </c>
      <c r="K618" s="15" t="s">
        <v>8</v>
      </c>
      <c r="L618" s="15" t="s">
        <v>8</v>
      </c>
      <c r="M618" s="15" t="s">
        <v>8</v>
      </c>
      <c r="N618" s="15" t="s">
        <v>8</v>
      </c>
      <c r="P618" s="15" t="s">
        <v>8</v>
      </c>
      <c r="X618" s="15" t="s">
        <v>8</v>
      </c>
      <c r="Y618" s="20" t="str">
        <f>HYPERLINK("http://yeinfo.com/family/I09066981.html", "Mrs. MARGARET TRAFFORD &lt;9&gt; 1236 EN-1334 EN ID:09066980")</f>
        <v>Mrs. MARGARET TRAFFORD &lt;9&gt; 1236 EN-1334 EN ID:09066980</v>
      </c>
      <c r="Z618" s="17"/>
      <c r="AA618" s="17"/>
      <c r="AB618" s="17"/>
      <c r="AC618" s="17"/>
    </row>
    <row r="619" spans="3:29" x14ac:dyDescent="0.35">
      <c r="C619" s="15" t="s">
        <v>8</v>
      </c>
      <c r="D619" s="15" t="s">
        <v>8</v>
      </c>
      <c r="H619" s="15" t="s">
        <v>8</v>
      </c>
      <c r="K619" s="15" t="s">
        <v>8</v>
      </c>
      <c r="L619" s="15" t="s">
        <v>8</v>
      </c>
      <c r="M619" s="15" t="s">
        <v>8</v>
      </c>
      <c r="N619" s="15" t="s">
        <v>8</v>
      </c>
      <c r="P619" s="15" t="s">
        <v>8</v>
      </c>
      <c r="X619" s="15" t="s">
        <v>8</v>
      </c>
    </row>
    <row r="620" spans="3:29" x14ac:dyDescent="0.35">
      <c r="C620" s="15" t="s">
        <v>8</v>
      </c>
      <c r="D620" s="15" t="s">
        <v>8</v>
      </c>
      <c r="H620" s="15" t="s">
        <v>8</v>
      </c>
      <c r="K620" s="15" t="s">
        <v>8</v>
      </c>
      <c r="L620" s="15" t="s">
        <v>8</v>
      </c>
      <c r="M620" s="15" t="s">
        <v>8</v>
      </c>
      <c r="N620" s="15" t="s">
        <v>8</v>
      </c>
      <c r="P620" s="15" t="s">
        <v>8</v>
      </c>
      <c r="W620" s="19" t="str">
        <f>HYPERLINK("http://yeinfo.com/family/I09066982.html", "HENRY TRAFFORD &lt;9&gt; 1292 EN-1370 EN ID:09066317")</f>
        <v>HENRY TRAFFORD &lt;9&gt; 1292 EN-1370 EN ID:09066317</v>
      </c>
      <c r="X620" s="9"/>
      <c r="Y620" s="9"/>
      <c r="Z620" s="9"/>
      <c r="AA620" s="9"/>
    </row>
    <row r="621" spans="3:29" x14ac:dyDescent="0.35">
      <c r="C621" s="15" t="s">
        <v>8</v>
      </c>
      <c r="D621" s="15" t="s">
        <v>8</v>
      </c>
      <c r="H621" s="15" t="s">
        <v>8</v>
      </c>
      <c r="K621" s="15" t="s">
        <v>8</v>
      </c>
      <c r="L621" s="15" t="s">
        <v>8</v>
      </c>
      <c r="M621" s="15" t="s">
        <v>8</v>
      </c>
      <c r="N621" s="15" t="s">
        <v>8</v>
      </c>
      <c r="P621" s="15" t="s">
        <v>8</v>
      </c>
      <c r="W621" s="8" t="s">
        <v>3</v>
      </c>
      <c r="X621" s="8" t="s">
        <v>6</v>
      </c>
    </row>
    <row r="622" spans="3:29" x14ac:dyDescent="0.35">
      <c r="C622" s="15" t="s">
        <v>8</v>
      </c>
      <c r="D622" s="15" t="s">
        <v>8</v>
      </c>
      <c r="H622" s="15" t="s">
        <v>8</v>
      </c>
      <c r="K622" s="15" t="s">
        <v>8</v>
      </c>
      <c r="L622" s="15" t="s">
        <v>8</v>
      </c>
      <c r="M622" s="15" t="s">
        <v>8</v>
      </c>
      <c r="N622" s="15" t="s">
        <v>8</v>
      </c>
      <c r="P622" s="15" t="s">
        <v>8</v>
      </c>
      <c r="W622" s="15" t="s">
        <v>8</v>
      </c>
      <c r="X622" s="20" t="str">
        <f>HYPERLINK("http://yeinfo.com/family/I09066980.html", "ELIZABETH ASHTON &lt;9&gt; 1268 EN-1340 EN ID:09066433")</f>
        <v>ELIZABETH ASHTON &lt;9&gt; 1268 EN-1340 EN ID:09066433</v>
      </c>
      <c r="Y622" s="17"/>
      <c r="Z622" s="17"/>
      <c r="AA622" s="17"/>
      <c r="AB622" s="17"/>
    </row>
    <row r="623" spans="3:29" x14ac:dyDescent="0.35">
      <c r="C623" s="15" t="s">
        <v>8</v>
      </c>
      <c r="D623" s="15" t="s">
        <v>8</v>
      </c>
      <c r="H623" s="15" t="s">
        <v>8</v>
      </c>
      <c r="K623" s="15" t="s">
        <v>8</v>
      </c>
      <c r="L623" s="15" t="s">
        <v>8</v>
      </c>
      <c r="M623" s="15" t="s">
        <v>8</v>
      </c>
      <c r="N623" s="15" t="s">
        <v>8</v>
      </c>
      <c r="P623" s="15" t="s">
        <v>8</v>
      </c>
      <c r="W623" s="15" t="s">
        <v>8</v>
      </c>
    </row>
    <row r="624" spans="3:29" x14ac:dyDescent="0.35">
      <c r="C624" s="15" t="s">
        <v>8</v>
      </c>
      <c r="D624" s="15" t="s">
        <v>8</v>
      </c>
      <c r="H624" s="15" t="s">
        <v>8</v>
      </c>
      <c r="K624" s="15" t="s">
        <v>8</v>
      </c>
      <c r="L624" s="15" t="s">
        <v>8</v>
      </c>
      <c r="M624" s="15" t="s">
        <v>8</v>
      </c>
      <c r="N624" s="15" t="s">
        <v>8</v>
      </c>
      <c r="P624" s="15" t="s">
        <v>8</v>
      </c>
      <c r="V624" s="19" t="str">
        <f>HYPERLINK("http://yeinfo.com/family/I09066984.html", "HENRY TRAFFORD &lt;6&gt; 1335 EN-1386 EN ID:09066982")</f>
        <v>HENRY TRAFFORD &lt;6&gt; 1335 EN-1386 EN ID:09066982</v>
      </c>
      <c r="W624" s="9"/>
      <c r="X624" s="9"/>
      <c r="Y624" s="9"/>
      <c r="Z624" s="9"/>
    </row>
    <row r="625" spans="3:30" x14ac:dyDescent="0.35">
      <c r="C625" s="15" t="s">
        <v>8</v>
      </c>
      <c r="D625" s="15" t="s">
        <v>8</v>
      </c>
      <c r="H625" s="15" t="s">
        <v>8</v>
      </c>
      <c r="K625" s="15" t="s">
        <v>8</v>
      </c>
      <c r="L625" s="15" t="s">
        <v>8</v>
      </c>
      <c r="M625" s="15" t="s">
        <v>8</v>
      </c>
      <c r="N625" s="15" t="s">
        <v>8</v>
      </c>
      <c r="P625" s="15" t="s">
        <v>8</v>
      </c>
      <c r="V625" s="8" t="s">
        <v>3</v>
      </c>
      <c r="W625" s="15" t="s">
        <v>8</v>
      </c>
    </row>
    <row r="626" spans="3:30" x14ac:dyDescent="0.35">
      <c r="C626" s="15" t="s">
        <v>8</v>
      </c>
      <c r="D626" s="15" t="s">
        <v>8</v>
      </c>
      <c r="H626" s="15" t="s">
        <v>8</v>
      </c>
      <c r="K626" s="15" t="s">
        <v>8</v>
      </c>
      <c r="L626" s="15" t="s">
        <v>8</v>
      </c>
      <c r="M626" s="15" t="s">
        <v>8</v>
      </c>
      <c r="N626" s="15" t="s">
        <v>8</v>
      </c>
      <c r="P626" s="15" t="s">
        <v>8</v>
      </c>
      <c r="V626" s="15" t="s">
        <v>8</v>
      </c>
      <c r="W626" s="15" t="s">
        <v>8</v>
      </c>
      <c r="X626" s="19" t="str">
        <f>HYPERLINK("http://yeinfo.com/family/I09066318.html", "RICHARD DOTERINDE &lt;9&gt; 1280 EN-1345 EN ID:09066492")</f>
        <v>RICHARD DOTERINDE &lt;9&gt; 1280 EN-1345 EN ID:09066492</v>
      </c>
      <c r="Y626" s="9"/>
      <c r="Z626" s="9"/>
      <c r="AA626" s="9"/>
      <c r="AB626" s="9"/>
    </row>
    <row r="627" spans="3:30" x14ac:dyDescent="0.35">
      <c r="C627" s="15" t="s">
        <v>8</v>
      </c>
      <c r="D627" s="15" t="s">
        <v>8</v>
      </c>
      <c r="H627" s="15" t="s">
        <v>8</v>
      </c>
      <c r="K627" s="15" t="s">
        <v>8</v>
      </c>
      <c r="L627" s="15" t="s">
        <v>8</v>
      </c>
      <c r="M627" s="15" t="s">
        <v>8</v>
      </c>
      <c r="N627" s="15" t="s">
        <v>8</v>
      </c>
      <c r="P627" s="15" t="s">
        <v>8</v>
      </c>
      <c r="V627" s="15" t="s">
        <v>8</v>
      </c>
      <c r="W627" s="8" t="s">
        <v>6</v>
      </c>
      <c r="X627" s="8" t="s">
        <v>3</v>
      </c>
    </row>
    <row r="628" spans="3:30" x14ac:dyDescent="0.35">
      <c r="C628" s="15" t="s">
        <v>8</v>
      </c>
      <c r="D628" s="15" t="s">
        <v>8</v>
      </c>
      <c r="H628" s="15" t="s">
        <v>8</v>
      </c>
      <c r="K628" s="15" t="s">
        <v>8</v>
      </c>
      <c r="L628" s="15" t="s">
        <v>8</v>
      </c>
      <c r="M628" s="15" t="s">
        <v>8</v>
      </c>
      <c r="N628" s="15" t="s">
        <v>8</v>
      </c>
      <c r="P628" s="15" t="s">
        <v>8</v>
      </c>
      <c r="V628" s="15" t="s">
        <v>8</v>
      </c>
      <c r="W628" s="20" t="str">
        <f>HYPERLINK("http://yeinfo.com/family/I09066433.html", "AGNES DOTERINDE &lt;9&gt; 1302 EN-1360 EN ID:09066318")</f>
        <v>AGNES DOTERINDE &lt;9&gt; 1302 EN-1360 EN ID:09066318</v>
      </c>
      <c r="X628" s="17"/>
      <c r="Y628" s="17"/>
      <c r="Z628" s="17"/>
      <c r="AA628" s="17"/>
    </row>
    <row r="629" spans="3:30" x14ac:dyDescent="0.35">
      <c r="C629" s="15" t="s">
        <v>8</v>
      </c>
      <c r="D629" s="15" t="s">
        <v>8</v>
      </c>
      <c r="H629" s="15" t="s">
        <v>8</v>
      </c>
      <c r="K629" s="15" t="s">
        <v>8</v>
      </c>
      <c r="L629" s="15" t="s">
        <v>8</v>
      </c>
      <c r="M629" s="15" t="s">
        <v>8</v>
      </c>
      <c r="N629" s="15" t="s">
        <v>8</v>
      </c>
      <c r="P629" s="15" t="s">
        <v>8</v>
      </c>
      <c r="V629" s="15" t="s">
        <v>8</v>
      </c>
      <c r="X629" s="8" t="s">
        <v>6</v>
      </c>
    </row>
    <row r="630" spans="3:30" x14ac:dyDescent="0.35">
      <c r="C630" s="15" t="s">
        <v>8</v>
      </c>
      <c r="D630" s="15" t="s">
        <v>8</v>
      </c>
      <c r="H630" s="15" t="s">
        <v>8</v>
      </c>
      <c r="K630" s="15" t="s">
        <v>8</v>
      </c>
      <c r="L630" s="15" t="s">
        <v>8</v>
      </c>
      <c r="M630" s="15" t="s">
        <v>8</v>
      </c>
      <c r="N630" s="15" t="s">
        <v>8</v>
      </c>
      <c r="P630" s="15" t="s">
        <v>8</v>
      </c>
      <c r="V630" s="15" t="s">
        <v>8</v>
      </c>
      <c r="X630" s="20" t="str">
        <f>HYPERLINK("http://yeinfo.com/family/I09066492.html", "Mrs. {_?_} DOTERINDE &lt;9&gt; 1280 EN-1302 EN ID:09066493")</f>
        <v>Mrs. {_?_} DOTERINDE &lt;9&gt; 1280 EN-1302 EN ID:09066493</v>
      </c>
      <c r="Y630" s="17"/>
      <c r="Z630" s="17"/>
      <c r="AA630" s="17"/>
      <c r="AB630" s="17"/>
    </row>
    <row r="631" spans="3:30" x14ac:dyDescent="0.35">
      <c r="C631" s="15" t="s">
        <v>8</v>
      </c>
      <c r="D631" s="15" t="s">
        <v>8</v>
      </c>
      <c r="H631" s="15" t="s">
        <v>8</v>
      </c>
      <c r="K631" s="15" t="s">
        <v>8</v>
      </c>
      <c r="L631" s="15" t="s">
        <v>8</v>
      </c>
      <c r="M631" s="15" t="s">
        <v>8</v>
      </c>
      <c r="N631" s="15" t="s">
        <v>8</v>
      </c>
      <c r="P631" s="15" t="s">
        <v>8</v>
      </c>
      <c r="V631" s="15" t="s">
        <v>8</v>
      </c>
    </row>
    <row r="632" spans="3:30" x14ac:dyDescent="0.35">
      <c r="C632" s="15" t="s">
        <v>8</v>
      </c>
      <c r="D632" s="15" t="s">
        <v>8</v>
      </c>
      <c r="H632" s="15" t="s">
        <v>8</v>
      </c>
      <c r="K632" s="15" t="s">
        <v>8</v>
      </c>
      <c r="L632" s="15" t="s">
        <v>8</v>
      </c>
      <c r="M632" s="15" t="s">
        <v>8</v>
      </c>
      <c r="N632" s="15" t="s">
        <v>8</v>
      </c>
      <c r="P632" s="15" t="s">
        <v>8</v>
      </c>
      <c r="U632" s="19" t="str">
        <f>HYPERLINK("http://yeinfo.com/family/I09066985.html", "HENRY TRAFFORD &lt;2&gt; 1362 EN-1418 EN ID:09066984")</f>
        <v>HENRY TRAFFORD &lt;2&gt; 1362 EN-1418 EN ID:09066984</v>
      </c>
      <c r="V632" s="9"/>
      <c r="W632" s="9"/>
      <c r="X632" s="9"/>
      <c r="Y632" s="9"/>
    </row>
    <row r="633" spans="3:30" x14ac:dyDescent="0.35">
      <c r="C633" s="15" t="s">
        <v>8</v>
      </c>
      <c r="D633" s="15" t="s">
        <v>8</v>
      </c>
      <c r="H633" s="15" t="s">
        <v>8</v>
      </c>
      <c r="K633" s="15" t="s">
        <v>8</v>
      </c>
      <c r="L633" s="15" t="s">
        <v>8</v>
      </c>
      <c r="M633" s="15" t="s">
        <v>8</v>
      </c>
      <c r="N633" s="15" t="s">
        <v>8</v>
      </c>
      <c r="P633" s="15" t="s">
        <v>8</v>
      </c>
      <c r="U633" s="8" t="s">
        <v>3</v>
      </c>
      <c r="V633" s="15" t="s">
        <v>8</v>
      </c>
    </row>
    <row r="634" spans="3:30" x14ac:dyDescent="0.35">
      <c r="C634" s="15" t="s">
        <v>8</v>
      </c>
      <c r="D634" s="15" t="s">
        <v>8</v>
      </c>
      <c r="H634" s="15" t="s">
        <v>8</v>
      </c>
      <c r="K634" s="15" t="s">
        <v>8</v>
      </c>
      <c r="L634" s="15" t="s">
        <v>8</v>
      </c>
      <c r="M634" s="15" t="s">
        <v>8</v>
      </c>
      <c r="N634" s="15" t="s">
        <v>8</v>
      </c>
      <c r="P634" s="15" t="s">
        <v>8</v>
      </c>
      <c r="U634" s="15" t="s">
        <v>8</v>
      </c>
      <c r="V634" s="15" t="s">
        <v>8</v>
      </c>
      <c r="Y634" s="19" t="str">
        <f>HYPERLINK("http://yeinfo.com/family/I09066931.html", "ALFREDUS INCE I &lt;6&gt; 1265 EN-1290 EN ID:09066930")</f>
        <v>ALFREDUS INCE I &lt;6&gt; 1265 EN-1290 EN ID:09066930</v>
      </c>
      <c r="Z634" s="9"/>
      <c r="AA634" s="9"/>
      <c r="AB634" s="9"/>
      <c r="AC634" s="9"/>
    </row>
    <row r="635" spans="3:30" x14ac:dyDescent="0.35">
      <c r="C635" s="15" t="s">
        <v>8</v>
      </c>
      <c r="D635" s="15" t="s">
        <v>8</v>
      </c>
      <c r="H635" s="15" t="s">
        <v>8</v>
      </c>
      <c r="K635" s="15" t="s">
        <v>8</v>
      </c>
      <c r="L635" s="15" t="s">
        <v>8</v>
      </c>
      <c r="M635" s="15" t="s">
        <v>8</v>
      </c>
      <c r="N635" s="15" t="s">
        <v>8</v>
      </c>
      <c r="P635" s="15" t="s">
        <v>8</v>
      </c>
      <c r="U635" s="15" t="s">
        <v>8</v>
      </c>
      <c r="V635" s="15" t="s">
        <v>8</v>
      </c>
      <c r="Y635" s="8" t="s">
        <v>3</v>
      </c>
    </row>
    <row r="636" spans="3:30" x14ac:dyDescent="0.35">
      <c r="C636" s="15" t="s">
        <v>8</v>
      </c>
      <c r="D636" s="15" t="s">
        <v>8</v>
      </c>
      <c r="H636" s="15" t="s">
        <v>8</v>
      </c>
      <c r="K636" s="15" t="s">
        <v>8</v>
      </c>
      <c r="L636" s="15" t="s">
        <v>8</v>
      </c>
      <c r="M636" s="15" t="s">
        <v>8</v>
      </c>
      <c r="N636" s="15" t="s">
        <v>8</v>
      </c>
      <c r="P636" s="15" t="s">
        <v>8</v>
      </c>
      <c r="U636" s="15" t="s">
        <v>8</v>
      </c>
      <c r="V636" s="15" t="s">
        <v>8</v>
      </c>
      <c r="X636" s="19" t="str">
        <f>HYPERLINK("http://yeinfo.com/family/I09066933.html", "RICHARD INCE I &lt;6&gt; 1290 EN-1333 EN ID:09066931")</f>
        <v>RICHARD INCE I &lt;6&gt; 1290 EN-1333 EN ID:09066931</v>
      </c>
      <c r="Y636" s="9"/>
      <c r="Z636" s="9"/>
      <c r="AA636" s="9"/>
      <c r="AB636" s="9"/>
    </row>
    <row r="637" spans="3:30" x14ac:dyDescent="0.35">
      <c r="C637" s="15" t="s">
        <v>8</v>
      </c>
      <c r="D637" s="15" t="s">
        <v>8</v>
      </c>
      <c r="H637" s="15" t="s">
        <v>8</v>
      </c>
      <c r="K637" s="15" t="s">
        <v>8</v>
      </c>
      <c r="L637" s="15" t="s">
        <v>8</v>
      </c>
      <c r="M637" s="15" t="s">
        <v>8</v>
      </c>
      <c r="N637" s="15" t="s">
        <v>8</v>
      </c>
      <c r="P637" s="15" t="s">
        <v>8</v>
      </c>
      <c r="U637" s="15" t="s">
        <v>8</v>
      </c>
      <c r="V637" s="15" t="s">
        <v>8</v>
      </c>
      <c r="X637" s="8" t="s">
        <v>3</v>
      </c>
      <c r="Y637" s="8" t="s">
        <v>6</v>
      </c>
    </row>
    <row r="638" spans="3:30" x14ac:dyDescent="0.35">
      <c r="C638" s="15" t="s">
        <v>8</v>
      </c>
      <c r="D638" s="15" t="s">
        <v>8</v>
      </c>
      <c r="H638" s="15" t="s">
        <v>8</v>
      </c>
      <c r="K638" s="15" t="s">
        <v>8</v>
      </c>
      <c r="L638" s="15" t="s">
        <v>8</v>
      </c>
      <c r="M638" s="15" t="s">
        <v>8</v>
      </c>
      <c r="N638" s="15" t="s">
        <v>8</v>
      </c>
      <c r="P638" s="15" t="s">
        <v>8</v>
      </c>
      <c r="U638" s="15" t="s">
        <v>8</v>
      </c>
      <c r="V638" s="15" t="s">
        <v>8</v>
      </c>
      <c r="X638" s="15" t="s">
        <v>8</v>
      </c>
      <c r="Y638" s="20" t="str">
        <f>HYPERLINK("http://yeinfo.com/family/I09066930.html", "ALICE\ALESIA STANDISH &lt;6&gt; 1262 EN-1290 EN ID:09066976")</f>
        <v>ALICE\ALESIA STANDISH &lt;6&gt; 1262 EN-1290 EN ID:09066976</v>
      </c>
      <c r="Z638" s="17"/>
      <c r="AA638" s="17"/>
      <c r="AB638" s="17"/>
      <c r="AC638" s="17"/>
      <c r="AD638" s="17"/>
    </row>
    <row r="639" spans="3:30" x14ac:dyDescent="0.35">
      <c r="C639" s="15" t="s">
        <v>8</v>
      </c>
      <c r="D639" s="15" t="s">
        <v>8</v>
      </c>
      <c r="H639" s="15" t="s">
        <v>8</v>
      </c>
      <c r="K639" s="15" t="s">
        <v>8</v>
      </c>
      <c r="L639" s="15" t="s">
        <v>8</v>
      </c>
      <c r="M639" s="15" t="s">
        <v>8</v>
      </c>
      <c r="N639" s="15" t="s">
        <v>8</v>
      </c>
      <c r="P639" s="15" t="s">
        <v>8</v>
      </c>
      <c r="U639" s="15" t="s">
        <v>8</v>
      </c>
      <c r="V639" s="15" t="s">
        <v>8</v>
      </c>
      <c r="X639" s="15" t="s">
        <v>8</v>
      </c>
    </row>
    <row r="640" spans="3:30" x14ac:dyDescent="0.35">
      <c r="C640" s="15" t="s">
        <v>8</v>
      </c>
      <c r="D640" s="15" t="s">
        <v>8</v>
      </c>
      <c r="H640" s="15" t="s">
        <v>8</v>
      </c>
      <c r="K640" s="15" t="s">
        <v>8</v>
      </c>
      <c r="L640" s="15" t="s">
        <v>8</v>
      </c>
      <c r="M640" s="15" t="s">
        <v>8</v>
      </c>
      <c r="N640" s="15" t="s">
        <v>8</v>
      </c>
      <c r="P640" s="15" t="s">
        <v>8</v>
      </c>
      <c r="U640" s="15" t="s">
        <v>8</v>
      </c>
      <c r="V640" s="15" t="s">
        <v>8</v>
      </c>
      <c r="W640" s="19" t="str">
        <f>HYPERLINK("http://yeinfo.com/family/I09066934.html", "ROBERT INCE &lt;6&gt; 1304 EN-1335 EN ID:09066933")</f>
        <v>ROBERT INCE &lt;6&gt; 1304 EN-1335 EN ID:09066933</v>
      </c>
      <c r="X640" s="9"/>
      <c r="Y640" s="9"/>
      <c r="Z640" s="9"/>
      <c r="AA640" s="9"/>
    </row>
    <row r="641" spans="3:32" x14ac:dyDescent="0.35">
      <c r="C641" s="15" t="s">
        <v>8</v>
      </c>
      <c r="D641" s="15" t="s">
        <v>8</v>
      </c>
      <c r="H641" s="15" t="s">
        <v>8</v>
      </c>
      <c r="K641" s="15" t="s">
        <v>8</v>
      </c>
      <c r="L641" s="15" t="s">
        <v>8</v>
      </c>
      <c r="M641" s="15" t="s">
        <v>8</v>
      </c>
      <c r="N641" s="15" t="s">
        <v>8</v>
      </c>
      <c r="P641" s="15" t="s">
        <v>8</v>
      </c>
      <c r="U641" s="15" t="s">
        <v>8</v>
      </c>
      <c r="V641" s="15" t="s">
        <v>8</v>
      </c>
      <c r="W641" s="8" t="s">
        <v>3</v>
      </c>
      <c r="X641" s="15" t="s">
        <v>8</v>
      </c>
    </row>
    <row r="642" spans="3:32" x14ac:dyDescent="0.35">
      <c r="C642" s="15" t="s">
        <v>8</v>
      </c>
      <c r="D642" s="15" t="s">
        <v>8</v>
      </c>
      <c r="H642" s="15" t="s">
        <v>8</v>
      </c>
      <c r="K642" s="15" t="s">
        <v>8</v>
      </c>
      <c r="L642" s="15" t="s">
        <v>8</v>
      </c>
      <c r="M642" s="15" t="s">
        <v>8</v>
      </c>
      <c r="N642" s="15" t="s">
        <v>8</v>
      </c>
      <c r="P642" s="15" t="s">
        <v>8</v>
      </c>
      <c r="U642" s="15" t="s">
        <v>8</v>
      </c>
      <c r="V642" s="15" t="s">
        <v>8</v>
      </c>
      <c r="W642" s="15" t="s">
        <v>8</v>
      </c>
      <c r="X642" s="15" t="s">
        <v>8</v>
      </c>
      <c r="AA642" s="19" t="str">
        <f>HYPERLINK("http://yeinfo.com/family/I09066960.html", "ROBERT RADCLIFFE &lt;A&gt; 1208 EN-1239 EN ID:09066959")</f>
        <v>ROBERT RADCLIFFE &lt;A&gt; 1208 EN-1239 EN ID:09066959</v>
      </c>
      <c r="AB642" s="9"/>
      <c r="AC642" s="9"/>
      <c r="AD642" s="9"/>
      <c r="AE642" s="9"/>
    </row>
    <row r="643" spans="3:32" x14ac:dyDescent="0.35">
      <c r="C643" s="15" t="s">
        <v>8</v>
      </c>
      <c r="D643" s="15" t="s">
        <v>8</v>
      </c>
      <c r="H643" s="15" t="s">
        <v>8</v>
      </c>
      <c r="K643" s="15" t="s">
        <v>8</v>
      </c>
      <c r="L643" s="15" t="s">
        <v>8</v>
      </c>
      <c r="M643" s="15" t="s">
        <v>8</v>
      </c>
      <c r="N643" s="15" t="s">
        <v>8</v>
      </c>
      <c r="P643" s="15" t="s">
        <v>8</v>
      </c>
      <c r="U643" s="15" t="s">
        <v>8</v>
      </c>
      <c r="V643" s="15" t="s">
        <v>8</v>
      </c>
      <c r="W643" s="15" t="s">
        <v>8</v>
      </c>
      <c r="X643" s="15" t="s">
        <v>8</v>
      </c>
      <c r="AA643" s="8" t="s">
        <v>3</v>
      </c>
    </row>
    <row r="644" spans="3:32" x14ac:dyDescent="0.35">
      <c r="C644" s="15" t="s">
        <v>8</v>
      </c>
      <c r="D644" s="15" t="s">
        <v>8</v>
      </c>
      <c r="H644" s="15" t="s">
        <v>8</v>
      </c>
      <c r="K644" s="15" t="s">
        <v>8</v>
      </c>
      <c r="L644" s="15" t="s">
        <v>8</v>
      </c>
      <c r="M644" s="15" t="s">
        <v>8</v>
      </c>
      <c r="N644" s="15" t="s">
        <v>8</v>
      </c>
      <c r="P644" s="15" t="s">
        <v>8</v>
      </c>
      <c r="U644" s="15" t="s">
        <v>8</v>
      </c>
      <c r="V644" s="15" t="s">
        <v>8</v>
      </c>
      <c r="W644" s="15" t="s">
        <v>8</v>
      </c>
      <c r="X644" s="15" t="s">
        <v>8</v>
      </c>
      <c r="Z644" s="19" t="str">
        <f>HYPERLINK("http://yeinfo.com/family/I09066961.html", "RICHARD RADCLIFFE &lt;A&gt; 1224 EN-1326 EN ID:09066960")</f>
        <v>RICHARD RADCLIFFE &lt;A&gt; 1224 EN-1326 EN ID:09066960</v>
      </c>
      <c r="AA644" s="9"/>
      <c r="AB644" s="9"/>
      <c r="AC644" s="9"/>
      <c r="AD644" s="9"/>
    </row>
    <row r="645" spans="3:32" x14ac:dyDescent="0.35">
      <c r="C645" s="15" t="s">
        <v>8</v>
      </c>
      <c r="D645" s="15" t="s">
        <v>8</v>
      </c>
      <c r="H645" s="15" t="s">
        <v>8</v>
      </c>
      <c r="K645" s="15" t="s">
        <v>8</v>
      </c>
      <c r="L645" s="15" t="s">
        <v>8</v>
      </c>
      <c r="M645" s="15" t="s">
        <v>8</v>
      </c>
      <c r="N645" s="15" t="s">
        <v>8</v>
      </c>
      <c r="P645" s="15" t="s">
        <v>8</v>
      </c>
      <c r="U645" s="15" t="s">
        <v>8</v>
      </c>
      <c r="V645" s="15" t="s">
        <v>8</v>
      </c>
      <c r="W645" s="15" t="s">
        <v>8</v>
      </c>
      <c r="X645" s="15" t="s">
        <v>8</v>
      </c>
      <c r="Z645" s="8" t="s">
        <v>3</v>
      </c>
      <c r="AA645" s="8" t="s">
        <v>6</v>
      </c>
    </row>
    <row r="646" spans="3:32" x14ac:dyDescent="0.35">
      <c r="C646" s="15" t="s">
        <v>8</v>
      </c>
      <c r="D646" s="15" t="s">
        <v>8</v>
      </c>
      <c r="H646" s="15" t="s">
        <v>8</v>
      </c>
      <c r="K646" s="15" t="s">
        <v>8</v>
      </c>
      <c r="L646" s="15" t="s">
        <v>8</v>
      </c>
      <c r="M646" s="15" t="s">
        <v>8</v>
      </c>
      <c r="N646" s="15" t="s">
        <v>8</v>
      </c>
      <c r="P646" s="15" t="s">
        <v>8</v>
      </c>
      <c r="U646" s="15" t="s">
        <v>8</v>
      </c>
      <c r="V646" s="15" t="s">
        <v>8</v>
      </c>
      <c r="W646" s="15" t="s">
        <v>8</v>
      </c>
      <c r="X646" s="15" t="s">
        <v>8</v>
      </c>
      <c r="Z646" s="15" t="s">
        <v>8</v>
      </c>
      <c r="AA646" s="20" t="str">
        <f>HYPERLINK("http://yeinfo.com/family/I09066959.html", "AMBIL\AMABIL TRAFFORD &lt;A&gt; 1222 EN-1239 EN ID:09066988")</f>
        <v>AMBIL\AMABIL TRAFFORD &lt;A&gt; 1222 EN-1239 EN ID:09066988</v>
      </c>
      <c r="AB646" s="17"/>
      <c r="AC646" s="17"/>
      <c r="AD646" s="17"/>
      <c r="AE646" s="17"/>
      <c r="AF646" s="17"/>
    </row>
    <row r="647" spans="3:32" x14ac:dyDescent="0.35">
      <c r="C647" s="15" t="s">
        <v>8</v>
      </c>
      <c r="D647" s="15" t="s">
        <v>8</v>
      </c>
      <c r="H647" s="15" t="s">
        <v>8</v>
      </c>
      <c r="K647" s="15" t="s">
        <v>8</v>
      </c>
      <c r="L647" s="15" t="s">
        <v>8</v>
      </c>
      <c r="M647" s="15" t="s">
        <v>8</v>
      </c>
      <c r="N647" s="15" t="s">
        <v>8</v>
      </c>
      <c r="P647" s="15" t="s">
        <v>8</v>
      </c>
      <c r="U647" s="15" t="s">
        <v>8</v>
      </c>
      <c r="V647" s="15" t="s">
        <v>8</v>
      </c>
      <c r="W647" s="15" t="s">
        <v>8</v>
      </c>
      <c r="X647" s="15" t="s">
        <v>8</v>
      </c>
      <c r="Z647" s="15" t="s">
        <v>8</v>
      </c>
    </row>
    <row r="648" spans="3:32" x14ac:dyDescent="0.35">
      <c r="C648" s="15" t="s">
        <v>8</v>
      </c>
      <c r="D648" s="15" t="s">
        <v>8</v>
      </c>
      <c r="H648" s="15" t="s">
        <v>8</v>
      </c>
      <c r="K648" s="15" t="s">
        <v>8</v>
      </c>
      <c r="L648" s="15" t="s">
        <v>8</v>
      </c>
      <c r="M648" s="15" t="s">
        <v>8</v>
      </c>
      <c r="N648" s="15" t="s">
        <v>8</v>
      </c>
      <c r="P648" s="15" t="s">
        <v>8</v>
      </c>
      <c r="U648" s="15" t="s">
        <v>8</v>
      </c>
      <c r="V648" s="15" t="s">
        <v>8</v>
      </c>
      <c r="W648" s="15" t="s">
        <v>8</v>
      </c>
      <c r="X648" s="15" t="s">
        <v>8</v>
      </c>
      <c r="Y648" s="19" t="str">
        <f>HYPERLINK("http://yeinfo.com/family/I09066963.html", "WILLIAM RADCLIFFE &lt;8&gt; 1267 EN-1333 EN ID:09066961")</f>
        <v>WILLIAM RADCLIFFE &lt;8&gt; 1267 EN-1333 EN ID:09066961</v>
      </c>
      <c r="Z648" s="9"/>
      <c r="AA648" s="9"/>
      <c r="AB648" s="9"/>
      <c r="AC648" s="9"/>
    </row>
    <row r="649" spans="3:32" x14ac:dyDescent="0.35">
      <c r="C649" s="15" t="s">
        <v>8</v>
      </c>
      <c r="D649" s="15" t="s">
        <v>8</v>
      </c>
      <c r="H649" s="15" t="s">
        <v>8</v>
      </c>
      <c r="K649" s="15" t="s">
        <v>8</v>
      </c>
      <c r="L649" s="15" t="s">
        <v>8</v>
      </c>
      <c r="M649" s="15" t="s">
        <v>8</v>
      </c>
      <c r="N649" s="15" t="s">
        <v>8</v>
      </c>
      <c r="P649" s="15" t="s">
        <v>8</v>
      </c>
      <c r="U649" s="15" t="s">
        <v>8</v>
      </c>
      <c r="V649" s="15" t="s">
        <v>8</v>
      </c>
      <c r="W649" s="15" t="s">
        <v>8</v>
      </c>
      <c r="X649" s="15" t="s">
        <v>8</v>
      </c>
      <c r="Y649" s="8" t="s">
        <v>3</v>
      </c>
      <c r="Z649" s="15" t="s">
        <v>8</v>
      </c>
    </row>
    <row r="650" spans="3:32" x14ac:dyDescent="0.35">
      <c r="C650" s="15" t="s">
        <v>8</v>
      </c>
      <c r="D650" s="15" t="s">
        <v>8</v>
      </c>
      <c r="H650" s="15" t="s">
        <v>8</v>
      </c>
      <c r="K650" s="15" t="s">
        <v>8</v>
      </c>
      <c r="L650" s="15" t="s">
        <v>8</v>
      </c>
      <c r="M650" s="15" t="s">
        <v>8</v>
      </c>
      <c r="N650" s="15" t="s">
        <v>8</v>
      </c>
      <c r="P650" s="15" t="s">
        <v>8</v>
      </c>
      <c r="U650" s="15" t="s">
        <v>8</v>
      </c>
      <c r="V650" s="15" t="s">
        <v>8</v>
      </c>
      <c r="W650" s="15" t="s">
        <v>8</v>
      </c>
      <c r="X650" s="15" t="s">
        <v>8</v>
      </c>
      <c r="Y650" s="15" t="s">
        <v>8</v>
      </c>
      <c r="Z650" s="15" t="s">
        <v>8</v>
      </c>
      <c r="AA650" s="19" t="str">
        <f>HYPERLINK("http://yeinfo.com/family/I09066878.html", "HENRY\WILLIAM\ROBERT BOTELER &lt;A&gt; 1230 EN-1247 EN ID:09066877")</f>
        <v>HENRY\WILLIAM\ROBERT BOTELER &lt;A&gt; 1230 EN-1247 EN ID:09066877</v>
      </c>
      <c r="AB650" s="9"/>
      <c r="AC650" s="9"/>
      <c r="AD650" s="9"/>
      <c r="AE650" s="9"/>
      <c r="AF650" s="9"/>
    </row>
    <row r="651" spans="3:32" x14ac:dyDescent="0.35">
      <c r="C651" s="15" t="s">
        <v>8</v>
      </c>
      <c r="D651" s="15" t="s">
        <v>8</v>
      </c>
      <c r="H651" s="15" t="s">
        <v>8</v>
      </c>
      <c r="K651" s="15" t="s">
        <v>8</v>
      </c>
      <c r="L651" s="15" t="s">
        <v>8</v>
      </c>
      <c r="M651" s="15" t="s">
        <v>8</v>
      </c>
      <c r="N651" s="15" t="s">
        <v>8</v>
      </c>
      <c r="P651" s="15" t="s">
        <v>8</v>
      </c>
      <c r="U651" s="15" t="s">
        <v>8</v>
      </c>
      <c r="V651" s="15" t="s">
        <v>8</v>
      </c>
      <c r="W651" s="15" t="s">
        <v>8</v>
      </c>
      <c r="X651" s="15" t="s">
        <v>8</v>
      </c>
      <c r="Y651" s="15" t="s">
        <v>8</v>
      </c>
      <c r="Z651" s="8" t="s">
        <v>6</v>
      </c>
      <c r="AA651" s="8" t="s">
        <v>3</v>
      </c>
    </row>
    <row r="652" spans="3:32" x14ac:dyDescent="0.35">
      <c r="C652" s="15" t="s">
        <v>8</v>
      </c>
      <c r="D652" s="15" t="s">
        <v>8</v>
      </c>
      <c r="H652" s="15" t="s">
        <v>8</v>
      </c>
      <c r="K652" s="15" t="s">
        <v>8</v>
      </c>
      <c r="L652" s="15" t="s">
        <v>8</v>
      </c>
      <c r="M652" s="15" t="s">
        <v>8</v>
      </c>
      <c r="N652" s="15" t="s">
        <v>8</v>
      </c>
      <c r="P652" s="15" t="s">
        <v>8</v>
      </c>
      <c r="U652" s="15" t="s">
        <v>8</v>
      </c>
      <c r="V652" s="15" t="s">
        <v>8</v>
      </c>
      <c r="W652" s="15" t="s">
        <v>8</v>
      </c>
      <c r="X652" s="15" t="s">
        <v>8</v>
      </c>
      <c r="Y652" s="15" t="s">
        <v>8</v>
      </c>
      <c r="Z652" s="20" t="str">
        <f>HYPERLINK("http://yeinfo.com/family/I09066988.html", "JOAN\MARGARET BOTELER &lt;A&gt; 1232 EN-1267 EN ID:09066878")</f>
        <v>JOAN\MARGARET BOTELER &lt;A&gt; 1232 EN-1267 EN ID:09066878</v>
      </c>
      <c r="AA652" s="17"/>
      <c r="AB652" s="17"/>
      <c r="AC652" s="17"/>
      <c r="AD652" s="17"/>
      <c r="AE652" s="17"/>
    </row>
    <row r="653" spans="3:32" x14ac:dyDescent="0.35">
      <c r="C653" s="15" t="s">
        <v>8</v>
      </c>
      <c r="D653" s="15" t="s">
        <v>8</v>
      </c>
      <c r="H653" s="15" t="s">
        <v>8</v>
      </c>
      <c r="K653" s="15" t="s">
        <v>8</v>
      </c>
      <c r="L653" s="15" t="s">
        <v>8</v>
      </c>
      <c r="M653" s="15" t="s">
        <v>8</v>
      </c>
      <c r="N653" s="15" t="s">
        <v>8</v>
      </c>
      <c r="P653" s="15" t="s">
        <v>8</v>
      </c>
      <c r="U653" s="15" t="s">
        <v>8</v>
      </c>
      <c r="V653" s="15" t="s">
        <v>8</v>
      </c>
      <c r="W653" s="15" t="s">
        <v>8</v>
      </c>
      <c r="X653" s="15" t="s">
        <v>8</v>
      </c>
      <c r="Y653" s="15" t="s">
        <v>8</v>
      </c>
      <c r="AA653" s="8" t="s">
        <v>6</v>
      </c>
    </row>
    <row r="654" spans="3:32" x14ac:dyDescent="0.35">
      <c r="C654" s="15" t="s">
        <v>8</v>
      </c>
      <c r="D654" s="15" t="s">
        <v>8</v>
      </c>
      <c r="H654" s="15" t="s">
        <v>8</v>
      </c>
      <c r="K654" s="15" t="s">
        <v>8</v>
      </c>
      <c r="L654" s="15" t="s">
        <v>8</v>
      </c>
      <c r="M654" s="15" t="s">
        <v>8</v>
      </c>
      <c r="N654" s="15" t="s">
        <v>8</v>
      </c>
      <c r="P654" s="15" t="s">
        <v>8</v>
      </c>
      <c r="U654" s="15" t="s">
        <v>8</v>
      </c>
      <c r="V654" s="15" t="s">
        <v>8</v>
      </c>
      <c r="W654" s="15" t="s">
        <v>8</v>
      </c>
      <c r="X654" s="15" t="s">
        <v>8</v>
      </c>
      <c r="Y654" s="15" t="s">
        <v>8</v>
      </c>
      <c r="AA654" s="20" t="str">
        <f>HYPERLINK("http://yeinfo.com/family/I09066877.html", "Mrs. ISABELLA BOTELER &lt;A&gt; 1227 EN-1247 EN ID:09066876")</f>
        <v>Mrs. ISABELLA BOTELER &lt;A&gt; 1227 EN-1247 EN ID:09066876</v>
      </c>
      <c r="AB654" s="17"/>
      <c r="AC654" s="17"/>
      <c r="AD654" s="17"/>
      <c r="AE654" s="17"/>
    </row>
    <row r="655" spans="3:32" x14ac:dyDescent="0.35">
      <c r="C655" s="15" t="s">
        <v>8</v>
      </c>
      <c r="D655" s="15" t="s">
        <v>8</v>
      </c>
      <c r="H655" s="15" t="s">
        <v>8</v>
      </c>
      <c r="K655" s="15" t="s">
        <v>8</v>
      </c>
      <c r="L655" s="15" t="s">
        <v>8</v>
      </c>
      <c r="M655" s="15" t="s">
        <v>8</v>
      </c>
      <c r="N655" s="15" t="s">
        <v>8</v>
      </c>
      <c r="P655" s="15" t="s">
        <v>8</v>
      </c>
      <c r="U655" s="15" t="s">
        <v>8</v>
      </c>
      <c r="V655" s="15" t="s">
        <v>8</v>
      </c>
      <c r="W655" s="15" t="s">
        <v>8</v>
      </c>
      <c r="X655" s="8" t="s">
        <v>6</v>
      </c>
      <c r="Y655" s="15" t="s">
        <v>8</v>
      </c>
    </row>
    <row r="656" spans="3:32" x14ac:dyDescent="0.35">
      <c r="C656" s="15" t="s">
        <v>8</v>
      </c>
      <c r="D656" s="15" t="s">
        <v>8</v>
      </c>
      <c r="H656" s="15" t="s">
        <v>8</v>
      </c>
      <c r="K656" s="15" t="s">
        <v>8</v>
      </c>
      <c r="L656" s="15" t="s">
        <v>8</v>
      </c>
      <c r="M656" s="15" t="s">
        <v>8</v>
      </c>
      <c r="N656" s="15" t="s">
        <v>8</v>
      </c>
      <c r="P656" s="15" t="s">
        <v>8</v>
      </c>
      <c r="U656" s="15" t="s">
        <v>8</v>
      </c>
      <c r="V656" s="15" t="s">
        <v>8</v>
      </c>
      <c r="W656" s="15" t="s">
        <v>8</v>
      </c>
      <c r="X656" s="20" t="str">
        <f>HYPERLINK("http://yeinfo.com/family/I09066976.html", "ELIZABETH RADCLIFFE &lt;6&gt; 1290 EN-1310 EN ID:09066963")</f>
        <v>ELIZABETH RADCLIFFE &lt;6&gt; 1290 EN-1310 EN ID:09066963</v>
      </c>
      <c r="Y656" s="17"/>
      <c r="Z656" s="17"/>
      <c r="AA656" s="17"/>
      <c r="AB656" s="17"/>
    </row>
    <row r="657" spans="3:31" x14ac:dyDescent="0.35">
      <c r="C657" s="15" t="s">
        <v>8</v>
      </c>
      <c r="D657" s="15" t="s">
        <v>8</v>
      </c>
      <c r="H657" s="15" t="s">
        <v>8</v>
      </c>
      <c r="K657" s="15" t="s">
        <v>8</v>
      </c>
      <c r="L657" s="15" t="s">
        <v>8</v>
      </c>
      <c r="M657" s="15" t="s">
        <v>8</v>
      </c>
      <c r="N657" s="15" t="s">
        <v>8</v>
      </c>
      <c r="P657" s="15" t="s">
        <v>8</v>
      </c>
      <c r="U657" s="15" t="s">
        <v>8</v>
      </c>
      <c r="V657" s="15" t="s">
        <v>8</v>
      </c>
      <c r="W657" s="15" t="s">
        <v>8</v>
      </c>
      <c r="Y657" s="15" t="s">
        <v>8</v>
      </c>
    </row>
    <row r="658" spans="3:31" x14ac:dyDescent="0.35">
      <c r="C658" s="15" t="s">
        <v>8</v>
      </c>
      <c r="D658" s="15" t="s">
        <v>8</v>
      </c>
      <c r="H658" s="15" t="s">
        <v>8</v>
      </c>
      <c r="K658" s="15" t="s">
        <v>8</v>
      </c>
      <c r="L658" s="15" t="s">
        <v>8</v>
      </c>
      <c r="M658" s="15" t="s">
        <v>8</v>
      </c>
      <c r="N658" s="15" t="s">
        <v>8</v>
      </c>
      <c r="P658" s="15" t="s">
        <v>8</v>
      </c>
      <c r="U658" s="15" t="s">
        <v>8</v>
      </c>
      <c r="V658" s="15" t="s">
        <v>8</v>
      </c>
      <c r="W658" s="15" t="s">
        <v>8</v>
      </c>
      <c r="Y658" s="15" t="s">
        <v>8</v>
      </c>
      <c r="Z658" s="19" t="str">
        <f>HYPERLINK("http://yeinfo.com/family/I09066957.html", "ADAM PEASFURLONG &lt;8&gt; 1242 EN-1274 EN ID:09066956")</f>
        <v>ADAM PEASFURLONG &lt;8&gt; 1242 EN-1274 EN ID:09066956</v>
      </c>
      <c r="AA658" s="9"/>
      <c r="AB658" s="9"/>
      <c r="AC658" s="9"/>
      <c r="AD658" s="9"/>
    </row>
    <row r="659" spans="3:31" x14ac:dyDescent="0.35">
      <c r="C659" s="15" t="s">
        <v>8</v>
      </c>
      <c r="D659" s="15" t="s">
        <v>8</v>
      </c>
      <c r="H659" s="15" t="s">
        <v>8</v>
      </c>
      <c r="K659" s="15" t="s">
        <v>8</v>
      </c>
      <c r="L659" s="15" t="s">
        <v>8</v>
      </c>
      <c r="M659" s="15" t="s">
        <v>8</v>
      </c>
      <c r="N659" s="15" t="s">
        <v>8</v>
      </c>
      <c r="P659" s="15" t="s">
        <v>8</v>
      </c>
      <c r="U659" s="15" t="s">
        <v>8</v>
      </c>
      <c r="V659" s="15" t="s">
        <v>8</v>
      </c>
      <c r="W659" s="15" t="s">
        <v>8</v>
      </c>
      <c r="Y659" s="8" t="s">
        <v>6</v>
      </c>
      <c r="Z659" s="8" t="s">
        <v>3</v>
      </c>
    </row>
    <row r="660" spans="3:31" x14ac:dyDescent="0.35">
      <c r="C660" s="15" t="s">
        <v>8</v>
      </c>
      <c r="D660" s="15" t="s">
        <v>8</v>
      </c>
      <c r="H660" s="15" t="s">
        <v>8</v>
      </c>
      <c r="K660" s="15" t="s">
        <v>8</v>
      </c>
      <c r="L660" s="15" t="s">
        <v>8</v>
      </c>
      <c r="M660" s="15" t="s">
        <v>8</v>
      </c>
      <c r="N660" s="15" t="s">
        <v>8</v>
      </c>
      <c r="P660" s="15" t="s">
        <v>8</v>
      </c>
      <c r="U660" s="15" t="s">
        <v>8</v>
      </c>
      <c r="V660" s="15" t="s">
        <v>8</v>
      </c>
      <c r="W660" s="15" t="s">
        <v>8</v>
      </c>
      <c r="Y660" s="20" t="str">
        <f>HYPERLINK("http://yeinfo.com/family/I09066876.html", "MARGARET PEASFURLONG &lt;8&gt; 1244 EN-1290 EN ID:09066957")</f>
        <v>MARGARET PEASFURLONG &lt;8&gt; 1244 EN-1290 EN ID:09066957</v>
      </c>
      <c r="Z660" s="17"/>
      <c r="AA660" s="17"/>
      <c r="AB660" s="17"/>
      <c r="AC660" s="17"/>
    </row>
    <row r="661" spans="3:31" x14ac:dyDescent="0.35">
      <c r="C661" s="15" t="s">
        <v>8</v>
      </c>
      <c r="D661" s="15" t="s">
        <v>8</v>
      </c>
      <c r="H661" s="15" t="s">
        <v>8</v>
      </c>
      <c r="K661" s="15" t="s">
        <v>8</v>
      </c>
      <c r="L661" s="15" t="s">
        <v>8</v>
      </c>
      <c r="M661" s="15" t="s">
        <v>8</v>
      </c>
      <c r="N661" s="15" t="s">
        <v>8</v>
      </c>
      <c r="P661" s="15" t="s">
        <v>8</v>
      </c>
      <c r="U661" s="15" t="s">
        <v>8</v>
      </c>
      <c r="V661" s="15" t="s">
        <v>8</v>
      </c>
      <c r="W661" s="15" t="s">
        <v>8</v>
      </c>
      <c r="Z661" s="15" t="s">
        <v>8</v>
      </c>
    </row>
    <row r="662" spans="3:31" x14ac:dyDescent="0.35">
      <c r="C662" s="15" t="s">
        <v>8</v>
      </c>
      <c r="D662" s="15" t="s">
        <v>8</v>
      </c>
      <c r="H662" s="15" t="s">
        <v>8</v>
      </c>
      <c r="K662" s="15" t="s">
        <v>8</v>
      </c>
      <c r="L662" s="15" t="s">
        <v>8</v>
      </c>
      <c r="M662" s="15" t="s">
        <v>8</v>
      </c>
      <c r="N662" s="15" t="s">
        <v>8</v>
      </c>
      <c r="P662" s="15" t="s">
        <v>8</v>
      </c>
      <c r="U662" s="15" t="s">
        <v>8</v>
      </c>
      <c r="V662" s="15" t="s">
        <v>8</v>
      </c>
      <c r="W662" s="15" t="s">
        <v>8</v>
      </c>
      <c r="Z662" s="15" t="s">
        <v>8</v>
      </c>
      <c r="AA662" s="19" t="str">
        <f>HYPERLINK("http://yeinfo.com/family/I09066896.html", "GILBERT CULCHETH &lt;8&gt; 1205 EN-1246 EN ID:09066895")</f>
        <v>GILBERT CULCHETH &lt;8&gt; 1205 EN-1246 EN ID:09066895</v>
      </c>
      <c r="AB662" s="9"/>
      <c r="AC662" s="9"/>
      <c r="AD662" s="9"/>
      <c r="AE662" s="9"/>
    </row>
    <row r="663" spans="3:31" x14ac:dyDescent="0.35">
      <c r="C663" s="15" t="s">
        <v>8</v>
      </c>
      <c r="D663" s="15" t="s">
        <v>8</v>
      </c>
      <c r="H663" s="15" t="s">
        <v>8</v>
      </c>
      <c r="K663" s="15" t="s">
        <v>8</v>
      </c>
      <c r="L663" s="15" t="s">
        <v>8</v>
      </c>
      <c r="M663" s="15" t="s">
        <v>8</v>
      </c>
      <c r="N663" s="15" t="s">
        <v>8</v>
      </c>
      <c r="P663" s="15" t="s">
        <v>8</v>
      </c>
      <c r="U663" s="15" t="s">
        <v>8</v>
      </c>
      <c r="V663" s="15" t="s">
        <v>8</v>
      </c>
      <c r="W663" s="15" t="s">
        <v>8</v>
      </c>
      <c r="Z663" s="8" t="s">
        <v>6</v>
      </c>
      <c r="AA663" s="8" t="s">
        <v>3</v>
      </c>
    </row>
    <row r="664" spans="3:31" x14ac:dyDescent="0.35">
      <c r="C664" s="15" t="s">
        <v>8</v>
      </c>
      <c r="D664" s="15" t="s">
        <v>8</v>
      </c>
      <c r="H664" s="15" t="s">
        <v>8</v>
      </c>
      <c r="K664" s="15" t="s">
        <v>8</v>
      </c>
      <c r="L664" s="15" t="s">
        <v>8</v>
      </c>
      <c r="M664" s="15" t="s">
        <v>8</v>
      </c>
      <c r="N664" s="15" t="s">
        <v>8</v>
      </c>
      <c r="P664" s="15" t="s">
        <v>8</v>
      </c>
      <c r="U664" s="15" t="s">
        <v>8</v>
      </c>
      <c r="V664" s="15" t="s">
        <v>8</v>
      </c>
      <c r="W664" s="15" t="s">
        <v>8</v>
      </c>
      <c r="Z664" s="20" t="str">
        <f>HYPERLINK("http://yeinfo.com/family/I09066956.html", "ELIZABETH CULCHETH &lt;8&gt; 1215 EN-1274 EN ID:09066896")</f>
        <v>ELIZABETH CULCHETH &lt;8&gt; 1215 EN-1274 EN ID:09066896</v>
      </c>
      <c r="AA664" s="17"/>
      <c r="AB664" s="17"/>
      <c r="AC664" s="17"/>
      <c r="AD664" s="17"/>
    </row>
    <row r="665" spans="3:31" x14ac:dyDescent="0.35">
      <c r="C665" s="15" t="s">
        <v>8</v>
      </c>
      <c r="D665" s="15" t="s">
        <v>8</v>
      </c>
      <c r="H665" s="15" t="s">
        <v>8</v>
      </c>
      <c r="K665" s="15" t="s">
        <v>8</v>
      </c>
      <c r="L665" s="15" t="s">
        <v>8</v>
      </c>
      <c r="M665" s="15" t="s">
        <v>8</v>
      </c>
      <c r="N665" s="15" t="s">
        <v>8</v>
      </c>
      <c r="P665" s="15" t="s">
        <v>8</v>
      </c>
      <c r="U665" s="15" t="s">
        <v>8</v>
      </c>
      <c r="V665" s="15" t="s">
        <v>8</v>
      </c>
      <c r="W665" s="15" t="s">
        <v>8</v>
      </c>
      <c r="AA665" s="8" t="s">
        <v>6</v>
      </c>
    </row>
    <row r="666" spans="3:31" x14ac:dyDescent="0.35">
      <c r="C666" s="15" t="s">
        <v>8</v>
      </c>
      <c r="D666" s="15" t="s">
        <v>8</v>
      </c>
      <c r="H666" s="15" t="s">
        <v>8</v>
      </c>
      <c r="K666" s="15" t="s">
        <v>8</v>
      </c>
      <c r="L666" s="15" t="s">
        <v>8</v>
      </c>
      <c r="M666" s="15" t="s">
        <v>8</v>
      </c>
      <c r="N666" s="15" t="s">
        <v>8</v>
      </c>
      <c r="P666" s="15" t="s">
        <v>8</v>
      </c>
      <c r="U666" s="15" t="s">
        <v>8</v>
      </c>
      <c r="V666" s="15" t="s">
        <v>8</v>
      </c>
      <c r="W666" s="15" t="s">
        <v>8</v>
      </c>
      <c r="AA666" s="20" t="str">
        <f>HYPERLINK("http://yeinfo.com/family/I09066895.html", "CECILIA LATHOM &lt;8&gt; 1222 EN-1245 EN ID:09066935")</f>
        <v>CECILIA LATHOM &lt;8&gt; 1222 EN-1245 EN ID:09066935</v>
      </c>
      <c r="AB666" s="17"/>
      <c r="AC666" s="17"/>
      <c r="AD666" s="17"/>
      <c r="AE666" s="17"/>
    </row>
    <row r="667" spans="3:31" x14ac:dyDescent="0.35">
      <c r="C667" s="15" t="s">
        <v>8</v>
      </c>
      <c r="D667" s="15" t="s">
        <v>8</v>
      </c>
      <c r="H667" s="15" t="s">
        <v>8</v>
      </c>
      <c r="K667" s="15" t="s">
        <v>8</v>
      </c>
      <c r="L667" s="15" t="s">
        <v>8</v>
      </c>
      <c r="M667" s="15" t="s">
        <v>8</v>
      </c>
      <c r="N667" s="15" t="s">
        <v>8</v>
      </c>
      <c r="P667" s="15" t="s">
        <v>8</v>
      </c>
      <c r="U667" s="15" t="s">
        <v>8</v>
      </c>
      <c r="V667" s="8" t="s">
        <v>6</v>
      </c>
      <c r="W667" s="15" t="s">
        <v>8</v>
      </c>
    </row>
    <row r="668" spans="3:31" x14ac:dyDescent="0.35">
      <c r="C668" s="15" t="s">
        <v>8</v>
      </c>
      <c r="D668" s="15" t="s">
        <v>8</v>
      </c>
      <c r="H668" s="15" t="s">
        <v>8</v>
      </c>
      <c r="K668" s="15" t="s">
        <v>8</v>
      </c>
      <c r="L668" s="15" t="s">
        <v>8</v>
      </c>
      <c r="M668" s="15" t="s">
        <v>8</v>
      </c>
      <c r="N668" s="15" t="s">
        <v>8</v>
      </c>
      <c r="P668" s="15" t="s">
        <v>8</v>
      </c>
      <c r="U668" s="15" t="s">
        <v>8</v>
      </c>
      <c r="V668" s="20" t="str">
        <f>HYPERLINK("http://yeinfo.com/family/I09066493.html", "MARGARET INCE &lt;6&gt; 1330 EN-1417 EN ID:09066934")</f>
        <v>MARGARET INCE &lt;6&gt; 1330 EN-1417 EN ID:09066934</v>
      </c>
      <c r="W668" s="17"/>
      <c r="X668" s="17"/>
      <c r="Y668" s="17"/>
      <c r="Z668" s="17"/>
    </row>
    <row r="669" spans="3:31" x14ac:dyDescent="0.35">
      <c r="C669" s="15" t="s">
        <v>8</v>
      </c>
      <c r="D669" s="15" t="s">
        <v>8</v>
      </c>
      <c r="H669" s="15" t="s">
        <v>8</v>
      </c>
      <c r="K669" s="15" t="s">
        <v>8</v>
      </c>
      <c r="L669" s="15" t="s">
        <v>8</v>
      </c>
      <c r="M669" s="15" t="s">
        <v>8</v>
      </c>
      <c r="N669" s="15" t="s">
        <v>8</v>
      </c>
      <c r="P669" s="15" t="s">
        <v>8</v>
      </c>
      <c r="U669" s="15" t="s">
        <v>8</v>
      </c>
      <c r="W669" s="8" t="s">
        <v>6</v>
      </c>
    </row>
    <row r="670" spans="3:31" x14ac:dyDescent="0.35">
      <c r="C670" s="15" t="s">
        <v>8</v>
      </c>
      <c r="D670" s="15" t="s">
        <v>8</v>
      </c>
      <c r="H670" s="15" t="s">
        <v>8</v>
      </c>
      <c r="K670" s="15" t="s">
        <v>8</v>
      </c>
      <c r="L670" s="15" t="s">
        <v>8</v>
      </c>
      <c r="M670" s="15" t="s">
        <v>8</v>
      </c>
      <c r="N670" s="15" t="s">
        <v>8</v>
      </c>
      <c r="P670" s="15" t="s">
        <v>8</v>
      </c>
      <c r="U670" s="15" t="s">
        <v>8</v>
      </c>
      <c r="W670" s="20" t="str">
        <f>HYPERLINK("http://yeinfo.com/family/I09066935.html", "Mrs. {_?_} INCE &lt;6&gt; 1310 -1335 EN ID:09066932")</f>
        <v>Mrs. {_?_} INCE &lt;6&gt; 1310 -1335 EN ID:09066932</v>
      </c>
      <c r="X670" s="17"/>
      <c r="Y670" s="17"/>
      <c r="Z670" s="17"/>
      <c r="AA670" s="17"/>
    </row>
    <row r="671" spans="3:31" x14ac:dyDescent="0.35">
      <c r="C671" s="15" t="s">
        <v>8</v>
      </c>
      <c r="D671" s="15" t="s">
        <v>8</v>
      </c>
      <c r="H671" s="15" t="s">
        <v>8</v>
      </c>
      <c r="K671" s="15" t="s">
        <v>8</v>
      </c>
      <c r="L671" s="15" t="s">
        <v>8</v>
      </c>
      <c r="M671" s="15" t="s">
        <v>8</v>
      </c>
      <c r="N671" s="15" t="s">
        <v>8</v>
      </c>
      <c r="P671" s="15" t="s">
        <v>8</v>
      </c>
      <c r="U671" s="15" t="s">
        <v>8</v>
      </c>
    </row>
    <row r="672" spans="3:31" x14ac:dyDescent="0.35">
      <c r="C672" s="15" t="s">
        <v>8</v>
      </c>
      <c r="D672" s="15" t="s">
        <v>8</v>
      </c>
      <c r="H672" s="15" t="s">
        <v>8</v>
      </c>
      <c r="K672" s="15" t="s">
        <v>8</v>
      </c>
      <c r="L672" s="15" t="s">
        <v>8</v>
      </c>
      <c r="M672" s="15" t="s">
        <v>8</v>
      </c>
      <c r="N672" s="15" t="s">
        <v>8</v>
      </c>
      <c r="P672" s="15" t="s">
        <v>8</v>
      </c>
      <c r="T672" s="19" t="str">
        <f>HYPERLINK("http://yeinfo.com/family/I09066986.html", "EDMUND TRAFFORD &lt;2&gt; 1390 EN-1457 EN ID:09066985")</f>
        <v>EDMUND TRAFFORD &lt;2&gt; 1390 EN-1457 EN ID:09066985</v>
      </c>
      <c r="U672" s="9"/>
      <c r="V672" s="9"/>
      <c r="W672" s="9"/>
      <c r="X672" s="9"/>
    </row>
    <row r="673" spans="3:31" x14ac:dyDescent="0.35">
      <c r="C673" s="15" t="s">
        <v>8</v>
      </c>
      <c r="D673" s="15" t="s">
        <v>8</v>
      </c>
      <c r="H673" s="15" t="s">
        <v>8</v>
      </c>
      <c r="K673" s="15" t="s">
        <v>8</v>
      </c>
      <c r="L673" s="15" t="s">
        <v>8</v>
      </c>
      <c r="M673" s="15" t="s">
        <v>8</v>
      </c>
      <c r="N673" s="15" t="s">
        <v>8</v>
      </c>
      <c r="P673" s="15" t="s">
        <v>8</v>
      </c>
      <c r="T673" s="8" t="s">
        <v>3</v>
      </c>
      <c r="U673" s="15" t="s">
        <v>8</v>
      </c>
    </row>
    <row r="674" spans="3:31" x14ac:dyDescent="0.35">
      <c r="C674" s="15" t="s">
        <v>8</v>
      </c>
      <c r="D674" s="15" t="s">
        <v>8</v>
      </c>
      <c r="H674" s="15" t="s">
        <v>8</v>
      </c>
      <c r="K674" s="15" t="s">
        <v>8</v>
      </c>
      <c r="L674" s="15" t="s">
        <v>8</v>
      </c>
      <c r="M674" s="15" t="s">
        <v>8</v>
      </c>
      <c r="N674" s="15" t="s">
        <v>8</v>
      </c>
      <c r="P674" s="15" t="s">
        <v>8</v>
      </c>
      <c r="T674" s="15" t="s">
        <v>8</v>
      </c>
      <c r="U674" s="15" t="s">
        <v>8</v>
      </c>
      <c r="W674" s="19" t="str">
        <f>HYPERLINK("http://yeinfo.com/family/I09066968.html", "RALPH RADCLIFFE &lt;2&gt; 1355 EN-1406 EN ID:09066966")</f>
        <v>RALPH RADCLIFFE &lt;2&gt; 1355 EN-1406 EN ID:09066966</v>
      </c>
      <c r="X674" s="9"/>
      <c r="Y674" s="9"/>
      <c r="Z674" s="9"/>
      <c r="AA674" s="9"/>
    </row>
    <row r="675" spans="3:31" x14ac:dyDescent="0.35">
      <c r="C675" s="15" t="s">
        <v>8</v>
      </c>
      <c r="D675" s="15" t="s">
        <v>8</v>
      </c>
      <c r="H675" s="15" t="s">
        <v>8</v>
      </c>
      <c r="K675" s="15" t="s">
        <v>8</v>
      </c>
      <c r="L675" s="15" t="s">
        <v>8</v>
      </c>
      <c r="M675" s="15" t="s">
        <v>8</v>
      </c>
      <c r="N675" s="15" t="s">
        <v>8</v>
      </c>
      <c r="P675" s="15" t="s">
        <v>8</v>
      </c>
      <c r="T675" s="15" t="s">
        <v>8</v>
      </c>
      <c r="U675" s="15" t="s">
        <v>8</v>
      </c>
      <c r="W675" s="8" t="s">
        <v>3</v>
      </c>
    </row>
    <row r="676" spans="3:31" x14ac:dyDescent="0.35">
      <c r="C676" s="15" t="s">
        <v>8</v>
      </c>
      <c r="D676" s="15" t="s">
        <v>8</v>
      </c>
      <c r="H676" s="15" t="s">
        <v>8</v>
      </c>
      <c r="K676" s="15" t="s">
        <v>8</v>
      </c>
      <c r="L676" s="15" t="s">
        <v>8</v>
      </c>
      <c r="M676" s="15" t="s">
        <v>8</v>
      </c>
      <c r="N676" s="15" t="s">
        <v>8</v>
      </c>
      <c r="P676" s="15" t="s">
        <v>8</v>
      </c>
      <c r="T676" s="15" t="s">
        <v>8</v>
      </c>
      <c r="U676" s="15" t="s">
        <v>8</v>
      </c>
      <c r="V676" s="19" t="str">
        <f>HYPERLINK("http://yeinfo.com/family/I09066969.html", "RALPH RADCLIFFE &lt;2&gt; 1355 EN-1406 EN ID:09066968")</f>
        <v>RALPH RADCLIFFE &lt;2&gt; 1355 EN-1406 EN ID:09066968</v>
      </c>
      <c r="W676" s="9"/>
      <c r="X676" s="9"/>
      <c r="Y676" s="9"/>
      <c r="Z676" s="9"/>
    </row>
    <row r="677" spans="3:31" x14ac:dyDescent="0.35">
      <c r="C677" s="15" t="s">
        <v>8</v>
      </c>
      <c r="D677" s="15" t="s">
        <v>8</v>
      </c>
      <c r="H677" s="15" t="s">
        <v>8</v>
      </c>
      <c r="K677" s="15" t="s">
        <v>8</v>
      </c>
      <c r="L677" s="15" t="s">
        <v>8</v>
      </c>
      <c r="M677" s="15" t="s">
        <v>8</v>
      </c>
      <c r="N677" s="15" t="s">
        <v>8</v>
      </c>
      <c r="P677" s="15" t="s">
        <v>8</v>
      </c>
      <c r="T677" s="15" t="s">
        <v>8</v>
      </c>
      <c r="U677" s="15" t="s">
        <v>8</v>
      </c>
      <c r="V677" s="8" t="s">
        <v>3</v>
      </c>
      <c r="W677" s="15" t="s">
        <v>8</v>
      </c>
    </row>
    <row r="678" spans="3:31" x14ac:dyDescent="0.35">
      <c r="C678" s="15" t="s">
        <v>8</v>
      </c>
      <c r="D678" s="15" t="s">
        <v>8</v>
      </c>
      <c r="H678" s="15" t="s">
        <v>8</v>
      </c>
      <c r="K678" s="15" t="s">
        <v>8</v>
      </c>
      <c r="L678" s="15" t="s">
        <v>8</v>
      </c>
      <c r="M678" s="15" t="s">
        <v>8</v>
      </c>
      <c r="N678" s="15" t="s">
        <v>8</v>
      </c>
      <c r="P678" s="15" t="s">
        <v>8</v>
      </c>
      <c r="T678" s="15" t="s">
        <v>8</v>
      </c>
      <c r="U678" s="15" t="s">
        <v>8</v>
      </c>
      <c r="V678" s="15" t="s">
        <v>8</v>
      </c>
      <c r="W678" s="15" t="s">
        <v>8</v>
      </c>
      <c r="AA678" s="19" t="str">
        <f>HYPERLINK("http://yeinfo.com/family/I09066947.html", "WILLIAM MASSEY &lt;4&gt; 1190 EN-1272 IS ID:09066946")</f>
        <v>WILLIAM MASSEY &lt;4&gt; 1190 EN-1272 IS ID:09066946</v>
      </c>
      <c r="AB678" s="9"/>
      <c r="AC678" s="9"/>
      <c r="AD678" s="9"/>
      <c r="AE678" s="9"/>
    </row>
    <row r="679" spans="3:31" x14ac:dyDescent="0.35">
      <c r="C679" s="15" t="s">
        <v>8</v>
      </c>
      <c r="D679" s="15" t="s">
        <v>8</v>
      </c>
      <c r="H679" s="15" t="s">
        <v>8</v>
      </c>
      <c r="K679" s="15" t="s">
        <v>8</v>
      </c>
      <c r="L679" s="15" t="s">
        <v>8</v>
      </c>
      <c r="M679" s="15" t="s">
        <v>8</v>
      </c>
      <c r="N679" s="15" t="s">
        <v>8</v>
      </c>
      <c r="P679" s="15" t="s">
        <v>8</v>
      </c>
      <c r="T679" s="15" t="s">
        <v>8</v>
      </c>
      <c r="U679" s="15" t="s">
        <v>8</v>
      </c>
      <c r="V679" s="15" t="s">
        <v>8</v>
      </c>
      <c r="W679" s="15" t="s">
        <v>8</v>
      </c>
      <c r="AA679" s="8" t="s">
        <v>3</v>
      </c>
    </row>
    <row r="680" spans="3:31" x14ac:dyDescent="0.35">
      <c r="C680" s="15" t="s">
        <v>8</v>
      </c>
      <c r="D680" s="15" t="s">
        <v>8</v>
      </c>
      <c r="H680" s="15" t="s">
        <v>8</v>
      </c>
      <c r="K680" s="15" t="s">
        <v>8</v>
      </c>
      <c r="L680" s="15" t="s">
        <v>8</v>
      </c>
      <c r="M680" s="15" t="s">
        <v>8</v>
      </c>
      <c r="N680" s="15" t="s">
        <v>8</v>
      </c>
      <c r="P680" s="15" t="s">
        <v>8</v>
      </c>
      <c r="T680" s="15" t="s">
        <v>8</v>
      </c>
      <c r="U680" s="15" t="s">
        <v>8</v>
      </c>
      <c r="V680" s="15" t="s">
        <v>8</v>
      </c>
      <c r="W680" s="15" t="s">
        <v>8</v>
      </c>
      <c r="Z680" s="19" t="str">
        <f>HYPERLINK("http://yeinfo.com/family/I09066948.html", "ROBERT ROSTHERNE MASSEY &lt;4&gt; 1228 EN-1328 EN ID:09066947")</f>
        <v>ROBERT ROSTHERNE MASSEY &lt;4&gt; 1228 EN-1328 EN ID:09066947</v>
      </c>
      <c r="AA680" s="9"/>
      <c r="AB680" s="9"/>
      <c r="AC680" s="9"/>
      <c r="AD680" s="9"/>
    </row>
    <row r="681" spans="3:31" x14ac:dyDescent="0.35">
      <c r="C681" s="15" t="s">
        <v>8</v>
      </c>
      <c r="D681" s="15" t="s">
        <v>8</v>
      </c>
      <c r="H681" s="15" t="s">
        <v>8</v>
      </c>
      <c r="K681" s="15" t="s">
        <v>8</v>
      </c>
      <c r="L681" s="15" t="s">
        <v>8</v>
      </c>
      <c r="M681" s="15" t="s">
        <v>8</v>
      </c>
      <c r="N681" s="15" t="s">
        <v>8</v>
      </c>
      <c r="P681" s="15" t="s">
        <v>8</v>
      </c>
      <c r="T681" s="15" t="s">
        <v>8</v>
      </c>
      <c r="U681" s="15" t="s">
        <v>8</v>
      </c>
      <c r="V681" s="15" t="s">
        <v>8</v>
      </c>
      <c r="W681" s="15" t="s">
        <v>8</v>
      </c>
      <c r="Z681" s="8" t="s">
        <v>3</v>
      </c>
      <c r="AA681" s="8" t="s">
        <v>6</v>
      </c>
    </row>
    <row r="682" spans="3:31" x14ac:dyDescent="0.35">
      <c r="C682" s="15" t="s">
        <v>8</v>
      </c>
      <c r="D682" s="15" t="s">
        <v>8</v>
      </c>
      <c r="H682" s="15" t="s">
        <v>8</v>
      </c>
      <c r="K682" s="15" t="s">
        <v>8</v>
      </c>
      <c r="L682" s="15" t="s">
        <v>8</v>
      </c>
      <c r="M682" s="15" t="s">
        <v>8</v>
      </c>
      <c r="N682" s="15" t="s">
        <v>8</v>
      </c>
      <c r="P682" s="15" t="s">
        <v>8</v>
      </c>
      <c r="T682" s="15" t="s">
        <v>8</v>
      </c>
      <c r="U682" s="15" t="s">
        <v>8</v>
      </c>
      <c r="V682" s="15" t="s">
        <v>8</v>
      </c>
      <c r="W682" s="15" t="s">
        <v>8</v>
      </c>
      <c r="Z682" s="15" t="s">
        <v>8</v>
      </c>
      <c r="AA682" s="20" t="str">
        <f>HYPERLINK("http://yeinfo.com/family/I09066946.html", "MARGERY ROSTHERNE &lt;4&gt; 1190 EN-1228 EN ID:09066970")</f>
        <v>MARGERY ROSTHERNE &lt;4&gt; 1190 EN-1228 EN ID:09066970</v>
      </c>
      <c r="AB682" s="17"/>
      <c r="AC682" s="17"/>
      <c r="AD682" s="17"/>
      <c r="AE682" s="17"/>
    </row>
    <row r="683" spans="3:31" x14ac:dyDescent="0.35">
      <c r="C683" s="15" t="s">
        <v>8</v>
      </c>
      <c r="D683" s="15" t="s">
        <v>8</v>
      </c>
      <c r="H683" s="15" t="s">
        <v>8</v>
      </c>
      <c r="K683" s="15" t="s">
        <v>8</v>
      </c>
      <c r="L683" s="15" t="s">
        <v>8</v>
      </c>
      <c r="M683" s="15" t="s">
        <v>8</v>
      </c>
      <c r="N683" s="15" t="s">
        <v>8</v>
      </c>
      <c r="P683" s="15" t="s">
        <v>8</v>
      </c>
      <c r="T683" s="15" t="s">
        <v>8</v>
      </c>
      <c r="U683" s="15" t="s">
        <v>8</v>
      </c>
      <c r="V683" s="15" t="s">
        <v>8</v>
      </c>
      <c r="W683" s="15" t="s">
        <v>8</v>
      </c>
      <c r="Z683" s="15" t="s">
        <v>8</v>
      </c>
    </row>
    <row r="684" spans="3:31" x14ac:dyDescent="0.35">
      <c r="C684" s="15" t="s">
        <v>8</v>
      </c>
      <c r="D684" s="15" t="s">
        <v>8</v>
      </c>
      <c r="H684" s="15" t="s">
        <v>8</v>
      </c>
      <c r="K684" s="15" t="s">
        <v>8</v>
      </c>
      <c r="L684" s="15" t="s">
        <v>8</v>
      </c>
      <c r="M684" s="15" t="s">
        <v>8</v>
      </c>
      <c r="N684" s="15" t="s">
        <v>8</v>
      </c>
      <c r="P684" s="15" t="s">
        <v>8</v>
      </c>
      <c r="T684" s="15" t="s">
        <v>8</v>
      </c>
      <c r="U684" s="15" t="s">
        <v>8</v>
      </c>
      <c r="V684" s="15" t="s">
        <v>8</v>
      </c>
      <c r="W684" s="15" t="s">
        <v>8</v>
      </c>
      <c r="Y684" s="19" t="str">
        <f>HYPERLINK("http://yeinfo.com/family/I09066949.html", "WILLIAM MASSEY &lt;4&gt; 1290 EN-1338 EN ID:09066948")</f>
        <v>WILLIAM MASSEY &lt;4&gt; 1290 EN-1338 EN ID:09066948</v>
      </c>
      <c r="Z684" s="9"/>
      <c r="AA684" s="9"/>
      <c r="AB684" s="9"/>
      <c r="AC684" s="9"/>
    </row>
    <row r="685" spans="3:31" x14ac:dyDescent="0.35">
      <c r="C685" s="15" t="s">
        <v>8</v>
      </c>
      <c r="D685" s="15" t="s">
        <v>8</v>
      </c>
      <c r="H685" s="15" t="s">
        <v>8</v>
      </c>
      <c r="K685" s="15" t="s">
        <v>8</v>
      </c>
      <c r="L685" s="15" t="s">
        <v>8</v>
      </c>
      <c r="M685" s="15" t="s">
        <v>8</v>
      </c>
      <c r="N685" s="15" t="s">
        <v>8</v>
      </c>
      <c r="P685" s="15" t="s">
        <v>8</v>
      </c>
      <c r="T685" s="15" t="s">
        <v>8</v>
      </c>
      <c r="U685" s="15" t="s">
        <v>8</v>
      </c>
      <c r="V685" s="15" t="s">
        <v>8</v>
      </c>
      <c r="W685" s="15" t="s">
        <v>8</v>
      </c>
      <c r="Y685" s="8" t="s">
        <v>3</v>
      </c>
      <c r="Z685" s="8" t="s">
        <v>6</v>
      </c>
    </row>
    <row r="686" spans="3:31" x14ac:dyDescent="0.35">
      <c r="C686" s="15" t="s">
        <v>8</v>
      </c>
      <c r="D686" s="15" t="s">
        <v>8</v>
      </c>
      <c r="H686" s="15" t="s">
        <v>8</v>
      </c>
      <c r="K686" s="15" t="s">
        <v>8</v>
      </c>
      <c r="L686" s="15" t="s">
        <v>8</v>
      </c>
      <c r="M686" s="15" t="s">
        <v>8</v>
      </c>
      <c r="N686" s="15" t="s">
        <v>8</v>
      </c>
      <c r="P686" s="15" t="s">
        <v>8</v>
      </c>
      <c r="T686" s="15" t="s">
        <v>8</v>
      </c>
      <c r="U686" s="15" t="s">
        <v>8</v>
      </c>
      <c r="V686" s="15" t="s">
        <v>8</v>
      </c>
      <c r="W686" s="15" t="s">
        <v>8</v>
      </c>
      <c r="Y686" s="15" t="s">
        <v>8</v>
      </c>
      <c r="Z686" s="20" t="str">
        <f>HYPERLINK("http://yeinfo.com/family/I09066970.html", "MARGARET ROSTHERNE &lt;4&gt; 1242 EN-1340 EN ID:09066971")</f>
        <v>MARGARET ROSTHERNE &lt;4&gt; 1242 EN-1340 EN ID:09066971</v>
      </c>
      <c r="AA686" s="17"/>
      <c r="AB686" s="17"/>
      <c r="AC686" s="17"/>
      <c r="AD686" s="17"/>
    </row>
    <row r="687" spans="3:31" x14ac:dyDescent="0.35">
      <c r="C687" s="15" t="s">
        <v>8</v>
      </c>
      <c r="D687" s="15" t="s">
        <v>8</v>
      </c>
      <c r="H687" s="15" t="s">
        <v>8</v>
      </c>
      <c r="K687" s="15" t="s">
        <v>8</v>
      </c>
      <c r="L687" s="15" t="s">
        <v>8</v>
      </c>
      <c r="M687" s="15" t="s">
        <v>8</v>
      </c>
      <c r="N687" s="15" t="s">
        <v>8</v>
      </c>
      <c r="P687" s="15" t="s">
        <v>8</v>
      </c>
      <c r="T687" s="15" t="s">
        <v>8</v>
      </c>
      <c r="U687" s="15" t="s">
        <v>8</v>
      </c>
      <c r="V687" s="15" t="s">
        <v>8</v>
      </c>
      <c r="W687" s="15" t="s">
        <v>8</v>
      </c>
      <c r="Y687" s="15" t="s">
        <v>8</v>
      </c>
    </row>
    <row r="688" spans="3:31" x14ac:dyDescent="0.35">
      <c r="C688" s="15" t="s">
        <v>8</v>
      </c>
      <c r="D688" s="15" t="s">
        <v>8</v>
      </c>
      <c r="H688" s="15" t="s">
        <v>8</v>
      </c>
      <c r="K688" s="15" t="s">
        <v>8</v>
      </c>
      <c r="L688" s="15" t="s">
        <v>8</v>
      </c>
      <c r="M688" s="15" t="s">
        <v>8</v>
      </c>
      <c r="N688" s="15" t="s">
        <v>8</v>
      </c>
      <c r="P688" s="15" t="s">
        <v>8</v>
      </c>
      <c r="T688" s="15" t="s">
        <v>8</v>
      </c>
      <c r="U688" s="15" t="s">
        <v>8</v>
      </c>
      <c r="V688" s="15" t="s">
        <v>8</v>
      </c>
      <c r="W688" s="15" t="s">
        <v>8</v>
      </c>
      <c r="X688" s="19" t="str">
        <f>HYPERLINK("http://yeinfo.com/family/I09066950.html", "HUGH MASSEY &lt;4&gt; 1320 EN-1371 EN ID:09066949")</f>
        <v>HUGH MASSEY &lt;4&gt; 1320 EN-1371 EN ID:09066949</v>
      </c>
      <c r="Y688" s="9"/>
      <c r="Z688" s="9"/>
      <c r="AA688" s="9"/>
      <c r="AB688" s="9"/>
    </row>
    <row r="689" spans="3:32" x14ac:dyDescent="0.35">
      <c r="C689" s="15" t="s">
        <v>8</v>
      </c>
      <c r="D689" s="15" t="s">
        <v>8</v>
      </c>
      <c r="H689" s="15" t="s">
        <v>8</v>
      </c>
      <c r="K689" s="15" t="s">
        <v>8</v>
      </c>
      <c r="L689" s="15" t="s">
        <v>8</v>
      </c>
      <c r="M689" s="15" t="s">
        <v>8</v>
      </c>
      <c r="N689" s="15" t="s">
        <v>8</v>
      </c>
      <c r="P689" s="15" t="s">
        <v>8</v>
      </c>
      <c r="T689" s="15" t="s">
        <v>8</v>
      </c>
      <c r="U689" s="15" t="s">
        <v>8</v>
      </c>
      <c r="V689" s="15" t="s">
        <v>8</v>
      </c>
      <c r="W689" s="15" t="s">
        <v>8</v>
      </c>
      <c r="X689" s="8" t="s">
        <v>3</v>
      </c>
      <c r="Y689" s="15" t="s">
        <v>8</v>
      </c>
    </row>
    <row r="690" spans="3:32" x14ac:dyDescent="0.35">
      <c r="C690" s="15" t="s">
        <v>8</v>
      </c>
      <c r="D690" s="15" t="s">
        <v>8</v>
      </c>
      <c r="H690" s="15" t="s">
        <v>8</v>
      </c>
      <c r="K690" s="15" t="s">
        <v>8</v>
      </c>
      <c r="L690" s="15" t="s">
        <v>8</v>
      </c>
      <c r="M690" s="15" t="s">
        <v>8</v>
      </c>
      <c r="N690" s="15" t="s">
        <v>8</v>
      </c>
      <c r="P690" s="15" t="s">
        <v>8</v>
      </c>
      <c r="T690" s="15" t="s">
        <v>8</v>
      </c>
      <c r="U690" s="15" t="s">
        <v>8</v>
      </c>
      <c r="V690" s="15" t="s">
        <v>8</v>
      </c>
      <c r="W690" s="15" t="s">
        <v>8</v>
      </c>
      <c r="X690" s="15" t="s">
        <v>8</v>
      </c>
      <c r="Y690" s="15" t="s">
        <v>8</v>
      </c>
      <c r="Z690" s="19" t="str">
        <f>HYPERLINK("http://yeinfo.com/family/I09066942.html", "THOMAS LYMM LEIGH &lt;4&gt; 1263 EN-1317 EN ID:09066941")</f>
        <v>THOMAS LYMM LEIGH &lt;4&gt; 1263 EN-1317 EN ID:09066941</v>
      </c>
      <c r="AA690" s="9"/>
      <c r="AB690" s="9"/>
      <c r="AC690" s="9"/>
      <c r="AD690" s="9"/>
    </row>
    <row r="691" spans="3:32" x14ac:dyDescent="0.35">
      <c r="C691" s="15" t="s">
        <v>8</v>
      </c>
      <c r="D691" s="15" t="s">
        <v>8</v>
      </c>
      <c r="H691" s="15" t="s">
        <v>8</v>
      </c>
      <c r="K691" s="15" t="s">
        <v>8</v>
      </c>
      <c r="L691" s="15" t="s">
        <v>8</v>
      </c>
      <c r="M691" s="15" t="s">
        <v>8</v>
      </c>
      <c r="N691" s="15" t="s">
        <v>8</v>
      </c>
      <c r="P691" s="15" t="s">
        <v>8</v>
      </c>
      <c r="T691" s="15" t="s">
        <v>8</v>
      </c>
      <c r="U691" s="15" t="s">
        <v>8</v>
      </c>
      <c r="V691" s="15" t="s">
        <v>8</v>
      </c>
      <c r="W691" s="15" t="s">
        <v>8</v>
      </c>
      <c r="X691" s="15" t="s">
        <v>8</v>
      </c>
      <c r="Y691" s="8" t="s">
        <v>6</v>
      </c>
      <c r="Z691" s="8" t="s">
        <v>3</v>
      </c>
    </row>
    <row r="692" spans="3:32" x14ac:dyDescent="0.35">
      <c r="C692" s="15" t="s">
        <v>8</v>
      </c>
      <c r="D692" s="15" t="s">
        <v>8</v>
      </c>
      <c r="H692" s="15" t="s">
        <v>8</v>
      </c>
      <c r="K692" s="15" t="s">
        <v>8</v>
      </c>
      <c r="L692" s="15" t="s">
        <v>8</v>
      </c>
      <c r="M692" s="15" t="s">
        <v>8</v>
      </c>
      <c r="N692" s="15" t="s">
        <v>8</v>
      </c>
      <c r="P692" s="15" t="s">
        <v>8</v>
      </c>
      <c r="T692" s="15" t="s">
        <v>8</v>
      </c>
      <c r="U692" s="15" t="s">
        <v>8</v>
      </c>
      <c r="V692" s="15" t="s">
        <v>8</v>
      </c>
      <c r="W692" s="15" t="s">
        <v>8</v>
      </c>
      <c r="X692" s="15" t="s">
        <v>8</v>
      </c>
      <c r="Y692" s="20" t="str">
        <f>HYPERLINK("http://yeinfo.com/family/I09066971.html", "MARGERY LEIGH &lt;4&gt; 1280 EN-1338 EN ID:09066942")</f>
        <v>MARGERY LEIGH &lt;4&gt; 1280 EN-1338 EN ID:09066942</v>
      </c>
      <c r="Z692" s="17"/>
      <c r="AA692" s="17"/>
      <c r="AB692" s="17"/>
      <c r="AC692" s="17"/>
    </row>
    <row r="693" spans="3:32" x14ac:dyDescent="0.35">
      <c r="C693" s="15" t="s">
        <v>8</v>
      </c>
      <c r="D693" s="15" t="s">
        <v>8</v>
      </c>
      <c r="H693" s="15" t="s">
        <v>8</v>
      </c>
      <c r="K693" s="15" t="s">
        <v>8</v>
      </c>
      <c r="L693" s="15" t="s">
        <v>8</v>
      </c>
      <c r="M693" s="15" t="s">
        <v>8</v>
      </c>
      <c r="N693" s="15" t="s">
        <v>8</v>
      </c>
      <c r="P693" s="15" t="s">
        <v>8</v>
      </c>
      <c r="T693" s="15" t="s">
        <v>8</v>
      </c>
      <c r="U693" s="15" t="s">
        <v>8</v>
      </c>
      <c r="V693" s="15" t="s">
        <v>8</v>
      </c>
      <c r="W693" s="15" t="s">
        <v>8</v>
      </c>
      <c r="X693" s="15" t="s">
        <v>8</v>
      </c>
      <c r="Z693" s="8" t="s">
        <v>6</v>
      </c>
    </row>
    <row r="694" spans="3:32" x14ac:dyDescent="0.35">
      <c r="C694" s="15" t="s">
        <v>8</v>
      </c>
      <c r="D694" s="15" t="s">
        <v>8</v>
      </c>
      <c r="H694" s="15" t="s">
        <v>8</v>
      </c>
      <c r="K694" s="15" t="s">
        <v>8</v>
      </c>
      <c r="L694" s="15" t="s">
        <v>8</v>
      </c>
      <c r="M694" s="15" t="s">
        <v>8</v>
      </c>
      <c r="N694" s="15" t="s">
        <v>8</v>
      </c>
      <c r="P694" s="15" t="s">
        <v>8</v>
      </c>
      <c r="T694" s="15" t="s">
        <v>8</v>
      </c>
      <c r="U694" s="15" t="s">
        <v>8</v>
      </c>
      <c r="V694" s="15" t="s">
        <v>8</v>
      </c>
      <c r="W694" s="15" t="s">
        <v>8</v>
      </c>
      <c r="X694" s="15" t="s">
        <v>8</v>
      </c>
      <c r="Z694" s="20" t="str">
        <f>HYPERLINK("http://yeinfo.com/family/I09066941.html", "Mrs. CECILY\SYBIL LEIGH &lt;4&gt; 1250 EN-1305 EN ID:09066940")</f>
        <v>Mrs. CECILY\SYBIL LEIGH &lt;4&gt; 1250 EN-1305 EN ID:09066940</v>
      </c>
      <c r="AA694" s="17"/>
      <c r="AB694" s="17"/>
      <c r="AC694" s="17"/>
      <c r="AD694" s="17"/>
      <c r="AE694" s="17"/>
      <c r="AF694" s="17"/>
    </row>
    <row r="695" spans="3:32" x14ac:dyDescent="0.35">
      <c r="C695" s="15" t="s">
        <v>8</v>
      </c>
      <c r="D695" s="15" t="s">
        <v>8</v>
      </c>
      <c r="H695" s="15" t="s">
        <v>8</v>
      </c>
      <c r="K695" s="15" t="s">
        <v>8</v>
      </c>
      <c r="L695" s="15" t="s">
        <v>8</v>
      </c>
      <c r="M695" s="15" t="s">
        <v>8</v>
      </c>
      <c r="N695" s="15" t="s">
        <v>8</v>
      </c>
      <c r="P695" s="15" t="s">
        <v>8</v>
      </c>
      <c r="T695" s="15" t="s">
        <v>8</v>
      </c>
      <c r="U695" s="15" t="s">
        <v>8</v>
      </c>
      <c r="V695" s="15" t="s">
        <v>8</v>
      </c>
      <c r="W695" s="8" t="s">
        <v>6</v>
      </c>
      <c r="X695" s="15" t="s">
        <v>8</v>
      </c>
    </row>
    <row r="696" spans="3:32" x14ac:dyDescent="0.35">
      <c r="C696" s="15" t="s">
        <v>8</v>
      </c>
      <c r="D696" s="15" t="s">
        <v>8</v>
      </c>
      <c r="H696" s="15" t="s">
        <v>8</v>
      </c>
      <c r="K696" s="15" t="s">
        <v>8</v>
      </c>
      <c r="L696" s="15" t="s">
        <v>8</v>
      </c>
      <c r="M696" s="15" t="s">
        <v>8</v>
      </c>
      <c r="N696" s="15" t="s">
        <v>8</v>
      </c>
      <c r="P696" s="15" t="s">
        <v>8</v>
      </c>
      <c r="T696" s="15" t="s">
        <v>8</v>
      </c>
      <c r="U696" s="15" t="s">
        <v>8</v>
      </c>
      <c r="V696" s="15" t="s">
        <v>8</v>
      </c>
      <c r="W696" s="20" t="str">
        <f>HYPERLINK("http://yeinfo.com/family/I09066966.html", "ELENA MASSEY &lt;2&gt; 1358 EN-1416 EN ID:09066950")</f>
        <v>ELENA MASSEY &lt;2&gt; 1358 EN-1416 EN ID:09066950</v>
      </c>
      <c r="X696" s="17"/>
      <c r="Y696" s="17"/>
      <c r="Z696" s="17"/>
      <c r="AA696" s="17"/>
    </row>
    <row r="697" spans="3:32" x14ac:dyDescent="0.35">
      <c r="C697" s="15" t="s">
        <v>8</v>
      </c>
      <c r="D697" s="15" t="s">
        <v>8</v>
      </c>
      <c r="H697" s="15" t="s">
        <v>8</v>
      </c>
      <c r="K697" s="15" t="s">
        <v>8</v>
      </c>
      <c r="L697" s="15" t="s">
        <v>8</v>
      </c>
      <c r="M697" s="15" t="s">
        <v>8</v>
      </c>
      <c r="N697" s="15" t="s">
        <v>8</v>
      </c>
      <c r="P697" s="15" t="s">
        <v>8</v>
      </c>
      <c r="T697" s="15" t="s">
        <v>8</v>
      </c>
      <c r="U697" s="15" t="s">
        <v>8</v>
      </c>
      <c r="V697" s="15" t="s">
        <v>8</v>
      </c>
      <c r="X697" s="15" t="s">
        <v>8</v>
      </c>
    </row>
    <row r="698" spans="3:32" x14ac:dyDescent="0.35">
      <c r="C698" s="15" t="s">
        <v>8</v>
      </c>
      <c r="D698" s="15" t="s">
        <v>8</v>
      </c>
      <c r="H698" s="15" t="s">
        <v>8</v>
      </c>
      <c r="K698" s="15" t="s">
        <v>8</v>
      </c>
      <c r="L698" s="15" t="s">
        <v>8</v>
      </c>
      <c r="M698" s="15" t="s">
        <v>8</v>
      </c>
      <c r="N698" s="15" t="s">
        <v>8</v>
      </c>
      <c r="P698" s="15" t="s">
        <v>8</v>
      </c>
      <c r="T698" s="15" t="s">
        <v>8</v>
      </c>
      <c r="U698" s="15" t="s">
        <v>8</v>
      </c>
      <c r="V698" s="15" t="s">
        <v>8</v>
      </c>
      <c r="X698" s="15" t="s">
        <v>8</v>
      </c>
      <c r="Y698" s="19" t="str">
        <f>HYPERLINK("http://yeinfo.com/family/I09067010.html", "JOHN WRENBURY &lt;4&gt; 1292 EN-1349 EN ID:09067009")</f>
        <v>JOHN WRENBURY &lt;4&gt; 1292 EN-1349 EN ID:09067009</v>
      </c>
      <c r="Z698" s="9"/>
      <c r="AA698" s="9"/>
      <c r="AB698" s="9"/>
      <c r="AC698" s="9"/>
    </row>
    <row r="699" spans="3:32" x14ac:dyDescent="0.35">
      <c r="C699" s="15" t="s">
        <v>8</v>
      </c>
      <c r="D699" s="15" t="s">
        <v>8</v>
      </c>
      <c r="H699" s="15" t="s">
        <v>8</v>
      </c>
      <c r="K699" s="15" t="s">
        <v>8</v>
      </c>
      <c r="L699" s="15" t="s">
        <v>8</v>
      </c>
      <c r="M699" s="15" t="s">
        <v>8</v>
      </c>
      <c r="N699" s="15" t="s">
        <v>8</v>
      </c>
      <c r="P699" s="15" t="s">
        <v>8</v>
      </c>
      <c r="T699" s="15" t="s">
        <v>8</v>
      </c>
      <c r="U699" s="15" t="s">
        <v>8</v>
      </c>
      <c r="V699" s="15" t="s">
        <v>8</v>
      </c>
      <c r="X699" s="8" t="s">
        <v>6</v>
      </c>
      <c r="Y699" s="8" t="s">
        <v>3</v>
      </c>
    </row>
    <row r="700" spans="3:32" x14ac:dyDescent="0.35">
      <c r="C700" s="15" t="s">
        <v>8</v>
      </c>
      <c r="D700" s="15" t="s">
        <v>8</v>
      </c>
      <c r="H700" s="15" t="s">
        <v>8</v>
      </c>
      <c r="K700" s="15" t="s">
        <v>8</v>
      </c>
      <c r="L700" s="15" t="s">
        <v>8</v>
      </c>
      <c r="M700" s="15" t="s">
        <v>8</v>
      </c>
      <c r="N700" s="15" t="s">
        <v>8</v>
      </c>
      <c r="P700" s="15" t="s">
        <v>8</v>
      </c>
      <c r="T700" s="15" t="s">
        <v>8</v>
      </c>
      <c r="U700" s="15" t="s">
        <v>8</v>
      </c>
      <c r="V700" s="15" t="s">
        <v>8</v>
      </c>
      <c r="X700" s="20" t="str">
        <f>HYPERLINK("http://yeinfo.com/family/I09066940.html", "ALICE WRENBURY &lt;4&gt; 1320 EN-1370 EN ID:09067010")</f>
        <v>ALICE WRENBURY &lt;4&gt; 1320 EN-1370 EN ID:09067010</v>
      </c>
      <c r="Y700" s="17"/>
      <c r="Z700" s="17"/>
      <c r="AA700" s="17"/>
      <c r="AB700" s="17"/>
    </row>
    <row r="701" spans="3:32" x14ac:dyDescent="0.35">
      <c r="C701" s="15" t="s">
        <v>8</v>
      </c>
      <c r="D701" s="15" t="s">
        <v>8</v>
      </c>
      <c r="H701" s="15" t="s">
        <v>8</v>
      </c>
      <c r="K701" s="15" t="s">
        <v>8</v>
      </c>
      <c r="L701" s="15" t="s">
        <v>8</v>
      </c>
      <c r="M701" s="15" t="s">
        <v>8</v>
      </c>
      <c r="N701" s="15" t="s">
        <v>8</v>
      </c>
      <c r="P701" s="15" t="s">
        <v>8</v>
      </c>
      <c r="T701" s="15" t="s">
        <v>8</v>
      </c>
      <c r="U701" s="15" t="s">
        <v>8</v>
      </c>
      <c r="V701" s="15" t="s">
        <v>8</v>
      </c>
      <c r="Y701" s="8" t="s">
        <v>6</v>
      </c>
    </row>
    <row r="702" spans="3:32" x14ac:dyDescent="0.35">
      <c r="C702" s="15" t="s">
        <v>8</v>
      </c>
      <c r="D702" s="15" t="s">
        <v>8</v>
      </c>
      <c r="H702" s="15" t="s">
        <v>8</v>
      </c>
      <c r="K702" s="15" t="s">
        <v>8</v>
      </c>
      <c r="L702" s="15" t="s">
        <v>8</v>
      </c>
      <c r="M702" s="15" t="s">
        <v>8</v>
      </c>
      <c r="N702" s="15" t="s">
        <v>8</v>
      </c>
      <c r="P702" s="15" t="s">
        <v>8</v>
      </c>
      <c r="T702" s="15" t="s">
        <v>8</v>
      </c>
      <c r="U702" s="15" t="s">
        <v>8</v>
      </c>
      <c r="V702" s="15" t="s">
        <v>8</v>
      </c>
      <c r="Y702" s="20" t="str">
        <f>HYPERLINK("http://yeinfo.com/family/I09067009.html", "ALICE AUDLEM &lt;4&gt; 1290 EN-1320 EN ID:09066863")</f>
        <v>ALICE AUDLEM &lt;4&gt; 1290 EN-1320 EN ID:09066863</v>
      </c>
      <c r="Z702" s="17"/>
      <c r="AA702" s="17"/>
      <c r="AB702" s="17"/>
      <c r="AC702" s="17"/>
    </row>
    <row r="703" spans="3:32" x14ac:dyDescent="0.35">
      <c r="C703" s="15" t="s">
        <v>8</v>
      </c>
      <c r="D703" s="15" t="s">
        <v>8</v>
      </c>
      <c r="H703" s="15" t="s">
        <v>8</v>
      </c>
      <c r="K703" s="15" t="s">
        <v>8</v>
      </c>
      <c r="L703" s="15" t="s">
        <v>8</v>
      </c>
      <c r="M703" s="15" t="s">
        <v>8</v>
      </c>
      <c r="N703" s="15" t="s">
        <v>8</v>
      </c>
      <c r="P703" s="15" t="s">
        <v>8</v>
      </c>
      <c r="T703" s="15" t="s">
        <v>8</v>
      </c>
      <c r="U703" s="8" t="s">
        <v>6</v>
      </c>
      <c r="V703" s="15" t="s">
        <v>8</v>
      </c>
    </row>
    <row r="704" spans="3:32" x14ac:dyDescent="0.35">
      <c r="C704" s="15" t="s">
        <v>8</v>
      </c>
      <c r="D704" s="15" t="s">
        <v>8</v>
      </c>
      <c r="H704" s="15" t="s">
        <v>8</v>
      </c>
      <c r="K704" s="15" t="s">
        <v>8</v>
      </c>
      <c r="L704" s="15" t="s">
        <v>8</v>
      </c>
      <c r="M704" s="15" t="s">
        <v>8</v>
      </c>
      <c r="N704" s="15" t="s">
        <v>8</v>
      </c>
      <c r="P704" s="15" t="s">
        <v>8</v>
      </c>
      <c r="T704" s="15" t="s">
        <v>8</v>
      </c>
      <c r="U704" s="20" t="str">
        <f>HYPERLINK("http://yeinfo.com/family/I09066932.html", "ELIZABETH RADCLIFFE &lt;2&gt; 1370 EN-1432 EN ID:09066969")</f>
        <v>ELIZABETH RADCLIFFE &lt;2&gt; 1370 EN-1432 EN ID:09066969</v>
      </c>
      <c r="V704" s="17"/>
      <c r="W704" s="17"/>
      <c r="X704" s="17"/>
      <c r="Y704" s="17"/>
    </row>
    <row r="705" spans="3:30" x14ac:dyDescent="0.35">
      <c r="C705" s="15" t="s">
        <v>8</v>
      </c>
      <c r="D705" s="15" t="s">
        <v>8</v>
      </c>
      <c r="H705" s="15" t="s">
        <v>8</v>
      </c>
      <c r="K705" s="15" t="s">
        <v>8</v>
      </c>
      <c r="L705" s="15" t="s">
        <v>8</v>
      </c>
      <c r="M705" s="15" t="s">
        <v>8</v>
      </c>
      <c r="N705" s="15" t="s">
        <v>8</v>
      </c>
      <c r="P705" s="15" t="s">
        <v>8</v>
      </c>
      <c r="T705" s="15" t="s">
        <v>8</v>
      </c>
      <c r="V705" s="8" t="s">
        <v>6</v>
      </c>
    </row>
    <row r="706" spans="3:30" x14ac:dyDescent="0.35">
      <c r="C706" s="15" t="s">
        <v>8</v>
      </c>
      <c r="D706" s="15" t="s">
        <v>8</v>
      </c>
      <c r="H706" s="15" t="s">
        <v>8</v>
      </c>
      <c r="K706" s="15" t="s">
        <v>8</v>
      </c>
      <c r="L706" s="15" t="s">
        <v>8</v>
      </c>
      <c r="M706" s="15" t="s">
        <v>8</v>
      </c>
      <c r="N706" s="15" t="s">
        <v>8</v>
      </c>
      <c r="P706" s="15" t="s">
        <v>8</v>
      </c>
      <c r="T706" s="15" t="s">
        <v>8</v>
      </c>
      <c r="V706" s="20" t="str">
        <f>HYPERLINK("http://yeinfo.com/family/I09066863.html", "Mrs. {_?_} RADCLIFFE &lt;2&gt; 1350 EN-1370 EN ID:09066967")</f>
        <v>Mrs. {_?_} RADCLIFFE &lt;2&gt; 1350 EN-1370 EN ID:09066967</v>
      </c>
      <c r="W706" s="17"/>
      <c r="X706" s="17"/>
      <c r="Y706" s="17"/>
      <c r="Z706" s="17"/>
    </row>
    <row r="707" spans="3:30" x14ac:dyDescent="0.35">
      <c r="C707" s="15" t="s">
        <v>8</v>
      </c>
      <c r="D707" s="15" t="s">
        <v>8</v>
      </c>
      <c r="H707" s="15" t="s">
        <v>8</v>
      </c>
      <c r="K707" s="15" t="s">
        <v>8</v>
      </c>
      <c r="L707" s="15" t="s">
        <v>8</v>
      </c>
      <c r="M707" s="15" t="s">
        <v>8</v>
      </c>
      <c r="N707" s="15" t="s">
        <v>8</v>
      </c>
      <c r="P707" s="15" t="s">
        <v>8</v>
      </c>
      <c r="T707" s="15" t="s">
        <v>8</v>
      </c>
    </row>
    <row r="708" spans="3:30" x14ac:dyDescent="0.35">
      <c r="C708" s="15" t="s">
        <v>8</v>
      </c>
      <c r="D708" s="15" t="s">
        <v>8</v>
      </c>
      <c r="H708" s="15" t="s">
        <v>8</v>
      </c>
      <c r="K708" s="15" t="s">
        <v>8</v>
      </c>
      <c r="L708" s="15" t="s">
        <v>8</v>
      </c>
      <c r="M708" s="15" t="s">
        <v>8</v>
      </c>
      <c r="N708" s="15" t="s">
        <v>8</v>
      </c>
      <c r="P708" s="15" t="s">
        <v>8</v>
      </c>
      <c r="S708" s="19" t="str">
        <f>HYPERLINK("http://yeinfo.com/family/I09066987.html", "JOHN TRAFFORD &lt;2&gt; 1420 EN-1445 EN ID:09066986")</f>
        <v>JOHN TRAFFORD &lt;2&gt; 1420 EN-1445 EN ID:09066986</v>
      </c>
      <c r="T708" s="9"/>
      <c r="U708" s="9"/>
      <c r="V708" s="9"/>
      <c r="W708" s="9"/>
    </row>
    <row r="709" spans="3:30" x14ac:dyDescent="0.35">
      <c r="C709" s="15" t="s">
        <v>8</v>
      </c>
      <c r="D709" s="15" t="s">
        <v>8</v>
      </c>
      <c r="H709" s="15" t="s">
        <v>8</v>
      </c>
      <c r="K709" s="15" t="s">
        <v>8</v>
      </c>
      <c r="L709" s="15" t="s">
        <v>8</v>
      </c>
      <c r="M709" s="15" t="s">
        <v>8</v>
      </c>
      <c r="N709" s="15" t="s">
        <v>8</v>
      </c>
      <c r="P709" s="15" t="s">
        <v>8</v>
      </c>
      <c r="S709" s="8" t="s">
        <v>3</v>
      </c>
      <c r="T709" s="15" t="s">
        <v>8</v>
      </c>
    </row>
    <row r="710" spans="3:30" x14ac:dyDescent="0.35">
      <c r="C710" s="15" t="s">
        <v>8</v>
      </c>
      <c r="D710" s="15" t="s">
        <v>8</v>
      </c>
      <c r="H710" s="15" t="s">
        <v>8</v>
      </c>
      <c r="K710" s="15" t="s">
        <v>8</v>
      </c>
      <c r="L710" s="15" t="s">
        <v>8</v>
      </c>
      <c r="M710" s="15" t="s">
        <v>8</v>
      </c>
      <c r="N710" s="15" t="s">
        <v>8</v>
      </c>
      <c r="P710" s="15" t="s">
        <v>8</v>
      </c>
      <c r="S710" s="15" t="s">
        <v>8</v>
      </c>
      <c r="T710" s="15" t="s">
        <v>8</v>
      </c>
      <c r="Z710" s="19" t="str">
        <f>HYPERLINK("http://yeinfo.com/family/I09066990.html", "ROGER VENABLES &lt;2&gt; 1211 EN-1260 EN ID:09066989")</f>
        <v>ROGER VENABLES &lt;2&gt; 1211 EN-1260 EN ID:09066989</v>
      </c>
      <c r="AA710" s="9"/>
      <c r="AB710" s="9"/>
      <c r="AC710" s="9"/>
      <c r="AD710" s="9"/>
    </row>
    <row r="711" spans="3:30" x14ac:dyDescent="0.35">
      <c r="C711" s="15" t="s">
        <v>8</v>
      </c>
      <c r="D711" s="15" t="s">
        <v>8</v>
      </c>
      <c r="H711" s="15" t="s">
        <v>8</v>
      </c>
      <c r="K711" s="15" t="s">
        <v>8</v>
      </c>
      <c r="L711" s="15" t="s">
        <v>8</v>
      </c>
      <c r="M711" s="15" t="s">
        <v>8</v>
      </c>
      <c r="N711" s="15" t="s">
        <v>8</v>
      </c>
      <c r="P711" s="15" t="s">
        <v>8</v>
      </c>
      <c r="S711" s="15" t="s">
        <v>8</v>
      </c>
      <c r="T711" s="15" t="s">
        <v>8</v>
      </c>
      <c r="Z711" s="8" t="s">
        <v>3</v>
      </c>
    </row>
    <row r="712" spans="3:30" x14ac:dyDescent="0.35">
      <c r="C712" s="15" t="s">
        <v>8</v>
      </c>
      <c r="D712" s="15" t="s">
        <v>8</v>
      </c>
      <c r="H712" s="15" t="s">
        <v>8</v>
      </c>
      <c r="K712" s="15" t="s">
        <v>8</v>
      </c>
      <c r="L712" s="15" t="s">
        <v>8</v>
      </c>
      <c r="M712" s="15" t="s">
        <v>8</v>
      </c>
      <c r="N712" s="15" t="s">
        <v>8</v>
      </c>
      <c r="P712" s="15" t="s">
        <v>8</v>
      </c>
      <c r="S712" s="15" t="s">
        <v>8</v>
      </c>
      <c r="T712" s="15" t="s">
        <v>8</v>
      </c>
      <c r="Y712" s="19" t="str">
        <f>HYPERLINK("http://yeinfo.com/family/I09066991.html", "WILLIAM VENABLES &lt;2&gt; 1233 EN-1292 EN ID:09066990")</f>
        <v>WILLIAM VENABLES &lt;2&gt; 1233 EN-1292 EN ID:09066990</v>
      </c>
      <c r="Z712" s="9"/>
      <c r="AA712" s="9"/>
      <c r="AB712" s="9"/>
      <c r="AC712" s="9"/>
    </row>
    <row r="713" spans="3:30" x14ac:dyDescent="0.35">
      <c r="C713" s="15" t="s">
        <v>8</v>
      </c>
      <c r="D713" s="15" t="s">
        <v>8</v>
      </c>
      <c r="H713" s="15" t="s">
        <v>8</v>
      </c>
      <c r="K713" s="15" t="s">
        <v>8</v>
      </c>
      <c r="L713" s="15" t="s">
        <v>8</v>
      </c>
      <c r="M713" s="15" t="s">
        <v>8</v>
      </c>
      <c r="N713" s="15" t="s">
        <v>8</v>
      </c>
      <c r="P713" s="15" t="s">
        <v>8</v>
      </c>
      <c r="S713" s="15" t="s">
        <v>8</v>
      </c>
      <c r="T713" s="15" t="s">
        <v>8</v>
      </c>
      <c r="Y713" s="8" t="s">
        <v>3</v>
      </c>
      <c r="Z713" s="8" t="s">
        <v>6</v>
      </c>
    </row>
    <row r="714" spans="3:30" x14ac:dyDescent="0.35">
      <c r="C714" s="15" t="s">
        <v>8</v>
      </c>
      <c r="D714" s="15" t="s">
        <v>8</v>
      </c>
      <c r="H714" s="15" t="s">
        <v>8</v>
      </c>
      <c r="K714" s="15" t="s">
        <v>8</v>
      </c>
      <c r="L714" s="15" t="s">
        <v>8</v>
      </c>
      <c r="M714" s="15" t="s">
        <v>8</v>
      </c>
      <c r="N714" s="15" t="s">
        <v>8</v>
      </c>
      <c r="P714" s="15" t="s">
        <v>8</v>
      </c>
      <c r="S714" s="15" t="s">
        <v>8</v>
      </c>
      <c r="T714" s="15" t="s">
        <v>8</v>
      </c>
      <c r="Y714" s="15" t="s">
        <v>8</v>
      </c>
      <c r="Z714" s="20" t="str">
        <f>HYPERLINK("http://yeinfo.com/family/I09066989.html", "ALICEA PENNINGTON &lt;2&gt; 1212 EN-1306 EN ID:09066958")</f>
        <v>ALICEA PENNINGTON &lt;2&gt; 1212 EN-1306 EN ID:09066958</v>
      </c>
      <c r="AA714" s="17"/>
      <c r="AB714" s="17"/>
      <c r="AC714" s="17"/>
      <c r="AD714" s="17"/>
    </row>
    <row r="715" spans="3:30" x14ac:dyDescent="0.35">
      <c r="C715" s="15" t="s">
        <v>8</v>
      </c>
      <c r="D715" s="15" t="s">
        <v>8</v>
      </c>
      <c r="H715" s="15" t="s">
        <v>8</v>
      </c>
      <c r="K715" s="15" t="s">
        <v>8</v>
      </c>
      <c r="L715" s="15" t="s">
        <v>8</v>
      </c>
      <c r="M715" s="15" t="s">
        <v>8</v>
      </c>
      <c r="N715" s="15" t="s">
        <v>8</v>
      </c>
      <c r="P715" s="15" t="s">
        <v>8</v>
      </c>
      <c r="S715" s="15" t="s">
        <v>8</v>
      </c>
      <c r="T715" s="15" t="s">
        <v>8</v>
      </c>
      <c r="Y715" s="15" t="s">
        <v>8</v>
      </c>
    </row>
    <row r="716" spans="3:30" x14ac:dyDescent="0.35">
      <c r="C716" s="15" t="s">
        <v>8</v>
      </c>
      <c r="D716" s="15" t="s">
        <v>8</v>
      </c>
      <c r="H716" s="15" t="s">
        <v>8</v>
      </c>
      <c r="K716" s="15" t="s">
        <v>8</v>
      </c>
      <c r="L716" s="15" t="s">
        <v>8</v>
      </c>
      <c r="M716" s="15" t="s">
        <v>8</v>
      </c>
      <c r="N716" s="15" t="s">
        <v>8</v>
      </c>
      <c r="P716" s="15" t="s">
        <v>8</v>
      </c>
      <c r="S716" s="15" t="s">
        <v>8</v>
      </c>
      <c r="T716" s="15" t="s">
        <v>8</v>
      </c>
      <c r="X716" s="19" t="str">
        <f>HYPERLINK("http://yeinfo.com/family/I09066992.html", "HUGH VENABLES &lt;2&gt; 1256 EN-1311 EN ID:09066991")</f>
        <v>HUGH VENABLES &lt;2&gt; 1256 EN-1311 EN ID:09066991</v>
      </c>
      <c r="Y716" s="9"/>
      <c r="Z716" s="9"/>
      <c r="AA716" s="9"/>
      <c r="AB716" s="9"/>
    </row>
    <row r="717" spans="3:30" x14ac:dyDescent="0.35">
      <c r="C717" s="15" t="s">
        <v>8</v>
      </c>
      <c r="D717" s="15" t="s">
        <v>8</v>
      </c>
      <c r="H717" s="15" t="s">
        <v>8</v>
      </c>
      <c r="K717" s="15" t="s">
        <v>8</v>
      </c>
      <c r="L717" s="15" t="s">
        <v>8</v>
      </c>
      <c r="M717" s="15" t="s">
        <v>8</v>
      </c>
      <c r="N717" s="15" t="s">
        <v>8</v>
      </c>
      <c r="P717" s="15" t="s">
        <v>8</v>
      </c>
      <c r="S717" s="15" t="s">
        <v>8</v>
      </c>
      <c r="T717" s="15" t="s">
        <v>8</v>
      </c>
      <c r="X717" s="8" t="s">
        <v>3</v>
      </c>
      <c r="Y717" s="15" t="s">
        <v>8</v>
      </c>
    </row>
    <row r="718" spans="3:30" x14ac:dyDescent="0.35">
      <c r="C718" s="15" t="s">
        <v>8</v>
      </c>
      <c r="D718" s="15" t="s">
        <v>8</v>
      </c>
      <c r="H718" s="15" t="s">
        <v>8</v>
      </c>
      <c r="K718" s="15" t="s">
        <v>8</v>
      </c>
      <c r="L718" s="15" t="s">
        <v>8</v>
      </c>
      <c r="M718" s="15" t="s">
        <v>8</v>
      </c>
      <c r="N718" s="15" t="s">
        <v>8</v>
      </c>
      <c r="P718" s="15" t="s">
        <v>8</v>
      </c>
      <c r="S718" s="15" t="s">
        <v>8</v>
      </c>
      <c r="T718" s="15" t="s">
        <v>8</v>
      </c>
      <c r="X718" s="15" t="s">
        <v>8</v>
      </c>
      <c r="Y718" s="15" t="s">
        <v>8</v>
      </c>
      <c r="Z718" s="19" t="str">
        <f>HYPERLINK("http://yeinfo.com/family/I09066903.html", "THOMAS DUTTON &lt;2&gt; 1214 EN-1272 EN ID:09066902")</f>
        <v>THOMAS DUTTON &lt;2&gt; 1214 EN-1272 EN ID:09066902</v>
      </c>
      <c r="AA718" s="9"/>
      <c r="AB718" s="9"/>
      <c r="AC718" s="9"/>
      <c r="AD718" s="9"/>
    </row>
    <row r="719" spans="3:30" x14ac:dyDescent="0.35">
      <c r="C719" s="15" t="s">
        <v>8</v>
      </c>
      <c r="D719" s="15" t="s">
        <v>8</v>
      </c>
      <c r="H719" s="15" t="s">
        <v>8</v>
      </c>
      <c r="K719" s="15" t="s">
        <v>8</v>
      </c>
      <c r="L719" s="15" t="s">
        <v>8</v>
      </c>
      <c r="M719" s="15" t="s">
        <v>8</v>
      </c>
      <c r="N719" s="15" t="s">
        <v>8</v>
      </c>
      <c r="P719" s="15" t="s">
        <v>8</v>
      </c>
      <c r="S719" s="15" t="s">
        <v>8</v>
      </c>
      <c r="T719" s="15" t="s">
        <v>8</v>
      </c>
      <c r="X719" s="15" t="s">
        <v>8</v>
      </c>
      <c r="Y719" s="8" t="s">
        <v>6</v>
      </c>
      <c r="Z719" s="8" t="s">
        <v>3</v>
      </c>
    </row>
    <row r="720" spans="3:30" x14ac:dyDescent="0.35">
      <c r="C720" s="15" t="s">
        <v>8</v>
      </c>
      <c r="D720" s="15" t="s">
        <v>8</v>
      </c>
      <c r="H720" s="15" t="s">
        <v>8</v>
      </c>
      <c r="K720" s="15" t="s">
        <v>8</v>
      </c>
      <c r="L720" s="15" t="s">
        <v>8</v>
      </c>
      <c r="M720" s="15" t="s">
        <v>8</v>
      </c>
      <c r="N720" s="15" t="s">
        <v>8</v>
      </c>
      <c r="P720" s="15" t="s">
        <v>8</v>
      </c>
      <c r="S720" s="15" t="s">
        <v>8</v>
      </c>
      <c r="T720" s="15" t="s">
        <v>8</v>
      </c>
      <c r="X720" s="15" t="s">
        <v>8</v>
      </c>
      <c r="Y720" s="20" t="str">
        <f>HYPERLINK("http://yeinfo.com/family/I09066958.html", "MARGARET DUTTON &lt;2&gt; 1235 EN-1293 EN ID:09066903")</f>
        <v>MARGARET DUTTON &lt;2&gt; 1235 EN-1293 EN ID:09066903</v>
      </c>
      <c r="Z720" s="17"/>
      <c r="AA720" s="17"/>
      <c r="AB720" s="17"/>
      <c r="AC720" s="17"/>
    </row>
    <row r="721" spans="3:30" x14ac:dyDescent="0.35">
      <c r="C721" s="15" t="s">
        <v>8</v>
      </c>
      <c r="D721" s="15" t="s">
        <v>8</v>
      </c>
      <c r="H721" s="15" t="s">
        <v>8</v>
      </c>
      <c r="K721" s="15" t="s">
        <v>8</v>
      </c>
      <c r="L721" s="15" t="s">
        <v>8</v>
      </c>
      <c r="M721" s="15" t="s">
        <v>8</v>
      </c>
      <c r="N721" s="15" t="s">
        <v>8</v>
      </c>
      <c r="P721" s="15" t="s">
        <v>8</v>
      </c>
      <c r="S721" s="15" t="s">
        <v>8</v>
      </c>
      <c r="T721" s="15" t="s">
        <v>8</v>
      </c>
      <c r="X721" s="15" t="s">
        <v>8</v>
      </c>
      <c r="Z721" s="8" t="s">
        <v>6</v>
      </c>
    </row>
    <row r="722" spans="3:30" x14ac:dyDescent="0.35">
      <c r="C722" s="15" t="s">
        <v>8</v>
      </c>
      <c r="D722" s="15" t="s">
        <v>8</v>
      </c>
      <c r="H722" s="15" t="s">
        <v>8</v>
      </c>
      <c r="K722" s="15" t="s">
        <v>8</v>
      </c>
      <c r="L722" s="15" t="s">
        <v>8</v>
      </c>
      <c r="M722" s="15" t="s">
        <v>8</v>
      </c>
      <c r="N722" s="15" t="s">
        <v>8</v>
      </c>
      <c r="P722" s="15" t="s">
        <v>8</v>
      </c>
      <c r="S722" s="15" t="s">
        <v>8</v>
      </c>
      <c r="T722" s="15" t="s">
        <v>8</v>
      </c>
      <c r="X722" s="15" t="s">
        <v>8</v>
      </c>
      <c r="Z722" s="20" t="str">
        <f>HYPERLINK("http://yeinfo.com/family/I09066902.html", "PHILIPPA STANDON &lt;2&gt; 1220 EN-1294 EN ID:09066977")</f>
        <v>PHILIPPA STANDON &lt;2&gt; 1220 EN-1294 EN ID:09066977</v>
      </c>
      <c r="AA722" s="17"/>
      <c r="AB722" s="17"/>
      <c r="AC722" s="17"/>
      <c r="AD722" s="17"/>
    </row>
    <row r="723" spans="3:30" x14ac:dyDescent="0.35">
      <c r="C723" s="15" t="s">
        <v>8</v>
      </c>
      <c r="D723" s="15" t="s">
        <v>8</v>
      </c>
      <c r="H723" s="15" t="s">
        <v>8</v>
      </c>
      <c r="K723" s="15" t="s">
        <v>8</v>
      </c>
      <c r="L723" s="15" t="s">
        <v>8</v>
      </c>
      <c r="M723" s="15" t="s">
        <v>8</v>
      </c>
      <c r="N723" s="15" t="s">
        <v>8</v>
      </c>
      <c r="P723" s="15" t="s">
        <v>8</v>
      </c>
      <c r="S723" s="15" t="s">
        <v>8</v>
      </c>
      <c r="T723" s="15" t="s">
        <v>8</v>
      </c>
      <c r="X723" s="15" t="s">
        <v>8</v>
      </c>
    </row>
    <row r="724" spans="3:30" x14ac:dyDescent="0.35">
      <c r="C724" s="15" t="s">
        <v>8</v>
      </c>
      <c r="D724" s="15" t="s">
        <v>8</v>
      </c>
      <c r="H724" s="15" t="s">
        <v>8</v>
      </c>
      <c r="K724" s="15" t="s">
        <v>8</v>
      </c>
      <c r="L724" s="15" t="s">
        <v>8</v>
      </c>
      <c r="M724" s="15" t="s">
        <v>8</v>
      </c>
      <c r="N724" s="15" t="s">
        <v>8</v>
      </c>
      <c r="P724" s="15" t="s">
        <v>8</v>
      </c>
      <c r="S724" s="15" t="s">
        <v>8</v>
      </c>
      <c r="T724" s="15" t="s">
        <v>8</v>
      </c>
      <c r="W724" s="19" t="str">
        <f>HYPERLINK("http://yeinfo.com/family/I09066993.html", "HUGH VENABLES &lt;2&gt; 1296 EN-1368 EN ID:09066992")</f>
        <v>HUGH VENABLES &lt;2&gt; 1296 EN-1368 EN ID:09066992</v>
      </c>
      <c r="X724" s="9"/>
      <c r="Y724" s="9"/>
      <c r="Z724" s="9"/>
      <c r="AA724" s="9"/>
    </row>
    <row r="725" spans="3:30" x14ac:dyDescent="0.35">
      <c r="C725" s="15" t="s">
        <v>8</v>
      </c>
      <c r="D725" s="15" t="s">
        <v>8</v>
      </c>
      <c r="H725" s="15" t="s">
        <v>8</v>
      </c>
      <c r="K725" s="15" t="s">
        <v>8</v>
      </c>
      <c r="L725" s="15" t="s">
        <v>8</v>
      </c>
      <c r="M725" s="15" t="s">
        <v>8</v>
      </c>
      <c r="N725" s="15" t="s">
        <v>8</v>
      </c>
      <c r="P725" s="15" t="s">
        <v>8</v>
      </c>
      <c r="S725" s="15" t="s">
        <v>8</v>
      </c>
      <c r="T725" s="15" t="s">
        <v>8</v>
      </c>
      <c r="W725" s="8" t="s">
        <v>3</v>
      </c>
      <c r="X725" s="15" t="s">
        <v>8</v>
      </c>
    </row>
    <row r="726" spans="3:30" x14ac:dyDescent="0.35">
      <c r="C726" s="15" t="s">
        <v>8</v>
      </c>
      <c r="D726" s="15" t="s">
        <v>8</v>
      </c>
      <c r="H726" s="15" t="s">
        <v>8</v>
      </c>
      <c r="K726" s="15" t="s">
        <v>8</v>
      </c>
      <c r="L726" s="15" t="s">
        <v>8</v>
      </c>
      <c r="M726" s="15" t="s">
        <v>8</v>
      </c>
      <c r="N726" s="15" t="s">
        <v>8</v>
      </c>
      <c r="P726" s="15" t="s">
        <v>8</v>
      </c>
      <c r="S726" s="15" t="s">
        <v>8</v>
      </c>
      <c r="T726" s="15" t="s">
        <v>8</v>
      </c>
      <c r="W726" s="15" t="s">
        <v>8</v>
      </c>
      <c r="X726" s="15" t="s">
        <v>8</v>
      </c>
      <c r="Z726" s="19" t="str">
        <f>HYPERLINK("http://yeinfo.com/family/I09066996.html", "RALPH VERNON &lt;2&gt; 1190 EN-1270 EN ID:09066995")</f>
        <v>RALPH VERNON &lt;2&gt; 1190 EN-1270 EN ID:09066995</v>
      </c>
      <c r="AA726" s="9"/>
      <c r="AB726" s="9"/>
      <c r="AC726" s="9"/>
      <c r="AD726" s="9"/>
    </row>
    <row r="727" spans="3:30" x14ac:dyDescent="0.35">
      <c r="C727" s="15" t="s">
        <v>8</v>
      </c>
      <c r="D727" s="15" t="s">
        <v>8</v>
      </c>
      <c r="H727" s="15" t="s">
        <v>8</v>
      </c>
      <c r="K727" s="15" t="s">
        <v>8</v>
      </c>
      <c r="L727" s="15" t="s">
        <v>8</v>
      </c>
      <c r="M727" s="15" t="s">
        <v>8</v>
      </c>
      <c r="N727" s="15" t="s">
        <v>8</v>
      </c>
      <c r="P727" s="15" t="s">
        <v>8</v>
      </c>
      <c r="S727" s="15" t="s">
        <v>8</v>
      </c>
      <c r="T727" s="15" t="s">
        <v>8</v>
      </c>
      <c r="W727" s="15" t="s">
        <v>8</v>
      </c>
      <c r="X727" s="15" t="s">
        <v>8</v>
      </c>
      <c r="Z727" s="8" t="s">
        <v>3</v>
      </c>
    </row>
    <row r="728" spans="3:30" x14ac:dyDescent="0.35">
      <c r="C728" s="15" t="s">
        <v>8</v>
      </c>
      <c r="D728" s="15" t="s">
        <v>8</v>
      </c>
      <c r="H728" s="15" t="s">
        <v>8</v>
      </c>
      <c r="K728" s="15" t="s">
        <v>8</v>
      </c>
      <c r="L728" s="15" t="s">
        <v>8</v>
      </c>
      <c r="M728" s="15" t="s">
        <v>8</v>
      </c>
      <c r="N728" s="15" t="s">
        <v>8</v>
      </c>
      <c r="P728" s="15" t="s">
        <v>8</v>
      </c>
      <c r="S728" s="15" t="s">
        <v>8</v>
      </c>
      <c r="T728" s="15" t="s">
        <v>8</v>
      </c>
      <c r="W728" s="15" t="s">
        <v>8</v>
      </c>
      <c r="X728" s="15" t="s">
        <v>8</v>
      </c>
      <c r="Y728" s="19" t="str">
        <f>HYPERLINK("http://yeinfo.com/family/I09066997.html", "RALPH VERNON &lt;2&gt; 1241 EN-1325 EN ID:09066996")</f>
        <v>RALPH VERNON &lt;2&gt; 1241 EN-1325 EN ID:09066996</v>
      </c>
      <c r="Z728" s="9"/>
      <c r="AA728" s="9"/>
      <c r="AB728" s="9"/>
      <c r="AC728" s="9"/>
    </row>
    <row r="729" spans="3:30" x14ac:dyDescent="0.35">
      <c r="C729" s="15" t="s">
        <v>8</v>
      </c>
      <c r="D729" s="15" t="s">
        <v>8</v>
      </c>
      <c r="H729" s="15" t="s">
        <v>8</v>
      </c>
      <c r="K729" s="15" t="s">
        <v>8</v>
      </c>
      <c r="L729" s="15" t="s">
        <v>8</v>
      </c>
      <c r="M729" s="15" t="s">
        <v>8</v>
      </c>
      <c r="N729" s="15" t="s">
        <v>8</v>
      </c>
      <c r="P729" s="15" t="s">
        <v>8</v>
      </c>
      <c r="S729" s="15" t="s">
        <v>8</v>
      </c>
      <c r="T729" s="15" t="s">
        <v>8</v>
      </c>
      <c r="W729" s="15" t="s">
        <v>8</v>
      </c>
      <c r="X729" s="15" t="s">
        <v>8</v>
      </c>
      <c r="Y729" s="8" t="s">
        <v>3</v>
      </c>
      <c r="Z729" s="8" t="s">
        <v>6</v>
      </c>
    </row>
    <row r="730" spans="3:30" x14ac:dyDescent="0.35">
      <c r="C730" s="15" t="s">
        <v>8</v>
      </c>
      <c r="D730" s="15" t="s">
        <v>8</v>
      </c>
      <c r="H730" s="15" t="s">
        <v>8</v>
      </c>
      <c r="K730" s="15" t="s">
        <v>8</v>
      </c>
      <c r="L730" s="15" t="s">
        <v>8</v>
      </c>
      <c r="M730" s="15" t="s">
        <v>8</v>
      </c>
      <c r="N730" s="15" t="s">
        <v>8</v>
      </c>
      <c r="P730" s="15" t="s">
        <v>8</v>
      </c>
      <c r="S730" s="15" t="s">
        <v>8</v>
      </c>
      <c r="T730" s="15" t="s">
        <v>8</v>
      </c>
      <c r="W730" s="15" t="s">
        <v>8</v>
      </c>
      <c r="X730" s="15" t="s">
        <v>8</v>
      </c>
      <c r="Y730" s="15" t="s">
        <v>8</v>
      </c>
      <c r="Z730" s="20" t="str">
        <f>HYPERLINK("http://yeinfo.com/family/I09066995.html", "CECILIA CREW &lt;2&gt; 1220 EN-1260 EN ID:09066894")</f>
        <v>CECILIA CREW &lt;2&gt; 1220 EN-1260 EN ID:09066894</v>
      </c>
      <c r="AA730" s="17"/>
      <c r="AB730" s="17"/>
      <c r="AC730" s="17"/>
      <c r="AD730" s="17"/>
    </row>
    <row r="731" spans="3:30" x14ac:dyDescent="0.35">
      <c r="C731" s="15" t="s">
        <v>8</v>
      </c>
      <c r="D731" s="15" t="s">
        <v>8</v>
      </c>
      <c r="H731" s="15" t="s">
        <v>8</v>
      </c>
      <c r="K731" s="15" t="s">
        <v>8</v>
      </c>
      <c r="L731" s="15" t="s">
        <v>8</v>
      </c>
      <c r="M731" s="15" t="s">
        <v>8</v>
      </c>
      <c r="N731" s="15" t="s">
        <v>8</v>
      </c>
      <c r="P731" s="15" t="s">
        <v>8</v>
      </c>
      <c r="S731" s="15" t="s">
        <v>8</v>
      </c>
      <c r="T731" s="15" t="s">
        <v>8</v>
      </c>
      <c r="W731" s="15" t="s">
        <v>8</v>
      </c>
      <c r="X731" s="8" t="s">
        <v>6</v>
      </c>
      <c r="Y731" s="15" t="s">
        <v>8</v>
      </c>
    </row>
    <row r="732" spans="3:30" x14ac:dyDescent="0.35">
      <c r="C732" s="15" t="s">
        <v>8</v>
      </c>
      <c r="D732" s="15" t="s">
        <v>8</v>
      </c>
      <c r="H732" s="15" t="s">
        <v>8</v>
      </c>
      <c r="K732" s="15" t="s">
        <v>8</v>
      </c>
      <c r="L732" s="15" t="s">
        <v>8</v>
      </c>
      <c r="M732" s="15" t="s">
        <v>8</v>
      </c>
      <c r="N732" s="15" t="s">
        <v>8</v>
      </c>
      <c r="P732" s="15" t="s">
        <v>8</v>
      </c>
      <c r="S732" s="15" t="s">
        <v>8</v>
      </c>
      <c r="T732" s="15" t="s">
        <v>8</v>
      </c>
      <c r="W732" s="15" t="s">
        <v>8</v>
      </c>
      <c r="X732" s="20" t="str">
        <f>HYPERLINK("http://yeinfo.com/family/I09066977.html", "AGATHA VERNON &lt;2&gt; 1270 EN-1350 EN ID:09066997")</f>
        <v>AGATHA VERNON &lt;2&gt; 1270 EN-1350 EN ID:09066997</v>
      </c>
      <c r="Y732" s="17"/>
      <c r="Z732" s="17"/>
      <c r="AA732" s="17"/>
      <c r="AB732" s="17"/>
    </row>
    <row r="733" spans="3:30" x14ac:dyDescent="0.35">
      <c r="C733" s="15" t="s">
        <v>8</v>
      </c>
      <c r="D733" s="15" t="s">
        <v>8</v>
      </c>
      <c r="H733" s="15" t="s">
        <v>8</v>
      </c>
      <c r="K733" s="15" t="s">
        <v>8</v>
      </c>
      <c r="L733" s="15" t="s">
        <v>8</v>
      </c>
      <c r="M733" s="15" t="s">
        <v>8</v>
      </c>
      <c r="N733" s="15" t="s">
        <v>8</v>
      </c>
      <c r="P733" s="15" t="s">
        <v>8</v>
      </c>
      <c r="S733" s="15" t="s">
        <v>8</v>
      </c>
      <c r="T733" s="15" t="s">
        <v>8</v>
      </c>
      <c r="W733" s="15" t="s">
        <v>8</v>
      </c>
      <c r="Y733" s="15" t="s">
        <v>8</v>
      </c>
    </row>
    <row r="734" spans="3:30" x14ac:dyDescent="0.35">
      <c r="C734" s="15" t="s">
        <v>8</v>
      </c>
      <c r="D734" s="15" t="s">
        <v>8</v>
      </c>
      <c r="H734" s="15" t="s">
        <v>8</v>
      </c>
      <c r="K734" s="15" t="s">
        <v>8</v>
      </c>
      <c r="L734" s="15" t="s">
        <v>8</v>
      </c>
      <c r="M734" s="15" t="s">
        <v>8</v>
      </c>
      <c r="N734" s="15" t="s">
        <v>8</v>
      </c>
      <c r="P734" s="15" t="s">
        <v>8</v>
      </c>
      <c r="S734" s="15" t="s">
        <v>8</v>
      </c>
      <c r="T734" s="15" t="s">
        <v>8</v>
      </c>
      <c r="W734" s="15" t="s">
        <v>8</v>
      </c>
      <c r="Y734" s="15" t="s">
        <v>8</v>
      </c>
      <c r="Z734" s="19" t="str">
        <f>HYPERLINK("http://yeinfo.com/family/I09066898.html", "RANDULPH DACRE &lt;2&gt; 1236 EN-1285 EN ID:09066897")</f>
        <v>RANDULPH DACRE &lt;2&gt; 1236 EN-1285 EN ID:09066897</v>
      </c>
      <c r="AA734" s="9"/>
      <c r="AB734" s="9"/>
      <c r="AC734" s="9"/>
      <c r="AD734" s="9"/>
    </row>
    <row r="735" spans="3:30" x14ac:dyDescent="0.35">
      <c r="C735" s="15" t="s">
        <v>8</v>
      </c>
      <c r="D735" s="15" t="s">
        <v>8</v>
      </c>
      <c r="H735" s="15" t="s">
        <v>8</v>
      </c>
      <c r="K735" s="15" t="s">
        <v>8</v>
      </c>
      <c r="L735" s="15" t="s">
        <v>8</v>
      </c>
      <c r="M735" s="15" t="s">
        <v>8</v>
      </c>
      <c r="N735" s="15" t="s">
        <v>8</v>
      </c>
      <c r="P735" s="15" t="s">
        <v>8</v>
      </c>
      <c r="S735" s="15" t="s">
        <v>8</v>
      </c>
      <c r="T735" s="15" t="s">
        <v>8</v>
      </c>
      <c r="W735" s="15" t="s">
        <v>8</v>
      </c>
      <c r="Y735" s="8" t="s">
        <v>6</v>
      </c>
      <c r="Z735" s="8" t="s">
        <v>3</v>
      </c>
    </row>
    <row r="736" spans="3:30" x14ac:dyDescent="0.35">
      <c r="C736" s="15" t="s">
        <v>8</v>
      </c>
      <c r="D736" s="15" t="s">
        <v>8</v>
      </c>
      <c r="H736" s="15" t="s">
        <v>8</v>
      </c>
      <c r="K736" s="15" t="s">
        <v>8</v>
      </c>
      <c r="L736" s="15" t="s">
        <v>8</v>
      </c>
      <c r="M736" s="15" t="s">
        <v>8</v>
      </c>
      <c r="N736" s="15" t="s">
        <v>8</v>
      </c>
      <c r="P736" s="15" t="s">
        <v>8</v>
      </c>
      <c r="S736" s="15" t="s">
        <v>8</v>
      </c>
      <c r="T736" s="15" t="s">
        <v>8</v>
      </c>
      <c r="W736" s="15" t="s">
        <v>8</v>
      </c>
      <c r="Y736" s="20" t="str">
        <f>HYPERLINK("http://yeinfo.com/family/I09066894.html", "MARY DACRE &lt;2&gt; 1250 EN-1319 EN ID:09066898")</f>
        <v>MARY DACRE &lt;2&gt; 1250 EN-1319 EN ID:09066898</v>
      </c>
      <c r="Z736" s="17"/>
      <c r="AA736" s="17"/>
      <c r="AB736" s="17"/>
      <c r="AC736" s="17"/>
    </row>
    <row r="737" spans="3:30" x14ac:dyDescent="0.35">
      <c r="C737" s="15" t="s">
        <v>8</v>
      </c>
      <c r="D737" s="15" t="s">
        <v>8</v>
      </c>
      <c r="H737" s="15" t="s">
        <v>8</v>
      </c>
      <c r="K737" s="15" t="s">
        <v>8</v>
      </c>
      <c r="L737" s="15" t="s">
        <v>8</v>
      </c>
      <c r="M737" s="15" t="s">
        <v>8</v>
      </c>
      <c r="N737" s="15" t="s">
        <v>8</v>
      </c>
      <c r="P737" s="15" t="s">
        <v>8</v>
      </c>
      <c r="S737" s="15" t="s">
        <v>8</v>
      </c>
      <c r="T737" s="15" t="s">
        <v>8</v>
      </c>
      <c r="W737" s="15" t="s">
        <v>8</v>
      </c>
      <c r="Z737" s="8" t="s">
        <v>6</v>
      </c>
    </row>
    <row r="738" spans="3:30" x14ac:dyDescent="0.35">
      <c r="C738" s="15" t="s">
        <v>8</v>
      </c>
      <c r="D738" s="15" t="s">
        <v>8</v>
      </c>
      <c r="H738" s="15" t="s">
        <v>8</v>
      </c>
      <c r="K738" s="15" t="s">
        <v>8</v>
      </c>
      <c r="L738" s="15" t="s">
        <v>8</v>
      </c>
      <c r="M738" s="15" t="s">
        <v>8</v>
      </c>
      <c r="N738" s="15" t="s">
        <v>8</v>
      </c>
      <c r="P738" s="15" t="s">
        <v>8</v>
      </c>
      <c r="S738" s="15" t="s">
        <v>8</v>
      </c>
      <c r="T738" s="15" t="s">
        <v>8</v>
      </c>
      <c r="W738" s="15" t="s">
        <v>8</v>
      </c>
      <c r="Z738" s="20" t="str">
        <f>HYPERLINK("http://yeinfo.com/family/I09066897.html", "JOAN LUCY &lt;2&gt; 1236 EN-1288 EN ID:09066945")</f>
        <v>JOAN LUCY &lt;2&gt; 1236 EN-1288 EN ID:09066945</v>
      </c>
      <c r="AA738" s="17"/>
      <c r="AB738" s="17"/>
      <c r="AC738" s="17"/>
      <c r="AD738" s="17"/>
    </row>
    <row r="739" spans="3:30" x14ac:dyDescent="0.35">
      <c r="C739" s="15" t="s">
        <v>8</v>
      </c>
      <c r="D739" s="15" t="s">
        <v>8</v>
      </c>
      <c r="H739" s="15" t="s">
        <v>8</v>
      </c>
      <c r="K739" s="15" t="s">
        <v>8</v>
      </c>
      <c r="L739" s="15" t="s">
        <v>8</v>
      </c>
      <c r="M739" s="15" t="s">
        <v>8</v>
      </c>
      <c r="N739" s="15" t="s">
        <v>8</v>
      </c>
      <c r="P739" s="15" t="s">
        <v>8</v>
      </c>
      <c r="S739" s="15" t="s">
        <v>8</v>
      </c>
      <c r="T739" s="15" t="s">
        <v>8</v>
      </c>
      <c r="W739" s="15" t="s">
        <v>8</v>
      </c>
    </row>
    <row r="740" spans="3:30" x14ac:dyDescent="0.35">
      <c r="C740" s="15" t="s">
        <v>8</v>
      </c>
      <c r="D740" s="15" t="s">
        <v>8</v>
      </c>
      <c r="H740" s="15" t="s">
        <v>8</v>
      </c>
      <c r="K740" s="15" t="s">
        <v>8</v>
      </c>
      <c r="L740" s="15" t="s">
        <v>8</v>
      </c>
      <c r="M740" s="15" t="s">
        <v>8</v>
      </c>
      <c r="N740" s="15" t="s">
        <v>8</v>
      </c>
      <c r="P740" s="15" t="s">
        <v>8</v>
      </c>
      <c r="S740" s="15" t="s">
        <v>8</v>
      </c>
      <c r="T740" s="15" t="s">
        <v>8</v>
      </c>
      <c r="V740" s="19" t="str">
        <f>HYPERLINK("http://yeinfo.com/family/I09066994.html", "HUGH VENABLES &lt;2&gt; 1330 EN-1382 EN ID:09066993")</f>
        <v>HUGH VENABLES &lt;2&gt; 1330 EN-1382 EN ID:09066993</v>
      </c>
      <c r="W740" s="9"/>
      <c r="X740" s="9"/>
      <c r="Y740" s="9"/>
      <c r="Z740" s="9"/>
    </row>
    <row r="741" spans="3:30" x14ac:dyDescent="0.35">
      <c r="C741" s="15" t="s">
        <v>8</v>
      </c>
      <c r="D741" s="15" t="s">
        <v>8</v>
      </c>
      <c r="H741" s="15" t="s">
        <v>8</v>
      </c>
      <c r="K741" s="15" t="s">
        <v>8</v>
      </c>
      <c r="L741" s="15" t="s">
        <v>8</v>
      </c>
      <c r="M741" s="15" t="s">
        <v>8</v>
      </c>
      <c r="N741" s="15" t="s">
        <v>8</v>
      </c>
      <c r="P741" s="15" t="s">
        <v>8</v>
      </c>
      <c r="S741" s="15" t="s">
        <v>8</v>
      </c>
      <c r="T741" s="15" t="s">
        <v>8</v>
      </c>
      <c r="V741" s="8" t="s">
        <v>3</v>
      </c>
      <c r="W741" s="15" t="s">
        <v>8</v>
      </c>
    </row>
    <row r="742" spans="3:30" x14ac:dyDescent="0.35">
      <c r="C742" s="15" t="s">
        <v>8</v>
      </c>
      <c r="D742" s="15" t="s">
        <v>8</v>
      </c>
      <c r="H742" s="15" t="s">
        <v>8</v>
      </c>
      <c r="K742" s="15" t="s">
        <v>8</v>
      </c>
      <c r="L742" s="15" t="s">
        <v>8</v>
      </c>
      <c r="M742" s="15" t="s">
        <v>8</v>
      </c>
      <c r="N742" s="15" t="s">
        <v>8</v>
      </c>
      <c r="P742" s="15" t="s">
        <v>8</v>
      </c>
      <c r="S742" s="15" t="s">
        <v>8</v>
      </c>
      <c r="T742" s="15" t="s">
        <v>8</v>
      </c>
      <c r="V742" s="15" t="s">
        <v>8</v>
      </c>
      <c r="W742" s="15" t="s">
        <v>8</v>
      </c>
      <c r="Z742" s="19" t="str">
        <f>HYPERLINK("http://yeinfo.com/family/I09066926.html", "ADAM HOUGHTON I &lt;2&gt; 1192 EN-1283 EN ID:09066925")</f>
        <v>ADAM HOUGHTON I &lt;2&gt; 1192 EN-1283 EN ID:09066925</v>
      </c>
      <c r="AA742" s="9"/>
      <c r="AB742" s="9"/>
      <c r="AC742" s="9"/>
      <c r="AD742" s="9"/>
    </row>
    <row r="743" spans="3:30" x14ac:dyDescent="0.35">
      <c r="C743" s="15" t="s">
        <v>8</v>
      </c>
      <c r="D743" s="15" t="s">
        <v>8</v>
      </c>
      <c r="H743" s="15" t="s">
        <v>8</v>
      </c>
      <c r="K743" s="15" t="s">
        <v>8</v>
      </c>
      <c r="L743" s="15" t="s">
        <v>8</v>
      </c>
      <c r="M743" s="15" t="s">
        <v>8</v>
      </c>
      <c r="N743" s="15" t="s">
        <v>8</v>
      </c>
      <c r="P743" s="15" t="s">
        <v>8</v>
      </c>
      <c r="S743" s="15" t="s">
        <v>8</v>
      </c>
      <c r="T743" s="15" t="s">
        <v>8</v>
      </c>
      <c r="V743" s="15" t="s">
        <v>8</v>
      </c>
      <c r="W743" s="15" t="s">
        <v>8</v>
      </c>
      <c r="Z743" s="8" t="s">
        <v>3</v>
      </c>
    </row>
    <row r="744" spans="3:30" x14ac:dyDescent="0.35">
      <c r="C744" s="15" t="s">
        <v>8</v>
      </c>
      <c r="D744" s="15" t="s">
        <v>8</v>
      </c>
      <c r="H744" s="15" t="s">
        <v>8</v>
      </c>
      <c r="K744" s="15" t="s">
        <v>8</v>
      </c>
      <c r="L744" s="15" t="s">
        <v>8</v>
      </c>
      <c r="M744" s="15" t="s">
        <v>8</v>
      </c>
      <c r="N744" s="15" t="s">
        <v>8</v>
      </c>
      <c r="P744" s="15" t="s">
        <v>8</v>
      </c>
      <c r="S744" s="15" t="s">
        <v>8</v>
      </c>
      <c r="T744" s="15" t="s">
        <v>8</v>
      </c>
      <c r="V744" s="15" t="s">
        <v>8</v>
      </c>
      <c r="W744" s="15" t="s">
        <v>8</v>
      </c>
      <c r="Y744" s="19" t="str">
        <f>HYPERLINK("http://yeinfo.com/family/I09066927.html", "ADAM HOUGHTON IV &lt;2&gt; 1225 EN-1280 EN ID:09066926")</f>
        <v>ADAM HOUGHTON IV &lt;2&gt; 1225 EN-1280 EN ID:09066926</v>
      </c>
      <c r="Z744" s="9"/>
      <c r="AA744" s="9"/>
      <c r="AB744" s="9"/>
      <c r="AC744" s="9"/>
    </row>
    <row r="745" spans="3:30" x14ac:dyDescent="0.35">
      <c r="C745" s="15" t="s">
        <v>8</v>
      </c>
      <c r="D745" s="15" t="s">
        <v>8</v>
      </c>
      <c r="H745" s="15" t="s">
        <v>8</v>
      </c>
      <c r="K745" s="15" t="s">
        <v>8</v>
      </c>
      <c r="L745" s="15" t="s">
        <v>8</v>
      </c>
      <c r="M745" s="15" t="s">
        <v>8</v>
      </c>
      <c r="N745" s="15" t="s">
        <v>8</v>
      </c>
      <c r="P745" s="15" t="s">
        <v>8</v>
      </c>
      <c r="S745" s="15" t="s">
        <v>8</v>
      </c>
      <c r="T745" s="15" t="s">
        <v>8</v>
      </c>
      <c r="V745" s="15" t="s">
        <v>8</v>
      </c>
      <c r="W745" s="15" t="s">
        <v>8</v>
      </c>
      <c r="Y745" s="8" t="s">
        <v>3</v>
      </c>
      <c r="Z745" s="8" t="s">
        <v>6</v>
      </c>
    </row>
    <row r="746" spans="3:30" x14ac:dyDescent="0.35">
      <c r="C746" s="15" t="s">
        <v>8</v>
      </c>
      <c r="D746" s="15" t="s">
        <v>8</v>
      </c>
      <c r="H746" s="15" t="s">
        <v>8</v>
      </c>
      <c r="K746" s="15" t="s">
        <v>8</v>
      </c>
      <c r="L746" s="15" t="s">
        <v>8</v>
      </c>
      <c r="M746" s="15" t="s">
        <v>8</v>
      </c>
      <c r="N746" s="15" t="s">
        <v>8</v>
      </c>
      <c r="P746" s="15" t="s">
        <v>8</v>
      </c>
      <c r="S746" s="15" t="s">
        <v>8</v>
      </c>
      <c r="T746" s="15" t="s">
        <v>8</v>
      </c>
      <c r="V746" s="15" t="s">
        <v>8</v>
      </c>
      <c r="W746" s="15" t="s">
        <v>8</v>
      </c>
      <c r="Y746" s="15" t="s">
        <v>8</v>
      </c>
      <c r="Z746" s="20" t="str">
        <f>HYPERLINK("http://yeinfo.com/family/I09066925.html", "AGNES HOCTON &lt;2&gt; 1196 EN-1283 EN ID:09066921")</f>
        <v>AGNES HOCTON &lt;2&gt; 1196 EN-1283 EN ID:09066921</v>
      </c>
      <c r="AA746" s="17"/>
      <c r="AB746" s="17"/>
      <c r="AC746" s="17"/>
      <c r="AD746" s="17"/>
    </row>
    <row r="747" spans="3:30" x14ac:dyDescent="0.35">
      <c r="C747" s="15" t="s">
        <v>8</v>
      </c>
      <c r="D747" s="15" t="s">
        <v>8</v>
      </c>
      <c r="H747" s="15" t="s">
        <v>8</v>
      </c>
      <c r="K747" s="15" t="s">
        <v>8</v>
      </c>
      <c r="L747" s="15" t="s">
        <v>8</v>
      </c>
      <c r="M747" s="15" t="s">
        <v>8</v>
      </c>
      <c r="N747" s="15" t="s">
        <v>8</v>
      </c>
      <c r="P747" s="15" t="s">
        <v>8</v>
      </c>
      <c r="S747" s="15" t="s">
        <v>8</v>
      </c>
      <c r="T747" s="15" t="s">
        <v>8</v>
      </c>
      <c r="V747" s="15" t="s">
        <v>8</v>
      </c>
      <c r="W747" s="15" t="s">
        <v>8</v>
      </c>
      <c r="Y747" s="15" t="s">
        <v>8</v>
      </c>
    </row>
    <row r="748" spans="3:30" x14ac:dyDescent="0.35">
      <c r="C748" s="15" t="s">
        <v>8</v>
      </c>
      <c r="D748" s="15" t="s">
        <v>8</v>
      </c>
      <c r="H748" s="15" t="s">
        <v>8</v>
      </c>
      <c r="K748" s="15" t="s">
        <v>8</v>
      </c>
      <c r="L748" s="15" t="s">
        <v>8</v>
      </c>
      <c r="M748" s="15" t="s">
        <v>8</v>
      </c>
      <c r="N748" s="15" t="s">
        <v>8</v>
      </c>
      <c r="P748" s="15" t="s">
        <v>8</v>
      </c>
      <c r="S748" s="15" t="s">
        <v>8</v>
      </c>
      <c r="T748" s="15" t="s">
        <v>8</v>
      </c>
      <c r="V748" s="15" t="s">
        <v>8</v>
      </c>
      <c r="W748" s="15" t="s">
        <v>8</v>
      </c>
      <c r="X748" s="19" t="str">
        <f>HYPERLINK("http://yeinfo.com/family/I09066928.html", "RICHARD HOUGHTON &lt;2&gt; 1268 EN-1341 EN ID:09066927")</f>
        <v>RICHARD HOUGHTON &lt;2&gt; 1268 EN-1341 EN ID:09066927</v>
      </c>
      <c r="Y748" s="9"/>
      <c r="Z748" s="9"/>
      <c r="AA748" s="9"/>
      <c r="AB748" s="9"/>
    </row>
    <row r="749" spans="3:30" x14ac:dyDescent="0.35">
      <c r="C749" s="15" t="s">
        <v>8</v>
      </c>
      <c r="D749" s="15" t="s">
        <v>8</v>
      </c>
      <c r="H749" s="15" t="s">
        <v>8</v>
      </c>
      <c r="K749" s="15" t="s">
        <v>8</v>
      </c>
      <c r="L749" s="15" t="s">
        <v>8</v>
      </c>
      <c r="M749" s="15" t="s">
        <v>8</v>
      </c>
      <c r="N749" s="15" t="s">
        <v>8</v>
      </c>
      <c r="P749" s="15" t="s">
        <v>8</v>
      </c>
      <c r="S749" s="15" t="s">
        <v>8</v>
      </c>
      <c r="T749" s="15" t="s">
        <v>8</v>
      </c>
      <c r="V749" s="15" t="s">
        <v>8</v>
      </c>
      <c r="W749" s="15" t="s">
        <v>8</v>
      </c>
      <c r="X749" s="8" t="s">
        <v>3</v>
      </c>
      <c r="Y749" s="8" t="s">
        <v>6</v>
      </c>
    </row>
    <row r="750" spans="3:30" x14ac:dyDescent="0.35">
      <c r="C750" s="15" t="s">
        <v>8</v>
      </c>
      <c r="D750" s="15" t="s">
        <v>8</v>
      </c>
      <c r="H750" s="15" t="s">
        <v>8</v>
      </c>
      <c r="K750" s="15" t="s">
        <v>8</v>
      </c>
      <c r="L750" s="15" t="s">
        <v>8</v>
      </c>
      <c r="M750" s="15" t="s">
        <v>8</v>
      </c>
      <c r="N750" s="15" t="s">
        <v>8</v>
      </c>
      <c r="P750" s="15" t="s">
        <v>8</v>
      </c>
      <c r="S750" s="15" t="s">
        <v>8</v>
      </c>
      <c r="T750" s="15" t="s">
        <v>8</v>
      </c>
      <c r="V750" s="15" t="s">
        <v>8</v>
      </c>
      <c r="W750" s="15" t="s">
        <v>8</v>
      </c>
      <c r="X750" s="15" t="s">
        <v>8</v>
      </c>
      <c r="Y750" s="20" t="str">
        <f>HYPERLINK("http://yeinfo.com/family/I09066921.html", "AVICIA HOWICK &lt;2&gt; 1233 EN-1293 EN ID:09066929")</f>
        <v>AVICIA HOWICK &lt;2&gt; 1233 EN-1293 EN ID:09066929</v>
      </c>
      <c r="Z750" s="17"/>
      <c r="AA750" s="17"/>
      <c r="AB750" s="17"/>
      <c r="AC750" s="17"/>
    </row>
    <row r="751" spans="3:30" x14ac:dyDescent="0.35">
      <c r="C751" s="15" t="s">
        <v>8</v>
      </c>
      <c r="D751" s="15" t="s">
        <v>8</v>
      </c>
      <c r="H751" s="15" t="s">
        <v>8</v>
      </c>
      <c r="K751" s="15" t="s">
        <v>8</v>
      </c>
      <c r="L751" s="15" t="s">
        <v>8</v>
      </c>
      <c r="M751" s="15" t="s">
        <v>8</v>
      </c>
      <c r="N751" s="15" t="s">
        <v>8</v>
      </c>
      <c r="P751" s="15" t="s">
        <v>8</v>
      </c>
      <c r="S751" s="15" t="s">
        <v>8</v>
      </c>
      <c r="T751" s="15" t="s">
        <v>8</v>
      </c>
      <c r="V751" s="15" t="s">
        <v>8</v>
      </c>
      <c r="W751" s="8" t="s">
        <v>6</v>
      </c>
      <c r="X751" s="15" t="s">
        <v>8</v>
      </c>
    </row>
    <row r="752" spans="3:30" x14ac:dyDescent="0.35">
      <c r="C752" s="15" t="s">
        <v>8</v>
      </c>
      <c r="D752" s="15" t="s">
        <v>8</v>
      </c>
      <c r="H752" s="15" t="s">
        <v>8</v>
      </c>
      <c r="K752" s="15" t="s">
        <v>8</v>
      </c>
      <c r="L752" s="15" t="s">
        <v>8</v>
      </c>
      <c r="M752" s="15" t="s">
        <v>8</v>
      </c>
      <c r="N752" s="15" t="s">
        <v>8</v>
      </c>
      <c r="P752" s="15" t="s">
        <v>8</v>
      </c>
      <c r="S752" s="15" t="s">
        <v>8</v>
      </c>
      <c r="T752" s="15" t="s">
        <v>8</v>
      </c>
      <c r="V752" s="15" t="s">
        <v>8</v>
      </c>
      <c r="W752" s="20" t="str">
        <f>HYPERLINK("http://yeinfo.com/family/I09066945.html", "KATHERINE HOUGHTON &lt;2&gt; 1308 EN-1368 EN ID:09066928")</f>
        <v>KATHERINE HOUGHTON &lt;2&gt; 1308 EN-1368 EN ID:09066928</v>
      </c>
      <c r="X752" s="17"/>
      <c r="Y752" s="17"/>
      <c r="Z752" s="17"/>
      <c r="AA752" s="17"/>
    </row>
    <row r="753" spans="3:30" x14ac:dyDescent="0.35">
      <c r="C753" s="15" t="s">
        <v>8</v>
      </c>
      <c r="D753" s="15" t="s">
        <v>8</v>
      </c>
      <c r="H753" s="15" t="s">
        <v>8</v>
      </c>
      <c r="K753" s="15" t="s">
        <v>8</v>
      </c>
      <c r="L753" s="15" t="s">
        <v>8</v>
      </c>
      <c r="M753" s="15" t="s">
        <v>8</v>
      </c>
      <c r="N753" s="15" t="s">
        <v>8</v>
      </c>
      <c r="P753" s="15" t="s">
        <v>8</v>
      </c>
      <c r="S753" s="15" t="s">
        <v>8</v>
      </c>
      <c r="T753" s="15" t="s">
        <v>8</v>
      </c>
      <c r="V753" s="15" t="s">
        <v>8</v>
      </c>
      <c r="X753" s="15" t="s">
        <v>8</v>
      </c>
    </row>
    <row r="754" spans="3:30" x14ac:dyDescent="0.35">
      <c r="C754" s="15" t="s">
        <v>8</v>
      </c>
      <c r="D754" s="15" t="s">
        <v>8</v>
      </c>
      <c r="H754" s="15" t="s">
        <v>8</v>
      </c>
      <c r="K754" s="15" t="s">
        <v>8</v>
      </c>
      <c r="L754" s="15" t="s">
        <v>8</v>
      </c>
      <c r="M754" s="15" t="s">
        <v>8</v>
      </c>
      <c r="N754" s="15" t="s">
        <v>8</v>
      </c>
      <c r="P754" s="15" t="s">
        <v>8</v>
      </c>
      <c r="S754" s="15" t="s">
        <v>8</v>
      </c>
      <c r="T754" s="15" t="s">
        <v>8</v>
      </c>
      <c r="V754" s="15" t="s">
        <v>8</v>
      </c>
      <c r="X754" s="15" t="s">
        <v>8</v>
      </c>
      <c r="Y754" s="19" t="str">
        <f>HYPERLINK("http://yeinfo.com/family/I09066939.html", "WILLIAM LEA &lt;2&gt; 1237 EN-1302 EN ID:09066938")</f>
        <v>WILLIAM LEA &lt;2&gt; 1237 EN-1302 EN ID:09066938</v>
      </c>
      <c r="Z754" s="9"/>
      <c r="AA754" s="9"/>
      <c r="AB754" s="9"/>
      <c r="AC754" s="9"/>
    </row>
    <row r="755" spans="3:30" x14ac:dyDescent="0.35">
      <c r="C755" s="15" t="s">
        <v>8</v>
      </c>
      <c r="D755" s="15" t="s">
        <v>8</v>
      </c>
      <c r="H755" s="15" t="s">
        <v>8</v>
      </c>
      <c r="K755" s="15" t="s">
        <v>8</v>
      </c>
      <c r="L755" s="15" t="s">
        <v>8</v>
      </c>
      <c r="M755" s="15" t="s">
        <v>8</v>
      </c>
      <c r="N755" s="15" t="s">
        <v>8</v>
      </c>
      <c r="P755" s="15" t="s">
        <v>8</v>
      </c>
      <c r="S755" s="15" t="s">
        <v>8</v>
      </c>
      <c r="T755" s="15" t="s">
        <v>8</v>
      </c>
      <c r="V755" s="15" t="s">
        <v>8</v>
      </c>
      <c r="X755" s="8" t="s">
        <v>6</v>
      </c>
      <c r="Y755" s="8" t="s">
        <v>3</v>
      </c>
    </row>
    <row r="756" spans="3:30" x14ac:dyDescent="0.35">
      <c r="C756" s="15" t="s">
        <v>8</v>
      </c>
      <c r="D756" s="15" t="s">
        <v>8</v>
      </c>
      <c r="H756" s="15" t="s">
        <v>8</v>
      </c>
      <c r="K756" s="15" t="s">
        <v>8</v>
      </c>
      <c r="L756" s="15" t="s">
        <v>8</v>
      </c>
      <c r="M756" s="15" t="s">
        <v>8</v>
      </c>
      <c r="N756" s="15" t="s">
        <v>8</v>
      </c>
      <c r="P756" s="15" t="s">
        <v>8</v>
      </c>
      <c r="S756" s="15" t="s">
        <v>8</v>
      </c>
      <c r="T756" s="15" t="s">
        <v>8</v>
      </c>
      <c r="V756" s="15" t="s">
        <v>8</v>
      </c>
      <c r="X756" s="20" t="str">
        <f>HYPERLINK("http://yeinfo.com/family/I09066929.html", "SYBIL LEA &lt;2&gt; 1283 EN-1330 EN ID:09066939")</f>
        <v>SYBIL LEA &lt;2&gt; 1283 EN-1330 EN ID:09066939</v>
      </c>
      <c r="Y756" s="17"/>
      <c r="Z756" s="17"/>
      <c r="AA756" s="17"/>
      <c r="AB756" s="17"/>
    </row>
    <row r="757" spans="3:30" x14ac:dyDescent="0.35">
      <c r="C757" s="15" t="s">
        <v>8</v>
      </c>
      <c r="D757" s="15" t="s">
        <v>8</v>
      </c>
      <c r="H757" s="15" t="s">
        <v>8</v>
      </c>
      <c r="K757" s="15" t="s">
        <v>8</v>
      </c>
      <c r="L757" s="15" t="s">
        <v>8</v>
      </c>
      <c r="M757" s="15" t="s">
        <v>8</v>
      </c>
      <c r="N757" s="15" t="s">
        <v>8</v>
      </c>
      <c r="P757" s="15" t="s">
        <v>8</v>
      </c>
      <c r="S757" s="15" t="s">
        <v>8</v>
      </c>
      <c r="T757" s="15" t="s">
        <v>8</v>
      </c>
      <c r="V757" s="15" t="s">
        <v>8</v>
      </c>
      <c r="Y757" s="8" t="s">
        <v>6</v>
      </c>
    </row>
    <row r="758" spans="3:30" x14ac:dyDescent="0.35">
      <c r="C758" s="15" t="s">
        <v>8</v>
      </c>
      <c r="D758" s="15" t="s">
        <v>8</v>
      </c>
      <c r="H758" s="15" t="s">
        <v>8</v>
      </c>
      <c r="K758" s="15" t="s">
        <v>8</v>
      </c>
      <c r="L758" s="15" t="s">
        <v>8</v>
      </c>
      <c r="M758" s="15" t="s">
        <v>8</v>
      </c>
      <c r="N758" s="15" t="s">
        <v>8</v>
      </c>
      <c r="P758" s="15" t="s">
        <v>8</v>
      </c>
      <c r="S758" s="15" t="s">
        <v>8</v>
      </c>
      <c r="T758" s="15" t="s">
        <v>8</v>
      </c>
      <c r="V758" s="15" t="s">
        <v>8</v>
      </c>
      <c r="Y758" s="20" t="str">
        <f>HYPERLINK("http://yeinfo.com/family/I09066938.html", "CLEMENCE BANASTRE &lt;2&gt; 1240 EN-1298 EN ID:09066867")</f>
        <v>CLEMENCE BANASTRE &lt;2&gt; 1240 EN-1298 EN ID:09066867</v>
      </c>
      <c r="Z758" s="17"/>
      <c r="AA758" s="17"/>
      <c r="AB758" s="17"/>
      <c r="AC758" s="17"/>
    </row>
    <row r="759" spans="3:30" x14ac:dyDescent="0.35">
      <c r="C759" s="15" t="s">
        <v>8</v>
      </c>
      <c r="D759" s="15" t="s">
        <v>8</v>
      </c>
      <c r="H759" s="15" t="s">
        <v>8</v>
      </c>
      <c r="K759" s="15" t="s">
        <v>8</v>
      </c>
      <c r="L759" s="15" t="s">
        <v>8</v>
      </c>
      <c r="M759" s="15" t="s">
        <v>8</v>
      </c>
      <c r="N759" s="15" t="s">
        <v>8</v>
      </c>
      <c r="P759" s="15" t="s">
        <v>8</v>
      </c>
      <c r="S759" s="15" t="s">
        <v>8</v>
      </c>
      <c r="T759" s="15" t="s">
        <v>8</v>
      </c>
      <c r="V759" s="15" t="s">
        <v>8</v>
      </c>
    </row>
    <row r="760" spans="3:30" x14ac:dyDescent="0.35">
      <c r="C760" s="15" t="s">
        <v>8</v>
      </c>
      <c r="D760" s="15" t="s">
        <v>8</v>
      </c>
      <c r="H760" s="15" t="s">
        <v>8</v>
      </c>
      <c r="K760" s="15" t="s">
        <v>8</v>
      </c>
      <c r="L760" s="15" t="s">
        <v>8</v>
      </c>
      <c r="M760" s="15" t="s">
        <v>8</v>
      </c>
      <c r="N760" s="15" t="s">
        <v>8</v>
      </c>
      <c r="P760" s="15" t="s">
        <v>8</v>
      </c>
      <c r="S760" s="15" t="s">
        <v>8</v>
      </c>
      <c r="T760" s="15" t="s">
        <v>8</v>
      </c>
      <c r="U760" s="19" t="str">
        <f>HYPERLINK("http://yeinfo.com/family/I09066853.html", "WILLIAM RICHARD VENABLES &lt;2&gt; 1376 EN-1459 EN ID:09066994")</f>
        <v>WILLIAM RICHARD VENABLES &lt;2&gt; 1376 EN-1459 EN ID:09066994</v>
      </c>
      <c r="V760" s="9"/>
      <c r="W760" s="9"/>
      <c r="X760" s="9"/>
      <c r="Y760" s="9"/>
    </row>
    <row r="761" spans="3:30" x14ac:dyDescent="0.35">
      <c r="C761" s="15" t="s">
        <v>8</v>
      </c>
      <c r="D761" s="15" t="s">
        <v>8</v>
      </c>
      <c r="H761" s="15" t="s">
        <v>8</v>
      </c>
      <c r="K761" s="15" t="s">
        <v>8</v>
      </c>
      <c r="L761" s="15" t="s">
        <v>8</v>
      </c>
      <c r="M761" s="15" t="s">
        <v>8</v>
      </c>
      <c r="N761" s="15" t="s">
        <v>8</v>
      </c>
      <c r="P761" s="15" t="s">
        <v>8</v>
      </c>
      <c r="S761" s="15" t="s">
        <v>8</v>
      </c>
      <c r="T761" s="15" t="s">
        <v>8</v>
      </c>
      <c r="U761" s="8" t="s">
        <v>3</v>
      </c>
      <c r="V761" s="15" t="s">
        <v>8</v>
      </c>
    </row>
    <row r="762" spans="3:30" x14ac:dyDescent="0.35">
      <c r="C762" s="15" t="s">
        <v>8</v>
      </c>
      <c r="D762" s="15" t="s">
        <v>8</v>
      </c>
      <c r="H762" s="15" t="s">
        <v>8</v>
      </c>
      <c r="K762" s="15" t="s">
        <v>8</v>
      </c>
      <c r="L762" s="15" t="s">
        <v>8</v>
      </c>
      <c r="M762" s="15" t="s">
        <v>8</v>
      </c>
      <c r="N762" s="15" t="s">
        <v>8</v>
      </c>
      <c r="P762" s="15" t="s">
        <v>8</v>
      </c>
      <c r="S762" s="15" t="s">
        <v>8</v>
      </c>
      <c r="T762" s="15" t="s">
        <v>8</v>
      </c>
      <c r="U762" s="15" t="s">
        <v>8</v>
      </c>
      <c r="V762" s="15" t="s">
        <v>8</v>
      </c>
      <c r="Z762" s="19" t="str">
        <f>HYPERLINK("http://yeinfo.com/family/I09066890.html", "WILLIAM COTTON &lt;2&gt; 1235 EN-1290 EN ID:09066889")</f>
        <v>WILLIAM COTTON &lt;2&gt; 1235 EN-1290 EN ID:09066889</v>
      </c>
      <c r="AA762" s="9"/>
      <c r="AB762" s="9"/>
      <c r="AC762" s="9"/>
      <c r="AD762" s="9"/>
    </row>
    <row r="763" spans="3:30" x14ac:dyDescent="0.35">
      <c r="C763" s="15" t="s">
        <v>8</v>
      </c>
      <c r="D763" s="15" t="s">
        <v>8</v>
      </c>
      <c r="H763" s="15" t="s">
        <v>8</v>
      </c>
      <c r="K763" s="15" t="s">
        <v>8</v>
      </c>
      <c r="L763" s="15" t="s">
        <v>8</v>
      </c>
      <c r="M763" s="15" t="s">
        <v>8</v>
      </c>
      <c r="N763" s="15" t="s">
        <v>8</v>
      </c>
      <c r="P763" s="15" t="s">
        <v>8</v>
      </c>
      <c r="S763" s="15" t="s">
        <v>8</v>
      </c>
      <c r="T763" s="15" t="s">
        <v>8</v>
      </c>
      <c r="U763" s="15" t="s">
        <v>8</v>
      </c>
      <c r="V763" s="15" t="s">
        <v>8</v>
      </c>
      <c r="Z763" s="8" t="s">
        <v>3</v>
      </c>
    </row>
    <row r="764" spans="3:30" x14ac:dyDescent="0.35">
      <c r="C764" s="15" t="s">
        <v>8</v>
      </c>
      <c r="D764" s="15" t="s">
        <v>8</v>
      </c>
      <c r="H764" s="15" t="s">
        <v>8</v>
      </c>
      <c r="K764" s="15" t="s">
        <v>8</v>
      </c>
      <c r="L764" s="15" t="s">
        <v>8</v>
      </c>
      <c r="M764" s="15" t="s">
        <v>8</v>
      </c>
      <c r="N764" s="15" t="s">
        <v>8</v>
      </c>
      <c r="P764" s="15" t="s">
        <v>8</v>
      </c>
      <c r="S764" s="15" t="s">
        <v>8</v>
      </c>
      <c r="T764" s="15" t="s">
        <v>8</v>
      </c>
      <c r="U764" s="15" t="s">
        <v>8</v>
      </c>
      <c r="V764" s="15" t="s">
        <v>8</v>
      </c>
      <c r="Y764" s="19" t="str">
        <f>HYPERLINK("http://yeinfo.com/family/I09066891.html", "HUGH COTTON &lt;2&gt; 1265 EN-1288 EN ID:09066890")</f>
        <v>HUGH COTTON &lt;2&gt; 1265 EN-1288 EN ID:09066890</v>
      </c>
      <c r="Z764" s="9"/>
      <c r="AA764" s="9"/>
      <c r="AB764" s="9"/>
      <c r="AC764" s="9"/>
    </row>
    <row r="765" spans="3:30" x14ac:dyDescent="0.35">
      <c r="C765" s="15" t="s">
        <v>8</v>
      </c>
      <c r="D765" s="15" t="s">
        <v>8</v>
      </c>
      <c r="H765" s="15" t="s">
        <v>8</v>
      </c>
      <c r="K765" s="15" t="s">
        <v>8</v>
      </c>
      <c r="L765" s="15" t="s">
        <v>8</v>
      </c>
      <c r="M765" s="15" t="s">
        <v>8</v>
      </c>
      <c r="N765" s="15" t="s">
        <v>8</v>
      </c>
      <c r="P765" s="15" t="s">
        <v>8</v>
      </c>
      <c r="S765" s="15" t="s">
        <v>8</v>
      </c>
      <c r="T765" s="15" t="s">
        <v>8</v>
      </c>
      <c r="U765" s="15" t="s">
        <v>8</v>
      </c>
      <c r="V765" s="15" t="s">
        <v>8</v>
      </c>
      <c r="Y765" s="8" t="s">
        <v>3</v>
      </c>
      <c r="Z765" s="8" t="s">
        <v>6</v>
      </c>
    </row>
    <row r="766" spans="3:30" x14ac:dyDescent="0.35">
      <c r="C766" s="15" t="s">
        <v>8</v>
      </c>
      <c r="D766" s="15" t="s">
        <v>8</v>
      </c>
      <c r="H766" s="15" t="s">
        <v>8</v>
      </c>
      <c r="K766" s="15" t="s">
        <v>8</v>
      </c>
      <c r="L766" s="15" t="s">
        <v>8</v>
      </c>
      <c r="M766" s="15" t="s">
        <v>8</v>
      </c>
      <c r="N766" s="15" t="s">
        <v>8</v>
      </c>
      <c r="P766" s="15" t="s">
        <v>8</v>
      </c>
      <c r="S766" s="15" t="s">
        <v>8</v>
      </c>
      <c r="T766" s="15" t="s">
        <v>8</v>
      </c>
      <c r="U766" s="15" t="s">
        <v>8</v>
      </c>
      <c r="V766" s="15" t="s">
        <v>8</v>
      </c>
      <c r="Y766" s="15" t="s">
        <v>8</v>
      </c>
      <c r="Z766" s="20" t="str">
        <f>HYPERLINK("http://yeinfo.com/family/I09066889.html", "ISABELLA LEON &lt;2&gt; 1234 EN-1302 EN ID:09066943")</f>
        <v>ISABELLA LEON &lt;2&gt; 1234 EN-1302 EN ID:09066943</v>
      </c>
      <c r="AA766" s="17"/>
      <c r="AB766" s="17"/>
      <c r="AC766" s="17"/>
      <c r="AD766" s="17"/>
    </row>
    <row r="767" spans="3:30" x14ac:dyDescent="0.35">
      <c r="C767" s="15" t="s">
        <v>8</v>
      </c>
      <c r="D767" s="15" t="s">
        <v>8</v>
      </c>
      <c r="H767" s="15" t="s">
        <v>8</v>
      </c>
      <c r="K767" s="15" t="s">
        <v>8</v>
      </c>
      <c r="L767" s="15" t="s">
        <v>8</v>
      </c>
      <c r="M767" s="15" t="s">
        <v>8</v>
      </c>
      <c r="N767" s="15" t="s">
        <v>8</v>
      </c>
      <c r="P767" s="15" t="s">
        <v>8</v>
      </c>
      <c r="S767" s="15" t="s">
        <v>8</v>
      </c>
      <c r="T767" s="15" t="s">
        <v>8</v>
      </c>
      <c r="U767" s="15" t="s">
        <v>8</v>
      </c>
      <c r="V767" s="15" t="s">
        <v>8</v>
      </c>
      <c r="Y767" s="15" t="s">
        <v>8</v>
      </c>
    </row>
    <row r="768" spans="3:30" x14ac:dyDescent="0.35">
      <c r="C768" s="15" t="s">
        <v>8</v>
      </c>
      <c r="D768" s="15" t="s">
        <v>8</v>
      </c>
      <c r="H768" s="15" t="s">
        <v>8</v>
      </c>
      <c r="K768" s="15" t="s">
        <v>8</v>
      </c>
      <c r="L768" s="15" t="s">
        <v>8</v>
      </c>
      <c r="M768" s="15" t="s">
        <v>8</v>
      </c>
      <c r="N768" s="15" t="s">
        <v>8</v>
      </c>
      <c r="P768" s="15" t="s">
        <v>8</v>
      </c>
      <c r="S768" s="15" t="s">
        <v>8</v>
      </c>
      <c r="T768" s="15" t="s">
        <v>8</v>
      </c>
      <c r="U768" s="15" t="s">
        <v>8</v>
      </c>
      <c r="V768" s="15" t="s">
        <v>8</v>
      </c>
      <c r="X768" s="19" t="str">
        <f>HYPERLINK("http://yeinfo.com/family/I09066892.html", "ALAN COTTON &lt;2&gt; 1290 EN-1322 EN ID:09066891")</f>
        <v>ALAN COTTON &lt;2&gt; 1290 EN-1322 EN ID:09066891</v>
      </c>
      <c r="Y768" s="9"/>
      <c r="Z768" s="9"/>
      <c r="AA768" s="9"/>
      <c r="AB768" s="9"/>
    </row>
    <row r="769" spans="3:30" x14ac:dyDescent="0.35">
      <c r="C769" s="15" t="s">
        <v>8</v>
      </c>
      <c r="D769" s="15" t="s">
        <v>8</v>
      </c>
      <c r="H769" s="15" t="s">
        <v>8</v>
      </c>
      <c r="K769" s="15" t="s">
        <v>8</v>
      </c>
      <c r="L769" s="15" t="s">
        <v>8</v>
      </c>
      <c r="M769" s="15" t="s">
        <v>8</v>
      </c>
      <c r="N769" s="15" t="s">
        <v>8</v>
      </c>
      <c r="P769" s="15" t="s">
        <v>8</v>
      </c>
      <c r="S769" s="15" t="s">
        <v>8</v>
      </c>
      <c r="T769" s="15" t="s">
        <v>8</v>
      </c>
      <c r="U769" s="15" t="s">
        <v>8</v>
      </c>
      <c r="V769" s="15" t="s">
        <v>8</v>
      </c>
      <c r="X769" s="8" t="s">
        <v>3</v>
      </c>
      <c r="Y769" s="15" t="s">
        <v>8</v>
      </c>
    </row>
    <row r="770" spans="3:30" x14ac:dyDescent="0.35">
      <c r="C770" s="15" t="s">
        <v>8</v>
      </c>
      <c r="D770" s="15" t="s">
        <v>8</v>
      </c>
      <c r="H770" s="15" t="s">
        <v>8</v>
      </c>
      <c r="K770" s="15" t="s">
        <v>8</v>
      </c>
      <c r="L770" s="15" t="s">
        <v>8</v>
      </c>
      <c r="M770" s="15" t="s">
        <v>8</v>
      </c>
      <c r="N770" s="15" t="s">
        <v>8</v>
      </c>
      <c r="P770" s="15" t="s">
        <v>8</v>
      </c>
      <c r="S770" s="15" t="s">
        <v>8</v>
      </c>
      <c r="T770" s="15" t="s">
        <v>8</v>
      </c>
      <c r="U770" s="15" t="s">
        <v>8</v>
      </c>
      <c r="V770" s="15" t="s">
        <v>8</v>
      </c>
      <c r="X770" s="15" t="s">
        <v>8</v>
      </c>
      <c r="Y770" s="15" t="s">
        <v>8</v>
      </c>
      <c r="Z770" s="19" t="str">
        <f>HYPERLINK("http://yeinfo.com/family/I09066979.html", "HAMON TITTENLEGH &lt;2&gt; 1209 EN-1295 EN ID:09066978")</f>
        <v>HAMON TITTENLEGH &lt;2&gt; 1209 EN-1295 EN ID:09066978</v>
      </c>
      <c r="AA770" s="9"/>
      <c r="AB770" s="9"/>
      <c r="AC770" s="9"/>
      <c r="AD770" s="9"/>
    </row>
    <row r="771" spans="3:30" x14ac:dyDescent="0.35">
      <c r="C771" s="15" t="s">
        <v>8</v>
      </c>
      <c r="D771" s="15" t="s">
        <v>8</v>
      </c>
      <c r="H771" s="15" t="s">
        <v>8</v>
      </c>
      <c r="K771" s="15" t="s">
        <v>8</v>
      </c>
      <c r="L771" s="15" t="s">
        <v>8</v>
      </c>
      <c r="M771" s="15" t="s">
        <v>8</v>
      </c>
      <c r="N771" s="15" t="s">
        <v>8</v>
      </c>
      <c r="P771" s="15" t="s">
        <v>8</v>
      </c>
      <c r="S771" s="15" t="s">
        <v>8</v>
      </c>
      <c r="T771" s="15" t="s">
        <v>8</v>
      </c>
      <c r="U771" s="15" t="s">
        <v>8</v>
      </c>
      <c r="V771" s="15" t="s">
        <v>8</v>
      </c>
      <c r="X771" s="15" t="s">
        <v>8</v>
      </c>
      <c r="Y771" s="8" t="s">
        <v>6</v>
      </c>
      <c r="Z771" s="8" t="s">
        <v>3</v>
      </c>
    </row>
    <row r="772" spans="3:30" x14ac:dyDescent="0.35">
      <c r="C772" s="15" t="s">
        <v>8</v>
      </c>
      <c r="D772" s="15" t="s">
        <v>8</v>
      </c>
      <c r="H772" s="15" t="s">
        <v>8</v>
      </c>
      <c r="K772" s="15" t="s">
        <v>8</v>
      </c>
      <c r="L772" s="15" t="s">
        <v>8</v>
      </c>
      <c r="M772" s="15" t="s">
        <v>8</v>
      </c>
      <c r="N772" s="15" t="s">
        <v>8</v>
      </c>
      <c r="P772" s="15" t="s">
        <v>8</v>
      </c>
      <c r="S772" s="15" t="s">
        <v>8</v>
      </c>
      <c r="T772" s="15" t="s">
        <v>8</v>
      </c>
      <c r="U772" s="15" t="s">
        <v>8</v>
      </c>
      <c r="V772" s="15" t="s">
        <v>8</v>
      </c>
      <c r="X772" s="15" t="s">
        <v>8</v>
      </c>
      <c r="Y772" s="20" t="str">
        <f>HYPERLINK("http://yeinfo.com/family/I09066943.html", "ELIZABETH TITTENLEGH &lt;2&gt; 1265 EN-1319 EN ID:09066979")</f>
        <v>ELIZABETH TITTENLEGH &lt;2&gt; 1265 EN-1319 EN ID:09066979</v>
      </c>
      <c r="Z772" s="17"/>
      <c r="AA772" s="17"/>
      <c r="AB772" s="17"/>
      <c r="AC772" s="17"/>
    </row>
    <row r="773" spans="3:30" x14ac:dyDescent="0.35">
      <c r="C773" s="15" t="s">
        <v>8</v>
      </c>
      <c r="D773" s="15" t="s">
        <v>8</v>
      </c>
      <c r="H773" s="15" t="s">
        <v>8</v>
      </c>
      <c r="K773" s="15" t="s">
        <v>8</v>
      </c>
      <c r="L773" s="15" t="s">
        <v>8</v>
      </c>
      <c r="M773" s="15" t="s">
        <v>8</v>
      </c>
      <c r="N773" s="15" t="s">
        <v>8</v>
      </c>
      <c r="P773" s="15" t="s">
        <v>8</v>
      </c>
      <c r="S773" s="15" t="s">
        <v>8</v>
      </c>
      <c r="T773" s="15" t="s">
        <v>8</v>
      </c>
      <c r="U773" s="15" t="s">
        <v>8</v>
      </c>
      <c r="V773" s="15" t="s">
        <v>8</v>
      </c>
      <c r="X773" s="15" t="s">
        <v>8</v>
      </c>
      <c r="Z773" s="8" t="s">
        <v>6</v>
      </c>
    </row>
    <row r="774" spans="3:30" x14ac:dyDescent="0.35">
      <c r="C774" s="15" t="s">
        <v>8</v>
      </c>
      <c r="D774" s="15" t="s">
        <v>8</v>
      </c>
      <c r="H774" s="15" t="s">
        <v>8</v>
      </c>
      <c r="K774" s="15" t="s">
        <v>8</v>
      </c>
      <c r="L774" s="15" t="s">
        <v>8</v>
      </c>
      <c r="M774" s="15" t="s">
        <v>8</v>
      </c>
      <c r="N774" s="15" t="s">
        <v>8</v>
      </c>
      <c r="P774" s="15" t="s">
        <v>8</v>
      </c>
      <c r="S774" s="15" t="s">
        <v>8</v>
      </c>
      <c r="T774" s="15" t="s">
        <v>8</v>
      </c>
      <c r="U774" s="15" t="s">
        <v>8</v>
      </c>
      <c r="V774" s="15" t="s">
        <v>8</v>
      </c>
      <c r="X774" s="15" t="s">
        <v>8</v>
      </c>
      <c r="Z774" s="20" t="str">
        <f>HYPERLINK("http://yeinfo.com/family/I09066978.html", "HAWISE ACTON &lt;2&gt; 1215 EN-1265 EN ID:09066856")</f>
        <v>HAWISE ACTON &lt;2&gt; 1215 EN-1265 EN ID:09066856</v>
      </c>
      <c r="AA774" s="17"/>
      <c r="AB774" s="17"/>
      <c r="AC774" s="17"/>
      <c r="AD774" s="17"/>
    </row>
    <row r="775" spans="3:30" x14ac:dyDescent="0.35">
      <c r="C775" s="15" t="s">
        <v>8</v>
      </c>
      <c r="D775" s="15" t="s">
        <v>8</v>
      </c>
      <c r="H775" s="15" t="s">
        <v>8</v>
      </c>
      <c r="K775" s="15" t="s">
        <v>8</v>
      </c>
      <c r="L775" s="15" t="s">
        <v>8</v>
      </c>
      <c r="M775" s="15" t="s">
        <v>8</v>
      </c>
      <c r="N775" s="15" t="s">
        <v>8</v>
      </c>
      <c r="P775" s="15" t="s">
        <v>8</v>
      </c>
      <c r="S775" s="15" t="s">
        <v>8</v>
      </c>
      <c r="T775" s="15" t="s">
        <v>8</v>
      </c>
      <c r="U775" s="15" t="s">
        <v>8</v>
      </c>
      <c r="V775" s="15" t="s">
        <v>8</v>
      </c>
      <c r="X775" s="15" t="s">
        <v>8</v>
      </c>
    </row>
    <row r="776" spans="3:30" x14ac:dyDescent="0.35">
      <c r="C776" s="15" t="s">
        <v>8</v>
      </c>
      <c r="D776" s="15" t="s">
        <v>8</v>
      </c>
      <c r="H776" s="15" t="s">
        <v>8</v>
      </c>
      <c r="K776" s="15" t="s">
        <v>8</v>
      </c>
      <c r="L776" s="15" t="s">
        <v>8</v>
      </c>
      <c r="M776" s="15" t="s">
        <v>8</v>
      </c>
      <c r="N776" s="15" t="s">
        <v>8</v>
      </c>
      <c r="P776" s="15" t="s">
        <v>8</v>
      </c>
      <c r="S776" s="15" t="s">
        <v>8</v>
      </c>
      <c r="T776" s="15" t="s">
        <v>8</v>
      </c>
      <c r="U776" s="15" t="s">
        <v>8</v>
      </c>
      <c r="V776" s="15" t="s">
        <v>8</v>
      </c>
      <c r="W776" s="19" t="str">
        <f>HYPERLINK("http://yeinfo.com/family/I09066893.html", "HUGH COTTON &lt;2&gt; 1315 -1360 EN ID:09066892")</f>
        <v>HUGH COTTON &lt;2&gt; 1315 -1360 EN ID:09066892</v>
      </c>
      <c r="X776" s="9"/>
      <c r="Y776" s="9"/>
      <c r="Z776" s="9"/>
      <c r="AA776" s="9"/>
    </row>
    <row r="777" spans="3:30" x14ac:dyDescent="0.35">
      <c r="C777" s="15" t="s">
        <v>8</v>
      </c>
      <c r="D777" s="15" t="s">
        <v>8</v>
      </c>
      <c r="H777" s="15" t="s">
        <v>8</v>
      </c>
      <c r="K777" s="15" t="s">
        <v>8</v>
      </c>
      <c r="L777" s="15" t="s">
        <v>8</v>
      </c>
      <c r="M777" s="15" t="s">
        <v>8</v>
      </c>
      <c r="N777" s="15" t="s">
        <v>8</v>
      </c>
      <c r="P777" s="15" t="s">
        <v>8</v>
      </c>
      <c r="S777" s="15" t="s">
        <v>8</v>
      </c>
      <c r="T777" s="15" t="s">
        <v>8</v>
      </c>
      <c r="U777" s="15" t="s">
        <v>8</v>
      </c>
      <c r="V777" s="15" t="s">
        <v>8</v>
      </c>
      <c r="W777" s="8" t="s">
        <v>3</v>
      </c>
      <c r="X777" s="15" t="s">
        <v>8</v>
      </c>
    </row>
    <row r="778" spans="3:30" x14ac:dyDescent="0.35">
      <c r="C778" s="15" t="s">
        <v>8</v>
      </c>
      <c r="D778" s="15" t="s">
        <v>8</v>
      </c>
      <c r="H778" s="15" t="s">
        <v>8</v>
      </c>
      <c r="K778" s="15" t="s">
        <v>8</v>
      </c>
      <c r="L778" s="15" t="s">
        <v>8</v>
      </c>
      <c r="M778" s="15" t="s">
        <v>8</v>
      </c>
      <c r="N778" s="15" t="s">
        <v>8</v>
      </c>
      <c r="P778" s="15" t="s">
        <v>8</v>
      </c>
      <c r="S778" s="15" t="s">
        <v>8</v>
      </c>
      <c r="T778" s="15" t="s">
        <v>8</v>
      </c>
      <c r="U778" s="15" t="s">
        <v>8</v>
      </c>
      <c r="V778" s="15" t="s">
        <v>8</v>
      </c>
      <c r="W778" s="15" t="s">
        <v>8</v>
      </c>
      <c r="X778" s="15" t="s">
        <v>8</v>
      </c>
      <c r="Y778" s="19" t="str">
        <f>HYPERLINK("http://yeinfo.com/family/I09066855.html", "ROGER ACTON &lt;2&gt; 1273 EN-1343 EN ID:09066854")</f>
        <v>ROGER ACTON &lt;2&gt; 1273 EN-1343 EN ID:09066854</v>
      </c>
      <c r="Z778" s="9"/>
      <c r="AA778" s="9"/>
      <c r="AB778" s="9"/>
      <c r="AC778" s="9"/>
    </row>
    <row r="779" spans="3:30" x14ac:dyDescent="0.35">
      <c r="C779" s="15" t="s">
        <v>8</v>
      </c>
      <c r="D779" s="15" t="s">
        <v>8</v>
      </c>
      <c r="H779" s="15" t="s">
        <v>8</v>
      </c>
      <c r="K779" s="15" t="s">
        <v>8</v>
      </c>
      <c r="L779" s="15" t="s">
        <v>8</v>
      </c>
      <c r="M779" s="15" t="s">
        <v>8</v>
      </c>
      <c r="N779" s="15" t="s">
        <v>8</v>
      </c>
      <c r="P779" s="15" t="s">
        <v>8</v>
      </c>
      <c r="S779" s="15" t="s">
        <v>8</v>
      </c>
      <c r="T779" s="15" t="s">
        <v>8</v>
      </c>
      <c r="U779" s="15" t="s">
        <v>8</v>
      </c>
      <c r="V779" s="15" t="s">
        <v>8</v>
      </c>
      <c r="W779" s="15" t="s">
        <v>8</v>
      </c>
      <c r="X779" s="8" t="s">
        <v>6</v>
      </c>
      <c r="Y779" s="8" t="s">
        <v>3</v>
      </c>
    </row>
    <row r="780" spans="3:30" x14ac:dyDescent="0.35">
      <c r="C780" s="15" t="s">
        <v>8</v>
      </c>
      <c r="D780" s="15" t="s">
        <v>8</v>
      </c>
      <c r="H780" s="15" t="s">
        <v>8</v>
      </c>
      <c r="K780" s="15" t="s">
        <v>8</v>
      </c>
      <c r="L780" s="15" t="s">
        <v>8</v>
      </c>
      <c r="M780" s="15" t="s">
        <v>8</v>
      </c>
      <c r="N780" s="15" t="s">
        <v>8</v>
      </c>
      <c r="P780" s="15" t="s">
        <v>8</v>
      </c>
      <c r="S780" s="15" t="s">
        <v>8</v>
      </c>
      <c r="T780" s="15" t="s">
        <v>8</v>
      </c>
      <c r="U780" s="15" t="s">
        <v>8</v>
      </c>
      <c r="V780" s="15" t="s">
        <v>8</v>
      </c>
      <c r="W780" s="15" t="s">
        <v>8</v>
      </c>
      <c r="X780" s="20" t="str">
        <f>HYPERLINK("http://yeinfo.com/family/I09066856.html", "MARGARET ACTON &lt;2&gt; 1295 EN-1320 EN ID:09066855")</f>
        <v>MARGARET ACTON &lt;2&gt; 1295 EN-1320 EN ID:09066855</v>
      </c>
      <c r="Y780" s="17"/>
      <c r="Z780" s="17"/>
      <c r="AA780" s="17"/>
      <c r="AB780" s="17"/>
    </row>
    <row r="781" spans="3:30" x14ac:dyDescent="0.35">
      <c r="C781" s="15" t="s">
        <v>8</v>
      </c>
      <c r="D781" s="15" t="s">
        <v>8</v>
      </c>
      <c r="H781" s="15" t="s">
        <v>8</v>
      </c>
      <c r="K781" s="15" t="s">
        <v>8</v>
      </c>
      <c r="L781" s="15" t="s">
        <v>8</v>
      </c>
      <c r="M781" s="15" t="s">
        <v>8</v>
      </c>
      <c r="N781" s="15" t="s">
        <v>8</v>
      </c>
      <c r="P781" s="15" t="s">
        <v>8</v>
      </c>
      <c r="S781" s="15" t="s">
        <v>8</v>
      </c>
      <c r="T781" s="15" t="s">
        <v>8</v>
      </c>
      <c r="U781" s="15" t="s">
        <v>8</v>
      </c>
      <c r="V781" s="15" t="s">
        <v>8</v>
      </c>
      <c r="W781" s="15" t="s">
        <v>8</v>
      </c>
      <c r="Y781" s="8" t="s">
        <v>6</v>
      </c>
    </row>
    <row r="782" spans="3:30" x14ac:dyDescent="0.35">
      <c r="C782" s="15" t="s">
        <v>8</v>
      </c>
      <c r="D782" s="15" t="s">
        <v>8</v>
      </c>
      <c r="H782" s="15" t="s">
        <v>8</v>
      </c>
      <c r="K782" s="15" t="s">
        <v>8</v>
      </c>
      <c r="L782" s="15" t="s">
        <v>8</v>
      </c>
      <c r="M782" s="15" t="s">
        <v>8</v>
      </c>
      <c r="N782" s="15" t="s">
        <v>8</v>
      </c>
      <c r="P782" s="15" t="s">
        <v>8</v>
      </c>
      <c r="S782" s="15" t="s">
        <v>8</v>
      </c>
      <c r="T782" s="15" t="s">
        <v>8</v>
      </c>
      <c r="U782" s="15" t="s">
        <v>8</v>
      </c>
      <c r="V782" s="15" t="s">
        <v>8</v>
      </c>
      <c r="W782" s="15" t="s">
        <v>8</v>
      </c>
      <c r="Y782" s="20" t="str">
        <f>HYPERLINK("http://yeinfo.com/family/I09066854.html", "MATILDA MAUD D'AGILOFINGES &lt;2&gt; 1275 EN-1304 EN ID:09066899")</f>
        <v>MATILDA MAUD D'AGILOFINGES &lt;2&gt; 1275 EN-1304 EN ID:09066899</v>
      </c>
      <c r="Z782" s="17"/>
      <c r="AA782" s="17"/>
      <c r="AB782" s="17"/>
      <c r="AC782" s="17"/>
    </row>
    <row r="783" spans="3:30" x14ac:dyDescent="0.35">
      <c r="C783" s="15" t="s">
        <v>8</v>
      </c>
      <c r="D783" s="15" t="s">
        <v>8</v>
      </c>
      <c r="H783" s="15" t="s">
        <v>8</v>
      </c>
      <c r="K783" s="15" t="s">
        <v>8</v>
      </c>
      <c r="L783" s="15" t="s">
        <v>8</v>
      </c>
      <c r="M783" s="15" t="s">
        <v>8</v>
      </c>
      <c r="N783" s="15" t="s">
        <v>8</v>
      </c>
      <c r="P783" s="15" t="s">
        <v>8</v>
      </c>
      <c r="S783" s="15" t="s">
        <v>8</v>
      </c>
      <c r="T783" s="15" t="s">
        <v>8</v>
      </c>
      <c r="U783" s="15" t="s">
        <v>8</v>
      </c>
      <c r="V783" s="8" t="s">
        <v>6</v>
      </c>
      <c r="W783" s="15" t="s">
        <v>8</v>
      </c>
    </row>
    <row r="784" spans="3:30" x14ac:dyDescent="0.35">
      <c r="C784" s="15" t="s">
        <v>8</v>
      </c>
      <c r="D784" s="15" t="s">
        <v>8</v>
      </c>
      <c r="H784" s="15" t="s">
        <v>8</v>
      </c>
      <c r="K784" s="15" t="s">
        <v>8</v>
      </c>
      <c r="L784" s="15" t="s">
        <v>8</v>
      </c>
      <c r="M784" s="15" t="s">
        <v>8</v>
      </c>
      <c r="N784" s="15" t="s">
        <v>8</v>
      </c>
      <c r="P784" s="15" t="s">
        <v>8</v>
      </c>
      <c r="S784" s="15" t="s">
        <v>8</v>
      </c>
      <c r="T784" s="15" t="s">
        <v>8</v>
      </c>
      <c r="U784" s="15" t="s">
        <v>8</v>
      </c>
      <c r="V784" s="20" t="str">
        <f>HYPERLINK("http://yeinfo.com/family/I09066867.html", "MARGERY COTTON &lt;2&gt; 1335 EN-1398 EN ID:09066893")</f>
        <v>MARGERY COTTON &lt;2&gt; 1335 EN-1398 EN ID:09066893</v>
      </c>
      <c r="W784" s="17"/>
      <c r="X784" s="17"/>
      <c r="Y784" s="17"/>
      <c r="Z784" s="17"/>
    </row>
    <row r="785" spans="3:29" x14ac:dyDescent="0.35">
      <c r="C785" s="15" t="s">
        <v>8</v>
      </c>
      <c r="D785" s="15" t="s">
        <v>8</v>
      </c>
      <c r="H785" s="15" t="s">
        <v>8</v>
      </c>
      <c r="K785" s="15" t="s">
        <v>8</v>
      </c>
      <c r="L785" s="15" t="s">
        <v>8</v>
      </c>
      <c r="M785" s="15" t="s">
        <v>8</v>
      </c>
      <c r="N785" s="15" t="s">
        <v>8</v>
      </c>
      <c r="P785" s="15" t="s">
        <v>8</v>
      </c>
      <c r="S785" s="15" t="s">
        <v>8</v>
      </c>
      <c r="T785" s="15" t="s">
        <v>8</v>
      </c>
      <c r="U785" s="15" t="s">
        <v>8</v>
      </c>
      <c r="W785" s="15" t="s">
        <v>8</v>
      </c>
    </row>
    <row r="786" spans="3:29" x14ac:dyDescent="0.35">
      <c r="C786" s="15" t="s">
        <v>8</v>
      </c>
      <c r="D786" s="15" t="s">
        <v>8</v>
      </c>
      <c r="H786" s="15" t="s">
        <v>8</v>
      </c>
      <c r="K786" s="15" t="s">
        <v>8</v>
      </c>
      <c r="L786" s="15" t="s">
        <v>8</v>
      </c>
      <c r="M786" s="15" t="s">
        <v>8</v>
      </c>
      <c r="N786" s="15" t="s">
        <v>8</v>
      </c>
      <c r="P786" s="15" t="s">
        <v>8</v>
      </c>
      <c r="S786" s="15" t="s">
        <v>8</v>
      </c>
      <c r="T786" s="15" t="s">
        <v>8</v>
      </c>
      <c r="U786" s="15" t="s">
        <v>8</v>
      </c>
      <c r="W786" s="15" t="s">
        <v>8</v>
      </c>
      <c r="Y786" s="19" t="str">
        <f>HYPERLINK("http://yeinfo.com/family/I09066917.html", "THOMAS HEATON &lt;2&gt; 1257 EN-1292 EN ID:09066916")</f>
        <v>THOMAS HEATON &lt;2&gt; 1257 EN-1292 EN ID:09066916</v>
      </c>
      <c r="Z786" s="9"/>
      <c r="AA786" s="9"/>
      <c r="AB786" s="9"/>
      <c r="AC786" s="9"/>
    </row>
    <row r="787" spans="3:29" x14ac:dyDescent="0.35">
      <c r="C787" s="15" t="s">
        <v>8</v>
      </c>
      <c r="D787" s="15" t="s">
        <v>8</v>
      </c>
      <c r="H787" s="15" t="s">
        <v>8</v>
      </c>
      <c r="K787" s="15" t="s">
        <v>8</v>
      </c>
      <c r="L787" s="15" t="s">
        <v>8</v>
      </c>
      <c r="M787" s="15" t="s">
        <v>8</v>
      </c>
      <c r="N787" s="15" t="s">
        <v>8</v>
      </c>
      <c r="P787" s="15" t="s">
        <v>8</v>
      </c>
      <c r="S787" s="15" t="s">
        <v>8</v>
      </c>
      <c r="T787" s="15" t="s">
        <v>8</v>
      </c>
      <c r="U787" s="15" t="s">
        <v>8</v>
      </c>
      <c r="W787" s="15" t="s">
        <v>8</v>
      </c>
      <c r="Y787" s="8" t="s">
        <v>3</v>
      </c>
    </row>
    <row r="788" spans="3:29" x14ac:dyDescent="0.35">
      <c r="C788" s="15" t="s">
        <v>8</v>
      </c>
      <c r="D788" s="15" t="s">
        <v>8</v>
      </c>
      <c r="H788" s="15" t="s">
        <v>8</v>
      </c>
      <c r="K788" s="15" t="s">
        <v>8</v>
      </c>
      <c r="L788" s="15" t="s">
        <v>8</v>
      </c>
      <c r="M788" s="15" t="s">
        <v>8</v>
      </c>
      <c r="N788" s="15" t="s">
        <v>8</v>
      </c>
      <c r="P788" s="15" t="s">
        <v>8</v>
      </c>
      <c r="S788" s="15" t="s">
        <v>8</v>
      </c>
      <c r="T788" s="15" t="s">
        <v>8</v>
      </c>
      <c r="U788" s="15" t="s">
        <v>8</v>
      </c>
      <c r="W788" s="15" t="s">
        <v>8</v>
      </c>
      <c r="X788" s="19" t="str">
        <f>HYPERLINK("http://yeinfo.com/family/I09066918.html", "THOMAS HEATON &lt;2&gt; 1288 EN-1353 EN ID:09066917")</f>
        <v>THOMAS HEATON &lt;2&gt; 1288 EN-1353 EN ID:09066917</v>
      </c>
      <c r="Y788" s="9"/>
      <c r="Z788" s="9"/>
      <c r="AA788" s="9"/>
      <c r="AB788" s="9"/>
    </row>
    <row r="789" spans="3:29" x14ac:dyDescent="0.35">
      <c r="C789" s="15" t="s">
        <v>8</v>
      </c>
      <c r="D789" s="15" t="s">
        <v>8</v>
      </c>
      <c r="H789" s="15" t="s">
        <v>8</v>
      </c>
      <c r="K789" s="15" t="s">
        <v>8</v>
      </c>
      <c r="L789" s="15" t="s">
        <v>8</v>
      </c>
      <c r="M789" s="15" t="s">
        <v>8</v>
      </c>
      <c r="N789" s="15" t="s">
        <v>8</v>
      </c>
      <c r="P789" s="15" t="s">
        <v>8</v>
      </c>
      <c r="S789" s="15" t="s">
        <v>8</v>
      </c>
      <c r="T789" s="15" t="s">
        <v>8</v>
      </c>
      <c r="U789" s="15" t="s">
        <v>8</v>
      </c>
      <c r="W789" s="15" t="s">
        <v>8</v>
      </c>
      <c r="X789" s="8" t="s">
        <v>3</v>
      </c>
      <c r="Y789" s="8" t="s">
        <v>6</v>
      </c>
    </row>
    <row r="790" spans="3:29" x14ac:dyDescent="0.35">
      <c r="C790" s="15" t="s">
        <v>8</v>
      </c>
      <c r="D790" s="15" t="s">
        <v>8</v>
      </c>
      <c r="H790" s="15" t="s">
        <v>8</v>
      </c>
      <c r="K790" s="15" t="s">
        <v>8</v>
      </c>
      <c r="L790" s="15" t="s">
        <v>8</v>
      </c>
      <c r="M790" s="15" t="s">
        <v>8</v>
      </c>
      <c r="N790" s="15" t="s">
        <v>8</v>
      </c>
      <c r="P790" s="15" t="s">
        <v>8</v>
      </c>
      <c r="S790" s="15" t="s">
        <v>8</v>
      </c>
      <c r="T790" s="15" t="s">
        <v>8</v>
      </c>
      <c r="U790" s="15" t="s">
        <v>8</v>
      </c>
      <c r="W790" s="15" t="s">
        <v>8</v>
      </c>
      <c r="X790" s="15" t="s">
        <v>8</v>
      </c>
      <c r="Y790" s="20" t="str">
        <f>HYPERLINK("http://yeinfo.com/family/I09066916.html", "JOAN NEVILLE &lt;2&gt; 1267 EN-1326 EN ID:09066953")</f>
        <v>JOAN NEVILLE &lt;2&gt; 1267 EN-1326 EN ID:09066953</v>
      </c>
      <c r="Z790" s="17"/>
      <c r="AA790" s="17"/>
      <c r="AB790" s="17"/>
      <c r="AC790" s="17"/>
    </row>
    <row r="791" spans="3:29" x14ac:dyDescent="0.35">
      <c r="C791" s="15" t="s">
        <v>8</v>
      </c>
      <c r="D791" s="15" t="s">
        <v>8</v>
      </c>
      <c r="H791" s="15" t="s">
        <v>8</v>
      </c>
      <c r="K791" s="15" t="s">
        <v>8</v>
      </c>
      <c r="L791" s="15" t="s">
        <v>8</v>
      </c>
      <c r="M791" s="15" t="s">
        <v>8</v>
      </c>
      <c r="N791" s="15" t="s">
        <v>8</v>
      </c>
      <c r="P791" s="15" t="s">
        <v>8</v>
      </c>
      <c r="S791" s="15" t="s">
        <v>8</v>
      </c>
      <c r="T791" s="15" t="s">
        <v>8</v>
      </c>
      <c r="U791" s="15" t="s">
        <v>8</v>
      </c>
      <c r="W791" s="8" t="s">
        <v>6</v>
      </c>
      <c r="X791" s="15" t="s">
        <v>8</v>
      </c>
    </row>
    <row r="792" spans="3:29" x14ac:dyDescent="0.35">
      <c r="C792" s="15" t="s">
        <v>8</v>
      </c>
      <c r="D792" s="15" t="s">
        <v>8</v>
      </c>
      <c r="H792" s="15" t="s">
        <v>8</v>
      </c>
      <c r="K792" s="15" t="s">
        <v>8</v>
      </c>
      <c r="L792" s="15" t="s">
        <v>8</v>
      </c>
      <c r="M792" s="15" t="s">
        <v>8</v>
      </c>
      <c r="N792" s="15" t="s">
        <v>8</v>
      </c>
      <c r="P792" s="15" t="s">
        <v>8</v>
      </c>
      <c r="S792" s="15" t="s">
        <v>8</v>
      </c>
      <c r="T792" s="15" t="s">
        <v>8</v>
      </c>
      <c r="U792" s="15" t="s">
        <v>8</v>
      </c>
      <c r="W792" s="20" t="str">
        <f>HYPERLINK("http://yeinfo.com/family/I09066899.html", "ISABEL HEATON &lt;2&gt; 1317 EN-1335 EN ID:09066918")</f>
        <v>ISABEL HEATON &lt;2&gt; 1317 EN-1335 EN ID:09066918</v>
      </c>
      <c r="X792" s="17"/>
      <c r="Y792" s="17"/>
      <c r="Z792" s="17"/>
      <c r="AA792" s="17"/>
    </row>
    <row r="793" spans="3:29" x14ac:dyDescent="0.35">
      <c r="C793" s="15" t="s">
        <v>8</v>
      </c>
      <c r="D793" s="15" t="s">
        <v>8</v>
      </c>
      <c r="H793" s="15" t="s">
        <v>8</v>
      </c>
      <c r="K793" s="15" t="s">
        <v>8</v>
      </c>
      <c r="L793" s="15" t="s">
        <v>8</v>
      </c>
      <c r="M793" s="15" t="s">
        <v>8</v>
      </c>
      <c r="N793" s="15" t="s">
        <v>8</v>
      </c>
      <c r="P793" s="15" t="s">
        <v>8</v>
      </c>
      <c r="S793" s="15" t="s">
        <v>8</v>
      </c>
      <c r="T793" s="15" t="s">
        <v>8</v>
      </c>
      <c r="U793" s="15" t="s">
        <v>8</v>
      </c>
      <c r="X793" s="15" t="s">
        <v>8</v>
      </c>
    </row>
    <row r="794" spans="3:29" x14ac:dyDescent="0.35">
      <c r="C794" s="15" t="s">
        <v>8</v>
      </c>
      <c r="D794" s="15" t="s">
        <v>8</v>
      </c>
      <c r="H794" s="15" t="s">
        <v>8</v>
      </c>
      <c r="K794" s="15" t="s">
        <v>8</v>
      </c>
      <c r="L794" s="15" t="s">
        <v>8</v>
      </c>
      <c r="M794" s="15" t="s">
        <v>8</v>
      </c>
      <c r="N794" s="15" t="s">
        <v>8</v>
      </c>
      <c r="P794" s="15" t="s">
        <v>8</v>
      </c>
      <c r="S794" s="15" t="s">
        <v>8</v>
      </c>
      <c r="T794" s="15" t="s">
        <v>8</v>
      </c>
      <c r="U794" s="15" t="s">
        <v>8</v>
      </c>
      <c r="X794" s="15" t="s">
        <v>8</v>
      </c>
      <c r="Y794" s="19" t="str">
        <f>HYPERLINK("http://yeinfo.com/family/I09066920.html", "ELLIS HEYTON &lt;2&gt; 1238 EN-1292 EN ID:09066919")</f>
        <v>ELLIS HEYTON &lt;2&gt; 1238 EN-1292 EN ID:09066919</v>
      </c>
      <c r="Z794" s="9"/>
      <c r="AA794" s="9"/>
      <c r="AB794" s="9"/>
      <c r="AC794" s="9"/>
    </row>
    <row r="795" spans="3:29" x14ac:dyDescent="0.35">
      <c r="C795" s="15" t="s">
        <v>8</v>
      </c>
      <c r="D795" s="15" t="s">
        <v>8</v>
      </c>
      <c r="H795" s="15" t="s">
        <v>8</v>
      </c>
      <c r="K795" s="15" t="s">
        <v>8</v>
      </c>
      <c r="L795" s="15" t="s">
        <v>8</v>
      </c>
      <c r="M795" s="15" t="s">
        <v>8</v>
      </c>
      <c r="N795" s="15" t="s">
        <v>8</v>
      </c>
      <c r="P795" s="15" t="s">
        <v>8</v>
      </c>
      <c r="S795" s="15" t="s">
        <v>8</v>
      </c>
      <c r="T795" s="15" t="s">
        <v>8</v>
      </c>
      <c r="U795" s="15" t="s">
        <v>8</v>
      </c>
      <c r="X795" s="8" t="s">
        <v>6</v>
      </c>
      <c r="Y795" s="8" t="s">
        <v>3</v>
      </c>
    </row>
    <row r="796" spans="3:29" x14ac:dyDescent="0.35">
      <c r="C796" s="15" t="s">
        <v>8</v>
      </c>
      <c r="D796" s="15" t="s">
        <v>8</v>
      </c>
      <c r="H796" s="15" t="s">
        <v>8</v>
      </c>
      <c r="K796" s="15" t="s">
        <v>8</v>
      </c>
      <c r="L796" s="15" t="s">
        <v>8</v>
      </c>
      <c r="M796" s="15" t="s">
        <v>8</v>
      </c>
      <c r="N796" s="15" t="s">
        <v>8</v>
      </c>
      <c r="P796" s="15" t="s">
        <v>8</v>
      </c>
      <c r="S796" s="15" t="s">
        <v>8</v>
      </c>
      <c r="T796" s="15" t="s">
        <v>8</v>
      </c>
      <c r="U796" s="15" t="s">
        <v>8</v>
      </c>
      <c r="X796" s="20" t="str">
        <f>HYPERLINK("http://yeinfo.com/family/I09066953.html", "AGNES HEYTON &lt;2&gt; 1292 EN-1336 EN ID:09066920")</f>
        <v>AGNES HEYTON &lt;2&gt; 1292 EN-1336 EN ID:09066920</v>
      </c>
      <c r="Y796" s="17"/>
      <c r="Z796" s="17"/>
      <c r="AA796" s="17"/>
      <c r="AB796" s="17"/>
    </row>
    <row r="797" spans="3:29" x14ac:dyDescent="0.35">
      <c r="C797" s="15" t="s">
        <v>8</v>
      </c>
      <c r="D797" s="15" t="s">
        <v>8</v>
      </c>
      <c r="H797" s="15" t="s">
        <v>8</v>
      </c>
      <c r="K797" s="15" t="s">
        <v>8</v>
      </c>
      <c r="L797" s="15" t="s">
        <v>8</v>
      </c>
      <c r="M797" s="15" t="s">
        <v>8</v>
      </c>
      <c r="N797" s="15" t="s">
        <v>8</v>
      </c>
      <c r="P797" s="15" t="s">
        <v>8</v>
      </c>
      <c r="S797" s="15" t="s">
        <v>8</v>
      </c>
      <c r="T797" s="15" t="s">
        <v>8</v>
      </c>
      <c r="U797" s="15" t="s">
        <v>8</v>
      </c>
      <c r="Y797" s="8" t="s">
        <v>6</v>
      </c>
    </row>
    <row r="798" spans="3:29" x14ac:dyDescent="0.35">
      <c r="C798" s="15" t="s">
        <v>8</v>
      </c>
      <c r="D798" s="15" t="s">
        <v>8</v>
      </c>
      <c r="H798" s="15" t="s">
        <v>8</v>
      </c>
      <c r="K798" s="15" t="s">
        <v>8</v>
      </c>
      <c r="L798" s="15" t="s">
        <v>8</v>
      </c>
      <c r="M798" s="15" t="s">
        <v>8</v>
      </c>
      <c r="N798" s="15" t="s">
        <v>8</v>
      </c>
      <c r="P798" s="15" t="s">
        <v>8</v>
      </c>
      <c r="S798" s="15" t="s">
        <v>8</v>
      </c>
      <c r="T798" s="15" t="s">
        <v>8</v>
      </c>
      <c r="U798" s="15" t="s">
        <v>8</v>
      </c>
      <c r="Y798" s="20" t="str">
        <f>HYPERLINK("http://yeinfo.com/family/I09066919.html", "JOAN NEVILLE &lt;2&gt; 1242 EN-1326 EN ID:09066954")</f>
        <v>JOAN NEVILLE &lt;2&gt; 1242 EN-1326 EN ID:09066954</v>
      </c>
      <c r="Z798" s="17"/>
      <c r="AA798" s="17"/>
      <c r="AB798" s="17"/>
      <c r="AC798" s="17"/>
    </row>
    <row r="799" spans="3:29" x14ac:dyDescent="0.35">
      <c r="C799" s="15" t="s">
        <v>8</v>
      </c>
      <c r="D799" s="15" t="s">
        <v>8</v>
      </c>
      <c r="H799" s="15" t="s">
        <v>8</v>
      </c>
      <c r="K799" s="15" t="s">
        <v>8</v>
      </c>
      <c r="L799" s="15" t="s">
        <v>8</v>
      </c>
      <c r="M799" s="15" t="s">
        <v>8</v>
      </c>
      <c r="N799" s="15" t="s">
        <v>8</v>
      </c>
      <c r="P799" s="15" t="s">
        <v>8</v>
      </c>
      <c r="S799" s="15" t="s">
        <v>8</v>
      </c>
      <c r="T799" s="8" t="s">
        <v>6</v>
      </c>
      <c r="U799" s="15" t="s">
        <v>8</v>
      </c>
    </row>
    <row r="800" spans="3:29" x14ac:dyDescent="0.35">
      <c r="C800" s="15" t="s">
        <v>8</v>
      </c>
      <c r="D800" s="15" t="s">
        <v>8</v>
      </c>
      <c r="H800" s="15" t="s">
        <v>8</v>
      </c>
      <c r="K800" s="15" t="s">
        <v>8</v>
      </c>
      <c r="L800" s="15" t="s">
        <v>8</v>
      </c>
      <c r="M800" s="15" t="s">
        <v>8</v>
      </c>
      <c r="N800" s="15" t="s">
        <v>8</v>
      </c>
      <c r="P800" s="15" t="s">
        <v>8</v>
      </c>
      <c r="S800" s="15" t="s">
        <v>8</v>
      </c>
      <c r="T800" s="20" t="str">
        <f>HYPERLINK("http://yeinfo.com/family/I09066967.html", "ALICE VENABLES &lt;2&gt; 1398 EN-1463 EN ID:09066853")</f>
        <v>ALICE VENABLES &lt;2&gt; 1398 EN-1463 EN ID:09066853</v>
      </c>
      <c r="U800" s="17"/>
      <c r="V800" s="17"/>
      <c r="W800" s="17"/>
      <c r="X800" s="17"/>
    </row>
    <row r="801" spans="3:30" x14ac:dyDescent="0.35">
      <c r="C801" s="15" t="s">
        <v>8</v>
      </c>
      <c r="D801" s="15" t="s">
        <v>8</v>
      </c>
      <c r="H801" s="15" t="s">
        <v>8</v>
      </c>
      <c r="K801" s="15" t="s">
        <v>8</v>
      </c>
      <c r="L801" s="15" t="s">
        <v>8</v>
      </c>
      <c r="M801" s="15" t="s">
        <v>8</v>
      </c>
      <c r="N801" s="15" t="s">
        <v>8</v>
      </c>
      <c r="P801" s="15" t="s">
        <v>8</v>
      </c>
      <c r="S801" s="15" t="s">
        <v>8</v>
      </c>
      <c r="U801" s="15" t="s">
        <v>8</v>
      </c>
    </row>
    <row r="802" spans="3:30" x14ac:dyDescent="0.35">
      <c r="C802" s="15" t="s">
        <v>8</v>
      </c>
      <c r="D802" s="15" t="s">
        <v>8</v>
      </c>
      <c r="H802" s="15" t="s">
        <v>8</v>
      </c>
      <c r="K802" s="15" t="s">
        <v>8</v>
      </c>
      <c r="L802" s="15" t="s">
        <v>8</v>
      </c>
      <c r="M802" s="15" t="s">
        <v>8</v>
      </c>
      <c r="N802" s="15" t="s">
        <v>8</v>
      </c>
      <c r="P802" s="15" t="s">
        <v>8</v>
      </c>
      <c r="S802" s="15" t="s">
        <v>8</v>
      </c>
      <c r="U802" s="15" t="s">
        <v>8</v>
      </c>
      <c r="Z802" s="19" t="str">
        <f>HYPERLINK("http://yeinfo.com/family/I09066946.html", "WILLIAM MASSEY &lt;4&gt; 1190 EN-1272 IS ID:09066946")</f>
        <v>WILLIAM MASSEY &lt;4&gt; 1190 EN-1272 IS ID:09066946</v>
      </c>
      <c r="AA802" s="9"/>
      <c r="AB802" s="9"/>
      <c r="AC802" s="9"/>
      <c r="AD802" s="9"/>
    </row>
    <row r="803" spans="3:30" x14ac:dyDescent="0.35">
      <c r="C803" s="15" t="s">
        <v>8</v>
      </c>
      <c r="D803" s="15" t="s">
        <v>8</v>
      </c>
      <c r="H803" s="15" t="s">
        <v>8</v>
      </c>
      <c r="K803" s="15" t="s">
        <v>8</v>
      </c>
      <c r="L803" s="15" t="s">
        <v>8</v>
      </c>
      <c r="M803" s="15" t="s">
        <v>8</v>
      </c>
      <c r="N803" s="15" t="s">
        <v>8</v>
      </c>
      <c r="P803" s="15" t="s">
        <v>8</v>
      </c>
      <c r="S803" s="15" t="s">
        <v>8</v>
      </c>
      <c r="U803" s="15" t="s">
        <v>8</v>
      </c>
      <c r="Z803" s="8" t="s">
        <v>3</v>
      </c>
    </row>
    <row r="804" spans="3:30" x14ac:dyDescent="0.35">
      <c r="C804" s="15" t="s">
        <v>8</v>
      </c>
      <c r="D804" s="15" t="s">
        <v>8</v>
      </c>
      <c r="H804" s="15" t="s">
        <v>8</v>
      </c>
      <c r="K804" s="15" t="s">
        <v>8</v>
      </c>
      <c r="L804" s="15" t="s">
        <v>8</v>
      </c>
      <c r="M804" s="15" t="s">
        <v>8</v>
      </c>
      <c r="N804" s="15" t="s">
        <v>8</v>
      </c>
      <c r="P804" s="15" t="s">
        <v>8</v>
      </c>
      <c r="S804" s="15" t="s">
        <v>8</v>
      </c>
      <c r="U804" s="15" t="s">
        <v>8</v>
      </c>
      <c r="Y804" s="19" t="str">
        <f>HYPERLINK("http://yeinfo.com/family/I09066947.html", "ROBERT ROSTHERNE MASSEY &lt;4&gt; 1228 EN-1328 EN ID:09066947")</f>
        <v>ROBERT ROSTHERNE MASSEY &lt;4&gt; 1228 EN-1328 EN ID:09066947</v>
      </c>
      <c r="Z804" s="9"/>
      <c r="AA804" s="9"/>
      <c r="AB804" s="9"/>
      <c r="AC804" s="9"/>
    </row>
    <row r="805" spans="3:30" x14ac:dyDescent="0.35">
      <c r="C805" s="15" t="s">
        <v>8</v>
      </c>
      <c r="D805" s="15" t="s">
        <v>8</v>
      </c>
      <c r="H805" s="15" t="s">
        <v>8</v>
      </c>
      <c r="K805" s="15" t="s">
        <v>8</v>
      </c>
      <c r="L805" s="15" t="s">
        <v>8</v>
      </c>
      <c r="M805" s="15" t="s">
        <v>8</v>
      </c>
      <c r="N805" s="15" t="s">
        <v>8</v>
      </c>
      <c r="P805" s="15" t="s">
        <v>8</v>
      </c>
      <c r="S805" s="15" t="s">
        <v>8</v>
      </c>
      <c r="U805" s="15" t="s">
        <v>8</v>
      </c>
      <c r="Y805" s="8" t="s">
        <v>3</v>
      </c>
      <c r="Z805" s="8" t="s">
        <v>6</v>
      </c>
    </row>
    <row r="806" spans="3:30" x14ac:dyDescent="0.35">
      <c r="C806" s="15" t="s">
        <v>8</v>
      </c>
      <c r="D806" s="15" t="s">
        <v>8</v>
      </c>
      <c r="H806" s="15" t="s">
        <v>8</v>
      </c>
      <c r="K806" s="15" t="s">
        <v>8</v>
      </c>
      <c r="L806" s="15" t="s">
        <v>8</v>
      </c>
      <c r="M806" s="15" t="s">
        <v>8</v>
      </c>
      <c r="N806" s="15" t="s">
        <v>8</v>
      </c>
      <c r="P806" s="15" t="s">
        <v>8</v>
      </c>
      <c r="S806" s="15" t="s">
        <v>8</v>
      </c>
      <c r="U806" s="15" t="s">
        <v>8</v>
      </c>
      <c r="Y806" s="15" t="s">
        <v>8</v>
      </c>
      <c r="Z806" s="20" t="str">
        <f>HYPERLINK("http://yeinfo.com/family/I09066970.html", "MARGERY ROSTHERNE &lt;4&gt; 1190 EN-1228 EN ID:09066970")</f>
        <v>MARGERY ROSTHERNE &lt;4&gt; 1190 EN-1228 EN ID:09066970</v>
      </c>
      <c r="AA806" s="17"/>
      <c r="AB806" s="17"/>
      <c r="AC806" s="17"/>
      <c r="AD806" s="17"/>
    </row>
    <row r="807" spans="3:30" x14ac:dyDescent="0.35">
      <c r="C807" s="15" t="s">
        <v>8</v>
      </c>
      <c r="D807" s="15" t="s">
        <v>8</v>
      </c>
      <c r="H807" s="15" t="s">
        <v>8</v>
      </c>
      <c r="K807" s="15" t="s">
        <v>8</v>
      </c>
      <c r="L807" s="15" t="s">
        <v>8</v>
      </c>
      <c r="M807" s="15" t="s">
        <v>8</v>
      </c>
      <c r="N807" s="15" t="s">
        <v>8</v>
      </c>
      <c r="P807" s="15" t="s">
        <v>8</v>
      </c>
      <c r="S807" s="15" t="s">
        <v>8</v>
      </c>
      <c r="U807" s="15" t="s">
        <v>8</v>
      </c>
      <c r="Y807" s="15" t="s">
        <v>8</v>
      </c>
    </row>
    <row r="808" spans="3:30" x14ac:dyDescent="0.35">
      <c r="C808" s="15" t="s">
        <v>8</v>
      </c>
      <c r="D808" s="15" t="s">
        <v>8</v>
      </c>
      <c r="H808" s="15" t="s">
        <v>8</v>
      </c>
      <c r="K808" s="15" t="s">
        <v>8</v>
      </c>
      <c r="L808" s="15" t="s">
        <v>8</v>
      </c>
      <c r="M808" s="15" t="s">
        <v>8</v>
      </c>
      <c r="N808" s="15" t="s">
        <v>8</v>
      </c>
      <c r="P808" s="15" t="s">
        <v>8</v>
      </c>
      <c r="S808" s="15" t="s">
        <v>8</v>
      </c>
      <c r="U808" s="15" t="s">
        <v>8</v>
      </c>
      <c r="X808" s="19" t="str">
        <f>HYPERLINK("http://yeinfo.com/family/I09066948.html", "WILLIAM MASSEY &lt;4&gt; 1290 EN-1338 EN ID:09066948")</f>
        <v>WILLIAM MASSEY &lt;4&gt; 1290 EN-1338 EN ID:09066948</v>
      </c>
      <c r="Y808" s="9"/>
      <c r="Z808" s="9"/>
      <c r="AA808" s="9"/>
      <c r="AB808" s="9"/>
    </row>
    <row r="809" spans="3:30" x14ac:dyDescent="0.35">
      <c r="C809" s="15" t="s">
        <v>8</v>
      </c>
      <c r="D809" s="15" t="s">
        <v>8</v>
      </c>
      <c r="H809" s="15" t="s">
        <v>8</v>
      </c>
      <c r="K809" s="15" t="s">
        <v>8</v>
      </c>
      <c r="L809" s="15" t="s">
        <v>8</v>
      </c>
      <c r="M809" s="15" t="s">
        <v>8</v>
      </c>
      <c r="N809" s="15" t="s">
        <v>8</v>
      </c>
      <c r="P809" s="15" t="s">
        <v>8</v>
      </c>
      <c r="S809" s="15" t="s">
        <v>8</v>
      </c>
      <c r="U809" s="15" t="s">
        <v>8</v>
      </c>
      <c r="X809" s="8" t="s">
        <v>3</v>
      </c>
      <c r="Y809" s="8" t="s">
        <v>6</v>
      </c>
    </row>
    <row r="810" spans="3:30" x14ac:dyDescent="0.35">
      <c r="C810" s="15" t="s">
        <v>8</v>
      </c>
      <c r="D810" s="15" t="s">
        <v>8</v>
      </c>
      <c r="H810" s="15" t="s">
        <v>8</v>
      </c>
      <c r="K810" s="15" t="s">
        <v>8</v>
      </c>
      <c r="L810" s="15" t="s">
        <v>8</v>
      </c>
      <c r="M810" s="15" t="s">
        <v>8</v>
      </c>
      <c r="N810" s="15" t="s">
        <v>8</v>
      </c>
      <c r="P810" s="15" t="s">
        <v>8</v>
      </c>
      <c r="S810" s="15" t="s">
        <v>8</v>
      </c>
      <c r="U810" s="15" t="s">
        <v>8</v>
      </c>
      <c r="X810" s="15" t="s">
        <v>8</v>
      </c>
      <c r="Y810" s="20" t="str">
        <f>HYPERLINK("http://yeinfo.com/family/I09066971.html", "MARGARET ROSTHERNE &lt;4&gt; 1242 EN-1340 EN ID:09066971")</f>
        <v>MARGARET ROSTHERNE &lt;4&gt; 1242 EN-1340 EN ID:09066971</v>
      </c>
      <c r="Z810" s="17"/>
      <c r="AA810" s="17"/>
      <c r="AB810" s="17"/>
      <c r="AC810" s="17"/>
    </row>
    <row r="811" spans="3:30" x14ac:dyDescent="0.35">
      <c r="C811" s="15" t="s">
        <v>8</v>
      </c>
      <c r="D811" s="15" t="s">
        <v>8</v>
      </c>
      <c r="H811" s="15" t="s">
        <v>8</v>
      </c>
      <c r="K811" s="15" t="s">
        <v>8</v>
      </c>
      <c r="L811" s="15" t="s">
        <v>8</v>
      </c>
      <c r="M811" s="15" t="s">
        <v>8</v>
      </c>
      <c r="N811" s="15" t="s">
        <v>8</v>
      </c>
      <c r="P811" s="15" t="s">
        <v>8</v>
      </c>
      <c r="S811" s="15" t="s">
        <v>8</v>
      </c>
      <c r="U811" s="15" t="s">
        <v>8</v>
      </c>
      <c r="X811" s="15" t="s">
        <v>8</v>
      </c>
    </row>
    <row r="812" spans="3:30" x14ac:dyDescent="0.35">
      <c r="C812" s="15" t="s">
        <v>8</v>
      </c>
      <c r="D812" s="15" t="s">
        <v>8</v>
      </c>
      <c r="H812" s="15" t="s">
        <v>8</v>
      </c>
      <c r="K812" s="15" t="s">
        <v>8</v>
      </c>
      <c r="L812" s="15" t="s">
        <v>8</v>
      </c>
      <c r="M812" s="15" t="s">
        <v>8</v>
      </c>
      <c r="N812" s="15" t="s">
        <v>8</v>
      </c>
      <c r="P812" s="15" t="s">
        <v>8</v>
      </c>
      <c r="S812" s="15" t="s">
        <v>8</v>
      </c>
      <c r="U812" s="15" t="s">
        <v>8</v>
      </c>
      <c r="W812" s="19" t="str">
        <f>HYPERLINK("http://yeinfo.com/family/I09066949.html", "HUGH MASSEY &lt;4&gt; 1320 EN-1371 EN ID:09066949")</f>
        <v>HUGH MASSEY &lt;4&gt; 1320 EN-1371 EN ID:09066949</v>
      </c>
      <c r="X812" s="9"/>
      <c r="Y812" s="9"/>
      <c r="Z812" s="9"/>
      <c r="AA812" s="9"/>
    </row>
    <row r="813" spans="3:30" x14ac:dyDescent="0.35">
      <c r="C813" s="15" t="s">
        <v>8</v>
      </c>
      <c r="D813" s="15" t="s">
        <v>8</v>
      </c>
      <c r="H813" s="15" t="s">
        <v>8</v>
      </c>
      <c r="K813" s="15" t="s">
        <v>8</v>
      </c>
      <c r="L813" s="15" t="s">
        <v>8</v>
      </c>
      <c r="M813" s="15" t="s">
        <v>8</v>
      </c>
      <c r="N813" s="15" t="s">
        <v>8</v>
      </c>
      <c r="P813" s="15" t="s">
        <v>8</v>
      </c>
      <c r="S813" s="15" t="s">
        <v>8</v>
      </c>
      <c r="U813" s="15" t="s">
        <v>8</v>
      </c>
      <c r="W813" s="8" t="s">
        <v>3</v>
      </c>
      <c r="X813" s="15" t="s">
        <v>8</v>
      </c>
    </row>
    <row r="814" spans="3:30" x14ac:dyDescent="0.35">
      <c r="C814" s="15" t="s">
        <v>8</v>
      </c>
      <c r="D814" s="15" t="s">
        <v>8</v>
      </c>
      <c r="H814" s="15" t="s">
        <v>8</v>
      </c>
      <c r="K814" s="15" t="s">
        <v>8</v>
      </c>
      <c r="L814" s="15" t="s">
        <v>8</v>
      </c>
      <c r="M814" s="15" t="s">
        <v>8</v>
      </c>
      <c r="N814" s="15" t="s">
        <v>8</v>
      </c>
      <c r="P814" s="15" t="s">
        <v>8</v>
      </c>
      <c r="S814" s="15" t="s">
        <v>8</v>
      </c>
      <c r="U814" s="15" t="s">
        <v>8</v>
      </c>
      <c r="W814" s="15" t="s">
        <v>8</v>
      </c>
      <c r="X814" s="15" t="s">
        <v>8</v>
      </c>
      <c r="Y814" s="19" t="str">
        <f>HYPERLINK("http://yeinfo.com/family/I09066941.html", "THOMAS LYMM LEIGH &lt;4&gt; 1263 EN-1317 EN ID:09066941")</f>
        <v>THOMAS LYMM LEIGH &lt;4&gt; 1263 EN-1317 EN ID:09066941</v>
      </c>
      <c r="Z814" s="9"/>
      <c r="AA814" s="9"/>
      <c r="AB814" s="9"/>
      <c r="AC814" s="9"/>
    </row>
    <row r="815" spans="3:30" x14ac:dyDescent="0.35">
      <c r="C815" s="15" t="s">
        <v>8</v>
      </c>
      <c r="D815" s="15" t="s">
        <v>8</v>
      </c>
      <c r="H815" s="15" t="s">
        <v>8</v>
      </c>
      <c r="K815" s="15" t="s">
        <v>8</v>
      </c>
      <c r="L815" s="15" t="s">
        <v>8</v>
      </c>
      <c r="M815" s="15" t="s">
        <v>8</v>
      </c>
      <c r="N815" s="15" t="s">
        <v>8</v>
      </c>
      <c r="P815" s="15" t="s">
        <v>8</v>
      </c>
      <c r="S815" s="15" t="s">
        <v>8</v>
      </c>
      <c r="U815" s="15" t="s">
        <v>8</v>
      </c>
      <c r="W815" s="15" t="s">
        <v>8</v>
      </c>
      <c r="X815" s="8" t="s">
        <v>6</v>
      </c>
      <c r="Y815" s="8" t="s">
        <v>3</v>
      </c>
    </row>
    <row r="816" spans="3:30" x14ac:dyDescent="0.35">
      <c r="C816" s="15" t="s">
        <v>8</v>
      </c>
      <c r="D816" s="15" t="s">
        <v>8</v>
      </c>
      <c r="H816" s="15" t="s">
        <v>8</v>
      </c>
      <c r="K816" s="15" t="s">
        <v>8</v>
      </c>
      <c r="L816" s="15" t="s">
        <v>8</v>
      </c>
      <c r="M816" s="15" t="s">
        <v>8</v>
      </c>
      <c r="N816" s="15" t="s">
        <v>8</v>
      </c>
      <c r="P816" s="15" t="s">
        <v>8</v>
      </c>
      <c r="S816" s="15" t="s">
        <v>8</v>
      </c>
      <c r="U816" s="15" t="s">
        <v>8</v>
      </c>
      <c r="W816" s="15" t="s">
        <v>8</v>
      </c>
      <c r="X816" s="20" t="str">
        <f>HYPERLINK("http://yeinfo.com/family/I09066942.html", "MARGERY LEIGH &lt;4&gt; 1280 EN-1338 EN ID:09066942")</f>
        <v>MARGERY LEIGH &lt;4&gt; 1280 EN-1338 EN ID:09066942</v>
      </c>
      <c r="Y816" s="17"/>
      <c r="Z816" s="17"/>
      <c r="AA816" s="17"/>
      <c r="AB816" s="17"/>
    </row>
    <row r="817" spans="3:31" x14ac:dyDescent="0.35">
      <c r="C817" s="15" t="s">
        <v>8</v>
      </c>
      <c r="D817" s="15" t="s">
        <v>8</v>
      </c>
      <c r="H817" s="15" t="s">
        <v>8</v>
      </c>
      <c r="K817" s="15" t="s">
        <v>8</v>
      </c>
      <c r="L817" s="15" t="s">
        <v>8</v>
      </c>
      <c r="M817" s="15" t="s">
        <v>8</v>
      </c>
      <c r="N817" s="15" t="s">
        <v>8</v>
      </c>
      <c r="P817" s="15" t="s">
        <v>8</v>
      </c>
      <c r="S817" s="15" t="s">
        <v>8</v>
      </c>
      <c r="U817" s="15" t="s">
        <v>8</v>
      </c>
      <c r="W817" s="15" t="s">
        <v>8</v>
      </c>
      <c r="Y817" s="8" t="s">
        <v>6</v>
      </c>
    </row>
    <row r="818" spans="3:31" x14ac:dyDescent="0.35">
      <c r="C818" s="15" t="s">
        <v>8</v>
      </c>
      <c r="D818" s="15" t="s">
        <v>8</v>
      </c>
      <c r="H818" s="15" t="s">
        <v>8</v>
      </c>
      <c r="K818" s="15" t="s">
        <v>8</v>
      </c>
      <c r="L818" s="15" t="s">
        <v>8</v>
      </c>
      <c r="M818" s="15" t="s">
        <v>8</v>
      </c>
      <c r="N818" s="15" t="s">
        <v>8</v>
      </c>
      <c r="P818" s="15" t="s">
        <v>8</v>
      </c>
      <c r="S818" s="15" t="s">
        <v>8</v>
      </c>
      <c r="U818" s="15" t="s">
        <v>8</v>
      </c>
      <c r="W818" s="15" t="s">
        <v>8</v>
      </c>
      <c r="Y818" s="20" t="str">
        <f>HYPERLINK("http://yeinfo.com/family/I09066940.html", "Mrs. CECILY\SYBIL LEIGH &lt;4&gt; 1250 EN-1305 EN ID:09066940")</f>
        <v>Mrs. CECILY\SYBIL LEIGH &lt;4&gt; 1250 EN-1305 EN ID:09066940</v>
      </c>
      <c r="Z818" s="17"/>
      <c r="AA818" s="17"/>
      <c r="AB818" s="17"/>
      <c r="AC818" s="17"/>
      <c r="AD818" s="17"/>
      <c r="AE818" s="17"/>
    </row>
    <row r="819" spans="3:31" x14ac:dyDescent="0.35">
      <c r="C819" s="15" t="s">
        <v>8</v>
      </c>
      <c r="D819" s="15" t="s">
        <v>8</v>
      </c>
      <c r="H819" s="15" t="s">
        <v>8</v>
      </c>
      <c r="K819" s="15" t="s">
        <v>8</v>
      </c>
      <c r="L819" s="15" t="s">
        <v>8</v>
      </c>
      <c r="M819" s="15" t="s">
        <v>8</v>
      </c>
      <c r="N819" s="15" t="s">
        <v>8</v>
      </c>
      <c r="P819" s="15" t="s">
        <v>8</v>
      </c>
      <c r="S819" s="15" t="s">
        <v>8</v>
      </c>
      <c r="U819" s="15" t="s">
        <v>8</v>
      </c>
      <c r="W819" s="15" t="s">
        <v>8</v>
      </c>
    </row>
    <row r="820" spans="3:31" x14ac:dyDescent="0.35">
      <c r="C820" s="15" t="s">
        <v>8</v>
      </c>
      <c r="D820" s="15" t="s">
        <v>8</v>
      </c>
      <c r="H820" s="15" t="s">
        <v>8</v>
      </c>
      <c r="K820" s="15" t="s">
        <v>8</v>
      </c>
      <c r="L820" s="15" t="s">
        <v>8</v>
      </c>
      <c r="M820" s="15" t="s">
        <v>8</v>
      </c>
      <c r="N820" s="15" t="s">
        <v>8</v>
      </c>
      <c r="P820" s="15" t="s">
        <v>8</v>
      </c>
      <c r="S820" s="15" t="s">
        <v>8</v>
      </c>
      <c r="U820" s="15" t="s">
        <v>8</v>
      </c>
      <c r="V820" s="19" t="str">
        <f>HYPERLINK("http://yeinfo.com/family/I09066952.html", "JOHN MASSEY &lt;2&gt; 1344 EN-1403 EN ID:09066951")</f>
        <v>JOHN MASSEY &lt;2&gt; 1344 EN-1403 EN ID:09066951</v>
      </c>
      <c r="W820" s="9"/>
      <c r="X820" s="9"/>
      <c r="Y820" s="9"/>
      <c r="Z820" s="9"/>
    </row>
    <row r="821" spans="3:31" x14ac:dyDescent="0.35">
      <c r="C821" s="15" t="s">
        <v>8</v>
      </c>
      <c r="D821" s="15" t="s">
        <v>8</v>
      </c>
      <c r="H821" s="15" t="s">
        <v>8</v>
      </c>
      <c r="K821" s="15" t="s">
        <v>8</v>
      </c>
      <c r="L821" s="15" t="s">
        <v>8</v>
      </c>
      <c r="M821" s="15" t="s">
        <v>8</v>
      </c>
      <c r="N821" s="15" t="s">
        <v>8</v>
      </c>
      <c r="P821" s="15" t="s">
        <v>8</v>
      </c>
      <c r="S821" s="15" t="s">
        <v>8</v>
      </c>
      <c r="U821" s="15" t="s">
        <v>8</v>
      </c>
      <c r="V821" s="8" t="s">
        <v>3</v>
      </c>
      <c r="W821" s="15" t="s">
        <v>8</v>
      </c>
    </row>
    <row r="822" spans="3:31" x14ac:dyDescent="0.35">
      <c r="C822" s="15" t="s">
        <v>8</v>
      </c>
      <c r="D822" s="15" t="s">
        <v>8</v>
      </c>
      <c r="H822" s="15" t="s">
        <v>8</v>
      </c>
      <c r="K822" s="15" t="s">
        <v>8</v>
      </c>
      <c r="L822" s="15" t="s">
        <v>8</v>
      </c>
      <c r="M822" s="15" t="s">
        <v>8</v>
      </c>
      <c r="N822" s="15" t="s">
        <v>8</v>
      </c>
      <c r="P822" s="15" t="s">
        <v>8</v>
      </c>
      <c r="S822" s="15" t="s">
        <v>8</v>
      </c>
      <c r="U822" s="15" t="s">
        <v>8</v>
      </c>
      <c r="V822" s="15" t="s">
        <v>8</v>
      </c>
      <c r="W822" s="15" t="s">
        <v>8</v>
      </c>
      <c r="X822" s="19" t="str">
        <f>HYPERLINK("http://yeinfo.com/family/I09067009.html", "JOHN WRENBURY &lt;4&gt; 1292 EN-1349 EN ID:09067009")</f>
        <v>JOHN WRENBURY &lt;4&gt; 1292 EN-1349 EN ID:09067009</v>
      </c>
      <c r="Y822" s="9"/>
      <c r="Z822" s="9"/>
      <c r="AA822" s="9"/>
      <c r="AB822" s="9"/>
    </row>
    <row r="823" spans="3:31" x14ac:dyDescent="0.35">
      <c r="C823" s="15" t="s">
        <v>8</v>
      </c>
      <c r="D823" s="15" t="s">
        <v>8</v>
      </c>
      <c r="H823" s="15" t="s">
        <v>8</v>
      </c>
      <c r="K823" s="15" t="s">
        <v>8</v>
      </c>
      <c r="L823" s="15" t="s">
        <v>8</v>
      </c>
      <c r="M823" s="15" t="s">
        <v>8</v>
      </c>
      <c r="N823" s="15" t="s">
        <v>8</v>
      </c>
      <c r="P823" s="15" t="s">
        <v>8</v>
      </c>
      <c r="S823" s="15" t="s">
        <v>8</v>
      </c>
      <c r="U823" s="15" t="s">
        <v>8</v>
      </c>
      <c r="V823" s="15" t="s">
        <v>8</v>
      </c>
      <c r="W823" s="8" t="s">
        <v>6</v>
      </c>
      <c r="X823" s="8" t="s">
        <v>3</v>
      </c>
    </row>
    <row r="824" spans="3:31" x14ac:dyDescent="0.35">
      <c r="C824" s="15" t="s">
        <v>8</v>
      </c>
      <c r="D824" s="15" t="s">
        <v>8</v>
      </c>
      <c r="H824" s="15" t="s">
        <v>8</v>
      </c>
      <c r="K824" s="15" t="s">
        <v>8</v>
      </c>
      <c r="L824" s="15" t="s">
        <v>8</v>
      </c>
      <c r="M824" s="15" t="s">
        <v>8</v>
      </c>
      <c r="N824" s="15" t="s">
        <v>8</v>
      </c>
      <c r="P824" s="15" t="s">
        <v>8</v>
      </c>
      <c r="S824" s="15" t="s">
        <v>8</v>
      </c>
      <c r="U824" s="15" t="s">
        <v>8</v>
      </c>
      <c r="V824" s="15" t="s">
        <v>8</v>
      </c>
      <c r="W824" s="20" t="str">
        <f>HYPERLINK("http://yeinfo.com/family/I09067010.html", "ALICE WRENBURY &lt;4&gt; 1320 EN-1370 EN ID:09067010")</f>
        <v>ALICE WRENBURY &lt;4&gt; 1320 EN-1370 EN ID:09067010</v>
      </c>
      <c r="X824" s="17"/>
      <c r="Y824" s="17"/>
      <c r="Z824" s="17"/>
      <c r="AA824" s="17"/>
    </row>
    <row r="825" spans="3:31" x14ac:dyDescent="0.35">
      <c r="C825" s="15" t="s">
        <v>8</v>
      </c>
      <c r="D825" s="15" t="s">
        <v>8</v>
      </c>
      <c r="H825" s="15" t="s">
        <v>8</v>
      </c>
      <c r="K825" s="15" t="s">
        <v>8</v>
      </c>
      <c r="L825" s="15" t="s">
        <v>8</v>
      </c>
      <c r="M825" s="15" t="s">
        <v>8</v>
      </c>
      <c r="N825" s="15" t="s">
        <v>8</v>
      </c>
      <c r="P825" s="15" t="s">
        <v>8</v>
      </c>
      <c r="S825" s="15" t="s">
        <v>8</v>
      </c>
      <c r="U825" s="15" t="s">
        <v>8</v>
      </c>
      <c r="V825" s="15" t="s">
        <v>8</v>
      </c>
      <c r="X825" s="8" t="s">
        <v>6</v>
      </c>
    </row>
    <row r="826" spans="3:31" x14ac:dyDescent="0.35">
      <c r="C826" s="15" t="s">
        <v>8</v>
      </c>
      <c r="D826" s="15" t="s">
        <v>8</v>
      </c>
      <c r="H826" s="15" t="s">
        <v>8</v>
      </c>
      <c r="K826" s="15" t="s">
        <v>8</v>
      </c>
      <c r="L826" s="15" t="s">
        <v>8</v>
      </c>
      <c r="M826" s="15" t="s">
        <v>8</v>
      </c>
      <c r="N826" s="15" t="s">
        <v>8</v>
      </c>
      <c r="P826" s="15" t="s">
        <v>8</v>
      </c>
      <c r="S826" s="15" t="s">
        <v>8</v>
      </c>
      <c r="U826" s="15" t="s">
        <v>8</v>
      </c>
      <c r="V826" s="15" t="s">
        <v>8</v>
      </c>
      <c r="X826" s="20" t="str">
        <f>HYPERLINK("http://yeinfo.com/family/I09066863.html", "ALICE AUDLEM &lt;4&gt; 1290 EN-1320 EN ID:09066863")</f>
        <v>ALICE AUDLEM &lt;4&gt; 1290 EN-1320 EN ID:09066863</v>
      </c>
      <c r="Y826" s="17"/>
      <c r="Z826" s="17"/>
      <c r="AA826" s="17"/>
      <c r="AB826" s="17"/>
    </row>
    <row r="827" spans="3:31" x14ac:dyDescent="0.35">
      <c r="C827" s="15" t="s">
        <v>8</v>
      </c>
      <c r="D827" s="15" t="s">
        <v>8</v>
      </c>
      <c r="H827" s="15" t="s">
        <v>8</v>
      </c>
      <c r="K827" s="15" t="s">
        <v>8</v>
      </c>
      <c r="L827" s="15" t="s">
        <v>8</v>
      </c>
      <c r="M827" s="15" t="s">
        <v>8</v>
      </c>
      <c r="N827" s="15" t="s">
        <v>8</v>
      </c>
      <c r="P827" s="15" t="s">
        <v>8</v>
      </c>
      <c r="S827" s="15" t="s">
        <v>8</v>
      </c>
      <c r="U827" s="8" t="s">
        <v>6</v>
      </c>
      <c r="V827" s="15" t="s">
        <v>8</v>
      </c>
    </row>
    <row r="828" spans="3:31" x14ac:dyDescent="0.35">
      <c r="C828" s="15" t="s">
        <v>8</v>
      </c>
      <c r="D828" s="15" t="s">
        <v>8</v>
      </c>
      <c r="H828" s="15" t="s">
        <v>8</v>
      </c>
      <c r="K828" s="15" t="s">
        <v>8</v>
      </c>
      <c r="L828" s="15" t="s">
        <v>8</v>
      </c>
      <c r="M828" s="15" t="s">
        <v>8</v>
      </c>
      <c r="N828" s="15" t="s">
        <v>8</v>
      </c>
      <c r="P828" s="15" t="s">
        <v>8</v>
      </c>
      <c r="S828" s="15" t="s">
        <v>8</v>
      </c>
      <c r="U828" s="20" t="str">
        <f>HYPERLINK("http://yeinfo.com/family/I09066954.html", "JOHANNA JOAN MASSEY &lt;2&gt; 1375 EN-1420 EN ID:09066952")</f>
        <v>JOHANNA JOAN MASSEY &lt;2&gt; 1375 EN-1420 EN ID:09066952</v>
      </c>
      <c r="V828" s="17"/>
      <c r="W828" s="17"/>
      <c r="X828" s="17"/>
      <c r="Y828" s="17"/>
    </row>
    <row r="829" spans="3:31" x14ac:dyDescent="0.35">
      <c r="C829" s="15" t="s">
        <v>8</v>
      </c>
      <c r="D829" s="15" t="s">
        <v>8</v>
      </c>
      <c r="H829" s="15" t="s">
        <v>8</v>
      </c>
      <c r="K829" s="15" t="s">
        <v>8</v>
      </c>
      <c r="L829" s="15" t="s">
        <v>8</v>
      </c>
      <c r="M829" s="15" t="s">
        <v>8</v>
      </c>
      <c r="N829" s="15" t="s">
        <v>8</v>
      </c>
      <c r="P829" s="15" t="s">
        <v>8</v>
      </c>
      <c r="S829" s="15" t="s">
        <v>8</v>
      </c>
      <c r="V829" s="15" t="s">
        <v>8</v>
      </c>
    </row>
    <row r="830" spans="3:31" x14ac:dyDescent="0.35">
      <c r="C830" s="15" t="s">
        <v>8</v>
      </c>
      <c r="D830" s="15" t="s">
        <v>8</v>
      </c>
      <c r="H830" s="15" t="s">
        <v>8</v>
      </c>
      <c r="K830" s="15" t="s">
        <v>8</v>
      </c>
      <c r="L830" s="15" t="s">
        <v>8</v>
      </c>
      <c r="M830" s="15" t="s">
        <v>8</v>
      </c>
      <c r="N830" s="15" t="s">
        <v>8</v>
      </c>
      <c r="P830" s="15" t="s">
        <v>8</v>
      </c>
      <c r="S830" s="15" t="s">
        <v>8</v>
      </c>
      <c r="V830" s="15" t="s">
        <v>8</v>
      </c>
      <c r="AA830" s="19" t="str">
        <f>HYPERLINK("http://yeinfo.com/family/I09067001.html", "RICHARD WORSLEY &lt;4&gt; 1218 EN-1292 NO ID:09066999")</f>
        <v>RICHARD WORSLEY &lt;4&gt; 1218 EN-1292 NO ID:09066999</v>
      </c>
      <c r="AB830" s="9"/>
      <c r="AC830" s="9"/>
      <c r="AD830" s="9"/>
      <c r="AE830" s="9"/>
    </row>
    <row r="831" spans="3:31" x14ac:dyDescent="0.35">
      <c r="C831" s="15" t="s">
        <v>8</v>
      </c>
      <c r="D831" s="15" t="s">
        <v>8</v>
      </c>
      <c r="H831" s="15" t="s">
        <v>8</v>
      </c>
      <c r="K831" s="15" t="s">
        <v>8</v>
      </c>
      <c r="L831" s="15" t="s">
        <v>8</v>
      </c>
      <c r="M831" s="15" t="s">
        <v>8</v>
      </c>
      <c r="N831" s="15" t="s">
        <v>8</v>
      </c>
      <c r="P831" s="15" t="s">
        <v>8</v>
      </c>
      <c r="S831" s="15" t="s">
        <v>8</v>
      </c>
      <c r="V831" s="15" t="s">
        <v>8</v>
      </c>
      <c r="AA831" s="8" t="s">
        <v>3</v>
      </c>
    </row>
    <row r="832" spans="3:31" x14ac:dyDescent="0.35">
      <c r="C832" s="15" t="s">
        <v>8</v>
      </c>
      <c r="D832" s="15" t="s">
        <v>8</v>
      </c>
      <c r="H832" s="15" t="s">
        <v>8</v>
      </c>
      <c r="K832" s="15" t="s">
        <v>8</v>
      </c>
      <c r="L832" s="15" t="s">
        <v>8</v>
      </c>
      <c r="M832" s="15" t="s">
        <v>8</v>
      </c>
      <c r="N832" s="15" t="s">
        <v>8</v>
      </c>
      <c r="P832" s="15" t="s">
        <v>8</v>
      </c>
      <c r="S832" s="15" t="s">
        <v>8</v>
      </c>
      <c r="V832" s="15" t="s">
        <v>8</v>
      </c>
      <c r="Z832" s="19" t="str">
        <f>HYPERLINK("http://yeinfo.com/family/I09067003.html", "HENRY WORSLEY &lt;4&gt; 1240 EN-1303 EN ID:09067001")</f>
        <v>HENRY WORSLEY &lt;4&gt; 1240 EN-1303 EN ID:09067001</v>
      </c>
      <c r="AA832" s="9"/>
      <c r="AB832" s="9"/>
      <c r="AC832" s="9"/>
      <c r="AD832" s="9"/>
    </row>
    <row r="833" spans="3:31" x14ac:dyDescent="0.35">
      <c r="C833" s="15" t="s">
        <v>8</v>
      </c>
      <c r="D833" s="15" t="s">
        <v>8</v>
      </c>
      <c r="H833" s="15" t="s">
        <v>8</v>
      </c>
      <c r="K833" s="15" t="s">
        <v>8</v>
      </c>
      <c r="L833" s="15" t="s">
        <v>8</v>
      </c>
      <c r="M833" s="15" t="s">
        <v>8</v>
      </c>
      <c r="N833" s="15" t="s">
        <v>8</v>
      </c>
      <c r="P833" s="15" t="s">
        <v>8</v>
      </c>
      <c r="S833" s="15" t="s">
        <v>8</v>
      </c>
      <c r="V833" s="15" t="s">
        <v>8</v>
      </c>
      <c r="Z833" s="8" t="s">
        <v>3</v>
      </c>
      <c r="AA833" s="8" t="s">
        <v>6</v>
      </c>
    </row>
    <row r="834" spans="3:31" x14ac:dyDescent="0.35">
      <c r="C834" s="15" t="s">
        <v>8</v>
      </c>
      <c r="D834" s="15" t="s">
        <v>8</v>
      </c>
      <c r="H834" s="15" t="s">
        <v>8</v>
      </c>
      <c r="K834" s="15" t="s">
        <v>8</v>
      </c>
      <c r="L834" s="15" t="s">
        <v>8</v>
      </c>
      <c r="M834" s="15" t="s">
        <v>8</v>
      </c>
      <c r="N834" s="15" t="s">
        <v>8</v>
      </c>
      <c r="P834" s="15" t="s">
        <v>8</v>
      </c>
      <c r="S834" s="15" t="s">
        <v>8</v>
      </c>
      <c r="V834" s="15" t="s">
        <v>8</v>
      </c>
      <c r="Z834" s="15" t="s">
        <v>8</v>
      </c>
      <c r="AA834" s="20" t="str">
        <f>HYPERLINK("http://yeinfo.com/family/I09066999.html", "MAUD WARDLEY &lt;4&gt; 1240 EN-1277 EN ID:09066998")</f>
        <v>MAUD WARDLEY &lt;4&gt; 1240 EN-1277 EN ID:09066998</v>
      </c>
      <c r="AB834" s="17"/>
      <c r="AC834" s="17"/>
      <c r="AD834" s="17"/>
      <c r="AE834" s="17"/>
    </row>
    <row r="835" spans="3:31" x14ac:dyDescent="0.35">
      <c r="C835" s="15" t="s">
        <v>8</v>
      </c>
      <c r="D835" s="15" t="s">
        <v>8</v>
      </c>
      <c r="H835" s="15" t="s">
        <v>8</v>
      </c>
      <c r="K835" s="15" t="s">
        <v>8</v>
      </c>
      <c r="L835" s="15" t="s">
        <v>8</v>
      </c>
      <c r="M835" s="15" t="s">
        <v>8</v>
      </c>
      <c r="N835" s="15" t="s">
        <v>8</v>
      </c>
      <c r="P835" s="15" t="s">
        <v>8</v>
      </c>
      <c r="S835" s="15" t="s">
        <v>8</v>
      </c>
      <c r="V835" s="15" t="s">
        <v>8</v>
      </c>
      <c r="Z835" s="15" t="s">
        <v>8</v>
      </c>
    </row>
    <row r="836" spans="3:31" x14ac:dyDescent="0.35">
      <c r="C836" s="15" t="s">
        <v>8</v>
      </c>
      <c r="D836" s="15" t="s">
        <v>8</v>
      </c>
      <c r="H836" s="15" t="s">
        <v>8</v>
      </c>
      <c r="K836" s="15" t="s">
        <v>8</v>
      </c>
      <c r="L836" s="15" t="s">
        <v>8</v>
      </c>
      <c r="M836" s="15" t="s">
        <v>8</v>
      </c>
      <c r="N836" s="15" t="s">
        <v>8</v>
      </c>
      <c r="P836" s="15" t="s">
        <v>8</v>
      </c>
      <c r="S836" s="15" t="s">
        <v>8</v>
      </c>
      <c r="V836" s="15" t="s">
        <v>8</v>
      </c>
      <c r="Y836" s="19" t="str">
        <f>HYPERLINK("http://yeinfo.com/family/I09067005.html", "RICHARD WORSLEY &lt;2&gt; 1265 EN-1334 EN ID:09067003")</f>
        <v>RICHARD WORSLEY &lt;2&gt; 1265 EN-1334 EN ID:09067003</v>
      </c>
      <c r="Z836" s="9"/>
      <c r="AA836" s="9"/>
      <c r="AB836" s="9"/>
      <c r="AC836" s="9"/>
    </row>
    <row r="837" spans="3:31" x14ac:dyDescent="0.35">
      <c r="C837" s="15" t="s">
        <v>8</v>
      </c>
      <c r="D837" s="15" t="s">
        <v>8</v>
      </c>
      <c r="H837" s="15" t="s">
        <v>8</v>
      </c>
      <c r="K837" s="15" t="s">
        <v>8</v>
      </c>
      <c r="L837" s="15" t="s">
        <v>8</v>
      </c>
      <c r="M837" s="15" t="s">
        <v>8</v>
      </c>
      <c r="N837" s="15" t="s">
        <v>8</v>
      </c>
      <c r="P837" s="15" t="s">
        <v>8</v>
      </c>
      <c r="S837" s="15" t="s">
        <v>8</v>
      </c>
      <c r="V837" s="15" t="s">
        <v>8</v>
      </c>
      <c r="Y837" s="8" t="s">
        <v>3</v>
      </c>
      <c r="Z837" s="8" t="s">
        <v>6</v>
      </c>
    </row>
    <row r="838" spans="3:31" x14ac:dyDescent="0.35">
      <c r="C838" s="15" t="s">
        <v>8</v>
      </c>
      <c r="D838" s="15" t="s">
        <v>8</v>
      </c>
      <c r="H838" s="15" t="s">
        <v>8</v>
      </c>
      <c r="K838" s="15" t="s">
        <v>8</v>
      </c>
      <c r="L838" s="15" t="s">
        <v>8</v>
      </c>
      <c r="M838" s="15" t="s">
        <v>8</v>
      </c>
      <c r="N838" s="15" t="s">
        <v>8</v>
      </c>
      <c r="P838" s="15" t="s">
        <v>8</v>
      </c>
      <c r="S838" s="15" t="s">
        <v>8</v>
      </c>
      <c r="V838" s="15" t="s">
        <v>8</v>
      </c>
      <c r="Y838" s="15" t="s">
        <v>8</v>
      </c>
      <c r="Z838" s="20" t="str">
        <f>HYPERLINK("http://yeinfo.com/family/I09066998.html", "Mrs. JOAN WORSLEY &lt;2&gt; 1240 EN-1293 EN ID:09067000")</f>
        <v>Mrs. JOAN WORSLEY &lt;2&gt; 1240 EN-1293 EN ID:09067000</v>
      </c>
      <c r="AA838" s="17"/>
      <c r="AB838" s="17"/>
      <c r="AC838" s="17"/>
      <c r="AD838" s="17"/>
    </row>
    <row r="839" spans="3:31" x14ac:dyDescent="0.35">
      <c r="C839" s="15" t="s">
        <v>8</v>
      </c>
      <c r="D839" s="15" t="s">
        <v>8</v>
      </c>
      <c r="H839" s="15" t="s">
        <v>8</v>
      </c>
      <c r="K839" s="15" t="s">
        <v>8</v>
      </c>
      <c r="L839" s="15" t="s">
        <v>8</v>
      </c>
      <c r="M839" s="15" t="s">
        <v>8</v>
      </c>
      <c r="N839" s="15" t="s">
        <v>8</v>
      </c>
      <c r="P839" s="15" t="s">
        <v>8</v>
      </c>
      <c r="S839" s="15" t="s">
        <v>8</v>
      </c>
      <c r="V839" s="15" t="s">
        <v>8</v>
      </c>
      <c r="Y839" s="15" t="s">
        <v>8</v>
      </c>
    </row>
    <row r="840" spans="3:31" x14ac:dyDescent="0.35">
      <c r="C840" s="15" t="s">
        <v>8</v>
      </c>
      <c r="D840" s="15" t="s">
        <v>8</v>
      </c>
      <c r="H840" s="15" t="s">
        <v>8</v>
      </c>
      <c r="K840" s="15" t="s">
        <v>8</v>
      </c>
      <c r="L840" s="15" t="s">
        <v>8</v>
      </c>
      <c r="M840" s="15" t="s">
        <v>8</v>
      </c>
      <c r="N840" s="15" t="s">
        <v>8</v>
      </c>
      <c r="P840" s="15" t="s">
        <v>8</v>
      </c>
      <c r="S840" s="15" t="s">
        <v>8</v>
      </c>
      <c r="V840" s="15" t="s">
        <v>8</v>
      </c>
      <c r="X840" s="19" t="str">
        <f>HYPERLINK("http://yeinfo.com/family/I09067006.html", "HENRY WORSLEY II &lt;2&gt; 1295 EN-1318 EN ID:09067005")</f>
        <v>HENRY WORSLEY II &lt;2&gt; 1295 EN-1318 EN ID:09067005</v>
      </c>
      <c r="Y840" s="9"/>
      <c r="Z840" s="9"/>
      <c r="AA840" s="9"/>
      <c r="AB840" s="9"/>
    </row>
    <row r="841" spans="3:31" x14ac:dyDescent="0.35">
      <c r="C841" s="15" t="s">
        <v>8</v>
      </c>
      <c r="D841" s="15" t="s">
        <v>8</v>
      </c>
      <c r="H841" s="15" t="s">
        <v>8</v>
      </c>
      <c r="K841" s="15" t="s">
        <v>8</v>
      </c>
      <c r="L841" s="15" t="s">
        <v>8</v>
      </c>
      <c r="M841" s="15" t="s">
        <v>8</v>
      </c>
      <c r="N841" s="15" t="s">
        <v>8</v>
      </c>
      <c r="P841" s="15" t="s">
        <v>8</v>
      </c>
      <c r="S841" s="15" t="s">
        <v>8</v>
      </c>
      <c r="V841" s="15" t="s">
        <v>8</v>
      </c>
      <c r="X841" s="8" t="s">
        <v>3</v>
      </c>
      <c r="Y841" s="8" t="s">
        <v>6</v>
      </c>
    </row>
    <row r="842" spans="3:31" x14ac:dyDescent="0.35">
      <c r="C842" s="15" t="s">
        <v>8</v>
      </c>
      <c r="D842" s="15" t="s">
        <v>8</v>
      </c>
      <c r="H842" s="15" t="s">
        <v>8</v>
      </c>
      <c r="K842" s="15" t="s">
        <v>8</v>
      </c>
      <c r="L842" s="15" t="s">
        <v>8</v>
      </c>
      <c r="M842" s="15" t="s">
        <v>8</v>
      </c>
      <c r="N842" s="15" t="s">
        <v>8</v>
      </c>
      <c r="P842" s="15" t="s">
        <v>8</v>
      </c>
      <c r="S842" s="15" t="s">
        <v>8</v>
      </c>
      <c r="V842" s="15" t="s">
        <v>8</v>
      </c>
      <c r="X842" s="15" t="s">
        <v>8</v>
      </c>
      <c r="Y842" s="20" t="str">
        <f>HYPERLINK("http://yeinfo.com/family/I09067000.html", "Mrs. MARGARET WORSLEY &lt;2&gt; 1275 EN-1295 EN ID:09067002")</f>
        <v>Mrs. MARGARET WORSLEY &lt;2&gt; 1275 EN-1295 EN ID:09067002</v>
      </c>
      <c r="Z842" s="17"/>
      <c r="AA842" s="17"/>
      <c r="AB842" s="17"/>
      <c r="AC842" s="17"/>
    </row>
    <row r="843" spans="3:31" x14ac:dyDescent="0.35">
      <c r="C843" s="15" t="s">
        <v>8</v>
      </c>
      <c r="D843" s="15" t="s">
        <v>8</v>
      </c>
      <c r="H843" s="15" t="s">
        <v>8</v>
      </c>
      <c r="K843" s="15" t="s">
        <v>8</v>
      </c>
      <c r="L843" s="15" t="s">
        <v>8</v>
      </c>
      <c r="M843" s="15" t="s">
        <v>8</v>
      </c>
      <c r="N843" s="15" t="s">
        <v>8</v>
      </c>
      <c r="P843" s="15" t="s">
        <v>8</v>
      </c>
      <c r="S843" s="15" t="s">
        <v>8</v>
      </c>
      <c r="V843" s="15" t="s">
        <v>8</v>
      </c>
      <c r="X843" s="15" t="s">
        <v>8</v>
      </c>
    </row>
    <row r="844" spans="3:31" x14ac:dyDescent="0.35">
      <c r="C844" s="15" t="s">
        <v>8</v>
      </c>
      <c r="D844" s="15" t="s">
        <v>8</v>
      </c>
      <c r="H844" s="15" t="s">
        <v>8</v>
      </c>
      <c r="K844" s="15" t="s">
        <v>8</v>
      </c>
      <c r="L844" s="15" t="s">
        <v>8</v>
      </c>
      <c r="M844" s="15" t="s">
        <v>8</v>
      </c>
      <c r="N844" s="15" t="s">
        <v>8</v>
      </c>
      <c r="P844" s="15" t="s">
        <v>8</v>
      </c>
      <c r="S844" s="15" t="s">
        <v>8</v>
      </c>
      <c r="V844" s="15" t="s">
        <v>8</v>
      </c>
      <c r="W844" s="19" t="str">
        <f>HYPERLINK("http://yeinfo.com/family/I09067008.html", "GEOFFREY WORSLEY &lt;2&gt; 1318 EN-1352 EN ID:09067006")</f>
        <v>GEOFFREY WORSLEY &lt;2&gt; 1318 EN-1352 EN ID:09067006</v>
      </c>
      <c r="X844" s="9"/>
      <c r="Y844" s="9"/>
      <c r="Z844" s="9"/>
      <c r="AA844" s="9"/>
    </row>
    <row r="845" spans="3:31" x14ac:dyDescent="0.35">
      <c r="C845" s="15" t="s">
        <v>8</v>
      </c>
      <c r="D845" s="15" t="s">
        <v>8</v>
      </c>
      <c r="H845" s="15" t="s">
        <v>8</v>
      </c>
      <c r="K845" s="15" t="s">
        <v>8</v>
      </c>
      <c r="L845" s="15" t="s">
        <v>8</v>
      </c>
      <c r="M845" s="15" t="s">
        <v>8</v>
      </c>
      <c r="N845" s="15" t="s">
        <v>8</v>
      </c>
      <c r="P845" s="15" t="s">
        <v>8</v>
      </c>
      <c r="S845" s="15" t="s">
        <v>8</v>
      </c>
      <c r="V845" s="15" t="s">
        <v>8</v>
      </c>
      <c r="W845" s="8" t="s">
        <v>3</v>
      </c>
      <c r="X845" s="15" t="s">
        <v>8</v>
      </c>
    </row>
    <row r="846" spans="3:31" x14ac:dyDescent="0.35">
      <c r="C846" s="15" t="s">
        <v>8</v>
      </c>
      <c r="D846" s="15" t="s">
        <v>8</v>
      </c>
      <c r="H846" s="15" t="s">
        <v>8</v>
      </c>
      <c r="K846" s="15" t="s">
        <v>8</v>
      </c>
      <c r="L846" s="15" t="s">
        <v>8</v>
      </c>
      <c r="M846" s="15" t="s">
        <v>8</v>
      </c>
      <c r="N846" s="15" t="s">
        <v>8</v>
      </c>
      <c r="P846" s="15" t="s">
        <v>8</v>
      </c>
      <c r="S846" s="15" t="s">
        <v>8</v>
      </c>
      <c r="V846" s="15" t="s">
        <v>8</v>
      </c>
      <c r="W846" s="15" t="s">
        <v>8</v>
      </c>
      <c r="X846" s="15" t="s">
        <v>8</v>
      </c>
      <c r="AA846" s="19" t="str">
        <f>HYPERLINK("http://yeinfo.com/family/I09066959.html", "ROBERT RADCLIFFE &lt;A&gt; 1208 EN-1239 EN ID:09066959")</f>
        <v>ROBERT RADCLIFFE &lt;A&gt; 1208 EN-1239 EN ID:09066959</v>
      </c>
      <c r="AB846" s="9"/>
      <c r="AC846" s="9"/>
      <c r="AD846" s="9"/>
      <c r="AE846" s="9"/>
    </row>
    <row r="847" spans="3:31" x14ac:dyDescent="0.35">
      <c r="C847" s="15" t="s">
        <v>8</v>
      </c>
      <c r="D847" s="15" t="s">
        <v>8</v>
      </c>
      <c r="H847" s="15" t="s">
        <v>8</v>
      </c>
      <c r="K847" s="15" t="s">
        <v>8</v>
      </c>
      <c r="L847" s="15" t="s">
        <v>8</v>
      </c>
      <c r="M847" s="15" t="s">
        <v>8</v>
      </c>
      <c r="N847" s="15" t="s">
        <v>8</v>
      </c>
      <c r="P847" s="15" t="s">
        <v>8</v>
      </c>
      <c r="S847" s="15" t="s">
        <v>8</v>
      </c>
      <c r="V847" s="15" t="s">
        <v>8</v>
      </c>
      <c r="W847" s="15" t="s">
        <v>8</v>
      </c>
      <c r="X847" s="15" t="s">
        <v>8</v>
      </c>
      <c r="AA847" s="8" t="s">
        <v>3</v>
      </c>
    </row>
    <row r="848" spans="3:31" x14ac:dyDescent="0.35">
      <c r="C848" s="15" t="s">
        <v>8</v>
      </c>
      <c r="D848" s="15" t="s">
        <v>8</v>
      </c>
      <c r="H848" s="15" t="s">
        <v>8</v>
      </c>
      <c r="K848" s="15" t="s">
        <v>8</v>
      </c>
      <c r="L848" s="15" t="s">
        <v>8</v>
      </c>
      <c r="M848" s="15" t="s">
        <v>8</v>
      </c>
      <c r="N848" s="15" t="s">
        <v>8</v>
      </c>
      <c r="P848" s="15" t="s">
        <v>8</v>
      </c>
      <c r="S848" s="15" t="s">
        <v>8</v>
      </c>
      <c r="V848" s="15" t="s">
        <v>8</v>
      </c>
      <c r="W848" s="15" t="s">
        <v>8</v>
      </c>
      <c r="X848" s="15" t="s">
        <v>8</v>
      </c>
      <c r="Z848" s="19" t="str">
        <f>HYPERLINK("http://yeinfo.com/family/I09066960.html", "RICHARD RADCLIFFE &lt;A&gt; 1224 EN-1326 EN ID:09066960")</f>
        <v>RICHARD RADCLIFFE &lt;A&gt; 1224 EN-1326 EN ID:09066960</v>
      </c>
      <c r="AA848" s="9"/>
      <c r="AB848" s="9"/>
      <c r="AC848" s="9"/>
      <c r="AD848" s="9"/>
    </row>
    <row r="849" spans="3:32" x14ac:dyDescent="0.35">
      <c r="C849" s="15" t="s">
        <v>8</v>
      </c>
      <c r="D849" s="15" t="s">
        <v>8</v>
      </c>
      <c r="H849" s="15" t="s">
        <v>8</v>
      </c>
      <c r="K849" s="15" t="s">
        <v>8</v>
      </c>
      <c r="L849" s="15" t="s">
        <v>8</v>
      </c>
      <c r="M849" s="15" t="s">
        <v>8</v>
      </c>
      <c r="N849" s="15" t="s">
        <v>8</v>
      </c>
      <c r="P849" s="15" t="s">
        <v>8</v>
      </c>
      <c r="S849" s="15" t="s">
        <v>8</v>
      </c>
      <c r="V849" s="15" t="s">
        <v>8</v>
      </c>
      <c r="W849" s="15" t="s">
        <v>8</v>
      </c>
      <c r="X849" s="15" t="s">
        <v>8</v>
      </c>
      <c r="Z849" s="8" t="s">
        <v>3</v>
      </c>
      <c r="AA849" s="8" t="s">
        <v>6</v>
      </c>
    </row>
    <row r="850" spans="3:32" x14ac:dyDescent="0.35">
      <c r="C850" s="15" t="s">
        <v>8</v>
      </c>
      <c r="D850" s="15" t="s">
        <v>8</v>
      </c>
      <c r="H850" s="15" t="s">
        <v>8</v>
      </c>
      <c r="K850" s="15" t="s">
        <v>8</v>
      </c>
      <c r="L850" s="15" t="s">
        <v>8</v>
      </c>
      <c r="M850" s="15" t="s">
        <v>8</v>
      </c>
      <c r="N850" s="15" t="s">
        <v>8</v>
      </c>
      <c r="P850" s="15" t="s">
        <v>8</v>
      </c>
      <c r="S850" s="15" t="s">
        <v>8</v>
      </c>
      <c r="V850" s="15" t="s">
        <v>8</v>
      </c>
      <c r="W850" s="15" t="s">
        <v>8</v>
      </c>
      <c r="X850" s="15" t="s">
        <v>8</v>
      </c>
      <c r="Z850" s="15" t="s">
        <v>8</v>
      </c>
      <c r="AA850" s="20" t="str">
        <f>HYPERLINK("http://yeinfo.com/family/I09066988.html", "AMBIL\AMABIL TRAFFORD &lt;A&gt; 1222 EN-1239 EN ID:09066988")</f>
        <v>AMBIL\AMABIL TRAFFORD &lt;A&gt; 1222 EN-1239 EN ID:09066988</v>
      </c>
      <c r="AB850" s="17"/>
      <c r="AC850" s="17"/>
      <c r="AD850" s="17"/>
      <c r="AE850" s="17"/>
      <c r="AF850" s="17"/>
    </row>
    <row r="851" spans="3:32" x14ac:dyDescent="0.35">
      <c r="C851" s="15" t="s">
        <v>8</v>
      </c>
      <c r="D851" s="15" t="s">
        <v>8</v>
      </c>
      <c r="H851" s="15" t="s">
        <v>8</v>
      </c>
      <c r="K851" s="15" t="s">
        <v>8</v>
      </c>
      <c r="L851" s="15" t="s">
        <v>8</v>
      </c>
      <c r="M851" s="15" t="s">
        <v>8</v>
      </c>
      <c r="N851" s="15" t="s">
        <v>8</v>
      </c>
      <c r="P851" s="15" t="s">
        <v>8</v>
      </c>
      <c r="S851" s="15" t="s">
        <v>8</v>
      </c>
      <c r="V851" s="15" t="s">
        <v>8</v>
      </c>
      <c r="W851" s="15" t="s">
        <v>8</v>
      </c>
      <c r="X851" s="15" t="s">
        <v>8</v>
      </c>
      <c r="Z851" s="15" t="s">
        <v>8</v>
      </c>
    </row>
    <row r="852" spans="3:32" x14ac:dyDescent="0.35">
      <c r="C852" s="15" t="s">
        <v>8</v>
      </c>
      <c r="D852" s="15" t="s">
        <v>8</v>
      </c>
      <c r="H852" s="15" t="s">
        <v>8</v>
      </c>
      <c r="K852" s="15" t="s">
        <v>8</v>
      </c>
      <c r="L852" s="15" t="s">
        <v>8</v>
      </c>
      <c r="M852" s="15" t="s">
        <v>8</v>
      </c>
      <c r="N852" s="15" t="s">
        <v>8</v>
      </c>
      <c r="P852" s="15" t="s">
        <v>8</v>
      </c>
      <c r="S852" s="15" t="s">
        <v>8</v>
      </c>
      <c r="V852" s="15" t="s">
        <v>8</v>
      </c>
      <c r="W852" s="15" t="s">
        <v>8</v>
      </c>
      <c r="X852" s="15" t="s">
        <v>8</v>
      </c>
      <c r="Y852" s="19" t="str">
        <f>HYPERLINK("http://yeinfo.com/family/I09066961.html", "WILLIAM RADCLIFFE &lt;8&gt; 1267 EN-1333 EN ID:09066961")</f>
        <v>WILLIAM RADCLIFFE &lt;8&gt; 1267 EN-1333 EN ID:09066961</v>
      </c>
      <c r="Z852" s="9"/>
      <c r="AA852" s="9"/>
      <c r="AB852" s="9"/>
      <c r="AC852" s="9"/>
    </row>
    <row r="853" spans="3:32" x14ac:dyDescent="0.35">
      <c r="C853" s="15" t="s">
        <v>8</v>
      </c>
      <c r="D853" s="15" t="s">
        <v>8</v>
      </c>
      <c r="H853" s="15" t="s">
        <v>8</v>
      </c>
      <c r="K853" s="15" t="s">
        <v>8</v>
      </c>
      <c r="L853" s="15" t="s">
        <v>8</v>
      </c>
      <c r="M853" s="15" t="s">
        <v>8</v>
      </c>
      <c r="N853" s="15" t="s">
        <v>8</v>
      </c>
      <c r="P853" s="15" t="s">
        <v>8</v>
      </c>
      <c r="S853" s="15" t="s">
        <v>8</v>
      </c>
      <c r="V853" s="15" t="s">
        <v>8</v>
      </c>
      <c r="W853" s="15" t="s">
        <v>8</v>
      </c>
      <c r="X853" s="15" t="s">
        <v>8</v>
      </c>
      <c r="Y853" s="8" t="s">
        <v>3</v>
      </c>
      <c r="Z853" s="15" t="s">
        <v>8</v>
      </c>
    </row>
    <row r="854" spans="3:32" x14ac:dyDescent="0.35">
      <c r="C854" s="15" t="s">
        <v>8</v>
      </c>
      <c r="D854" s="15" t="s">
        <v>8</v>
      </c>
      <c r="H854" s="15" t="s">
        <v>8</v>
      </c>
      <c r="K854" s="15" t="s">
        <v>8</v>
      </c>
      <c r="L854" s="15" t="s">
        <v>8</v>
      </c>
      <c r="M854" s="15" t="s">
        <v>8</v>
      </c>
      <c r="N854" s="15" t="s">
        <v>8</v>
      </c>
      <c r="P854" s="15" t="s">
        <v>8</v>
      </c>
      <c r="S854" s="15" t="s">
        <v>8</v>
      </c>
      <c r="V854" s="15" t="s">
        <v>8</v>
      </c>
      <c r="W854" s="15" t="s">
        <v>8</v>
      </c>
      <c r="X854" s="15" t="s">
        <v>8</v>
      </c>
      <c r="Y854" s="15" t="s">
        <v>8</v>
      </c>
      <c r="Z854" s="15" t="s">
        <v>8</v>
      </c>
      <c r="AA854" s="19" t="str">
        <f>HYPERLINK("http://yeinfo.com/family/I09066877.html", "HENRY\WILLIAM\ROBERT BOTELER &lt;A&gt; 1230 EN-1247 EN ID:09066877")</f>
        <v>HENRY\WILLIAM\ROBERT BOTELER &lt;A&gt; 1230 EN-1247 EN ID:09066877</v>
      </c>
      <c r="AB854" s="9"/>
      <c r="AC854" s="9"/>
      <c r="AD854" s="9"/>
      <c r="AE854" s="9"/>
      <c r="AF854" s="9"/>
    </row>
    <row r="855" spans="3:32" x14ac:dyDescent="0.35">
      <c r="C855" s="15" t="s">
        <v>8</v>
      </c>
      <c r="D855" s="15" t="s">
        <v>8</v>
      </c>
      <c r="H855" s="15" t="s">
        <v>8</v>
      </c>
      <c r="K855" s="15" t="s">
        <v>8</v>
      </c>
      <c r="L855" s="15" t="s">
        <v>8</v>
      </c>
      <c r="M855" s="15" t="s">
        <v>8</v>
      </c>
      <c r="N855" s="15" t="s">
        <v>8</v>
      </c>
      <c r="P855" s="15" t="s">
        <v>8</v>
      </c>
      <c r="S855" s="15" t="s">
        <v>8</v>
      </c>
      <c r="V855" s="15" t="s">
        <v>8</v>
      </c>
      <c r="W855" s="15" t="s">
        <v>8</v>
      </c>
      <c r="X855" s="15" t="s">
        <v>8</v>
      </c>
      <c r="Y855" s="15" t="s">
        <v>8</v>
      </c>
      <c r="Z855" s="8" t="s">
        <v>6</v>
      </c>
      <c r="AA855" s="8" t="s">
        <v>3</v>
      </c>
    </row>
    <row r="856" spans="3:32" x14ac:dyDescent="0.35">
      <c r="C856" s="15" t="s">
        <v>8</v>
      </c>
      <c r="D856" s="15" t="s">
        <v>8</v>
      </c>
      <c r="H856" s="15" t="s">
        <v>8</v>
      </c>
      <c r="K856" s="15" t="s">
        <v>8</v>
      </c>
      <c r="L856" s="15" t="s">
        <v>8</v>
      </c>
      <c r="M856" s="15" t="s">
        <v>8</v>
      </c>
      <c r="N856" s="15" t="s">
        <v>8</v>
      </c>
      <c r="P856" s="15" t="s">
        <v>8</v>
      </c>
      <c r="S856" s="15" t="s">
        <v>8</v>
      </c>
      <c r="V856" s="15" t="s">
        <v>8</v>
      </c>
      <c r="W856" s="15" t="s">
        <v>8</v>
      </c>
      <c r="X856" s="15" t="s">
        <v>8</v>
      </c>
      <c r="Y856" s="15" t="s">
        <v>8</v>
      </c>
      <c r="Z856" s="20" t="str">
        <f>HYPERLINK("http://yeinfo.com/family/I09066878.html", "JOAN\MARGARET BOTELER &lt;A&gt; 1232 EN-1267 EN ID:09066878")</f>
        <v>JOAN\MARGARET BOTELER &lt;A&gt; 1232 EN-1267 EN ID:09066878</v>
      </c>
      <c r="AA856" s="17"/>
      <c r="AB856" s="17"/>
      <c r="AC856" s="17"/>
      <c r="AD856" s="17"/>
      <c r="AE856" s="17"/>
    </row>
    <row r="857" spans="3:32" x14ac:dyDescent="0.35">
      <c r="C857" s="15" t="s">
        <v>8</v>
      </c>
      <c r="D857" s="15" t="s">
        <v>8</v>
      </c>
      <c r="H857" s="15" t="s">
        <v>8</v>
      </c>
      <c r="K857" s="15" t="s">
        <v>8</v>
      </c>
      <c r="L857" s="15" t="s">
        <v>8</v>
      </c>
      <c r="M857" s="15" t="s">
        <v>8</v>
      </c>
      <c r="N857" s="15" t="s">
        <v>8</v>
      </c>
      <c r="P857" s="15" t="s">
        <v>8</v>
      </c>
      <c r="S857" s="15" t="s">
        <v>8</v>
      </c>
      <c r="V857" s="15" t="s">
        <v>8</v>
      </c>
      <c r="W857" s="15" t="s">
        <v>8</v>
      </c>
      <c r="X857" s="15" t="s">
        <v>8</v>
      </c>
      <c r="Y857" s="15" t="s">
        <v>8</v>
      </c>
      <c r="AA857" s="8" t="s">
        <v>6</v>
      </c>
    </row>
    <row r="858" spans="3:32" x14ac:dyDescent="0.35">
      <c r="C858" s="15" t="s">
        <v>8</v>
      </c>
      <c r="D858" s="15" t="s">
        <v>8</v>
      </c>
      <c r="H858" s="15" t="s">
        <v>8</v>
      </c>
      <c r="K858" s="15" t="s">
        <v>8</v>
      </c>
      <c r="L858" s="15" t="s">
        <v>8</v>
      </c>
      <c r="M858" s="15" t="s">
        <v>8</v>
      </c>
      <c r="N858" s="15" t="s">
        <v>8</v>
      </c>
      <c r="P858" s="15" t="s">
        <v>8</v>
      </c>
      <c r="S858" s="15" t="s">
        <v>8</v>
      </c>
      <c r="V858" s="15" t="s">
        <v>8</v>
      </c>
      <c r="W858" s="15" t="s">
        <v>8</v>
      </c>
      <c r="X858" s="15" t="s">
        <v>8</v>
      </c>
      <c r="Y858" s="15" t="s">
        <v>8</v>
      </c>
      <c r="AA858" s="20" t="str">
        <f>HYPERLINK("http://yeinfo.com/family/I09066876.html", "Mrs. ISABELLA BOTELER &lt;A&gt; 1227 EN-1247 EN ID:09066876")</f>
        <v>Mrs. ISABELLA BOTELER &lt;A&gt; 1227 EN-1247 EN ID:09066876</v>
      </c>
      <c r="AB858" s="17"/>
      <c r="AC858" s="17"/>
      <c r="AD858" s="17"/>
      <c r="AE858" s="17"/>
    </row>
    <row r="859" spans="3:32" x14ac:dyDescent="0.35">
      <c r="C859" s="15" t="s">
        <v>8</v>
      </c>
      <c r="D859" s="15" t="s">
        <v>8</v>
      </c>
      <c r="H859" s="15" t="s">
        <v>8</v>
      </c>
      <c r="K859" s="15" t="s">
        <v>8</v>
      </c>
      <c r="L859" s="15" t="s">
        <v>8</v>
      </c>
      <c r="M859" s="15" t="s">
        <v>8</v>
      </c>
      <c r="N859" s="15" t="s">
        <v>8</v>
      </c>
      <c r="P859" s="15" t="s">
        <v>8</v>
      </c>
      <c r="S859" s="15" t="s">
        <v>8</v>
      </c>
      <c r="V859" s="15" t="s">
        <v>8</v>
      </c>
      <c r="W859" s="15" t="s">
        <v>8</v>
      </c>
      <c r="X859" s="8" t="s">
        <v>6</v>
      </c>
      <c r="Y859" s="15" t="s">
        <v>8</v>
      </c>
    </row>
    <row r="860" spans="3:32" x14ac:dyDescent="0.35">
      <c r="C860" s="15" t="s">
        <v>8</v>
      </c>
      <c r="D860" s="15" t="s">
        <v>8</v>
      </c>
      <c r="H860" s="15" t="s">
        <v>8</v>
      </c>
      <c r="K860" s="15" t="s">
        <v>8</v>
      </c>
      <c r="L860" s="15" t="s">
        <v>8</v>
      </c>
      <c r="M860" s="15" t="s">
        <v>8</v>
      </c>
      <c r="N860" s="15" t="s">
        <v>8</v>
      </c>
      <c r="P860" s="15" t="s">
        <v>8</v>
      </c>
      <c r="S860" s="15" t="s">
        <v>8</v>
      </c>
      <c r="V860" s="15" t="s">
        <v>8</v>
      </c>
      <c r="W860" s="15" t="s">
        <v>8</v>
      </c>
      <c r="X860" s="20" t="str">
        <f>HYPERLINK("http://yeinfo.com/family/I09067002.html", "ALICE RADCLIFFE &lt;2&gt; 1298 EN-1354 EN ID:09066962")</f>
        <v>ALICE RADCLIFFE &lt;2&gt; 1298 EN-1354 EN ID:09066962</v>
      </c>
      <c r="Y860" s="17"/>
      <c r="Z860" s="17"/>
      <c r="AA860" s="17"/>
      <c r="AB860" s="17"/>
    </row>
    <row r="861" spans="3:32" x14ac:dyDescent="0.35">
      <c r="C861" s="15" t="s">
        <v>8</v>
      </c>
      <c r="D861" s="15" t="s">
        <v>8</v>
      </c>
      <c r="H861" s="15" t="s">
        <v>8</v>
      </c>
      <c r="K861" s="15" t="s">
        <v>8</v>
      </c>
      <c r="L861" s="15" t="s">
        <v>8</v>
      </c>
      <c r="M861" s="15" t="s">
        <v>8</v>
      </c>
      <c r="N861" s="15" t="s">
        <v>8</v>
      </c>
      <c r="P861" s="15" t="s">
        <v>8</v>
      </c>
      <c r="S861" s="15" t="s">
        <v>8</v>
      </c>
      <c r="V861" s="15" t="s">
        <v>8</v>
      </c>
      <c r="W861" s="15" t="s">
        <v>8</v>
      </c>
      <c r="Y861" s="15" t="s">
        <v>8</v>
      </c>
    </row>
    <row r="862" spans="3:32" x14ac:dyDescent="0.35">
      <c r="C862" s="15" t="s">
        <v>8</v>
      </c>
      <c r="D862" s="15" t="s">
        <v>8</v>
      </c>
      <c r="H862" s="15" t="s">
        <v>8</v>
      </c>
      <c r="K862" s="15" t="s">
        <v>8</v>
      </c>
      <c r="L862" s="15" t="s">
        <v>8</v>
      </c>
      <c r="M862" s="15" t="s">
        <v>8</v>
      </c>
      <c r="N862" s="15" t="s">
        <v>8</v>
      </c>
      <c r="P862" s="15" t="s">
        <v>8</v>
      </c>
      <c r="S862" s="15" t="s">
        <v>8</v>
      </c>
      <c r="V862" s="15" t="s">
        <v>8</v>
      </c>
      <c r="W862" s="15" t="s">
        <v>8</v>
      </c>
      <c r="Y862" s="15" t="s">
        <v>8</v>
      </c>
      <c r="Z862" s="19" t="str">
        <f>HYPERLINK("http://yeinfo.com/family/I09066956.html", "ADAM PEASFURLONG &lt;8&gt; 1242 EN-1274 EN ID:09066956")</f>
        <v>ADAM PEASFURLONG &lt;8&gt; 1242 EN-1274 EN ID:09066956</v>
      </c>
      <c r="AA862" s="9"/>
      <c r="AB862" s="9"/>
      <c r="AC862" s="9"/>
      <c r="AD862" s="9"/>
    </row>
    <row r="863" spans="3:32" x14ac:dyDescent="0.35">
      <c r="C863" s="15" t="s">
        <v>8</v>
      </c>
      <c r="D863" s="15" t="s">
        <v>8</v>
      </c>
      <c r="H863" s="15" t="s">
        <v>8</v>
      </c>
      <c r="K863" s="15" t="s">
        <v>8</v>
      </c>
      <c r="L863" s="15" t="s">
        <v>8</v>
      </c>
      <c r="M863" s="15" t="s">
        <v>8</v>
      </c>
      <c r="N863" s="15" t="s">
        <v>8</v>
      </c>
      <c r="P863" s="15" t="s">
        <v>8</v>
      </c>
      <c r="S863" s="15" t="s">
        <v>8</v>
      </c>
      <c r="V863" s="15" t="s">
        <v>8</v>
      </c>
      <c r="W863" s="15" t="s">
        <v>8</v>
      </c>
      <c r="Y863" s="8" t="s">
        <v>6</v>
      </c>
      <c r="Z863" s="8" t="s">
        <v>3</v>
      </c>
    </row>
    <row r="864" spans="3:32" x14ac:dyDescent="0.35">
      <c r="C864" s="15" t="s">
        <v>8</v>
      </c>
      <c r="D864" s="15" t="s">
        <v>8</v>
      </c>
      <c r="H864" s="15" t="s">
        <v>8</v>
      </c>
      <c r="K864" s="15" t="s">
        <v>8</v>
      </c>
      <c r="L864" s="15" t="s">
        <v>8</v>
      </c>
      <c r="M864" s="15" t="s">
        <v>8</v>
      </c>
      <c r="N864" s="15" t="s">
        <v>8</v>
      </c>
      <c r="P864" s="15" t="s">
        <v>8</v>
      </c>
      <c r="S864" s="15" t="s">
        <v>8</v>
      </c>
      <c r="V864" s="15" t="s">
        <v>8</v>
      </c>
      <c r="W864" s="15" t="s">
        <v>8</v>
      </c>
      <c r="Y864" s="20" t="str">
        <f>HYPERLINK("http://yeinfo.com/family/I09066957.html", "MARGARET PEASFURLONG &lt;8&gt; 1244 EN-1290 EN ID:09066957")</f>
        <v>MARGARET PEASFURLONG &lt;8&gt; 1244 EN-1290 EN ID:09066957</v>
      </c>
      <c r="Z864" s="17"/>
      <c r="AA864" s="17"/>
      <c r="AB864" s="17"/>
      <c r="AC864" s="17"/>
    </row>
    <row r="865" spans="3:31" x14ac:dyDescent="0.35">
      <c r="C865" s="15" t="s">
        <v>8</v>
      </c>
      <c r="D865" s="15" t="s">
        <v>8</v>
      </c>
      <c r="H865" s="15" t="s">
        <v>8</v>
      </c>
      <c r="K865" s="15" t="s">
        <v>8</v>
      </c>
      <c r="L865" s="15" t="s">
        <v>8</v>
      </c>
      <c r="M865" s="15" t="s">
        <v>8</v>
      </c>
      <c r="N865" s="15" t="s">
        <v>8</v>
      </c>
      <c r="P865" s="15" t="s">
        <v>8</v>
      </c>
      <c r="S865" s="15" t="s">
        <v>8</v>
      </c>
      <c r="V865" s="15" t="s">
        <v>8</v>
      </c>
      <c r="W865" s="15" t="s">
        <v>8</v>
      </c>
      <c r="Z865" s="15" t="s">
        <v>8</v>
      </c>
    </row>
    <row r="866" spans="3:31" x14ac:dyDescent="0.35">
      <c r="C866" s="15" t="s">
        <v>8</v>
      </c>
      <c r="D866" s="15" t="s">
        <v>8</v>
      </c>
      <c r="H866" s="15" t="s">
        <v>8</v>
      </c>
      <c r="K866" s="15" t="s">
        <v>8</v>
      </c>
      <c r="L866" s="15" t="s">
        <v>8</v>
      </c>
      <c r="M866" s="15" t="s">
        <v>8</v>
      </c>
      <c r="N866" s="15" t="s">
        <v>8</v>
      </c>
      <c r="P866" s="15" t="s">
        <v>8</v>
      </c>
      <c r="S866" s="15" t="s">
        <v>8</v>
      </c>
      <c r="V866" s="15" t="s">
        <v>8</v>
      </c>
      <c r="W866" s="15" t="s">
        <v>8</v>
      </c>
      <c r="Z866" s="15" t="s">
        <v>8</v>
      </c>
      <c r="AA866" s="19" t="str">
        <f>HYPERLINK("http://yeinfo.com/family/I09066895.html", "GILBERT CULCHETH &lt;8&gt; 1205 EN-1246 EN ID:09066895")</f>
        <v>GILBERT CULCHETH &lt;8&gt; 1205 EN-1246 EN ID:09066895</v>
      </c>
      <c r="AB866" s="9"/>
      <c r="AC866" s="9"/>
      <c r="AD866" s="9"/>
      <c r="AE866" s="9"/>
    </row>
    <row r="867" spans="3:31" x14ac:dyDescent="0.35">
      <c r="C867" s="15" t="s">
        <v>8</v>
      </c>
      <c r="D867" s="15" t="s">
        <v>8</v>
      </c>
      <c r="H867" s="15" t="s">
        <v>8</v>
      </c>
      <c r="K867" s="15" t="s">
        <v>8</v>
      </c>
      <c r="L867" s="15" t="s">
        <v>8</v>
      </c>
      <c r="M867" s="15" t="s">
        <v>8</v>
      </c>
      <c r="N867" s="15" t="s">
        <v>8</v>
      </c>
      <c r="P867" s="15" t="s">
        <v>8</v>
      </c>
      <c r="S867" s="15" t="s">
        <v>8</v>
      </c>
      <c r="V867" s="15" t="s">
        <v>8</v>
      </c>
      <c r="W867" s="15" t="s">
        <v>8</v>
      </c>
      <c r="Z867" s="8" t="s">
        <v>6</v>
      </c>
      <c r="AA867" s="8" t="s">
        <v>3</v>
      </c>
    </row>
    <row r="868" spans="3:31" x14ac:dyDescent="0.35">
      <c r="C868" s="15" t="s">
        <v>8</v>
      </c>
      <c r="D868" s="15" t="s">
        <v>8</v>
      </c>
      <c r="H868" s="15" t="s">
        <v>8</v>
      </c>
      <c r="K868" s="15" t="s">
        <v>8</v>
      </c>
      <c r="L868" s="15" t="s">
        <v>8</v>
      </c>
      <c r="M868" s="15" t="s">
        <v>8</v>
      </c>
      <c r="N868" s="15" t="s">
        <v>8</v>
      </c>
      <c r="P868" s="15" t="s">
        <v>8</v>
      </c>
      <c r="S868" s="15" t="s">
        <v>8</v>
      </c>
      <c r="V868" s="15" t="s">
        <v>8</v>
      </c>
      <c r="W868" s="15" t="s">
        <v>8</v>
      </c>
      <c r="Z868" s="20" t="str">
        <f>HYPERLINK("http://yeinfo.com/family/I09066896.html", "ELIZABETH CULCHETH &lt;8&gt; 1215 EN-1274 EN ID:09066896")</f>
        <v>ELIZABETH CULCHETH &lt;8&gt; 1215 EN-1274 EN ID:09066896</v>
      </c>
      <c r="AA868" s="17"/>
      <c r="AB868" s="17"/>
      <c r="AC868" s="17"/>
      <c r="AD868" s="17"/>
    </row>
    <row r="869" spans="3:31" x14ac:dyDescent="0.35">
      <c r="C869" s="15" t="s">
        <v>8</v>
      </c>
      <c r="D869" s="15" t="s">
        <v>8</v>
      </c>
      <c r="H869" s="15" t="s">
        <v>8</v>
      </c>
      <c r="K869" s="15" t="s">
        <v>8</v>
      </c>
      <c r="L869" s="15" t="s">
        <v>8</v>
      </c>
      <c r="M869" s="15" t="s">
        <v>8</v>
      </c>
      <c r="N869" s="15" t="s">
        <v>8</v>
      </c>
      <c r="P869" s="15" t="s">
        <v>8</v>
      </c>
      <c r="S869" s="15" t="s">
        <v>8</v>
      </c>
      <c r="V869" s="15" t="s">
        <v>8</v>
      </c>
      <c r="W869" s="15" t="s">
        <v>8</v>
      </c>
      <c r="AA869" s="8" t="s">
        <v>6</v>
      </c>
    </row>
    <row r="870" spans="3:31" x14ac:dyDescent="0.35">
      <c r="C870" s="15" t="s">
        <v>8</v>
      </c>
      <c r="D870" s="15" t="s">
        <v>8</v>
      </c>
      <c r="H870" s="15" t="s">
        <v>8</v>
      </c>
      <c r="K870" s="15" t="s">
        <v>8</v>
      </c>
      <c r="L870" s="15" t="s">
        <v>8</v>
      </c>
      <c r="M870" s="15" t="s">
        <v>8</v>
      </c>
      <c r="N870" s="15" t="s">
        <v>8</v>
      </c>
      <c r="P870" s="15" t="s">
        <v>8</v>
      </c>
      <c r="S870" s="15" t="s">
        <v>8</v>
      </c>
      <c r="V870" s="15" t="s">
        <v>8</v>
      </c>
      <c r="W870" s="15" t="s">
        <v>8</v>
      </c>
      <c r="AA870" s="20" t="str">
        <f>HYPERLINK("http://yeinfo.com/family/I09066935.html", "CECILIA LATHOM &lt;8&gt; 1222 EN-1245 EN ID:09066935")</f>
        <v>CECILIA LATHOM &lt;8&gt; 1222 EN-1245 EN ID:09066935</v>
      </c>
      <c r="AB870" s="17"/>
      <c r="AC870" s="17"/>
      <c r="AD870" s="17"/>
      <c r="AE870" s="17"/>
    </row>
    <row r="871" spans="3:31" x14ac:dyDescent="0.35">
      <c r="C871" s="15" t="s">
        <v>8</v>
      </c>
      <c r="D871" s="15" t="s">
        <v>8</v>
      </c>
      <c r="H871" s="15" t="s">
        <v>8</v>
      </c>
      <c r="K871" s="15" t="s">
        <v>8</v>
      </c>
      <c r="L871" s="15" t="s">
        <v>8</v>
      </c>
      <c r="M871" s="15" t="s">
        <v>8</v>
      </c>
      <c r="N871" s="15" t="s">
        <v>8</v>
      </c>
      <c r="P871" s="15" t="s">
        <v>8</v>
      </c>
      <c r="S871" s="15" t="s">
        <v>8</v>
      </c>
      <c r="V871" s="8" t="s">
        <v>6</v>
      </c>
      <c r="W871" s="15" t="s">
        <v>8</v>
      </c>
    </row>
    <row r="872" spans="3:31" x14ac:dyDescent="0.35">
      <c r="C872" s="15" t="s">
        <v>8</v>
      </c>
      <c r="D872" s="15" t="s">
        <v>8</v>
      </c>
      <c r="H872" s="15" t="s">
        <v>8</v>
      </c>
      <c r="K872" s="15" t="s">
        <v>8</v>
      </c>
      <c r="L872" s="15" t="s">
        <v>8</v>
      </c>
      <c r="M872" s="15" t="s">
        <v>8</v>
      </c>
      <c r="N872" s="15" t="s">
        <v>8</v>
      </c>
      <c r="P872" s="15" t="s">
        <v>8</v>
      </c>
      <c r="S872" s="15" t="s">
        <v>8</v>
      </c>
      <c r="V872" s="20" t="str">
        <f>HYPERLINK("http://yeinfo.com/family/I09066951.html", "ALICE WORSLEY &lt;2&gt; 1352 EN-1427 EN ID:09067008")</f>
        <v>ALICE WORSLEY &lt;2&gt; 1352 EN-1427 EN ID:09067008</v>
      </c>
      <c r="W872" s="17"/>
      <c r="X872" s="17"/>
      <c r="Y872" s="17"/>
      <c r="Z872" s="17"/>
    </row>
    <row r="873" spans="3:31" x14ac:dyDescent="0.35">
      <c r="C873" s="15" t="s">
        <v>8</v>
      </c>
      <c r="D873" s="15" t="s">
        <v>8</v>
      </c>
      <c r="H873" s="15" t="s">
        <v>8</v>
      </c>
      <c r="K873" s="15" t="s">
        <v>8</v>
      </c>
      <c r="L873" s="15" t="s">
        <v>8</v>
      </c>
      <c r="M873" s="15" t="s">
        <v>8</v>
      </c>
      <c r="N873" s="15" t="s">
        <v>8</v>
      </c>
      <c r="P873" s="15" t="s">
        <v>8</v>
      </c>
      <c r="S873" s="15" t="s">
        <v>8</v>
      </c>
      <c r="W873" s="15" t="s">
        <v>8</v>
      </c>
    </row>
    <row r="874" spans="3:31" x14ac:dyDescent="0.35">
      <c r="C874" s="15" t="s">
        <v>8</v>
      </c>
      <c r="D874" s="15" t="s">
        <v>8</v>
      </c>
      <c r="H874" s="15" t="s">
        <v>8</v>
      </c>
      <c r="K874" s="15" t="s">
        <v>8</v>
      </c>
      <c r="L874" s="15" t="s">
        <v>8</v>
      </c>
      <c r="M874" s="15" t="s">
        <v>8</v>
      </c>
      <c r="N874" s="15" t="s">
        <v>8</v>
      </c>
      <c r="P874" s="15" t="s">
        <v>8</v>
      </c>
      <c r="S874" s="15" t="s">
        <v>8</v>
      </c>
      <c r="W874" s="15" t="s">
        <v>8</v>
      </c>
      <c r="AA874" s="19" t="str">
        <f>HYPERLINK("http://yeinfo.com/family/I09066911.html", "HUGH HAYDOCK &lt;2&gt; 1190 EN-1270 EN ID:09066910")</f>
        <v>HUGH HAYDOCK &lt;2&gt; 1190 EN-1270 EN ID:09066910</v>
      </c>
      <c r="AB874" s="9"/>
      <c r="AC874" s="9"/>
      <c r="AD874" s="9"/>
      <c r="AE874" s="9"/>
    </row>
    <row r="875" spans="3:31" x14ac:dyDescent="0.35">
      <c r="C875" s="15" t="s">
        <v>8</v>
      </c>
      <c r="D875" s="15" t="s">
        <v>8</v>
      </c>
      <c r="H875" s="15" t="s">
        <v>8</v>
      </c>
      <c r="K875" s="15" t="s">
        <v>8</v>
      </c>
      <c r="L875" s="15" t="s">
        <v>8</v>
      </c>
      <c r="M875" s="15" t="s">
        <v>8</v>
      </c>
      <c r="N875" s="15" t="s">
        <v>8</v>
      </c>
      <c r="P875" s="15" t="s">
        <v>8</v>
      </c>
      <c r="S875" s="15" t="s">
        <v>8</v>
      </c>
      <c r="W875" s="15" t="s">
        <v>8</v>
      </c>
      <c r="AA875" s="8" t="s">
        <v>3</v>
      </c>
    </row>
    <row r="876" spans="3:31" x14ac:dyDescent="0.35">
      <c r="C876" s="15" t="s">
        <v>8</v>
      </c>
      <c r="D876" s="15" t="s">
        <v>8</v>
      </c>
      <c r="H876" s="15" t="s">
        <v>8</v>
      </c>
      <c r="K876" s="15" t="s">
        <v>8</v>
      </c>
      <c r="L876" s="15" t="s">
        <v>8</v>
      </c>
      <c r="M876" s="15" t="s">
        <v>8</v>
      </c>
      <c r="N876" s="15" t="s">
        <v>8</v>
      </c>
      <c r="P876" s="15" t="s">
        <v>8</v>
      </c>
      <c r="S876" s="15" t="s">
        <v>8</v>
      </c>
      <c r="W876" s="15" t="s">
        <v>8</v>
      </c>
      <c r="Z876" s="19" t="str">
        <f>HYPERLINK("http://yeinfo.com/family/I09066913.html", "GILBERT HAYDOCK &lt;2&gt; 1210 EN-1299 EN ID:09066911")</f>
        <v>GILBERT HAYDOCK &lt;2&gt; 1210 EN-1299 EN ID:09066911</v>
      </c>
      <c r="AA876" s="9"/>
      <c r="AB876" s="9"/>
      <c r="AC876" s="9"/>
      <c r="AD876" s="9"/>
    </row>
    <row r="877" spans="3:31" x14ac:dyDescent="0.35">
      <c r="C877" s="15" t="s">
        <v>8</v>
      </c>
      <c r="D877" s="15" t="s">
        <v>8</v>
      </c>
      <c r="H877" s="15" t="s">
        <v>8</v>
      </c>
      <c r="K877" s="15" t="s">
        <v>8</v>
      </c>
      <c r="L877" s="15" t="s">
        <v>8</v>
      </c>
      <c r="M877" s="15" t="s">
        <v>8</v>
      </c>
      <c r="N877" s="15" t="s">
        <v>8</v>
      </c>
      <c r="P877" s="15" t="s">
        <v>8</v>
      </c>
      <c r="S877" s="15" t="s">
        <v>8</v>
      </c>
      <c r="W877" s="15" t="s">
        <v>8</v>
      </c>
      <c r="Z877" s="8" t="s">
        <v>3</v>
      </c>
      <c r="AA877" s="8" t="s">
        <v>6</v>
      </c>
    </row>
    <row r="878" spans="3:31" x14ac:dyDescent="0.35">
      <c r="C878" s="15" t="s">
        <v>8</v>
      </c>
      <c r="D878" s="15" t="s">
        <v>8</v>
      </c>
      <c r="H878" s="15" t="s">
        <v>8</v>
      </c>
      <c r="K878" s="15" t="s">
        <v>8</v>
      </c>
      <c r="L878" s="15" t="s">
        <v>8</v>
      </c>
      <c r="M878" s="15" t="s">
        <v>8</v>
      </c>
      <c r="N878" s="15" t="s">
        <v>8</v>
      </c>
      <c r="P878" s="15" t="s">
        <v>8</v>
      </c>
      <c r="S878" s="15" t="s">
        <v>8</v>
      </c>
      <c r="W878" s="15" t="s">
        <v>8</v>
      </c>
      <c r="Z878" s="15" t="s">
        <v>8</v>
      </c>
      <c r="AA878" s="20" t="str">
        <f>HYPERLINK("http://yeinfo.com/family/I09066910.html", "CECELIA LAUTON &lt;2&gt; 1195 EN-1225 EN ID:09066937")</f>
        <v>CECELIA LAUTON &lt;2&gt; 1195 EN-1225 EN ID:09066937</v>
      </c>
      <c r="AB878" s="17"/>
      <c r="AC878" s="17"/>
      <c r="AD878" s="17"/>
      <c r="AE878" s="17"/>
    </row>
    <row r="879" spans="3:31" x14ac:dyDescent="0.35">
      <c r="C879" s="15" t="s">
        <v>8</v>
      </c>
      <c r="D879" s="15" t="s">
        <v>8</v>
      </c>
      <c r="H879" s="15" t="s">
        <v>8</v>
      </c>
      <c r="K879" s="15" t="s">
        <v>8</v>
      </c>
      <c r="L879" s="15" t="s">
        <v>8</v>
      </c>
      <c r="M879" s="15" t="s">
        <v>8</v>
      </c>
      <c r="N879" s="15" t="s">
        <v>8</v>
      </c>
      <c r="P879" s="15" t="s">
        <v>8</v>
      </c>
      <c r="S879" s="15" t="s">
        <v>8</v>
      </c>
      <c r="W879" s="15" t="s">
        <v>8</v>
      </c>
      <c r="Z879" s="15" t="s">
        <v>8</v>
      </c>
    </row>
    <row r="880" spans="3:31" x14ac:dyDescent="0.35">
      <c r="C880" s="15" t="s">
        <v>8</v>
      </c>
      <c r="D880" s="15" t="s">
        <v>8</v>
      </c>
      <c r="H880" s="15" t="s">
        <v>8</v>
      </c>
      <c r="K880" s="15" t="s">
        <v>8</v>
      </c>
      <c r="L880" s="15" t="s">
        <v>8</v>
      </c>
      <c r="M880" s="15" t="s">
        <v>8</v>
      </c>
      <c r="N880" s="15" t="s">
        <v>8</v>
      </c>
      <c r="P880" s="15" t="s">
        <v>8</v>
      </c>
      <c r="S880" s="15" t="s">
        <v>8</v>
      </c>
      <c r="W880" s="15" t="s">
        <v>8</v>
      </c>
      <c r="Y880" s="19" t="str">
        <f>HYPERLINK("http://yeinfo.com/family/I09066914.html", "GILBERT HAYDOCK II &lt;2&gt; 1250 EN-1290 EN ID:09066913")</f>
        <v>GILBERT HAYDOCK II &lt;2&gt; 1250 EN-1290 EN ID:09066913</v>
      </c>
      <c r="Z880" s="9"/>
      <c r="AA880" s="9"/>
      <c r="AB880" s="9"/>
      <c r="AC880" s="9"/>
    </row>
    <row r="881" spans="3:31" x14ac:dyDescent="0.35">
      <c r="C881" s="15" t="s">
        <v>8</v>
      </c>
      <c r="D881" s="15" t="s">
        <v>8</v>
      </c>
      <c r="H881" s="15" t="s">
        <v>8</v>
      </c>
      <c r="K881" s="15" t="s">
        <v>8</v>
      </c>
      <c r="L881" s="15" t="s">
        <v>8</v>
      </c>
      <c r="M881" s="15" t="s">
        <v>8</v>
      </c>
      <c r="N881" s="15" t="s">
        <v>8</v>
      </c>
      <c r="P881" s="15" t="s">
        <v>8</v>
      </c>
      <c r="S881" s="15" t="s">
        <v>8</v>
      </c>
      <c r="W881" s="15" t="s">
        <v>8</v>
      </c>
      <c r="Y881" s="8" t="s">
        <v>3</v>
      </c>
      <c r="Z881" s="15" t="s">
        <v>8</v>
      </c>
    </row>
    <row r="882" spans="3:31" x14ac:dyDescent="0.35">
      <c r="C882" s="15" t="s">
        <v>8</v>
      </c>
      <c r="D882" s="15" t="s">
        <v>8</v>
      </c>
      <c r="H882" s="15" t="s">
        <v>8</v>
      </c>
      <c r="K882" s="15" t="s">
        <v>8</v>
      </c>
      <c r="L882" s="15" t="s">
        <v>8</v>
      </c>
      <c r="M882" s="15" t="s">
        <v>8</v>
      </c>
      <c r="N882" s="15" t="s">
        <v>8</v>
      </c>
      <c r="P882" s="15" t="s">
        <v>8</v>
      </c>
      <c r="S882" s="15" t="s">
        <v>8</v>
      </c>
      <c r="W882" s="15" t="s">
        <v>8</v>
      </c>
      <c r="Y882" s="15" t="s">
        <v>8</v>
      </c>
      <c r="Z882" s="15" t="s">
        <v>8</v>
      </c>
      <c r="AA882" s="19" t="str">
        <f>HYPERLINK("http://yeinfo.com/family/I09066871.html", "MATTHEW BOLD &lt;2&gt; 1190 EN-1242 EN ID:09066870")</f>
        <v>MATTHEW BOLD &lt;2&gt; 1190 EN-1242 EN ID:09066870</v>
      </c>
      <c r="AB882" s="9"/>
      <c r="AC882" s="9"/>
      <c r="AD882" s="9"/>
      <c r="AE882" s="9"/>
    </row>
    <row r="883" spans="3:31" x14ac:dyDescent="0.35">
      <c r="C883" s="15" t="s">
        <v>8</v>
      </c>
      <c r="D883" s="15" t="s">
        <v>8</v>
      </c>
      <c r="H883" s="15" t="s">
        <v>8</v>
      </c>
      <c r="K883" s="15" t="s">
        <v>8</v>
      </c>
      <c r="L883" s="15" t="s">
        <v>8</v>
      </c>
      <c r="M883" s="15" t="s">
        <v>8</v>
      </c>
      <c r="N883" s="15" t="s">
        <v>8</v>
      </c>
      <c r="P883" s="15" t="s">
        <v>8</v>
      </c>
      <c r="S883" s="15" t="s">
        <v>8</v>
      </c>
      <c r="W883" s="15" t="s">
        <v>8</v>
      </c>
      <c r="Y883" s="15" t="s">
        <v>8</v>
      </c>
      <c r="Z883" s="8" t="s">
        <v>6</v>
      </c>
      <c r="AA883" s="8" t="s">
        <v>3</v>
      </c>
    </row>
    <row r="884" spans="3:31" x14ac:dyDescent="0.35">
      <c r="C884" s="15" t="s">
        <v>8</v>
      </c>
      <c r="D884" s="15" t="s">
        <v>8</v>
      </c>
      <c r="H884" s="15" t="s">
        <v>8</v>
      </c>
      <c r="K884" s="15" t="s">
        <v>8</v>
      </c>
      <c r="L884" s="15" t="s">
        <v>8</v>
      </c>
      <c r="M884" s="15" t="s">
        <v>8</v>
      </c>
      <c r="N884" s="15" t="s">
        <v>8</v>
      </c>
      <c r="P884" s="15" t="s">
        <v>8</v>
      </c>
      <c r="S884" s="15" t="s">
        <v>8</v>
      </c>
      <c r="W884" s="15" t="s">
        <v>8</v>
      </c>
      <c r="Y884" s="15" t="s">
        <v>8</v>
      </c>
      <c r="Z884" s="20" t="str">
        <f>HYPERLINK("http://yeinfo.com/family/I09066937.html", "ALICIA BOLD &lt;2&gt; 1225 EN-1312 EN ID:09066871")</f>
        <v>ALICIA BOLD &lt;2&gt; 1225 EN-1312 EN ID:09066871</v>
      </c>
      <c r="AA884" s="17"/>
      <c r="AB884" s="17"/>
      <c r="AC884" s="17"/>
      <c r="AD884" s="17"/>
    </row>
    <row r="885" spans="3:31" x14ac:dyDescent="0.35">
      <c r="C885" s="15" t="s">
        <v>8</v>
      </c>
      <c r="D885" s="15" t="s">
        <v>8</v>
      </c>
      <c r="H885" s="15" t="s">
        <v>8</v>
      </c>
      <c r="K885" s="15" t="s">
        <v>8</v>
      </c>
      <c r="L885" s="15" t="s">
        <v>8</v>
      </c>
      <c r="M885" s="15" t="s">
        <v>8</v>
      </c>
      <c r="N885" s="15" t="s">
        <v>8</v>
      </c>
      <c r="P885" s="15" t="s">
        <v>8</v>
      </c>
      <c r="S885" s="15" t="s">
        <v>8</v>
      </c>
      <c r="W885" s="15" t="s">
        <v>8</v>
      </c>
      <c r="Y885" s="15" t="s">
        <v>8</v>
      </c>
      <c r="AA885" s="8" t="s">
        <v>6</v>
      </c>
    </row>
    <row r="886" spans="3:31" x14ac:dyDescent="0.35">
      <c r="C886" s="15" t="s">
        <v>8</v>
      </c>
      <c r="D886" s="15" t="s">
        <v>8</v>
      </c>
      <c r="H886" s="15" t="s">
        <v>8</v>
      </c>
      <c r="K886" s="15" t="s">
        <v>8</v>
      </c>
      <c r="L886" s="15" t="s">
        <v>8</v>
      </c>
      <c r="M886" s="15" t="s">
        <v>8</v>
      </c>
      <c r="N886" s="15" t="s">
        <v>8</v>
      </c>
      <c r="P886" s="15" t="s">
        <v>8</v>
      </c>
      <c r="S886" s="15" t="s">
        <v>8</v>
      </c>
      <c r="W886" s="15" t="s">
        <v>8</v>
      </c>
      <c r="Y886" s="15" t="s">
        <v>8</v>
      </c>
      <c r="AA886" s="20" t="str">
        <f>HYPERLINK("http://yeinfo.com/family/I09066870.html", "Mrs. AGNES BOLD &lt;2&gt; 1200 EN-1290 EN ID:09066869")</f>
        <v>Mrs. AGNES BOLD &lt;2&gt; 1200 EN-1290 EN ID:09066869</v>
      </c>
      <c r="AB886" s="17"/>
      <c r="AC886" s="17"/>
      <c r="AD886" s="17"/>
      <c r="AE886" s="17"/>
    </row>
    <row r="887" spans="3:31" x14ac:dyDescent="0.35">
      <c r="C887" s="15" t="s">
        <v>8</v>
      </c>
      <c r="D887" s="15" t="s">
        <v>8</v>
      </c>
      <c r="H887" s="15" t="s">
        <v>8</v>
      </c>
      <c r="K887" s="15" t="s">
        <v>8</v>
      </c>
      <c r="L887" s="15" t="s">
        <v>8</v>
      </c>
      <c r="M887" s="15" t="s">
        <v>8</v>
      </c>
      <c r="N887" s="15" t="s">
        <v>8</v>
      </c>
      <c r="P887" s="15" t="s">
        <v>8</v>
      </c>
      <c r="S887" s="15" t="s">
        <v>8</v>
      </c>
      <c r="W887" s="15" t="s">
        <v>8</v>
      </c>
      <c r="Y887" s="15" t="s">
        <v>8</v>
      </c>
    </row>
    <row r="888" spans="3:31" x14ac:dyDescent="0.35">
      <c r="C888" s="15" t="s">
        <v>8</v>
      </c>
      <c r="D888" s="15" t="s">
        <v>8</v>
      </c>
      <c r="H888" s="15" t="s">
        <v>8</v>
      </c>
      <c r="K888" s="15" t="s">
        <v>8</v>
      </c>
      <c r="L888" s="15" t="s">
        <v>8</v>
      </c>
      <c r="M888" s="15" t="s">
        <v>8</v>
      </c>
      <c r="N888" s="15" t="s">
        <v>8</v>
      </c>
      <c r="P888" s="15" t="s">
        <v>8</v>
      </c>
      <c r="S888" s="15" t="s">
        <v>8</v>
      </c>
      <c r="W888" s="15" t="s">
        <v>8</v>
      </c>
      <c r="X888" s="19" t="str">
        <f>HYPERLINK("http://yeinfo.com/family/I09066915.html", "GILBERT HAYDOCK III &lt;2&gt; 1290 EN-1322 EN ID:09066914")</f>
        <v>GILBERT HAYDOCK III &lt;2&gt; 1290 EN-1322 EN ID:09066914</v>
      </c>
      <c r="Y888" s="9"/>
      <c r="Z888" s="9"/>
      <c r="AA888" s="9"/>
      <c r="AB888" s="9"/>
    </row>
    <row r="889" spans="3:31" x14ac:dyDescent="0.35">
      <c r="C889" s="15" t="s">
        <v>8</v>
      </c>
      <c r="D889" s="15" t="s">
        <v>8</v>
      </c>
      <c r="H889" s="15" t="s">
        <v>8</v>
      </c>
      <c r="K889" s="15" t="s">
        <v>8</v>
      </c>
      <c r="L889" s="15" t="s">
        <v>8</v>
      </c>
      <c r="M889" s="15" t="s">
        <v>8</v>
      </c>
      <c r="N889" s="15" t="s">
        <v>8</v>
      </c>
      <c r="P889" s="15" t="s">
        <v>8</v>
      </c>
      <c r="S889" s="15" t="s">
        <v>8</v>
      </c>
      <c r="W889" s="15" t="s">
        <v>8</v>
      </c>
      <c r="X889" s="8" t="s">
        <v>3</v>
      </c>
      <c r="Y889" s="8" t="s">
        <v>6</v>
      </c>
    </row>
    <row r="890" spans="3:31" x14ac:dyDescent="0.35">
      <c r="C890" s="15" t="s">
        <v>8</v>
      </c>
      <c r="D890" s="15" t="s">
        <v>8</v>
      </c>
      <c r="H890" s="15" t="s">
        <v>8</v>
      </c>
      <c r="K890" s="15" t="s">
        <v>8</v>
      </c>
      <c r="L890" s="15" t="s">
        <v>8</v>
      </c>
      <c r="M890" s="15" t="s">
        <v>8</v>
      </c>
      <c r="N890" s="15" t="s">
        <v>8</v>
      </c>
      <c r="P890" s="15" t="s">
        <v>8</v>
      </c>
      <c r="S890" s="15" t="s">
        <v>8</v>
      </c>
      <c r="W890" s="15" t="s">
        <v>8</v>
      </c>
      <c r="X890" s="15" t="s">
        <v>8</v>
      </c>
      <c r="Y890" s="20" t="str">
        <f>HYPERLINK("http://yeinfo.com/family/I09066869.html", "Mrs. {_?_} HAYDOCK &lt;2&gt; 1265 EN-1290 EN ID:09066912")</f>
        <v>Mrs. {_?_} HAYDOCK &lt;2&gt; 1265 EN-1290 EN ID:09066912</v>
      </c>
      <c r="Z890" s="17"/>
      <c r="AA890" s="17"/>
      <c r="AB890" s="17"/>
      <c r="AC890" s="17"/>
    </row>
    <row r="891" spans="3:31" x14ac:dyDescent="0.35">
      <c r="C891" s="15" t="s">
        <v>8</v>
      </c>
      <c r="D891" s="15" t="s">
        <v>8</v>
      </c>
      <c r="H891" s="15" t="s">
        <v>8</v>
      </c>
      <c r="K891" s="15" t="s">
        <v>8</v>
      </c>
      <c r="L891" s="15" t="s">
        <v>8</v>
      </c>
      <c r="M891" s="15" t="s">
        <v>8</v>
      </c>
      <c r="N891" s="15" t="s">
        <v>8</v>
      </c>
      <c r="P891" s="15" t="s">
        <v>8</v>
      </c>
      <c r="S891" s="15" t="s">
        <v>8</v>
      </c>
      <c r="W891" s="8" t="s">
        <v>6</v>
      </c>
      <c r="X891" s="15" t="s">
        <v>8</v>
      </c>
    </row>
    <row r="892" spans="3:31" x14ac:dyDescent="0.35">
      <c r="C892" s="15" t="s">
        <v>8</v>
      </c>
      <c r="D892" s="15" t="s">
        <v>8</v>
      </c>
      <c r="H892" s="15" t="s">
        <v>8</v>
      </c>
      <c r="K892" s="15" t="s">
        <v>8</v>
      </c>
      <c r="L892" s="15" t="s">
        <v>8</v>
      </c>
      <c r="M892" s="15" t="s">
        <v>8</v>
      </c>
      <c r="N892" s="15" t="s">
        <v>8</v>
      </c>
      <c r="P892" s="15" t="s">
        <v>8</v>
      </c>
      <c r="S892" s="15" t="s">
        <v>8</v>
      </c>
      <c r="W892" s="20" t="str">
        <f>HYPERLINK("http://yeinfo.com/family/I09066962.html", "ANABEL HAYDOCK &lt;2&gt; 1322 EN-1390 EN ID:09066915")</f>
        <v>ANABEL HAYDOCK &lt;2&gt; 1322 EN-1390 EN ID:09066915</v>
      </c>
      <c r="X892" s="17"/>
      <c r="Y892" s="17"/>
      <c r="Z892" s="17"/>
      <c r="AA892" s="17"/>
    </row>
    <row r="893" spans="3:31" x14ac:dyDescent="0.35">
      <c r="C893" s="15" t="s">
        <v>8</v>
      </c>
      <c r="D893" s="15" t="s">
        <v>8</v>
      </c>
      <c r="H893" s="15" t="s">
        <v>8</v>
      </c>
      <c r="K893" s="15" t="s">
        <v>8</v>
      </c>
      <c r="L893" s="15" t="s">
        <v>8</v>
      </c>
      <c r="M893" s="15" t="s">
        <v>8</v>
      </c>
      <c r="N893" s="15" t="s">
        <v>8</v>
      </c>
      <c r="P893" s="15" t="s">
        <v>8</v>
      </c>
      <c r="S893" s="15" t="s">
        <v>8</v>
      </c>
      <c r="X893" s="15" t="s">
        <v>8</v>
      </c>
    </row>
    <row r="894" spans="3:31" x14ac:dyDescent="0.35">
      <c r="C894" s="15" t="s">
        <v>8</v>
      </c>
      <c r="D894" s="15" t="s">
        <v>8</v>
      </c>
      <c r="H894" s="15" t="s">
        <v>8</v>
      </c>
      <c r="K894" s="15" t="s">
        <v>8</v>
      </c>
      <c r="L894" s="15" t="s">
        <v>8</v>
      </c>
      <c r="M894" s="15" t="s">
        <v>8</v>
      </c>
      <c r="N894" s="15" t="s">
        <v>8</v>
      </c>
      <c r="P894" s="15" t="s">
        <v>8</v>
      </c>
      <c r="S894" s="15" t="s">
        <v>8</v>
      </c>
      <c r="X894" s="15" t="s">
        <v>8</v>
      </c>
      <c r="Y894" s="19" t="str">
        <f>HYPERLINK("http://yeinfo.com/family/I09066924.html", "WILLIAM HOUGHTON &lt;2&gt; 1277 EN-1320 EN ID:09066923")</f>
        <v>WILLIAM HOUGHTON &lt;2&gt; 1277 EN-1320 EN ID:09066923</v>
      </c>
      <c r="Z894" s="9"/>
      <c r="AA894" s="9"/>
      <c r="AB894" s="9"/>
      <c r="AC894" s="9"/>
    </row>
    <row r="895" spans="3:31" x14ac:dyDescent="0.35">
      <c r="C895" s="15" t="s">
        <v>8</v>
      </c>
      <c r="D895" s="15" t="s">
        <v>8</v>
      </c>
      <c r="H895" s="15" t="s">
        <v>8</v>
      </c>
      <c r="K895" s="15" t="s">
        <v>8</v>
      </c>
      <c r="L895" s="15" t="s">
        <v>8</v>
      </c>
      <c r="M895" s="15" t="s">
        <v>8</v>
      </c>
      <c r="N895" s="15" t="s">
        <v>8</v>
      </c>
      <c r="P895" s="15" t="s">
        <v>8</v>
      </c>
      <c r="S895" s="15" t="s">
        <v>8</v>
      </c>
      <c r="X895" s="8" t="s">
        <v>6</v>
      </c>
      <c r="Y895" s="8" t="s">
        <v>3</v>
      </c>
    </row>
    <row r="896" spans="3:31" x14ac:dyDescent="0.35">
      <c r="C896" s="15" t="s">
        <v>8</v>
      </c>
      <c r="D896" s="15" t="s">
        <v>8</v>
      </c>
      <c r="H896" s="15" t="s">
        <v>8</v>
      </c>
      <c r="K896" s="15" t="s">
        <v>8</v>
      </c>
      <c r="L896" s="15" t="s">
        <v>8</v>
      </c>
      <c r="M896" s="15" t="s">
        <v>8</v>
      </c>
      <c r="N896" s="15" t="s">
        <v>8</v>
      </c>
      <c r="P896" s="15" t="s">
        <v>8</v>
      </c>
      <c r="S896" s="15" t="s">
        <v>8</v>
      </c>
      <c r="X896" s="20" t="str">
        <f>HYPERLINK("http://yeinfo.com/family/I09066912.html", "EMMA HOUGHTON &lt;2&gt; 1303 EN-1332 EN ID:09066924")</f>
        <v>EMMA HOUGHTON &lt;2&gt; 1303 EN-1332 EN ID:09066924</v>
      </c>
      <c r="Y896" s="17"/>
      <c r="Z896" s="17"/>
      <c r="AA896" s="17"/>
      <c r="AB896" s="17"/>
    </row>
    <row r="897" spans="3:30" x14ac:dyDescent="0.35">
      <c r="C897" s="15" t="s">
        <v>8</v>
      </c>
      <c r="D897" s="15" t="s">
        <v>8</v>
      </c>
      <c r="H897" s="15" t="s">
        <v>8</v>
      </c>
      <c r="K897" s="15" t="s">
        <v>8</v>
      </c>
      <c r="L897" s="15" t="s">
        <v>8</v>
      </c>
      <c r="M897" s="15" t="s">
        <v>8</v>
      </c>
      <c r="N897" s="15" t="s">
        <v>8</v>
      </c>
      <c r="P897" s="15" t="s">
        <v>8</v>
      </c>
      <c r="S897" s="15" t="s">
        <v>8</v>
      </c>
      <c r="Y897" s="8" t="s">
        <v>6</v>
      </c>
    </row>
    <row r="898" spans="3:30" x14ac:dyDescent="0.35">
      <c r="C898" s="15" t="s">
        <v>8</v>
      </c>
      <c r="D898" s="15" t="s">
        <v>8</v>
      </c>
      <c r="H898" s="15" t="s">
        <v>8</v>
      </c>
      <c r="K898" s="15" t="s">
        <v>8</v>
      </c>
      <c r="L898" s="15" t="s">
        <v>8</v>
      </c>
      <c r="M898" s="15" t="s">
        <v>8</v>
      </c>
      <c r="N898" s="15" t="s">
        <v>8</v>
      </c>
      <c r="P898" s="15" t="s">
        <v>8</v>
      </c>
      <c r="S898" s="15" t="s">
        <v>8</v>
      </c>
      <c r="Y898" s="20" t="str">
        <f>HYPERLINK("http://yeinfo.com/family/I09066923.html", "Mrs. {_?_} HOUGHTON &lt;2&gt; 1280 EN-1303 EN ID:09066922")</f>
        <v>Mrs. {_?_} HOUGHTON &lt;2&gt; 1280 EN-1303 EN ID:09066922</v>
      </c>
      <c r="Z898" s="17"/>
      <c r="AA898" s="17"/>
      <c r="AB898" s="17"/>
      <c r="AC898" s="17"/>
    </row>
    <row r="899" spans="3:30" x14ac:dyDescent="0.35">
      <c r="C899" s="15" t="s">
        <v>8</v>
      </c>
      <c r="D899" s="15" t="s">
        <v>8</v>
      </c>
      <c r="H899" s="15" t="s">
        <v>8</v>
      </c>
      <c r="K899" s="15" t="s">
        <v>8</v>
      </c>
      <c r="L899" s="15" t="s">
        <v>8</v>
      </c>
      <c r="M899" s="15" t="s">
        <v>8</v>
      </c>
      <c r="N899" s="15" t="s">
        <v>8</v>
      </c>
      <c r="P899" s="15" t="s">
        <v>8</v>
      </c>
      <c r="S899" s="15" t="s">
        <v>8</v>
      </c>
    </row>
    <row r="900" spans="3:30" x14ac:dyDescent="0.35">
      <c r="C900" s="15" t="s">
        <v>8</v>
      </c>
      <c r="D900" s="15" t="s">
        <v>8</v>
      </c>
      <c r="H900" s="15" t="s">
        <v>8</v>
      </c>
      <c r="K900" s="15" t="s">
        <v>8</v>
      </c>
      <c r="L900" s="15" t="s">
        <v>8</v>
      </c>
      <c r="M900" s="15" t="s">
        <v>8</v>
      </c>
      <c r="N900" s="15" t="s">
        <v>8</v>
      </c>
      <c r="P900" s="15" t="s">
        <v>8</v>
      </c>
      <c r="R900" s="19" t="str">
        <f>HYPERLINK("http://yeinfo.com/family/I09041430.html", "EDMUND TRAFFORD &lt;2&gt; 1445 EN-1513 EN ID:09066987")</f>
        <v>EDMUND TRAFFORD &lt;2&gt; 1445 EN-1513 EN ID:09066987</v>
      </c>
      <c r="S900" s="9"/>
      <c r="T900" s="9"/>
      <c r="U900" s="9"/>
      <c r="V900" s="9"/>
    </row>
    <row r="901" spans="3:30" x14ac:dyDescent="0.35">
      <c r="C901" s="15" t="s">
        <v>8</v>
      </c>
      <c r="D901" s="15" t="s">
        <v>8</v>
      </c>
      <c r="H901" s="15" t="s">
        <v>8</v>
      </c>
      <c r="K901" s="15" t="s">
        <v>8</v>
      </c>
      <c r="L901" s="15" t="s">
        <v>8</v>
      </c>
      <c r="M901" s="15" t="s">
        <v>8</v>
      </c>
      <c r="N901" s="15" t="s">
        <v>8</v>
      </c>
      <c r="P901" s="15" t="s">
        <v>8</v>
      </c>
      <c r="R901" s="8" t="s">
        <v>3</v>
      </c>
      <c r="S901" s="15" t="s">
        <v>8</v>
      </c>
    </row>
    <row r="902" spans="3:30" x14ac:dyDescent="0.35">
      <c r="C902" s="15" t="s">
        <v>8</v>
      </c>
      <c r="D902" s="15" t="s">
        <v>8</v>
      </c>
      <c r="H902" s="15" t="s">
        <v>8</v>
      </c>
      <c r="K902" s="15" t="s">
        <v>8</v>
      </c>
      <c r="L902" s="15" t="s">
        <v>8</v>
      </c>
      <c r="M902" s="15" t="s">
        <v>8</v>
      </c>
      <c r="N902" s="15" t="s">
        <v>8</v>
      </c>
      <c r="P902" s="15" t="s">
        <v>8</v>
      </c>
      <c r="R902" s="15" t="s">
        <v>8</v>
      </c>
      <c r="S902" s="15" t="s">
        <v>8</v>
      </c>
      <c r="X902" s="19" t="str">
        <f>HYPERLINK("http://yeinfo.com/family/I09066858.html", "ROBERT ASHTON &lt;2&gt; 1303 EN-1321 EN ID:09066857")</f>
        <v>ROBERT ASHTON &lt;2&gt; 1303 EN-1321 EN ID:09066857</v>
      </c>
      <c r="Y902" s="9"/>
      <c r="Z902" s="9"/>
      <c r="AA902" s="9"/>
      <c r="AB902" s="9"/>
    </row>
    <row r="903" spans="3:30" x14ac:dyDescent="0.35">
      <c r="C903" s="15" t="s">
        <v>8</v>
      </c>
      <c r="D903" s="15" t="s">
        <v>8</v>
      </c>
      <c r="H903" s="15" t="s">
        <v>8</v>
      </c>
      <c r="K903" s="15" t="s">
        <v>8</v>
      </c>
      <c r="L903" s="15" t="s">
        <v>8</v>
      </c>
      <c r="M903" s="15" t="s">
        <v>8</v>
      </c>
      <c r="N903" s="15" t="s">
        <v>8</v>
      </c>
      <c r="P903" s="15" t="s">
        <v>8</v>
      </c>
      <c r="R903" s="15" t="s">
        <v>8</v>
      </c>
      <c r="S903" s="15" t="s">
        <v>8</v>
      </c>
      <c r="X903" s="8" t="s">
        <v>3</v>
      </c>
    </row>
    <row r="904" spans="3:30" x14ac:dyDescent="0.35">
      <c r="C904" s="15" t="s">
        <v>8</v>
      </c>
      <c r="D904" s="15" t="s">
        <v>8</v>
      </c>
      <c r="H904" s="15" t="s">
        <v>8</v>
      </c>
      <c r="K904" s="15" t="s">
        <v>8</v>
      </c>
      <c r="L904" s="15" t="s">
        <v>8</v>
      </c>
      <c r="M904" s="15" t="s">
        <v>8</v>
      </c>
      <c r="N904" s="15" t="s">
        <v>8</v>
      </c>
      <c r="P904" s="15" t="s">
        <v>8</v>
      </c>
      <c r="R904" s="15" t="s">
        <v>8</v>
      </c>
      <c r="S904" s="15" t="s">
        <v>8</v>
      </c>
      <c r="W904" s="19" t="str">
        <f>HYPERLINK("http://yeinfo.com/family/I09066859.html", "THOMAS ASHTON II &lt;2&gt; 1306 EN-1354 EN ID:09066858")</f>
        <v>THOMAS ASHTON II &lt;2&gt; 1306 EN-1354 EN ID:09066858</v>
      </c>
      <c r="X904" s="9"/>
      <c r="Y904" s="9"/>
      <c r="Z904" s="9"/>
      <c r="AA904" s="9"/>
    </row>
    <row r="905" spans="3:30" x14ac:dyDescent="0.35">
      <c r="C905" s="15" t="s">
        <v>8</v>
      </c>
      <c r="D905" s="15" t="s">
        <v>8</v>
      </c>
      <c r="H905" s="15" t="s">
        <v>8</v>
      </c>
      <c r="K905" s="15" t="s">
        <v>8</v>
      </c>
      <c r="L905" s="15" t="s">
        <v>8</v>
      </c>
      <c r="M905" s="15" t="s">
        <v>8</v>
      </c>
      <c r="N905" s="15" t="s">
        <v>8</v>
      </c>
      <c r="P905" s="15" t="s">
        <v>8</v>
      </c>
      <c r="R905" s="15" t="s">
        <v>8</v>
      </c>
      <c r="S905" s="15" t="s">
        <v>8</v>
      </c>
      <c r="W905" s="8" t="s">
        <v>3</v>
      </c>
      <c r="X905" s="15" t="s">
        <v>8</v>
      </c>
    </row>
    <row r="906" spans="3:30" x14ac:dyDescent="0.35">
      <c r="C906" s="15" t="s">
        <v>8</v>
      </c>
      <c r="D906" s="15" t="s">
        <v>8</v>
      </c>
      <c r="H906" s="15" t="s">
        <v>8</v>
      </c>
      <c r="K906" s="15" t="s">
        <v>8</v>
      </c>
      <c r="L906" s="15" t="s">
        <v>8</v>
      </c>
      <c r="M906" s="15" t="s">
        <v>8</v>
      </c>
      <c r="N906" s="15" t="s">
        <v>8</v>
      </c>
      <c r="P906" s="15" t="s">
        <v>8</v>
      </c>
      <c r="R906" s="15" t="s">
        <v>8</v>
      </c>
      <c r="S906" s="15" t="s">
        <v>8</v>
      </c>
      <c r="W906" s="15" t="s">
        <v>8</v>
      </c>
      <c r="X906" s="15" t="s">
        <v>8</v>
      </c>
      <c r="Z906" s="19" t="str">
        <f>HYPERLINK("http://yeinfo.com/family/I09066908.html", "RALPH GORGES II &lt;2&gt; 1254 EN-1297 FR ID:09066907")</f>
        <v>RALPH GORGES II &lt;2&gt; 1254 EN-1297 FR ID:09066907</v>
      </c>
      <c r="AA906" s="9"/>
      <c r="AB906" s="9"/>
      <c r="AC906" s="9"/>
      <c r="AD906" s="9"/>
    </row>
    <row r="907" spans="3:30" x14ac:dyDescent="0.35">
      <c r="C907" s="15" t="s">
        <v>8</v>
      </c>
      <c r="D907" s="15" t="s">
        <v>8</v>
      </c>
      <c r="H907" s="15" t="s">
        <v>8</v>
      </c>
      <c r="K907" s="15" t="s">
        <v>8</v>
      </c>
      <c r="L907" s="15" t="s">
        <v>8</v>
      </c>
      <c r="M907" s="15" t="s">
        <v>8</v>
      </c>
      <c r="N907" s="15" t="s">
        <v>8</v>
      </c>
      <c r="P907" s="15" t="s">
        <v>8</v>
      </c>
      <c r="R907" s="15" t="s">
        <v>8</v>
      </c>
      <c r="S907" s="15" t="s">
        <v>8</v>
      </c>
      <c r="W907" s="15" t="s">
        <v>8</v>
      </c>
      <c r="X907" s="15" t="s">
        <v>8</v>
      </c>
      <c r="Z907" s="8" t="s">
        <v>3</v>
      </c>
    </row>
    <row r="908" spans="3:30" x14ac:dyDescent="0.35">
      <c r="C908" s="15" t="s">
        <v>8</v>
      </c>
      <c r="D908" s="15" t="s">
        <v>8</v>
      </c>
      <c r="H908" s="15" t="s">
        <v>8</v>
      </c>
      <c r="K908" s="15" t="s">
        <v>8</v>
      </c>
      <c r="L908" s="15" t="s">
        <v>8</v>
      </c>
      <c r="M908" s="15" t="s">
        <v>8</v>
      </c>
      <c r="N908" s="15" t="s">
        <v>8</v>
      </c>
      <c r="P908" s="15" t="s">
        <v>8</v>
      </c>
      <c r="R908" s="15" t="s">
        <v>8</v>
      </c>
      <c r="S908" s="15" t="s">
        <v>8</v>
      </c>
      <c r="W908" s="15" t="s">
        <v>8</v>
      </c>
      <c r="X908" s="15" t="s">
        <v>8</v>
      </c>
      <c r="Y908" s="19" t="str">
        <f>HYPERLINK("http://yeinfo.com/family/I09066909.html", "RALPH GORGES III &lt;2&gt; 1280 EN-1333 EN ID:09066908")</f>
        <v>RALPH GORGES III &lt;2&gt; 1280 EN-1333 EN ID:09066908</v>
      </c>
      <c r="Z908" s="9"/>
      <c r="AA908" s="9"/>
      <c r="AB908" s="9"/>
      <c r="AC908" s="9"/>
    </row>
    <row r="909" spans="3:30" x14ac:dyDescent="0.35">
      <c r="C909" s="15" t="s">
        <v>8</v>
      </c>
      <c r="D909" s="15" t="s">
        <v>8</v>
      </c>
      <c r="H909" s="15" t="s">
        <v>8</v>
      </c>
      <c r="K909" s="15" t="s">
        <v>8</v>
      </c>
      <c r="L909" s="15" t="s">
        <v>8</v>
      </c>
      <c r="M909" s="15" t="s">
        <v>8</v>
      </c>
      <c r="N909" s="15" t="s">
        <v>8</v>
      </c>
      <c r="P909" s="15" t="s">
        <v>8</v>
      </c>
      <c r="R909" s="15" t="s">
        <v>8</v>
      </c>
      <c r="S909" s="15" t="s">
        <v>8</v>
      </c>
      <c r="W909" s="15" t="s">
        <v>8</v>
      </c>
      <c r="X909" s="15" t="s">
        <v>8</v>
      </c>
      <c r="Y909" s="8" t="s">
        <v>3</v>
      </c>
      <c r="Z909" s="8" t="s">
        <v>6</v>
      </c>
    </row>
    <row r="910" spans="3:30" x14ac:dyDescent="0.35">
      <c r="C910" s="15" t="s">
        <v>8</v>
      </c>
      <c r="D910" s="15" t="s">
        <v>8</v>
      </c>
      <c r="H910" s="15" t="s">
        <v>8</v>
      </c>
      <c r="K910" s="15" t="s">
        <v>8</v>
      </c>
      <c r="L910" s="15" t="s">
        <v>8</v>
      </c>
      <c r="M910" s="15" t="s">
        <v>8</v>
      </c>
      <c r="N910" s="15" t="s">
        <v>8</v>
      </c>
      <c r="P910" s="15" t="s">
        <v>8</v>
      </c>
      <c r="R910" s="15" t="s">
        <v>8</v>
      </c>
      <c r="S910" s="15" t="s">
        <v>8</v>
      </c>
      <c r="W910" s="15" t="s">
        <v>8</v>
      </c>
      <c r="X910" s="15" t="s">
        <v>8</v>
      </c>
      <c r="Y910" s="15" t="s">
        <v>8</v>
      </c>
      <c r="Z910" s="20" t="str">
        <f>HYPERLINK("http://yeinfo.com/family/I09066907.html", "MAUD LOVELL &lt;2&gt; 1260 EN-1297 EN ID:09066944")</f>
        <v>MAUD LOVELL &lt;2&gt; 1260 EN-1297 EN ID:09066944</v>
      </c>
      <c r="AA910" s="17"/>
      <c r="AB910" s="17"/>
      <c r="AC910" s="17"/>
      <c r="AD910" s="17"/>
    </row>
    <row r="911" spans="3:30" x14ac:dyDescent="0.35">
      <c r="C911" s="15" t="s">
        <v>8</v>
      </c>
      <c r="D911" s="15" t="s">
        <v>8</v>
      </c>
      <c r="H911" s="15" t="s">
        <v>8</v>
      </c>
      <c r="K911" s="15" t="s">
        <v>8</v>
      </c>
      <c r="L911" s="15" t="s">
        <v>8</v>
      </c>
      <c r="M911" s="15" t="s">
        <v>8</v>
      </c>
      <c r="N911" s="15" t="s">
        <v>8</v>
      </c>
      <c r="P911" s="15" t="s">
        <v>8</v>
      </c>
      <c r="R911" s="15" t="s">
        <v>8</v>
      </c>
      <c r="S911" s="15" t="s">
        <v>8</v>
      </c>
      <c r="W911" s="15" t="s">
        <v>8</v>
      </c>
      <c r="X911" s="8" t="s">
        <v>6</v>
      </c>
      <c r="Y911" s="15" t="s">
        <v>8</v>
      </c>
    </row>
    <row r="912" spans="3:30" x14ac:dyDescent="0.35">
      <c r="C912" s="15" t="s">
        <v>8</v>
      </c>
      <c r="D912" s="15" t="s">
        <v>8</v>
      </c>
      <c r="H912" s="15" t="s">
        <v>8</v>
      </c>
      <c r="K912" s="15" t="s">
        <v>8</v>
      </c>
      <c r="L912" s="15" t="s">
        <v>8</v>
      </c>
      <c r="M912" s="15" t="s">
        <v>8</v>
      </c>
      <c r="N912" s="15" t="s">
        <v>8</v>
      </c>
      <c r="P912" s="15" t="s">
        <v>8</v>
      </c>
      <c r="R912" s="15" t="s">
        <v>8</v>
      </c>
      <c r="S912" s="15" t="s">
        <v>8</v>
      </c>
      <c r="W912" s="15" t="s">
        <v>8</v>
      </c>
      <c r="X912" s="20" t="str">
        <f>HYPERLINK("http://yeinfo.com/family/I09066857.html", "ELIZABETH GORGES &lt;2&gt; 1305 EN-1348 EN ID:09066909")</f>
        <v>ELIZABETH GORGES &lt;2&gt; 1305 EN-1348 EN ID:09066909</v>
      </c>
      <c r="Y912" s="17"/>
      <c r="Z912" s="17"/>
      <c r="AA912" s="17"/>
      <c r="AB912" s="17"/>
    </row>
    <row r="913" spans="3:30" x14ac:dyDescent="0.35">
      <c r="C913" s="15" t="s">
        <v>8</v>
      </c>
      <c r="D913" s="15" t="s">
        <v>8</v>
      </c>
      <c r="H913" s="15" t="s">
        <v>8</v>
      </c>
      <c r="K913" s="15" t="s">
        <v>8</v>
      </c>
      <c r="L913" s="15" t="s">
        <v>8</v>
      </c>
      <c r="M913" s="15" t="s">
        <v>8</v>
      </c>
      <c r="N913" s="15" t="s">
        <v>8</v>
      </c>
      <c r="P913" s="15" t="s">
        <v>8</v>
      </c>
      <c r="R913" s="15" t="s">
        <v>8</v>
      </c>
      <c r="S913" s="15" t="s">
        <v>8</v>
      </c>
      <c r="W913" s="15" t="s">
        <v>8</v>
      </c>
      <c r="Y913" s="15" t="s">
        <v>8</v>
      </c>
    </row>
    <row r="914" spans="3:30" x14ac:dyDescent="0.35">
      <c r="C914" s="15" t="s">
        <v>8</v>
      </c>
      <c r="D914" s="15" t="s">
        <v>8</v>
      </c>
      <c r="H914" s="15" t="s">
        <v>8</v>
      </c>
      <c r="K914" s="15" t="s">
        <v>8</v>
      </c>
      <c r="L914" s="15" t="s">
        <v>8</v>
      </c>
      <c r="M914" s="15" t="s">
        <v>8</v>
      </c>
      <c r="N914" s="15" t="s">
        <v>8</v>
      </c>
      <c r="P914" s="15" t="s">
        <v>8</v>
      </c>
      <c r="R914" s="15" t="s">
        <v>8</v>
      </c>
      <c r="S914" s="15" t="s">
        <v>8</v>
      </c>
      <c r="W914" s="15" t="s">
        <v>8</v>
      </c>
      <c r="Y914" s="15" t="s">
        <v>8</v>
      </c>
      <c r="Z914" s="19" t="str">
        <f>HYPERLINK("http://yeinfo.com/family/I09066906.html", "JOHN FERRERS &lt;2&gt; 1260 EN-1280 EN ID:09066905")</f>
        <v>JOHN FERRERS &lt;2&gt; 1260 EN-1280 EN ID:09066905</v>
      </c>
      <c r="AA914" s="9"/>
      <c r="AB914" s="9"/>
      <c r="AC914" s="9"/>
      <c r="AD914" s="9"/>
    </row>
    <row r="915" spans="3:30" x14ac:dyDescent="0.35">
      <c r="C915" s="15" t="s">
        <v>8</v>
      </c>
      <c r="D915" s="15" t="s">
        <v>8</v>
      </c>
      <c r="H915" s="15" t="s">
        <v>8</v>
      </c>
      <c r="K915" s="15" t="s">
        <v>8</v>
      </c>
      <c r="L915" s="15" t="s">
        <v>8</v>
      </c>
      <c r="M915" s="15" t="s">
        <v>8</v>
      </c>
      <c r="N915" s="15" t="s">
        <v>8</v>
      </c>
      <c r="P915" s="15" t="s">
        <v>8</v>
      </c>
      <c r="R915" s="15" t="s">
        <v>8</v>
      </c>
      <c r="S915" s="15" t="s">
        <v>8</v>
      </c>
      <c r="W915" s="15" t="s">
        <v>8</v>
      </c>
      <c r="Y915" s="8" t="s">
        <v>6</v>
      </c>
      <c r="Z915" s="8" t="s">
        <v>3</v>
      </c>
    </row>
    <row r="916" spans="3:30" x14ac:dyDescent="0.35">
      <c r="C916" s="15" t="s">
        <v>8</v>
      </c>
      <c r="D916" s="15" t="s">
        <v>8</v>
      </c>
      <c r="H916" s="15" t="s">
        <v>8</v>
      </c>
      <c r="K916" s="15" t="s">
        <v>8</v>
      </c>
      <c r="L916" s="15" t="s">
        <v>8</v>
      </c>
      <c r="M916" s="15" t="s">
        <v>8</v>
      </c>
      <c r="N916" s="15" t="s">
        <v>8</v>
      </c>
      <c r="P916" s="15" t="s">
        <v>8</v>
      </c>
      <c r="R916" s="15" t="s">
        <v>8</v>
      </c>
      <c r="S916" s="15" t="s">
        <v>8</v>
      </c>
      <c r="W916" s="15" t="s">
        <v>8</v>
      </c>
      <c r="Y916" s="20" t="str">
        <f>HYPERLINK("http://yeinfo.com/family/I09066944.html", "ELEANOR FERRERS &lt;2&gt; 1280 EN-1343 EN ID:09066906")</f>
        <v>ELEANOR FERRERS &lt;2&gt; 1280 EN-1343 EN ID:09066906</v>
      </c>
      <c r="Z916" s="17"/>
      <c r="AA916" s="17"/>
      <c r="AB916" s="17"/>
      <c r="AC916" s="17"/>
    </row>
    <row r="917" spans="3:30" x14ac:dyDescent="0.35">
      <c r="C917" s="15" t="s">
        <v>8</v>
      </c>
      <c r="D917" s="15" t="s">
        <v>8</v>
      </c>
      <c r="H917" s="15" t="s">
        <v>8</v>
      </c>
      <c r="K917" s="15" t="s">
        <v>8</v>
      </c>
      <c r="L917" s="15" t="s">
        <v>8</v>
      </c>
      <c r="M917" s="15" t="s">
        <v>8</v>
      </c>
      <c r="N917" s="15" t="s">
        <v>8</v>
      </c>
      <c r="P917" s="15" t="s">
        <v>8</v>
      </c>
      <c r="R917" s="15" t="s">
        <v>8</v>
      </c>
      <c r="S917" s="15" t="s">
        <v>8</v>
      </c>
      <c r="W917" s="15" t="s">
        <v>8</v>
      </c>
      <c r="Z917" s="8" t="s">
        <v>6</v>
      </c>
    </row>
    <row r="918" spans="3:30" x14ac:dyDescent="0.35">
      <c r="C918" s="15" t="s">
        <v>8</v>
      </c>
      <c r="D918" s="15" t="s">
        <v>8</v>
      </c>
      <c r="H918" s="15" t="s">
        <v>8</v>
      </c>
      <c r="K918" s="15" t="s">
        <v>8</v>
      </c>
      <c r="L918" s="15" t="s">
        <v>8</v>
      </c>
      <c r="M918" s="15" t="s">
        <v>8</v>
      </c>
      <c r="N918" s="15" t="s">
        <v>8</v>
      </c>
      <c r="P918" s="15" t="s">
        <v>8</v>
      </c>
      <c r="R918" s="15" t="s">
        <v>8</v>
      </c>
      <c r="S918" s="15" t="s">
        <v>8</v>
      </c>
      <c r="W918" s="15" t="s">
        <v>8</v>
      </c>
      <c r="Z918" s="20" t="str">
        <f>HYPERLINK("http://yeinfo.com/family/I09066905.html", "Mrs. {_?_} FERRERS &lt;2&gt; 1260 EN-1280 EN ID:09066904")</f>
        <v>Mrs. {_?_} FERRERS &lt;2&gt; 1260 EN-1280 EN ID:09066904</v>
      </c>
      <c r="AA918" s="17"/>
      <c r="AB918" s="17"/>
      <c r="AC918" s="17"/>
      <c r="AD918" s="17"/>
    </row>
    <row r="919" spans="3:30" x14ac:dyDescent="0.35">
      <c r="C919" s="15" t="s">
        <v>8</v>
      </c>
      <c r="D919" s="15" t="s">
        <v>8</v>
      </c>
      <c r="H919" s="15" t="s">
        <v>8</v>
      </c>
      <c r="K919" s="15" t="s">
        <v>8</v>
      </c>
      <c r="L919" s="15" t="s">
        <v>8</v>
      </c>
      <c r="M919" s="15" t="s">
        <v>8</v>
      </c>
      <c r="N919" s="15" t="s">
        <v>8</v>
      </c>
      <c r="P919" s="15" t="s">
        <v>8</v>
      </c>
      <c r="R919" s="15" t="s">
        <v>8</v>
      </c>
      <c r="S919" s="15" t="s">
        <v>8</v>
      </c>
      <c r="W919" s="15" t="s">
        <v>8</v>
      </c>
    </row>
    <row r="920" spans="3:30" x14ac:dyDescent="0.35">
      <c r="C920" s="15" t="s">
        <v>8</v>
      </c>
      <c r="D920" s="15" t="s">
        <v>8</v>
      </c>
      <c r="H920" s="15" t="s">
        <v>8</v>
      </c>
      <c r="K920" s="15" t="s">
        <v>8</v>
      </c>
      <c r="L920" s="15" t="s">
        <v>8</v>
      </c>
      <c r="M920" s="15" t="s">
        <v>8</v>
      </c>
      <c r="N920" s="15" t="s">
        <v>8</v>
      </c>
      <c r="P920" s="15" t="s">
        <v>8</v>
      </c>
      <c r="R920" s="15" t="s">
        <v>8</v>
      </c>
      <c r="S920" s="15" t="s">
        <v>8</v>
      </c>
      <c r="V920" s="19" t="str">
        <f>HYPERLINK("http://yeinfo.com/family/I09066860.html", "JOHN ASHTON &lt;2&gt; 1339 EN-1375 EN ID:09066859")</f>
        <v>JOHN ASHTON &lt;2&gt; 1339 EN-1375 EN ID:09066859</v>
      </c>
      <c r="W920" s="9"/>
      <c r="X920" s="9"/>
      <c r="Y920" s="9"/>
      <c r="Z920" s="9"/>
    </row>
    <row r="921" spans="3:30" x14ac:dyDescent="0.35">
      <c r="C921" s="15" t="s">
        <v>8</v>
      </c>
      <c r="D921" s="15" t="s">
        <v>8</v>
      </c>
      <c r="H921" s="15" t="s">
        <v>8</v>
      </c>
      <c r="K921" s="15" t="s">
        <v>8</v>
      </c>
      <c r="L921" s="15" t="s">
        <v>8</v>
      </c>
      <c r="M921" s="15" t="s">
        <v>8</v>
      </c>
      <c r="N921" s="15" t="s">
        <v>8</v>
      </c>
      <c r="P921" s="15" t="s">
        <v>8</v>
      </c>
      <c r="R921" s="15" t="s">
        <v>8</v>
      </c>
      <c r="S921" s="15" t="s">
        <v>8</v>
      </c>
      <c r="V921" s="8" t="s">
        <v>3</v>
      </c>
      <c r="W921" s="15" t="s">
        <v>8</v>
      </c>
    </row>
    <row r="922" spans="3:30" x14ac:dyDescent="0.35">
      <c r="C922" s="15" t="s">
        <v>8</v>
      </c>
      <c r="D922" s="15" t="s">
        <v>8</v>
      </c>
      <c r="H922" s="15" t="s">
        <v>8</v>
      </c>
      <c r="K922" s="15" t="s">
        <v>8</v>
      </c>
      <c r="L922" s="15" t="s">
        <v>8</v>
      </c>
      <c r="M922" s="15" t="s">
        <v>8</v>
      </c>
      <c r="N922" s="15" t="s">
        <v>8</v>
      </c>
      <c r="P922" s="15" t="s">
        <v>8</v>
      </c>
      <c r="R922" s="15" t="s">
        <v>8</v>
      </c>
      <c r="S922" s="15" t="s">
        <v>8</v>
      </c>
      <c r="V922" s="15" t="s">
        <v>8</v>
      </c>
      <c r="W922" s="15" t="s">
        <v>8</v>
      </c>
      <c r="X922" s="19" t="str">
        <f>HYPERLINK("http://yeinfo.com/family/I09066884.html", "JOHN BUMBLEY &lt;2&gt; 1270 EN-1336 EN ID:09066883")</f>
        <v>JOHN BUMBLEY &lt;2&gt; 1270 EN-1336 EN ID:09066883</v>
      </c>
      <c r="Y922" s="9"/>
      <c r="Z922" s="9"/>
      <c r="AA922" s="9"/>
      <c r="AB922" s="9"/>
    </row>
    <row r="923" spans="3:30" x14ac:dyDescent="0.35">
      <c r="C923" s="15" t="s">
        <v>8</v>
      </c>
      <c r="D923" s="15" t="s">
        <v>8</v>
      </c>
      <c r="H923" s="15" t="s">
        <v>8</v>
      </c>
      <c r="K923" s="15" t="s">
        <v>8</v>
      </c>
      <c r="L923" s="15" t="s">
        <v>8</v>
      </c>
      <c r="M923" s="15" t="s">
        <v>8</v>
      </c>
      <c r="N923" s="15" t="s">
        <v>8</v>
      </c>
      <c r="P923" s="15" t="s">
        <v>8</v>
      </c>
      <c r="R923" s="15" t="s">
        <v>8</v>
      </c>
      <c r="S923" s="15" t="s">
        <v>8</v>
      </c>
      <c r="V923" s="15" t="s">
        <v>8</v>
      </c>
      <c r="W923" s="8" t="s">
        <v>6</v>
      </c>
      <c r="X923" s="8" t="s">
        <v>3</v>
      </c>
    </row>
    <row r="924" spans="3:30" x14ac:dyDescent="0.35">
      <c r="C924" s="15" t="s">
        <v>8</v>
      </c>
      <c r="D924" s="15" t="s">
        <v>8</v>
      </c>
      <c r="H924" s="15" t="s">
        <v>8</v>
      </c>
      <c r="K924" s="15" t="s">
        <v>8</v>
      </c>
      <c r="L924" s="15" t="s">
        <v>8</v>
      </c>
      <c r="M924" s="15" t="s">
        <v>8</v>
      </c>
      <c r="N924" s="15" t="s">
        <v>8</v>
      </c>
      <c r="P924" s="15" t="s">
        <v>8</v>
      </c>
      <c r="R924" s="15" t="s">
        <v>8</v>
      </c>
      <c r="S924" s="15" t="s">
        <v>8</v>
      </c>
      <c r="V924" s="15" t="s">
        <v>8</v>
      </c>
      <c r="W924" s="20" t="str">
        <f>HYPERLINK("http://yeinfo.com/family/I09066904.html", "ELEANOR BUMBLEY &lt;2&gt; 1300 EN-1360 EN ID:09066884")</f>
        <v>ELEANOR BUMBLEY &lt;2&gt; 1300 EN-1360 EN ID:09066884</v>
      </c>
      <c r="X924" s="17"/>
      <c r="Y924" s="17"/>
      <c r="Z924" s="17"/>
      <c r="AA924" s="17"/>
    </row>
    <row r="925" spans="3:30" x14ac:dyDescent="0.35">
      <c r="C925" s="15" t="s">
        <v>8</v>
      </c>
      <c r="D925" s="15" t="s">
        <v>8</v>
      </c>
      <c r="H925" s="15" t="s">
        <v>8</v>
      </c>
      <c r="K925" s="15" t="s">
        <v>8</v>
      </c>
      <c r="L925" s="15" t="s">
        <v>8</v>
      </c>
      <c r="M925" s="15" t="s">
        <v>8</v>
      </c>
      <c r="N925" s="15" t="s">
        <v>8</v>
      </c>
      <c r="P925" s="15" t="s">
        <v>8</v>
      </c>
      <c r="R925" s="15" t="s">
        <v>8</v>
      </c>
      <c r="S925" s="15" t="s">
        <v>8</v>
      </c>
      <c r="V925" s="15" t="s">
        <v>8</v>
      </c>
      <c r="X925" s="8" t="s">
        <v>6</v>
      </c>
    </row>
    <row r="926" spans="3:30" x14ac:dyDescent="0.35">
      <c r="C926" s="15" t="s">
        <v>8</v>
      </c>
      <c r="D926" s="15" t="s">
        <v>8</v>
      </c>
      <c r="H926" s="15" t="s">
        <v>8</v>
      </c>
      <c r="K926" s="15" t="s">
        <v>8</v>
      </c>
      <c r="L926" s="15" t="s">
        <v>8</v>
      </c>
      <c r="M926" s="15" t="s">
        <v>8</v>
      </c>
      <c r="N926" s="15" t="s">
        <v>8</v>
      </c>
      <c r="P926" s="15" t="s">
        <v>8</v>
      </c>
      <c r="R926" s="15" t="s">
        <v>8</v>
      </c>
      <c r="S926" s="15" t="s">
        <v>8</v>
      </c>
      <c r="V926" s="15" t="s">
        <v>8</v>
      </c>
      <c r="X926" s="20" t="str">
        <f>HYPERLINK("http://yeinfo.com/family/I09066883.html", "Mrs. {_?_} BUMBLEY &lt;2&gt; 1275 EN-1300 EN ID:09066882")</f>
        <v>Mrs. {_?_} BUMBLEY &lt;2&gt; 1275 EN-1300 EN ID:09066882</v>
      </c>
      <c r="Y926" s="17"/>
      <c r="Z926" s="17"/>
      <c r="AA926" s="17"/>
      <c r="AB926" s="17"/>
    </row>
    <row r="927" spans="3:30" x14ac:dyDescent="0.35">
      <c r="C927" s="15" t="s">
        <v>8</v>
      </c>
      <c r="D927" s="15" t="s">
        <v>8</v>
      </c>
      <c r="H927" s="15" t="s">
        <v>8</v>
      </c>
      <c r="K927" s="15" t="s">
        <v>8</v>
      </c>
      <c r="L927" s="15" t="s">
        <v>8</v>
      </c>
      <c r="M927" s="15" t="s">
        <v>8</v>
      </c>
      <c r="N927" s="15" t="s">
        <v>8</v>
      </c>
      <c r="P927" s="15" t="s">
        <v>8</v>
      </c>
      <c r="R927" s="15" t="s">
        <v>8</v>
      </c>
      <c r="S927" s="15" t="s">
        <v>8</v>
      </c>
      <c r="V927" s="15" t="s">
        <v>8</v>
      </c>
    </row>
    <row r="928" spans="3:30" x14ac:dyDescent="0.35">
      <c r="C928" s="15" t="s">
        <v>8</v>
      </c>
      <c r="D928" s="15" t="s">
        <v>8</v>
      </c>
      <c r="H928" s="15" t="s">
        <v>8</v>
      </c>
      <c r="K928" s="15" t="s">
        <v>8</v>
      </c>
      <c r="L928" s="15" t="s">
        <v>8</v>
      </c>
      <c r="M928" s="15" t="s">
        <v>8</v>
      </c>
      <c r="N928" s="15" t="s">
        <v>8</v>
      </c>
      <c r="P928" s="15" t="s">
        <v>8</v>
      </c>
      <c r="R928" s="15" t="s">
        <v>8</v>
      </c>
      <c r="S928" s="15" t="s">
        <v>8</v>
      </c>
      <c r="U928" s="19" t="str">
        <f>HYPERLINK("http://yeinfo.com/family/I09066861.html", "JOHN ASHTON II &lt;2&gt; 1360 EN-1428 EN ID:09066860")</f>
        <v>JOHN ASHTON II &lt;2&gt; 1360 EN-1428 EN ID:09066860</v>
      </c>
      <c r="V928" s="9"/>
      <c r="W928" s="9"/>
      <c r="X928" s="9"/>
      <c r="Y928" s="9"/>
    </row>
    <row r="929" spans="3:31" x14ac:dyDescent="0.35">
      <c r="C929" s="15" t="s">
        <v>8</v>
      </c>
      <c r="D929" s="15" t="s">
        <v>8</v>
      </c>
      <c r="H929" s="15" t="s">
        <v>8</v>
      </c>
      <c r="K929" s="15" t="s">
        <v>8</v>
      </c>
      <c r="L929" s="15" t="s">
        <v>8</v>
      </c>
      <c r="M929" s="15" t="s">
        <v>8</v>
      </c>
      <c r="N929" s="15" t="s">
        <v>8</v>
      </c>
      <c r="P929" s="15" t="s">
        <v>8</v>
      </c>
      <c r="R929" s="15" t="s">
        <v>8</v>
      </c>
      <c r="S929" s="15" t="s">
        <v>8</v>
      </c>
      <c r="U929" s="8" t="s">
        <v>3</v>
      </c>
      <c r="V929" s="15" t="s">
        <v>8</v>
      </c>
    </row>
    <row r="930" spans="3:31" x14ac:dyDescent="0.35">
      <c r="C930" s="15" t="s">
        <v>8</v>
      </c>
      <c r="D930" s="15" t="s">
        <v>8</v>
      </c>
      <c r="H930" s="15" t="s">
        <v>8</v>
      </c>
      <c r="K930" s="15" t="s">
        <v>8</v>
      </c>
      <c r="L930" s="15" t="s">
        <v>8</v>
      </c>
      <c r="M930" s="15" t="s">
        <v>8</v>
      </c>
      <c r="N930" s="15" t="s">
        <v>8</v>
      </c>
      <c r="P930" s="15" t="s">
        <v>8</v>
      </c>
      <c r="R930" s="15" t="s">
        <v>8</v>
      </c>
      <c r="S930" s="15" t="s">
        <v>8</v>
      </c>
      <c r="U930" s="15" t="s">
        <v>8</v>
      </c>
      <c r="V930" s="15" t="s">
        <v>8</v>
      </c>
      <c r="Z930" s="19" t="str">
        <f>HYPERLINK("http://yeinfo.com/family/I09066959.html", "ROBERT RADCLIFFE &lt;A&gt; 1208 EN-1239 EN ID:09066959")</f>
        <v>ROBERT RADCLIFFE &lt;A&gt; 1208 EN-1239 EN ID:09066959</v>
      </c>
      <c r="AA930" s="9"/>
      <c r="AB930" s="9"/>
      <c r="AC930" s="9"/>
      <c r="AD930" s="9"/>
    </row>
    <row r="931" spans="3:31" x14ac:dyDescent="0.35">
      <c r="C931" s="15" t="s">
        <v>8</v>
      </c>
      <c r="D931" s="15" t="s">
        <v>8</v>
      </c>
      <c r="H931" s="15" t="s">
        <v>8</v>
      </c>
      <c r="K931" s="15" t="s">
        <v>8</v>
      </c>
      <c r="L931" s="15" t="s">
        <v>8</v>
      </c>
      <c r="M931" s="15" t="s">
        <v>8</v>
      </c>
      <c r="N931" s="15" t="s">
        <v>8</v>
      </c>
      <c r="P931" s="15" t="s">
        <v>8</v>
      </c>
      <c r="R931" s="15" t="s">
        <v>8</v>
      </c>
      <c r="S931" s="15" t="s">
        <v>8</v>
      </c>
      <c r="U931" s="15" t="s">
        <v>8</v>
      </c>
      <c r="V931" s="15" t="s">
        <v>8</v>
      </c>
      <c r="Z931" s="8" t="s">
        <v>3</v>
      </c>
    </row>
    <row r="932" spans="3:31" x14ac:dyDescent="0.35">
      <c r="C932" s="15" t="s">
        <v>8</v>
      </c>
      <c r="D932" s="15" t="s">
        <v>8</v>
      </c>
      <c r="H932" s="15" t="s">
        <v>8</v>
      </c>
      <c r="K932" s="15" t="s">
        <v>8</v>
      </c>
      <c r="L932" s="15" t="s">
        <v>8</v>
      </c>
      <c r="M932" s="15" t="s">
        <v>8</v>
      </c>
      <c r="N932" s="15" t="s">
        <v>8</v>
      </c>
      <c r="P932" s="15" t="s">
        <v>8</v>
      </c>
      <c r="R932" s="15" t="s">
        <v>8</v>
      </c>
      <c r="S932" s="15" t="s">
        <v>8</v>
      </c>
      <c r="U932" s="15" t="s">
        <v>8</v>
      </c>
      <c r="V932" s="15" t="s">
        <v>8</v>
      </c>
      <c r="Y932" s="19" t="str">
        <f>HYPERLINK("http://yeinfo.com/family/I09066960.html", "RICHARD RADCLIFFE &lt;A&gt; 1224 EN-1326 EN ID:09066960")</f>
        <v>RICHARD RADCLIFFE &lt;A&gt; 1224 EN-1326 EN ID:09066960</v>
      </c>
      <c r="Z932" s="9"/>
      <c r="AA932" s="9"/>
      <c r="AB932" s="9"/>
      <c r="AC932" s="9"/>
    </row>
    <row r="933" spans="3:31" x14ac:dyDescent="0.35">
      <c r="C933" s="15" t="s">
        <v>8</v>
      </c>
      <c r="D933" s="15" t="s">
        <v>8</v>
      </c>
      <c r="H933" s="15" t="s">
        <v>8</v>
      </c>
      <c r="K933" s="15" t="s">
        <v>8</v>
      </c>
      <c r="L933" s="15" t="s">
        <v>8</v>
      </c>
      <c r="M933" s="15" t="s">
        <v>8</v>
      </c>
      <c r="N933" s="15" t="s">
        <v>8</v>
      </c>
      <c r="P933" s="15" t="s">
        <v>8</v>
      </c>
      <c r="R933" s="15" t="s">
        <v>8</v>
      </c>
      <c r="S933" s="15" t="s">
        <v>8</v>
      </c>
      <c r="U933" s="15" t="s">
        <v>8</v>
      </c>
      <c r="V933" s="15" t="s">
        <v>8</v>
      </c>
      <c r="Y933" s="8" t="s">
        <v>3</v>
      </c>
      <c r="Z933" s="8" t="s">
        <v>6</v>
      </c>
    </row>
    <row r="934" spans="3:31" x14ac:dyDescent="0.35">
      <c r="C934" s="15" t="s">
        <v>8</v>
      </c>
      <c r="D934" s="15" t="s">
        <v>8</v>
      </c>
      <c r="H934" s="15" t="s">
        <v>8</v>
      </c>
      <c r="K934" s="15" t="s">
        <v>8</v>
      </c>
      <c r="L934" s="15" t="s">
        <v>8</v>
      </c>
      <c r="M934" s="15" t="s">
        <v>8</v>
      </c>
      <c r="N934" s="15" t="s">
        <v>8</v>
      </c>
      <c r="P934" s="15" t="s">
        <v>8</v>
      </c>
      <c r="R934" s="15" t="s">
        <v>8</v>
      </c>
      <c r="S934" s="15" t="s">
        <v>8</v>
      </c>
      <c r="U934" s="15" t="s">
        <v>8</v>
      </c>
      <c r="V934" s="15" t="s">
        <v>8</v>
      </c>
      <c r="Y934" s="15" t="s">
        <v>8</v>
      </c>
      <c r="Z934" s="20" t="str">
        <f>HYPERLINK("http://yeinfo.com/family/I09066988.html", "AMBIL\AMABIL TRAFFORD &lt;A&gt; 1222 EN-1239 EN ID:09066988")</f>
        <v>AMBIL\AMABIL TRAFFORD &lt;A&gt; 1222 EN-1239 EN ID:09066988</v>
      </c>
      <c r="AA934" s="17"/>
      <c r="AB934" s="17"/>
      <c r="AC934" s="17"/>
      <c r="AD934" s="17"/>
      <c r="AE934" s="17"/>
    </row>
    <row r="935" spans="3:31" x14ac:dyDescent="0.35">
      <c r="C935" s="15" t="s">
        <v>8</v>
      </c>
      <c r="D935" s="15" t="s">
        <v>8</v>
      </c>
      <c r="H935" s="15" t="s">
        <v>8</v>
      </c>
      <c r="K935" s="15" t="s">
        <v>8</v>
      </c>
      <c r="L935" s="15" t="s">
        <v>8</v>
      </c>
      <c r="M935" s="15" t="s">
        <v>8</v>
      </c>
      <c r="N935" s="15" t="s">
        <v>8</v>
      </c>
      <c r="P935" s="15" t="s">
        <v>8</v>
      </c>
      <c r="R935" s="15" t="s">
        <v>8</v>
      </c>
      <c r="S935" s="15" t="s">
        <v>8</v>
      </c>
      <c r="U935" s="15" t="s">
        <v>8</v>
      </c>
      <c r="V935" s="15" t="s">
        <v>8</v>
      </c>
      <c r="Y935" s="15" t="s">
        <v>8</v>
      </c>
    </row>
    <row r="936" spans="3:31" x14ac:dyDescent="0.35">
      <c r="C936" s="15" t="s">
        <v>8</v>
      </c>
      <c r="D936" s="15" t="s">
        <v>8</v>
      </c>
      <c r="H936" s="15" t="s">
        <v>8</v>
      </c>
      <c r="K936" s="15" t="s">
        <v>8</v>
      </c>
      <c r="L936" s="15" t="s">
        <v>8</v>
      </c>
      <c r="M936" s="15" t="s">
        <v>8</v>
      </c>
      <c r="N936" s="15" t="s">
        <v>8</v>
      </c>
      <c r="P936" s="15" t="s">
        <v>8</v>
      </c>
      <c r="R936" s="15" t="s">
        <v>8</v>
      </c>
      <c r="S936" s="15" t="s">
        <v>8</v>
      </c>
      <c r="U936" s="15" t="s">
        <v>8</v>
      </c>
      <c r="V936" s="15" t="s">
        <v>8</v>
      </c>
      <c r="X936" s="19" t="str">
        <f>HYPERLINK("http://yeinfo.com/family/I09066964.html", "ROBERT RADCLIFFE &lt;2&gt; 1267 EN-1333 EN ID:09067011")</f>
        <v>ROBERT RADCLIFFE &lt;2&gt; 1267 EN-1333 EN ID:09067011</v>
      </c>
      <c r="Y936" s="9"/>
      <c r="Z936" s="9"/>
      <c r="AA936" s="9"/>
      <c r="AB936" s="9"/>
    </row>
    <row r="937" spans="3:31" x14ac:dyDescent="0.35">
      <c r="C937" s="15" t="s">
        <v>8</v>
      </c>
      <c r="D937" s="15" t="s">
        <v>8</v>
      </c>
      <c r="H937" s="15" t="s">
        <v>8</v>
      </c>
      <c r="K937" s="15" t="s">
        <v>8</v>
      </c>
      <c r="L937" s="15" t="s">
        <v>8</v>
      </c>
      <c r="M937" s="15" t="s">
        <v>8</v>
      </c>
      <c r="N937" s="15" t="s">
        <v>8</v>
      </c>
      <c r="P937" s="15" t="s">
        <v>8</v>
      </c>
      <c r="R937" s="15" t="s">
        <v>8</v>
      </c>
      <c r="S937" s="15" t="s">
        <v>8</v>
      </c>
      <c r="U937" s="15" t="s">
        <v>8</v>
      </c>
      <c r="V937" s="15" t="s">
        <v>8</v>
      </c>
      <c r="X937" s="8" t="s">
        <v>3</v>
      </c>
      <c r="Y937" s="15" t="s">
        <v>8</v>
      </c>
    </row>
    <row r="938" spans="3:31" x14ac:dyDescent="0.35">
      <c r="C938" s="15" t="s">
        <v>8</v>
      </c>
      <c r="D938" s="15" t="s">
        <v>8</v>
      </c>
      <c r="H938" s="15" t="s">
        <v>8</v>
      </c>
      <c r="K938" s="15" t="s">
        <v>8</v>
      </c>
      <c r="L938" s="15" t="s">
        <v>8</v>
      </c>
      <c r="M938" s="15" t="s">
        <v>8</v>
      </c>
      <c r="N938" s="15" t="s">
        <v>8</v>
      </c>
      <c r="P938" s="15" t="s">
        <v>8</v>
      </c>
      <c r="R938" s="15" t="s">
        <v>8</v>
      </c>
      <c r="S938" s="15" t="s">
        <v>8</v>
      </c>
      <c r="U938" s="15" t="s">
        <v>8</v>
      </c>
      <c r="V938" s="15" t="s">
        <v>8</v>
      </c>
      <c r="X938" s="15" t="s">
        <v>8</v>
      </c>
      <c r="Y938" s="15" t="s">
        <v>8</v>
      </c>
      <c r="Z938" s="19" t="str">
        <f>HYPERLINK("http://yeinfo.com/family/I09066877.html", "HENRY\WILLIAM\ROBERT BOTELER &lt;A&gt; 1230 EN-1247 EN ID:09066877")</f>
        <v>HENRY\WILLIAM\ROBERT BOTELER &lt;A&gt; 1230 EN-1247 EN ID:09066877</v>
      </c>
      <c r="AA938" s="9"/>
      <c r="AB938" s="9"/>
      <c r="AC938" s="9"/>
      <c r="AD938" s="9"/>
      <c r="AE938" s="9"/>
    </row>
    <row r="939" spans="3:31" x14ac:dyDescent="0.35">
      <c r="C939" s="15" t="s">
        <v>8</v>
      </c>
      <c r="D939" s="15" t="s">
        <v>8</v>
      </c>
      <c r="H939" s="15" t="s">
        <v>8</v>
      </c>
      <c r="K939" s="15" t="s">
        <v>8</v>
      </c>
      <c r="L939" s="15" t="s">
        <v>8</v>
      </c>
      <c r="M939" s="15" t="s">
        <v>8</v>
      </c>
      <c r="N939" s="15" t="s">
        <v>8</v>
      </c>
      <c r="P939" s="15" t="s">
        <v>8</v>
      </c>
      <c r="R939" s="15" t="s">
        <v>8</v>
      </c>
      <c r="S939" s="15" t="s">
        <v>8</v>
      </c>
      <c r="U939" s="15" t="s">
        <v>8</v>
      </c>
      <c r="V939" s="15" t="s">
        <v>8</v>
      </c>
      <c r="X939" s="15" t="s">
        <v>8</v>
      </c>
      <c r="Y939" s="8" t="s">
        <v>6</v>
      </c>
      <c r="Z939" s="8" t="s">
        <v>3</v>
      </c>
    </row>
    <row r="940" spans="3:31" x14ac:dyDescent="0.35">
      <c r="C940" s="15" t="s">
        <v>8</v>
      </c>
      <c r="D940" s="15" t="s">
        <v>8</v>
      </c>
      <c r="H940" s="15" t="s">
        <v>8</v>
      </c>
      <c r="K940" s="15" t="s">
        <v>8</v>
      </c>
      <c r="L940" s="15" t="s">
        <v>8</v>
      </c>
      <c r="M940" s="15" t="s">
        <v>8</v>
      </c>
      <c r="N940" s="15" t="s">
        <v>8</v>
      </c>
      <c r="P940" s="15" t="s">
        <v>8</v>
      </c>
      <c r="R940" s="15" t="s">
        <v>8</v>
      </c>
      <c r="S940" s="15" t="s">
        <v>8</v>
      </c>
      <c r="U940" s="15" t="s">
        <v>8</v>
      </c>
      <c r="V940" s="15" t="s">
        <v>8</v>
      </c>
      <c r="X940" s="15" t="s">
        <v>8</v>
      </c>
      <c r="Y940" s="20" t="str">
        <f>HYPERLINK("http://yeinfo.com/family/I09066878.html", "JOAN\MARGARET BOTELER &lt;A&gt; 1232 EN-1267 EN ID:09066878")</f>
        <v>JOAN\MARGARET BOTELER &lt;A&gt; 1232 EN-1267 EN ID:09066878</v>
      </c>
      <c r="Z940" s="17"/>
      <c r="AA940" s="17"/>
      <c r="AB940" s="17"/>
      <c r="AC940" s="17"/>
      <c r="AD940" s="17"/>
    </row>
    <row r="941" spans="3:31" x14ac:dyDescent="0.35">
      <c r="C941" s="15" t="s">
        <v>8</v>
      </c>
      <c r="D941" s="15" t="s">
        <v>8</v>
      </c>
      <c r="H941" s="15" t="s">
        <v>8</v>
      </c>
      <c r="K941" s="15" t="s">
        <v>8</v>
      </c>
      <c r="L941" s="15" t="s">
        <v>8</v>
      </c>
      <c r="M941" s="15" t="s">
        <v>8</v>
      </c>
      <c r="N941" s="15" t="s">
        <v>8</v>
      </c>
      <c r="P941" s="15" t="s">
        <v>8</v>
      </c>
      <c r="R941" s="15" t="s">
        <v>8</v>
      </c>
      <c r="S941" s="15" t="s">
        <v>8</v>
      </c>
      <c r="U941" s="15" t="s">
        <v>8</v>
      </c>
      <c r="V941" s="15" t="s">
        <v>8</v>
      </c>
      <c r="X941" s="15" t="s">
        <v>8</v>
      </c>
      <c r="Z941" s="8" t="s">
        <v>6</v>
      </c>
    </row>
    <row r="942" spans="3:31" x14ac:dyDescent="0.35">
      <c r="C942" s="15" t="s">
        <v>8</v>
      </c>
      <c r="D942" s="15" t="s">
        <v>8</v>
      </c>
      <c r="H942" s="15" t="s">
        <v>8</v>
      </c>
      <c r="K942" s="15" t="s">
        <v>8</v>
      </c>
      <c r="L942" s="15" t="s">
        <v>8</v>
      </c>
      <c r="M942" s="15" t="s">
        <v>8</v>
      </c>
      <c r="N942" s="15" t="s">
        <v>8</v>
      </c>
      <c r="P942" s="15" t="s">
        <v>8</v>
      </c>
      <c r="R942" s="15" t="s">
        <v>8</v>
      </c>
      <c r="S942" s="15" t="s">
        <v>8</v>
      </c>
      <c r="U942" s="15" t="s">
        <v>8</v>
      </c>
      <c r="V942" s="15" t="s">
        <v>8</v>
      </c>
      <c r="X942" s="15" t="s">
        <v>8</v>
      </c>
      <c r="Z942" s="20" t="str">
        <f>HYPERLINK("http://yeinfo.com/family/I09066876.html", "Mrs. ISABELLA BOTELER &lt;A&gt; 1227 EN-1247 EN ID:09066876")</f>
        <v>Mrs. ISABELLA BOTELER &lt;A&gt; 1227 EN-1247 EN ID:09066876</v>
      </c>
      <c r="AA942" s="17"/>
      <c r="AB942" s="17"/>
      <c r="AC942" s="17"/>
      <c r="AD942" s="17"/>
    </row>
    <row r="943" spans="3:31" x14ac:dyDescent="0.35">
      <c r="C943" s="15" t="s">
        <v>8</v>
      </c>
      <c r="D943" s="15" t="s">
        <v>8</v>
      </c>
      <c r="H943" s="15" t="s">
        <v>8</v>
      </c>
      <c r="K943" s="15" t="s">
        <v>8</v>
      </c>
      <c r="L943" s="15" t="s">
        <v>8</v>
      </c>
      <c r="M943" s="15" t="s">
        <v>8</v>
      </c>
      <c r="N943" s="15" t="s">
        <v>8</v>
      </c>
      <c r="P943" s="15" t="s">
        <v>8</v>
      </c>
      <c r="R943" s="15" t="s">
        <v>8</v>
      </c>
      <c r="S943" s="15" t="s">
        <v>8</v>
      </c>
      <c r="U943" s="15" t="s">
        <v>8</v>
      </c>
      <c r="V943" s="15" t="s">
        <v>8</v>
      </c>
      <c r="X943" s="15" t="s">
        <v>8</v>
      </c>
    </row>
    <row r="944" spans="3:31" x14ac:dyDescent="0.35">
      <c r="C944" s="15" t="s">
        <v>8</v>
      </c>
      <c r="D944" s="15" t="s">
        <v>8</v>
      </c>
      <c r="H944" s="15" t="s">
        <v>8</v>
      </c>
      <c r="K944" s="15" t="s">
        <v>8</v>
      </c>
      <c r="L944" s="15" t="s">
        <v>8</v>
      </c>
      <c r="M944" s="15" t="s">
        <v>8</v>
      </c>
      <c r="N944" s="15" t="s">
        <v>8</v>
      </c>
      <c r="P944" s="15" t="s">
        <v>8</v>
      </c>
      <c r="R944" s="15" t="s">
        <v>8</v>
      </c>
      <c r="S944" s="15" t="s">
        <v>8</v>
      </c>
      <c r="U944" s="15" t="s">
        <v>8</v>
      </c>
      <c r="V944" s="15" t="s">
        <v>8</v>
      </c>
      <c r="W944" s="19" t="str">
        <f>HYPERLINK("http://yeinfo.com/family/I09066965.html", "WILLIAM RADCLIFFE &lt;2&gt; 1304 EN-1330 EN ID:09066964")</f>
        <v>WILLIAM RADCLIFFE &lt;2&gt; 1304 EN-1330 EN ID:09066964</v>
      </c>
      <c r="X944" s="9"/>
      <c r="Y944" s="9"/>
      <c r="Z944" s="9"/>
      <c r="AA944" s="9"/>
    </row>
    <row r="945" spans="3:29" x14ac:dyDescent="0.35">
      <c r="C945" s="15" t="s">
        <v>8</v>
      </c>
      <c r="D945" s="15" t="s">
        <v>8</v>
      </c>
      <c r="H945" s="15" t="s">
        <v>8</v>
      </c>
      <c r="K945" s="15" t="s">
        <v>8</v>
      </c>
      <c r="L945" s="15" t="s">
        <v>8</v>
      </c>
      <c r="M945" s="15" t="s">
        <v>8</v>
      </c>
      <c r="N945" s="15" t="s">
        <v>8</v>
      </c>
      <c r="P945" s="15" t="s">
        <v>8</v>
      </c>
      <c r="R945" s="15" t="s">
        <v>8</v>
      </c>
      <c r="S945" s="15" t="s">
        <v>8</v>
      </c>
      <c r="U945" s="15" t="s">
        <v>8</v>
      </c>
      <c r="V945" s="15" t="s">
        <v>8</v>
      </c>
      <c r="W945" s="8" t="s">
        <v>3</v>
      </c>
      <c r="X945" s="15" t="s">
        <v>8</v>
      </c>
    </row>
    <row r="946" spans="3:29" x14ac:dyDescent="0.35">
      <c r="C946" s="15" t="s">
        <v>8</v>
      </c>
      <c r="D946" s="15" t="s">
        <v>8</v>
      </c>
      <c r="H946" s="15" t="s">
        <v>8</v>
      </c>
      <c r="K946" s="15" t="s">
        <v>8</v>
      </c>
      <c r="L946" s="15" t="s">
        <v>8</v>
      </c>
      <c r="M946" s="15" t="s">
        <v>8</v>
      </c>
      <c r="N946" s="15" t="s">
        <v>8</v>
      </c>
      <c r="P946" s="15" t="s">
        <v>8</v>
      </c>
      <c r="R946" s="15" t="s">
        <v>8</v>
      </c>
      <c r="S946" s="15" t="s">
        <v>8</v>
      </c>
      <c r="U946" s="15" t="s">
        <v>8</v>
      </c>
      <c r="V946" s="15" t="s">
        <v>8</v>
      </c>
      <c r="W946" s="15" t="s">
        <v>8</v>
      </c>
      <c r="X946" s="15" t="s">
        <v>8</v>
      </c>
      <c r="Y946" s="19" t="str">
        <f>HYPERLINK("http://yeinfo.com/family/I09066975.html", "ROBERT SHORESWORTH &lt;4&gt; 1235 EN-1300 EN ID:09066974")</f>
        <v>ROBERT SHORESWORTH &lt;4&gt; 1235 EN-1300 EN ID:09066974</v>
      </c>
      <c r="Z946" s="9"/>
      <c r="AA946" s="9"/>
      <c r="AB946" s="9"/>
      <c r="AC946" s="9"/>
    </row>
    <row r="947" spans="3:29" x14ac:dyDescent="0.35">
      <c r="C947" s="15" t="s">
        <v>8</v>
      </c>
      <c r="D947" s="15" t="s">
        <v>8</v>
      </c>
      <c r="H947" s="15" t="s">
        <v>8</v>
      </c>
      <c r="K947" s="15" t="s">
        <v>8</v>
      </c>
      <c r="L947" s="15" t="s">
        <v>8</v>
      </c>
      <c r="M947" s="15" t="s">
        <v>8</v>
      </c>
      <c r="N947" s="15" t="s">
        <v>8</v>
      </c>
      <c r="P947" s="15" t="s">
        <v>8</v>
      </c>
      <c r="R947" s="15" t="s">
        <v>8</v>
      </c>
      <c r="S947" s="15" t="s">
        <v>8</v>
      </c>
      <c r="U947" s="15" t="s">
        <v>8</v>
      </c>
      <c r="V947" s="15" t="s">
        <v>8</v>
      </c>
      <c r="W947" s="15" t="s">
        <v>8</v>
      </c>
      <c r="X947" s="8" t="s">
        <v>6</v>
      </c>
      <c r="Y947" s="8" t="s">
        <v>3</v>
      </c>
    </row>
    <row r="948" spans="3:29" x14ac:dyDescent="0.35">
      <c r="C948" s="15" t="s">
        <v>8</v>
      </c>
      <c r="D948" s="15" t="s">
        <v>8</v>
      </c>
      <c r="H948" s="15" t="s">
        <v>8</v>
      </c>
      <c r="K948" s="15" t="s">
        <v>8</v>
      </c>
      <c r="L948" s="15" t="s">
        <v>8</v>
      </c>
      <c r="M948" s="15" t="s">
        <v>8</v>
      </c>
      <c r="N948" s="15" t="s">
        <v>8</v>
      </c>
      <c r="P948" s="15" t="s">
        <v>8</v>
      </c>
      <c r="R948" s="15" t="s">
        <v>8</v>
      </c>
      <c r="S948" s="15" t="s">
        <v>8</v>
      </c>
      <c r="U948" s="15" t="s">
        <v>8</v>
      </c>
      <c r="V948" s="15" t="s">
        <v>8</v>
      </c>
      <c r="W948" s="15" t="s">
        <v>8</v>
      </c>
      <c r="X948" s="20" t="str">
        <f>HYPERLINK("http://yeinfo.com/family/I09067011.html", "MARGARET SHORESWORTH &lt;4&gt; 1265 EN-1343 EN ID:09066975")</f>
        <v>MARGARET SHORESWORTH &lt;4&gt; 1265 EN-1343 EN ID:09066975</v>
      </c>
      <c r="Y948" s="17"/>
      <c r="Z948" s="17"/>
      <c r="AA948" s="17"/>
      <c r="AB948" s="17"/>
    </row>
    <row r="949" spans="3:29" x14ac:dyDescent="0.35">
      <c r="C949" s="15" t="s">
        <v>8</v>
      </c>
      <c r="D949" s="15" t="s">
        <v>8</v>
      </c>
      <c r="H949" s="15" t="s">
        <v>8</v>
      </c>
      <c r="K949" s="15" t="s">
        <v>8</v>
      </c>
      <c r="L949" s="15" t="s">
        <v>8</v>
      </c>
      <c r="M949" s="15" t="s">
        <v>8</v>
      </c>
      <c r="N949" s="15" t="s">
        <v>8</v>
      </c>
      <c r="P949" s="15" t="s">
        <v>8</v>
      </c>
      <c r="R949" s="15" t="s">
        <v>8</v>
      </c>
      <c r="S949" s="15" t="s">
        <v>8</v>
      </c>
      <c r="U949" s="15" t="s">
        <v>8</v>
      </c>
      <c r="V949" s="15" t="s">
        <v>8</v>
      </c>
      <c r="W949" s="15" t="s">
        <v>8</v>
      </c>
      <c r="Y949" s="8" t="s">
        <v>6</v>
      </c>
    </row>
    <row r="950" spans="3:29" x14ac:dyDescent="0.35">
      <c r="C950" s="15" t="s">
        <v>8</v>
      </c>
      <c r="D950" s="15" t="s">
        <v>8</v>
      </c>
      <c r="H950" s="15" t="s">
        <v>8</v>
      </c>
      <c r="K950" s="15" t="s">
        <v>8</v>
      </c>
      <c r="L950" s="15" t="s">
        <v>8</v>
      </c>
      <c r="M950" s="15" t="s">
        <v>8</v>
      </c>
      <c r="N950" s="15" t="s">
        <v>8</v>
      </c>
      <c r="P950" s="15" t="s">
        <v>8</v>
      </c>
      <c r="R950" s="15" t="s">
        <v>8</v>
      </c>
      <c r="S950" s="15" t="s">
        <v>8</v>
      </c>
      <c r="U950" s="15" t="s">
        <v>8</v>
      </c>
      <c r="V950" s="15" t="s">
        <v>8</v>
      </c>
      <c r="W950" s="15" t="s">
        <v>8</v>
      </c>
      <c r="Y950" s="20" t="str">
        <f>HYPERLINK("http://yeinfo.com/family/I09066974.html", "CECILY DENTON &lt;4&gt; 1242 EN-1299 EN ID:09066900")</f>
        <v>CECILY DENTON &lt;4&gt; 1242 EN-1299 EN ID:09066900</v>
      </c>
      <c r="Z950" s="17"/>
      <c r="AA950" s="17"/>
      <c r="AB950" s="17"/>
      <c r="AC950" s="17"/>
    </row>
    <row r="951" spans="3:29" x14ac:dyDescent="0.35">
      <c r="C951" s="15" t="s">
        <v>8</v>
      </c>
      <c r="D951" s="15" t="s">
        <v>8</v>
      </c>
      <c r="H951" s="15" t="s">
        <v>8</v>
      </c>
      <c r="K951" s="15" t="s">
        <v>8</v>
      </c>
      <c r="L951" s="15" t="s">
        <v>8</v>
      </c>
      <c r="M951" s="15" t="s">
        <v>8</v>
      </c>
      <c r="N951" s="15" t="s">
        <v>8</v>
      </c>
      <c r="P951" s="15" t="s">
        <v>8</v>
      </c>
      <c r="R951" s="15" t="s">
        <v>8</v>
      </c>
      <c r="S951" s="15" t="s">
        <v>8</v>
      </c>
      <c r="U951" s="15" t="s">
        <v>8</v>
      </c>
      <c r="V951" s="8" t="s">
        <v>6</v>
      </c>
      <c r="W951" s="15" t="s">
        <v>8</v>
      </c>
    </row>
    <row r="952" spans="3:29" x14ac:dyDescent="0.35">
      <c r="C952" s="15" t="s">
        <v>8</v>
      </c>
      <c r="D952" s="15" t="s">
        <v>8</v>
      </c>
      <c r="H952" s="15" t="s">
        <v>8</v>
      </c>
      <c r="K952" s="15" t="s">
        <v>8</v>
      </c>
      <c r="L952" s="15" t="s">
        <v>8</v>
      </c>
      <c r="M952" s="15" t="s">
        <v>8</v>
      </c>
      <c r="N952" s="15" t="s">
        <v>8</v>
      </c>
      <c r="P952" s="15" t="s">
        <v>8</v>
      </c>
      <c r="R952" s="15" t="s">
        <v>8</v>
      </c>
      <c r="S952" s="15" t="s">
        <v>8</v>
      </c>
      <c r="U952" s="15" t="s">
        <v>8</v>
      </c>
      <c r="V952" s="20" t="str">
        <f>HYPERLINK("http://yeinfo.com/family/I09066882.html", "JOAN RADCLIFFE &lt;2&gt; 1324 EN-1375 EN ID:09066965")</f>
        <v>JOAN RADCLIFFE &lt;2&gt; 1324 EN-1375 EN ID:09066965</v>
      </c>
      <c r="W952" s="17"/>
      <c r="X952" s="17"/>
      <c r="Y952" s="17"/>
      <c r="Z952" s="17"/>
    </row>
    <row r="953" spans="3:29" x14ac:dyDescent="0.35">
      <c r="C953" s="15" t="s">
        <v>8</v>
      </c>
      <c r="D953" s="15" t="s">
        <v>8</v>
      </c>
      <c r="H953" s="15" t="s">
        <v>8</v>
      </c>
      <c r="K953" s="15" t="s">
        <v>8</v>
      </c>
      <c r="L953" s="15" t="s">
        <v>8</v>
      </c>
      <c r="M953" s="15" t="s">
        <v>8</v>
      </c>
      <c r="N953" s="15" t="s">
        <v>8</v>
      </c>
      <c r="P953" s="15" t="s">
        <v>8</v>
      </c>
      <c r="R953" s="15" t="s">
        <v>8</v>
      </c>
      <c r="S953" s="15" t="s">
        <v>8</v>
      </c>
      <c r="U953" s="15" t="s">
        <v>8</v>
      </c>
      <c r="W953" s="8" t="s">
        <v>6</v>
      </c>
    </row>
    <row r="954" spans="3:29" x14ac:dyDescent="0.35">
      <c r="C954" s="15" t="s">
        <v>8</v>
      </c>
      <c r="D954" s="15" t="s">
        <v>8</v>
      </c>
      <c r="H954" s="15" t="s">
        <v>8</v>
      </c>
      <c r="K954" s="15" t="s">
        <v>8</v>
      </c>
      <c r="L954" s="15" t="s">
        <v>8</v>
      </c>
      <c r="M954" s="15" t="s">
        <v>8</v>
      </c>
      <c r="N954" s="15" t="s">
        <v>8</v>
      </c>
      <c r="P954" s="15" t="s">
        <v>8</v>
      </c>
      <c r="R954" s="15" t="s">
        <v>8</v>
      </c>
      <c r="S954" s="15" t="s">
        <v>8</v>
      </c>
      <c r="U954" s="15" t="s">
        <v>8</v>
      </c>
      <c r="W954" s="20" t="str">
        <f>HYPERLINK("http://yeinfo.com/family/I09066900.html", "KATHERINE NORLEY &lt;2&gt; 1305 EN-1333 EN ID:09066955")</f>
        <v>KATHERINE NORLEY &lt;2&gt; 1305 EN-1333 EN ID:09066955</v>
      </c>
      <c r="X954" s="17"/>
      <c r="Y954" s="17"/>
      <c r="Z954" s="17"/>
      <c r="AA954" s="17"/>
    </row>
    <row r="955" spans="3:29" x14ac:dyDescent="0.35">
      <c r="C955" s="15" t="s">
        <v>8</v>
      </c>
      <c r="D955" s="15" t="s">
        <v>8</v>
      </c>
      <c r="H955" s="15" t="s">
        <v>8</v>
      </c>
      <c r="K955" s="15" t="s">
        <v>8</v>
      </c>
      <c r="L955" s="15" t="s">
        <v>8</v>
      </c>
      <c r="M955" s="15" t="s">
        <v>8</v>
      </c>
      <c r="N955" s="15" t="s">
        <v>8</v>
      </c>
      <c r="P955" s="15" t="s">
        <v>8</v>
      </c>
      <c r="R955" s="15" t="s">
        <v>8</v>
      </c>
      <c r="S955" s="15" t="s">
        <v>8</v>
      </c>
      <c r="U955" s="15" t="s">
        <v>8</v>
      </c>
    </row>
    <row r="956" spans="3:29" x14ac:dyDescent="0.35">
      <c r="C956" s="15" t="s">
        <v>8</v>
      </c>
      <c r="D956" s="15" t="s">
        <v>8</v>
      </c>
      <c r="H956" s="15" t="s">
        <v>8</v>
      </c>
      <c r="K956" s="15" t="s">
        <v>8</v>
      </c>
      <c r="L956" s="15" t="s">
        <v>8</v>
      </c>
      <c r="M956" s="15" t="s">
        <v>8</v>
      </c>
      <c r="N956" s="15" t="s">
        <v>8</v>
      </c>
      <c r="P956" s="15" t="s">
        <v>8</v>
      </c>
      <c r="R956" s="15" t="s">
        <v>8</v>
      </c>
      <c r="S956" s="15" t="s">
        <v>8</v>
      </c>
      <c r="T956" s="19" t="str">
        <f>HYPERLINK("http://yeinfo.com/family/I09066862.html", "THOMAS ASHTON &lt;2&gt; 1403 EN-1446 EN ID:09066861")</f>
        <v>THOMAS ASHTON &lt;2&gt; 1403 EN-1446 EN ID:09066861</v>
      </c>
      <c r="U956" s="9"/>
      <c r="V956" s="9"/>
      <c r="W956" s="9"/>
      <c r="X956" s="9"/>
    </row>
    <row r="957" spans="3:29" x14ac:dyDescent="0.35">
      <c r="C957" s="15" t="s">
        <v>8</v>
      </c>
      <c r="D957" s="15" t="s">
        <v>8</v>
      </c>
      <c r="H957" s="15" t="s">
        <v>8</v>
      </c>
      <c r="K957" s="15" t="s">
        <v>8</v>
      </c>
      <c r="L957" s="15" t="s">
        <v>8</v>
      </c>
      <c r="M957" s="15" t="s">
        <v>8</v>
      </c>
      <c r="N957" s="15" t="s">
        <v>8</v>
      </c>
      <c r="P957" s="15" t="s">
        <v>8</v>
      </c>
      <c r="R957" s="15" t="s">
        <v>8</v>
      </c>
      <c r="S957" s="15" t="s">
        <v>8</v>
      </c>
      <c r="T957" s="8" t="s">
        <v>3</v>
      </c>
      <c r="U957" s="15" t="s">
        <v>8</v>
      </c>
    </row>
    <row r="958" spans="3:29" x14ac:dyDescent="0.35">
      <c r="C958" s="15" t="s">
        <v>8</v>
      </c>
      <c r="D958" s="15" t="s">
        <v>8</v>
      </c>
      <c r="H958" s="15" t="s">
        <v>8</v>
      </c>
      <c r="K958" s="15" t="s">
        <v>8</v>
      </c>
      <c r="L958" s="15" t="s">
        <v>8</v>
      </c>
      <c r="M958" s="15" t="s">
        <v>8</v>
      </c>
      <c r="N958" s="15" t="s">
        <v>8</v>
      </c>
      <c r="P958" s="15" t="s">
        <v>8</v>
      </c>
      <c r="R958" s="15" t="s">
        <v>8</v>
      </c>
      <c r="S958" s="15" t="s">
        <v>8</v>
      </c>
      <c r="T958" s="15" t="s">
        <v>8</v>
      </c>
      <c r="U958" s="15" t="s">
        <v>8</v>
      </c>
      <c r="V958" s="19" t="str">
        <f>HYPERLINK("http://yeinfo.com/family/I09066973.html", "JOHN SAVILLE &lt;2&gt; 1332 EN-1399 EN ID:09066972")</f>
        <v>JOHN SAVILLE &lt;2&gt; 1332 EN-1399 EN ID:09066972</v>
      </c>
      <c r="W958" s="9"/>
      <c r="X958" s="9"/>
      <c r="Y958" s="9"/>
      <c r="Z958" s="9"/>
    </row>
    <row r="959" spans="3:29" x14ac:dyDescent="0.35">
      <c r="C959" s="15" t="s">
        <v>8</v>
      </c>
      <c r="D959" s="15" t="s">
        <v>8</v>
      </c>
      <c r="H959" s="15" t="s">
        <v>8</v>
      </c>
      <c r="K959" s="15" t="s">
        <v>8</v>
      </c>
      <c r="L959" s="15" t="s">
        <v>8</v>
      </c>
      <c r="M959" s="15" t="s">
        <v>8</v>
      </c>
      <c r="N959" s="15" t="s">
        <v>8</v>
      </c>
      <c r="P959" s="15" t="s">
        <v>8</v>
      </c>
      <c r="R959" s="15" t="s">
        <v>8</v>
      </c>
      <c r="S959" s="15" t="s">
        <v>8</v>
      </c>
      <c r="T959" s="15" t="s">
        <v>8</v>
      </c>
      <c r="U959" s="8" t="s">
        <v>6</v>
      </c>
      <c r="V959" s="8" t="s">
        <v>3</v>
      </c>
    </row>
    <row r="960" spans="3:29" x14ac:dyDescent="0.35">
      <c r="C960" s="15" t="s">
        <v>8</v>
      </c>
      <c r="D960" s="15" t="s">
        <v>8</v>
      </c>
      <c r="H960" s="15" t="s">
        <v>8</v>
      </c>
      <c r="K960" s="15" t="s">
        <v>8</v>
      </c>
      <c r="L960" s="15" t="s">
        <v>8</v>
      </c>
      <c r="M960" s="15" t="s">
        <v>8</v>
      </c>
      <c r="N960" s="15" t="s">
        <v>8</v>
      </c>
      <c r="P960" s="15" t="s">
        <v>8</v>
      </c>
      <c r="R960" s="15" t="s">
        <v>8</v>
      </c>
      <c r="S960" s="15" t="s">
        <v>8</v>
      </c>
      <c r="T960" s="15" t="s">
        <v>8</v>
      </c>
      <c r="U960" s="20" t="str">
        <f>HYPERLINK("http://yeinfo.com/family/I09066955.html", "JANE SAVILLE &lt;2&gt; 1372 EN-1410 EN ID:09066973")</f>
        <v>JANE SAVILLE &lt;2&gt; 1372 EN-1410 EN ID:09066973</v>
      </c>
      <c r="V960" s="17"/>
      <c r="W960" s="17"/>
      <c r="X960" s="17"/>
      <c r="Y960" s="17"/>
    </row>
    <row r="961" spans="3:28" x14ac:dyDescent="0.35">
      <c r="C961" s="15" t="s">
        <v>8</v>
      </c>
      <c r="D961" s="15" t="s">
        <v>8</v>
      </c>
      <c r="H961" s="15" t="s">
        <v>8</v>
      </c>
      <c r="K961" s="15" t="s">
        <v>8</v>
      </c>
      <c r="L961" s="15" t="s">
        <v>8</v>
      </c>
      <c r="M961" s="15" t="s">
        <v>8</v>
      </c>
      <c r="N961" s="15" t="s">
        <v>8</v>
      </c>
      <c r="P961" s="15" t="s">
        <v>8</v>
      </c>
      <c r="R961" s="15" t="s">
        <v>8</v>
      </c>
      <c r="S961" s="15" t="s">
        <v>8</v>
      </c>
      <c r="T961" s="15" t="s">
        <v>8</v>
      </c>
      <c r="V961" s="8" t="s">
        <v>6</v>
      </c>
    </row>
    <row r="962" spans="3:28" x14ac:dyDescent="0.35">
      <c r="C962" s="15" t="s">
        <v>8</v>
      </c>
      <c r="D962" s="15" t="s">
        <v>8</v>
      </c>
      <c r="H962" s="15" t="s">
        <v>8</v>
      </c>
      <c r="K962" s="15" t="s">
        <v>8</v>
      </c>
      <c r="L962" s="15" t="s">
        <v>8</v>
      </c>
      <c r="M962" s="15" t="s">
        <v>8</v>
      </c>
      <c r="N962" s="15" t="s">
        <v>8</v>
      </c>
      <c r="P962" s="15" t="s">
        <v>8</v>
      </c>
      <c r="R962" s="15" t="s">
        <v>8</v>
      </c>
      <c r="S962" s="15" t="s">
        <v>8</v>
      </c>
      <c r="T962" s="15" t="s">
        <v>8</v>
      </c>
      <c r="V962" s="20" t="str">
        <f>HYPERLINK("http://yeinfo.com/family/I09066972.html", "ISABEL LATHOM &lt;2&gt; 1339 EN-1424 EN ID:09066936")</f>
        <v>ISABEL LATHOM &lt;2&gt; 1339 EN-1424 EN ID:09066936</v>
      </c>
      <c r="W962" s="17"/>
      <c r="X962" s="17"/>
      <c r="Y962" s="17"/>
      <c r="Z962" s="17"/>
    </row>
    <row r="963" spans="3:28" x14ac:dyDescent="0.35">
      <c r="C963" s="15" t="s">
        <v>8</v>
      </c>
      <c r="D963" s="15" t="s">
        <v>8</v>
      </c>
      <c r="H963" s="15" t="s">
        <v>8</v>
      </c>
      <c r="K963" s="15" t="s">
        <v>8</v>
      </c>
      <c r="L963" s="15" t="s">
        <v>8</v>
      </c>
      <c r="M963" s="15" t="s">
        <v>8</v>
      </c>
      <c r="N963" s="15" t="s">
        <v>8</v>
      </c>
      <c r="P963" s="15" t="s">
        <v>8</v>
      </c>
      <c r="R963" s="15" t="s">
        <v>8</v>
      </c>
      <c r="S963" s="8" t="s">
        <v>6</v>
      </c>
      <c r="T963" s="15" t="s">
        <v>8</v>
      </c>
    </row>
    <row r="964" spans="3:28" x14ac:dyDescent="0.35">
      <c r="C964" s="15" t="s">
        <v>8</v>
      </c>
      <c r="D964" s="15" t="s">
        <v>8</v>
      </c>
      <c r="H964" s="15" t="s">
        <v>8</v>
      </c>
      <c r="K964" s="15" t="s">
        <v>8</v>
      </c>
      <c r="L964" s="15" t="s">
        <v>8</v>
      </c>
      <c r="M964" s="15" t="s">
        <v>8</v>
      </c>
      <c r="N964" s="15" t="s">
        <v>8</v>
      </c>
      <c r="P964" s="15" t="s">
        <v>8</v>
      </c>
      <c r="R964" s="15" t="s">
        <v>8</v>
      </c>
      <c r="S964" s="20" t="str">
        <f>HYPERLINK("http://yeinfo.com/family/I09066922.html", "ELIZABETH ASHTON &lt;2&gt; 1431 EN-1490 EN ID:09066862")</f>
        <v>ELIZABETH ASHTON &lt;2&gt; 1431 EN-1490 EN ID:09066862</v>
      </c>
      <c r="T964" s="17"/>
      <c r="U964" s="17"/>
      <c r="V964" s="17"/>
      <c r="W964" s="17"/>
    </row>
    <row r="965" spans="3:28" x14ac:dyDescent="0.35">
      <c r="C965" s="15" t="s">
        <v>8</v>
      </c>
      <c r="D965" s="15" t="s">
        <v>8</v>
      </c>
      <c r="H965" s="15" t="s">
        <v>8</v>
      </c>
      <c r="K965" s="15" t="s">
        <v>8</v>
      </c>
      <c r="L965" s="15" t="s">
        <v>8</v>
      </c>
      <c r="M965" s="15" t="s">
        <v>8</v>
      </c>
      <c r="N965" s="15" t="s">
        <v>8</v>
      </c>
      <c r="P965" s="15" t="s">
        <v>8</v>
      </c>
      <c r="R965" s="15" t="s">
        <v>8</v>
      </c>
      <c r="T965" s="15" t="s">
        <v>8</v>
      </c>
    </row>
    <row r="966" spans="3:28" x14ac:dyDescent="0.35">
      <c r="C966" s="15" t="s">
        <v>8</v>
      </c>
      <c r="D966" s="15" t="s">
        <v>8</v>
      </c>
      <c r="H966" s="15" t="s">
        <v>8</v>
      </c>
      <c r="K966" s="15" t="s">
        <v>8</v>
      </c>
      <c r="L966" s="15" t="s">
        <v>8</v>
      </c>
      <c r="M966" s="15" t="s">
        <v>8</v>
      </c>
      <c r="N966" s="15" t="s">
        <v>8</v>
      </c>
      <c r="P966" s="15" t="s">
        <v>8</v>
      </c>
      <c r="R966" s="15" t="s">
        <v>8</v>
      </c>
      <c r="T966" s="15" t="s">
        <v>8</v>
      </c>
      <c r="V966" s="19" t="str">
        <f>HYPERLINK("http://yeinfo.com/family/I09066886.html", "RICHARD BYRON &lt;2&gt; 1329 EN-1397 EN ID:09066885")</f>
        <v>RICHARD BYRON &lt;2&gt; 1329 EN-1397 EN ID:09066885</v>
      </c>
      <c r="W966" s="9"/>
      <c r="X966" s="9"/>
      <c r="Y966" s="9"/>
      <c r="Z966" s="9"/>
    </row>
    <row r="967" spans="3:28" x14ac:dyDescent="0.35">
      <c r="C967" s="15" t="s">
        <v>8</v>
      </c>
      <c r="D967" s="15" t="s">
        <v>8</v>
      </c>
      <c r="H967" s="15" t="s">
        <v>8</v>
      </c>
      <c r="K967" s="15" t="s">
        <v>8</v>
      </c>
      <c r="L967" s="15" t="s">
        <v>8</v>
      </c>
      <c r="M967" s="15" t="s">
        <v>8</v>
      </c>
      <c r="N967" s="15" t="s">
        <v>8</v>
      </c>
      <c r="P967" s="15" t="s">
        <v>8</v>
      </c>
      <c r="R967" s="15" t="s">
        <v>8</v>
      </c>
      <c r="T967" s="15" t="s">
        <v>8</v>
      </c>
      <c r="V967" s="8" t="s">
        <v>3</v>
      </c>
    </row>
    <row r="968" spans="3:28" x14ac:dyDescent="0.35">
      <c r="C968" s="15" t="s">
        <v>8</v>
      </c>
      <c r="D968" s="15" t="s">
        <v>8</v>
      </c>
      <c r="H968" s="15" t="s">
        <v>8</v>
      </c>
      <c r="K968" s="15" t="s">
        <v>8</v>
      </c>
      <c r="L968" s="15" t="s">
        <v>8</v>
      </c>
      <c r="M968" s="15" t="s">
        <v>8</v>
      </c>
      <c r="N968" s="15" t="s">
        <v>8</v>
      </c>
      <c r="P968" s="15" t="s">
        <v>8</v>
      </c>
      <c r="R968" s="15" t="s">
        <v>8</v>
      </c>
      <c r="T968" s="15" t="s">
        <v>8</v>
      </c>
      <c r="U968" s="19" t="str">
        <f>HYPERLINK("http://yeinfo.com/family/I09066887.html", "JOHN BYRON &lt;2&gt; 1362 EN-1445 EN ID:09066886")</f>
        <v>JOHN BYRON &lt;2&gt; 1362 EN-1445 EN ID:09066886</v>
      </c>
      <c r="V968" s="9"/>
      <c r="W968" s="9"/>
      <c r="X968" s="9"/>
      <c r="Y968" s="9"/>
    </row>
    <row r="969" spans="3:28" x14ac:dyDescent="0.35">
      <c r="C969" s="15" t="s">
        <v>8</v>
      </c>
      <c r="D969" s="15" t="s">
        <v>8</v>
      </c>
      <c r="H969" s="15" t="s">
        <v>8</v>
      </c>
      <c r="K969" s="15" t="s">
        <v>8</v>
      </c>
      <c r="L969" s="15" t="s">
        <v>8</v>
      </c>
      <c r="M969" s="15" t="s">
        <v>8</v>
      </c>
      <c r="N969" s="15" t="s">
        <v>8</v>
      </c>
      <c r="P969" s="15" t="s">
        <v>8</v>
      </c>
      <c r="R969" s="15" t="s">
        <v>8</v>
      </c>
      <c r="T969" s="15" t="s">
        <v>8</v>
      </c>
      <c r="U969" s="8" t="s">
        <v>3</v>
      </c>
      <c r="V969" s="8" t="s">
        <v>6</v>
      </c>
    </row>
    <row r="970" spans="3:28" x14ac:dyDescent="0.35">
      <c r="C970" s="15" t="s">
        <v>8</v>
      </c>
      <c r="D970" s="15" t="s">
        <v>8</v>
      </c>
      <c r="H970" s="15" t="s">
        <v>8</v>
      </c>
      <c r="K970" s="15" t="s">
        <v>8</v>
      </c>
      <c r="L970" s="15" t="s">
        <v>8</v>
      </c>
      <c r="M970" s="15" t="s">
        <v>8</v>
      </c>
      <c r="N970" s="15" t="s">
        <v>8</v>
      </c>
      <c r="P970" s="15" t="s">
        <v>8</v>
      </c>
      <c r="R970" s="15" t="s">
        <v>8</v>
      </c>
      <c r="T970" s="15" t="s">
        <v>8</v>
      </c>
      <c r="U970" s="15" t="s">
        <v>8</v>
      </c>
      <c r="V970" s="20" t="str">
        <f>HYPERLINK("http://yeinfo.com/family/I09066885.html", "JOAN COLWICK &lt;2&gt; 1342 EN-1426 EN ID:09066888")</f>
        <v>JOAN COLWICK &lt;2&gt; 1342 EN-1426 EN ID:09066888</v>
      </c>
      <c r="W970" s="17"/>
      <c r="X970" s="17"/>
      <c r="Y970" s="17"/>
      <c r="Z970" s="17"/>
    </row>
    <row r="971" spans="3:28" x14ac:dyDescent="0.35">
      <c r="C971" s="15" t="s">
        <v>8</v>
      </c>
      <c r="D971" s="15" t="s">
        <v>8</v>
      </c>
      <c r="H971" s="15" t="s">
        <v>8</v>
      </c>
      <c r="K971" s="15" t="s">
        <v>8</v>
      </c>
      <c r="L971" s="15" t="s">
        <v>8</v>
      </c>
      <c r="M971" s="15" t="s">
        <v>8</v>
      </c>
      <c r="N971" s="15" t="s">
        <v>8</v>
      </c>
      <c r="P971" s="15" t="s">
        <v>8</v>
      </c>
      <c r="R971" s="15" t="s">
        <v>8</v>
      </c>
      <c r="T971" s="8" t="s">
        <v>6</v>
      </c>
      <c r="U971" s="15" t="s">
        <v>8</v>
      </c>
    </row>
    <row r="972" spans="3:28" x14ac:dyDescent="0.35">
      <c r="C972" s="15" t="s">
        <v>8</v>
      </c>
      <c r="D972" s="15" t="s">
        <v>8</v>
      </c>
      <c r="H972" s="15" t="s">
        <v>8</v>
      </c>
      <c r="K972" s="15" t="s">
        <v>8</v>
      </c>
      <c r="L972" s="15" t="s">
        <v>8</v>
      </c>
      <c r="M972" s="15" t="s">
        <v>8</v>
      </c>
      <c r="N972" s="15" t="s">
        <v>8</v>
      </c>
      <c r="P972" s="15" t="s">
        <v>8</v>
      </c>
      <c r="R972" s="15" t="s">
        <v>8</v>
      </c>
      <c r="T972" s="20" t="str">
        <f>HYPERLINK("http://yeinfo.com/family/I09066936.html", "ELIZABETH BYRON &lt;2&gt; 1393 EN-1460 EN ID:09066887")</f>
        <v>ELIZABETH BYRON &lt;2&gt; 1393 EN-1460 EN ID:09066887</v>
      </c>
      <c r="U972" s="17"/>
      <c r="V972" s="17"/>
      <c r="W972" s="17"/>
      <c r="X972" s="17"/>
    </row>
    <row r="973" spans="3:28" x14ac:dyDescent="0.35">
      <c r="C973" s="15" t="s">
        <v>8</v>
      </c>
      <c r="D973" s="15" t="s">
        <v>8</v>
      </c>
      <c r="H973" s="15" t="s">
        <v>8</v>
      </c>
      <c r="K973" s="15" t="s">
        <v>8</v>
      </c>
      <c r="L973" s="15" t="s">
        <v>8</v>
      </c>
      <c r="M973" s="15" t="s">
        <v>8</v>
      </c>
      <c r="N973" s="15" t="s">
        <v>8</v>
      </c>
      <c r="P973" s="15" t="s">
        <v>8</v>
      </c>
      <c r="R973" s="15" t="s">
        <v>8</v>
      </c>
      <c r="U973" s="15" t="s">
        <v>8</v>
      </c>
    </row>
    <row r="974" spans="3:28" x14ac:dyDescent="0.35">
      <c r="C974" s="15" t="s">
        <v>8</v>
      </c>
      <c r="D974" s="15" t="s">
        <v>8</v>
      </c>
      <c r="H974" s="15" t="s">
        <v>8</v>
      </c>
      <c r="K974" s="15" t="s">
        <v>8</v>
      </c>
      <c r="L974" s="15" t="s">
        <v>8</v>
      </c>
      <c r="M974" s="15" t="s">
        <v>8</v>
      </c>
      <c r="N974" s="15" t="s">
        <v>8</v>
      </c>
      <c r="P974" s="15" t="s">
        <v>8</v>
      </c>
      <c r="R974" s="15" t="s">
        <v>8</v>
      </c>
      <c r="U974" s="15" t="s">
        <v>8</v>
      </c>
      <c r="X974" s="19" t="str">
        <f>HYPERLINK("http://yeinfo.com/family/I09066873.html", "JOHN BOOTH &lt;2&gt; 1280 EN-1370 EN ID:09066872")</f>
        <v>JOHN BOOTH &lt;2&gt; 1280 EN-1370 EN ID:09066872</v>
      </c>
      <c r="Y974" s="9"/>
      <c r="Z974" s="9"/>
      <c r="AA974" s="9"/>
      <c r="AB974" s="9"/>
    </row>
    <row r="975" spans="3:28" x14ac:dyDescent="0.35">
      <c r="C975" s="15" t="s">
        <v>8</v>
      </c>
      <c r="D975" s="15" t="s">
        <v>8</v>
      </c>
      <c r="H975" s="15" t="s">
        <v>8</v>
      </c>
      <c r="K975" s="15" t="s">
        <v>8</v>
      </c>
      <c r="L975" s="15" t="s">
        <v>8</v>
      </c>
      <c r="M975" s="15" t="s">
        <v>8</v>
      </c>
      <c r="N975" s="15" t="s">
        <v>8</v>
      </c>
      <c r="P975" s="15" t="s">
        <v>8</v>
      </c>
      <c r="R975" s="15" t="s">
        <v>8</v>
      </c>
      <c r="U975" s="15" t="s">
        <v>8</v>
      </c>
      <c r="X975" s="8" t="s">
        <v>3</v>
      </c>
    </row>
    <row r="976" spans="3:28" x14ac:dyDescent="0.35">
      <c r="C976" s="15" t="s">
        <v>8</v>
      </c>
      <c r="D976" s="15" t="s">
        <v>8</v>
      </c>
      <c r="H976" s="15" t="s">
        <v>8</v>
      </c>
      <c r="K976" s="15" t="s">
        <v>8</v>
      </c>
      <c r="L976" s="15" t="s">
        <v>8</v>
      </c>
      <c r="M976" s="15" t="s">
        <v>8</v>
      </c>
      <c r="N976" s="15" t="s">
        <v>8</v>
      </c>
      <c r="P976" s="15" t="s">
        <v>8</v>
      </c>
      <c r="R976" s="15" t="s">
        <v>8</v>
      </c>
      <c r="U976" s="15" t="s">
        <v>8</v>
      </c>
      <c r="W976" s="19" t="str">
        <f>HYPERLINK("http://yeinfo.com/family/I09066874.html", "JOHN THOMAS BOOTH &lt;2&gt; 1320 EN-1368 EN ID:09066873")</f>
        <v>JOHN THOMAS BOOTH &lt;2&gt; 1320 EN-1368 EN ID:09066873</v>
      </c>
      <c r="X976" s="9"/>
      <c r="Y976" s="9"/>
      <c r="Z976" s="9"/>
      <c r="AA976" s="9"/>
    </row>
    <row r="977" spans="3:30" x14ac:dyDescent="0.35">
      <c r="C977" s="15" t="s">
        <v>8</v>
      </c>
      <c r="D977" s="15" t="s">
        <v>8</v>
      </c>
      <c r="H977" s="15" t="s">
        <v>8</v>
      </c>
      <c r="K977" s="15" t="s">
        <v>8</v>
      </c>
      <c r="L977" s="15" t="s">
        <v>8</v>
      </c>
      <c r="M977" s="15" t="s">
        <v>8</v>
      </c>
      <c r="N977" s="15" t="s">
        <v>8</v>
      </c>
      <c r="P977" s="15" t="s">
        <v>8</v>
      </c>
      <c r="R977" s="15" t="s">
        <v>8</v>
      </c>
      <c r="U977" s="15" t="s">
        <v>8</v>
      </c>
      <c r="W977" s="8" t="s">
        <v>3</v>
      </c>
      <c r="X977" s="8" t="s">
        <v>6</v>
      </c>
    </row>
    <row r="978" spans="3:30" x14ac:dyDescent="0.35">
      <c r="C978" s="15" t="s">
        <v>8</v>
      </c>
      <c r="D978" s="15" t="s">
        <v>8</v>
      </c>
      <c r="H978" s="15" t="s">
        <v>8</v>
      </c>
      <c r="K978" s="15" t="s">
        <v>8</v>
      </c>
      <c r="L978" s="15" t="s">
        <v>8</v>
      </c>
      <c r="M978" s="15" t="s">
        <v>8</v>
      </c>
      <c r="N978" s="15" t="s">
        <v>8</v>
      </c>
      <c r="P978" s="15" t="s">
        <v>8</v>
      </c>
      <c r="R978" s="15" t="s">
        <v>8</v>
      </c>
      <c r="U978" s="15" t="s">
        <v>8</v>
      </c>
      <c r="W978" s="15" t="s">
        <v>8</v>
      </c>
      <c r="X978" s="20" t="str">
        <f>HYPERLINK("http://yeinfo.com/family/I09066872.html", "AGNES BARTON &lt;2&gt; 1276 EN-1350 EN ID:09066868")</f>
        <v>AGNES BARTON &lt;2&gt; 1276 EN-1350 EN ID:09066868</v>
      </c>
      <c r="Y978" s="17"/>
      <c r="Z978" s="17"/>
      <c r="AA978" s="17"/>
      <c r="AB978" s="17"/>
    </row>
    <row r="979" spans="3:30" x14ac:dyDescent="0.35">
      <c r="C979" s="15" t="s">
        <v>8</v>
      </c>
      <c r="D979" s="15" t="s">
        <v>8</v>
      </c>
      <c r="H979" s="15" t="s">
        <v>8</v>
      </c>
      <c r="K979" s="15" t="s">
        <v>8</v>
      </c>
      <c r="L979" s="15" t="s">
        <v>8</v>
      </c>
      <c r="M979" s="15" t="s">
        <v>8</v>
      </c>
      <c r="N979" s="15" t="s">
        <v>8</v>
      </c>
      <c r="P979" s="15" t="s">
        <v>8</v>
      </c>
      <c r="R979" s="15" t="s">
        <v>8</v>
      </c>
      <c r="U979" s="15" t="s">
        <v>8</v>
      </c>
      <c r="W979" s="15" t="s">
        <v>8</v>
      </c>
    </row>
    <row r="980" spans="3:30" x14ac:dyDescent="0.35">
      <c r="C980" s="15" t="s">
        <v>8</v>
      </c>
      <c r="D980" s="15" t="s">
        <v>8</v>
      </c>
      <c r="H980" s="15" t="s">
        <v>8</v>
      </c>
      <c r="K980" s="15" t="s">
        <v>8</v>
      </c>
      <c r="L980" s="15" t="s">
        <v>8</v>
      </c>
      <c r="M980" s="15" t="s">
        <v>8</v>
      </c>
      <c r="N980" s="15" t="s">
        <v>8</v>
      </c>
      <c r="P980" s="15" t="s">
        <v>8</v>
      </c>
      <c r="R980" s="15" t="s">
        <v>8</v>
      </c>
      <c r="U980" s="15" t="s">
        <v>8</v>
      </c>
      <c r="V980" s="19" t="str">
        <f>HYPERLINK("http://yeinfo.com/family/I09066875.html", "JOHN BOOTH &lt;2&gt; 1324 EN-1422 EN ID:09066874")</f>
        <v>JOHN BOOTH &lt;2&gt; 1324 EN-1422 EN ID:09066874</v>
      </c>
      <c r="W980" s="9"/>
      <c r="X980" s="9"/>
      <c r="Y980" s="9"/>
      <c r="Z980" s="9"/>
    </row>
    <row r="981" spans="3:30" x14ac:dyDescent="0.35">
      <c r="C981" s="15" t="s">
        <v>8</v>
      </c>
      <c r="D981" s="15" t="s">
        <v>8</v>
      </c>
      <c r="H981" s="15" t="s">
        <v>8</v>
      </c>
      <c r="K981" s="15" t="s">
        <v>8</v>
      </c>
      <c r="L981" s="15" t="s">
        <v>8</v>
      </c>
      <c r="M981" s="15" t="s">
        <v>8</v>
      </c>
      <c r="N981" s="15" t="s">
        <v>8</v>
      </c>
      <c r="P981" s="15" t="s">
        <v>8</v>
      </c>
      <c r="R981" s="15" t="s">
        <v>8</v>
      </c>
      <c r="U981" s="15" t="s">
        <v>8</v>
      </c>
      <c r="V981" s="8" t="s">
        <v>3</v>
      </c>
      <c r="W981" s="15" t="s">
        <v>8</v>
      </c>
    </row>
    <row r="982" spans="3:30" x14ac:dyDescent="0.35">
      <c r="C982" s="15" t="s">
        <v>8</v>
      </c>
      <c r="D982" s="15" t="s">
        <v>8</v>
      </c>
      <c r="H982" s="15" t="s">
        <v>8</v>
      </c>
      <c r="K982" s="15" t="s">
        <v>8</v>
      </c>
      <c r="L982" s="15" t="s">
        <v>8</v>
      </c>
      <c r="M982" s="15" t="s">
        <v>8</v>
      </c>
      <c r="N982" s="15" t="s">
        <v>8</v>
      </c>
      <c r="P982" s="15" t="s">
        <v>8</v>
      </c>
      <c r="R982" s="15" t="s">
        <v>8</v>
      </c>
      <c r="U982" s="15" t="s">
        <v>8</v>
      </c>
      <c r="V982" s="15" t="s">
        <v>8</v>
      </c>
      <c r="W982" s="15" t="s">
        <v>8</v>
      </c>
      <c r="Z982" s="19" t="str">
        <f>HYPERLINK("http://yeinfo.com/family/I09066999.html", "RICHARD WORSLEY &lt;4&gt; 1218 EN-1292 NO ID:09066999")</f>
        <v>RICHARD WORSLEY &lt;4&gt; 1218 EN-1292 NO ID:09066999</v>
      </c>
      <c r="AA982" s="9"/>
      <c r="AB982" s="9"/>
      <c r="AC982" s="9"/>
      <c r="AD982" s="9"/>
    </row>
    <row r="983" spans="3:30" x14ac:dyDescent="0.35">
      <c r="C983" s="15" t="s">
        <v>8</v>
      </c>
      <c r="D983" s="15" t="s">
        <v>8</v>
      </c>
      <c r="H983" s="15" t="s">
        <v>8</v>
      </c>
      <c r="K983" s="15" t="s">
        <v>8</v>
      </c>
      <c r="L983" s="15" t="s">
        <v>8</v>
      </c>
      <c r="M983" s="15" t="s">
        <v>8</v>
      </c>
      <c r="N983" s="15" t="s">
        <v>8</v>
      </c>
      <c r="P983" s="15" t="s">
        <v>8</v>
      </c>
      <c r="R983" s="15" t="s">
        <v>8</v>
      </c>
      <c r="U983" s="15" t="s">
        <v>8</v>
      </c>
      <c r="V983" s="15" t="s">
        <v>8</v>
      </c>
      <c r="W983" s="15" t="s">
        <v>8</v>
      </c>
      <c r="Z983" s="8" t="s">
        <v>3</v>
      </c>
    </row>
    <row r="984" spans="3:30" x14ac:dyDescent="0.35">
      <c r="C984" s="15" t="s">
        <v>8</v>
      </c>
      <c r="D984" s="15" t="s">
        <v>8</v>
      </c>
      <c r="H984" s="15" t="s">
        <v>8</v>
      </c>
      <c r="K984" s="15" t="s">
        <v>8</v>
      </c>
      <c r="L984" s="15" t="s">
        <v>8</v>
      </c>
      <c r="M984" s="15" t="s">
        <v>8</v>
      </c>
      <c r="N984" s="15" t="s">
        <v>8</v>
      </c>
      <c r="P984" s="15" t="s">
        <v>8</v>
      </c>
      <c r="R984" s="15" t="s">
        <v>8</v>
      </c>
      <c r="U984" s="15" t="s">
        <v>8</v>
      </c>
      <c r="V984" s="15" t="s">
        <v>8</v>
      </c>
      <c r="W984" s="15" t="s">
        <v>8</v>
      </c>
      <c r="Y984" s="19" t="str">
        <f>HYPERLINK("http://yeinfo.com/family/I09067001.html", "HENRY WORSLEY &lt;4&gt; 1240 EN-1303 EN ID:09067001")</f>
        <v>HENRY WORSLEY &lt;4&gt; 1240 EN-1303 EN ID:09067001</v>
      </c>
      <c r="Z984" s="9"/>
      <c r="AA984" s="9"/>
      <c r="AB984" s="9"/>
      <c r="AC984" s="9"/>
    </row>
    <row r="985" spans="3:30" x14ac:dyDescent="0.35">
      <c r="C985" s="15" t="s">
        <v>8</v>
      </c>
      <c r="D985" s="15" t="s">
        <v>8</v>
      </c>
      <c r="H985" s="15" t="s">
        <v>8</v>
      </c>
      <c r="K985" s="15" t="s">
        <v>8</v>
      </c>
      <c r="L985" s="15" t="s">
        <v>8</v>
      </c>
      <c r="M985" s="15" t="s">
        <v>8</v>
      </c>
      <c r="N985" s="15" t="s">
        <v>8</v>
      </c>
      <c r="P985" s="15" t="s">
        <v>8</v>
      </c>
      <c r="R985" s="15" t="s">
        <v>8</v>
      </c>
      <c r="U985" s="15" t="s">
        <v>8</v>
      </c>
      <c r="V985" s="15" t="s">
        <v>8</v>
      </c>
      <c r="W985" s="15" t="s">
        <v>8</v>
      </c>
      <c r="Y985" s="8" t="s">
        <v>3</v>
      </c>
      <c r="Z985" s="8" t="s">
        <v>6</v>
      </c>
    </row>
    <row r="986" spans="3:30" x14ac:dyDescent="0.35">
      <c r="C986" s="15" t="s">
        <v>8</v>
      </c>
      <c r="D986" s="15" t="s">
        <v>8</v>
      </c>
      <c r="H986" s="15" t="s">
        <v>8</v>
      </c>
      <c r="K986" s="15" t="s">
        <v>8</v>
      </c>
      <c r="L986" s="15" t="s">
        <v>8</v>
      </c>
      <c r="M986" s="15" t="s">
        <v>8</v>
      </c>
      <c r="N986" s="15" t="s">
        <v>8</v>
      </c>
      <c r="P986" s="15" t="s">
        <v>8</v>
      </c>
      <c r="R986" s="15" t="s">
        <v>8</v>
      </c>
      <c r="U986" s="15" t="s">
        <v>8</v>
      </c>
      <c r="V986" s="15" t="s">
        <v>8</v>
      </c>
      <c r="W986" s="15" t="s">
        <v>8</v>
      </c>
      <c r="Y986" s="15" t="s">
        <v>8</v>
      </c>
      <c r="Z986" s="20" t="str">
        <f>HYPERLINK("http://yeinfo.com/family/I09066998.html", "MAUD WARDLEY &lt;4&gt; 1240 EN-1277 EN ID:09066998")</f>
        <v>MAUD WARDLEY &lt;4&gt; 1240 EN-1277 EN ID:09066998</v>
      </c>
      <c r="AA986" s="17"/>
      <c r="AB986" s="17"/>
      <c r="AC986" s="17"/>
      <c r="AD986" s="17"/>
    </row>
    <row r="987" spans="3:30" x14ac:dyDescent="0.35">
      <c r="C987" s="15" t="s">
        <v>8</v>
      </c>
      <c r="D987" s="15" t="s">
        <v>8</v>
      </c>
      <c r="H987" s="15" t="s">
        <v>8</v>
      </c>
      <c r="K987" s="15" t="s">
        <v>8</v>
      </c>
      <c r="L987" s="15" t="s">
        <v>8</v>
      </c>
      <c r="M987" s="15" t="s">
        <v>8</v>
      </c>
      <c r="N987" s="15" t="s">
        <v>8</v>
      </c>
      <c r="P987" s="15" t="s">
        <v>8</v>
      </c>
      <c r="R987" s="15" t="s">
        <v>8</v>
      </c>
      <c r="U987" s="15" t="s">
        <v>8</v>
      </c>
      <c r="V987" s="15" t="s">
        <v>8</v>
      </c>
      <c r="W987" s="15" t="s">
        <v>8</v>
      </c>
      <c r="Y987" s="15" t="s">
        <v>8</v>
      </c>
    </row>
    <row r="988" spans="3:30" x14ac:dyDescent="0.35">
      <c r="C988" s="15" t="s">
        <v>8</v>
      </c>
      <c r="D988" s="15" t="s">
        <v>8</v>
      </c>
      <c r="H988" s="15" t="s">
        <v>8</v>
      </c>
      <c r="K988" s="15" t="s">
        <v>8</v>
      </c>
      <c r="L988" s="15" t="s">
        <v>8</v>
      </c>
      <c r="M988" s="15" t="s">
        <v>8</v>
      </c>
      <c r="N988" s="15" t="s">
        <v>8</v>
      </c>
      <c r="P988" s="15" t="s">
        <v>8</v>
      </c>
      <c r="R988" s="15" t="s">
        <v>8</v>
      </c>
      <c r="U988" s="15" t="s">
        <v>8</v>
      </c>
      <c r="V988" s="15" t="s">
        <v>8</v>
      </c>
      <c r="W988" s="15" t="s">
        <v>8</v>
      </c>
      <c r="X988" s="19" t="str">
        <f>HYPERLINK("http://yeinfo.com/family/I09067007.html", "ROBERT WORSLEY &lt;2&gt; 1294 EN-1325 EN ID:09067004")</f>
        <v>ROBERT WORSLEY &lt;2&gt; 1294 EN-1325 EN ID:09067004</v>
      </c>
      <c r="Y988" s="9"/>
      <c r="Z988" s="9"/>
      <c r="AA988" s="9"/>
      <c r="AB988" s="9"/>
    </row>
    <row r="989" spans="3:30" x14ac:dyDescent="0.35">
      <c r="C989" s="15" t="s">
        <v>8</v>
      </c>
      <c r="D989" s="15" t="s">
        <v>8</v>
      </c>
      <c r="H989" s="15" t="s">
        <v>8</v>
      </c>
      <c r="K989" s="15" t="s">
        <v>8</v>
      </c>
      <c r="L989" s="15" t="s">
        <v>8</v>
      </c>
      <c r="M989" s="15" t="s">
        <v>8</v>
      </c>
      <c r="N989" s="15" t="s">
        <v>8</v>
      </c>
      <c r="P989" s="15" t="s">
        <v>8</v>
      </c>
      <c r="R989" s="15" t="s">
        <v>8</v>
      </c>
      <c r="U989" s="15" t="s">
        <v>8</v>
      </c>
      <c r="V989" s="15" t="s">
        <v>8</v>
      </c>
      <c r="W989" s="15" t="s">
        <v>8</v>
      </c>
      <c r="X989" s="8" t="s">
        <v>3</v>
      </c>
      <c r="Y989" s="15" t="s">
        <v>8</v>
      </c>
    </row>
    <row r="990" spans="3:30" x14ac:dyDescent="0.35">
      <c r="C990" s="15" t="s">
        <v>8</v>
      </c>
      <c r="D990" s="15" t="s">
        <v>8</v>
      </c>
      <c r="H990" s="15" t="s">
        <v>8</v>
      </c>
      <c r="K990" s="15" t="s">
        <v>8</v>
      </c>
      <c r="L990" s="15" t="s">
        <v>8</v>
      </c>
      <c r="M990" s="15" t="s">
        <v>8</v>
      </c>
      <c r="N990" s="15" t="s">
        <v>8</v>
      </c>
      <c r="P990" s="15" t="s">
        <v>8</v>
      </c>
      <c r="R990" s="15" t="s">
        <v>8</v>
      </c>
      <c r="U990" s="15" t="s">
        <v>8</v>
      </c>
      <c r="V990" s="15" t="s">
        <v>8</v>
      </c>
      <c r="W990" s="15" t="s">
        <v>8</v>
      </c>
      <c r="X990" s="15" t="s">
        <v>8</v>
      </c>
      <c r="Y990" s="15" t="s">
        <v>8</v>
      </c>
      <c r="Z990" s="19" t="str">
        <f>HYPERLINK("http://yeinfo.com/family/I09066974.html", "ROBERT SHORESWORTH &lt;4&gt; 1235 EN-1300 EN ID:09066974")</f>
        <v>ROBERT SHORESWORTH &lt;4&gt; 1235 EN-1300 EN ID:09066974</v>
      </c>
      <c r="AA990" s="9"/>
      <c r="AB990" s="9"/>
      <c r="AC990" s="9"/>
      <c r="AD990" s="9"/>
    </row>
    <row r="991" spans="3:30" x14ac:dyDescent="0.35">
      <c r="C991" s="15" t="s">
        <v>8</v>
      </c>
      <c r="D991" s="15" t="s">
        <v>8</v>
      </c>
      <c r="H991" s="15" t="s">
        <v>8</v>
      </c>
      <c r="K991" s="15" t="s">
        <v>8</v>
      </c>
      <c r="L991" s="15" t="s">
        <v>8</v>
      </c>
      <c r="M991" s="15" t="s">
        <v>8</v>
      </c>
      <c r="N991" s="15" t="s">
        <v>8</v>
      </c>
      <c r="P991" s="15" t="s">
        <v>8</v>
      </c>
      <c r="R991" s="15" t="s">
        <v>8</v>
      </c>
      <c r="U991" s="15" t="s">
        <v>8</v>
      </c>
      <c r="V991" s="15" t="s">
        <v>8</v>
      </c>
      <c r="W991" s="15" t="s">
        <v>8</v>
      </c>
      <c r="X991" s="15" t="s">
        <v>8</v>
      </c>
      <c r="Y991" s="8" t="s">
        <v>6</v>
      </c>
      <c r="Z991" s="8" t="s">
        <v>3</v>
      </c>
    </row>
    <row r="992" spans="3:30" x14ac:dyDescent="0.35">
      <c r="C992" s="15" t="s">
        <v>8</v>
      </c>
      <c r="D992" s="15" t="s">
        <v>8</v>
      </c>
      <c r="H992" s="15" t="s">
        <v>8</v>
      </c>
      <c r="K992" s="15" t="s">
        <v>8</v>
      </c>
      <c r="L992" s="15" t="s">
        <v>8</v>
      </c>
      <c r="M992" s="15" t="s">
        <v>8</v>
      </c>
      <c r="N992" s="15" t="s">
        <v>8</v>
      </c>
      <c r="P992" s="15" t="s">
        <v>8</v>
      </c>
      <c r="R992" s="15" t="s">
        <v>8</v>
      </c>
      <c r="U992" s="15" t="s">
        <v>8</v>
      </c>
      <c r="V992" s="15" t="s">
        <v>8</v>
      </c>
      <c r="W992" s="15" t="s">
        <v>8</v>
      </c>
      <c r="X992" s="15" t="s">
        <v>8</v>
      </c>
      <c r="Y992" s="20" t="str">
        <f>HYPERLINK("http://yeinfo.com/family/I09066975.html", "MARGARET SHORESWORTH &lt;4&gt; 1265 EN-1343 EN ID:09066975")</f>
        <v>MARGARET SHORESWORTH &lt;4&gt; 1265 EN-1343 EN ID:09066975</v>
      </c>
      <c r="Z992" s="17"/>
      <c r="AA992" s="17"/>
      <c r="AB992" s="17"/>
      <c r="AC992" s="17"/>
    </row>
    <row r="993" spans="3:30" x14ac:dyDescent="0.35">
      <c r="C993" s="15" t="s">
        <v>8</v>
      </c>
      <c r="D993" s="15" t="s">
        <v>8</v>
      </c>
      <c r="H993" s="15" t="s">
        <v>8</v>
      </c>
      <c r="K993" s="15" t="s">
        <v>8</v>
      </c>
      <c r="L993" s="15" t="s">
        <v>8</v>
      </c>
      <c r="M993" s="15" t="s">
        <v>8</v>
      </c>
      <c r="N993" s="15" t="s">
        <v>8</v>
      </c>
      <c r="P993" s="15" t="s">
        <v>8</v>
      </c>
      <c r="R993" s="15" t="s">
        <v>8</v>
      </c>
      <c r="U993" s="15" t="s">
        <v>8</v>
      </c>
      <c r="V993" s="15" t="s">
        <v>8</v>
      </c>
      <c r="W993" s="15" t="s">
        <v>8</v>
      </c>
      <c r="X993" s="15" t="s">
        <v>8</v>
      </c>
      <c r="Z993" s="8" t="s">
        <v>6</v>
      </c>
    </row>
    <row r="994" spans="3:30" x14ac:dyDescent="0.35">
      <c r="C994" s="15" t="s">
        <v>8</v>
      </c>
      <c r="D994" s="15" t="s">
        <v>8</v>
      </c>
      <c r="H994" s="15" t="s">
        <v>8</v>
      </c>
      <c r="K994" s="15" t="s">
        <v>8</v>
      </c>
      <c r="L994" s="15" t="s">
        <v>8</v>
      </c>
      <c r="M994" s="15" t="s">
        <v>8</v>
      </c>
      <c r="N994" s="15" t="s">
        <v>8</v>
      </c>
      <c r="P994" s="15" t="s">
        <v>8</v>
      </c>
      <c r="R994" s="15" t="s">
        <v>8</v>
      </c>
      <c r="U994" s="15" t="s">
        <v>8</v>
      </c>
      <c r="V994" s="15" t="s">
        <v>8</v>
      </c>
      <c r="W994" s="15" t="s">
        <v>8</v>
      </c>
      <c r="X994" s="15" t="s">
        <v>8</v>
      </c>
      <c r="Z994" s="20" t="str">
        <f>HYPERLINK("http://yeinfo.com/family/I09066900.html", "CECILY DENTON &lt;4&gt; 1242 EN-1299 EN ID:09066900")</f>
        <v>CECILY DENTON &lt;4&gt; 1242 EN-1299 EN ID:09066900</v>
      </c>
      <c r="AA994" s="17"/>
      <c r="AB994" s="17"/>
      <c r="AC994" s="17"/>
      <c r="AD994" s="17"/>
    </row>
    <row r="995" spans="3:30" x14ac:dyDescent="0.35">
      <c r="C995" s="15" t="s">
        <v>8</v>
      </c>
      <c r="D995" s="15" t="s">
        <v>8</v>
      </c>
      <c r="H995" s="15" t="s">
        <v>8</v>
      </c>
      <c r="K995" s="15" t="s">
        <v>8</v>
      </c>
      <c r="L995" s="15" t="s">
        <v>8</v>
      </c>
      <c r="M995" s="15" t="s">
        <v>8</v>
      </c>
      <c r="N995" s="15" t="s">
        <v>8</v>
      </c>
      <c r="P995" s="15" t="s">
        <v>8</v>
      </c>
      <c r="R995" s="15" t="s">
        <v>8</v>
      </c>
      <c r="U995" s="15" t="s">
        <v>8</v>
      </c>
      <c r="V995" s="15" t="s">
        <v>8</v>
      </c>
      <c r="W995" s="8" t="s">
        <v>6</v>
      </c>
      <c r="X995" s="15" t="s">
        <v>8</v>
      </c>
    </row>
    <row r="996" spans="3:30" x14ac:dyDescent="0.35">
      <c r="C996" s="15" t="s">
        <v>8</v>
      </c>
      <c r="D996" s="15" t="s">
        <v>8</v>
      </c>
      <c r="H996" s="15" t="s">
        <v>8</v>
      </c>
      <c r="K996" s="15" t="s">
        <v>8</v>
      </c>
      <c r="L996" s="15" t="s">
        <v>8</v>
      </c>
      <c r="M996" s="15" t="s">
        <v>8</v>
      </c>
      <c r="N996" s="15" t="s">
        <v>8</v>
      </c>
      <c r="P996" s="15" t="s">
        <v>8</v>
      </c>
      <c r="R996" s="15" t="s">
        <v>8</v>
      </c>
      <c r="U996" s="15" t="s">
        <v>8</v>
      </c>
      <c r="V996" s="15" t="s">
        <v>8</v>
      </c>
      <c r="W996" s="20" t="str">
        <f>HYPERLINK("http://yeinfo.com/family/I09066868.html", "ELENA WORSLEY &lt;2&gt; 1325 EN-1360 EN ID:09067007")</f>
        <v>ELENA WORSLEY &lt;2&gt; 1325 EN-1360 EN ID:09067007</v>
      </c>
      <c r="X996" s="17"/>
      <c r="Y996" s="17"/>
      <c r="Z996" s="17"/>
      <c r="AA996" s="17"/>
    </row>
    <row r="997" spans="3:30" x14ac:dyDescent="0.35">
      <c r="C997" s="15" t="s">
        <v>8</v>
      </c>
      <c r="D997" s="15" t="s">
        <v>8</v>
      </c>
      <c r="H997" s="15" t="s">
        <v>8</v>
      </c>
      <c r="K997" s="15" t="s">
        <v>8</v>
      </c>
      <c r="L997" s="15" t="s">
        <v>8</v>
      </c>
      <c r="M997" s="15" t="s">
        <v>8</v>
      </c>
      <c r="N997" s="15" t="s">
        <v>8</v>
      </c>
      <c r="P997" s="15" t="s">
        <v>8</v>
      </c>
      <c r="R997" s="15" t="s">
        <v>8</v>
      </c>
      <c r="U997" s="15" t="s">
        <v>8</v>
      </c>
      <c r="V997" s="15" t="s">
        <v>8</v>
      </c>
      <c r="X997" s="15" t="s">
        <v>8</v>
      </c>
    </row>
    <row r="998" spans="3:30" x14ac:dyDescent="0.35">
      <c r="C998" s="15" t="s">
        <v>8</v>
      </c>
      <c r="D998" s="15" t="s">
        <v>8</v>
      </c>
      <c r="H998" s="15" t="s">
        <v>8</v>
      </c>
      <c r="K998" s="15" t="s">
        <v>8</v>
      </c>
      <c r="L998" s="15" t="s">
        <v>8</v>
      </c>
      <c r="M998" s="15" t="s">
        <v>8</v>
      </c>
      <c r="N998" s="15" t="s">
        <v>8</v>
      </c>
      <c r="P998" s="15" t="s">
        <v>8</v>
      </c>
      <c r="R998" s="15" t="s">
        <v>8</v>
      </c>
      <c r="U998" s="15" t="s">
        <v>8</v>
      </c>
      <c r="V998" s="15" t="s">
        <v>8</v>
      </c>
      <c r="X998" s="15" t="s">
        <v>8</v>
      </c>
      <c r="Z998" s="19" t="str">
        <f>HYPERLINK("http://yeinfo.com/family/I09066880.html", "RANULPH BROMLEY II &lt;2&gt; 1270 EN-1330 EN ID:09066879")</f>
        <v>RANULPH BROMLEY II &lt;2&gt; 1270 EN-1330 EN ID:09066879</v>
      </c>
      <c r="AA998" s="9"/>
      <c r="AB998" s="9"/>
      <c r="AC998" s="9"/>
      <c r="AD998" s="9"/>
    </row>
    <row r="999" spans="3:30" x14ac:dyDescent="0.35">
      <c r="C999" s="15" t="s">
        <v>8</v>
      </c>
      <c r="D999" s="15" t="s">
        <v>8</v>
      </c>
      <c r="H999" s="15" t="s">
        <v>8</v>
      </c>
      <c r="K999" s="15" t="s">
        <v>8</v>
      </c>
      <c r="L999" s="15" t="s">
        <v>8</v>
      </c>
      <c r="M999" s="15" t="s">
        <v>8</v>
      </c>
      <c r="N999" s="15" t="s">
        <v>8</v>
      </c>
      <c r="P999" s="15" t="s">
        <v>8</v>
      </c>
      <c r="R999" s="15" t="s">
        <v>8</v>
      </c>
      <c r="U999" s="15" t="s">
        <v>8</v>
      </c>
      <c r="V999" s="15" t="s">
        <v>8</v>
      </c>
      <c r="X999" s="15" t="s">
        <v>8</v>
      </c>
      <c r="Z999" s="8" t="s">
        <v>3</v>
      </c>
    </row>
    <row r="1000" spans="3:30" x14ac:dyDescent="0.35">
      <c r="C1000" s="15" t="s">
        <v>8</v>
      </c>
      <c r="D1000" s="15" t="s">
        <v>8</v>
      </c>
      <c r="H1000" s="15" t="s">
        <v>8</v>
      </c>
      <c r="K1000" s="15" t="s">
        <v>8</v>
      </c>
      <c r="L1000" s="15" t="s">
        <v>8</v>
      </c>
      <c r="M1000" s="15" t="s">
        <v>8</v>
      </c>
      <c r="N1000" s="15" t="s">
        <v>8</v>
      </c>
      <c r="P1000" s="15" t="s">
        <v>8</v>
      </c>
      <c r="R1000" s="15" t="s">
        <v>8</v>
      </c>
      <c r="U1000" s="15" t="s">
        <v>8</v>
      </c>
      <c r="V1000" s="15" t="s">
        <v>8</v>
      </c>
      <c r="X1000" s="15" t="s">
        <v>8</v>
      </c>
      <c r="Y1000" s="19" t="str">
        <f>HYPERLINK("http://yeinfo.com/family/I09066881.html", "JOHN BROMLEY &lt;2&gt; 1292 EN-1359 EN ID:09066880")</f>
        <v>JOHN BROMLEY &lt;2&gt; 1292 EN-1359 EN ID:09066880</v>
      </c>
      <c r="Z1000" s="9"/>
      <c r="AA1000" s="9"/>
      <c r="AB1000" s="9"/>
      <c r="AC1000" s="9"/>
    </row>
    <row r="1001" spans="3:30" x14ac:dyDescent="0.35">
      <c r="C1001" s="15" t="s">
        <v>8</v>
      </c>
      <c r="D1001" s="15" t="s">
        <v>8</v>
      </c>
      <c r="H1001" s="15" t="s">
        <v>8</v>
      </c>
      <c r="K1001" s="15" t="s">
        <v>8</v>
      </c>
      <c r="L1001" s="15" t="s">
        <v>8</v>
      </c>
      <c r="M1001" s="15" t="s">
        <v>8</v>
      </c>
      <c r="N1001" s="15" t="s">
        <v>8</v>
      </c>
      <c r="P1001" s="15" t="s">
        <v>8</v>
      </c>
      <c r="R1001" s="15" t="s">
        <v>8</v>
      </c>
      <c r="U1001" s="15" t="s">
        <v>8</v>
      </c>
      <c r="V1001" s="15" t="s">
        <v>8</v>
      </c>
      <c r="X1001" s="15" t="s">
        <v>8</v>
      </c>
      <c r="Y1001" s="8" t="s">
        <v>3</v>
      </c>
      <c r="Z1001" s="8" t="s">
        <v>6</v>
      </c>
    </row>
    <row r="1002" spans="3:30" x14ac:dyDescent="0.35">
      <c r="C1002" s="15" t="s">
        <v>8</v>
      </c>
      <c r="D1002" s="15" t="s">
        <v>8</v>
      </c>
      <c r="H1002" s="15" t="s">
        <v>8</v>
      </c>
      <c r="K1002" s="15" t="s">
        <v>8</v>
      </c>
      <c r="L1002" s="15" t="s">
        <v>8</v>
      </c>
      <c r="M1002" s="15" t="s">
        <v>8</v>
      </c>
      <c r="N1002" s="15" t="s">
        <v>8</v>
      </c>
      <c r="P1002" s="15" t="s">
        <v>8</v>
      </c>
      <c r="R1002" s="15" t="s">
        <v>8</v>
      </c>
      <c r="U1002" s="15" t="s">
        <v>8</v>
      </c>
      <c r="V1002" s="15" t="s">
        <v>8</v>
      </c>
      <c r="X1002" s="15" t="s">
        <v>8</v>
      </c>
      <c r="Y1002" s="15" t="s">
        <v>8</v>
      </c>
      <c r="Z1002" s="20" t="str">
        <f>HYPERLINK("http://yeinfo.com/family/I09066879.html", "AGNES DIMSDALE &lt;2&gt; 1277 EN-1330 EN ID:09066901")</f>
        <v>AGNES DIMSDALE &lt;2&gt; 1277 EN-1330 EN ID:09066901</v>
      </c>
      <c r="AA1002" s="17"/>
      <c r="AB1002" s="17"/>
      <c r="AC1002" s="17"/>
      <c r="AD1002" s="17"/>
    </row>
    <row r="1003" spans="3:30" x14ac:dyDescent="0.35">
      <c r="C1003" s="15" t="s">
        <v>8</v>
      </c>
      <c r="D1003" s="15" t="s">
        <v>8</v>
      </c>
      <c r="H1003" s="15" t="s">
        <v>8</v>
      </c>
      <c r="K1003" s="15" t="s">
        <v>8</v>
      </c>
      <c r="L1003" s="15" t="s">
        <v>8</v>
      </c>
      <c r="M1003" s="15" t="s">
        <v>8</v>
      </c>
      <c r="N1003" s="15" t="s">
        <v>8</v>
      </c>
      <c r="P1003" s="15" t="s">
        <v>8</v>
      </c>
      <c r="R1003" s="15" t="s">
        <v>8</v>
      </c>
      <c r="U1003" s="15" t="s">
        <v>8</v>
      </c>
      <c r="V1003" s="15" t="s">
        <v>8</v>
      </c>
      <c r="X1003" s="8" t="s">
        <v>6</v>
      </c>
      <c r="Y1003" s="15" t="s">
        <v>8</v>
      </c>
    </row>
    <row r="1004" spans="3:30" x14ac:dyDescent="0.35">
      <c r="C1004" s="15" t="s">
        <v>8</v>
      </c>
      <c r="D1004" s="15" t="s">
        <v>8</v>
      </c>
      <c r="H1004" s="15" t="s">
        <v>8</v>
      </c>
      <c r="K1004" s="15" t="s">
        <v>8</v>
      </c>
      <c r="L1004" s="15" t="s">
        <v>8</v>
      </c>
      <c r="M1004" s="15" t="s">
        <v>8</v>
      </c>
      <c r="N1004" s="15" t="s">
        <v>8</v>
      </c>
      <c r="P1004" s="15" t="s">
        <v>8</v>
      </c>
      <c r="R1004" s="15" t="s">
        <v>8</v>
      </c>
      <c r="U1004" s="15" t="s">
        <v>8</v>
      </c>
      <c r="V1004" s="15" t="s">
        <v>8</v>
      </c>
      <c r="X1004" s="20" t="str">
        <f>HYPERLINK("http://yeinfo.com/family/I09067004.html", "CECILY BROMLEY &lt;2&gt; 1300 EN-1346 EN ID:09066881")</f>
        <v>CECILY BROMLEY &lt;2&gt; 1300 EN-1346 EN ID:09066881</v>
      </c>
      <c r="Y1004" s="17"/>
      <c r="Z1004" s="17"/>
      <c r="AA1004" s="17"/>
      <c r="AB1004" s="17"/>
    </row>
    <row r="1005" spans="3:30" x14ac:dyDescent="0.35">
      <c r="C1005" s="15" t="s">
        <v>8</v>
      </c>
      <c r="D1005" s="15" t="s">
        <v>8</v>
      </c>
      <c r="H1005" s="15" t="s">
        <v>8</v>
      </c>
      <c r="K1005" s="15" t="s">
        <v>8</v>
      </c>
      <c r="L1005" s="15" t="s">
        <v>8</v>
      </c>
      <c r="M1005" s="15" t="s">
        <v>8</v>
      </c>
      <c r="N1005" s="15" t="s">
        <v>8</v>
      </c>
      <c r="P1005" s="15" t="s">
        <v>8</v>
      </c>
      <c r="R1005" s="15" t="s">
        <v>8</v>
      </c>
      <c r="U1005" s="15" t="s">
        <v>8</v>
      </c>
      <c r="V1005" s="15" t="s">
        <v>8</v>
      </c>
      <c r="Y1005" s="15" t="s">
        <v>8</v>
      </c>
    </row>
    <row r="1006" spans="3:30" x14ac:dyDescent="0.35">
      <c r="C1006" s="15" t="s">
        <v>8</v>
      </c>
      <c r="D1006" s="15" t="s">
        <v>8</v>
      </c>
      <c r="H1006" s="15" t="s">
        <v>8</v>
      </c>
      <c r="K1006" s="15" t="s">
        <v>8</v>
      </c>
      <c r="L1006" s="15" t="s">
        <v>8</v>
      </c>
      <c r="M1006" s="15" t="s">
        <v>8</v>
      </c>
      <c r="N1006" s="15" t="s">
        <v>8</v>
      </c>
      <c r="P1006" s="15" t="s">
        <v>8</v>
      </c>
      <c r="R1006" s="15" t="s">
        <v>8</v>
      </c>
      <c r="U1006" s="15" t="s">
        <v>8</v>
      </c>
      <c r="V1006" s="15" t="s">
        <v>8</v>
      </c>
      <c r="Y1006" s="15" t="s">
        <v>8</v>
      </c>
      <c r="Z1006" s="19" t="str">
        <f>HYPERLINK("http://yeinfo.com/family/I09066866.html", "GEOFFREY BADDINGTON &lt;2&gt; 1270 EN-1295 EN ID:09066865")</f>
        <v>GEOFFREY BADDINGTON &lt;2&gt; 1270 EN-1295 EN ID:09066865</v>
      </c>
      <c r="AA1006" s="9"/>
      <c r="AB1006" s="9"/>
      <c r="AC1006" s="9"/>
      <c r="AD1006" s="9"/>
    </row>
    <row r="1007" spans="3:30" x14ac:dyDescent="0.35">
      <c r="C1007" s="15" t="s">
        <v>8</v>
      </c>
      <c r="D1007" s="15" t="s">
        <v>8</v>
      </c>
      <c r="H1007" s="15" t="s">
        <v>8</v>
      </c>
      <c r="K1007" s="15" t="s">
        <v>8</v>
      </c>
      <c r="L1007" s="15" t="s">
        <v>8</v>
      </c>
      <c r="M1007" s="15" t="s">
        <v>8</v>
      </c>
      <c r="N1007" s="15" t="s">
        <v>8</v>
      </c>
      <c r="P1007" s="15" t="s">
        <v>8</v>
      </c>
      <c r="R1007" s="15" t="s">
        <v>8</v>
      </c>
      <c r="U1007" s="15" t="s">
        <v>8</v>
      </c>
      <c r="V1007" s="15" t="s">
        <v>8</v>
      </c>
      <c r="Y1007" s="8" t="s">
        <v>6</v>
      </c>
      <c r="Z1007" s="8" t="s">
        <v>3</v>
      </c>
    </row>
    <row r="1008" spans="3:30" x14ac:dyDescent="0.35">
      <c r="C1008" s="15" t="s">
        <v>8</v>
      </c>
      <c r="D1008" s="15" t="s">
        <v>8</v>
      </c>
      <c r="H1008" s="15" t="s">
        <v>8</v>
      </c>
      <c r="K1008" s="15" t="s">
        <v>8</v>
      </c>
      <c r="L1008" s="15" t="s">
        <v>8</v>
      </c>
      <c r="M1008" s="15" t="s">
        <v>8</v>
      </c>
      <c r="N1008" s="15" t="s">
        <v>8</v>
      </c>
      <c r="P1008" s="15" t="s">
        <v>8</v>
      </c>
      <c r="R1008" s="15" t="s">
        <v>8</v>
      </c>
      <c r="U1008" s="15" t="s">
        <v>8</v>
      </c>
      <c r="V1008" s="15" t="s">
        <v>8</v>
      </c>
      <c r="Y1008" s="20" t="str">
        <f>HYPERLINK("http://yeinfo.com/family/I09066901.html", "JOAN BADDINGTON &lt;2&gt; 1287 EN-1320 EN ID:09066866")</f>
        <v>JOAN BADDINGTON &lt;2&gt; 1287 EN-1320 EN ID:09066866</v>
      </c>
      <c r="Z1008" s="17"/>
      <c r="AA1008" s="17"/>
      <c r="AB1008" s="17"/>
      <c r="AC1008" s="17"/>
    </row>
    <row r="1009" spans="3:30" x14ac:dyDescent="0.35">
      <c r="C1009" s="15" t="s">
        <v>8</v>
      </c>
      <c r="D1009" s="15" t="s">
        <v>8</v>
      </c>
      <c r="H1009" s="15" t="s">
        <v>8</v>
      </c>
      <c r="K1009" s="15" t="s">
        <v>8</v>
      </c>
      <c r="L1009" s="15" t="s">
        <v>8</v>
      </c>
      <c r="M1009" s="15" t="s">
        <v>8</v>
      </c>
      <c r="N1009" s="15" t="s">
        <v>8</v>
      </c>
      <c r="P1009" s="15" t="s">
        <v>8</v>
      </c>
      <c r="R1009" s="15" t="s">
        <v>8</v>
      </c>
      <c r="U1009" s="15" t="s">
        <v>8</v>
      </c>
      <c r="V1009" s="15" t="s">
        <v>8</v>
      </c>
      <c r="Z1009" s="8" t="s">
        <v>6</v>
      </c>
    </row>
    <row r="1010" spans="3:30" x14ac:dyDescent="0.35">
      <c r="C1010" s="15" t="s">
        <v>8</v>
      </c>
      <c r="D1010" s="15" t="s">
        <v>8</v>
      </c>
      <c r="H1010" s="15" t="s">
        <v>8</v>
      </c>
      <c r="K1010" s="15" t="s">
        <v>8</v>
      </c>
      <c r="L1010" s="15" t="s">
        <v>8</v>
      </c>
      <c r="M1010" s="15" t="s">
        <v>8</v>
      </c>
      <c r="N1010" s="15" t="s">
        <v>8</v>
      </c>
      <c r="P1010" s="15" t="s">
        <v>8</v>
      </c>
      <c r="R1010" s="15" t="s">
        <v>8</v>
      </c>
      <c r="U1010" s="15" t="s">
        <v>8</v>
      </c>
      <c r="V1010" s="15" t="s">
        <v>8</v>
      </c>
      <c r="Z1010" s="20" t="str">
        <f>HYPERLINK("http://yeinfo.com/family/I09066865.html", "Mrs. {_?_} BADDINGTON &lt;2&gt; 1270 EN-1295 EN ID:09066864")</f>
        <v>Mrs. {_?_} BADDINGTON &lt;2&gt; 1270 EN-1295 EN ID:09066864</v>
      </c>
      <c r="AA1010" s="17"/>
      <c r="AB1010" s="17"/>
      <c r="AC1010" s="17"/>
      <c r="AD1010" s="17"/>
    </row>
    <row r="1011" spans="3:30" x14ac:dyDescent="0.35">
      <c r="C1011" s="15" t="s">
        <v>8</v>
      </c>
      <c r="D1011" s="15" t="s">
        <v>8</v>
      </c>
      <c r="H1011" s="15" t="s">
        <v>8</v>
      </c>
      <c r="K1011" s="15" t="s">
        <v>8</v>
      </c>
      <c r="L1011" s="15" t="s">
        <v>8</v>
      </c>
      <c r="M1011" s="15" t="s">
        <v>8</v>
      </c>
      <c r="N1011" s="15" t="s">
        <v>8</v>
      </c>
      <c r="P1011" s="15" t="s">
        <v>8</v>
      </c>
      <c r="R1011" s="15" t="s">
        <v>8</v>
      </c>
      <c r="U1011" s="8" t="s">
        <v>6</v>
      </c>
      <c r="V1011" s="15" t="s">
        <v>8</v>
      </c>
    </row>
    <row r="1012" spans="3:30" x14ac:dyDescent="0.35">
      <c r="C1012" s="15" t="s">
        <v>8</v>
      </c>
      <c r="D1012" s="15" t="s">
        <v>8</v>
      </c>
      <c r="H1012" s="15" t="s">
        <v>8</v>
      </c>
      <c r="K1012" s="15" t="s">
        <v>8</v>
      </c>
      <c r="L1012" s="15" t="s">
        <v>8</v>
      </c>
      <c r="M1012" s="15" t="s">
        <v>8</v>
      </c>
      <c r="N1012" s="15" t="s">
        <v>8</v>
      </c>
      <c r="P1012" s="15" t="s">
        <v>8</v>
      </c>
      <c r="R1012" s="15" t="s">
        <v>8</v>
      </c>
      <c r="U1012" s="20" t="str">
        <f>HYPERLINK("http://yeinfo.com/family/I09066888.html", "MARGERY BOOTH &lt;2&gt; 1386 EN-1461 EN ID:09066875")</f>
        <v>MARGERY BOOTH &lt;2&gt; 1386 EN-1461 EN ID:09066875</v>
      </c>
      <c r="V1012" s="17"/>
      <c r="W1012" s="17"/>
      <c r="X1012" s="17"/>
      <c r="Y1012" s="17"/>
    </row>
    <row r="1013" spans="3:30" x14ac:dyDescent="0.35">
      <c r="C1013" s="15" t="s">
        <v>8</v>
      </c>
      <c r="D1013" s="15" t="s">
        <v>8</v>
      </c>
      <c r="H1013" s="15" t="s">
        <v>8</v>
      </c>
      <c r="K1013" s="15" t="s">
        <v>8</v>
      </c>
      <c r="L1013" s="15" t="s">
        <v>8</v>
      </c>
      <c r="M1013" s="15" t="s">
        <v>8</v>
      </c>
      <c r="N1013" s="15" t="s">
        <v>8</v>
      </c>
      <c r="P1013" s="15" t="s">
        <v>8</v>
      </c>
      <c r="R1013" s="15" t="s">
        <v>8</v>
      </c>
      <c r="V1013" s="15" t="s">
        <v>8</v>
      </c>
    </row>
    <row r="1014" spans="3:30" x14ac:dyDescent="0.35">
      <c r="C1014" s="15" t="s">
        <v>8</v>
      </c>
      <c r="D1014" s="15" t="s">
        <v>8</v>
      </c>
      <c r="H1014" s="15" t="s">
        <v>8</v>
      </c>
      <c r="K1014" s="15" t="s">
        <v>8</v>
      </c>
      <c r="L1014" s="15" t="s">
        <v>8</v>
      </c>
      <c r="M1014" s="15" t="s">
        <v>8</v>
      </c>
      <c r="N1014" s="15" t="s">
        <v>8</v>
      </c>
      <c r="P1014" s="15" t="s">
        <v>8</v>
      </c>
      <c r="R1014" s="15" t="s">
        <v>8</v>
      </c>
      <c r="V1014" s="15" t="s">
        <v>8</v>
      </c>
      <c r="Z1014" s="19" t="str">
        <f>HYPERLINK("http://yeinfo.com/family/I09066981.html", "HENRY TRAFFORD &lt;9&gt; 1225 EN-1264 EN ID:09066981")</f>
        <v>HENRY TRAFFORD &lt;9&gt; 1225 EN-1264 EN ID:09066981</v>
      </c>
      <c r="AA1014" s="9"/>
      <c r="AB1014" s="9"/>
      <c r="AC1014" s="9"/>
      <c r="AD1014" s="9"/>
    </row>
    <row r="1015" spans="3:30" x14ac:dyDescent="0.35">
      <c r="C1015" s="15" t="s">
        <v>8</v>
      </c>
      <c r="D1015" s="15" t="s">
        <v>8</v>
      </c>
      <c r="H1015" s="15" t="s">
        <v>8</v>
      </c>
      <c r="K1015" s="15" t="s">
        <v>8</v>
      </c>
      <c r="L1015" s="15" t="s">
        <v>8</v>
      </c>
      <c r="M1015" s="15" t="s">
        <v>8</v>
      </c>
      <c r="N1015" s="15" t="s">
        <v>8</v>
      </c>
      <c r="P1015" s="15" t="s">
        <v>8</v>
      </c>
      <c r="R1015" s="15" t="s">
        <v>8</v>
      </c>
      <c r="V1015" s="15" t="s">
        <v>8</v>
      </c>
      <c r="Z1015" s="8" t="s">
        <v>3</v>
      </c>
    </row>
    <row r="1016" spans="3:30" x14ac:dyDescent="0.35">
      <c r="C1016" s="15" t="s">
        <v>8</v>
      </c>
      <c r="D1016" s="15" t="s">
        <v>8</v>
      </c>
      <c r="H1016" s="15" t="s">
        <v>8</v>
      </c>
      <c r="K1016" s="15" t="s">
        <v>8</v>
      </c>
      <c r="L1016" s="15" t="s">
        <v>8</v>
      </c>
      <c r="M1016" s="15" t="s">
        <v>8</v>
      </c>
      <c r="N1016" s="15" t="s">
        <v>8</v>
      </c>
      <c r="P1016" s="15" t="s">
        <v>8</v>
      </c>
      <c r="R1016" s="15" t="s">
        <v>8</v>
      </c>
      <c r="V1016" s="15" t="s">
        <v>8</v>
      </c>
      <c r="Y1016" s="19" t="str">
        <f>HYPERLINK("http://yeinfo.com/family/I09066434.html", "JOHN TRAFFORD &lt;9&gt; 1264 EN-1340 EN ID:09066434")</f>
        <v>JOHN TRAFFORD &lt;9&gt; 1264 EN-1340 EN ID:09066434</v>
      </c>
      <c r="Z1016" s="9"/>
      <c r="AA1016" s="9"/>
      <c r="AB1016" s="9"/>
      <c r="AC1016" s="9"/>
    </row>
    <row r="1017" spans="3:30" x14ac:dyDescent="0.35">
      <c r="C1017" s="15" t="s">
        <v>8</v>
      </c>
      <c r="D1017" s="15" t="s">
        <v>8</v>
      </c>
      <c r="H1017" s="15" t="s">
        <v>8</v>
      </c>
      <c r="K1017" s="15" t="s">
        <v>8</v>
      </c>
      <c r="L1017" s="15" t="s">
        <v>8</v>
      </c>
      <c r="M1017" s="15" t="s">
        <v>8</v>
      </c>
      <c r="N1017" s="15" t="s">
        <v>8</v>
      </c>
      <c r="P1017" s="15" t="s">
        <v>8</v>
      </c>
      <c r="R1017" s="15" t="s">
        <v>8</v>
      </c>
      <c r="V1017" s="15" t="s">
        <v>8</v>
      </c>
      <c r="Y1017" s="8" t="s">
        <v>3</v>
      </c>
      <c r="Z1017" s="8" t="s">
        <v>6</v>
      </c>
    </row>
    <row r="1018" spans="3:30" x14ac:dyDescent="0.35">
      <c r="C1018" s="15" t="s">
        <v>8</v>
      </c>
      <c r="D1018" s="15" t="s">
        <v>8</v>
      </c>
      <c r="H1018" s="15" t="s">
        <v>8</v>
      </c>
      <c r="K1018" s="15" t="s">
        <v>8</v>
      </c>
      <c r="L1018" s="15" t="s">
        <v>8</v>
      </c>
      <c r="M1018" s="15" t="s">
        <v>8</v>
      </c>
      <c r="N1018" s="15" t="s">
        <v>8</v>
      </c>
      <c r="P1018" s="15" t="s">
        <v>8</v>
      </c>
      <c r="R1018" s="15" t="s">
        <v>8</v>
      </c>
      <c r="V1018" s="15" t="s">
        <v>8</v>
      </c>
      <c r="Y1018" s="15" t="s">
        <v>8</v>
      </c>
      <c r="Z1018" s="20" t="str">
        <f>HYPERLINK("http://yeinfo.com/family/I09066980.html", "Mrs. MARGARET TRAFFORD &lt;9&gt; 1236 EN-1334 EN ID:09066980")</f>
        <v>Mrs. MARGARET TRAFFORD &lt;9&gt; 1236 EN-1334 EN ID:09066980</v>
      </c>
      <c r="AA1018" s="17"/>
      <c r="AB1018" s="17"/>
      <c r="AC1018" s="17"/>
      <c r="AD1018" s="17"/>
    </row>
    <row r="1019" spans="3:30" x14ac:dyDescent="0.35">
      <c r="C1019" s="15" t="s">
        <v>8</v>
      </c>
      <c r="D1019" s="15" t="s">
        <v>8</v>
      </c>
      <c r="H1019" s="15" t="s">
        <v>8</v>
      </c>
      <c r="K1019" s="15" t="s">
        <v>8</v>
      </c>
      <c r="L1019" s="15" t="s">
        <v>8</v>
      </c>
      <c r="M1019" s="15" t="s">
        <v>8</v>
      </c>
      <c r="N1019" s="15" t="s">
        <v>8</v>
      </c>
      <c r="P1019" s="15" t="s">
        <v>8</v>
      </c>
      <c r="R1019" s="15" t="s">
        <v>8</v>
      </c>
      <c r="V1019" s="15" t="s">
        <v>8</v>
      </c>
      <c r="Y1019" s="15" t="s">
        <v>8</v>
      </c>
    </row>
    <row r="1020" spans="3:30" x14ac:dyDescent="0.35">
      <c r="C1020" s="15" t="s">
        <v>8</v>
      </c>
      <c r="D1020" s="15" t="s">
        <v>8</v>
      </c>
      <c r="H1020" s="15" t="s">
        <v>8</v>
      </c>
      <c r="K1020" s="15" t="s">
        <v>8</v>
      </c>
      <c r="L1020" s="15" t="s">
        <v>8</v>
      </c>
      <c r="M1020" s="15" t="s">
        <v>8</v>
      </c>
      <c r="N1020" s="15" t="s">
        <v>8</v>
      </c>
      <c r="P1020" s="15" t="s">
        <v>8</v>
      </c>
      <c r="R1020" s="15" t="s">
        <v>8</v>
      </c>
      <c r="V1020" s="15" t="s">
        <v>8</v>
      </c>
      <c r="X1020" s="19" t="str">
        <f>HYPERLINK("http://yeinfo.com/family/I09066317.html", "HENRY TRAFFORD &lt;9&gt; 1292 EN-1370 EN ID:09066317")</f>
        <v>HENRY TRAFFORD &lt;9&gt; 1292 EN-1370 EN ID:09066317</v>
      </c>
      <c r="Y1020" s="9"/>
      <c r="Z1020" s="9"/>
      <c r="AA1020" s="9"/>
      <c r="AB1020" s="9"/>
    </row>
    <row r="1021" spans="3:30" x14ac:dyDescent="0.35">
      <c r="C1021" s="15" t="s">
        <v>8</v>
      </c>
      <c r="D1021" s="15" t="s">
        <v>8</v>
      </c>
      <c r="H1021" s="15" t="s">
        <v>8</v>
      </c>
      <c r="K1021" s="15" t="s">
        <v>8</v>
      </c>
      <c r="L1021" s="15" t="s">
        <v>8</v>
      </c>
      <c r="M1021" s="15" t="s">
        <v>8</v>
      </c>
      <c r="N1021" s="15" t="s">
        <v>8</v>
      </c>
      <c r="P1021" s="15" t="s">
        <v>8</v>
      </c>
      <c r="R1021" s="15" t="s">
        <v>8</v>
      </c>
      <c r="V1021" s="15" t="s">
        <v>8</v>
      </c>
      <c r="X1021" s="8" t="s">
        <v>3</v>
      </c>
      <c r="Y1021" s="8" t="s">
        <v>6</v>
      </c>
    </row>
    <row r="1022" spans="3:30" x14ac:dyDescent="0.35">
      <c r="C1022" s="15" t="s">
        <v>8</v>
      </c>
      <c r="D1022" s="15" t="s">
        <v>8</v>
      </c>
      <c r="H1022" s="15" t="s">
        <v>8</v>
      </c>
      <c r="K1022" s="15" t="s">
        <v>8</v>
      </c>
      <c r="L1022" s="15" t="s">
        <v>8</v>
      </c>
      <c r="M1022" s="15" t="s">
        <v>8</v>
      </c>
      <c r="N1022" s="15" t="s">
        <v>8</v>
      </c>
      <c r="P1022" s="15" t="s">
        <v>8</v>
      </c>
      <c r="R1022" s="15" t="s">
        <v>8</v>
      </c>
      <c r="V1022" s="15" t="s">
        <v>8</v>
      </c>
      <c r="X1022" s="15" t="s">
        <v>8</v>
      </c>
      <c r="Y1022" s="20" t="str">
        <f>HYPERLINK("http://yeinfo.com/family/I09066433.html", "ELIZABETH ASHTON &lt;9&gt; 1268 EN-1340 EN ID:09066433")</f>
        <v>ELIZABETH ASHTON &lt;9&gt; 1268 EN-1340 EN ID:09066433</v>
      </c>
      <c r="Z1022" s="17"/>
      <c r="AA1022" s="17"/>
      <c r="AB1022" s="17"/>
      <c r="AC1022" s="17"/>
    </row>
    <row r="1023" spans="3:30" x14ac:dyDescent="0.35">
      <c r="C1023" s="15" t="s">
        <v>8</v>
      </c>
      <c r="D1023" s="15" t="s">
        <v>8</v>
      </c>
      <c r="H1023" s="15" t="s">
        <v>8</v>
      </c>
      <c r="K1023" s="15" t="s">
        <v>8</v>
      </c>
      <c r="L1023" s="15" t="s">
        <v>8</v>
      </c>
      <c r="M1023" s="15" t="s">
        <v>8</v>
      </c>
      <c r="N1023" s="15" t="s">
        <v>8</v>
      </c>
      <c r="P1023" s="15" t="s">
        <v>8</v>
      </c>
      <c r="R1023" s="15" t="s">
        <v>8</v>
      </c>
      <c r="V1023" s="15" t="s">
        <v>8</v>
      </c>
      <c r="X1023" s="15" t="s">
        <v>8</v>
      </c>
    </row>
    <row r="1024" spans="3:30" x14ac:dyDescent="0.35">
      <c r="C1024" s="15" t="s">
        <v>8</v>
      </c>
      <c r="D1024" s="15" t="s">
        <v>8</v>
      </c>
      <c r="H1024" s="15" t="s">
        <v>8</v>
      </c>
      <c r="K1024" s="15" t="s">
        <v>8</v>
      </c>
      <c r="L1024" s="15" t="s">
        <v>8</v>
      </c>
      <c r="M1024" s="15" t="s">
        <v>8</v>
      </c>
      <c r="N1024" s="15" t="s">
        <v>8</v>
      </c>
      <c r="P1024" s="15" t="s">
        <v>8</v>
      </c>
      <c r="R1024" s="15" t="s">
        <v>8</v>
      </c>
      <c r="V1024" s="15" t="s">
        <v>8</v>
      </c>
      <c r="W1024" s="19" t="str">
        <f>HYPERLINK("http://yeinfo.com/family/I09066982.html", "HENRY TRAFFORD &lt;6&gt; 1335 EN-1386 EN ID:09066982")</f>
        <v>HENRY TRAFFORD &lt;6&gt; 1335 EN-1386 EN ID:09066982</v>
      </c>
      <c r="X1024" s="9"/>
      <c r="Y1024" s="9"/>
      <c r="Z1024" s="9"/>
      <c r="AA1024" s="9"/>
    </row>
    <row r="1025" spans="3:31" x14ac:dyDescent="0.35">
      <c r="C1025" s="15" t="s">
        <v>8</v>
      </c>
      <c r="D1025" s="15" t="s">
        <v>8</v>
      </c>
      <c r="H1025" s="15" t="s">
        <v>8</v>
      </c>
      <c r="K1025" s="15" t="s">
        <v>8</v>
      </c>
      <c r="L1025" s="15" t="s">
        <v>8</v>
      </c>
      <c r="M1025" s="15" t="s">
        <v>8</v>
      </c>
      <c r="N1025" s="15" t="s">
        <v>8</v>
      </c>
      <c r="P1025" s="15" t="s">
        <v>8</v>
      </c>
      <c r="R1025" s="15" t="s">
        <v>8</v>
      </c>
      <c r="V1025" s="15" t="s">
        <v>8</v>
      </c>
      <c r="W1025" s="8" t="s">
        <v>3</v>
      </c>
      <c r="X1025" s="15" t="s">
        <v>8</v>
      </c>
    </row>
    <row r="1026" spans="3:31" x14ac:dyDescent="0.35">
      <c r="C1026" s="15" t="s">
        <v>8</v>
      </c>
      <c r="D1026" s="15" t="s">
        <v>8</v>
      </c>
      <c r="H1026" s="15" t="s">
        <v>8</v>
      </c>
      <c r="K1026" s="15" t="s">
        <v>8</v>
      </c>
      <c r="L1026" s="15" t="s">
        <v>8</v>
      </c>
      <c r="M1026" s="15" t="s">
        <v>8</v>
      </c>
      <c r="N1026" s="15" t="s">
        <v>8</v>
      </c>
      <c r="P1026" s="15" t="s">
        <v>8</v>
      </c>
      <c r="R1026" s="15" t="s">
        <v>8</v>
      </c>
      <c r="V1026" s="15" t="s">
        <v>8</v>
      </c>
      <c r="W1026" s="15" t="s">
        <v>8</v>
      </c>
      <c r="X1026" s="15" t="s">
        <v>8</v>
      </c>
      <c r="Y1026" s="19" t="str">
        <f>HYPERLINK("http://yeinfo.com/family/I09066492.html", "RICHARD DOTERINDE &lt;9&gt; 1280 EN-1345 EN ID:09066492")</f>
        <v>RICHARD DOTERINDE &lt;9&gt; 1280 EN-1345 EN ID:09066492</v>
      </c>
      <c r="Z1026" s="9"/>
      <c r="AA1026" s="9"/>
      <c r="AB1026" s="9"/>
      <c r="AC1026" s="9"/>
    </row>
    <row r="1027" spans="3:31" x14ac:dyDescent="0.35">
      <c r="C1027" s="15" t="s">
        <v>8</v>
      </c>
      <c r="D1027" s="15" t="s">
        <v>8</v>
      </c>
      <c r="H1027" s="15" t="s">
        <v>8</v>
      </c>
      <c r="K1027" s="15" t="s">
        <v>8</v>
      </c>
      <c r="L1027" s="15" t="s">
        <v>8</v>
      </c>
      <c r="M1027" s="15" t="s">
        <v>8</v>
      </c>
      <c r="N1027" s="15" t="s">
        <v>8</v>
      </c>
      <c r="P1027" s="15" t="s">
        <v>8</v>
      </c>
      <c r="R1027" s="15" t="s">
        <v>8</v>
      </c>
      <c r="V1027" s="15" t="s">
        <v>8</v>
      </c>
      <c r="W1027" s="15" t="s">
        <v>8</v>
      </c>
      <c r="X1027" s="8" t="s">
        <v>6</v>
      </c>
      <c r="Y1027" s="8" t="s">
        <v>3</v>
      </c>
    </row>
    <row r="1028" spans="3:31" x14ac:dyDescent="0.35">
      <c r="C1028" s="15" t="s">
        <v>8</v>
      </c>
      <c r="D1028" s="15" t="s">
        <v>8</v>
      </c>
      <c r="H1028" s="15" t="s">
        <v>8</v>
      </c>
      <c r="K1028" s="15" t="s">
        <v>8</v>
      </c>
      <c r="L1028" s="15" t="s">
        <v>8</v>
      </c>
      <c r="M1028" s="15" t="s">
        <v>8</v>
      </c>
      <c r="N1028" s="15" t="s">
        <v>8</v>
      </c>
      <c r="P1028" s="15" t="s">
        <v>8</v>
      </c>
      <c r="R1028" s="15" t="s">
        <v>8</v>
      </c>
      <c r="V1028" s="15" t="s">
        <v>8</v>
      </c>
      <c r="W1028" s="15" t="s">
        <v>8</v>
      </c>
      <c r="X1028" s="20" t="str">
        <f>HYPERLINK("http://yeinfo.com/family/I09066318.html", "AGNES DOTERINDE &lt;9&gt; 1302 EN-1360 EN ID:09066318")</f>
        <v>AGNES DOTERINDE &lt;9&gt; 1302 EN-1360 EN ID:09066318</v>
      </c>
      <c r="Y1028" s="17"/>
      <c r="Z1028" s="17"/>
      <c r="AA1028" s="17"/>
      <c r="AB1028" s="17"/>
    </row>
    <row r="1029" spans="3:31" x14ac:dyDescent="0.35">
      <c r="C1029" s="15" t="s">
        <v>8</v>
      </c>
      <c r="D1029" s="15" t="s">
        <v>8</v>
      </c>
      <c r="H1029" s="15" t="s">
        <v>8</v>
      </c>
      <c r="K1029" s="15" t="s">
        <v>8</v>
      </c>
      <c r="L1029" s="15" t="s">
        <v>8</v>
      </c>
      <c r="M1029" s="15" t="s">
        <v>8</v>
      </c>
      <c r="N1029" s="15" t="s">
        <v>8</v>
      </c>
      <c r="P1029" s="15" t="s">
        <v>8</v>
      </c>
      <c r="R1029" s="15" t="s">
        <v>8</v>
      </c>
      <c r="V1029" s="15" t="s">
        <v>8</v>
      </c>
      <c r="W1029" s="15" t="s">
        <v>8</v>
      </c>
      <c r="Y1029" s="8" t="s">
        <v>6</v>
      </c>
    </row>
    <row r="1030" spans="3:31" x14ac:dyDescent="0.35">
      <c r="C1030" s="15" t="s">
        <v>8</v>
      </c>
      <c r="D1030" s="15" t="s">
        <v>8</v>
      </c>
      <c r="H1030" s="15" t="s">
        <v>8</v>
      </c>
      <c r="K1030" s="15" t="s">
        <v>8</v>
      </c>
      <c r="L1030" s="15" t="s">
        <v>8</v>
      </c>
      <c r="M1030" s="15" t="s">
        <v>8</v>
      </c>
      <c r="N1030" s="15" t="s">
        <v>8</v>
      </c>
      <c r="P1030" s="15" t="s">
        <v>8</v>
      </c>
      <c r="R1030" s="15" t="s">
        <v>8</v>
      </c>
      <c r="V1030" s="15" t="s">
        <v>8</v>
      </c>
      <c r="W1030" s="15" t="s">
        <v>8</v>
      </c>
      <c r="Y1030" s="20" t="str">
        <f>HYPERLINK("http://yeinfo.com/family/I09066493.html", "Mrs. {_?_} DOTERINDE &lt;9&gt; 1280 EN-1302 EN ID:09066493")</f>
        <v>Mrs. {_?_} DOTERINDE &lt;9&gt; 1280 EN-1302 EN ID:09066493</v>
      </c>
      <c r="Z1030" s="17"/>
      <c r="AA1030" s="17"/>
      <c r="AB1030" s="17"/>
      <c r="AC1030" s="17"/>
    </row>
    <row r="1031" spans="3:31" x14ac:dyDescent="0.35">
      <c r="C1031" s="15" t="s">
        <v>8</v>
      </c>
      <c r="D1031" s="15" t="s">
        <v>8</v>
      </c>
      <c r="H1031" s="15" t="s">
        <v>8</v>
      </c>
      <c r="K1031" s="15" t="s">
        <v>8</v>
      </c>
      <c r="L1031" s="15" t="s">
        <v>8</v>
      </c>
      <c r="M1031" s="15" t="s">
        <v>8</v>
      </c>
      <c r="N1031" s="15" t="s">
        <v>8</v>
      </c>
      <c r="P1031" s="15" t="s">
        <v>8</v>
      </c>
      <c r="R1031" s="15" t="s">
        <v>8</v>
      </c>
      <c r="V1031" s="8" t="s">
        <v>6</v>
      </c>
      <c r="W1031" s="15" t="s">
        <v>8</v>
      </c>
    </row>
    <row r="1032" spans="3:31" x14ac:dyDescent="0.35">
      <c r="C1032" s="15" t="s">
        <v>8</v>
      </c>
      <c r="D1032" s="15" t="s">
        <v>8</v>
      </c>
      <c r="H1032" s="15" t="s">
        <v>8</v>
      </c>
      <c r="K1032" s="15" t="s">
        <v>8</v>
      </c>
      <c r="L1032" s="15" t="s">
        <v>8</v>
      </c>
      <c r="M1032" s="15" t="s">
        <v>8</v>
      </c>
      <c r="N1032" s="15" t="s">
        <v>8</v>
      </c>
      <c r="P1032" s="15" t="s">
        <v>8</v>
      </c>
      <c r="R1032" s="15" t="s">
        <v>8</v>
      </c>
      <c r="V1032" s="20" t="str">
        <f>HYPERLINK("http://yeinfo.com/family/I09066864.html", "JOANNA TRAFFORD &lt;2&gt; 1358 EN-1405 EN ID:09066983")</f>
        <v>JOANNA TRAFFORD &lt;2&gt; 1358 EN-1405 EN ID:09066983</v>
      </c>
      <c r="W1032" s="17"/>
      <c r="X1032" s="17"/>
      <c r="Y1032" s="17"/>
      <c r="Z1032" s="17"/>
    </row>
    <row r="1033" spans="3:31" x14ac:dyDescent="0.35">
      <c r="C1033" s="15" t="s">
        <v>8</v>
      </c>
      <c r="D1033" s="15" t="s">
        <v>8</v>
      </c>
      <c r="H1033" s="15" t="s">
        <v>8</v>
      </c>
      <c r="K1033" s="15" t="s">
        <v>8</v>
      </c>
      <c r="L1033" s="15" t="s">
        <v>8</v>
      </c>
      <c r="M1033" s="15" t="s">
        <v>8</v>
      </c>
      <c r="N1033" s="15" t="s">
        <v>8</v>
      </c>
      <c r="P1033" s="15" t="s">
        <v>8</v>
      </c>
      <c r="R1033" s="15" t="s">
        <v>8</v>
      </c>
      <c r="W1033" s="15" t="s">
        <v>8</v>
      </c>
    </row>
    <row r="1034" spans="3:31" x14ac:dyDescent="0.35">
      <c r="C1034" s="15" t="s">
        <v>8</v>
      </c>
      <c r="D1034" s="15" t="s">
        <v>8</v>
      </c>
      <c r="H1034" s="15" t="s">
        <v>8</v>
      </c>
      <c r="K1034" s="15" t="s">
        <v>8</v>
      </c>
      <c r="L1034" s="15" t="s">
        <v>8</v>
      </c>
      <c r="M1034" s="15" t="s">
        <v>8</v>
      </c>
      <c r="N1034" s="15" t="s">
        <v>8</v>
      </c>
      <c r="P1034" s="15" t="s">
        <v>8</v>
      </c>
      <c r="R1034" s="15" t="s">
        <v>8</v>
      </c>
      <c r="W1034" s="15" t="s">
        <v>8</v>
      </c>
      <c r="Z1034" s="19" t="str">
        <f>HYPERLINK("http://yeinfo.com/family/I09066930.html", "ALFREDUS INCE I &lt;6&gt; 1265 EN-1290 EN ID:09066930")</f>
        <v>ALFREDUS INCE I &lt;6&gt; 1265 EN-1290 EN ID:09066930</v>
      </c>
      <c r="AA1034" s="9"/>
      <c r="AB1034" s="9"/>
      <c r="AC1034" s="9"/>
      <c r="AD1034" s="9"/>
    </row>
    <row r="1035" spans="3:31" x14ac:dyDescent="0.35">
      <c r="C1035" s="15" t="s">
        <v>8</v>
      </c>
      <c r="D1035" s="15" t="s">
        <v>8</v>
      </c>
      <c r="H1035" s="15" t="s">
        <v>8</v>
      </c>
      <c r="K1035" s="15" t="s">
        <v>8</v>
      </c>
      <c r="L1035" s="15" t="s">
        <v>8</v>
      </c>
      <c r="M1035" s="15" t="s">
        <v>8</v>
      </c>
      <c r="N1035" s="15" t="s">
        <v>8</v>
      </c>
      <c r="P1035" s="15" t="s">
        <v>8</v>
      </c>
      <c r="R1035" s="15" t="s">
        <v>8</v>
      </c>
      <c r="W1035" s="15" t="s">
        <v>8</v>
      </c>
      <c r="Z1035" s="8" t="s">
        <v>3</v>
      </c>
    </row>
    <row r="1036" spans="3:31" x14ac:dyDescent="0.35">
      <c r="C1036" s="15" t="s">
        <v>8</v>
      </c>
      <c r="D1036" s="15" t="s">
        <v>8</v>
      </c>
      <c r="H1036" s="15" t="s">
        <v>8</v>
      </c>
      <c r="K1036" s="15" t="s">
        <v>8</v>
      </c>
      <c r="L1036" s="15" t="s">
        <v>8</v>
      </c>
      <c r="M1036" s="15" t="s">
        <v>8</v>
      </c>
      <c r="N1036" s="15" t="s">
        <v>8</v>
      </c>
      <c r="P1036" s="15" t="s">
        <v>8</v>
      </c>
      <c r="R1036" s="15" t="s">
        <v>8</v>
      </c>
      <c r="W1036" s="15" t="s">
        <v>8</v>
      </c>
      <c r="Y1036" s="19" t="str">
        <f>HYPERLINK("http://yeinfo.com/family/I09066931.html", "RICHARD INCE I &lt;6&gt; 1290 EN-1333 EN ID:09066931")</f>
        <v>RICHARD INCE I &lt;6&gt; 1290 EN-1333 EN ID:09066931</v>
      </c>
      <c r="Z1036" s="9"/>
      <c r="AA1036" s="9"/>
      <c r="AB1036" s="9"/>
      <c r="AC1036" s="9"/>
    </row>
    <row r="1037" spans="3:31" x14ac:dyDescent="0.35">
      <c r="C1037" s="15" t="s">
        <v>8</v>
      </c>
      <c r="D1037" s="15" t="s">
        <v>8</v>
      </c>
      <c r="H1037" s="15" t="s">
        <v>8</v>
      </c>
      <c r="K1037" s="15" t="s">
        <v>8</v>
      </c>
      <c r="L1037" s="15" t="s">
        <v>8</v>
      </c>
      <c r="M1037" s="15" t="s">
        <v>8</v>
      </c>
      <c r="N1037" s="15" t="s">
        <v>8</v>
      </c>
      <c r="P1037" s="15" t="s">
        <v>8</v>
      </c>
      <c r="R1037" s="15" t="s">
        <v>8</v>
      </c>
      <c r="W1037" s="15" t="s">
        <v>8</v>
      </c>
      <c r="Y1037" s="8" t="s">
        <v>3</v>
      </c>
      <c r="Z1037" s="8" t="s">
        <v>6</v>
      </c>
    </row>
    <row r="1038" spans="3:31" x14ac:dyDescent="0.35">
      <c r="C1038" s="15" t="s">
        <v>8</v>
      </c>
      <c r="D1038" s="15" t="s">
        <v>8</v>
      </c>
      <c r="H1038" s="15" t="s">
        <v>8</v>
      </c>
      <c r="K1038" s="15" t="s">
        <v>8</v>
      </c>
      <c r="L1038" s="15" t="s">
        <v>8</v>
      </c>
      <c r="M1038" s="15" t="s">
        <v>8</v>
      </c>
      <c r="N1038" s="15" t="s">
        <v>8</v>
      </c>
      <c r="P1038" s="15" t="s">
        <v>8</v>
      </c>
      <c r="R1038" s="15" t="s">
        <v>8</v>
      </c>
      <c r="W1038" s="15" t="s">
        <v>8</v>
      </c>
      <c r="Y1038" s="15" t="s">
        <v>8</v>
      </c>
      <c r="Z1038" s="20" t="str">
        <f>HYPERLINK("http://yeinfo.com/family/I09066976.html", "ALICE\ALESIA STANDISH &lt;6&gt; 1262 EN-1290 EN ID:09066976")</f>
        <v>ALICE\ALESIA STANDISH &lt;6&gt; 1262 EN-1290 EN ID:09066976</v>
      </c>
      <c r="AA1038" s="17"/>
      <c r="AB1038" s="17"/>
      <c r="AC1038" s="17"/>
      <c r="AD1038" s="17"/>
      <c r="AE1038" s="17"/>
    </row>
    <row r="1039" spans="3:31" x14ac:dyDescent="0.35">
      <c r="C1039" s="15" t="s">
        <v>8</v>
      </c>
      <c r="D1039" s="15" t="s">
        <v>8</v>
      </c>
      <c r="H1039" s="15" t="s">
        <v>8</v>
      </c>
      <c r="K1039" s="15" t="s">
        <v>8</v>
      </c>
      <c r="L1039" s="15" t="s">
        <v>8</v>
      </c>
      <c r="M1039" s="15" t="s">
        <v>8</v>
      </c>
      <c r="N1039" s="15" t="s">
        <v>8</v>
      </c>
      <c r="P1039" s="15" t="s">
        <v>8</v>
      </c>
      <c r="R1039" s="15" t="s">
        <v>8</v>
      </c>
      <c r="W1039" s="15" t="s">
        <v>8</v>
      </c>
      <c r="Y1039" s="15" t="s">
        <v>8</v>
      </c>
    </row>
    <row r="1040" spans="3:31" x14ac:dyDescent="0.35">
      <c r="C1040" s="15" t="s">
        <v>8</v>
      </c>
      <c r="D1040" s="15" t="s">
        <v>8</v>
      </c>
      <c r="H1040" s="15" t="s">
        <v>8</v>
      </c>
      <c r="K1040" s="15" t="s">
        <v>8</v>
      </c>
      <c r="L1040" s="15" t="s">
        <v>8</v>
      </c>
      <c r="M1040" s="15" t="s">
        <v>8</v>
      </c>
      <c r="N1040" s="15" t="s">
        <v>8</v>
      </c>
      <c r="P1040" s="15" t="s">
        <v>8</v>
      </c>
      <c r="R1040" s="15" t="s">
        <v>8</v>
      </c>
      <c r="W1040" s="15" t="s">
        <v>8</v>
      </c>
      <c r="X1040" s="19" t="str">
        <f>HYPERLINK("http://yeinfo.com/family/I09066933.html", "ROBERT INCE &lt;6&gt; 1304 EN-1335 EN ID:09066933")</f>
        <v>ROBERT INCE &lt;6&gt; 1304 EN-1335 EN ID:09066933</v>
      </c>
      <c r="Y1040" s="9"/>
      <c r="Z1040" s="9"/>
      <c r="AA1040" s="9"/>
      <c r="AB1040" s="9"/>
    </row>
    <row r="1041" spans="3:33" x14ac:dyDescent="0.35">
      <c r="C1041" s="15" t="s">
        <v>8</v>
      </c>
      <c r="D1041" s="15" t="s">
        <v>8</v>
      </c>
      <c r="H1041" s="15" t="s">
        <v>8</v>
      </c>
      <c r="K1041" s="15" t="s">
        <v>8</v>
      </c>
      <c r="L1041" s="15" t="s">
        <v>8</v>
      </c>
      <c r="M1041" s="15" t="s">
        <v>8</v>
      </c>
      <c r="N1041" s="15" t="s">
        <v>8</v>
      </c>
      <c r="P1041" s="15" t="s">
        <v>8</v>
      </c>
      <c r="R1041" s="15" t="s">
        <v>8</v>
      </c>
      <c r="W1041" s="15" t="s">
        <v>8</v>
      </c>
      <c r="X1041" s="8" t="s">
        <v>3</v>
      </c>
      <c r="Y1041" s="15" t="s">
        <v>8</v>
      </c>
    </row>
    <row r="1042" spans="3:33" x14ac:dyDescent="0.35">
      <c r="C1042" s="15" t="s">
        <v>8</v>
      </c>
      <c r="D1042" s="15" t="s">
        <v>8</v>
      </c>
      <c r="H1042" s="15" t="s">
        <v>8</v>
      </c>
      <c r="K1042" s="15" t="s">
        <v>8</v>
      </c>
      <c r="L1042" s="15" t="s">
        <v>8</v>
      </c>
      <c r="M1042" s="15" t="s">
        <v>8</v>
      </c>
      <c r="N1042" s="15" t="s">
        <v>8</v>
      </c>
      <c r="P1042" s="15" t="s">
        <v>8</v>
      </c>
      <c r="R1042" s="15" t="s">
        <v>8</v>
      </c>
      <c r="W1042" s="15" t="s">
        <v>8</v>
      </c>
      <c r="X1042" s="15" t="s">
        <v>8</v>
      </c>
      <c r="Y1042" s="15" t="s">
        <v>8</v>
      </c>
      <c r="AB1042" s="19" t="str">
        <f>HYPERLINK("http://yeinfo.com/family/I09066959.html", "ROBERT RADCLIFFE &lt;A&gt; 1208 EN-1239 EN ID:09066959")</f>
        <v>ROBERT RADCLIFFE &lt;A&gt; 1208 EN-1239 EN ID:09066959</v>
      </c>
      <c r="AC1042" s="9"/>
      <c r="AD1042" s="9"/>
      <c r="AE1042" s="9"/>
      <c r="AF1042" s="9"/>
    </row>
    <row r="1043" spans="3:33" x14ac:dyDescent="0.35">
      <c r="C1043" s="15" t="s">
        <v>8</v>
      </c>
      <c r="D1043" s="15" t="s">
        <v>8</v>
      </c>
      <c r="H1043" s="15" t="s">
        <v>8</v>
      </c>
      <c r="K1043" s="15" t="s">
        <v>8</v>
      </c>
      <c r="L1043" s="15" t="s">
        <v>8</v>
      </c>
      <c r="M1043" s="15" t="s">
        <v>8</v>
      </c>
      <c r="N1043" s="15" t="s">
        <v>8</v>
      </c>
      <c r="P1043" s="15" t="s">
        <v>8</v>
      </c>
      <c r="R1043" s="15" t="s">
        <v>8</v>
      </c>
      <c r="W1043" s="15" t="s">
        <v>8</v>
      </c>
      <c r="X1043" s="15" t="s">
        <v>8</v>
      </c>
      <c r="Y1043" s="15" t="s">
        <v>8</v>
      </c>
      <c r="AB1043" s="8" t="s">
        <v>3</v>
      </c>
    </row>
    <row r="1044" spans="3:33" x14ac:dyDescent="0.35">
      <c r="C1044" s="15" t="s">
        <v>8</v>
      </c>
      <c r="D1044" s="15" t="s">
        <v>8</v>
      </c>
      <c r="H1044" s="15" t="s">
        <v>8</v>
      </c>
      <c r="K1044" s="15" t="s">
        <v>8</v>
      </c>
      <c r="L1044" s="15" t="s">
        <v>8</v>
      </c>
      <c r="M1044" s="15" t="s">
        <v>8</v>
      </c>
      <c r="N1044" s="15" t="s">
        <v>8</v>
      </c>
      <c r="P1044" s="15" t="s">
        <v>8</v>
      </c>
      <c r="R1044" s="15" t="s">
        <v>8</v>
      </c>
      <c r="W1044" s="15" t="s">
        <v>8</v>
      </c>
      <c r="X1044" s="15" t="s">
        <v>8</v>
      </c>
      <c r="Y1044" s="15" t="s">
        <v>8</v>
      </c>
      <c r="AA1044" s="19" t="str">
        <f>HYPERLINK("http://yeinfo.com/family/I09066960.html", "RICHARD RADCLIFFE &lt;A&gt; 1224 EN-1326 EN ID:09066960")</f>
        <v>RICHARD RADCLIFFE &lt;A&gt; 1224 EN-1326 EN ID:09066960</v>
      </c>
      <c r="AB1044" s="9"/>
      <c r="AC1044" s="9"/>
      <c r="AD1044" s="9"/>
      <c r="AE1044" s="9"/>
    </row>
    <row r="1045" spans="3:33" x14ac:dyDescent="0.35">
      <c r="C1045" s="15" t="s">
        <v>8</v>
      </c>
      <c r="D1045" s="15" t="s">
        <v>8</v>
      </c>
      <c r="H1045" s="15" t="s">
        <v>8</v>
      </c>
      <c r="K1045" s="15" t="s">
        <v>8</v>
      </c>
      <c r="L1045" s="15" t="s">
        <v>8</v>
      </c>
      <c r="M1045" s="15" t="s">
        <v>8</v>
      </c>
      <c r="N1045" s="15" t="s">
        <v>8</v>
      </c>
      <c r="P1045" s="15" t="s">
        <v>8</v>
      </c>
      <c r="R1045" s="15" t="s">
        <v>8</v>
      </c>
      <c r="W1045" s="15" t="s">
        <v>8</v>
      </c>
      <c r="X1045" s="15" t="s">
        <v>8</v>
      </c>
      <c r="Y1045" s="15" t="s">
        <v>8</v>
      </c>
      <c r="AA1045" s="8" t="s">
        <v>3</v>
      </c>
      <c r="AB1045" s="8" t="s">
        <v>6</v>
      </c>
    </row>
    <row r="1046" spans="3:33" x14ac:dyDescent="0.35">
      <c r="C1046" s="15" t="s">
        <v>8</v>
      </c>
      <c r="D1046" s="15" t="s">
        <v>8</v>
      </c>
      <c r="H1046" s="15" t="s">
        <v>8</v>
      </c>
      <c r="K1046" s="15" t="s">
        <v>8</v>
      </c>
      <c r="L1046" s="15" t="s">
        <v>8</v>
      </c>
      <c r="M1046" s="15" t="s">
        <v>8</v>
      </c>
      <c r="N1046" s="15" t="s">
        <v>8</v>
      </c>
      <c r="P1046" s="15" t="s">
        <v>8</v>
      </c>
      <c r="R1046" s="15" t="s">
        <v>8</v>
      </c>
      <c r="W1046" s="15" t="s">
        <v>8</v>
      </c>
      <c r="X1046" s="15" t="s">
        <v>8</v>
      </c>
      <c r="Y1046" s="15" t="s">
        <v>8</v>
      </c>
      <c r="AA1046" s="15" t="s">
        <v>8</v>
      </c>
      <c r="AB1046" s="20" t="str">
        <f>HYPERLINK("http://yeinfo.com/family/I09066988.html", "AMBIL\AMABIL TRAFFORD &lt;A&gt; 1222 EN-1239 EN ID:09066988")</f>
        <v>AMBIL\AMABIL TRAFFORD &lt;A&gt; 1222 EN-1239 EN ID:09066988</v>
      </c>
      <c r="AC1046" s="17"/>
      <c r="AD1046" s="17"/>
      <c r="AE1046" s="17"/>
      <c r="AF1046" s="17"/>
      <c r="AG1046" s="17"/>
    </row>
    <row r="1047" spans="3:33" x14ac:dyDescent="0.35">
      <c r="C1047" s="15" t="s">
        <v>8</v>
      </c>
      <c r="D1047" s="15" t="s">
        <v>8</v>
      </c>
      <c r="H1047" s="15" t="s">
        <v>8</v>
      </c>
      <c r="K1047" s="15" t="s">
        <v>8</v>
      </c>
      <c r="L1047" s="15" t="s">
        <v>8</v>
      </c>
      <c r="M1047" s="15" t="s">
        <v>8</v>
      </c>
      <c r="N1047" s="15" t="s">
        <v>8</v>
      </c>
      <c r="P1047" s="15" t="s">
        <v>8</v>
      </c>
      <c r="R1047" s="15" t="s">
        <v>8</v>
      </c>
      <c r="W1047" s="15" t="s">
        <v>8</v>
      </c>
      <c r="X1047" s="15" t="s">
        <v>8</v>
      </c>
      <c r="Y1047" s="15" t="s">
        <v>8</v>
      </c>
      <c r="AA1047" s="15" t="s">
        <v>8</v>
      </c>
    </row>
    <row r="1048" spans="3:33" x14ac:dyDescent="0.35">
      <c r="C1048" s="15" t="s">
        <v>8</v>
      </c>
      <c r="D1048" s="15" t="s">
        <v>8</v>
      </c>
      <c r="H1048" s="15" t="s">
        <v>8</v>
      </c>
      <c r="K1048" s="15" t="s">
        <v>8</v>
      </c>
      <c r="L1048" s="15" t="s">
        <v>8</v>
      </c>
      <c r="M1048" s="15" t="s">
        <v>8</v>
      </c>
      <c r="N1048" s="15" t="s">
        <v>8</v>
      </c>
      <c r="P1048" s="15" t="s">
        <v>8</v>
      </c>
      <c r="R1048" s="15" t="s">
        <v>8</v>
      </c>
      <c r="W1048" s="15" t="s">
        <v>8</v>
      </c>
      <c r="X1048" s="15" t="s">
        <v>8</v>
      </c>
      <c r="Y1048" s="15" t="s">
        <v>8</v>
      </c>
      <c r="Z1048" s="19" t="str">
        <f>HYPERLINK("http://yeinfo.com/family/I09066961.html", "WILLIAM RADCLIFFE &lt;8&gt; 1267 EN-1333 EN ID:09066961")</f>
        <v>WILLIAM RADCLIFFE &lt;8&gt; 1267 EN-1333 EN ID:09066961</v>
      </c>
      <c r="AA1048" s="9"/>
      <c r="AB1048" s="9"/>
      <c r="AC1048" s="9"/>
      <c r="AD1048" s="9"/>
    </row>
    <row r="1049" spans="3:33" x14ac:dyDescent="0.35">
      <c r="C1049" s="15" t="s">
        <v>8</v>
      </c>
      <c r="D1049" s="15" t="s">
        <v>8</v>
      </c>
      <c r="H1049" s="15" t="s">
        <v>8</v>
      </c>
      <c r="K1049" s="15" t="s">
        <v>8</v>
      </c>
      <c r="L1049" s="15" t="s">
        <v>8</v>
      </c>
      <c r="M1049" s="15" t="s">
        <v>8</v>
      </c>
      <c r="N1049" s="15" t="s">
        <v>8</v>
      </c>
      <c r="P1049" s="15" t="s">
        <v>8</v>
      </c>
      <c r="R1049" s="15" t="s">
        <v>8</v>
      </c>
      <c r="W1049" s="15" t="s">
        <v>8</v>
      </c>
      <c r="X1049" s="15" t="s">
        <v>8</v>
      </c>
      <c r="Y1049" s="15" t="s">
        <v>8</v>
      </c>
      <c r="Z1049" s="8" t="s">
        <v>3</v>
      </c>
      <c r="AA1049" s="15" t="s">
        <v>8</v>
      </c>
    </row>
    <row r="1050" spans="3:33" x14ac:dyDescent="0.35">
      <c r="C1050" s="15" t="s">
        <v>8</v>
      </c>
      <c r="D1050" s="15" t="s">
        <v>8</v>
      </c>
      <c r="H1050" s="15" t="s">
        <v>8</v>
      </c>
      <c r="K1050" s="15" t="s">
        <v>8</v>
      </c>
      <c r="L1050" s="15" t="s">
        <v>8</v>
      </c>
      <c r="M1050" s="15" t="s">
        <v>8</v>
      </c>
      <c r="N1050" s="15" t="s">
        <v>8</v>
      </c>
      <c r="P1050" s="15" t="s">
        <v>8</v>
      </c>
      <c r="R1050" s="15" t="s">
        <v>8</v>
      </c>
      <c r="W1050" s="15" t="s">
        <v>8</v>
      </c>
      <c r="X1050" s="15" t="s">
        <v>8</v>
      </c>
      <c r="Y1050" s="15" t="s">
        <v>8</v>
      </c>
      <c r="Z1050" s="15" t="s">
        <v>8</v>
      </c>
      <c r="AA1050" s="15" t="s">
        <v>8</v>
      </c>
      <c r="AB1050" s="19" t="str">
        <f>HYPERLINK("http://yeinfo.com/family/I09066877.html", "HENRY\WILLIAM\ROBERT BOTELER &lt;A&gt; 1230 EN-1247 EN ID:09066877")</f>
        <v>HENRY\WILLIAM\ROBERT BOTELER &lt;A&gt; 1230 EN-1247 EN ID:09066877</v>
      </c>
      <c r="AC1050" s="9"/>
      <c r="AD1050" s="9"/>
      <c r="AE1050" s="9"/>
      <c r="AF1050" s="9"/>
      <c r="AG1050" s="9"/>
    </row>
    <row r="1051" spans="3:33" x14ac:dyDescent="0.35">
      <c r="C1051" s="15" t="s">
        <v>8</v>
      </c>
      <c r="D1051" s="15" t="s">
        <v>8</v>
      </c>
      <c r="H1051" s="15" t="s">
        <v>8</v>
      </c>
      <c r="K1051" s="15" t="s">
        <v>8</v>
      </c>
      <c r="L1051" s="15" t="s">
        <v>8</v>
      </c>
      <c r="M1051" s="15" t="s">
        <v>8</v>
      </c>
      <c r="N1051" s="15" t="s">
        <v>8</v>
      </c>
      <c r="P1051" s="15" t="s">
        <v>8</v>
      </c>
      <c r="R1051" s="15" t="s">
        <v>8</v>
      </c>
      <c r="W1051" s="15" t="s">
        <v>8</v>
      </c>
      <c r="X1051" s="15" t="s">
        <v>8</v>
      </c>
      <c r="Y1051" s="15" t="s">
        <v>8</v>
      </c>
      <c r="Z1051" s="15" t="s">
        <v>8</v>
      </c>
      <c r="AA1051" s="8" t="s">
        <v>6</v>
      </c>
      <c r="AB1051" s="8" t="s">
        <v>3</v>
      </c>
    </row>
    <row r="1052" spans="3:33" x14ac:dyDescent="0.35">
      <c r="C1052" s="15" t="s">
        <v>8</v>
      </c>
      <c r="D1052" s="15" t="s">
        <v>8</v>
      </c>
      <c r="H1052" s="15" t="s">
        <v>8</v>
      </c>
      <c r="K1052" s="15" t="s">
        <v>8</v>
      </c>
      <c r="L1052" s="15" t="s">
        <v>8</v>
      </c>
      <c r="M1052" s="15" t="s">
        <v>8</v>
      </c>
      <c r="N1052" s="15" t="s">
        <v>8</v>
      </c>
      <c r="P1052" s="15" t="s">
        <v>8</v>
      </c>
      <c r="R1052" s="15" t="s">
        <v>8</v>
      </c>
      <c r="W1052" s="15" t="s">
        <v>8</v>
      </c>
      <c r="X1052" s="15" t="s">
        <v>8</v>
      </c>
      <c r="Y1052" s="15" t="s">
        <v>8</v>
      </c>
      <c r="Z1052" s="15" t="s">
        <v>8</v>
      </c>
      <c r="AA1052" s="20" t="str">
        <f>HYPERLINK("http://yeinfo.com/family/I09066878.html", "JOAN\MARGARET BOTELER &lt;A&gt; 1232 EN-1267 EN ID:09066878")</f>
        <v>JOAN\MARGARET BOTELER &lt;A&gt; 1232 EN-1267 EN ID:09066878</v>
      </c>
      <c r="AB1052" s="17"/>
      <c r="AC1052" s="17"/>
      <c r="AD1052" s="17"/>
      <c r="AE1052" s="17"/>
      <c r="AF1052" s="17"/>
    </row>
    <row r="1053" spans="3:33" x14ac:dyDescent="0.35">
      <c r="C1053" s="15" t="s">
        <v>8</v>
      </c>
      <c r="D1053" s="15" t="s">
        <v>8</v>
      </c>
      <c r="H1053" s="15" t="s">
        <v>8</v>
      </c>
      <c r="K1053" s="15" t="s">
        <v>8</v>
      </c>
      <c r="L1053" s="15" t="s">
        <v>8</v>
      </c>
      <c r="M1053" s="15" t="s">
        <v>8</v>
      </c>
      <c r="N1053" s="15" t="s">
        <v>8</v>
      </c>
      <c r="P1053" s="15" t="s">
        <v>8</v>
      </c>
      <c r="R1053" s="15" t="s">
        <v>8</v>
      </c>
      <c r="W1053" s="15" t="s">
        <v>8</v>
      </c>
      <c r="X1053" s="15" t="s">
        <v>8</v>
      </c>
      <c r="Y1053" s="15" t="s">
        <v>8</v>
      </c>
      <c r="Z1053" s="15" t="s">
        <v>8</v>
      </c>
      <c r="AB1053" s="8" t="s">
        <v>6</v>
      </c>
    </row>
    <row r="1054" spans="3:33" x14ac:dyDescent="0.35">
      <c r="C1054" s="15" t="s">
        <v>8</v>
      </c>
      <c r="D1054" s="15" t="s">
        <v>8</v>
      </c>
      <c r="H1054" s="15" t="s">
        <v>8</v>
      </c>
      <c r="K1054" s="15" t="s">
        <v>8</v>
      </c>
      <c r="L1054" s="15" t="s">
        <v>8</v>
      </c>
      <c r="M1054" s="15" t="s">
        <v>8</v>
      </c>
      <c r="N1054" s="15" t="s">
        <v>8</v>
      </c>
      <c r="P1054" s="15" t="s">
        <v>8</v>
      </c>
      <c r="R1054" s="15" t="s">
        <v>8</v>
      </c>
      <c r="W1054" s="15" t="s">
        <v>8</v>
      </c>
      <c r="X1054" s="15" t="s">
        <v>8</v>
      </c>
      <c r="Y1054" s="15" t="s">
        <v>8</v>
      </c>
      <c r="Z1054" s="15" t="s">
        <v>8</v>
      </c>
      <c r="AB1054" s="20" t="str">
        <f>HYPERLINK("http://yeinfo.com/family/I09066876.html", "Mrs. ISABELLA BOTELER &lt;A&gt; 1227 EN-1247 EN ID:09066876")</f>
        <v>Mrs. ISABELLA BOTELER &lt;A&gt; 1227 EN-1247 EN ID:09066876</v>
      </c>
      <c r="AC1054" s="17"/>
      <c r="AD1054" s="17"/>
      <c r="AE1054" s="17"/>
      <c r="AF1054" s="17"/>
    </row>
    <row r="1055" spans="3:33" x14ac:dyDescent="0.35">
      <c r="C1055" s="15" t="s">
        <v>8</v>
      </c>
      <c r="D1055" s="15" t="s">
        <v>8</v>
      </c>
      <c r="H1055" s="15" t="s">
        <v>8</v>
      </c>
      <c r="K1055" s="15" t="s">
        <v>8</v>
      </c>
      <c r="L1055" s="15" t="s">
        <v>8</v>
      </c>
      <c r="M1055" s="15" t="s">
        <v>8</v>
      </c>
      <c r="N1055" s="15" t="s">
        <v>8</v>
      </c>
      <c r="P1055" s="15" t="s">
        <v>8</v>
      </c>
      <c r="R1055" s="15" t="s">
        <v>8</v>
      </c>
      <c r="W1055" s="15" t="s">
        <v>8</v>
      </c>
      <c r="X1055" s="15" t="s">
        <v>8</v>
      </c>
      <c r="Y1055" s="8" t="s">
        <v>6</v>
      </c>
      <c r="Z1055" s="15" t="s">
        <v>8</v>
      </c>
    </row>
    <row r="1056" spans="3:33" x14ac:dyDescent="0.35">
      <c r="C1056" s="15" t="s">
        <v>8</v>
      </c>
      <c r="D1056" s="15" t="s">
        <v>8</v>
      </c>
      <c r="H1056" s="15" t="s">
        <v>8</v>
      </c>
      <c r="K1056" s="15" t="s">
        <v>8</v>
      </c>
      <c r="L1056" s="15" t="s">
        <v>8</v>
      </c>
      <c r="M1056" s="15" t="s">
        <v>8</v>
      </c>
      <c r="N1056" s="15" t="s">
        <v>8</v>
      </c>
      <c r="P1056" s="15" t="s">
        <v>8</v>
      </c>
      <c r="R1056" s="15" t="s">
        <v>8</v>
      </c>
      <c r="W1056" s="15" t="s">
        <v>8</v>
      </c>
      <c r="X1056" s="15" t="s">
        <v>8</v>
      </c>
      <c r="Y1056" s="20" t="str">
        <f>HYPERLINK("http://yeinfo.com/family/I09066963.html", "ELIZABETH RADCLIFFE &lt;6&gt; 1290 EN-1310 EN ID:09066963")</f>
        <v>ELIZABETH RADCLIFFE &lt;6&gt; 1290 EN-1310 EN ID:09066963</v>
      </c>
      <c r="Z1056" s="17"/>
      <c r="AA1056" s="17"/>
      <c r="AB1056" s="17"/>
      <c r="AC1056" s="17"/>
    </row>
    <row r="1057" spans="3:32" x14ac:dyDescent="0.35">
      <c r="C1057" s="15" t="s">
        <v>8</v>
      </c>
      <c r="D1057" s="15" t="s">
        <v>8</v>
      </c>
      <c r="H1057" s="15" t="s">
        <v>8</v>
      </c>
      <c r="K1057" s="15" t="s">
        <v>8</v>
      </c>
      <c r="L1057" s="15" t="s">
        <v>8</v>
      </c>
      <c r="M1057" s="15" t="s">
        <v>8</v>
      </c>
      <c r="N1057" s="15" t="s">
        <v>8</v>
      </c>
      <c r="P1057" s="15" t="s">
        <v>8</v>
      </c>
      <c r="R1057" s="15" t="s">
        <v>8</v>
      </c>
      <c r="W1057" s="15" t="s">
        <v>8</v>
      </c>
      <c r="X1057" s="15" t="s">
        <v>8</v>
      </c>
      <c r="Z1057" s="15" t="s">
        <v>8</v>
      </c>
    </row>
    <row r="1058" spans="3:32" x14ac:dyDescent="0.35">
      <c r="C1058" s="15" t="s">
        <v>8</v>
      </c>
      <c r="D1058" s="15" t="s">
        <v>8</v>
      </c>
      <c r="H1058" s="15" t="s">
        <v>8</v>
      </c>
      <c r="K1058" s="15" t="s">
        <v>8</v>
      </c>
      <c r="L1058" s="15" t="s">
        <v>8</v>
      </c>
      <c r="M1058" s="15" t="s">
        <v>8</v>
      </c>
      <c r="N1058" s="15" t="s">
        <v>8</v>
      </c>
      <c r="P1058" s="15" t="s">
        <v>8</v>
      </c>
      <c r="R1058" s="15" t="s">
        <v>8</v>
      </c>
      <c r="W1058" s="15" t="s">
        <v>8</v>
      </c>
      <c r="X1058" s="15" t="s">
        <v>8</v>
      </c>
      <c r="Z1058" s="15" t="s">
        <v>8</v>
      </c>
      <c r="AA1058" s="19" t="str">
        <f>HYPERLINK("http://yeinfo.com/family/I09066956.html", "ADAM PEASFURLONG &lt;8&gt; 1242 EN-1274 EN ID:09066956")</f>
        <v>ADAM PEASFURLONG &lt;8&gt; 1242 EN-1274 EN ID:09066956</v>
      </c>
      <c r="AB1058" s="9"/>
      <c r="AC1058" s="9"/>
      <c r="AD1058" s="9"/>
      <c r="AE1058" s="9"/>
    </row>
    <row r="1059" spans="3:32" x14ac:dyDescent="0.35">
      <c r="C1059" s="15" t="s">
        <v>8</v>
      </c>
      <c r="D1059" s="15" t="s">
        <v>8</v>
      </c>
      <c r="H1059" s="15" t="s">
        <v>8</v>
      </c>
      <c r="K1059" s="15" t="s">
        <v>8</v>
      </c>
      <c r="L1059" s="15" t="s">
        <v>8</v>
      </c>
      <c r="M1059" s="15" t="s">
        <v>8</v>
      </c>
      <c r="N1059" s="15" t="s">
        <v>8</v>
      </c>
      <c r="P1059" s="15" t="s">
        <v>8</v>
      </c>
      <c r="R1059" s="15" t="s">
        <v>8</v>
      </c>
      <c r="W1059" s="15" t="s">
        <v>8</v>
      </c>
      <c r="X1059" s="15" t="s">
        <v>8</v>
      </c>
      <c r="Z1059" s="8" t="s">
        <v>6</v>
      </c>
      <c r="AA1059" s="8" t="s">
        <v>3</v>
      </c>
    </row>
    <row r="1060" spans="3:32" x14ac:dyDescent="0.35">
      <c r="C1060" s="15" t="s">
        <v>8</v>
      </c>
      <c r="D1060" s="15" t="s">
        <v>8</v>
      </c>
      <c r="H1060" s="15" t="s">
        <v>8</v>
      </c>
      <c r="K1060" s="15" t="s">
        <v>8</v>
      </c>
      <c r="L1060" s="15" t="s">
        <v>8</v>
      </c>
      <c r="M1060" s="15" t="s">
        <v>8</v>
      </c>
      <c r="N1060" s="15" t="s">
        <v>8</v>
      </c>
      <c r="P1060" s="15" t="s">
        <v>8</v>
      </c>
      <c r="R1060" s="15" t="s">
        <v>8</v>
      </c>
      <c r="W1060" s="15" t="s">
        <v>8</v>
      </c>
      <c r="X1060" s="15" t="s">
        <v>8</v>
      </c>
      <c r="Z1060" s="20" t="str">
        <f>HYPERLINK("http://yeinfo.com/family/I09066957.html", "MARGARET PEASFURLONG &lt;8&gt; 1244 EN-1290 EN ID:09066957")</f>
        <v>MARGARET PEASFURLONG &lt;8&gt; 1244 EN-1290 EN ID:09066957</v>
      </c>
      <c r="AA1060" s="17"/>
      <c r="AB1060" s="17"/>
      <c r="AC1060" s="17"/>
      <c r="AD1060" s="17"/>
    </row>
    <row r="1061" spans="3:32" x14ac:dyDescent="0.35">
      <c r="C1061" s="15" t="s">
        <v>8</v>
      </c>
      <c r="D1061" s="15" t="s">
        <v>8</v>
      </c>
      <c r="H1061" s="15" t="s">
        <v>8</v>
      </c>
      <c r="K1061" s="15" t="s">
        <v>8</v>
      </c>
      <c r="L1061" s="15" t="s">
        <v>8</v>
      </c>
      <c r="M1061" s="15" t="s">
        <v>8</v>
      </c>
      <c r="N1061" s="15" t="s">
        <v>8</v>
      </c>
      <c r="P1061" s="15" t="s">
        <v>8</v>
      </c>
      <c r="R1061" s="15" t="s">
        <v>8</v>
      </c>
      <c r="W1061" s="15" t="s">
        <v>8</v>
      </c>
      <c r="X1061" s="15" t="s">
        <v>8</v>
      </c>
      <c r="AA1061" s="15" t="s">
        <v>8</v>
      </c>
    </row>
    <row r="1062" spans="3:32" x14ac:dyDescent="0.35">
      <c r="C1062" s="15" t="s">
        <v>8</v>
      </c>
      <c r="D1062" s="15" t="s">
        <v>8</v>
      </c>
      <c r="H1062" s="15" t="s">
        <v>8</v>
      </c>
      <c r="K1062" s="15" t="s">
        <v>8</v>
      </c>
      <c r="L1062" s="15" t="s">
        <v>8</v>
      </c>
      <c r="M1062" s="15" t="s">
        <v>8</v>
      </c>
      <c r="N1062" s="15" t="s">
        <v>8</v>
      </c>
      <c r="P1062" s="15" t="s">
        <v>8</v>
      </c>
      <c r="R1062" s="15" t="s">
        <v>8</v>
      </c>
      <c r="W1062" s="15" t="s">
        <v>8</v>
      </c>
      <c r="X1062" s="15" t="s">
        <v>8</v>
      </c>
      <c r="AA1062" s="15" t="s">
        <v>8</v>
      </c>
      <c r="AB1062" s="19" t="str">
        <f>HYPERLINK("http://yeinfo.com/family/I09066895.html", "GILBERT CULCHETH &lt;8&gt; 1205 EN-1246 EN ID:09066895")</f>
        <v>GILBERT CULCHETH &lt;8&gt; 1205 EN-1246 EN ID:09066895</v>
      </c>
      <c r="AC1062" s="9"/>
      <c r="AD1062" s="9"/>
      <c r="AE1062" s="9"/>
      <c r="AF1062" s="9"/>
    </row>
    <row r="1063" spans="3:32" x14ac:dyDescent="0.35">
      <c r="C1063" s="15" t="s">
        <v>8</v>
      </c>
      <c r="D1063" s="15" t="s">
        <v>8</v>
      </c>
      <c r="H1063" s="15" t="s">
        <v>8</v>
      </c>
      <c r="K1063" s="15" t="s">
        <v>8</v>
      </c>
      <c r="L1063" s="15" t="s">
        <v>8</v>
      </c>
      <c r="M1063" s="15" t="s">
        <v>8</v>
      </c>
      <c r="N1063" s="15" t="s">
        <v>8</v>
      </c>
      <c r="P1063" s="15" t="s">
        <v>8</v>
      </c>
      <c r="R1063" s="15" t="s">
        <v>8</v>
      </c>
      <c r="W1063" s="15" t="s">
        <v>8</v>
      </c>
      <c r="X1063" s="15" t="s">
        <v>8</v>
      </c>
      <c r="AA1063" s="8" t="s">
        <v>6</v>
      </c>
      <c r="AB1063" s="8" t="s">
        <v>3</v>
      </c>
    </row>
    <row r="1064" spans="3:32" x14ac:dyDescent="0.35">
      <c r="C1064" s="15" t="s">
        <v>8</v>
      </c>
      <c r="D1064" s="15" t="s">
        <v>8</v>
      </c>
      <c r="H1064" s="15" t="s">
        <v>8</v>
      </c>
      <c r="K1064" s="15" t="s">
        <v>8</v>
      </c>
      <c r="L1064" s="15" t="s">
        <v>8</v>
      </c>
      <c r="M1064" s="15" t="s">
        <v>8</v>
      </c>
      <c r="N1064" s="15" t="s">
        <v>8</v>
      </c>
      <c r="P1064" s="15" t="s">
        <v>8</v>
      </c>
      <c r="R1064" s="15" t="s">
        <v>8</v>
      </c>
      <c r="W1064" s="15" t="s">
        <v>8</v>
      </c>
      <c r="X1064" s="15" t="s">
        <v>8</v>
      </c>
      <c r="AA1064" s="20" t="str">
        <f>HYPERLINK("http://yeinfo.com/family/I09066896.html", "ELIZABETH CULCHETH &lt;8&gt; 1215 EN-1274 EN ID:09066896")</f>
        <v>ELIZABETH CULCHETH &lt;8&gt; 1215 EN-1274 EN ID:09066896</v>
      </c>
      <c r="AB1064" s="17"/>
      <c r="AC1064" s="17"/>
      <c r="AD1064" s="17"/>
      <c r="AE1064" s="17"/>
    </row>
    <row r="1065" spans="3:32" x14ac:dyDescent="0.35">
      <c r="C1065" s="15" t="s">
        <v>8</v>
      </c>
      <c r="D1065" s="15" t="s">
        <v>8</v>
      </c>
      <c r="H1065" s="15" t="s">
        <v>8</v>
      </c>
      <c r="K1065" s="15" t="s">
        <v>8</v>
      </c>
      <c r="L1065" s="15" t="s">
        <v>8</v>
      </c>
      <c r="M1065" s="15" t="s">
        <v>8</v>
      </c>
      <c r="N1065" s="15" t="s">
        <v>8</v>
      </c>
      <c r="P1065" s="15" t="s">
        <v>8</v>
      </c>
      <c r="R1065" s="15" t="s">
        <v>8</v>
      </c>
      <c r="W1065" s="15" t="s">
        <v>8</v>
      </c>
      <c r="X1065" s="15" t="s">
        <v>8</v>
      </c>
      <c r="AB1065" s="8" t="s">
        <v>6</v>
      </c>
    </row>
    <row r="1066" spans="3:32" x14ac:dyDescent="0.35">
      <c r="C1066" s="15" t="s">
        <v>8</v>
      </c>
      <c r="D1066" s="15" t="s">
        <v>8</v>
      </c>
      <c r="H1066" s="15" t="s">
        <v>8</v>
      </c>
      <c r="K1066" s="15" t="s">
        <v>8</v>
      </c>
      <c r="L1066" s="15" t="s">
        <v>8</v>
      </c>
      <c r="M1066" s="15" t="s">
        <v>8</v>
      </c>
      <c r="N1066" s="15" t="s">
        <v>8</v>
      </c>
      <c r="P1066" s="15" t="s">
        <v>8</v>
      </c>
      <c r="R1066" s="15" t="s">
        <v>8</v>
      </c>
      <c r="W1066" s="15" t="s">
        <v>8</v>
      </c>
      <c r="X1066" s="15" t="s">
        <v>8</v>
      </c>
      <c r="AB1066" s="20" t="str">
        <f>HYPERLINK("http://yeinfo.com/family/I09066935.html", "CECILIA LATHOM &lt;8&gt; 1222 EN-1245 EN ID:09066935")</f>
        <v>CECILIA LATHOM &lt;8&gt; 1222 EN-1245 EN ID:09066935</v>
      </c>
      <c r="AC1066" s="17"/>
      <c r="AD1066" s="17"/>
      <c r="AE1066" s="17"/>
      <c r="AF1066" s="17"/>
    </row>
    <row r="1067" spans="3:32" x14ac:dyDescent="0.35">
      <c r="C1067" s="15" t="s">
        <v>8</v>
      </c>
      <c r="D1067" s="15" t="s">
        <v>8</v>
      </c>
      <c r="H1067" s="15" t="s">
        <v>8</v>
      </c>
      <c r="K1067" s="15" t="s">
        <v>8</v>
      </c>
      <c r="L1067" s="15" t="s">
        <v>8</v>
      </c>
      <c r="M1067" s="15" t="s">
        <v>8</v>
      </c>
      <c r="N1067" s="15" t="s">
        <v>8</v>
      </c>
      <c r="P1067" s="15" t="s">
        <v>8</v>
      </c>
      <c r="R1067" s="15" t="s">
        <v>8</v>
      </c>
      <c r="W1067" s="8" t="s">
        <v>6</v>
      </c>
      <c r="X1067" s="15" t="s">
        <v>8</v>
      </c>
    </row>
    <row r="1068" spans="3:32" x14ac:dyDescent="0.35">
      <c r="C1068" s="15" t="s">
        <v>8</v>
      </c>
      <c r="D1068" s="15" t="s">
        <v>8</v>
      </c>
      <c r="H1068" s="15" t="s">
        <v>8</v>
      </c>
      <c r="K1068" s="15" t="s">
        <v>8</v>
      </c>
      <c r="L1068" s="15" t="s">
        <v>8</v>
      </c>
      <c r="M1068" s="15" t="s">
        <v>8</v>
      </c>
      <c r="N1068" s="15" t="s">
        <v>8</v>
      </c>
      <c r="P1068" s="15" t="s">
        <v>8</v>
      </c>
      <c r="R1068" s="15" t="s">
        <v>8</v>
      </c>
      <c r="W1068" s="20" t="str">
        <f>HYPERLINK("http://yeinfo.com/family/I09066934.html", "MARGARET INCE &lt;6&gt; 1330 EN-1417 EN ID:09066934")</f>
        <v>MARGARET INCE &lt;6&gt; 1330 EN-1417 EN ID:09066934</v>
      </c>
      <c r="X1068" s="17"/>
      <c r="Y1068" s="17"/>
      <c r="Z1068" s="17"/>
      <c r="AA1068" s="17"/>
    </row>
    <row r="1069" spans="3:32" x14ac:dyDescent="0.35">
      <c r="C1069" s="15" t="s">
        <v>8</v>
      </c>
      <c r="D1069" s="15" t="s">
        <v>8</v>
      </c>
      <c r="H1069" s="15" t="s">
        <v>8</v>
      </c>
      <c r="K1069" s="15" t="s">
        <v>8</v>
      </c>
      <c r="L1069" s="15" t="s">
        <v>8</v>
      </c>
      <c r="M1069" s="15" t="s">
        <v>8</v>
      </c>
      <c r="N1069" s="15" t="s">
        <v>8</v>
      </c>
      <c r="P1069" s="15" t="s">
        <v>8</v>
      </c>
      <c r="R1069" s="15" t="s">
        <v>8</v>
      </c>
      <c r="X1069" s="8" t="s">
        <v>6</v>
      </c>
    </row>
    <row r="1070" spans="3:32" x14ac:dyDescent="0.35">
      <c r="C1070" s="15" t="s">
        <v>8</v>
      </c>
      <c r="D1070" s="15" t="s">
        <v>8</v>
      </c>
      <c r="H1070" s="15" t="s">
        <v>8</v>
      </c>
      <c r="K1070" s="15" t="s">
        <v>8</v>
      </c>
      <c r="L1070" s="15" t="s">
        <v>8</v>
      </c>
      <c r="M1070" s="15" t="s">
        <v>8</v>
      </c>
      <c r="N1070" s="15" t="s">
        <v>8</v>
      </c>
      <c r="P1070" s="15" t="s">
        <v>8</v>
      </c>
      <c r="R1070" s="15" t="s">
        <v>8</v>
      </c>
      <c r="X1070" s="20" t="str">
        <f>HYPERLINK("http://yeinfo.com/family/I09066932.html", "Mrs. {_?_} INCE &lt;6&gt; 1310 -1335 EN ID:09066932")</f>
        <v>Mrs. {_?_} INCE &lt;6&gt; 1310 -1335 EN ID:09066932</v>
      </c>
      <c r="Y1070" s="17"/>
      <c r="Z1070" s="17"/>
      <c r="AA1070" s="17"/>
      <c r="AB1070" s="17"/>
    </row>
    <row r="1071" spans="3:32" x14ac:dyDescent="0.35">
      <c r="C1071" s="15" t="s">
        <v>8</v>
      </c>
      <c r="D1071" s="15" t="s">
        <v>8</v>
      </c>
      <c r="H1071" s="15" t="s">
        <v>8</v>
      </c>
      <c r="K1071" s="15" t="s">
        <v>8</v>
      </c>
      <c r="L1071" s="15" t="s">
        <v>8</v>
      </c>
      <c r="M1071" s="15" t="s">
        <v>8</v>
      </c>
      <c r="N1071" s="15" t="s">
        <v>8</v>
      </c>
      <c r="P1071" s="15" t="s">
        <v>8</v>
      </c>
      <c r="R1071" s="15" t="s">
        <v>8</v>
      </c>
    </row>
    <row r="1072" spans="3:32" x14ac:dyDescent="0.35">
      <c r="C1072" s="15" t="s">
        <v>8</v>
      </c>
      <c r="D1072" s="15" t="s">
        <v>8</v>
      </c>
      <c r="H1072" s="15" t="s">
        <v>8</v>
      </c>
      <c r="K1072" s="15" t="s">
        <v>8</v>
      </c>
      <c r="L1072" s="15" t="s">
        <v>8</v>
      </c>
      <c r="M1072" s="15" t="s">
        <v>8</v>
      </c>
      <c r="N1072" s="15" t="s">
        <v>8</v>
      </c>
      <c r="P1072" s="15" t="s">
        <v>8</v>
      </c>
      <c r="Q1072" s="19" t="str">
        <f>HYPERLINK("http://yeinfo.com/family/I09020715.html", "EDMUND TRAFFORD &lt;2&gt; 1453 EN-1533 EN ID:09041430")</f>
        <v>EDMUND TRAFFORD &lt;2&gt; 1453 EN-1533 EN ID:09041430</v>
      </c>
      <c r="R1072" s="9"/>
      <c r="S1072" s="9"/>
      <c r="T1072" s="9"/>
      <c r="U1072" s="9"/>
    </row>
    <row r="1073" spans="3:28" x14ac:dyDescent="0.35">
      <c r="C1073" s="15" t="s">
        <v>8</v>
      </c>
      <c r="D1073" s="15" t="s">
        <v>8</v>
      </c>
      <c r="H1073" s="15" t="s">
        <v>8</v>
      </c>
      <c r="K1073" s="15" t="s">
        <v>8</v>
      </c>
      <c r="L1073" s="15" t="s">
        <v>8</v>
      </c>
      <c r="M1073" s="15" t="s">
        <v>8</v>
      </c>
      <c r="N1073" s="15" t="s">
        <v>8</v>
      </c>
      <c r="P1073" s="15" t="s">
        <v>8</v>
      </c>
      <c r="Q1073" s="8" t="s">
        <v>3</v>
      </c>
      <c r="R1073" s="15" t="s">
        <v>8</v>
      </c>
    </row>
    <row r="1074" spans="3:28" x14ac:dyDescent="0.35">
      <c r="C1074" s="15" t="s">
        <v>8</v>
      </c>
      <c r="D1074" s="15" t="s">
        <v>8</v>
      </c>
      <c r="H1074" s="15" t="s">
        <v>8</v>
      </c>
      <c r="K1074" s="15" t="s">
        <v>8</v>
      </c>
      <c r="L1074" s="15" t="s">
        <v>8</v>
      </c>
      <c r="M1074" s="15" t="s">
        <v>8</v>
      </c>
      <c r="N1074" s="15" t="s">
        <v>8</v>
      </c>
      <c r="P1074" s="15" t="s">
        <v>8</v>
      </c>
      <c r="Q1074" s="15" t="s">
        <v>8</v>
      </c>
      <c r="R1074" s="15" t="s">
        <v>8</v>
      </c>
      <c r="W1074" s="19" t="str">
        <f>HYPERLINK("http://yeinfo.com/family/I09066850.html", "ROBERT ROGER SAVAGE &lt;2&gt; 1305 EN-1335 EN ID:09066849")</f>
        <v>ROBERT ROGER SAVAGE &lt;2&gt; 1305 EN-1335 EN ID:09066849</v>
      </c>
      <c r="X1074" s="9"/>
      <c r="Y1074" s="9"/>
      <c r="Z1074" s="9"/>
      <c r="AA1074" s="9"/>
    </row>
    <row r="1075" spans="3:28" x14ac:dyDescent="0.35">
      <c r="C1075" s="15" t="s">
        <v>8</v>
      </c>
      <c r="D1075" s="15" t="s">
        <v>8</v>
      </c>
      <c r="H1075" s="15" t="s">
        <v>8</v>
      </c>
      <c r="K1075" s="15" t="s">
        <v>8</v>
      </c>
      <c r="L1075" s="15" t="s">
        <v>8</v>
      </c>
      <c r="M1075" s="15" t="s">
        <v>8</v>
      </c>
      <c r="N1075" s="15" t="s">
        <v>8</v>
      </c>
      <c r="P1075" s="15" t="s">
        <v>8</v>
      </c>
      <c r="Q1075" s="15" t="s">
        <v>8</v>
      </c>
      <c r="R1075" s="15" t="s">
        <v>8</v>
      </c>
      <c r="W1075" s="8" t="s">
        <v>3</v>
      </c>
    </row>
    <row r="1076" spans="3:28" x14ac:dyDescent="0.35">
      <c r="C1076" s="15" t="s">
        <v>8</v>
      </c>
      <c r="D1076" s="15" t="s">
        <v>8</v>
      </c>
      <c r="H1076" s="15" t="s">
        <v>8</v>
      </c>
      <c r="K1076" s="15" t="s">
        <v>8</v>
      </c>
      <c r="L1076" s="15" t="s">
        <v>8</v>
      </c>
      <c r="M1076" s="15" t="s">
        <v>8</v>
      </c>
      <c r="N1076" s="15" t="s">
        <v>8</v>
      </c>
      <c r="P1076" s="15" t="s">
        <v>8</v>
      </c>
      <c r="Q1076" s="15" t="s">
        <v>8</v>
      </c>
      <c r="R1076" s="15" t="s">
        <v>8</v>
      </c>
      <c r="V1076" s="19" t="str">
        <f>HYPERLINK("http://yeinfo.com/family/I09066851.html", "JOHN SAVAGE I &lt;2&gt; 1343 EN-1386 EN ID:09066850")</f>
        <v>JOHN SAVAGE I &lt;2&gt; 1343 EN-1386 EN ID:09066850</v>
      </c>
      <c r="W1076" s="9"/>
      <c r="X1076" s="9"/>
      <c r="Y1076" s="9"/>
      <c r="Z1076" s="9"/>
    </row>
    <row r="1077" spans="3:28" x14ac:dyDescent="0.35">
      <c r="C1077" s="15" t="s">
        <v>8</v>
      </c>
      <c r="D1077" s="15" t="s">
        <v>8</v>
      </c>
      <c r="H1077" s="15" t="s">
        <v>8</v>
      </c>
      <c r="K1077" s="15" t="s">
        <v>8</v>
      </c>
      <c r="L1077" s="15" t="s">
        <v>8</v>
      </c>
      <c r="M1077" s="15" t="s">
        <v>8</v>
      </c>
      <c r="N1077" s="15" t="s">
        <v>8</v>
      </c>
      <c r="P1077" s="15" t="s">
        <v>8</v>
      </c>
      <c r="Q1077" s="15" t="s">
        <v>8</v>
      </c>
      <c r="R1077" s="15" t="s">
        <v>8</v>
      </c>
      <c r="V1077" s="8" t="s">
        <v>3</v>
      </c>
      <c r="W1077" s="15" t="s">
        <v>8</v>
      </c>
    </row>
    <row r="1078" spans="3:28" x14ac:dyDescent="0.35">
      <c r="C1078" s="15" t="s">
        <v>8</v>
      </c>
      <c r="D1078" s="15" t="s">
        <v>8</v>
      </c>
      <c r="H1078" s="15" t="s">
        <v>8</v>
      </c>
      <c r="K1078" s="15" t="s">
        <v>8</v>
      </c>
      <c r="L1078" s="15" t="s">
        <v>8</v>
      </c>
      <c r="M1078" s="15" t="s">
        <v>8</v>
      </c>
      <c r="N1078" s="15" t="s">
        <v>8</v>
      </c>
      <c r="P1078" s="15" t="s">
        <v>8</v>
      </c>
      <c r="Q1078" s="15" t="s">
        <v>8</v>
      </c>
      <c r="R1078" s="15" t="s">
        <v>8</v>
      </c>
      <c r="V1078" s="15" t="s">
        <v>8</v>
      </c>
      <c r="W1078" s="15" t="s">
        <v>8</v>
      </c>
      <c r="X1078" s="19" t="str">
        <f>HYPERLINK("http://yeinfo.com/family/I09066846.html", "ROGER CHEADLE &lt;2&gt; 1275 EN-1322 EN ID:09066845")</f>
        <v>ROGER CHEADLE &lt;2&gt; 1275 EN-1322 EN ID:09066845</v>
      </c>
      <c r="Y1078" s="9"/>
      <c r="Z1078" s="9"/>
      <c r="AA1078" s="9"/>
      <c r="AB1078" s="9"/>
    </row>
    <row r="1079" spans="3:28" x14ac:dyDescent="0.35">
      <c r="C1079" s="15" t="s">
        <v>8</v>
      </c>
      <c r="D1079" s="15" t="s">
        <v>8</v>
      </c>
      <c r="H1079" s="15" t="s">
        <v>8</v>
      </c>
      <c r="K1079" s="15" t="s">
        <v>8</v>
      </c>
      <c r="L1079" s="15" t="s">
        <v>8</v>
      </c>
      <c r="M1079" s="15" t="s">
        <v>8</v>
      </c>
      <c r="N1079" s="15" t="s">
        <v>8</v>
      </c>
      <c r="P1079" s="15" t="s">
        <v>8</v>
      </c>
      <c r="Q1079" s="15" t="s">
        <v>8</v>
      </c>
      <c r="R1079" s="15" t="s">
        <v>8</v>
      </c>
      <c r="V1079" s="15" t="s">
        <v>8</v>
      </c>
      <c r="W1079" s="8" t="s">
        <v>6</v>
      </c>
      <c r="X1079" s="8" t="s">
        <v>3</v>
      </c>
    </row>
    <row r="1080" spans="3:28" x14ac:dyDescent="0.35">
      <c r="C1080" s="15" t="s">
        <v>8</v>
      </c>
      <c r="D1080" s="15" t="s">
        <v>8</v>
      </c>
      <c r="H1080" s="15" t="s">
        <v>8</v>
      </c>
      <c r="K1080" s="15" t="s">
        <v>8</v>
      </c>
      <c r="L1080" s="15" t="s">
        <v>8</v>
      </c>
      <c r="M1080" s="15" t="s">
        <v>8</v>
      </c>
      <c r="N1080" s="15" t="s">
        <v>8</v>
      </c>
      <c r="P1080" s="15" t="s">
        <v>8</v>
      </c>
      <c r="Q1080" s="15" t="s">
        <v>8</v>
      </c>
      <c r="R1080" s="15" t="s">
        <v>8</v>
      </c>
      <c r="V1080" s="15" t="s">
        <v>8</v>
      </c>
      <c r="W1080" s="20" t="str">
        <f>HYPERLINK("http://yeinfo.com/family/I09066849.html", "MARGERY CHEADLE &lt;2&gt; 1277 EN-1343 EN ID:09066846")</f>
        <v>MARGERY CHEADLE &lt;2&gt; 1277 EN-1343 EN ID:09066846</v>
      </c>
      <c r="X1080" s="17"/>
      <c r="Y1080" s="17"/>
      <c r="Z1080" s="17"/>
      <c r="AA1080" s="17"/>
    </row>
    <row r="1081" spans="3:28" x14ac:dyDescent="0.35">
      <c r="C1081" s="15" t="s">
        <v>8</v>
      </c>
      <c r="D1081" s="15" t="s">
        <v>8</v>
      </c>
      <c r="H1081" s="15" t="s">
        <v>8</v>
      </c>
      <c r="K1081" s="15" t="s">
        <v>8</v>
      </c>
      <c r="L1081" s="15" t="s">
        <v>8</v>
      </c>
      <c r="M1081" s="15" t="s">
        <v>8</v>
      </c>
      <c r="N1081" s="15" t="s">
        <v>8</v>
      </c>
      <c r="P1081" s="15" t="s">
        <v>8</v>
      </c>
      <c r="Q1081" s="15" t="s">
        <v>8</v>
      </c>
      <c r="R1081" s="15" t="s">
        <v>8</v>
      </c>
      <c r="V1081" s="15" t="s">
        <v>8</v>
      </c>
      <c r="X1081" s="8" t="s">
        <v>6</v>
      </c>
    </row>
    <row r="1082" spans="3:28" x14ac:dyDescent="0.35">
      <c r="C1082" s="15" t="s">
        <v>8</v>
      </c>
      <c r="D1082" s="15" t="s">
        <v>8</v>
      </c>
      <c r="H1082" s="15" t="s">
        <v>8</v>
      </c>
      <c r="K1082" s="15" t="s">
        <v>8</v>
      </c>
      <c r="L1082" s="15" t="s">
        <v>8</v>
      </c>
      <c r="M1082" s="15" t="s">
        <v>8</v>
      </c>
      <c r="N1082" s="15" t="s">
        <v>8</v>
      </c>
      <c r="P1082" s="15" t="s">
        <v>8</v>
      </c>
      <c r="Q1082" s="15" t="s">
        <v>8</v>
      </c>
      <c r="R1082" s="15" t="s">
        <v>8</v>
      </c>
      <c r="V1082" s="15" t="s">
        <v>8</v>
      </c>
      <c r="X1082" s="20" t="str">
        <f>HYPERLINK("http://yeinfo.com/family/I09066845.html", "MATILDA MASSEY &lt;2&gt; 1283 EN-1322 EN ID:09066848")</f>
        <v>MATILDA MASSEY &lt;2&gt; 1283 EN-1322 EN ID:09066848</v>
      </c>
      <c r="Y1082" s="17"/>
      <c r="Z1082" s="17"/>
      <c r="AA1082" s="17"/>
      <c r="AB1082" s="17"/>
    </row>
    <row r="1083" spans="3:28" x14ac:dyDescent="0.35">
      <c r="C1083" s="15" t="s">
        <v>8</v>
      </c>
      <c r="D1083" s="15" t="s">
        <v>8</v>
      </c>
      <c r="H1083" s="15" t="s">
        <v>8</v>
      </c>
      <c r="K1083" s="15" t="s">
        <v>8</v>
      </c>
      <c r="L1083" s="15" t="s">
        <v>8</v>
      </c>
      <c r="M1083" s="15" t="s">
        <v>8</v>
      </c>
      <c r="N1083" s="15" t="s">
        <v>8</v>
      </c>
      <c r="P1083" s="15" t="s">
        <v>8</v>
      </c>
      <c r="Q1083" s="15" t="s">
        <v>8</v>
      </c>
      <c r="R1083" s="15" t="s">
        <v>8</v>
      </c>
      <c r="V1083" s="15" t="s">
        <v>8</v>
      </c>
    </row>
    <row r="1084" spans="3:28" x14ac:dyDescent="0.35">
      <c r="C1084" s="15" t="s">
        <v>8</v>
      </c>
      <c r="D1084" s="15" t="s">
        <v>8</v>
      </c>
      <c r="H1084" s="15" t="s">
        <v>8</v>
      </c>
      <c r="K1084" s="15" t="s">
        <v>8</v>
      </c>
      <c r="L1084" s="15" t="s">
        <v>8</v>
      </c>
      <c r="M1084" s="15" t="s">
        <v>8</v>
      </c>
      <c r="N1084" s="15" t="s">
        <v>8</v>
      </c>
      <c r="P1084" s="15" t="s">
        <v>8</v>
      </c>
      <c r="Q1084" s="15" t="s">
        <v>8</v>
      </c>
      <c r="R1084" s="15" t="s">
        <v>8</v>
      </c>
      <c r="U1084" s="19" t="str">
        <f>HYPERLINK("http://yeinfo.com/family/I09066832.html", "JOHN SAVAGE II &lt;2&gt; 1370 EN-1450 EN ID:09066851")</f>
        <v>JOHN SAVAGE II &lt;2&gt; 1370 EN-1450 EN ID:09066851</v>
      </c>
      <c r="V1084" s="9"/>
      <c r="W1084" s="9"/>
      <c r="X1084" s="9"/>
      <c r="Y1084" s="9"/>
    </row>
    <row r="1085" spans="3:28" x14ac:dyDescent="0.35">
      <c r="C1085" s="15" t="s">
        <v>8</v>
      </c>
      <c r="D1085" s="15" t="s">
        <v>8</v>
      </c>
      <c r="H1085" s="15" t="s">
        <v>8</v>
      </c>
      <c r="K1085" s="15" t="s">
        <v>8</v>
      </c>
      <c r="L1085" s="15" t="s">
        <v>8</v>
      </c>
      <c r="M1085" s="15" t="s">
        <v>8</v>
      </c>
      <c r="N1085" s="15" t="s">
        <v>8</v>
      </c>
      <c r="P1085" s="15" t="s">
        <v>8</v>
      </c>
      <c r="Q1085" s="15" t="s">
        <v>8</v>
      </c>
      <c r="R1085" s="15" t="s">
        <v>8</v>
      </c>
      <c r="U1085" s="8" t="s">
        <v>3</v>
      </c>
      <c r="V1085" s="8" t="s">
        <v>6</v>
      </c>
    </row>
    <row r="1086" spans="3:28" x14ac:dyDescent="0.35">
      <c r="C1086" s="15" t="s">
        <v>8</v>
      </c>
      <c r="D1086" s="15" t="s">
        <v>8</v>
      </c>
      <c r="H1086" s="15" t="s">
        <v>8</v>
      </c>
      <c r="K1086" s="15" t="s">
        <v>8</v>
      </c>
      <c r="L1086" s="15" t="s">
        <v>8</v>
      </c>
      <c r="M1086" s="15" t="s">
        <v>8</v>
      </c>
      <c r="N1086" s="15" t="s">
        <v>8</v>
      </c>
      <c r="P1086" s="15" t="s">
        <v>8</v>
      </c>
      <c r="Q1086" s="15" t="s">
        <v>8</v>
      </c>
      <c r="R1086" s="15" t="s">
        <v>8</v>
      </c>
      <c r="U1086" s="15" t="s">
        <v>8</v>
      </c>
      <c r="V1086" s="20" t="str">
        <f>HYPERLINK("http://yeinfo.com/family/I09066848.html", "MARGARET DANYERS &lt;2&gt; 1348 EN-1370 EN ID:09066847")</f>
        <v>MARGARET DANYERS &lt;2&gt; 1348 EN-1370 EN ID:09066847</v>
      </c>
      <c r="W1086" s="17"/>
      <c r="X1086" s="17"/>
      <c r="Y1086" s="17"/>
      <c r="Z1086" s="17"/>
    </row>
    <row r="1087" spans="3:28" x14ac:dyDescent="0.35">
      <c r="C1087" s="15" t="s">
        <v>8</v>
      </c>
      <c r="D1087" s="15" t="s">
        <v>8</v>
      </c>
      <c r="H1087" s="15" t="s">
        <v>8</v>
      </c>
      <c r="K1087" s="15" t="s">
        <v>8</v>
      </c>
      <c r="L1087" s="15" t="s">
        <v>8</v>
      </c>
      <c r="M1087" s="15" t="s">
        <v>8</v>
      </c>
      <c r="N1087" s="15" t="s">
        <v>8</v>
      </c>
      <c r="P1087" s="15" t="s">
        <v>8</v>
      </c>
      <c r="Q1087" s="15" t="s">
        <v>8</v>
      </c>
      <c r="R1087" s="15" t="s">
        <v>8</v>
      </c>
      <c r="U1087" s="15" t="s">
        <v>8</v>
      </c>
    </row>
    <row r="1088" spans="3:28" x14ac:dyDescent="0.35">
      <c r="C1088" s="15" t="s">
        <v>8</v>
      </c>
      <c r="D1088" s="15" t="s">
        <v>8</v>
      </c>
      <c r="H1088" s="15" t="s">
        <v>8</v>
      </c>
      <c r="K1088" s="15" t="s">
        <v>8</v>
      </c>
      <c r="L1088" s="15" t="s">
        <v>8</v>
      </c>
      <c r="M1088" s="15" t="s">
        <v>8</v>
      </c>
      <c r="N1088" s="15" t="s">
        <v>8</v>
      </c>
      <c r="P1088" s="15" t="s">
        <v>8</v>
      </c>
      <c r="Q1088" s="15" t="s">
        <v>8</v>
      </c>
      <c r="R1088" s="15" t="s">
        <v>8</v>
      </c>
      <c r="T1088" s="19" t="str">
        <f>HYPERLINK("http://yeinfo.com/family/I09066833.html", "JOHN SAVAGE III &lt;2&gt; 1393 EN-1463 EN ID:09066832")</f>
        <v>JOHN SAVAGE III &lt;2&gt; 1393 EN-1463 EN ID:09066832</v>
      </c>
      <c r="U1088" s="9"/>
      <c r="V1088" s="9"/>
      <c r="W1088" s="9"/>
      <c r="X1088" s="9"/>
    </row>
    <row r="1089" spans="3:26" x14ac:dyDescent="0.35">
      <c r="C1089" s="15" t="s">
        <v>8</v>
      </c>
      <c r="D1089" s="15" t="s">
        <v>8</v>
      </c>
      <c r="H1089" s="15" t="s">
        <v>8</v>
      </c>
      <c r="K1089" s="15" t="s">
        <v>8</v>
      </c>
      <c r="L1089" s="15" t="s">
        <v>8</v>
      </c>
      <c r="M1089" s="15" t="s">
        <v>8</v>
      </c>
      <c r="N1089" s="15" t="s">
        <v>8</v>
      </c>
      <c r="P1089" s="15" t="s">
        <v>8</v>
      </c>
      <c r="Q1089" s="15" t="s">
        <v>8</v>
      </c>
      <c r="R1089" s="15" t="s">
        <v>8</v>
      </c>
      <c r="T1089" s="8" t="s">
        <v>3</v>
      </c>
      <c r="U1089" s="15" t="s">
        <v>8</v>
      </c>
    </row>
    <row r="1090" spans="3:26" x14ac:dyDescent="0.35">
      <c r="C1090" s="15" t="s">
        <v>8</v>
      </c>
      <c r="D1090" s="15" t="s">
        <v>8</v>
      </c>
      <c r="H1090" s="15" t="s">
        <v>8</v>
      </c>
      <c r="K1090" s="15" t="s">
        <v>8</v>
      </c>
      <c r="L1090" s="15" t="s">
        <v>8</v>
      </c>
      <c r="M1090" s="15" t="s">
        <v>8</v>
      </c>
      <c r="N1090" s="15" t="s">
        <v>8</v>
      </c>
      <c r="P1090" s="15" t="s">
        <v>8</v>
      </c>
      <c r="Q1090" s="15" t="s">
        <v>8</v>
      </c>
      <c r="R1090" s="15" t="s">
        <v>8</v>
      </c>
      <c r="T1090" s="15" t="s">
        <v>8</v>
      </c>
      <c r="U1090" s="15" t="s">
        <v>8</v>
      </c>
      <c r="V1090" s="19" t="str">
        <f>HYPERLINK("http://yeinfo.com/family/I09066844.html", "ROBERT SWYNNERTON &lt;2&gt; 1335 EN-1396 EN ID:09066852")</f>
        <v>ROBERT SWYNNERTON &lt;2&gt; 1335 EN-1396 EN ID:09066852</v>
      </c>
      <c r="W1090" s="9"/>
      <c r="X1090" s="9"/>
      <c r="Y1090" s="9"/>
      <c r="Z1090" s="9"/>
    </row>
    <row r="1091" spans="3:26" x14ac:dyDescent="0.35">
      <c r="C1091" s="15" t="s">
        <v>8</v>
      </c>
      <c r="D1091" s="15" t="s">
        <v>8</v>
      </c>
      <c r="H1091" s="15" t="s">
        <v>8</v>
      </c>
      <c r="K1091" s="15" t="s">
        <v>8</v>
      </c>
      <c r="L1091" s="15" t="s">
        <v>8</v>
      </c>
      <c r="M1091" s="15" t="s">
        <v>8</v>
      </c>
      <c r="N1091" s="15" t="s">
        <v>8</v>
      </c>
      <c r="P1091" s="15" t="s">
        <v>8</v>
      </c>
      <c r="Q1091" s="15" t="s">
        <v>8</v>
      </c>
      <c r="R1091" s="15" t="s">
        <v>8</v>
      </c>
      <c r="T1091" s="15" t="s">
        <v>8</v>
      </c>
      <c r="U1091" s="8" t="s">
        <v>6</v>
      </c>
      <c r="V1091" s="8" t="s">
        <v>3</v>
      </c>
    </row>
    <row r="1092" spans="3:26" x14ac:dyDescent="0.35">
      <c r="C1092" s="15" t="s">
        <v>8</v>
      </c>
      <c r="D1092" s="15" t="s">
        <v>8</v>
      </c>
      <c r="H1092" s="15" t="s">
        <v>8</v>
      </c>
      <c r="K1092" s="15" t="s">
        <v>8</v>
      </c>
      <c r="L1092" s="15" t="s">
        <v>8</v>
      </c>
      <c r="M1092" s="15" t="s">
        <v>8</v>
      </c>
      <c r="N1092" s="15" t="s">
        <v>8</v>
      </c>
      <c r="P1092" s="15" t="s">
        <v>8</v>
      </c>
      <c r="Q1092" s="15" t="s">
        <v>8</v>
      </c>
      <c r="R1092" s="15" t="s">
        <v>8</v>
      </c>
      <c r="T1092" s="15" t="s">
        <v>8</v>
      </c>
      <c r="U1092" s="20" t="str">
        <f>HYPERLINK("http://yeinfo.com/family/I09066847.html", "MAUD SWYNNERTON &lt;2&gt; 1371 EN-1415 EN ID:09066844")</f>
        <v>MAUD SWYNNERTON &lt;2&gt; 1371 EN-1415 EN ID:09066844</v>
      </c>
      <c r="V1092" s="17"/>
      <c r="W1092" s="17"/>
      <c r="X1092" s="17"/>
      <c r="Y1092" s="17"/>
    </row>
    <row r="1093" spans="3:26" x14ac:dyDescent="0.35">
      <c r="C1093" s="15" t="s">
        <v>8</v>
      </c>
      <c r="D1093" s="15" t="s">
        <v>8</v>
      </c>
      <c r="H1093" s="15" t="s">
        <v>8</v>
      </c>
      <c r="K1093" s="15" t="s">
        <v>8</v>
      </c>
      <c r="L1093" s="15" t="s">
        <v>8</v>
      </c>
      <c r="M1093" s="15" t="s">
        <v>8</v>
      </c>
      <c r="N1093" s="15" t="s">
        <v>8</v>
      </c>
      <c r="P1093" s="15" t="s">
        <v>8</v>
      </c>
      <c r="Q1093" s="15" t="s">
        <v>8</v>
      </c>
      <c r="R1093" s="15" t="s">
        <v>8</v>
      </c>
      <c r="T1093" s="15" t="s">
        <v>8</v>
      </c>
      <c r="V1093" s="8" t="s">
        <v>6</v>
      </c>
    </row>
    <row r="1094" spans="3:26" x14ac:dyDescent="0.35">
      <c r="C1094" s="15" t="s">
        <v>8</v>
      </c>
      <c r="D1094" s="15" t="s">
        <v>8</v>
      </c>
      <c r="H1094" s="15" t="s">
        <v>8</v>
      </c>
      <c r="K1094" s="15" t="s">
        <v>8</v>
      </c>
      <c r="L1094" s="15" t="s">
        <v>8</v>
      </c>
      <c r="M1094" s="15" t="s">
        <v>8</v>
      </c>
      <c r="N1094" s="15" t="s">
        <v>8</v>
      </c>
      <c r="P1094" s="15" t="s">
        <v>8</v>
      </c>
      <c r="Q1094" s="15" t="s">
        <v>8</v>
      </c>
      <c r="R1094" s="15" t="s">
        <v>8</v>
      </c>
      <c r="T1094" s="15" t="s">
        <v>8</v>
      </c>
      <c r="V1094" s="20" t="str">
        <f>HYPERLINK("http://yeinfo.com/family/I09066852.html", "ELIZABETH BEKE &lt;2&gt; 1340 EN-1415 EN ID:09066843")</f>
        <v>ELIZABETH BEKE &lt;2&gt; 1340 EN-1415 EN ID:09066843</v>
      </c>
      <c r="W1094" s="17"/>
      <c r="X1094" s="17"/>
      <c r="Y1094" s="17"/>
      <c r="Z1094" s="17"/>
    </row>
    <row r="1095" spans="3:26" x14ac:dyDescent="0.35">
      <c r="C1095" s="15" t="s">
        <v>8</v>
      </c>
      <c r="D1095" s="15" t="s">
        <v>8</v>
      </c>
      <c r="H1095" s="15" t="s">
        <v>8</v>
      </c>
      <c r="K1095" s="15" t="s">
        <v>8</v>
      </c>
      <c r="L1095" s="15" t="s">
        <v>8</v>
      </c>
      <c r="M1095" s="15" t="s">
        <v>8</v>
      </c>
      <c r="N1095" s="15" t="s">
        <v>8</v>
      </c>
      <c r="P1095" s="15" t="s">
        <v>8</v>
      </c>
      <c r="Q1095" s="15" t="s">
        <v>8</v>
      </c>
      <c r="R1095" s="15" t="s">
        <v>8</v>
      </c>
      <c r="T1095" s="15" t="s">
        <v>8</v>
      </c>
    </row>
    <row r="1096" spans="3:26" x14ac:dyDescent="0.35">
      <c r="C1096" s="15" t="s">
        <v>8</v>
      </c>
      <c r="D1096" s="15" t="s">
        <v>8</v>
      </c>
      <c r="H1096" s="15" t="s">
        <v>8</v>
      </c>
      <c r="K1096" s="15" t="s">
        <v>8</v>
      </c>
      <c r="L1096" s="15" t="s">
        <v>8</v>
      </c>
      <c r="M1096" s="15" t="s">
        <v>8</v>
      </c>
      <c r="N1096" s="15" t="s">
        <v>8</v>
      </c>
      <c r="P1096" s="15" t="s">
        <v>8</v>
      </c>
      <c r="Q1096" s="15" t="s">
        <v>8</v>
      </c>
      <c r="R1096" s="15" t="s">
        <v>8</v>
      </c>
      <c r="S1096" s="19" t="str">
        <f>HYPERLINK("http://yeinfo.com/family/I09066834.html", "JOHN SAVAGE IV &lt;2&gt; 1422 EN-1495 EN ID:09066833")</f>
        <v>JOHN SAVAGE IV &lt;2&gt; 1422 EN-1495 EN ID:09066833</v>
      </c>
      <c r="T1096" s="9"/>
      <c r="U1096" s="9"/>
      <c r="V1096" s="9"/>
      <c r="W1096" s="9"/>
    </row>
    <row r="1097" spans="3:26" x14ac:dyDescent="0.35">
      <c r="C1097" s="15" t="s">
        <v>8</v>
      </c>
      <c r="D1097" s="15" t="s">
        <v>8</v>
      </c>
      <c r="H1097" s="15" t="s">
        <v>8</v>
      </c>
      <c r="K1097" s="15" t="s">
        <v>8</v>
      </c>
      <c r="L1097" s="15" t="s">
        <v>8</v>
      </c>
      <c r="M1097" s="15" t="s">
        <v>8</v>
      </c>
      <c r="N1097" s="15" t="s">
        <v>8</v>
      </c>
      <c r="P1097" s="15" t="s">
        <v>8</v>
      </c>
      <c r="Q1097" s="15" t="s">
        <v>8</v>
      </c>
      <c r="R1097" s="15" t="s">
        <v>8</v>
      </c>
      <c r="S1097" s="8" t="s">
        <v>3</v>
      </c>
      <c r="T1097" s="15" t="s">
        <v>8</v>
      </c>
    </row>
    <row r="1098" spans="3:26" x14ac:dyDescent="0.35">
      <c r="C1098" s="15" t="s">
        <v>8</v>
      </c>
      <c r="D1098" s="15" t="s">
        <v>8</v>
      </c>
      <c r="H1098" s="15" t="s">
        <v>8</v>
      </c>
      <c r="K1098" s="15" t="s">
        <v>8</v>
      </c>
      <c r="L1098" s="15" t="s">
        <v>8</v>
      </c>
      <c r="M1098" s="15" t="s">
        <v>8</v>
      </c>
      <c r="N1098" s="15" t="s">
        <v>8</v>
      </c>
      <c r="P1098" s="15" t="s">
        <v>8</v>
      </c>
      <c r="Q1098" s="15" t="s">
        <v>8</v>
      </c>
      <c r="R1098" s="15" t="s">
        <v>8</v>
      </c>
      <c r="S1098" s="15" t="s">
        <v>8</v>
      </c>
      <c r="T1098" s="15" t="s">
        <v>8</v>
      </c>
      <c r="V1098" s="19" t="str">
        <f>HYPERLINK("http://yeinfo.com/family/I09066783.html", "WILLIAM BRERETON &lt;2&gt; 1347 EN-1398 EN ID:09066782")</f>
        <v>WILLIAM BRERETON &lt;2&gt; 1347 EN-1398 EN ID:09066782</v>
      </c>
      <c r="W1098" s="9"/>
      <c r="X1098" s="9"/>
      <c r="Y1098" s="9"/>
      <c r="Z1098" s="9"/>
    </row>
    <row r="1099" spans="3:26" x14ac:dyDescent="0.35">
      <c r="C1099" s="15" t="s">
        <v>8</v>
      </c>
      <c r="D1099" s="15" t="s">
        <v>8</v>
      </c>
      <c r="H1099" s="15" t="s">
        <v>8</v>
      </c>
      <c r="K1099" s="15" t="s">
        <v>8</v>
      </c>
      <c r="L1099" s="15" t="s">
        <v>8</v>
      </c>
      <c r="M1099" s="15" t="s">
        <v>8</v>
      </c>
      <c r="N1099" s="15" t="s">
        <v>8</v>
      </c>
      <c r="P1099" s="15" t="s">
        <v>8</v>
      </c>
      <c r="Q1099" s="15" t="s">
        <v>8</v>
      </c>
      <c r="R1099" s="15" t="s">
        <v>8</v>
      </c>
      <c r="S1099" s="15" t="s">
        <v>8</v>
      </c>
      <c r="T1099" s="15" t="s">
        <v>8</v>
      </c>
      <c r="V1099" s="8" t="s">
        <v>3</v>
      </c>
    </row>
    <row r="1100" spans="3:26" x14ac:dyDescent="0.35">
      <c r="C1100" s="15" t="s">
        <v>8</v>
      </c>
      <c r="D1100" s="15" t="s">
        <v>8</v>
      </c>
      <c r="H1100" s="15" t="s">
        <v>8</v>
      </c>
      <c r="K1100" s="15" t="s">
        <v>8</v>
      </c>
      <c r="L1100" s="15" t="s">
        <v>8</v>
      </c>
      <c r="M1100" s="15" t="s">
        <v>8</v>
      </c>
      <c r="N1100" s="15" t="s">
        <v>8</v>
      </c>
      <c r="P1100" s="15" t="s">
        <v>8</v>
      </c>
      <c r="Q1100" s="15" t="s">
        <v>8</v>
      </c>
      <c r="R1100" s="15" t="s">
        <v>8</v>
      </c>
      <c r="S1100" s="15" t="s">
        <v>8</v>
      </c>
      <c r="T1100" s="15" t="s">
        <v>8</v>
      </c>
      <c r="U1100" s="19" t="str">
        <f>HYPERLINK("http://yeinfo.com/family/I09066784.html", "WILLIAM BRERETON &lt;2&gt; 1370 EN-1404 FR ID:09066783")</f>
        <v>WILLIAM BRERETON &lt;2&gt; 1370 EN-1404 FR ID:09066783</v>
      </c>
      <c r="V1100" s="9"/>
      <c r="W1100" s="9"/>
      <c r="X1100" s="9"/>
      <c r="Y1100" s="9"/>
    </row>
    <row r="1101" spans="3:26" x14ac:dyDescent="0.35">
      <c r="C1101" s="15" t="s">
        <v>8</v>
      </c>
      <c r="D1101" s="15" t="s">
        <v>8</v>
      </c>
      <c r="H1101" s="15" t="s">
        <v>8</v>
      </c>
      <c r="K1101" s="15" t="s">
        <v>8</v>
      </c>
      <c r="L1101" s="15" t="s">
        <v>8</v>
      </c>
      <c r="M1101" s="15" t="s">
        <v>8</v>
      </c>
      <c r="N1101" s="15" t="s">
        <v>8</v>
      </c>
      <c r="P1101" s="15" t="s">
        <v>8</v>
      </c>
      <c r="Q1101" s="15" t="s">
        <v>8</v>
      </c>
      <c r="R1101" s="15" t="s">
        <v>8</v>
      </c>
      <c r="S1101" s="15" t="s">
        <v>8</v>
      </c>
      <c r="T1101" s="15" t="s">
        <v>8</v>
      </c>
      <c r="U1101" s="8" t="s">
        <v>3</v>
      </c>
      <c r="V1101" s="8" t="s">
        <v>6</v>
      </c>
    </row>
    <row r="1102" spans="3:26" x14ac:dyDescent="0.35">
      <c r="C1102" s="15" t="s">
        <v>8</v>
      </c>
      <c r="D1102" s="15" t="s">
        <v>8</v>
      </c>
      <c r="H1102" s="15" t="s">
        <v>8</v>
      </c>
      <c r="K1102" s="15" t="s">
        <v>8</v>
      </c>
      <c r="L1102" s="15" t="s">
        <v>8</v>
      </c>
      <c r="M1102" s="15" t="s">
        <v>8</v>
      </c>
      <c r="N1102" s="15" t="s">
        <v>8</v>
      </c>
      <c r="P1102" s="15" t="s">
        <v>8</v>
      </c>
      <c r="Q1102" s="15" t="s">
        <v>8</v>
      </c>
      <c r="R1102" s="15" t="s">
        <v>8</v>
      </c>
      <c r="S1102" s="15" t="s">
        <v>8</v>
      </c>
      <c r="T1102" s="15" t="s">
        <v>8</v>
      </c>
      <c r="U1102" s="15" t="s">
        <v>8</v>
      </c>
      <c r="V1102" s="20" t="str">
        <f>HYPERLINK("http://yeinfo.com/family/I09066782.html", "ELIENA EGERTON &lt;2&gt; 1350 EN-1370 EN ID:09066792")</f>
        <v>ELIENA EGERTON &lt;2&gt; 1350 EN-1370 EN ID:09066792</v>
      </c>
      <c r="W1102" s="17"/>
      <c r="X1102" s="17"/>
      <c r="Y1102" s="17"/>
      <c r="Z1102" s="17"/>
    </row>
    <row r="1103" spans="3:26" x14ac:dyDescent="0.35">
      <c r="C1103" s="15" t="s">
        <v>8</v>
      </c>
      <c r="D1103" s="15" t="s">
        <v>8</v>
      </c>
      <c r="H1103" s="15" t="s">
        <v>8</v>
      </c>
      <c r="K1103" s="15" t="s">
        <v>8</v>
      </c>
      <c r="L1103" s="15" t="s">
        <v>8</v>
      </c>
      <c r="M1103" s="15" t="s">
        <v>8</v>
      </c>
      <c r="N1103" s="15" t="s">
        <v>8</v>
      </c>
      <c r="P1103" s="15" t="s">
        <v>8</v>
      </c>
      <c r="Q1103" s="15" t="s">
        <v>8</v>
      </c>
      <c r="R1103" s="15" t="s">
        <v>8</v>
      </c>
      <c r="S1103" s="15" t="s">
        <v>8</v>
      </c>
      <c r="T1103" s="8" t="s">
        <v>6</v>
      </c>
      <c r="U1103" s="15" t="s">
        <v>8</v>
      </c>
    </row>
    <row r="1104" spans="3:26" x14ac:dyDescent="0.35">
      <c r="C1104" s="15" t="s">
        <v>8</v>
      </c>
      <c r="D1104" s="15" t="s">
        <v>8</v>
      </c>
      <c r="H1104" s="15" t="s">
        <v>8</v>
      </c>
      <c r="K1104" s="15" t="s">
        <v>8</v>
      </c>
      <c r="L1104" s="15" t="s">
        <v>8</v>
      </c>
      <c r="M1104" s="15" t="s">
        <v>8</v>
      </c>
      <c r="N1104" s="15" t="s">
        <v>8</v>
      </c>
      <c r="P1104" s="15" t="s">
        <v>8</v>
      </c>
      <c r="Q1104" s="15" t="s">
        <v>8</v>
      </c>
      <c r="R1104" s="15" t="s">
        <v>8</v>
      </c>
      <c r="S1104" s="15" t="s">
        <v>8</v>
      </c>
      <c r="T1104" s="20" t="str">
        <f>HYPERLINK("http://yeinfo.com/family/I09066843.html", "ELIZABETH\ELEANOR BRERETON &lt;2&gt; 1404 EN-1422 EN ID:09066784")</f>
        <v>ELIZABETH\ELEANOR BRERETON &lt;2&gt; 1404 EN-1422 EN ID:09066784</v>
      </c>
      <c r="U1104" s="17"/>
      <c r="V1104" s="17"/>
      <c r="W1104" s="17"/>
      <c r="X1104" s="17"/>
      <c r="Y1104" s="17"/>
    </row>
    <row r="1105" spans="3:26" x14ac:dyDescent="0.35">
      <c r="C1105" s="15" t="s">
        <v>8</v>
      </c>
      <c r="D1105" s="15" t="s">
        <v>8</v>
      </c>
      <c r="H1105" s="15" t="s">
        <v>8</v>
      </c>
      <c r="K1105" s="15" t="s">
        <v>8</v>
      </c>
      <c r="L1105" s="15" t="s">
        <v>8</v>
      </c>
      <c r="M1105" s="15" t="s">
        <v>8</v>
      </c>
      <c r="N1105" s="15" t="s">
        <v>8</v>
      </c>
      <c r="P1105" s="15" t="s">
        <v>8</v>
      </c>
      <c r="Q1105" s="15" t="s">
        <v>8</v>
      </c>
      <c r="R1105" s="15" t="s">
        <v>8</v>
      </c>
      <c r="S1105" s="15" t="s">
        <v>8</v>
      </c>
      <c r="U1105" s="8" t="s">
        <v>6</v>
      </c>
    </row>
    <row r="1106" spans="3:26" x14ac:dyDescent="0.35">
      <c r="C1106" s="15" t="s">
        <v>8</v>
      </c>
      <c r="D1106" s="15" t="s">
        <v>8</v>
      </c>
      <c r="H1106" s="15" t="s">
        <v>8</v>
      </c>
      <c r="K1106" s="15" t="s">
        <v>8</v>
      </c>
      <c r="L1106" s="15" t="s">
        <v>8</v>
      </c>
      <c r="M1106" s="15" t="s">
        <v>8</v>
      </c>
      <c r="N1106" s="15" t="s">
        <v>8</v>
      </c>
      <c r="P1106" s="15" t="s">
        <v>8</v>
      </c>
      <c r="Q1106" s="15" t="s">
        <v>8</v>
      </c>
      <c r="R1106" s="15" t="s">
        <v>8</v>
      </c>
      <c r="S1106" s="15" t="s">
        <v>8</v>
      </c>
      <c r="U1106" s="20" t="str">
        <f>HYPERLINK("http://yeinfo.com/family/I09066792.html", "ANGELA VENABLES &lt;2&gt; 1374 EN-1442 EN ID:09066724")</f>
        <v>ANGELA VENABLES &lt;2&gt; 1374 EN-1442 EN ID:09066724</v>
      </c>
      <c r="V1106" s="17"/>
      <c r="W1106" s="17"/>
      <c r="X1106" s="17"/>
      <c r="Y1106" s="17"/>
    </row>
    <row r="1107" spans="3:26" x14ac:dyDescent="0.35">
      <c r="C1107" s="15" t="s">
        <v>8</v>
      </c>
      <c r="D1107" s="15" t="s">
        <v>8</v>
      </c>
      <c r="H1107" s="15" t="s">
        <v>8</v>
      </c>
      <c r="K1107" s="15" t="s">
        <v>8</v>
      </c>
      <c r="L1107" s="15" t="s">
        <v>8</v>
      </c>
      <c r="M1107" s="15" t="s">
        <v>8</v>
      </c>
      <c r="N1107" s="15" t="s">
        <v>8</v>
      </c>
      <c r="P1107" s="15" t="s">
        <v>8</v>
      </c>
      <c r="Q1107" s="15" t="s">
        <v>8</v>
      </c>
      <c r="R1107" s="8" t="s">
        <v>6</v>
      </c>
      <c r="S1107" s="15" t="s">
        <v>8</v>
      </c>
    </row>
    <row r="1108" spans="3:26" x14ac:dyDescent="0.35">
      <c r="C1108" s="15" t="s">
        <v>8</v>
      </c>
      <c r="D1108" s="15" t="s">
        <v>8</v>
      </c>
      <c r="H1108" s="15" t="s">
        <v>8</v>
      </c>
      <c r="K1108" s="15" t="s">
        <v>8</v>
      </c>
      <c r="L1108" s="15" t="s">
        <v>8</v>
      </c>
      <c r="M1108" s="15" t="s">
        <v>8</v>
      </c>
      <c r="N1108" s="15" t="s">
        <v>8</v>
      </c>
      <c r="P1108" s="15" t="s">
        <v>8</v>
      </c>
      <c r="Q1108" s="15" t="s">
        <v>8</v>
      </c>
      <c r="R1108" s="20" t="str">
        <f>HYPERLINK("http://yeinfo.com/family/I09066983.html", "MARGARET SAVAGE &lt;2&gt; 1436 EN-1525 EN ID:09066834")</f>
        <v>MARGARET SAVAGE &lt;2&gt; 1436 EN-1525 EN ID:09066834</v>
      </c>
      <c r="S1108" s="17"/>
      <c r="T1108" s="17"/>
      <c r="U1108" s="17"/>
      <c r="V1108" s="17"/>
    </row>
    <row r="1109" spans="3:26" x14ac:dyDescent="0.35">
      <c r="C1109" s="15" t="s">
        <v>8</v>
      </c>
      <c r="D1109" s="15" t="s">
        <v>8</v>
      </c>
      <c r="H1109" s="15" t="s">
        <v>8</v>
      </c>
      <c r="K1109" s="15" t="s">
        <v>8</v>
      </c>
      <c r="L1109" s="15" t="s">
        <v>8</v>
      </c>
      <c r="M1109" s="15" t="s">
        <v>8</v>
      </c>
      <c r="N1109" s="15" t="s">
        <v>8</v>
      </c>
      <c r="P1109" s="15" t="s">
        <v>8</v>
      </c>
      <c r="Q1109" s="15" t="s">
        <v>8</v>
      </c>
      <c r="S1109" s="15" t="s">
        <v>8</v>
      </c>
    </row>
    <row r="1110" spans="3:26" x14ac:dyDescent="0.35">
      <c r="C1110" s="15" t="s">
        <v>8</v>
      </c>
      <c r="D1110" s="15" t="s">
        <v>8</v>
      </c>
      <c r="H1110" s="15" t="s">
        <v>8</v>
      </c>
      <c r="K1110" s="15" t="s">
        <v>8</v>
      </c>
      <c r="L1110" s="15" t="s">
        <v>8</v>
      </c>
      <c r="M1110" s="15" t="s">
        <v>8</v>
      </c>
      <c r="N1110" s="15" t="s">
        <v>8</v>
      </c>
      <c r="P1110" s="15" t="s">
        <v>8</v>
      </c>
      <c r="Q1110" s="15" t="s">
        <v>8</v>
      </c>
      <c r="S1110" s="15" t="s">
        <v>8</v>
      </c>
      <c r="U1110" s="19" t="str">
        <f>HYPERLINK("http://yeinfo.com/family/I09066836.html", "JOHN STANLEY &lt;2&gt; 1353 EN-1437 WL ID:09066835")</f>
        <v>JOHN STANLEY &lt;2&gt; 1353 EN-1437 WL ID:09066835</v>
      </c>
      <c r="V1110" s="9"/>
      <c r="W1110" s="9"/>
      <c r="X1110" s="9"/>
      <c r="Y1110" s="9"/>
    </row>
    <row r="1111" spans="3:26" x14ac:dyDescent="0.35">
      <c r="C1111" s="15" t="s">
        <v>8</v>
      </c>
      <c r="D1111" s="15" t="s">
        <v>8</v>
      </c>
      <c r="H1111" s="15" t="s">
        <v>8</v>
      </c>
      <c r="K1111" s="15" t="s">
        <v>8</v>
      </c>
      <c r="L1111" s="15" t="s">
        <v>8</v>
      </c>
      <c r="M1111" s="15" t="s">
        <v>8</v>
      </c>
      <c r="N1111" s="15" t="s">
        <v>8</v>
      </c>
      <c r="P1111" s="15" t="s">
        <v>8</v>
      </c>
      <c r="Q1111" s="15" t="s">
        <v>8</v>
      </c>
      <c r="S1111" s="15" t="s">
        <v>8</v>
      </c>
      <c r="U1111" s="8" t="s">
        <v>3</v>
      </c>
    </row>
    <row r="1112" spans="3:26" x14ac:dyDescent="0.35">
      <c r="C1112" s="15" t="s">
        <v>8</v>
      </c>
      <c r="D1112" s="15" t="s">
        <v>8</v>
      </c>
      <c r="H1112" s="15" t="s">
        <v>8</v>
      </c>
      <c r="K1112" s="15" t="s">
        <v>8</v>
      </c>
      <c r="L1112" s="15" t="s">
        <v>8</v>
      </c>
      <c r="M1112" s="15" t="s">
        <v>8</v>
      </c>
      <c r="N1112" s="15" t="s">
        <v>8</v>
      </c>
      <c r="P1112" s="15" t="s">
        <v>8</v>
      </c>
      <c r="Q1112" s="15" t="s">
        <v>8</v>
      </c>
      <c r="S1112" s="15" t="s">
        <v>8</v>
      </c>
      <c r="T1112" s="19" t="str">
        <f>HYPERLINK("http://yeinfo.com/family/I09066837.html", "THOMAS STANLEY &lt;2&gt; 1392 EN-1458 EN ID:09066836")</f>
        <v>THOMAS STANLEY &lt;2&gt; 1392 EN-1458 EN ID:09066836</v>
      </c>
      <c r="U1112" s="9"/>
      <c r="V1112" s="9"/>
      <c r="W1112" s="9"/>
      <c r="X1112" s="9"/>
    </row>
    <row r="1113" spans="3:26" x14ac:dyDescent="0.35">
      <c r="C1113" s="15" t="s">
        <v>8</v>
      </c>
      <c r="D1113" s="15" t="s">
        <v>8</v>
      </c>
      <c r="H1113" s="15" t="s">
        <v>8</v>
      </c>
      <c r="K1113" s="15" t="s">
        <v>8</v>
      </c>
      <c r="L1113" s="15" t="s">
        <v>8</v>
      </c>
      <c r="M1113" s="15" t="s">
        <v>8</v>
      </c>
      <c r="N1113" s="15" t="s">
        <v>8</v>
      </c>
      <c r="P1113" s="15" t="s">
        <v>8</v>
      </c>
      <c r="Q1113" s="15" t="s">
        <v>8</v>
      </c>
      <c r="S1113" s="15" t="s">
        <v>8</v>
      </c>
      <c r="T1113" s="8" t="s">
        <v>3</v>
      </c>
      <c r="U1113" s="15" t="s">
        <v>8</v>
      </c>
    </row>
    <row r="1114" spans="3:26" x14ac:dyDescent="0.35">
      <c r="C1114" s="15" t="s">
        <v>8</v>
      </c>
      <c r="D1114" s="15" t="s">
        <v>8</v>
      </c>
      <c r="H1114" s="15" t="s">
        <v>8</v>
      </c>
      <c r="K1114" s="15" t="s">
        <v>8</v>
      </c>
      <c r="L1114" s="15" t="s">
        <v>8</v>
      </c>
      <c r="M1114" s="15" t="s">
        <v>8</v>
      </c>
      <c r="N1114" s="15" t="s">
        <v>8</v>
      </c>
      <c r="P1114" s="15" t="s">
        <v>8</v>
      </c>
      <c r="Q1114" s="15" t="s">
        <v>8</v>
      </c>
      <c r="S1114" s="15" t="s">
        <v>8</v>
      </c>
      <c r="T1114" s="15" t="s">
        <v>8</v>
      </c>
      <c r="U1114" s="15" t="s">
        <v>8</v>
      </c>
      <c r="V1114" s="19" t="str">
        <f>HYPERLINK("http://yeinfo.com/family/I09066803.html", "NICHOLAS HARRINGTON &lt;2&gt; 1344 EN-1397 EN ID:09066802")</f>
        <v>NICHOLAS HARRINGTON &lt;2&gt; 1344 EN-1397 EN ID:09066802</v>
      </c>
      <c r="W1114" s="9"/>
      <c r="X1114" s="9"/>
      <c r="Y1114" s="9"/>
      <c r="Z1114" s="9"/>
    </row>
    <row r="1115" spans="3:26" x14ac:dyDescent="0.35">
      <c r="C1115" s="15" t="s">
        <v>8</v>
      </c>
      <c r="D1115" s="15" t="s">
        <v>8</v>
      </c>
      <c r="H1115" s="15" t="s">
        <v>8</v>
      </c>
      <c r="K1115" s="15" t="s">
        <v>8</v>
      </c>
      <c r="L1115" s="15" t="s">
        <v>8</v>
      </c>
      <c r="M1115" s="15" t="s">
        <v>8</v>
      </c>
      <c r="N1115" s="15" t="s">
        <v>8</v>
      </c>
      <c r="P1115" s="15" t="s">
        <v>8</v>
      </c>
      <c r="Q1115" s="15" t="s">
        <v>8</v>
      </c>
      <c r="S1115" s="15" t="s">
        <v>8</v>
      </c>
      <c r="T1115" s="15" t="s">
        <v>8</v>
      </c>
      <c r="U1115" s="8" t="s">
        <v>6</v>
      </c>
      <c r="V1115" s="8" t="s">
        <v>3</v>
      </c>
    </row>
    <row r="1116" spans="3:26" x14ac:dyDescent="0.35">
      <c r="C1116" s="15" t="s">
        <v>8</v>
      </c>
      <c r="D1116" s="15" t="s">
        <v>8</v>
      </c>
      <c r="H1116" s="15" t="s">
        <v>8</v>
      </c>
      <c r="K1116" s="15" t="s">
        <v>8</v>
      </c>
      <c r="L1116" s="15" t="s">
        <v>8</v>
      </c>
      <c r="M1116" s="15" t="s">
        <v>8</v>
      </c>
      <c r="N1116" s="15" t="s">
        <v>8</v>
      </c>
      <c r="P1116" s="15" t="s">
        <v>8</v>
      </c>
      <c r="Q1116" s="15" t="s">
        <v>8</v>
      </c>
      <c r="S1116" s="15" t="s">
        <v>8</v>
      </c>
      <c r="T1116" s="15" t="s">
        <v>8</v>
      </c>
      <c r="U1116" s="20" t="str">
        <f>HYPERLINK("http://yeinfo.com/family/I09066835.html", "MARGARET HARRINGTON &lt;2&gt; 1384 EN-1407  ID:09066803")</f>
        <v>MARGARET HARRINGTON &lt;2&gt; 1384 EN-1407  ID:09066803</v>
      </c>
      <c r="V1116" s="17"/>
      <c r="W1116" s="17"/>
      <c r="X1116" s="17"/>
      <c r="Y1116" s="17"/>
    </row>
    <row r="1117" spans="3:26" x14ac:dyDescent="0.35">
      <c r="C1117" s="15" t="s">
        <v>8</v>
      </c>
      <c r="D1117" s="15" t="s">
        <v>8</v>
      </c>
      <c r="H1117" s="15" t="s">
        <v>8</v>
      </c>
      <c r="K1117" s="15" t="s">
        <v>8</v>
      </c>
      <c r="L1117" s="15" t="s">
        <v>8</v>
      </c>
      <c r="M1117" s="15" t="s">
        <v>8</v>
      </c>
      <c r="N1117" s="15" t="s">
        <v>8</v>
      </c>
      <c r="P1117" s="15" t="s">
        <v>8</v>
      </c>
      <c r="Q1117" s="15" t="s">
        <v>8</v>
      </c>
      <c r="S1117" s="15" t="s">
        <v>8</v>
      </c>
      <c r="T1117" s="15" t="s">
        <v>8</v>
      </c>
      <c r="V1117" s="8" t="s">
        <v>6</v>
      </c>
    </row>
    <row r="1118" spans="3:26" x14ac:dyDescent="0.35">
      <c r="C1118" s="15" t="s">
        <v>8</v>
      </c>
      <c r="D1118" s="15" t="s">
        <v>8</v>
      </c>
      <c r="H1118" s="15" t="s">
        <v>8</v>
      </c>
      <c r="K1118" s="15" t="s">
        <v>8</v>
      </c>
      <c r="L1118" s="15" t="s">
        <v>8</v>
      </c>
      <c r="M1118" s="15" t="s">
        <v>8</v>
      </c>
      <c r="N1118" s="15" t="s">
        <v>8</v>
      </c>
      <c r="P1118" s="15" t="s">
        <v>8</v>
      </c>
      <c r="Q1118" s="15" t="s">
        <v>8</v>
      </c>
      <c r="S1118" s="15" t="s">
        <v>8</v>
      </c>
      <c r="T1118" s="15" t="s">
        <v>8</v>
      </c>
      <c r="V1118" s="20" t="str">
        <f>HYPERLINK("http://yeinfo.com/family/I09066802.html", "ISABEL ENGLISH &lt;2&gt; 1351 EN-1384 EN ID:09066793")</f>
        <v>ISABEL ENGLISH &lt;2&gt; 1351 EN-1384 EN ID:09066793</v>
      </c>
      <c r="W1118" s="17"/>
      <c r="X1118" s="17"/>
      <c r="Y1118" s="17"/>
      <c r="Z1118" s="17"/>
    </row>
    <row r="1119" spans="3:26" x14ac:dyDescent="0.35">
      <c r="C1119" s="15" t="s">
        <v>8</v>
      </c>
      <c r="D1119" s="15" t="s">
        <v>8</v>
      </c>
      <c r="H1119" s="15" t="s">
        <v>8</v>
      </c>
      <c r="K1119" s="15" t="s">
        <v>8</v>
      </c>
      <c r="L1119" s="15" t="s">
        <v>8</v>
      </c>
      <c r="M1119" s="15" t="s">
        <v>8</v>
      </c>
      <c r="N1119" s="15" t="s">
        <v>8</v>
      </c>
      <c r="P1119" s="15" t="s">
        <v>8</v>
      </c>
      <c r="Q1119" s="15" t="s">
        <v>8</v>
      </c>
      <c r="S1119" s="8" t="s">
        <v>6</v>
      </c>
      <c r="T1119" s="15" t="s">
        <v>8</v>
      </c>
    </row>
    <row r="1120" spans="3:26" x14ac:dyDescent="0.35">
      <c r="C1120" s="15" t="s">
        <v>8</v>
      </c>
      <c r="D1120" s="15" t="s">
        <v>8</v>
      </c>
      <c r="H1120" s="15" t="s">
        <v>8</v>
      </c>
      <c r="K1120" s="15" t="s">
        <v>8</v>
      </c>
      <c r="L1120" s="15" t="s">
        <v>8</v>
      </c>
      <c r="M1120" s="15" t="s">
        <v>8</v>
      </c>
      <c r="N1120" s="15" t="s">
        <v>8</v>
      </c>
      <c r="P1120" s="15" t="s">
        <v>8</v>
      </c>
      <c r="Q1120" s="15" t="s">
        <v>8</v>
      </c>
      <c r="S1120" s="20" t="str">
        <f>HYPERLINK("http://yeinfo.com/family/I09066724.html", "KATHERINE STANLEY &lt;2&gt; 1430 EN-1498 EN ID:09066837")</f>
        <v>KATHERINE STANLEY &lt;2&gt; 1430 EN-1498 EN ID:09066837</v>
      </c>
      <c r="T1120" s="17"/>
      <c r="U1120" s="17"/>
      <c r="V1120" s="17"/>
      <c r="W1120" s="17"/>
    </row>
    <row r="1121" spans="3:25" x14ac:dyDescent="0.35">
      <c r="C1121" s="15" t="s">
        <v>8</v>
      </c>
      <c r="D1121" s="15" t="s">
        <v>8</v>
      </c>
      <c r="H1121" s="15" t="s">
        <v>8</v>
      </c>
      <c r="K1121" s="15" t="s">
        <v>8</v>
      </c>
      <c r="L1121" s="15" t="s">
        <v>8</v>
      </c>
      <c r="M1121" s="15" t="s">
        <v>8</v>
      </c>
      <c r="N1121" s="15" t="s">
        <v>8</v>
      </c>
      <c r="P1121" s="15" t="s">
        <v>8</v>
      </c>
      <c r="Q1121" s="15" t="s">
        <v>8</v>
      </c>
      <c r="T1121" s="8" t="s">
        <v>6</v>
      </c>
    </row>
    <row r="1122" spans="3:25" x14ac:dyDescent="0.35">
      <c r="C1122" s="15" t="s">
        <v>8</v>
      </c>
      <c r="D1122" s="15" t="s">
        <v>8</v>
      </c>
      <c r="H1122" s="15" t="s">
        <v>8</v>
      </c>
      <c r="K1122" s="15" t="s">
        <v>8</v>
      </c>
      <c r="L1122" s="15" t="s">
        <v>8</v>
      </c>
      <c r="M1122" s="15" t="s">
        <v>8</v>
      </c>
      <c r="N1122" s="15" t="s">
        <v>8</v>
      </c>
      <c r="P1122" s="15" t="s">
        <v>8</v>
      </c>
      <c r="Q1122" s="15" t="s">
        <v>8</v>
      </c>
      <c r="T1122" s="20" t="str">
        <f>HYPERLINK("http://yeinfo.com/family/I09066793.html", "JOAN GOUSHILL &lt;2&gt; 1401 EN-1459 EN ID:09066800")</f>
        <v>JOAN GOUSHILL &lt;2&gt; 1401 EN-1459 EN ID:09066800</v>
      </c>
      <c r="U1122" s="17"/>
      <c r="V1122" s="17"/>
      <c r="W1122" s="17"/>
      <c r="X1122" s="17"/>
    </row>
    <row r="1123" spans="3:25" x14ac:dyDescent="0.35">
      <c r="C1123" s="15" t="s">
        <v>8</v>
      </c>
      <c r="D1123" s="15" t="s">
        <v>8</v>
      </c>
      <c r="H1123" s="15" t="s">
        <v>8</v>
      </c>
      <c r="K1123" s="15" t="s">
        <v>8</v>
      </c>
      <c r="L1123" s="15" t="s">
        <v>8</v>
      </c>
      <c r="M1123" s="15" t="s">
        <v>8</v>
      </c>
      <c r="N1123" s="15" t="s">
        <v>8</v>
      </c>
      <c r="P1123" s="8" t="s">
        <v>6</v>
      </c>
      <c r="Q1123" s="15" t="s">
        <v>8</v>
      </c>
    </row>
    <row r="1124" spans="3:25" x14ac:dyDescent="0.35">
      <c r="C1124" s="15" t="s">
        <v>8</v>
      </c>
      <c r="D1124" s="15" t="s">
        <v>8</v>
      </c>
      <c r="H1124" s="15" t="s">
        <v>8</v>
      </c>
      <c r="K1124" s="15" t="s">
        <v>8</v>
      </c>
      <c r="L1124" s="15" t="s">
        <v>8</v>
      </c>
      <c r="M1124" s="15" t="s">
        <v>8</v>
      </c>
      <c r="N1124" s="15" t="s">
        <v>8</v>
      </c>
      <c r="P1124" s="20" t="str">
        <f>HYPERLINK("http://yeinfo.com/family/I09020714.html", "ALICE TRAFFORD &lt;2&gt; 1537 EN-1578 EN ID:09020715")</f>
        <v>ALICE TRAFFORD &lt;2&gt; 1537 EN-1578 EN ID:09020715</v>
      </c>
      <c r="Q1124" s="17"/>
      <c r="R1124" s="17"/>
      <c r="S1124" s="17"/>
      <c r="T1124" s="17"/>
    </row>
    <row r="1125" spans="3:25" x14ac:dyDescent="0.35">
      <c r="C1125" s="15" t="s">
        <v>8</v>
      </c>
      <c r="D1125" s="15" t="s">
        <v>8</v>
      </c>
      <c r="H1125" s="15" t="s">
        <v>8</v>
      </c>
      <c r="K1125" s="15" t="s">
        <v>8</v>
      </c>
      <c r="L1125" s="15" t="s">
        <v>8</v>
      </c>
      <c r="M1125" s="15" t="s">
        <v>8</v>
      </c>
      <c r="N1125" s="15" t="s">
        <v>8</v>
      </c>
      <c r="Q1125" s="15" t="s">
        <v>8</v>
      </c>
    </row>
    <row r="1126" spans="3:25" x14ac:dyDescent="0.35">
      <c r="C1126" s="15" t="s">
        <v>8</v>
      </c>
      <c r="D1126" s="15" t="s">
        <v>8</v>
      </c>
      <c r="H1126" s="15" t="s">
        <v>8</v>
      </c>
      <c r="K1126" s="15" t="s">
        <v>8</v>
      </c>
      <c r="L1126" s="15" t="s">
        <v>8</v>
      </c>
      <c r="M1126" s="15" t="s">
        <v>8</v>
      </c>
      <c r="N1126" s="15" t="s">
        <v>8</v>
      </c>
      <c r="Q1126" s="15" t="s">
        <v>8</v>
      </c>
      <c r="U1126" s="19" t="str">
        <f>HYPERLINK("http://yeinfo.com/family/I09066814.html", "NICHOLAS LONGFORD &lt;2&gt; 1372 EN-1415 FR ID:09066813")</f>
        <v>NICHOLAS LONGFORD &lt;2&gt; 1372 EN-1415 FR ID:09066813</v>
      </c>
      <c r="V1126" s="9"/>
      <c r="W1126" s="9"/>
      <c r="X1126" s="9"/>
      <c r="Y1126" s="9"/>
    </row>
    <row r="1127" spans="3:25" x14ac:dyDescent="0.35">
      <c r="C1127" s="15" t="s">
        <v>8</v>
      </c>
      <c r="D1127" s="15" t="s">
        <v>8</v>
      </c>
      <c r="H1127" s="15" t="s">
        <v>8</v>
      </c>
      <c r="K1127" s="15" t="s">
        <v>8</v>
      </c>
      <c r="L1127" s="15" t="s">
        <v>8</v>
      </c>
      <c r="M1127" s="15" t="s">
        <v>8</v>
      </c>
      <c r="N1127" s="15" t="s">
        <v>8</v>
      </c>
      <c r="Q1127" s="15" t="s">
        <v>8</v>
      </c>
      <c r="U1127" s="8" t="s">
        <v>3</v>
      </c>
    </row>
    <row r="1128" spans="3:25" x14ac:dyDescent="0.35">
      <c r="C1128" s="15" t="s">
        <v>8</v>
      </c>
      <c r="D1128" s="15" t="s">
        <v>8</v>
      </c>
      <c r="H1128" s="15" t="s">
        <v>8</v>
      </c>
      <c r="K1128" s="15" t="s">
        <v>8</v>
      </c>
      <c r="L1128" s="15" t="s">
        <v>8</v>
      </c>
      <c r="M1128" s="15" t="s">
        <v>8</v>
      </c>
      <c r="N1128" s="15" t="s">
        <v>8</v>
      </c>
      <c r="Q1128" s="15" t="s">
        <v>8</v>
      </c>
      <c r="T1128" s="19" t="str">
        <f>HYPERLINK("http://yeinfo.com/family/I09066815.html", "RALPH NICHOLAS LONGFORD &lt;2&gt; 1380 EN-1473 EN ID:09066814")</f>
        <v>RALPH NICHOLAS LONGFORD &lt;2&gt; 1380 EN-1473 EN ID:09066814</v>
      </c>
      <c r="U1128" s="9"/>
      <c r="V1128" s="9"/>
      <c r="W1128" s="9"/>
      <c r="X1128" s="9"/>
    </row>
    <row r="1129" spans="3:25" x14ac:dyDescent="0.35">
      <c r="C1129" s="15" t="s">
        <v>8</v>
      </c>
      <c r="D1129" s="15" t="s">
        <v>8</v>
      </c>
      <c r="H1129" s="15" t="s">
        <v>8</v>
      </c>
      <c r="K1129" s="15" t="s">
        <v>8</v>
      </c>
      <c r="L1129" s="15" t="s">
        <v>8</v>
      </c>
      <c r="M1129" s="15" t="s">
        <v>8</v>
      </c>
      <c r="N1129" s="15" t="s">
        <v>8</v>
      </c>
      <c r="Q1129" s="15" t="s">
        <v>8</v>
      </c>
      <c r="T1129" s="8" t="s">
        <v>3</v>
      </c>
      <c r="U1129" s="8" t="s">
        <v>6</v>
      </c>
    </row>
    <row r="1130" spans="3:25" x14ac:dyDescent="0.35">
      <c r="C1130" s="15" t="s">
        <v>8</v>
      </c>
      <c r="D1130" s="15" t="s">
        <v>8</v>
      </c>
      <c r="H1130" s="15" t="s">
        <v>8</v>
      </c>
      <c r="K1130" s="15" t="s">
        <v>8</v>
      </c>
      <c r="L1130" s="15" t="s">
        <v>8</v>
      </c>
      <c r="M1130" s="15" t="s">
        <v>8</v>
      </c>
      <c r="N1130" s="15" t="s">
        <v>8</v>
      </c>
      <c r="Q1130" s="15" t="s">
        <v>8</v>
      </c>
      <c r="T1130" s="15" t="s">
        <v>8</v>
      </c>
      <c r="U1130" s="20" t="str">
        <f>HYPERLINK("http://yeinfo.com/family/I09066813.html", "JOAN WARREN &lt;2&gt; 1372 EN-1410  ID:09066842")</f>
        <v>JOAN WARREN &lt;2&gt; 1372 EN-1410  ID:09066842</v>
      </c>
      <c r="V1130" s="17"/>
      <c r="W1130" s="17"/>
      <c r="X1130" s="17"/>
      <c r="Y1130" s="17"/>
    </row>
    <row r="1131" spans="3:25" x14ac:dyDescent="0.35">
      <c r="C1131" s="15" t="s">
        <v>8</v>
      </c>
      <c r="D1131" s="15" t="s">
        <v>8</v>
      </c>
      <c r="H1131" s="15" t="s">
        <v>8</v>
      </c>
      <c r="K1131" s="15" t="s">
        <v>8</v>
      </c>
      <c r="L1131" s="15" t="s">
        <v>8</v>
      </c>
      <c r="M1131" s="15" t="s">
        <v>8</v>
      </c>
      <c r="N1131" s="15" t="s">
        <v>8</v>
      </c>
      <c r="Q1131" s="15" t="s">
        <v>8</v>
      </c>
      <c r="T1131" s="15" t="s">
        <v>8</v>
      </c>
    </row>
    <row r="1132" spans="3:25" x14ac:dyDescent="0.35">
      <c r="C1132" s="15" t="s">
        <v>8</v>
      </c>
      <c r="D1132" s="15" t="s">
        <v>8</v>
      </c>
      <c r="H1132" s="15" t="s">
        <v>8</v>
      </c>
      <c r="K1132" s="15" t="s">
        <v>8</v>
      </c>
      <c r="L1132" s="15" t="s">
        <v>8</v>
      </c>
      <c r="M1132" s="15" t="s">
        <v>8</v>
      </c>
      <c r="N1132" s="15" t="s">
        <v>8</v>
      </c>
      <c r="Q1132" s="15" t="s">
        <v>8</v>
      </c>
      <c r="S1132" s="19" t="str">
        <f>HYPERLINK("http://yeinfo.com/family/I09066816.html", "RALPH LONGFORD &lt;2&gt; 1440 EN-1513 EN ID:09066815")</f>
        <v>RALPH LONGFORD &lt;2&gt; 1440 EN-1513 EN ID:09066815</v>
      </c>
      <c r="T1132" s="9"/>
      <c r="U1132" s="9"/>
      <c r="V1132" s="9"/>
      <c r="W1132" s="9"/>
    </row>
    <row r="1133" spans="3:25" x14ac:dyDescent="0.35">
      <c r="C1133" s="15" t="s">
        <v>8</v>
      </c>
      <c r="D1133" s="15" t="s">
        <v>8</v>
      </c>
      <c r="H1133" s="15" t="s">
        <v>8</v>
      </c>
      <c r="K1133" s="15" t="s">
        <v>8</v>
      </c>
      <c r="L1133" s="15" t="s">
        <v>8</v>
      </c>
      <c r="M1133" s="15" t="s">
        <v>8</v>
      </c>
      <c r="N1133" s="15" t="s">
        <v>8</v>
      </c>
      <c r="Q1133" s="15" t="s">
        <v>8</v>
      </c>
      <c r="S1133" s="8" t="s">
        <v>3</v>
      </c>
      <c r="T1133" s="15" t="s">
        <v>8</v>
      </c>
    </row>
    <row r="1134" spans="3:25" x14ac:dyDescent="0.35">
      <c r="C1134" s="15" t="s">
        <v>8</v>
      </c>
      <c r="D1134" s="15" t="s">
        <v>8</v>
      </c>
      <c r="H1134" s="15" t="s">
        <v>8</v>
      </c>
      <c r="K1134" s="15" t="s">
        <v>8</v>
      </c>
      <c r="L1134" s="15" t="s">
        <v>8</v>
      </c>
      <c r="M1134" s="15" t="s">
        <v>8</v>
      </c>
      <c r="N1134" s="15" t="s">
        <v>8</v>
      </c>
      <c r="Q1134" s="15" t="s">
        <v>8</v>
      </c>
      <c r="S1134" s="15" t="s">
        <v>8</v>
      </c>
      <c r="T1134" s="15" t="s">
        <v>8</v>
      </c>
      <c r="U1134" s="19" t="str">
        <f>HYPERLINK("http://yeinfo.com/family/I09066819.html", "JOHN MELTON &lt;2&gt; 1363 EN-1455 EN ID:09066818")</f>
        <v>JOHN MELTON &lt;2&gt; 1363 EN-1455 EN ID:09066818</v>
      </c>
      <c r="V1134" s="9"/>
      <c r="W1134" s="9"/>
      <c r="X1134" s="9"/>
      <c r="Y1134" s="9"/>
    </row>
    <row r="1135" spans="3:25" x14ac:dyDescent="0.35">
      <c r="C1135" s="15" t="s">
        <v>8</v>
      </c>
      <c r="D1135" s="15" t="s">
        <v>8</v>
      </c>
      <c r="H1135" s="15" t="s">
        <v>8</v>
      </c>
      <c r="K1135" s="15" t="s">
        <v>8</v>
      </c>
      <c r="L1135" s="15" t="s">
        <v>8</v>
      </c>
      <c r="M1135" s="15" t="s">
        <v>8</v>
      </c>
      <c r="N1135" s="15" t="s">
        <v>8</v>
      </c>
      <c r="Q1135" s="15" t="s">
        <v>8</v>
      </c>
      <c r="S1135" s="15" t="s">
        <v>8</v>
      </c>
      <c r="T1135" s="8" t="s">
        <v>6</v>
      </c>
      <c r="U1135" s="8" t="s">
        <v>3</v>
      </c>
    </row>
    <row r="1136" spans="3:25" x14ac:dyDescent="0.35">
      <c r="C1136" s="15" t="s">
        <v>8</v>
      </c>
      <c r="D1136" s="15" t="s">
        <v>8</v>
      </c>
      <c r="H1136" s="15" t="s">
        <v>8</v>
      </c>
      <c r="K1136" s="15" t="s">
        <v>8</v>
      </c>
      <c r="L1136" s="15" t="s">
        <v>8</v>
      </c>
      <c r="M1136" s="15" t="s">
        <v>8</v>
      </c>
      <c r="N1136" s="15" t="s">
        <v>8</v>
      </c>
      <c r="Q1136" s="15" t="s">
        <v>8</v>
      </c>
      <c r="S1136" s="15" t="s">
        <v>8</v>
      </c>
      <c r="T1136" s="20" t="str">
        <f>HYPERLINK("http://yeinfo.com/family/I09066842.html", "MARGARET MELTON &lt;2&gt; 1400 EN-1440 EN ID:09066819")</f>
        <v>MARGARET MELTON &lt;2&gt; 1400 EN-1440 EN ID:09066819</v>
      </c>
      <c r="U1136" s="17"/>
      <c r="V1136" s="17"/>
      <c r="W1136" s="17"/>
      <c r="X1136" s="17"/>
    </row>
    <row r="1137" spans="3:30" x14ac:dyDescent="0.35">
      <c r="C1137" s="15" t="s">
        <v>8</v>
      </c>
      <c r="D1137" s="15" t="s">
        <v>8</v>
      </c>
      <c r="H1137" s="15" t="s">
        <v>8</v>
      </c>
      <c r="K1137" s="15" t="s">
        <v>8</v>
      </c>
      <c r="L1137" s="15" t="s">
        <v>8</v>
      </c>
      <c r="M1137" s="15" t="s">
        <v>8</v>
      </c>
      <c r="N1137" s="15" t="s">
        <v>8</v>
      </c>
      <c r="Q1137" s="15" t="s">
        <v>8</v>
      </c>
      <c r="S1137" s="15" t="s">
        <v>8</v>
      </c>
      <c r="U1137" s="15" t="s">
        <v>8</v>
      </c>
    </row>
    <row r="1138" spans="3:30" x14ac:dyDescent="0.35">
      <c r="C1138" s="15" t="s">
        <v>8</v>
      </c>
      <c r="D1138" s="15" t="s">
        <v>8</v>
      </c>
      <c r="H1138" s="15" t="s">
        <v>8</v>
      </c>
      <c r="K1138" s="15" t="s">
        <v>8</v>
      </c>
      <c r="L1138" s="15" t="s">
        <v>8</v>
      </c>
      <c r="M1138" s="15" t="s">
        <v>8</v>
      </c>
      <c r="N1138" s="15" t="s">
        <v>8</v>
      </c>
      <c r="Q1138" s="15" t="s">
        <v>8</v>
      </c>
      <c r="S1138" s="15" t="s">
        <v>8</v>
      </c>
      <c r="U1138" s="15" t="s">
        <v>8</v>
      </c>
      <c r="V1138" s="19" t="str">
        <f>HYPERLINK("http://yeinfo.com/family/I09066787.html", "ROGER CLIFFORD &lt;4&gt; 1333 EN-1390 EN ID:09066786")</f>
        <v>ROGER CLIFFORD &lt;4&gt; 1333 EN-1390 EN ID:09066786</v>
      </c>
      <c r="W1138" s="9"/>
      <c r="X1138" s="9"/>
      <c r="Y1138" s="9"/>
      <c r="Z1138" s="9"/>
    </row>
    <row r="1139" spans="3:30" x14ac:dyDescent="0.35">
      <c r="C1139" s="15" t="s">
        <v>8</v>
      </c>
      <c r="D1139" s="15" t="s">
        <v>8</v>
      </c>
      <c r="H1139" s="15" t="s">
        <v>8</v>
      </c>
      <c r="K1139" s="15" t="s">
        <v>8</v>
      </c>
      <c r="L1139" s="15" t="s">
        <v>8</v>
      </c>
      <c r="M1139" s="15" t="s">
        <v>8</v>
      </c>
      <c r="N1139" s="15" t="s">
        <v>8</v>
      </c>
      <c r="Q1139" s="15" t="s">
        <v>8</v>
      </c>
      <c r="S1139" s="15" t="s">
        <v>8</v>
      </c>
      <c r="U1139" s="8" t="s">
        <v>6</v>
      </c>
      <c r="V1139" s="8" t="s">
        <v>3</v>
      </c>
    </row>
    <row r="1140" spans="3:30" x14ac:dyDescent="0.35">
      <c r="C1140" s="15" t="s">
        <v>8</v>
      </c>
      <c r="D1140" s="15" t="s">
        <v>8</v>
      </c>
      <c r="H1140" s="15" t="s">
        <v>8</v>
      </c>
      <c r="K1140" s="15" t="s">
        <v>8</v>
      </c>
      <c r="L1140" s="15" t="s">
        <v>8</v>
      </c>
      <c r="M1140" s="15" t="s">
        <v>8</v>
      </c>
      <c r="N1140" s="15" t="s">
        <v>8</v>
      </c>
      <c r="Q1140" s="15" t="s">
        <v>8</v>
      </c>
      <c r="S1140" s="15" t="s">
        <v>8</v>
      </c>
      <c r="U1140" s="20" t="str">
        <f>HYPERLINK("http://yeinfo.com/family/I09066818.html", "MARGARET CLIFFORD &lt;2&gt; 1367 EN-1455 EN ID:09066787")</f>
        <v>MARGARET CLIFFORD &lt;2&gt; 1367 EN-1455 EN ID:09066787</v>
      </c>
      <c r="V1140" s="17"/>
      <c r="W1140" s="17"/>
      <c r="X1140" s="17"/>
      <c r="Y1140" s="17"/>
    </row>
    <row r="1141" spans="3:30" x14ac:dyDescent="0.35">
      <c r="C1141" s="15" t="s">
        <v>8</v>
      </c>
      <c r="D1141" s="15" t="s">
        <v>8</v>
      </c>
      <c r="H1141" s="15" t="s">
        <v>8</v>
      </c>
      <c r="K1141" s="15" t="s">
        <v>8</v>
      </c>
      <c r="L1141" s="15" t="s">
        <v>8</v>
      </c>
      <c r="M1141" s="15" t="s">
        <v>8</v>
      </c>
      <c r="N1141" s="15" t="s">
        <v>8</v>
      </c>
      <c r="Q1141" s="15" t="s">
        <v>8</v>
      </c>
      <c r="S1141" s="15" t="s">
        <v>8</v>
      </c>
      <c r="V1141" s="15" t="s">
        <v>8</v>
      </c>
    </row>
    <row r="1142" spans="3:30" x14ac:dyDescent="0.35">
      <c r="C1142" s="15" t="s">
        <v>8</v>
      </c>
      <c r="D1142" s="15" t="s">
        <v>8</v>
      </c>
      <c r="H1142" s="15" t="s">
        <v>8</v>
      </c>
      <c r="K1142" s="15" t="s">
        <v>8</v>
      </c>
      <c r="L1142" s="15" t="s">
        <v>8</v>
      </c>
      <c r="M1142" s="15" t="s">
        <v>8</v>
      </c>
      <c r="N1142" s="15" t="s">
        <v>8</v>
      </c>
      <c r="Q1142" s="15" t="s">
        <v>8</v>
      </c>
      <c r="S1142" s="15" t="s">
        <v>8</v>
      </c>
      <c r="V1142" s="15" t="s">
        <v>8</v>
      </c>
      <c r="Z1142" s="19" t="str">
        <f>HYPERLINK("http://yeinfo.com/family/I09066645.html", "WILLIAM BEAUCHAMP &lt;5&gt; 1215 EN-1268 EN ID:09066667")</f>
        <v>WILLIAM BEAUCHAMP &lt;5&gt; 1215 EN-1268 EN ID:09066667</v>
      </c>
      <c r="AA1142" s="9"/>
      <c r="AB1142" s="9"/>
      <c r="AC1142" s="9"/>
      <c r="AD1142" s="9"/>
    </row>
    <row r="1143" spans="3:30" x14ac:dyDescent="0.35">
      <c r="C1143" s="15" t="s">
        <v>8</v>
      </c>
      <c r="D1143" s="15" t="s">
        <v>8</v>
      </c>
      <c r="H1143" s="15" t="s">
        <v>8</v>
      </c>
      <c r="K1143" s="15" t="s">
        <v>8</v>
      </c>
      <c r="L1143" s="15" t="s">
        <v>8</v>
      </c>
      <c r="M1143" s="15" t="s">
        <v>8</v>
      </c>
      <c r="N1143" s="15" t="s">
        <v>8</v>
      </c>
      <c r="Q1143" s="15" t="s">
        <v>8</v>
      </c>
      <c r="S1143" s="15" t="s">
        <v>8</v>
      </c>
      <c r="V1143" s="15" t="s">
        <v>8</v>
      </c>
      <c r="Z1143" s="8" t="s">
        <v>3</v>
      </c>
    </row>
    <row r="1144" spans="3:30" x14ac:dyDescent="0.35">
      <c r="C1144" s="15" t="s">
        <v>8</v>
      </c>
      <c r="D1144" s="15" t="s">
        <v>8</v>
      </c>
      <c r="H1144" s="15" t="s">
        <v>8</v>
      </c>
      <c r="K1144" s="15" t="s">
        <v>8</v>
      </c>
      <c r="L1144" s="15" t="s">
        <v>8</v>
      </c>
      <c r="M1144" s="15" t="s">
        <v>8</v>
      </c>
      <c r="N1144" s="15" t="s">
        <v>8</v>
      </c>
      <c r="Q1144" s="15" t="s">
        <v>8</v>
      </c>
      <c r="S1144" s="15" t="s">
        <v>8</v>
      </c>
      <c r="V1144" s="15" t="s">
        <v>8</v>
      </c>
      <c r="Y1144" s="19" t="str">
        <f>HYPERLINK("http://yeinfo.com/family/I09066586.html", "WILLIAM BEAUCHAMP &lt;5&gt; 1237 EN-1262  ID:09066645")</f>
        <v>WILLIAM BEAUCHAMP &lt;5&gt; 1237 EN-1262  ID:09066645</v>
      </c>
      <c r="Z1144" s="9"/>
      <c r="AA1144" s="9"/>
      <c r="AB1144" s="9"/>
      <c r="AC1144" s="9"/>
    </row>
    <row r="1145" spans="3:30" x14ac:dyDescent="0.35">
      <c r="C1145" s="15" t="s">
        <v>8</v>
      </c>
      <c r="D1145" s="15" t="s">
        <v>8</v>
      </c>
      <c r="H1145" s="15" t="s">
        <v>8</v>
      </c>
      <c r="K1145" s="15" t="s">
        <v>8</v>
      </c>
      <c r="L1145" s="15" t="s">
        <v>8</v>
      </c>
      <c r="M1145" s="15" t="s">
        <v>8</v>
      </c>
      <c r="N1145" s="15" t="s">
        <v>8</v>
      </c>
      <c r="Q1145" s="15" t="s">
        <v>8</v>
      </c>
      <c r="S1145" s="15" t="s">
        <v>8</v>
      </c>
      <c r="V1145" s="15" t="s">
        <v>8</v>
      </c>
      <c r="Y1145" s="8" t="s">
        <v>3</v>
      </c>
      <c r="Z1145" s="8" t="s">
        <v>6</v>
      </c>
    </row>
    <row r="1146" spans="3:30" x14ac:dyDescent="0.35">
      <c r="C1146" s="15" t="s">
        <v>8</v>
      </c>
      <c r="D1146" s="15" t="s">
        <v>8</v>
      </c>
      <c r="H1146" s="15" t="s">
        <v>8</v>
      </c>
      <c r="K1146" s="15" t="s">
        <v>8</v>
      </c>
      <c r="L1146" s="15" t="s">
        <v>8</v>
      </c>
      <c r="M1146" s="15" t="s">
        <v>8</v>
      </c>
      <c r="N1146" s="15" t="s">
        <v>8</v>
      </c>
      <c r="Q1146" s="15" t="s">
        <v>8</v>
      </c>
      <c r="S1146" s="15" t="s">
        <v>8</v>
      </c>
      <c r="V1146" s="15" t="s">
        <v>8</v>
      </c>
      <c r="Y1146" s="15" t="s">
        <v>8</v>
      </c>
      <c r="Z1146" s="20" t="str">
        <f>HYPERLINK("http://yeinfo.com/family/I09066667.html", "ISABEL MAUDUIT &lt;5&gt; 1216 EN-1268 EN ID:09066668")</f>
        <v>ISABEL MAUDUIT &lt;5&gt; 1216 EN-1268 EN ID:09066668</v>
      </c>
      <c r="AA1146" s="17"/>
      <c r="AB1146" s="17"/>
      <c r="AC1146" s="17"/>
      <c r="AD1146" s="17"/>
    </row>
    <row r="1147" spans="3:30" x14ac:dyDescent="0.35">
      <c r="C1147" s="15" t="s">
        <v>8</v>
      </c>
      <c r="D1147" s="15" t="s">
        <v>8</v>
      </c>
      <c r="H1147" s="15" t="s">
        <v>8</v>
      </c>
      <c r="K1147" s="15" t="s">
        <v>8</v>
      </c>
      <c r="L1147" s="15" t="s">
        <v>8</v>
      </c>
      <c r="M1147" s="15" t="s">
        <v>8</v>
      </c>
      <c r="N1147" s="15" t="s">
        <v>8</v>
      </c>
      <c r="Q1147" s="15" t="s">
        <v>8</v>
      </c>
      <c r="S1147" s="15" t="s">
        <v>8</v>
      </c>
      <c r="V1147" s="15" t="s">
        <v>8</v>
      </c>
      <c r="Y1147" s="15" t="s">
        <v>8</v>
      </c>
    </row>
    <row r="1148" spans="3:30" x14ac:dyDescent="0.35">
      <c r="C1148" s="15" t="s">
        <v>8</v>
      </c>
      <c r="D1148" s="15" t="s">
        <v>8</v>
      </c>
      <c r="H1148" s="15" t="s">
        <v>8</v>
      </c>
      <c r="K1148" s="15" t="s">
        <v>8</v>
      </c>
      <c r="L1148" s="15" t="s">
        <v>8</v>
      </c>
      <c r="M1148" s="15" t="s">
        <v>8</v>
      </c>
      <c r="N1148" s="15" t="s">
        <v>8</v>
      </c>
      <c r="Q1148" s="15" t="s">
        <v>8</v>
      </c>
      <c r="S1148" s="15" t="s">
        <v>8</v>
      </c>
      <c r="V1148" s="15" t="s">
        <v>8</v>
      </c>
      <c r="X1148" s="19" t="str">
        <f>HYPERLINK("http://yeinfo.com/family/I09066534.html", "GUY BEAUCHAMP &lt;5&gt; 1262 EN-1315 EN ID:09066586")</f>
        <v>GUY BEAUCHAMP &lt;5&gt; 1262 EN-1315 EN ID:09066586</v>
      </c>
      <c r="Y1148" s="9"/>
      <c r="Z1148" s="9"/>
      <c r="AA1148" s="9"/>
      <c r="AB1148" s="9"/>
    </row>
    <row r="1149" spans="3:30" x14ac:dyDescent="0.35">
      <c r="C1149" s="15" t="s">
        <v>8</v>
      </c>
      <c r="D1149" s="15" t="s">
        <v>8</v>
      </c>
      <c r="H1149" s="15" t="s">
        <v>8</v>
      </c>
      <c r="K1149" s="15" t="s">
        <v>8</v>
      </c>
      <c r="L1149" s="15" t="s">
        <v>8</v>
      </c>
      <c r="M1149" s="15" t="s">
        <v>8</v>
      </c>
      <c r="N1149" s="15" t="s">
        <v>8</v>
      </c>
      <c r="Q1149" s="15" t="s">
        <v>8</v>
      </c>
      <c r="S1149" s="15" t="s">
        <v>8</v>
      </c>
      <c r="V1149" s="15" t="s">
        <v>8</v>
      </c>
      <c r="X1149" s="8" t="s">
        <v>3</v>
      </c>
      <c r="Y1149" s="8" t="s">
        <v>6</v>
      </c>
    </row>
    <row r="1150" spans="3:30" x14ac:dyDescent="0.35">
      <c r="C1150" s="15" t="s">
        <v>8</v>
      </c>
      <c r="D1150" s="15" t="s">
        <v>8</v>
      </c>
      <c r="H1150" s="15" t="s">
        <v>8</v>
      </c>
      <c r="K1150" s="15" t="s">
        <v>8</v>
      </c>
      <c r="L1150" s="15" t="s">
        <v>8</v>
      </c>
      <c r="M1150" s="15" t="s">
        <v>8</v>
      </c>
      <c r="N1150" s="15" t="s">
        <v>8</v>
      </c>
      <c r="Q1150" s="15" t="s">
        <v>8</v>
      </c>
      <c r="S1150" s="15" t="s">
        <v>8</v>
      </c>
      <c r="V1150" s="15" t="s">
        <v>8</v>
      </c>
      <c r="X1150" s="15" t="s">
        <v>8</v>
      </c>
      <c r="Y1150" s="20" t="str">
        <f>HYPERLINK("http://yeinfo.com/family/I09066668.html", "MAUD FITZJOHN &lt;5&gt; 1237 EN-1301 EN ID:09066646")</f>
        <v>MAUD FITZJOHN &lt;5&gt; 1237 EN-1301 EN ID:09066646</v>
      </c>
      <c r="Z1150" s="17"/>
      <c r="AA1150" s="17"/>
      <c r="AB1150" s="17"/>
      <c r="AC1150" s="17"/>
    </row>
    <row r="1151" spans="3:30" x14ac:dyDescent="0.35">
      <c r="C1151" s="15" t="s">
        <v>8</v>
      </c>
      <c r="D1151" s="15" t="s">
        <v>8</v>
      </c>
      <c r="H1151" s="15" t="s">
        <v>8</v>
      </c>
      <c r="K1151" s="15" t="s">
        <v>8</v>
      </c>
      <c r="L1151" s="15" t="s">
        <v>8</v>
      </c>
      <c r="M1151" s="15" t="s">
        <v>8</v>
      </c>
      <c r="N1151" s="15" t="s">
        <v>8</v>
      </c>
      <c r="Q1151" s="15" t="s">
        <v>8</v>
      </c>
      <c r="S1151" s="15" t="s">
        <v>8</v>
      </c>
      <c r="V1151" s="15" t="s">
        <v>8</v>
      </c>
      <c r="X1151" s="15" t="s">
        <v>8</v>
      </c>
    </row>
    <row r="1152" spans="3:30" x14ac:dyDescent="0.35">
      <c r="C1152" s="15" t="s">
        <v>8</v>
      </c>
      <c r="D1152" s="15" t="s">
        <v>8</v>
      </c>
      <c r="H1152" s="15" t="s">
        <v>8</v>
      </c>
      <c r="K1152" s="15" t="s">
        <v>8</v>
      </c>
      <c r="L1152" s="15" t="s">
        <v>8</v>
      </c>
      <c r="M1152" s="15" t="s">
        <v>8</v>
      </c>
      <c r="N1152" s="15" t="s">
        <v>8</v>
      </c>
      <c r="Q1152" s="15" t="s">
        <v>8</v>
      </c>
      <c r="S1152" s="15" t="s">
        <v>8</v>
      </c>
      <c r="V1152" s="15" t="s">
        <v>8</v>
      </c>
      <c r="W1152" s="19" t="str">
        <f>HYPERLINK("http://yeinfo.com/family/I09066780.html", "THOMAS BEAUCHAMP &lt;5&gt; 1313 EN-1369  ID:09066534")</f>
        <v>THOMAS BEAUCHAMP &lt;5&gt; 1313 EN-1369  ID:09066534</v>
      </c>
      <c r="X1152" s="9"/>
      <c r="Y1152" s="9"/>
      <c r="Z1152" s="9"/>
      <c r="AA1152" s="9"/>
    </row>
    <row r="1153" spans="3:33" x14ac:dyDescent="0.35">
      <c r="C1153" s="15" t="s">
        <v>8</v>
      </c>
      <c r="D1153" s="15" t="s">
        <v>8</v>
      </c>
      <c r="H1153" s="15" t="s">
        <v>8</v>
      </c>
      <c r="K1153" s="15" t="s">
        <v>8</v>
      </c>
      <c r="L1153" s="15" t="s">
        <v>8</v>
      </c>
      <c r="M1153" s="15" t="s">
        <v>8</v>
      </c>
      <c r="N1153" s="15" t="s">
        <v>8</v>
      </c>
      <c r="Q1153" s="15" t="s">
        <v>8</v>
      </c>
      <c r="S1153" s="15" t="s">
        <v>8</v>
      </c>
      <c r="V1153" s="15" t="s">
        <v>8</v>
      </c>
      <c r="W1153" s="8" t="s">
        <v>3</v>
      </c>
      <c r="X1153" s="15" t="s">
        <v>8</v>
      </c>
    </row>
    <row r="1154" spans="3:33" x14ac:dyDescent="0.35">
      <c r="C1154" s="15" t="s">
        <v>8</v>
      </c>
      <c r="D1154" s="15" t="s">
        <v>8</v>
      </c>
      <c r="H1154" s="15" t="s">
        <v>8</v>
      </c>
      <c r="K1154" s="15" t="s">
        <v>8</v>
      </c>
      <c r="L1154" s="15" t="s">
        <v>8</v>
      </c>
      <c r="M1154" s="15" t="s">
        <v>8</v>
      </c>
      <c r="N1154" s="15" t="s">
        <v>8</v>
      </c>
      <c r="Q1154" s="15" t="s">
        <v>8</v>
      </c>
      <c r="S1154" s="15" t="s">
        <v>8</v>
      </c>
      <c r="V1154" s="15" t="s">
        <v>8</v>
      </c>
      <c r="W1154" s="15" t="s">
        <v>8</v>
      </c>
      <c r="X1154" s="15" t="s">
        <v>8</v>
      </c>
      <c r="Z1154" s="19" t="str">
        <f>HYPERLINK("http://yeinfo.com/family/I09066647.html", "ROGER TOENI &lt;5&gt; 1235 EN-1255 EN ID:09066669")</f>
        <v>ROGER TOENI &lt;5&gt; 1235 EN-1255 EN ID:09066669</v>
      </c>
      <c r="AA1154" s="9"/>
      <c r="AB1154" s="9"/>
      <c r="AC1154" s="9"/>
      <c r="AD1154" s="9"/>
    </row>
    <row r="1155" spans="3:33" x14ac:dyDescent="0.35">
      <c r="C1155" s="15" t="s">
        <v>8</v>
      </c>
      <c r="D1155" s="15" t="s">
        <v>8</v>
      </c>
      <c r="H1155" s="15" t="s">
        <v>8</v>
      </c>
      <c r="K1155" s="15" t="s">
        <v>8</v>
      </c>
      <c r="L1155" s="15" t="s">
        <v>8</v>
      </c>
      <c r="M1155" s="15" t="s">
        <v>8</v>
      </c>
      <c r="N1155" s="15" t="s">
        <v>8</v>
      </c>
      <c r="Q1155" s="15" t="s">
        <v>8</v>
      </c>
      <c r="S1155" s="15" t="s">
        <v>8</v>
      </c>
      <c r="V1155" s="15" t="s">
        <v>8</v>
      </c>
      <c r="W1155" s="15" t="s">
        <v>8</v>
      </c>
      <c r="X1155" s="15" t="s">
        <v>8</v>
      </c>
      <c r="Z1155" s="8" t="s">
        <v>3</v>
      </c>
    </row>
    <row r="1156" spans="3:33" x14ac:dyDescent="0.35">
      <c r="C1156" s="15" t="s">
        <v>8</v>
      </c>
      <c r="D1156" s="15" t="s">
        <v>8</v>
      </c>
      <c r="H1156" s="15" t="s">
        <v>8</v>
      </c>
      <c r="K1156" s="15" t="s">
        <v>8</v>
      </c>
      <c r="L1156" s="15" t="s">
        <v>8</v>
      </c>
      <c r="M1156" s="15" t="s">
        <v>8</v>
      </c>
      <c r="N1156" s="15" t="s">
        <v>8</v>
      </c>
      <c r="Q1156" s="15" t="s">
        <v>8</v>
      </c>
      <c r="S1156" s="15" t="s">
        <v>8</v>
      </c>
      <c r="V1156" s="15" t="s">
        <v>8</v>
      </c>
      <c r="W1156" s="15" t="s">
        <v>8</v>
      </c>
      <c r="X1156" s="15" t="s">
        <v>8</v>
      </c>
      <c r="Y1156" s="19" t="str">
        <f>HYPERLINK("http://yeinfo.com/family/I09066587.html", "RALPH\RAOUI TOENI &lt;5&gt; 1253 EN-1295 FR ID:09066647")</f>
        <v>RALPH\RAOUI TOENI &lt;5&gt; 1253 EN-1295 FR ID:09066647</v>
      </c>
      <c r="Z1156" s="9"/>
      <c r="AA1156" s="9"/>
      <c r="AB1156" s="9"/>
      <c r="AC1156" s="9"/>
      <c r="AD1156" s="9"/>
    </row>
    <row r="1157" spans="3:33" x14ac:dyDescent="0.35">
      <c r="C1157" s="15" t="s">
        <v>8</v>
      </c>
      <c r="D1157" s="15" t="s">
        <v>8</v>
      </c>
      <c r="H1157" s="15" t="s">
        <v>8</v>
      </c>
      <c r="K1157" s="15" t="s">
        <v>8</v>
      </c>
      <c r="L1157" s="15" t="s">
        <v>8</v>
      </c>
      <c r="M1157" s="15" t="s">
        <v>8</v>
      </c>
      <c r="N1157" s="15" t="s">
        <v>8</v>
      </c>
      <c r="Q1157" s="15" t="s">
        <v>8</v>
      </c>
      <c r="S1157" s="15" t="s">
        <v>8</v>
      </c>
      <c r="V1157" s="15" t="s">
        <v>8</v>
      </c>
      <c r="W1157" s="15" t="s">
        <v>8</v>
      </c>
      <c r="X1157" s="15" t="s">
        <v>8</v>
      </c>
      <c r="Y1157" s="8" t="s">
        <v>3</v>
      </c>
      <c r="Z1157" s="15" t="s">
        <v>8</v>
      </c>
    </row>
    <row r="1158" spans="3:33" x14ac:dyDescent="0.35">
      <c r="C1158" s="15" t="s">
        <v>8</v>
      </c>
      <c r="D1158" s="15" t="s">
        <v>8</v>
      </c>
      <c r="H1158" s="15" t="s">
        <v>8</v>
      </c>
      <c r="K1158" s="15" t="s">
        <v>8</v>
      </c>
      <c r="L1158" s="15" t="s">
        <v>8</v>
      </c>
      <c r="M1158" s="15" t="s">
        <v>8</v>
      </c>
      <c r="N1158" s="15" t="s">
        <v>8</v>
      </c>
      <c r="Q1158" s="15" t="s">
        <v>8</v>
      </c>
      <c r="S1158" s="15" t="s">
        <v>8</v>
      </c>
      <c r="V1158" s="15" t="s">
        <v>8</v>
      </c>
      <c r="W1158" s="15" t="s">
        <v>8</v>
      </c>
      <c r="X1158" s="15" t="s">
        <v>8</v>
      </c>
      <c r="Y1158" s="15" t="s">
        <v>8</v>
      </c>
      <c r="Z1158" s="15" t="s">
        <v>8</v>
      </c>
      <c r="AC1158" s="19" t="str">
        <f>HYPERLINK("http://yeinfo.com/family/I09066674.html", "FRANCIS BOHUN &lt;5&gt; 1165 EN-1185 EN ID:09066676")</f>
        <v>FRANCIS BOHUN &lt;5&gt; 1165 EN-1185 EN ID:09066676</v>
      </c>
      <c r="AD1158" s="9"/>
      <c r="AE1158" s="9"/>
      <c r="AF1158" s="9"/>
      <c r="AG1158" s="9"/>
    </row>
    <row r="1159" spans="3:33" x14ac:dyDescent="0.35">
      <c r="C1159" s="15" t="s">
        <v>8</v>
      </c>
      <c r="D1159" s="15" t="s">
        <v>8</v>
      </c>
      <c r="H1159" s="15" t="s">
        <v>8</v>
      </c>
      <c r="K1159" s="15" t="s">
        <v>8</v>
      </c>
      <c r="L1159" s="15" t="s">
        <v>8</v>
      </c>
      <c r="M1159" s="15" t="s">
        <v>8</v>
      </c>
      <c r="N1159" s="15" t="s">
        <v>8</v>
      </c>
      <c r="Q1159" s="15" t="s">
        <v>8</v>
      </c>
      <c r="S1159" s="15" t="s">
        <v>8</v>
      </c>
      <c r="V1159" s="15" t="s">
        <v>8</v>
      </c>
      <c r="W1159" s="15" t="s">
        <v>8</v>
      </c>
      <c r="X1159" s="15" t="s">
        <v>8</v>
      </c>
      <c r="Y1159" s="15" t="s">
        <v>8</v>
      </c>
      <c r="Z1159" s="15" t="s">
        <v>8</v>
      </c>
      <c r="AC1159" s="8" t="s">
        <v>3</v>
      </c>
    </row>
    <row r="1160" spans="3:33" x14ac:dyDescent="0.35">
      <c r="C1160" s="15" t="s">
        <v>8</v>
      </c>
      <c r="D1160" s="15" t="s">
        <v>8</v>
      </c>
      <c r="H1160" s="15" t="s">
        <v>8</v>
      </c>
      <c r="K1160" s="15" t="s">
        <v>8</v>
      </c>
      <c r="L1160" s="15" t="s">
        <v>8</v>
      </c>
      <c r="M1160" s="15" t="s">
        <v>8</v>
      </c>
      <c r="N1160" s="15" t="s">
        <v>8</v>
      </c>
      <c r="Q1160" s="15" t="s">
        <v>8</v>
      </c>
      <c r="S1160" s="15" t="s">
        <v>8</v>
      </c>
      <c r="V1160" s="15" t="s">
        <v>8</v>
      </c>
      <c r="W1160" s="15" t="s">
        <v>8</v>
      </c>
      <c r="X1160" s="15" t="s">
        <v>8</v>
      </c>
      <c r="Y1160" s="15" t="s">
        <v>8</v>
      </c>
      <c r="Z1160" s="15" t="s">
        <v>8</v>
      </c>
      <c r="AB1160" s="19" t="str">
        <f>HYPERLINK("http://yeinfo.com/family/I09066672.html", "JAMES BOHUN &lt;5&gt; 1185 EN-1208 EN ID:09066674")</f>
        <v>JAMES BOHUN &lt;5&gt; 1185 EN-1208 EN ID:09066674</v>
      </c>
      <c r="AC1160" s="9"/>
      <c r="AD1160" s="9"/>
      <c r="AE1160" s="9"/>
      <c r="AF1160" s="9"/>
    </row>
    <row r="1161" spans="3:33" x14ac:dyDescent="0.35">
      <c r="C1161" s="15" t="s">
        <v>8</v>
      </c>
      <c r="D1161" s="15" t="s">
        <v>8</v>
      </c>
      <c r="H1161" s="15" t="s">
        <v>8</v>
      </c>
      <c r="K1161" s="15" t="s">
        <v>8</v>
      </c>
      <c r="L1161" s="15" t="s">
        <v>8</v>
      </c>
      <c r="M1161" s="15" t="s">
        <v>8</v>
      </c>
      <c r="N1161" s="15" t="s">
        <v>8</v>
      </c>
      <c r="Q1161" s="15" t="s">
        <v>8</v>
      </c>
      <c r="S1161" s="15" t="s">
        <v>8</v>
      </c>
      <c r="V1161" s="15" t="s">
        <v>8</v>
      </c>
      <c r="W1161" s="15" t="s">
        <v>8</v>
      </c>
      <c r="X1161" s="15" t="s">
        <v>8</v>
      </c>
      <c r="Y1161" s="15" t="s">
        <v>8</v>
      </c>
      <c r="Z1161" s="15" t="s">
        <v>8</v>
      </c>
      <c r="AB1161" s="8" t="s">
        <v>3</v>
      </c>
      <c r="AC1161" s="8" t="s">
        <v>6</v>
      </c>
    </row>
    <row r="1162" spans="3:33" x14ac:dyDescent="0.35">
      <c r="C1162" s="15" t="s">
        <v>8</v>
      </c>
      <c r="D1162" s="15" t="s">
        <v>8</v>
      </c>
      <c r="H1162" s="15" t="s">
        <v>8</v>
      </c>
      <c r="K1162" s="15" t="s">
        <v>8</v>
      </c>
      <c r="L1162" s="15" t="s">
        <v>8</v>
      </c>
      <c r="M1162" s="15" t="s">
        <v>8</v>
      </c>
      <c r="N1162" s="15" t="s">
        <v>8</v>
      </c>
      <c r="Q1162" s="15" t="s">
        <v>8</v>
      </c>
      <c r="S1162" s="15" t="s">
        <v>8</v>
      </c>
      <c r="V1162" s="15" t="s">
        <v>8</v>
      </c>
      <c r="W1162" s="15" t="s">
        <v>8</v>
      </c>
      <c r="X1162" s="15" t="s">
        <v>8</v>
      </c>
      <c r="Y1162" s="15" t="s">
        <v>8</v>
      </c>
      <c r="Z1162" s="15" t="s">
        <v>8</v>
      </c>
      <c r="AB1162" s="15" t="s">
        <v>8</v>
      </c>
      <c r="AC1162" s="20" t="str">
        <f>HYPERLINK("http://yeinfo.com/family/I09066676.html", "MARGERY LACY &lt;5&gt; 1165 -1185 EN ID:09066677")</f>
        <v>MARGERY LACY &lt;5&gt; 1165 -1185 EN ID:09066677</v>
      </c>
      <c r="AD1162" s="17"/>
      <c r="AE1162" s="17"/>
      <c r="AF1162" s="17"/>
      <c r="AG1162" s="17"/>
    </row>
    <row r="1163" spans="3:33" x14ac:dyDescent="0.35">
      <c r="C1163" s="15" t="s">
        <v>8</v>
      </c>
      <c r="D1163" s="15" t="s">
        <v>8</v>
      </c>
      <c r="H1163" s="15" t="s">
        <v>8</v>
      </c>
      <c r="K1163" s="15" t="s">
        <v>8</v>
      </c>
      <c r="L1163" s="15" t="s">
        <v>8</v>
      </c>
      <c r="M1163" s="15" t="s">
        <v>8</v>
      </c>
      <c r="N1163" s="15" t="s">
        <v>8</v>
      </c>
      <c r="Q1163" s="15" t="s">
        <v>8</v>
      </c>
      <c r="S1163" s="15" t="s">
        <v>8</v>
      </c>
      <c r="V1163" s="15" t="s">
        <v>8</v>
      </c>
      <c r="W1163" s="15" t="s">
        <v>8</v>
      </c>
      <c r="X1163" s="15" t="s">
        <v>8</v>
      </c>
      <c r="Y1163" s="15" t="s">
        <v>8</v>
      </c>
      <c r="Z1163" s="15" t="s">
        <v>8</v>
      </c>
      <c r="AB1163" s="15" t="s">
        <v>8</v>
      </c>
    </row>
    <row r="1164" spans="3:33" x14ac:dyDescent="0.35">
      <c r="C1164" s="15" t="s">
        <v>8</v>
      </c>
      <c r="D1164" s="15" t="s">
        <v>8</v>
      </c>
      <c r="H1164" s="15" t="s">
        <v>8</v>
      </c>
      <c r="K1164" s="15" t="s">
        <v>8</v>
      </c>
      <c r="L1164" s="15" t="s">
        <v>8</v>
      </c>
      <c r="M1164" s="15" t="s">
        <v>8</v>
      </c>
      <c r="N1164" s="15" t="s">
        <v>8</v>
      </c>
      <c r="Q1164" s="15" t="s">
        <v>8</v>
      </c>
      <c r="S1164" s="15" t="s">
        <v>8</v>
      </c>
      <c r="V1164" s="15" t="s">
        <v>8</v>
      </c>
      <c r="W1164" s="15" t="s">
        <v>8</v>
      </c>
      <c r="X1164" s="15" t="s">
        <v>8</v>
      </c>
      <c r="Y1164" s="15" t="s">
        <v>8</v>
      </c>
      <c r="Z1164" s="15" t="s">
        <v>8</v>
      </c>
      <c r="AA1164" s="19" t="str">
        <f>HYPERLINK("http://yeinfo.com/family/I09066670.html", "HUMPHREY BOHUN &lt;5&gt; 1208 EN-1275 EN ID:09066672")</f>
        <v>HUMPHREY BOHUN &lt;5&gt; 1208 EN-1275 EN ID:09066672</v>
      </c>
      <c r="AB1164" s="9"/>
      <c r="AC1164" s="9"/>
      <c r="AD1164" s="9"/>
      <c r="AE1164" s="9"/>
    </row>
    <row r="1165" spans="3:33" x14ac:dyDescent="0.35">
      <c r="C1165" s="15" t="s">
        <v>8</v>
      </c>
      <c r="D1165" s="15" t="s">
        <v>8</v>
      </c>
      <c r="H1165" s="15" t="s">
        <v>8</v>
      </c>
      <c r="K1165" s="15" t="s">
        <v>8</v>
      </c>
      <c r="L1165" s="15" t="s">
        <v>8</v>
      </c>
      <c r="M1165" s="15" t="s">
        <v>8</v>
      </c>
      <c r="N1165" s="15" t="s">
        <v>8</v>
      </c>
      <c r="Q1165" s="15" t="s">
        <v>8</v>
      </c>
      <c r="S1165" s="15" t="s">
        <v>8</v>
      </c>
      <c r="V1165" s="15" t="s">
        <v>8</v>
      </c>
      <c r="W1165" s="15" t="s">
        <v>8</v>
      </c>
      <c r="X1165" s="15" t="s">
        <v>8</v>
      </c>
      <c r="Y1165" s="15" t="s">
        <v>8</v>
      </c>
      <c r="Z1165" s="15" t="s">
        <v>8</v>
      </c>
      <c r="AA1165" s="8" t="s">
        <v>3</v>
      </c>
      <c r="AB1165" s="8" t="s">
        <v>6</v>
      </c>
    </row>
    <row r="1166" spans="3:33" x14ac:dyDescent="0.35">
      <c r="C1166" s="15" t="s">
        <v>8</v>
      </c>
      <c r="D1166" s="15" t="s">
        <v>8</v>
      </c>
      <c r="H1166" s="15" t="s">
        <v>8</v>
      </c>
      <c r="K1166" s="15" t="s">
        <v>8</v>
      </c>
      <c r="L1166" s="15" t="s">
        <v>8</v>
      </c>
      <c r="M1166" s="15" t="s">
        <v>8</v>
      </c>
      <c r="N1166" s="15" t="s">
        <v>8</v>
      </c>
      <c r="Q1166" s="15" t="s">
        <v>8</v>
      </c>
      <c r="S1166" s="15" t="s">
        <v>8</v>
      </c>
      <c r="V1166" s="15" t="s">
        <v>8</v>
      </c>
      <c r="W1166" s="15" t="s">
        <v>8</v>
      </c>
      <c r="X1166" s="15" t="s">
        <v>8</v>
      </c>
      <c r="Y1166" s="15" t="s">
        <v>8</v>
      </c>
      <c r="Z1166" s="15" t="s">
        <v>8</v>
      </c>
      <c r="AA1166" s="15" t="s">
        <v>8</v>
      </c>
      <c r="AB1166" s="20" t="str">
        <f>HYPERLINK("http://yeinfo.com/family/I09066677.html", "Mrs. {_?_} BOHUN &lt;5&gt; 1185 -1208 EN ID:09066675")</f>
        <v>Mrs. {_?_} BOHUN &lt;5&gt; 1185 -1208 EN ID:09066675</v>
      </c>
      <c r="AC1166" s="17"/>
      <c r="AD1166" s="17"/>
      <c r="AE1166" s="17"/>
      <c r="AF1166" s="17"/>
    </row>
    <row r="1167" spans="3:33" x14ac:dyDescent="0.35">
      <c r="C1167" s="15" t="s">
        <v>8</v>
      </c>
      <c r="D1167" s="15" t="s">
        <v>8</v>
      </c>
      <c r="H1167" s="15" t="s">
        <v>8</v>
      </c>
      <c r="K1167" s="15" t="s">
        <v>8</v>
      </c>
      <c r="L1167" s="15" t="s">
        <v>8</v>
      </c>
      <c r="M1167" s="15" t="s">
        <v>8</v>
      </c>
      <c r="N1167" s="15" t="s">
        <v>8</v>
      </c>
      <c r="Q1167" s="15" t="s">
        <v>8</v>
      </c>
      <c r="S1167" s="15" t="s">
        <v>8</v>
      </c>
      <c r="V1167" s="15" t="s">
        <v>8</v>
      </c>
      <c r="W1167" s="15" t="s">
        <v>8</v>
      </c>
      <c r="X1167" s="15" t="s">
        <v>8</v>
      </c>
      <c r="Y1167" s="15" t="s">
        <v>8</v>
      </c>
      <c r="Z1167" s="8" t="s">
        <v>6</v>
      </c>
      <c r="AA1167" s="15" t="s">
        <v>8</v>
      </c>
    </row>
    <row r="1168" spans="3:33" x14ac:dyDescent="0.35">
      <c r="C1168" s="15" t="s">
        <v>8</v>
      </c>
      <c r="D1168" s="15" t="s">
        <v>8</v>
      </c>
      <c r="H1168" s="15" t="s">
        <v>8</v>
      </c>
      <c r="K1168" s="15" t="s">
        <v>8</v>
      </c>
      <c r="L1168" s="15" t="s">
        <v>8</v>
      </c>
      <c r="M1168" s="15" t="s">
        <v>8</v>
      </c>
      <c r="N1168" s="15" t="s">
        <v>8</v>
      </c>
      <c r="Q1168" s="15" t="s">
        <v>8</v>
      </c>
      <c r="S1168" s="15" t="s">
        <v>8</v>
      </c>
      <c r="V1168" s="15" t="s">
        <v>8</v>
      </c>
      <c r="W1168" s="15" t="s">
        <v>8</v>
      </c>
      <c r="X1168" s="15" t="s">
        <v>8</v>
      </c>
      <c r="Y1168" s="15" t="s">
        <v>8</v>
      </c>
      <c r="Z1168" s="20" t="str">
        <f>HYPERLINK("http://yeinfo.com/family/I09066669.html", "ALICE\CECILIA BOHUN &lt;5&gt; 1242 EN-1262  ID:09066670")</f>
        <v>ALICE\CECILIA BOHUN &lt;5&gt; 1242 EN-1262  ID:09066670</v>
      </c>
      <c r="AA1168" s="17"/>
      <c r="AB1168" s="17"/>
      <c r="AC1168" s="17"/>
      <c r="AD1168" s="17"/>
      <c r="AE1168" s="17"/>
    </row>
    <row r="1169" spans="3:31" x14ac:dyDescent="0.35">
      <c r="C1169" s="15" t="s">
        <v>8</v>
      </c>
      <c r="D1169" s="15" t="s">
        <v>8</v>
      </c>
      <c r="H1169" s="15" t="s">
        <v>8</v>
      </c>
      <c r="K1169" s="15" t="s">
        <v>8</v>
      </c>
      <c r="L1169" s="15" t="s">
        <v>8</v>
      </c>
      <c r="M1169" s="15" t="s">
        <v>8</v>
      </c>
      <c r="N1169" s="15" t="s">
        <v>8</v>
      </c>
      <c r="Q1169" s="15" t="s">
        <v>8</v>
      </c>
      <c r="S1169" s="15" t="s">
        <v>8</v>
      </c>
      <c r="V1169" s="15" t="s">
        <v>8</v>
      </c>
      <c r="W1169" s="15" t="s">
        <v>8</v>
      </c>
      <c r="X1169" s="15" t="s">
        <v>8</v>
      </c>
      <c r="Y1169" s="15" t="s">
        <v>8</v>
      </c>
      <c r="AA1169" s="8" t="s">
        <v>6</v>
      </c>
    </row>
    <row r="1170" spans="3:31" x14ac:dyDescent="0.35">
      <c r="C1170" s="15" t="s">
        <v>8</v>
      </c>
      <c r="D1170" s="15" t="s">
        <v>8</v>
      </c>
      <c r="H1170" s="15" t="s">
        <v>8</v>
      </c>
      <c r="K1170" s="15" t="s">
        <v>8</v>
      </c>
      <c r="L1170" s="15" t="s">
        <v>8</v>
      </c>
      <c r="M1170" s="15" t="s">
        <v>8</v>
      </c>
      <c r="N1170" s="15" t="s">
        <v>8</v>
      </c>
      <c r="Q1170" s="15" t="s">
        <v>8</v>
      </c>
      <c r="S1170" s="15" t="s">
        <v>8</v>
      </c>
      <c r="V1170" s="15" t="s">
        <v>8</v>
      </c>
      <c r="W1170" s="15" t="s">
        <v>8</v>
      </c>
      <c r="X1170" s="15" t="s">
        <v>8</v>
      </c>
      <c r="Y1170" s="15" t="s">
        <v>8</v>
      </c>
      <c r="AA1170" s="20" t="str">
        <f>HYPERLINK("http://yeinfo.com/family/I09066675.html", "MAUD LUSIGNAN &lt;5&gt; 1220 -1242 EN ID:09066673")</f>
        <v>MAUD LUSIGNAN &lt;5&gt; 1220 -1242 EN ID:09066673</v>
      </c>
      <c r="AB1170" s="17"/>
      <c r="AC1170" s="17"/>
      <c r="AD1170" s="17"/>
      <c r="AE1170" s="17"/>
    </row>
    <row r="1171" spans="3:31" x14ac:dyDescent="0.35">
      <c r="C1171" s="15" t="s">
        <v>8</v>
      </c>
      <c r="D1171" s="15" t="s">
        <v>8</v>
      </c>
      <c r="H1171" s="15" t="s">
        <v>8</v>
      </c>
      <c r="K1171" s="15" t="s">
        <v>8</v>
      </c>
      <c r="L1171" s="15" t="s">
        <v>8</v>
      </c>
      <c r="M1171" s="15" t="s">
        <v>8</v>
      </c>
      <c r="N1171" s="15" t="s">
        <v>8</v>
      </c>
      <c r="Q1171" s="15" t="s">
        <v>8</v>
      </c>
      <c r="S1171" s="15" t="s">
        <v>8</v>
      </c>
      <c r="V1171" s="15" t="s">
        <v>8</v>
      </c>
      <c r="W1171" s="15" t="s">
        <v>8</v>
      </c>
      <c r="X1171" s="8" t="s">
        <v>6</v>
      </c>
      <c r="Y1171" s="15" t="s">
        <v>8</v>
      </c>
    </row>
    <row r="1172" spans="3:31" x14ac:dyDescent="0.35">
      <c r="C1172" s="15" t="s">
        <v>8</v>
      </c>
      <c r="D1172" s="15" t="s">
        <v>8</v>
      </c>
      <c r="H1172" s="15" t="s">
        <v>8</v>
      </c>
      <c r="K1172" s="15" t="s">
        <v>8</v>
      </c>
      <c r="L1172" s="15" t="s">
        <v>8</v>
      </c>
      <c r="M1172" s="15" t="s">
        <v>8</v>
      </c>
      <c r="N1172" s="15" t="s">
        <v>8</v>
      </c>
      <c r="Q1172" s="15" t="s">
        <v>8</v>
      </c>
      <c r="S1172" s="15" t="s">
        <v>8</v>
      </c>
      <c r="V1172" s="15" t="s">
        <v>8</v>
      </c>
      <c r="W1172" s="15" t="s">
        <v>8</v>
      </c>
      <c r="X1172" s="20" t="str">
        <f>HYPERLINK("http://yeinfo.com/family/I09066646.html", "ALICE TOENI &lt;5&gt; 1284 EN-1313 EN ID:09066587")</f>
        <v>ALICE TOENI &lt;5&gt; 1284 EN-1313 EN ID:09066587</v>
      </c>
      <c r="Y1172" s="17"/>
      <c r="Z1172" s="17"/>
      <c r="AA1172" s="17"/>
      <c r="AB1172" s="17"/>
    </row>
    <row r="1173" spans="3:31" x14ac:dyDescent="0.35">
      <c r="C1173" s="15" t="s">
        <v>8</v>
      </c>
      <c r="D1173" s="15" t="s">
        <v>8</v>
      </c>
      <c r="H1173" s="15" t="s">
        <v>8</v>
      </c>
      <c r="K1173" s="15" t="s">
        <v>8</v>
      </c>
      <c r="L1173" s="15" t="s">
        <v>8</v>
      </c>
      <c r="M1173" s="15" t="s">
        <v>8</v>
      </c>
      <c r="N1173" s="15" t="s">
        <v>8</v>
      </c>
      <c r="Q1173" s="15" t="s">
        <v>8</v>
      </c>
      <c r="S1173" s="15" t="s">
        <v>8</v>
      </c>
      <c r="V1173" s="15" t="s">
        <v>8</v>
      </c>
      <c r="W1173" s="15" t="s">
        <v>8</v>
      </c>
      <c r="Y1173" s="8" t="s">
        <v>6</v>
      </c>
    </row>
    <row r="1174" spans="3:31" x14ac:dyDescent="0.35">
      <c r="C1174" s="15" t="s">
        <v>8</v>
      </c>
      <c r="D1174" s="15" t="s">
        <v>8</v>
      </c>
      <c r="H1174" s="15" t="s">
        <v>8</v>
      </c>
      <c r="K1174" s="15" t="s">
        <v>8</v>
      </c>
      <c r="L1174" s="15" t="s">
        <v>8</v>
      </c>
      <c r="M1174" s="15" t="s">
        <v>8</v>
      </c>
      <c r="N1174" s="15" t="s">
        <v>8</v>
      </c>
      <c r="Q1174" s="15" t="s">
        <v>8</v>
      </c>
      <c r="S1174" s="15" t="s">
        <v>8</v>
      </c>
      <c r="V1174" s="15" t="s">
        <v>8</v>
      </c>
      <c r="W1174" s="15" t="s">
        <v>8</v>
      </c>
      <c r="Y1174" s="20" t="str">
        <f>HYPERLINK("http://yeinfo.com/family/I09066673.html", "MARY CLARISSA BRUCE &lt;5&gt; 1255 EN-1284 EN ID:09066648")</f>
        <v>MARY CLARISSA BRUCE &lt;5&gt; 1255 EN-1284 EN ID:09066648</v>
      </c>
      <c r="Z1174" s="17"/>
      <c r="AA1174" s="17"/>
      <c r="AB1174" s="17"/>
      <c r="AC1174" s="17"/>
    </row>
    <row r="1175" spans="3:31" x14ac:dyDescent="0.35">
      <c r="C1175" s="15" t="s">
        <v>8</v>
      </c>
      <c r="D1175" s="15" t="s">
        <v>8</v>
      </c>
      <c r="H1175" s="15" t="s">
        <v>8</v>
      </c>
      <c r="K1175" s="15" t="s">
        <v>8</v>
      </c>
      <c r="L1175" s="15" t="s">
        <v>8</v>
      </c>
      <c r="M1175" s="15" t="s">
        <v>8</v>
      </c>
      <c r="N1175" s="15" t="s">
        <v>8</v>
      </c>
      <c r="Q1175" s="15" t="s">
        <v>8</v>
      </c>
      <c r="S1175" s="15" t="s">
        <v>8</v>
      </c>
      <c r="V1175" s="8" t="s">
        <v>6</v>
      </c>
      <c r="W1175" s="15" t="s">
        <v>8</v>
      </c>
    </row>
    <row r="1176" spans="3:31" x14ac:dyDescent="0.35">
      <c r="C1176" s="15" t="s">
        <v>8</v>
      </c>
      <c r="D1176" s="15" t="s">
        <v>8</v>
      </c>
      <c r="H1176" s="15" t="s">
        <v>8</v>
      </c>
      <c r="K1176" s="15" t="s">
        <v>8</v>
      </c>
      <c r="L1176" s="15" t="s">
        <v>8</v>
      </c>
      <c r="M1176" s="15" t="s">
        <v>8</v>
      </c>
      <c r="N1176" s="15" t="s">
        <v>8</v>
      </c>
      <c r="Q1176" s="15" t="s">
        <v>8</v>
      </c>
      <c r="S1176" s="15" t="s">
        <v>8</v>
      </c>
      <c r="V1176" s="20" t="str">
        <f>HYPERLINK("http://yeinfo.com/family/I09066786.html", "MAUD BEAUCHAMP &lt;4&gt; 1343 EN-1403 EN ID:09066780")</f>
        <v>MAUD BEAUCHAMP &lt;4&gt; 1343 EN-1403 EN ID:09066780</v>
      </c>
      <c r="W1176" s="17"/>
      <c r="X1176" s="17"/>
      <c r="Y1176" s="17"/>
      <c r="Z1176" s="17"/>
    </row>
    <row r="1177" spans="3:31" x14ac:dyDescent="0.35">
      <c r="C1177" s="15" t="s">
        <v>8</v>
      </c>
      <c r="D1177" s="15" t="s">
        <v>8</v>
      </c>
      <c r="H1177" s="15" t="s">
        <v>8</v>
      </c>
      <c r="K1177" s="15" t="s">
        <v>8</v>
      </c>
      <c r="L1177" s="15" t="s">
        <v>8</v>
      </c>
      <c r="M1177" s="15" t="s">
        <v>8</v>
      </c>
      <c r="N1177" s="15" t="s">
        <v>8</v>
      </c>
      <c r="Q1177" s="15" t="s">
        <v>8</v>
      </c>
      <c r="S1177" s="15" t="s">
        <v>8</v>
      </c>
      <c r="W1177" s="15" t="s">
        <v>8</v>
      </c>
    </row>
    <row r="1178" spans="3:31" x14ac:dyDescent="0.35">
      <c r="C1178" s="15" t="s">
        <v>8</v>
      </c>
      <c r="D1178" s="15" t="s">
        <v>8</v>
      </c>
      <c r="H1178" s="15" t="s">
        <v>8</v>
      </c>
      <c r="K1178" s="15" t="s">
        <v>8</v>
      </c>
      <c r="L1178" s="15" t="s">
        <v>8</v>
      </c>
      <c r="M1178" s="15" t="s">
        <v>8</v>
      </c>
      <c r="N1178" s="15" t="s">
        <v>8</v>
      </c>
      <c r="Q1178" s="15" t="s">
        <v>8</v>
      </c>
      <c r="S1178" s="15" t="s">
        <v>8</v>
      </c>
      <c r="W1178" s="15" t="s">
        <v>8</v>
      </c>
      <c r="Y1178" s="19" t="str">
        <f>HYPERLINK("http://yeinfo.com/family/I09066588.html", "EDMUND MORTIMER &lt;5&gt; 1252 EN-1287 EN ID:09066649")</f>
        <v>EDMUND MORTIMER &lt;5&gt; 1252 EN-1287 EN ID:09066649</v>
      </c>
      <c r="Z1178" s="9"/>
      <c r="AA1178" s="9"/>
      <c r="AB1178" s="9"/>
      <c r="AC1178" s="9"/>
    </row>
    <row r="1179" spans="3:31" x14ac:dyDescent="0.35">
      <c r="C1179" s="15" t="s">
        <v>8</v>
      </c>
      <c r="D1179" s="15" t="s">
        <v>8</v>
      </c>
      <c r="H1179" s="15" t="s">
        <v>8</v>
      </c>
      <c r="K1179" s="15" t="s">
        <v>8</v>
      </c>
      <c r="L1179" s="15" t="s">
        <v>8</v>
      </c>
      <c r="M1179" s="15" t="s">
        <v>8</v>
      </c>
      <c r="N1179" s="15" t="s">
        <v>8</v>
      </c>
      <c r="Q1179" s="15" t="s">
        <v>8</v>
      </c>
      <c r="S1179" s="15" t="s">
        <v>8</v>
      </c>
      <c r="W1179" s="15" t="s">
        <v>8</v>
      </c>
      <c r="Y1179" s="8" t="s">
        <v>3</v>
      </c>
    </row>
    <row r="1180" spans="3:31" x14ac:dyDescent="0.35">
      <c r="C1180" s="15" t="s">
        <v>8</v>
      </c>
      <c r="D1180" s="15" t="s">
        <v>8</v>
      </c>
      <c r="H1180" s="15" t="s">
        <v>8</v>
      </c>
      <c r="K1180" s="15" t="s">
        <v>8</v>
      </c>
      <c r="L1180" s="15" t="s">
        <v>8</v>
      </c>
      <c r="M1180" s="15" t="s">
        <v>8</v>
      </c>
      <c r="N1180" s="15" t="s">
        <v>8</v>
      </c>
      <c r="Q1180" s="15" t="s">
        <v>8</v>
      </c>
      <c r="S1180" s="15" t="s">
        <v>8</v>
      </c>
      <c r="W1180" s="15" t="s">
        <v>8</v>
      </c>
      <c r="X1180" s="19" t="str">
        <f>HYPERLINK("http://yeinfo.com/family/I09066535.html", "ROGER MORTIMER &lt;5&gt; 1287 EN-1330 EN ID:09066588")</f>
        <v>ROGER MORTIMER &lt;5&gt; 1287 EN-1330 EN ID:09066588</v>
      </c>
      <c r="Y1180" s="9"/>
      <c r="Z1180" s="9"/>
      <c r="AA1180" s="9"/>
      <c r="AB1180" s="9"/>
    </row>
    <row r="1181" spans="3:31" x14ac:dyDescent="0.35">
      <c r="C1181" s="15" t="s">
        <v>8</v>
      </c>
      <c r="D1181" s="15" t="s">
        <v>8</v>
      </c>
      <c r="H1181" s="15" t="s">
        <v>8</v>
      </c>
      <c r="K1181" s="15" t="s">
        <v>8</v>
      </c>
      <c r="L1181" s="15" t="s">
        <v>8</v>
      </c>
      <c r="M1181" s="15" t="s">
        <v>8</v>
      </c>
      <c r="N1181" s="15" t="s">
        <v>8</v>
      </c>
      <c r="Q1181" s="15" t="s">
        <v>8</v>
      </c>
      <c r="S1181" s="15" t="s">
        <v>8</v>
      </c>
      <c r="W1181" s="15" t="s">
        <v>8</v>
      </c>
      <c r="X1181" s="8" t="s">
        <v>3</v>
      </c>
      <c r="Y1181" s="8" t="s">
        <v>6</v>
      </c>
    </row>
    <row r="1182" spans="3:31" x14ac:dyDescent="0.35">
      <c r="C1182" s="15" t="s">
        <v>8</v>
      </c>
      <c r="D1182" s="15" t="s">
        <v>8</v>
      </c>
      <c r="H1182" s="15" t="s">
        <v>8</v>
      </c>
      <c r="K1182" s="15" t="s">
        <v>8</v>
      </c>
      <c r="L1182" s="15" t="s">
        <v>8</v>
      </c>
      <c r="M1182" s="15" t="s">
        <v>8</v>
      </c>
      <c r="N1182" s="15" t="s">
        <v>8</v>
      </c>
      <c r="Q1182" s="15" t="s">
        <v>8</v>
      </c>
      <c r="S1182" s="15" t="s">
        <v>8</v>
      </c>
      <c r="W1182" s="15" t="s">
        <v>8</v>
      </c>
      <c r="X1182" s="15" t="s">
        <v>8</v>
      </c>
      <c r="Y1182" s="20" t="str">
        <f>HYPERLINK("http://yeinfo.com/family/I09066649.html", "MARGARET FIENNES &lt;5&gt; 1262 EN-1334 EN ID:09066650")</f>
        <v>MARGARET FIENNES &lt;5&gt; 1262 EN-1334 EN ID:09066650</v>
      </c>
      <c r="Z1182" s="17"/>
      <c r="AA1182" s="17"/>
      <c r="AB1182" s="17"/>
      <c r="AC1182" s="17"/>
    </row>
    <row r="1183" spans="3:31" x14ac:dyDescent="0.35">
      <c r="C1183" s="15" t="s">
        <v>8</v>
      </c>
      <c r="D1183" s="15" t="s">
        <v>8</v>
      </c>
      <c r="H1183" s="15" t="s">
        <v>8</v>
      </c>
      <c r="K1183" s="15" t="s">
        <v>8</v>
      </c>
      <c r="L1183" s="15" t="s">
        <v>8</v>
      </c>
      <c r="M1183" s="15" t="s">
        <v>8</v>
      </c>
      <c r="N1183" s="15" t="s">
        <v>8</v>
      </c>
      <c r="Q1183" s="15" t="s">
        <v>8</v>
      </c>
      <c r="S1183" s="15" t="s">
        <v>8</v>
      </c>
      <c r="W1183" s="8" t="s">
        <v>6</v>
      </c>
      <c r="X1183" s="15" t="s">
        <v>8</v>
      </c>
    </row>
    <row r="1184" spans="3:31" x14ac:dyDescent="0.35">
      <c r="C1184" s="15" t="s">
        <v>8</v>
      </c>
      <c r="D1184" s="15" t="s">
        <v>8</v>
      </c>
      <c r="H1184" s="15" t="s">
        <v>8</v>
      </c>
      <c r="K1184" s="15" t="s">
        <v>8</v>
      </c>
      <c r="L1184" s="15" t="s">
        <v>8</v>
      </c>
      <c r="M1184" s="15" t="s">
        <v>8</v>
      </c>
      <c r="N1184" s="15" t="s">
        <v>8</v>
      </c>
      <c r="Q1184" s="15" t="s">
        <v>8</v>
      </c>
      <c r="S1184" s="15" t="s">
        <v>8</v>
      </c>
      <c r="W1184" s="20" t="str">
        <f>HYPERLINK("http://yeinfo.com/family/I09066648.html", "KATHERINE MORTIMER &lt;5&gt; 1314 EN-1369  ID:09066535")</f>
        <v>KATHERINE MORTIMER &lt;5&gt; 1314 EN-1369  ID:09066535</v>
      </c>
      <c r="X1184" s="17"/>
      <c r="Y1184" s="17"/>
      <c r="Z1184" s="17"/>
      <c r="AA1184" s="17"/>
    </row>
    <row r="1185" spans="3:30" x14ac:dyDescent="0.35">
      <c r="C1185" s="15" t="s">
        <v>8</v>
      </c>
      <c r="D1185" s="15" t="s">
        <v>8</v>
      </c>
      <c r="H1185" s="15" t="s">
        <v>8</v>
      </c>
      <c r="K1185" s="15" t="s">
        <v>8</v>
      </c>
      <c r="L1185" s="15" t="s">
        <v>8</v>
      </c>
      <c r="M1185" s="15" t="s">
        <v>8</v>
      </c>
      <c r="N1185" s="15" t="s">
        <v>8</v>
      </c>
      <c r="Q1185" s="15" t="s">
        <v>8</v>
      </c>
      <c r="S1185" s="15" t="s">
        <v>8</v>
      </c>
      <c r="X1185" s="15" t="s">
        <v>8</v>
      </c>
    </row>
    <row r="1186" spans="3:30" x14ac:dyDescent="0.35">
      <c r="C1186" s="15" t="s">
        <v>8</v>
      </c>
      <c r="D1186" s="15" t="s">
        <v>8</v>
      </c>
      <c r="H1186" s="15" t="s">
        <v>8</v>
      </c>
      <c r="K1186" s="15" t="s">
        <v>8</v>
      </c>
      <c r="L1186" s="15" t="s">
        <v>8</v>
      </c>
      <c r="M1186" s="15" t="s">
        <v>8</v>
      </c>
      <c r="N1186" s="15" t="s">
        <v>8</v>
      </c>
      <c r="Q1186" s="15" t="s">
        <v>8</v>
      </c>
      <c r="S1186" s="15" t="s">
        <v>8</v>
      </c>
      <c r="X1186" s="15" t="s">
        <v>8</v>
      </c>
      <c r="Y1186" s="19" t="str">
        <f>HYPERLINK("http://yeinfo.com/family/I09066589.html", "PIERS GENEVILLE &lt;5&gt; 1256 IR-1292 FR ID:09066651")</f>
        <v>PIERS GENEVILLE &lt;5&gt; 1256 IR-1292 FR ID:09066651</v>
      </c>
      <c r="Z1186" s="9"/>
      <c r="AA1186" s="9"/>
      <c r="AB1186" s="9"/>
      <c r="AC1186" s="9"/>
    </row>
    <row r="1187" spans="3:30" x14ac:dyDescent="0.35">
      <c r="C1187" s="15" t="s">
        <v>8</v>
      </c>
      <c r="D1187" s="15" t="s">
        <v>8</v>
      </c>
      <c r="H1187" s="15" t="s">
        <v>8</v>
      </c>
      <c r="K1187" s="15" t="s">
        <v>8</v>
      </c>
      <c r="L1187" s="15" t="s">
        <v>8</v>
      </c>
      <c r="M1187" s="15" t="s">
        <v>8</v>
      </c>
      <c r="N1187" s="15" t="s">
        <v>8</v>
      </c>
      <c r="Q1187" s="15" t="s">
        <v>8</v>
      </c>
      <c r="S1187" s="15" t="s">
        <v>8</v>
      </c>
      <c r="X1187" s="8" t="s">
        <v>6</v>
      </c>
      <c r="Y1187" s="8" t="s">
        <v>3</v>
      </c>
    </row>
    <row r="1188" spans="3:30" x14ac:dyDescent="0.35">
      <c r="C1188" s="15" t="s">
        <v>8</v>
      </c>
      <c r="D1188" s="15" t="s">
        <v>8</v>
      </c>
      <c r="H1188" s="15" t="s">
        <v>8</v>
      </c>
      <c r="K1188" s="15" t="s">
        <v>8</v>
      </c>
      <c r="L1188" s="15" t="s">
        <v>8</v>
      </c>
      <c r="M1188" s="15" t="s">
        <v>8</v>
      </c>
      <c r="N1188" s="15" t="s">
        <v>8</v>
      </c>
      <c r="Q1188" s="15" t="s">
        <v>8</v>
      </c>
      <c r="S1188" s="15" t="s">
        <v>8</v>
      </c>
      <c r="X1188" s="20" t="str">
        <f>HYPERLINK("http://yeinfo.com/family/I09066650.html", "JOAN GENEVILLE &lt;5&gt; 1286 EN-1325 EN ID:09066589")</f>
        <v>JOAN GENEVILLE &lt;5&gt; 1286 EN-1325 EN ID:09066589</v>
      </c>
      <c r="Y1188" s="17"/>
      <c r="Z1188" s="17"/>
      <c r="AA1188" s="17"/>
      <c r="AB1188" s="17"/>
    </row>
    <row r="1189" spans="3:30" x14ac:dyDescent="0.35">
      <c r="C1189" s="15" t="s">
        <v>8</v>
      </c>
      <c r="D1189" s="15" t="s">
        <v>8</v>
      </c>
      <c r="H1189" s="15" t="s">
        <v>8</v>
      </c>
      <c r="K1189" s="15" t="s">
        <v>8</v>
      </c>
      <c r="L1189" s="15" t="s">
        <v>8</v>
      </c>
      <c r="M1189" s="15" t="s">
        <v>8</v>
      </c>
      <c r="N1189" s="15" t="s">
        <v>8</v>
      </c>
      <c r="Q1189" s="15" t="s">
        <v>8</v>
      </c>
      <c r="S1189" s="15" t="s">
        <v>8</v>
      </c>
      <c r="Y1189" s="8" t="s">
        <v>6</v>
      </c>
    </row>
    <row r="1190" spans="3:30" x14ac:dyDescent="0.35">
      <c r="C1190" s="15" t="s">
        <v>8</v>
      </c>
      <c r="D1190" s="15" t="s">
        <v>8</v>
      </c>
      <c r="H1190" s="15" t="s">
        <v>8</v>
      </c>
      <c r="K1190" s="15" t="s">
        <v>8</v>
      </c>
      <c r="L1190" s="15" t="s">
        <v>8</v>
      </c>
      <c r="M1190" s="15" t="s">
        <v>8</v>
      </c>
      <c r="N1190" s="15" t="s">
        <v>8</v>
      </c>
      <c r="Q1190" s="15" t="s">
        <v>8</v>
      </c>
      <c r="S1190" s="15" t="s">
        <v>8</v>
      </c>
      <c r="Y1190" s="20" t="str">
        <f>HYPERLINK("http://yeinfo.com/family/I09066651.html", "JEANNE\JOAN LUSIGNAN &lt;5&gt; 1260 FR-1286  ID:09066652")</f>
        <v>JEANNE\JOAN LUSIGNAN &lt;5&gt; 1260 FR-1286  ID:09066652</v>
      </c>
      <c r="Z1190" s="17"/>
      <c r="AA1190" s="17"/>
      <c r="AB1190" s="17"/>
      <c r="AC1190" s="17"/>
      <c r="AD1190" s="17"/>
    </row>
    <row r="1191" spans="3:30" x14ac:dyDescent="0.35">
      <c r="C1191" s="15" t="s">
        <v>8</v>
      </c>
      <c r="D1191" s="15" t="s">
        <v>8</v>
      </c>
      <c r="H1191" s="15" t="s">
        <v>8</v>
      </c>
      <c r="K1191" s="15" t="s">
        <v>8</v>
      </c>
      <c r="L1191" s="15" t="s">
        <v>8</v>
      </c>
      <c r="M1191" s="15" t="s">
        <v>8</v>
      </c>
      <c r="N1191" s="15" t="s">
        <v>8</v>
      </c>
      <c r="Q1191" s="15" t="s">
        <v>8</v>
      </c>
      <c r="S1191" s="15" t="s">
        <v>8</v>
      </c>
    </row>
    <row r="1192" spans="3:30" x14ac:dyDescent="0.35">
      <c r="C1192" s="15" t="s">
        <v>8</v>
      </c>
      <c r="D1192" s="15" t="s">
        <v>8</v>
      </c>
      <c r="H1192" s="15" t="s">
        <v>8</v>
      </c>
      <c r="K1192" s="15" t="s">
        <v>8</v>
      </c>
      <c r="L1192" s="15" t="s">
        <v>8</v>
      </c>
      <c r="M1192" s="15" t="s">
        <v>8</v>
      </c>
      <c r="N1192" s="15" t="s">
        <v>8</v>
      </c>
      <c r="Q1192" s="15" t="s">
        <v>8</v>
      </c>
      <c r="R1192" s="19" t="str">
        <f>HYPERLINK("http://yeinfo.com/family/I09041431.html", "NICHOLAS LONGFORD &lt;2&gt; 1465 EN-1513 EN ID:09066816")</f>
        <v>NICHOLAS LONGFORD &lt;2&gt; 1465 EN-1513 EN ID:09066816</v>
      </c>
      <c r="S1192" s="9"/>
      <c r="T1192" s="9"/>
      <c r="U1192" s="9"/>
      <c r="V1192" s="9"/>
    </row>
    <row r="1193" spans="3:30" x14ac:dyDescent="0.35">
      <c r="C1193" s="15" t="s">
        <v>8</v>
      </c>
      <c r="D1193" s="15" t="s">
        <v>8</v>
      </c>
      <c r="H1193" s="15" t="s">
        <v>8</v>
      </c>
      <c r="K1193" s="15" t="s">
        <v>8</v>
      </c>
      <c r="L1193" s="15" t="s">
        <v>8</v>
      </c>
      <c r="M1193" s="15" t="s">
        <v>8</v>
      </c>
      <c r="N1193" s="15" t="s">
        <v>8</v>
      </c>
      <c r="Q1193" s="15" t="s">
        <v>8</v>
      </c>
      <c r="R1193" s="8" t="s">
        <v>3</v>
      </c>
      <c r="S1193" s="15" t="s">
        <v>8</v>
      </c>
    </row>
    <row r="1194" spans="3:30" x14ac:dyDescent="0.35">
      <c r="C1194" s="15" t="s">
        <v>8</v>
      </c>
      <c r="D1194" s="15" t="s">
        <v>8</v>
      </c>
      <c r="H1194" s="15" t="s">
        <v>8</v>
      </c>
      <c r="K1194" s="15" t="s">
        <v>8</v>
      </c>
      <c r="L1194" s="15" t="s">
        <v>8</v>
      </c>
      <c r="M1194" s="15" t="s">
        <v>8</v>
      </c>
      <c r="N1194" s="15" t="s">
        <v>8</v>
      </c>
      <c r="Q1194" s="15" t="s">
        <v>8</v>
      </c>
      <c r="R1194" s="15" t="s">
        <v>8</v>
      </c>
      <c r="S1194" s="15" t="s">
        <v>8</v>
      </c>
      <c r="V1194" s="19" t="str">
        <f>HYPERLINK("http://yeinfo.com/family/I09066795.html", "WILLIAM FERRERS &lt;2&gt; 1372 EN-1445 EN ID:09066794")</f>
        <v>WILLIAM FERRERS &lt;2&gt; 1372 EN-1445 EN ID:09066794</v>
      </c>
      <c r="W1194" s="9"/>
      <c r="X1194" s="9"/>
      <c r="Y1194" s="9"/>
      <c r="Z1194" s="9"/>
    </row>
    <row r="1195" spans="3:30" x14ac:dyDescent="0.35">
      <c r="C1195" s="15" t="s">
        <v>8</v>
      </c>
      <c r="D1195" s="15" t="s">
        <v>8</v>
      </c>
      <c r="H1195" s="15" t="s">
        <v>8</v>
      </c>
      <c r="K1195" s="15" t="s">
        <v>8</v>
      </c>
      <c r="L1195" s="15" t="s">
        <v>8</v>
      </c>
      <c r="M1195" s="15" t="s">
        <v>8</v>
      </c>
      <c r="N1195" s="15" t="s">
        <v>8</v>
      </c>
      <c r="Q1195" s="15" t="s">
        <v>8</v>
      </c>
      <c r="R1195" s="15" t="s">
        <v>8</v>
      </c>
      <c r="S1195" s="15" t="s">
        <v>8</v>
      </c>
      <c r="V1195" s="8" t="s">
        <v>3</v>
      </c>
    </row>
    <row r="1196" spans="3:30" x14ac:dyDescent="0.35">
      <c r="C1196" s="15" t="s">
        <v>8</v>
      </c>
      <c r="D1196" s="15" t="s">
        <v>8</v>
      </c>
      <c r="H1196" s="15" t="s">
        <v>8</v>
      </c>
      <c r="K1196" s="15" t="s">
        <v>8</v>
      </c>
      <c r="L1196" s="15" t="s">
        <v>8</v>
      </c>
      <c r="M1196" s="15" t="s">
        <v>8</v>
      </c>
      <c r="N1196" s="15" t="s">
        <v>8</v>
      </c>
      <c r="Q1196" s="15" t="s">
        <v>8</v>
      </c>
      <c r="R1196" s="15" t="s">
        <v>8</v>
      </c>
      <c r="S1196" s="15" t="s">
        <v>8</v>
      </c>
      <c r="U1196" s="19" t="str">
        <f>HYPERLINK("http://yeinfo.com/family/I09066796.html", "THOMAS FERRERS &lt;2&gt; 1380 EN-1459 EN ID:09066795")</f>
        <v>THOMAS FERRERS &lt;2&gt; 1380 EN-1459 EN ID:09066795</v>
      </c>
      <c r="V1196" s="9"/>
      <c r="W1196" s="9"/>
      <c r="X1196" s="9"/>
      <c r="Y1196" s="9"/>
    </row>
    <row r="1197" spans="3:30" x14ac:dyDescent="0.35">
      <c r="C1197" s="15" t="s">
        <v>8</v>
      </c>
      <c r="D1197" s="15" t="s">
        <v>8</v>
      </c>
      <c r="H1197" s="15" t="s">
        <v>8</v>
      </c>
      <c r="K1197" s="15" t="s">
        <v>8</v>
      </c>
      <c r="L1197" s="15" t="s">
        <v>8</v>
      </c>
      <c r="M1197" s="15" t="s">
        <v>8</v>
      </c>
      <c r="N1197" s="15" t="s">
        <v>8</v>
      </c>
      <c r="Q1197" s="15" t="s">
        <v>8</v>
      </c>
      <c r="R1197" s="15" t="s">
        <v>8</v>
      </c>
      <c r="S1197" s="15" t="s">
        <v>8</v>
      </c>
      <c r="U1197" s="8" t="s">
        <v>3</v>
      </c>
      <c r="V1197" s="15" t="s">
        <v>8</v>
      </c>
    </row>
    <row r="1198" spans="3:30" x14ac:dyDescent="0.35">
      <c r="C1198" s="15" t="s">
        <v>8</v>
      </c>
      <c r="D1198" s="15" t="s">
        <v>8</v>
      </c>
      <c r="H1198" s="15" t="s">
        <v>8</v>
      </c>
      <c r="K1198" s="15" t="s">
        <v>8</v>
      </c>
      <c r="L1198" s="15" t="s">
        <v>8</v>
      </c>
      <c r="M1198" s="15" t="s">
        <v>8</v>
      </c>
      <c r="N1198" s="15" t="s">
        <v>8</v>
      </c>
      <c r="Q1198" s="15" t="s">
        <v>8</v>
      </c>
      <c r="R1198" s="15" t="s">
        <v>8</v>
      </c>
      <c r="S1198" s="15" t="s">
        <v>8</v>
      </c>
      <c r="U1198" s="15" t="s">
        <v>8</v>
      </c>
      <c r="V1198" s="15" t="s">
        <v>8</v>
      </c>
      <c r="W1198" s="19" t="str">
        <f>HYPERLINK("http://yeinfo.com/family/I09066786.html", "ROGER CLIFFORD &lt;4&gt; 1333 EN-1390 EN ID:09066786")</f>
        <v>ROGER CLIFFORD &lt;4&gt; 1333 EN-1390 EN ID:09066786</v>
      </c>
      <c r="X1198" s="9"/>
      <c r="Y1198" s="9"/>
      <c r="Z1198" s="9"/>
      <c r="AA1198" s="9"/>
    </row>
    <row r="1199" spans="3:30" x14ac:dyDescent="0.35">
      <c r="C1199" s="15" t="s">
        <v>8</v>
      </c>
      <c r="D1199" s="15" t="s">
        <v>8</v>
      </c>
      <c r="H1199" s="15" t="s">
        <v>8</v>
      </c>
      <c r="K1199" s="15" t="s">
        <v>8</v>
      </c>
      <c r="L1199" s="15" t="s">
        <v>8</v>
      </c>
      <c r="M1199" s="15" t="s">
        <v>8</v>
      </c>
      <c r="N1199" s="15" t="s">
        <v>8</v>
      </c>
      <c r="Q1199" s="15" t="s">
        <v>8</v>
      </c>
      <c r="R1199" s="15" t="s">
        <v>8</v>
      </c>
      <c r="S1199" s="15" t="s">
        <v>8</v>
      </c>
      <c r="U1199" s="15" t="s">
        <v>8</v>
      </c>
      <c r="V1199" s="8" t="s">
        <v>6</v>
      </c>
      <c r="W1199" s="8" t="s">
        <v>3</v>
      </c>
    </row>
    <row r="1200" spans="3:30" x14ac:dyDescent="0.35">
      <c r="C1200" s="15" t="s">
        <v>8</v>
      </c>
      <c r="D1200" s="15" t="s">
        <v>8</v>
      </c>
      <c r="H1200" s="15" t="s">
        <v>8</v>
      </c>
      <c r="K1200" s="15" t="s">
        <v>8</v>
      </c>
      <c r="L1200" s="15" t="s">
        <v>8</v>
      </c>
      <c r="M1200" s="15" t="s">
        <v>8</v>
      </c>
      <c r="N1200" s="15" t="s">
        <v>8</v>
      </c>
      <c r="Q1200" s="15" t="s">
        <v>8</v>
      </c>
      <c r="R1200" s="15" t="s">
        <v>8</v>
      </c>
      <c r="S1200" s="15" t="s">
        <v>8</v>
      </c>
      <c r="U1200" s="15" t="s">
        <v>8</v>
      </c>
      <c r="V1200" s="20" t="str">
        <f>HYPERLINK("http://yeinfo.com/family/I09066794.html", "PHILIPPE CLIFFORD &lt;2&gt; 1375 EN-1441 EN ID:09066788")</f>
        <v>PHILIPPE CLIFFORD &lt;2&gt; 1375 EN-1441 EN ID:09066788</v>
      </c>
      <c r="W1200" s="17"/>
      <c r="X1200" s="17"/>
      <c r="Y1200" s="17"/>
      <c r="Z1200" s="17"/>
    </row>
    <row r="1201" spans="3:31" x14ac:dyDescent="0.35">
      <c r="C1201" s="15" t="s">
        <v>8</v>
      </c>
      <c r="D1201" s="15" t="s">
        <v>8</v>
      </c>
      <c r="H1201" s="15" t="s">
        <v>8</v>
      </c>
      <c r="K1201" s="15" t="s">
        <v>8</v>
      </c>
      <c r="L1201" s="15" t="s">
        <v>8</v>
      </c>
      <c r="M1201" s="15" t="s">
        <v>8</v>
      </c>
      <c r="N1201" s="15" t="s">
        <v>8</v>
      </c>
      <c r="Q1201" s="15" t="s">
        <v>8</v>
      </c>
      <c r="R1201" s="15" t="s">
        <v>8</v>
      </c>
      <c r="S1201" s="15" t="s">
        <v>8</v>
      </c>
      <c r="U1201" s="15" t="s">
        <v>8</v>
      </c>
      <c r="W1201" s="15" t="s">
        <v>8</v>
      </c>
    </row>
    <row r="1202" spans="3:31" x14ac:dyDescent="0.35">
      <c r="C1202" s="15" t="s">
        <v>8</v>
      </c>
      <c r="D1202" s="15" t="s">
        <v>8</v>
      </c>
      <c r="H1202" s="15" t="s">
        <v>8</v>
      </c>
      <c r="K1202" s="15" t="s">
        <v>8</v>
      </c>
      <c r="L1202" s="15" t="s">
        <v>8</v>
      </c>
      <c r="M1202" s="15" t="s">
        <v>8</v>
      </c>
      <c r="N1202" s="15" t="s">
        <v>8</v>
      </c>
      <c r="Q1202" s="15" t="s">
        <v>8</v>
      </c>
      <c r="R1202" s="15" t="s">
        <v>8</v>
      </c>
      <c r="S1202" s="15" t="s">
        <v>8</v>
      </c>
      <c r="U1202" s="15" t="s">
        <v>8</v>
      </c>
      <c r="W1202" s="15" t="s">
        <v>8</v>
      </c>
      <c r="AA1202" s="19" t="str">
        <f>HYPERLINK("http://yeinfo.com/family/I09066667.html", "WILLIAM BEAUCHAMP &lt;5&gt; 1215 EN-1268 EN ID:09066667")</f>
        <v>WILLIAM BEAUCHAMP &lt;5&gt; 1215 EN-1268 EN ID:09066667</v>
      </c>
      <c r="AB1202" s="9"/>
      <c r="AC1202" s="9"/>
      <c r="AD1202" s="9"/>
      <c r="AE1202" s="9"/>
    </row>
    <row r="1203" spans="3:31" x14ac:dyDescent="0.35">
      <c r="C1203" s="15" t="s">
        <v>8</v>
      </c>
      <c r="D1203" s="15" t="s">
        <v>8</v>
      </c>
      <c r="H1203" s="15" t="s">
        <v>8</v>
      </c>
      <c r="K1203" s="15" t="s">
        <v>8</v>
      </c>
      <c r="L1203" s="15" t="s">
        <v>8</v>
      </c>
      <c r="M1203" s="15" t="s">
        <v>8</v>
      </c>
      <c r="N1203" s="15" t="s">
        <v>8</v>
      </c>
      <c r="Q1203" s="15" t="s">
        <v>8</v>
      </c>
      <c r="R1203" s="15" t="s">
        <v>8</v>
      </c>
      <c r="S1203" s="15" t="s">
        <v>8</v>
      </c>
      <c r="U1203" s="15" t="s">
        <v>8</v>
      </c>
      <c r="W1203" s="15" t="s">
        <v>8</v>
      </c>
      <c r="AA1203" s="8" t="s">
        <v>3</v>
      </c>
    </row>
    <row r="1204" spans="3:31" x14ac:dyDescent="0.35">
      <c r="C1204" s="15" t="s">
        <v>8</v>
      </c>
      <c r="D1204" s="15" t="s">
        <v>8</v>
      </c>
      <c r="H1204" s="15" t="s">
        <v>8</v>
      </c>
      <c r="K1204" s="15" t="s">
        <v>8</v>
      </c>
      <c r="L1204" s="15" t="s">
        <v>8</v>
      </c>
      <c r="M1204" s="15" t="s">
        <v>8</v>
      </c>
      <c r="N1204" s="15" t="s">
        <v>8</v>
      </c>
      <c r="Q1204" s="15" t="s">
        <v>8</v>
      </c>
      <c r="R1204" s="15" t="s">
        <v>8</v>
      </c>
      <c r="S1204" s="15" t="s">
        <v>8</v>
      </c>
      <c r="U1204" s="15" t="s">
        <v>8</v>
      </c>
      <c r="W1204" s="15" t="s">
        <v>8</v>
      </c>
      <c r="Z1204" s="19" t="str">
        <f>HYPERLINK("http://yeinfo.com/family/I09066645.html", "WILLIAM BEAUCHAMP &lt;5&gt; 1237 EN-1262  ID:09066645")</f>
        <v>WILLIAM BEAUCHAMP &lt;5&gt; 1237 EN-1262  ID:09066645</v>
      </c>
      <c r="AA1204" s="9"/>
      <c r="AB1204" s="9"/>
      <c r="AC1204" s="9"/>
      <c r="AD1204" s="9"/>
    </row>
    <row r="1205" spans="3:31" x14ac:dyDescent="0.35">
      <c r="C1205" s="15" t="s">
        <v>8</v>
      </c>
      <c r="D1205" s="15" t="s">
        <v>8</v>
      </c>
      <c r="H1205" s="15" t="s">
        <v>8</v>
      </c>
      <c r="K1205" s="15" t="s">
        <v>8</v>
      </c>
      <c r="L1205" s="15" t="s">
        <v>8</v>
      </c>
      <c r="M1205" s="15" t="s">
        <v>8</v>
      </c>
      <c r="N1205" s="15" t="s">
        <v>8</v>
      </c>
      <c r="Q1205" s="15" t="s">
        <v>8</v>
      </c>
      <c r="R1205" s="15" t="s">
        <v>8</v>
      </c>
      <c r="S1205" s="15" t="s">
        <v>8</v>
      </c>
      <c r="U1205" s="15" t="s">
        <v>8</v>
      </c>
      <c r="W1205" s="15" t="s">
        <v>8</v>
      </c>
      <c r="Z1205" s="8" t="s">
        <v>3</v>
      </c>
      <c r="AA1205" s="8" t="s">
        <v>6</v>
      </c>
    </row>
    <row r="1206" spans="3:31" x14ac:dyDescent="0.35">
      <c r="C1206" s="15" t="s">
        <v>8</v>
      </c>
      <c r="D1206" s="15" t="s">
        <v>8</v>
      </c>
      <c r="H1206" s="15" t="s">
        <v>8</v>
      </c>
      <c r="K1206" s="15" t="s">
        <v>8</v>
      </c>
      <c r="L1206" s="15" t="s">
        <v>8</v>
      </c>
      <c r="M1206" s="15" t="s">
        <v>8</v>
      </c>
      <c r="N1206" s="15" t="s">
        <v>8</v>
      </c>
      <c r="Q1206" s="15" t="s">
        <v>8</v>
      </c>
      <c r="R1206" s="15" t="s">
        <v>8</v>
      </c>
      <c r="S1206" s="15" t="s">
        <v>8</v>
      </c>
      <c r="U1206" s="15" t="s">
        <v>8</v>
      </c>
      <c r="W1206" s="15" t="s">
        <v>8</v>
      </c>
      <c r="Z1206" s="15" t="s">
        <v>8</v>
      </c>
      <c r="AA1206" s="20" t="str">
        <f>HYPERLINK("http://yeinfo.com/family/I09066668.html", "ISABEL MAUDUIT &lt;5&gt; 1216 EN-1268 EN ID:09066668")</f>
        <v>ISABEL MAUDUIT &lt;5&gt; 1216 EN-1268 EN ID:09066668</v>
      </c>
      <c r="AB1206" s="17"/>
      <c r="AC1206" s="17"/>
      <c r="AD1206" s="17"/>
      <c r="AE1206" s="17"/>
    </row>
    <row r="1207" spans="3:31" x14ac:dyDescent="0.35">
      <c r="C1207" s="15" t="s">
        <v>8</v>
      </c>
      <c r="D1207" s="15" t="s">
        <v>8</v>
      </c>
      <c r="H1207" s="15" t="s">
        <v>8</v>
      </c>
      <c r="K1207" s="15" t="s">
        <v>8</v>
      </c>
      <c r="L1207" s="15" t="s">
        <v>8</v>
      </c>
      <c r="M1207" s="15" t="s">
        <v>8</v>
      </c>
      <c r="N1207" s="15" t="s">
        <v>8</v>
      </c>
      <c r="Q1207" s="15" t="s">
        <v>8</v>
      </c>
      <c r="R1207" s="15" t="s">
        <v>8</v>
      </c>
      <c r="S1207" s="15" t="s">
        <v>8</v>
      </c>
      <c r="U1207" s="15" t="s">
        <v>8</v>
      </c>
      <c r="W1207" s="15" t="s">
        <v>8</v>
      </c>
      <c r="Z1207" s="15" t="s">
        <v>8</v>
      </c>
    </row>
    <row r="1208" spans="3:31" x14ac:dyDescent="0.35">
      <c r="C1208" s="15" t="s">
        <v>8</v>
      </c>
      <c r="D1208" s="15" t="s">
        <v>8</v>
      </c>
      <c r="H1208" s="15" t="s">
        <v>8</v>
      </c>
      <c r="K1208" s="15" t="s">
        <v>8</v>
      </c>
      <c r="L1208" s="15" t="s">
        <v>8</v>
      </c>
      <c r="M1208" s="15" t="s">
        <v>8</v>
      </c>
      <c r="N1208" s="15" t="s">
        <v>8</v>
      </c>
      <c r="Q1208" s="15" t="s">
        <v>8</v>
      </c>
      <c r="R1208" s="15" t="s">
        <v>8</v>
      </c>
      <c r="S1208" s="15" t="s">
        <v>8</v>
      </c>
      <c r="U1208" s="15" t="s">
        <v>8</v>
      </c>
      <c r="W1208" s="15" t="s">
        <v>8</v>
      </c>
      <c r="Y1208" s="19" t="str">
        <f>HYPERLINK("http://yeinfo.com/family/I09066586.html", "GUY BEAUCHAMP &lt;5&gt; 1262 EN-1315 EN ID:09066586")</f>
        <v>GUY BEAUCHAMP &lt;5&gt; 1262 EN-1315 EN ID:09066586</v>
      </c>
      <c r="Z1208" s="9"/>
      <c r="AA1208" s="9"/>
      <c r="AB1208" s="9"/>
      <c r="AC1208" s="9"/>
    </row>
    <row r="1209" spans="3:31" x14ac:dyDescent="0.35">
      <c r="C1209" s="15" t="s">
        <v>8</v>
      </c>
      <c r="D1209" s="15" t="s">
        <v>8</v>
      </c>
      <c r="H1209" s="15" t="s">
        <v>8</v>
      </c>
      <c r="K1209" s="15" t="s">
        <v>8</v>
      </c>
      <c r="L1209" s="15" t="s">
        <v>8</v>
      </c>
      <c r="M1209" s="15" t="s">
        <v>8</v>
      </c>
      <c r="N1209" s="15" t="s">
        <v>8</v>
      </c>
      <c r="Q1209" s="15" t="s">
        <v>8</v>
      </c>
      <c r="R1209" s="15" t="s">
        <v>8</v>
      </c>
      <c r="S1209" s="15" t="s">
        <v>8</v>
      </c>
      <c r="U1209" s="15" t="s">
        <v>8</v>
      </c>
      <c r="W1209" s="15" t="s">
        <v>8</v>
      </c>
      <c r="Y1209" s="8" t="s">
        <v>3</v>
      </c>
      <c r="Z1209" s="8" t="s">
        <v>6</v>
      </c>
    </row>
    <row r="1210" spans="3:31" x14ac:dyDescent="0.35">
      <c r="C1210" s="15" t="s">
        <v>8</v>
      </c>
      <c r="D1210" s="15" t="s">
        <v>8</v>
      </c>
      <c r="H1210" s="15" t="s">
        <v>8</v>
      </c>
      <c r="K1210" s="15" t="s">
        <v>8</v>
      </c>
      <c r="L1210" s="15" t="s">
        <v>8</v>
      </c>
      <c r="M1210" s="15" t="s">
        <v>8</v>
      </c>
      <c r="N1210" s="15" t="s">
        <v>8</v>
      </c>
      <c r="Q1210" s="15" t="s">
        <v>8</v>
      </c>
      <c r="R1210" s="15" t="s">
        <v>8</v>
      </c>
      <c r="S1210" s="15" t="s">
        <v>8</v>
      </c>
      <c r="U1210" s="15" t="s">
        <v>8</v>
      </c>
      <c r="W1210" s="15" t="s">
        <v>8</v>
      </c>
      <c r="Y1210" s="15" t="s">
        <v>8</v>
      </c>
      <c r="Z1210" s="20" t="str">
        <f>HYPERLINK("http://yeinfo.com/family/I09066646.html", "MAUD FITZJOHN &lt;5&gt; 1237 EN-1301 EN ID:09066646")</f>
        <v>MAUD FITZJOHN &lt;5&gt; 1237 EN-1301 EN ID:09066646</v>
      </c>
      <c r="AA1210" s="17"/>
      <c r="AB1210" s="17"/>
      <c r="AC1210" s="17"/>
      <c r="AD1210" s="17"/>
    </row>
    <row r="1211" spans="3:31" x14ac:dyDescent="0.35">
      <c r="C1211" s="15" t="s">
        <v>8</v>
      </c>
      <c r="D1211" s="15" t="s">
        <v>8</v>
      </c>
      <c r="H1211" s="15" t="s">
        <v>8</v>
      </c>
      <c r="K1211" s="15" t="s">
        <v>8</v>
      </c>
      <c r="L1211" s="15" t="s">
        <v>8</v>
      </c>
      <c r="M1211" s="15" t="s">
        <v>8</v>
      </c>
      <c r="N1211" s="15" t="s">
        <v>8</v>
      </c>
      <c r="Q1211" s="15" t="s">
        <v>8</v>
      </c>
      <c r="R1211" s="15" t="s">
        <v>8</v>
      </c>
      <c r="S1211" s="15" t="s">
        <v>8</v>
      </c>
      <c r="U1211" s="15" t="s">
        <v>8</v>
      </c>
      <c r="W1211" s="15" t="s">
        <v>8</v>
      </c>
      <c r="Y1211" s="15" t="s">
        <v>8</v>
      </c>
    </row>
    <row r="1212" spans="3:31" x14ac:dyDescent="0.35">
      <c r="C1212" s="15" t="s">
        <v>8</v>
      </c>
      <c r="D1212" s="15" t="s">
        <v>8</v>
      </c>
      <c r="H1212" s="15" t="s">
        <v>8</v>
      </c>
      <c r="K1212" s="15" t="s">
        <v>8</v>
      </c>
      <c r="L1212" s="15" t="s">
        <v>8</v>
      </c>
      <c r="M1212" s="15" t="s">
        <v>8</v>
      </c>
      <c r="N1212" s="15" t="s">
        <v>8</v>
      </c>
      <c r="Q1212" s="15" t="s">
        <v>8</v>
      </c>
      <c r="R1212" s="15" t="s">
        <v>8</v>
      </c>
      <c r="S1212" s="15" t="s">
        <v>8</v>
      </c>
      <c r="U1212" s="15" t="s">
        <v>8</v>
      </c>
      <c r="W1212" s="15" t="s">
        <v>8</v>
      </c>
      <c r="X1212" s="19" t="str">
        <f>HYPERLINK("http://yeinfo.com/family/I09066534.html", "THOMAS BEAUCHAMP &lt;5&gt; 1313 EN-1369  ID:09066534")</f>
        <v>THOMAS BEAUCHAMP &lt;5&gt; 1313 EN-1369  ID:09066534</v>
      </c>
      <c r="Y1212" s="9"/>
      <c r="Z1212" s="9"/>
      <c r="AA1212" s="9"/>
      <c r="AB1212" s="9"/>
    </row>
    <row r="1213" spans="3:31" x14ac:dyDescent="0.35">
      <c r="C1213" s="15" t="s">
        <v>8</v>
      </c>
      <c r="D1213" s="15" t="s">
        <v>8</v>
      </c>
      <c r="H1213" s="15" t="s">
        <v>8</v>
      </c>
      <c r="K1213" s="15" t="s">
        <v>8</v>
      </c>
      <c r="L1213" s="15" t="s">
        <v>8</v>
      </c>
      <c r="M1213" s="15" t="s">
        <v>8</v>
      </c>
      <c r="N1213" s="15" t="s">
        <v>8</v>
      </c>
      <c r="Q1213" s="15" t="s">
        <v>8</v>
      </c>
      <c r="R1213" s="15" t="s">
        <v>8</v>
      </c>
      <c r="S1213" s="15" t="s">
        <v>8</v>
      </c>
      <c r="U1213" s="15" t="s">
        <v>8</v>
      </c>
      <c r="W1213" s="15" t="s">
        <v>8</v>
      </c>
      <c r="X1213" s="8" t="s">
        <v>3</v>
      </c>
      <c r="Y1213" s="15" t="s">
        <v>8</v>
      </c>
    </row>
    <row r="1214" spans="3:31" x14ac:dyDescent="0.35">
      <c r="C1214" s="15" t="s">
        <v>8</v>
      </c>
      <c r="D1214" s="15" t="s">
        <v>8</v>
      </c>
      <c r="H1214" s="15" t="s">
        <v>8</v>
      </c>
      <c r="K1214" s="15" t="s">
        <v>8</v>
      </c>
      <c r="L1214" s="15" t="s">
        <v>8</v>
      </c>
      <c r="M1214" s="15" t="s">
        <v>8</v>
      </c>
      <c r="N1214" s="15" t="s">
        <v>8</v>
      </c>
      <c r="Q1214" s="15" t="s">
        <v>8</v>
      </c>
      <c r="R1214" s="15" t="s">
        <v>8</v>
      </c>
      <c r="S1214" s="15" t="s">
        <v>8</v>
      </c>
      <c r="U1214" s="15" t="s">
        <v>8</v>
      </c>
      <c r="W1214" s="15" t="s">
        <v>8</v>
      </c>
      <c r="X1214" s="15" t="s">
        <v>8</v>
      </c>
      <c r="Y1214" s="15" t="s">
        <v>8</v>
      </c>
      <c r="AA1214" s="19" t="str">
        <f>HYPERLINK("http://yeinfo.com/family/I09066669.html", "ROGER TOENI &lt;5&gt; 1235 EN-1255 EN ID:09066669")</f>
        <v>ROGER TOENI &lt;5&gt; 1235 EN-1255 EN ID:09066669</v>
      </c>
      <c r="AB1214" s="9"/>
      <c r="AC1214" s="9"/>
      <c r="AD1214" s="9"/>
      <c r="AE1214" s="9"/>
    </row>
    <row r="1215" spans="3:31" x14ac:dyDescent="0.35">
      <c r="C1215" s="15" t="s">
        <v>8</v>
      </c>
      <c r="D1215" s="15" t="s">
        <v>8</v>
      </c>
      <c r="H1215" s="15" t="s">
        <v>8</v>
      </c>
      <c r="K1215" s="15" t="s">
        <v>8</v>
      </c>
      <c r="L1215" s="15" t="s">
        <v>8</v>
      </c>
      <c r="M1215" s="15" t="s">
        <v>8</v>
      </c>
      <c r="N1215" s="15" t="s">
        <v>8</v>
      </c>
      <c r="Q1215" s="15" t="s">
        <v>8</v>
      </c>
      <c r="R1215" s="15" t="s">
        <v>8</v>
      </c>
      <c r="S1215" s="15" t="s">
        <v>8</v>
      </c>
      <c r="U1215" s="15" t="s">
        <v>8</v>
      </c>
      <c r="W1215" s="15" t="s">
        <v>8</v>
      </c>
      <c r="X1215" s="15" t="s">
        <v>8</v>
      </c>
      <c r="Y1215" s="15" t="s">
        <v>8</v>
      </c>
      <c r="AA1215" s="8" t="s">
        <v>3</v>
      </c>
    </row>
    <row r="1216" spans="3:31" x14ac:dyDescent="0.35">
      <c r="C1216" s="15" t="s">
        <v>8</v>
      </c>
      <c r="D1216" s="15" t="s">
        <v>8</v>
      </c>
      <c r="H1216" s="15" t="s">
        <v>8</v>
      </c>
      <c r="K1216" s="15" t="s">
        <v>8</v>
      </c>
      <c r="L1216" s="15" t="s">
        <v>8</v>
      </c>
      <c r="M1216" s="15" t="s">
        <v>8</v>
      </c>
      <c r="N1216" s="15" t="s">
        <v>8</v>
      </c>
      <c r="Q1216" s="15" t="s">
        <v>8</v>
      </c>
      <c r="R1216" s="15" t="s">
        <v>8</v>
      </c>
      <c r="S1216" s="15" t="s">
        <v>8</v>
      </c>
      <c r="U1216" s="15" t="s">
        <v>8</v>
      </c>
      <c r="W1216" s="15" t="s">
        <v>8</v>
      </c>
      <c r="X1216" s="15" t="s">
        <v>8</v>
      </c>
      <c r="Y1216" s="15" t="s">
        <v>8</v>
      </c>
      <c r="Z1216" s="19" t="str">
        <f>HYPERLINK("http://yeinfo.com/family/I09066647.html", "RALPH\RAOUI TOENI &lt;5&gt; 1253 EN-1295 FR ID:09066647")</f>
        <v>RALPH\RAOUI TOENI &lt;5&gt; 1253 EN-1295 FR ID:09066647</v>
      </c>
      <c r="AA1216" s="9"/>
      <c r="AB1216" s="9"/>
      <c r="AC1216" s="9"/>
      <c r="AD1216" s="9"/>
      <c r="AE1216" s="9"/>
    </row>
    <row r="1217" spans="3:34" x14ac:dyDescent="0.35">
      <c r="C1217" s="15" t="s">
        <v>8</v>
      </c>
      <c r="D1217" s="15" t="s">
        <v>8</v>
      </c>
      <c r="H1217" s="15" t="s">
        <v>8</v>
      </c>
      <c r="K1217" s="15" t="s">
        <v>8</v>
      </c>
      <c r="L1217" s="15" t="s">
        <v>8</v>
      </c>
      <c r="M1217" s="15" t="s">
        <v>8</v>
      </c>
      <c r="N1217" s="15" t="s">
        <v>8</v>
      </c>
      <c r="Q1217" s="15" t="s">
        <v>8</v>
      </c>
      <c r="R1217" s="15" t="s">
        <v>8</v>
      </c>
      <c r="S1217" s="15" t="s">
        <v>8</v>
      </c>
      <c r="U1217" s="15" t="s">
        <v>8</v>
      </c>
      <c r="W1217" s="15" t="s">
        <v>8</v>
      </c>
      <c r="X1217" s="15" t="s">
        <v>8</v>
      </c>
      <c r="Y1217" s="15" t="s">
        <v>8</v>
      </c>
      <c r="Z1217" s="8" t="s">
        <v>3</v>
      </c>
      <c r="AA1217" s="15" t="s">
        <v>8</v>
      </c>
    </row>
    <row r="1218" spans="3:34" x14ac:dyDescent="0.35">
      <c r="C1218" s="15" t="s">
        <v>8</v>
      </c>
      <c r="D1218" s="15" t="s">
        <v>8</v>
      </c>
      <c r="H1218" s="15" t="s">
        <v>8</v>
      </c>
      <c r="K1218" s="15" t="s">
        <v>8</v>
      </c>
      <c r="L1218" s="15" t="s">
        <v>8</v>
      </c>
      <c r="M1218" s="15" t="s">
        <v>8</v>
      </c>
      <c r="N1218" s="15" t="s">
        <v>8</v>
      </c>
      <c r="Q1218" s="15" t="s">
        <v>8</v>
      </c>
      <c r="R1218" s="15" t="s">
        <v>8</v>
      </c>
      <c r="S1218" s="15" t="s">
        <v>8</v>
      </c>
      <c r="U1218" s="15" t="s">
        <v>8</v>
      </c>
      <c r="W1218" s="15" t="s">
        <v>8</v>
      </c>
      <c r="X1218" s="15" t="s">
        <v>8</v>
      </c>
      <c r="Y1218" s="15" t="s">
        <v>8</v>
      </c>
      <c r="Z1218" s="15" t="s">
        <v>8</v>
      </c>
      <c r="AA1218" s="15" t="s">
        <v>8</v>
      </c>
      <c r="AD1218" s="19" t="str">
        <f>HYPERLINK("http://yeinfo.com/family/I09066676.html", "FRANCIS BOHUN &lt;5&gt; 1165 EN-1185 EN ID:09066676")</f>
        <v>FRANCIS BOHUN &lt;5&gt; 1165 EN-1185 EN ID:09066676</v>
      </c>
      <c r="AE1218" s="9"/>
      <c r="AF1218" s="9"/>
      <c r="AG1218" s="9"/>
      <c r="AH1218" s="9"/>
    </row>
    <row r="1219" spans="3:34" x14ac:dyDescent="0.35">
      <c r="C1219" s="15" t="s">
        <v>8</v>
      </c>
      <c r="D1219" s="15" t="s">
        <v>8</v>
      </c>
      <c r="H1219" s="15" t="s">
        <v>8</v>
      </c>
      <c r="K1219" s="15" t="s">
        <v>8</v>
      </c>
      <c r="L1219" s="15" t="s">
        <v>8</v>
      </c>
      <c r="M1219" s="15" t="s">
        <v>8</v>
      </c>
      <c r="N1219" s="15" t="s">
        <v>8</v>
      </c>
      <c r="Q1219" s="15" t="s">
        <v>8</v>
      </c>
      <c r="R1219" s="15" t="s">
        <v>8</v>
      </c>
      <c r="S1219" s="15" t="s">
        <v>8</v>
      </c>
      <c r="U1219" s="15" t="s">
        <v>8</v>
      </c>
      <c r="W1219" s="15" t="s">
        <v>8</v>
      </c>
      <c r="X1219" s="15" t="s">
        <v>8</v>
      </c>
      <c r="Y1219" s="15" t="s">
        <v>8</v>
      </c>
      <c r="Z1219" s="15" t="s">
        <v>8</v>
      </c>
      <c r="AA1219" s="15" t="s">
        <v>8</v>
      </c>
      <c r="AD1219" s="8" t="s">
        <v>3</v>
      </c>
    </row>
    <row r="1220" spans="3:34" x14ac:dyDescent="0.35">
      <c r="C1220" s="15" t="s">
        <v>8</v>
      </c>
      <c r="D1220" s="15" t="s">
        <v>8</v>
      </c>
      <c r="H1220" s="15" t="s">
        <v>8</v>
      </c>
      <c r="K1220" s="15" t="s">
        <v>8</v>
      </c>
      <c r="L1220" s="15" t="s">
        <v>8</v>
      </c>
      <c r="M1220" s="15" t="s">
        <v>8</v>
      </c>
      <c r="N1220" s="15" t="s">
        <v>8</v>
      </c>
      <c r="Q1220" s="15" t="s">
        <v>8</v>
      </c>
      <c r="R1220" s="15" t="s">
        <v>8</v>
      </c>
      <c r="S1220" s="15" t="s">
        <v>8</v>
      </c>
      <c r="U1220" s="15" t="s">
        <v>8</v>
      </c>
      <c r="W1220" s="15" t="s">
        <v>8</v>
      </c>
      <c r="X1220" s="15" t="s">
        <v>8</v>
      </c>
      <c r="Y1220" s="15" t="s">
        <v>8</v>
      </c>
      <c r="Z1220" s="15" t="s">
        <v>8</v>
      </c>
      <c r="AA1220" s="15" t="s">
        <v>8</v>
      </c>
      <c r="AC1220" s="19" t="str">
        <f>HYPERLINK("http://yeinfo.com/family/I09066674.html", "JAMES BOHUN &lt;5&gt; 1185 EN-1208 EN ID:09066674")</f>
        <v>JAMES BOHUN &lt;5&gt; 1185 EN-1208 EN ID:09066674</v>
      </c>
      <c r="AD1220" s="9"/>
      <c r="AE1220" s="9"/>
      <c r="AF1220" s="9"/>
      <c r="AG1220" s="9"/>
    </row>
    <row r="1221" spans="3:34" x14ac:dyDescent="0.35">
      <c r="C1221" s="15" t="s">
        <v>8</v>
      </c>
      <c r="D1221" s="15" t="s">
        <v>8</v>
      </c>
      <c r="H1221" s="15" t="s">
        <v>8</v>
      </c>
      <c r="K1221" s="15" t="s">
        <v>8</v>
      </c>
      <c r="L1221" s="15" t="s">
        <v>8</v>
      </c>
      <c r="M1221" s="15" t="s">
        <v>8</v>
      </c>
      <c r="N1221" s="15" t="s">
        <v>8</v>
      </c>
      <c r="Q1221" s="15" t="s">
        <v>8</v>
      </c>
      <c r="R1221" s="15" t="s">
        <v>8</v>
      </c>
      <c r="S1221" s="15" t="s">
        <v>8</v>
      </c>
      <c r="U1221" s="15" t="s">
        <v>8</v>
      </c>
      <c r="W1221" s="15" t="s">
        <v>8</v>
      </c>
      <c r="X1221" s="15" t="s">
        <v>8</v>
      </c>
      <c r="Y1221" s="15" t="s">
        <v>8</v>
      </c>
      <c r="Z1221" s="15" t="s">
        <v>8</v>
      </c>
      <c r="AA1221" s="15" t="s">
        <v>8</v>
      </c>
      <c r="AC1221" s="8" t="s">
        <v>3</v>
      </c>
      <c r="AD1221" s="8" t="s">
        <v>6</v>
      </c>
    </row>
    <row r="1222" spans="3:34" x14ac:dyDescent="0.35">
      <c r="C1222" s="15" t="s">
        <v>8</v>
      </c>
      <c r="D1222" s="15" t="s">
        <v>8</v>
      </c>
      <c r="H1222" s="15" t="s">
        <v>8</v>
      </c>
      <c r="K1222" s="15" t="s">
        <v>8</v>
      </c>
      <c r="L1222" s="15" t="s">
        <v>8</v>
      </c>
      <c r="M1222" s="15" t="s">
        <v>8</v>
      </c>
      <c r="N1222" s="15" t="s">
        <v>8</v>
      </c>
      <c r="Q1222" s="15" t="s">
        <v>8</v>
      </c>
      <c r="R1222" s="15" t="s">
        <v>8</v>
      </c>
      <c r="S1222" s="15" t="s">
        <v>8</v>
      </c>
      <c r="U1222" s="15" t="s">
        <v>8</v>
      </c>
      <c r="W1222" s="15" t="s">
        <v>8</v>
      </c>
      <c r="X1222" s="15" t="s">
        <v>8</v>
      </c>
      <c r="Y1222" s="15" t="s">
        <v>8</v>
      </c>
      <c r="Z1222" s="15" t="s">
        <v>8</v>
      </c>
      <c r="AA1222" s="15" t="s">
        <v>8</v>
      </c>
      <c r="AC1222" s="15" t="s">
        <v>8</v>
      </c>
      <c r="AD1222" s="20" t="str">
        <f>HYPERLINK("http://yeinfo.com/family/I09066677.html", "MARGERY LACY &lt;5&gt; 1165 -1185 EN ID:09066677")</f>
        <v>MARGERY LACY &lt;5&gt; 1165 -1185 EN ID:09066677</v>
      </c>
      <c r="AE1222" s="17"/>
      <c r="AF1222" s="17"/>
      <c r="AG1222" s="17"/>
      <c r="AH1222" s="17"/>
    </row>
    <row r="1223" spans="3:34" x14ac:dyDescent="0.35">
      <c r="C1223" s="15" t="s">
        <v>8</v>
      </c>
      <c r="D1223" s="15" t="s">
        <v>8</v>
      </c>
      <c r="H1223" s="15" t="s">
        <v>8</v>
      </c>
      <c r="K1223" s="15" t="s">
        <v>8</v>
      </c>
      <c r="L1223" s="15" t="s">
        <v>8</v>
      </c>
      <c r="M1223" s="15" t="s">
        <v>8</v>
      </c>
      <c r="N1223" s="15" t="s">
        <v>8</v>
      </c>
      <c r="Q1223" s="15" t="s">
        <v>8</v>
      </c>
      <c r="R1223" s="15" t="s">
        <v>8</v>
      </c>
      <c r="S1223" s="15" t="s">
        <v>8</v>
      </c>
      <c r="U1223" s="15" t="s">
        <v>8</v>
      </c>
      <c r="W1223" s="15" t="s">
        <v>8</v>
      </c>
      <c r="X1223" s="15" t="s">
        <v>8</v>
      </c>
      <c r="Y1223" s="15" t="s">
        <v>8</v>
      </c>
      <c r="Z1223" s="15" t="s">
        <v>8</v>
      </c>
      <c r="AA1223" s="15" t="s">
        <v>8</v>
      </c>
      <c r="AC1223" s="15" t="s">
        <v>8</v>
      </c>
    </row>
    <row r="1224" spans="3:34" x14ac:dyDescent="0.35">
      <c r="C1224" s="15" t="s">
        <v>8</v>
      </c>
      <c r="D1224" s="15" t="s">
        <v>8</v>
      </c>
      <c r="H1224" s="15" t="s">
        <v>8</v>
      </c>
      <c r="K1224" s="15" t="s">
        <v>8</v>
      </c>
      <c r="L1224" s="15" t="s">
        <v>8</v>
      </c>
      <c r="M1224" s="15" t="s">
        <v>8</v>
      </c>
      <c r="N1224" s="15" t="s">
        <v>8</v>
      </c>
      <c r="Q1224" s="15" t="s">
        <v>8</v>
      </c>
      <c r="R1224" s="15" t="s">
        <v>8</v>
      </c>
      <c r="S1224" s="15" t="s">
        <v>8</v>
      </c>
      <c r="U1224" s="15" t="s">
        <v>8</v>
      </c>
      <c r="W1224" s="15" t="s">
        <v>8</v>
      </c>
      <c r="X1224" s="15" t="s">
        <v>8</v>
      </c>
      <c r="Y1224" s="15" t="s">
        <v>8</v>
      </c>
      <c r="Z1224" s="15" t="s">
        <v>8</v>
      </c>
      <c r="AA1224" s="15" t="s">
        <v>8</v>
      </c>
      <c r="AB1224" s="19" t="str">
        <f>HYPERLINK("http://yeinfo.com/family/I09066672.html", "HUMPHREY BOHUN &lt;5&gt; 1208 EN-1275 EN ID:09066672")</f>
        <v>HUMPHREY BOHUN &lt;5&gt; 1208 EN-1275 EN ID:09066672</v>
      </c>
      <c r="AC1224" s="9"/>
      <c r="AD1224" s="9"/>
      <c r="AE1224" s="9"/>
      <c r="AF1224" s="9"/>
    </row>
    <row r="1225" spans="3:34" x14ac:dyDescent="0.35">
      <c r="C1225" s="15" t="s">
        <v>8</v>
      </c>
      <c r="D1225" s="15" t="s">
        <v>8</v>
      </c>
      <c r="H1225" s="15" t="s">
        <v>8</v>
      </c>
      <c r="K1225" s="15" t="s">
        <v>8</v>
      </c>
      <c r="L1225" s="15" t="s">
        <v>8</v>
      </c>
      <c r="M1225" s="15" t="s">
        <v>8</v>
      </c>
      <c r="N1225" s="15" t="s">
        <v>8</v>
      </c>
      <c r="Q1225" s="15" t="s">
        <v>8</v>
      </c>
      <c r="R1225" s="15" t="s">
        <v>8</v>
      </c>
      <c r="S1225" s="15" t="s">
        <v>8</v>
      </c>
      <c r="U1225" s="15" t="s">
        <v>8</v>
      </c>
      <c r="W1225" s="15" t="s">
        <v>8</v>
      </c>
      <c r="X1225" s="15" t="s">
        <v>8</v>
      </c>
      <c r="Y1225" s="15" t="s">
        <v>8</v>
      </c>
      <c r="Z1225" s="15" t="s">
        <v>8</v>
      </c>
      <c r="AA1225" s="15" t="s">
        <v>8</v>
      </c>
      <c r="AB1225" s="8" t="s">
        <v>3</v>
      </c>
      <c r="AC1225" s="8" t="s">
        <v>6</v>
      </c>
    </row>
    <row r="1226" spans="3:34" x14ac:dyDescent="0.35">
      <c r="C1226" s="15" t="s">
        <v>8</v>
      </c>
      <c r="D1226" s="15" t="s">
        <v>8</v>
      </c>
      <c r="H1226" s="15" t="s">
        <v>8</v>
      </c>
      <c r="K1226" s="15" t="s">
        <v>8</v>
      </c>
      <c r="L1226" s="15" t="s">
        <v>8</v>
      </c>
      <c r="M1226" s="15" t="s">
        <v>8</v>
      </c>
      <c r="N1226" s="15" t="s">
        <v>8</v>
      </c>
      <c r="Q1226" s="15" t="s">
        <v>8</v>
      </c>
      <c r="R1226" s="15" t="s">
        <v>8</v>
      </c>
      <c r="S1226" s="15" t="s">
        <v>8</v>
      </c>
      <c r="U1226" s="15" t="s">
        <v>8</v>
      </c>
      <c r="W1226" s="15" t="s">
        <v>8</v>
      </c>
      <c r="X1226" s="15" t="s">
        <v>8</v>
      </c>
      <c r="Y1226" s="15" t="s">
        <v>8</v>
      </c>
      <c r="Z1226" s="15" t="s">
        <v>8</v>
      </c>
      <c r="AA1226" s="15" t="s">
        <v>8</v>
      </c>
      <c r="AB1226" s="15" t="s">
        <v>8</v>
      </c>
      <c r="AC1226" s="20" t="str">
        <f>HYPERLINK("http://yeinfo.com/family/I09066675.html", "Mrs. {_?_} BOHUN &lt;5&gt; 1185 -1208 EN ID:09066675")</f>
        <v>Mrs. {_?_} BOHUN &lt;5&gt; 1185 -1208 EN ID:09066675</v>
      </c>
      <c r="AD1226" s="17"/>
      <c r="AE1226" s="17"/>
      <c r="AF1226" s="17"/>
      <c r="AG1226" s="17"/>
    </row>
    <row r="1227" spans="3:34" x14ac:dyDescent="0.35">
      <c r="C1227" s="15" t="s">
        <v>8</v>
      </c>
      <c r="D1227" s="15" t="s">
        <v>8</v>
      </c>
      <c r="H1227" s="15" t="s">
        <v>8</v>
      </c>
      <c r="K1227" s="15" t="s">
        <v>8</v>
      </c>
      <c r="L1227" s="15" t="s">
        <v>8</v>
      </c>
      <c r="M1227" s="15" t="s">
        <v>8</v>
      </c>
      <c r="N1227" s="15" t="s">
        <v>8</v>
      </c>
      <c r="Q1227" s="15" t="s">
        <v>8</v>
      </c>
      <c r="R1227" s="15" t="s">
        <v>8</v>
      </c>
      <c r="S1227" s="15" t="s">
        <v>8</v>
      </c>
      <c r="U1227" s="15" t="s">
        <v>8</v>
      </c>
      <c r="W1227" s="15" t="s">
        <v>8</v>
      </c>
      <c r="X1227" s="15" t="s">
        <v>8</v>
      </c>
      <c r="Y1227" s="15" t="s">
        <v>8</v>
      </c>
      <c r="Z1227" s="15" t="s">
        <v>8</v>
      </c>
      <c r="AA1227" s="8" t="s">
        <v>6</v>
      </c>
      <c r="AB1227" s="15" t="s">
        <v>8</v>
      </c>
    </row>
    <row r="1228" spans="3:34" x14ac:dyDescent="0.35">
      <c r="C1228" s="15" t="s">
        <v>8</v>
      </c>
      <c r="D1228" s="15" t="s">
        <v>8</v>
      </c>
      <c r="H1228" s="15" t="s">
        <v>8</v>
      </c>
      <c r="K1228" s="15" t="s">
        <v>8</v>
      </c>
      <c r="L1228" s="15" t="s">
        <v>8</v>
      </c>
      <c r="M1228" s="15" t="s">
        <v>8</v>
      </c>
      <c r="N1228" s="15" t="s">
        <v>8</v>
      </c>
      <c r="Q1228" s="15" t="s">
        <v>8</v>
      </c>
      <c r="R1228" s="15" t="s">
        <v>8</v>
      </c>
      <c r="S1228" s="15" t="s">
        <v>8</v>
      </c>
      <c r="U1228" s="15" t="s">
        <v>8</v>
      </c>
      <c r="W1228" s="15" t="s">
        <v>8</v>
      </c>
      <c r="X1228" s="15" t="s">
        <v>8</v>
      </c>
      <c r="Y1228" s="15" t="s">
        <v>8</v>
      </c>
      <c r="Z1228" s="15" t="s">
        <v>8</v>
      </c>
      <c r="AA1228" s="20" t="str">
        <f>HYPERLINK("http://yeinfo.com/family/I09066670.html", "ALICE\CECILIA BOHUN &lt;5&gt; 1242 EN-1262  ID:09066670")</f>
        <v>ALICE\CECILIA BOHUN &lt;5&gt; 1242 EN-1262  ID:09066670</v>
      </c>
      <c r="AB1228" s="17"/>
      <c r="AC1228" s="17"/>
      <c r="AD1228" s="17"/>
      <c r="AE1228" s="17"/>
      <c r="AF1228" s="17"/>
    </row>
    <row r="1229" spans="3:34" x14ac:dyDescent="0.35">
      <c r="C1229" s="15" t="s">
        <v>8</v>
      </c>
      <c r="D1229" s="15" t="s">
        <v>8</v>
      </c>
      <c r="H1229" s="15" t="s">
        <v>8</v>
      </c>
      <c r="K1229" s="15" t="s">
        <v>8</v>
      </c>
      <c r="L1229" s="15" t="s">
        <v>8</v>
      </c>
      <c r="M1229" s="15" t="s">
        <v>8</v>
      </c>
      <c r="N1229" s="15" t="s">
        <v>8</v>
      </c>
      <c r="Q1229" s="15" t="s">
        <v>8</v>
      </c>
      <c r="R1229" s="15" t="s">
        <v>8</v>
      </c>
      <c r="S1229" s="15" t="s">
        <v>8</v>
      </c>
      <c r="U1229" s="15" t="s">
        <v>8</v>
      </c>
      <c r="W1229" s="15" t="s">
        <v>8</v>
      </c>
      <c r="X1229" s="15" t="s">
        <v>8</v>
      </c>
      <c r="Y1229" s="15" t="s">
        <v>8</v>
      </c>
      <c r="Z1229" s="15" t="s">
        <v>8</v>
      </c>
      <c r="AB1229" s="8" t="s">
        <v>6</v>
      </c>
    </row>
    <row r="1230" spans="3:34" x14ac:dyDescent="0.35">
      <c r="C1230" s="15" t="s">
        <v>8</v>
      </c>
      <c r="D1230" s="15" t="s">
        <v>8</v>
      </c>
      <c r="H1230" s="15" t="s">
        <v>8</v>
      </c>
      <c r="K1230" s="15" t="s">
        <v>8</v>
      </c>
      <c r="L1230" s="15" t="s">
        <v>8</v>
      </c>
      <c r="M1230" s="15" t="s">
        <v>8</v>
      </c>
      <c r="N1230" s="15" t="s">
        <v>8</v>
      </c>
      <c r="Q1230" s="15" t="s">
        <v>8</v>
      </c>
      <c r="R1230" s="15" t="s">
        <v>8</v>
      </c>
      <c r="S1230" s="15" t="s">
        <v>8</v>
      </c>
      <c r="U1230" s="15" t="s">
        <v>8</v>
      </c>
      <c r="W1230" s="15" t="s">
        <v>8</v>
      </c>
      <c r="X1230" s="15" t="s">
        <v>8</v>
      </c>
      <c r="Y1230" s="15" t="s">
        <v>8</v>
      </c>
      <c r="Z1230" s="15" t="s">
        <v>8</v>
      </c>
      <c r="AB1230" s="20" t="str">
        <f>HYPERLINK("http://yeinfo.com/family/I09066673.html", "MAUD LUSIGNAN &lt;5&gt; 1220 -1242 EN ID:09066673")</f>
        <v>MAUD LUSIGNAN &lt;5&gt; 1220 -1242 EN ID:09066673</v>
      </c>
      <c r="AC1230" s="17"/>
      <c r="AD1230" s="17"/>
      <c r="AE1230" s="17"/>
      <c r="AF1230" s="17"/>
    </row>
    <row r="1231" spans="3:34" x14ac:dyDescent="0.35">
      <c r="C1231" s="15" t="s">
        <v>8</v>
      </c>
      <c r="D1231" s="15" t="s">
        <v>8</v>
      </c>
      <c r="H1231" s="15" t="s">
        <v>8</v>
      </c>
      <c r="K1231" s="15" t="s">
        <v>8</v>
      </c>
      <c r="L1231" s="15" t="s">
        <v>8</v>
      </c>
      <c r="M1231" s="15" t="s">
        <v>8</v>
      </c>
      <c r="N1231" s="15" t="s">
        <v>8</v>
      </c>
      <c r="Q1231" s="15" t="s">
        <v>8</v>
      </c>
      <c r="R1231" s="15" t="s">
        <v>8</v>
      </c>
      <c r="S1231" s="15" t="s">
        <v>8</v>
      </c>
      <c r="U1231" s="15" t="s">
        <v>8</v>
      </c>
      <c r="W1231" s="15" t="s">
        <v>8</v>
      </c>
      <c r="X1231" s="15" t="s">
        <v>8</v>
      </c>
      <c r="Y1231" s="8" t="s">
        <v>6</v>
      </c>
      <c r="Z1231" s="15" t="s">
        <v>8</v>
      </c>
    </row>
    <row r="1232" spans="3:34" x14ac:dyDescent="0.35">
      <c r="C1232" s="15" t="s">
        <v>8</v>
      </c>
      <c r="D1232" s="15" t="s">
        <v>8</v>
      </c>
      <c r="H1232" s="15" t="s">
        <v>8</v>
      </c>
      <c r="K1232" s="15" t="s">
        <v>8</v>
      </c>
      <c r="L1232" s="15" t="s">
        <v>8</v>
      </c>
      <c r="M1232" s="15" t="s">
        <v>8</v>
      </c>
      <c r="N1232" s="15" t="s">
        <v>8</v>
      </c>
      <c r="Q1232" s="15" t="s">
        <v>8</v>
      </c>
      <c r="R1232" s="15" t="s">
        <v>8</v>
      </c>
      <c r="S1232" s="15" t="s">
        <v>8</v>
      </c>
      <c r="U1232" s="15" t="s">
        <v>8</v>
      </c>
      <c r="W1232" s="15" t="s">
        <v>8</v>
      </c>
      <c r="X1232" s="15" t="s">
        <v>8</v>
      </c>
      <c r="Y1232" s="20" t="str">
        <f>HYPERLINK("http://yeinfo.com/family/I09066587.html", "ALICE TOENI &lt;5&gt; 1284 EN-1313 EN ID:09066587")</f>
        <v>ALICE TOENI &lt;5&gt; 1284 EN-1313 EN ID:09066587</v>
      </c>
      <c r="Z1232" s="17"/>
      <c r="AA1232" s="17"/>
      <c r="AB1232" s="17"/>
      <c r="AC1232" s="17"/>
    </row>
    <row r="1233" spans="3:30" x14ac:dyDescent="0.35">
      <c r="C1233" s="15" t="s">
        <v>8</v>
      </c>
      <c r="D1233" s="15" t="s">
        <v>8</v>
      </c>
      <c r="H1233" s="15" t="s">
        <v>8</v>
      </c>
      <c r="K1233" s="15" t="s">
        <v>8</v>
      </c>
      <c r="L1233" s="15" t="s">
        <v>8</v>
      </c>
      <c r="M1233" s="15" t="s">
        <v>8</v>
      </c>
      <c r="N1233" s="15" t="s">
        <v>8</v>
      </c>
      <c r="Q1233" s="15" t="s">
        <v>8</v>
      </c>
      <c r="R1233" s="15" t="s">
        <v>8</v>
      </c>
      <c r="S1233" s="15" t="s">
        <v>8</v>
      </c>
      <c r="U1233" s="15" t="s">
        <v>8</v>
      </c>
      <c r="W1233" s="15" t="s">
        <v>8</v>
      </c>
      <c r="X1233" s="15" t="s">
        <v>8</v>
      </c>
      <c r="Z1233" s="8" t="s">
        <v>6</v>
      </c>
    </row>
    <row r="1234" spans="3:30" x14ac:dyDescent="0.35">
      <c r="C1234" s="15" t="s">
        <v>8</v>
      </c>
      <c r="D1234" s="15" t="s">
        <v>8</v>
      </c>
      <c r="H1234" s="15" t="s">
        <v>8</v>
      </c>
      <c r="K1234" s="15" t="s">
        <v>8</v>
      </c>
      <c r="L1234" s="15" t="s">
        <v>8</v>
      </c>
      <c r="M1234" s="15" t="s">
        <v>8</v>
      </c>
      <c r="N1234" s="15" t="s">
        <v>8</v>
      </c>
      <c r="Q1234" s="15" t="s">
        <v>8</v>
      </c>
      <c r="R1234" s="15" t="s">
        <v>8</v>
      </c>
      <c r="S1234" s="15" t="s">
        <v>8</v>
      </c>
      <c r="U1234" s="15" t="s">
        <v>8</v>
      </c>
      <c r="W1234" s="15" t="s">
        <v>8</v>
      </c>
      <c r="X1234" s="15" t="s">
        <v>8</v>
      </c>
      <c r="Z1234" s="20" t="str">
        <f>HYPERLINK("http://yeinfo.com/family/I09066648.html", "MARY CLARISSA BRUCE &lt;5&gt; 1255 EN-1284 EN ID:09066648")</f>
        <v>MARY CLARISSA BRUCE &lt;5&gt; 1255 EN-1284 EN ID:09066648</v>
      </c>
      <c r="AA1234" s="17"/>
      <c r="AB1234" s="17"/>
      <c r="AC1234" s="17"/>
      <c r="AD1234" s="17"/>
    </row>
    <row r="1235" spans="3:30" x14ac:dyDescent="0.35">
      <c r="C1235" s="15" t="s">
        <v>8</v>
      </c>
      <c r="D1235" s="15" t="s">
        <v>8</v>
      </c>
      <c r="H1235" s="15" t="s">
        <v>8</v>
      </c>
      <c r="K1235" s="15" t="s">
        <v>8</v>
      </c>
      <c r="L1235" s="15" t="s">
        <v>8</v>
      </c>
      <c r="M1235" s="15" t="s">
        <v>8</v>
      </c>
      <c r="N1235" s="15" t="s">
        <v>8</v>
      </c>
      <c r="Q1235" s="15" t="s">
        <v>8</v>
      </c>
      <c r="R1235" s="15" t="s">
        <v>8</v>
      </c>
      <c r="S1235" s="15" t="s">
        <v>8</v>
      </c>
      <c r="U1235" s="15" t="s">
        <v>8</v>
      </c>
      <c r="W1235" s="8" t="s">
        <v>6</v>
      </c>
      <c r="X1235" s="15" t="s">
        <v>8</v>
      </c>
    </row>
    <row r="1236" spans="3:30" x14ac:dyDescent="0.35">
      <c r="C1236" s="15" t="s">
        <v>8</v>
      </c>
      <c r="D1236" s="15" t="s">
        <v>8</v>
      </c>
      <c r="H1236" s="15" t="s">
        <v>8</v>
      </c>
      <c r="K1236" s="15" t="s">
        <v>8</v>
      </c>
      <c r="L1236" s="15" t="s">
        <v>8</v>
      </c>
      <c r="M1236" s="15" t="s">
        <v>8</v>
      </c>
      <c r="N1236" s="15" t="s">
        <v>8</v>
      </c>
      <c r="Q1236" s="15" t="s">
        <v>8</v>
      </c>
      <c r="R1236" s="15" t="s">
        <v>8</v>
      </c>
      <c r="S1236" s="15" t="s">
        <v>8</v>
      </c>
      <c r="U1236" s="15" t="s">
        <v>8</v>
      </c>
      <c r="W1236" s="20" t="str">
        <f>HYPERLINK("http://yeinfo.com/family/I09066780.html", "MAUD BEAUCHAMP &lt;4&gt; 1343 EN-1403 EN ID:09066780")</f>
        <v>MAUD BEAUCHAMP &lt;4&gt; 1343 EN-1403 EN ID:09066780</v>
      </c>
      <c r="X1236" s="17"/>
      <c r="Y1236" s="17"/>
      <c r="Z1236" s="17"/>
      <c r="AA1236" s="17"/>
    </row>
    <row r="1237" spans="3:30" x14ac:dyDescent="0.35">
      <c r="C1237" s="15" t="s">
        <v>8</v>
      </c>
      <c r="D1237" s="15" t="s">
        <v>8</v>
      </c>
      <c r="H1237" s="15" t="s">
        <v>8</v>
      </c>
      <c r="K1237" s="15" t="s">
        <v>8</v>
      </c>
      <c r="L1237" s="15" t="s">
        <v>8</v>
      </c>
      <c r="M1237" s="15" t="s">
        <v>8</v>
      </c>
      <c r="N1237" s="15" t="s">
        <v>8</v>
      </c>
      <c r="Q1237" s="15" t="s">
        <v>8</v>
      </c>
      <c r="R1237" s="15" t="s">
        <v>8</v>
      </c>
      <c r="S1237" s="15" t="s">
        <v>8</v>
      </c>
      <c r="U1237" s="15" t="s">
        <v>8</v>
      </c>
      <c r="X1237" s="15" t="s">
        <v>8</v>
      </c>
    </row>
    <row r="1238" spans="3:30" x14ac:dyDescent="0.35">
      <c r="C1238" s="15" t="s">
        <v>8</v>
      </c>
      <c r="D1238" s="15" t="s">
        <v>8</v>
      </c>
      <c r="H1238" s="15" t="s">
        <v>8</v>
      </c>
      <c r="K1238" s="15" t="s">
        <v>8</v>
      </c>
      <c r="L1238" s="15" t="s">
        <v>8</v>
      </c>
      <c r="M1238" s="15" t="s">
        <v>8</v>
      </c>
      <c r="N1238" s="15" t="s">
        <v>8</v>
      </c>
      <c r="Q1238" s="15" t="s">
        <v>8</v>
      </c>
      <c r="R1238" s="15" t="s">
        <v>8</v>
      </c>
      <c r="S1238" s="15" t="s">
        <v>8</v>
      </c>
      <c r="U1238" s="15" t="s">
        <v>8</v>
      </c>
      <c r="X1238" s="15" t="s">
        <v>8</v>
      </c>
      <c r="Z1238" s="19" t="str">
        <f>HYPERLINK("http://yeinfo.com/family/I09066649.html", "EDMUND MORTIMER &lt;5&gt; 1252 EN-1287 EN ID:09066649")</f>
        <v>EDMUND MORTIMER &lt;5&gt; 1252 EN-1287 EN ID:09066649</v>
      </c>
      <c r="AA1238" s="9"/>
      <c r="AB1238" s="9"/>
      <c r="AC1238" s="9"/>
      <c r="AD1238" s="9"/>
    </row>
    <row r="1239" spans="3:30" x14ac:dyDescent="0.35">
      <c r="C1239" s="15" t="s">
        <v>8</v>
      </c>
      <c r="D1239" s="15" t="s">
        <v>8</v>
      </c>
      <c r="H1239" s="15" t="s">
        <v>8</v>
      </c>
      <c r="K1239" s="15" t="s">
        <v>8</v>
      </c>
      <c r="L1239" s="15" t="s">
        <v>8</v>
      </c>
      <c r="M1239" s="15" t="s">
        <v>8</v>
      </c>
      <c r="N1239" s="15" t="s">
        <v>8</v>
      </c>
      <c r="Q1239" s="15" t="s">
        <v>8</v>
      </c>
      <c r="R1239" s="15" t="s">
        <v>8</v>
      </c>
      <c r="S1239" s="15" t="s">
        <v>8</v>
      </c>
      <c r="U1239" s="15" t="s">
        <v>8</v>
      </c>
      <c r="X1239" s="15" t="s">
        <v>8</v>
      </c>
      <c r="Z1239" s="8" t="s">
        <v>3</v>
      </c>
    </row>
    <row r="1240" spans="3:30" x14ac:dyDescent="0.35">
      <c r="C1240" s="15" t="s">
        <v>8</v>
      </c>
      <c r="D1240" s="15" t="s">
        <v>8</v>
      </c>
      <c r="H1240" s="15" t="s">
        <v>8</v>
      </c>
      <c r="K1240" s="15" t="s">
        <v>8</v>
      </c>
      <c r="L1240" s="15" t="s">
        <v>8</v>
      </c>
      <c r="M1240" s="15" t="s">
        <v>8</v>
      </c>
      <c r="N1240" s="15" t="s">
        <v>8</v>
      </c>
      <c r="Q1240" s="15" t="s">
        <v>8</v>
      </c>
      <c r="R1240" s="15" t="s">
        <v>8</v>
      </c>
      <c r="S1240" s="15" t="s">
        <v>8</v>
      </c>
      <c r="U1240" s="15" t="s">
        <v>8</v>
      </c>
      <c r="X1240" s="15" t="s">
        <v>8</v>
      </c>
      <c r="Y1240" s="19" t="str">
        <f>HYPERLINK("http://yeinfo.com/family/I09066588.html", "ROGER MORTIMER &lt;5&gt; 1287 EN-1330 EN ID:09066588")</f>
        <v>ROGER MORTIMER &lt;5&gt; 1287 EN-1330 EN ID:09066588</v>
      </c>
      <c r="Z1240" s="9"/>
      <c r="AA1240" s="9"/>
      <c r="AB1240" s="9"/>
      <c r="AC1240" s="9"/>
    </row>
    <row r="1241" spans="3:30" x14ac:dyDescent="0.35">
      <c r="C1241" s="15" t="s">
        <v>8</v>
      </c>
      <c r="D1241" s="15" t="s">
        <v>8</v>
      </c>
      <c r="H1241" s="15" t="s">
        <v>8</v>
      </c>
      <c r="K1241" s="15" t="s">
        <v>8</v>
      </c>
      <c r="L1241" s="15" t="s">
        <v>8</v>
      </c>
      <c r="M1241" s="15" t="s">
        <v>8</v>
      </c>
      <c r="N1241" s="15" t="s">
        <v>8</v>
      </c>
      <c r="Q1241" s="15" t="s">
        <v>8</v>
      </c>
      <c r="R1241" s="15" t="s">
        <v>8</v>
      </c>
      <c r="S1241" s="15" t="s">
        <v>8</v>
      </c>
      <c r="U1241" s="15" t="s">
        <v>8</v>
      </c>
      <c r="X1241" s="15" t="s">
        <v>8</v>
      </c>
      <c r="Y1241" s="8" t="s">
        <v>3</v>
      </c>
      <c r="Z1241" s="8" t="s">
        <v>6</v>
      </c>
    </row>
    <row r="1242" spans="3:30" x14ac:dyDescent="0.35">
      <c r="C1242" s="15" t="s">
        <v>8</v>
      </c>
      <c r="D1242" s="15" t="s">
        <v>8</v>
      </c>
      <c r="H1242" s="15" t="s">
        <v>8</v>
      </c>
      <c r="K1242" s="15" t="s">
        <v>8</v>
      </c>
      <c r="L1242" s="15" t="s">
        <v>8</v>
      </c>
      <c r="M1242" s="15" t="s">
        <v>8</v>
      </c>
      <c r="N1242" s="15" t="s">
        <v>8</v>
      </c>
      <c r="Q1242" s="15" t="s">
        <v>8</v>
      </c>
      <c r="R1242" s="15" t="s">
        <v>8</v>
      </c>
      <c r="S1242" s="15" t="s">
        <v>8</v>
      </c>
      <c r="U1242" s="15" t="s">
        <v>8</v>
      </c>
      <c r="X1242" s="15" t="s">
        <v>8</v>
      </c>
      <c r="Y1242" s="15" t="s">
        <v>8</v>
      </c>
      <c r="Z1242" s="20" t="str">
        <f>HYPERLINK("http://yeinfo.com/family/I09066650.html", "MARGARET FIENNES &lt;5&gt; 1262 EN-1334 EN ID:09066650")</f>
        <v>MARGARET FIENNES &lt;5&gt; 1262 EN-1334 EN ID:09066650</v>
      </c>
      <c r="AA1242" s="17"/>
      <c r="AB1242" s="17"/>
      <c r="AC1242" s="17"/>
      <c r="AD1242" s="17"/>
    </row>
    <row r="1243" spans="3:30" x14ac:dyDescent="0.35">
      <c r="C1243" s="15" t="s">
        <v>8</v>
      </c>
      <c r="D1243" s="15" t="s">
        <v>8</v>
      </c>
      <c r="H1243" s="15" t="s">
        <v>8</v>
      </c>
      <c r="K1243" s="15" t="s">
        <v>8</v>
      </c>
      <c r="L1243" s="15" t="s">
        <v>8</v>
      </c>
      <c r="M1243" s="15" t="s">
        <v>8</v>
      </c>
      <c r="N1243" s="15" t="s">
        <v>8</v>
      </c>
      <c r="Q1243" s="15" t="s">
        <v>8</v>
      </c>
      <c r="R1243" s="15" t="s">
        <v>8</v>
      </c>
      <c r="S1243" s="15" t="s">
        <v>8</v>
      </c>
      <c r="U1243" s="15" t="s">
        <v>8</v>
      </c>
      <c r="X1243" s="8" t="s">
        <v>6</v>
      </c>
      <c r="Y1243" s="15" t="s">
        <v>8</v>
      </c>
    </row>
    <row r="1244" spans="3:30" x14ac:dyDescent="0.35">
      <c r="C1244" s="15" t="s">
        <v>8</v>
      </c>
      <c r="D1244" s="15" t="s">
        <v>8</v>
      </c>
      <c r="H1244" s="15" t="s">
        <v>8</v>
      </c>
      <c r="K1244" s="15" t="s">
        <v>8</v>
      </c>
      <c r="L1244" s="15" t="s">
        <v>8</v>
      </c>
      <c r="M1244" s="15" t="s">
        <v>8</v>
      </c>
      <c r="N1244" s="15" t="s">
        <v>8</v>
      </c>
      <c r="Q1244" s="15" t="s">
        <v>8</v>
      </c>
      <c r="R1244" s="15" t="s">
        <v>8</v>
      </c>
      <c r="S1244" s="15" t="s">
        <v>8</v>
      </c>
      <c r="U1244" s="15" t="s">
        <v>8</v>
      </c>
      <c r="X1244" s="20" t="str">
        <f>HYPERLINK("http://yeinfo.com/family/I09066535.html", "KATHERINE MORTIMER &lt;5&gt; 1314 EN-1369  ID:09066535")</f>
        <v>KATHERINE MORTIMER &lt;5&gt; 1314 EN-1369  ID:09066535</v>
      </c>
      <c r="Y1244" s="17"/>
      <c r="Z1244" s="17"/>
      <c r="AA1244" s="17"/>
      <c r="AB1244" s="17"/>
    </row>
    <row r="1245" spans="3:30" x14ac:dyDescent="0.35">
      <c r="C1245" s="15" t="s">
        <v>8</v>
      </c>
      <c r="D1245" s="15" t="s">
        <v>8</v>
      </c>
      <c r="H1245" s="15" t="s">
        <v>8</v>
      </c>
      <c r="K1245" s="15" t="s">
        <v>8</v>
      </c>
      <c r="L1245" s="15" t="s">
        <v>8</v>
      </c>
      <c r="M1245" s="15" t="s">
        <v>8</v>
      </c>
      <c r="N1245" s="15" t="s">
        <v>8</v>
      </c>
      <c r="Q1245" s="15" t="s">
        <v>8</v>
      </c>
      <c r="R1245" s="15" t="s">
        <v>8</v>
      </c>
      <c r="S1245" s="15" t="s">
        <v>8</v>
      </c>
      <c r="U1245" s="15" t="s">
        <v>8</v>
      </c>
      <c r="Y1245" s="15" t="s">
        <v>8</v>
      </c>
    </row>
    <row r="1246" spans="3:30" x14ac:dyDescent="0.35">
      <c r="C1246" s="15" t="s">
        <v>8</v>
      </c>
      <c r="D1246" s="15" t="s">
        <v>8</v>
      </c>
      <c r="H1246" s="15" t="s">
        <v>8</v>
      </c>
      <c r="K1246" s="15" t="s">
        <v>8</v>
      </c>
      <c r="L1246" s="15" t="s">
        <v>8</v>
      </c>
      <c r="M1246" s="15" t="s">
        <v>8</v>
      </c>
      <c r="N1246" s="15" t="s">
        <v>8</v>
      </c>
      <c r="Q1246" s="15" t="s">
        <v>8</v>
      </c>
      <c r="R1246" s="15" t="s">
        <v>8</v>
      </c>
      <c r="S1246" s="15" t="s">
        <v>8</v>
      </c>
      <c r="U1246" s="15" t="s">
        <v>8</v>
      </c>
      <c r="Y1246" s="15" t="s">
        <v>8</v>
      </c>
      <c r="Z1246" s="19" t="str">
        <f>HYPERLINK("http://yeinfo.com/family/I09066651.html", "PIERS GENEVILLE &lt;5&gt; 1256 IR-1292 FR ID:09066651")</f>
        <v>PIERS GENEVILLE &lt;5&gt; 1256 IR-1292 FR ID:09066651</v>
      </c>
      <c r="AA1246" s="9"/>
      <c r="AB1246" s="9"/>
      <c r="AC1246" s="9"/>
      <c r="AD1246" s="9"/>
    </row>
    <row r="1247" spans="3:30" x14ac:dyDescent="0.35">
      <c r="C1247" s="15" t="s">
        <v>8</v>
      </c>
      <c r="D1247" s="15" t="s">
        <v>8</v>
      </c>
      <c r="H1247" s="15" t="s">
        <v>8</v>
      </c>
      <c r="K1247" s="15" t="s">
        <v>8</v>
      </c>
      <c r="L1247" s="15" t="s">
        <v>8</v>
      </c>
      <c r="M1247" s="15" t="s">
        <v>8</v>
      </c>
      <c r="N1247" s="15" t="s">
        <v>8</v>
      </c>
      <c r="Q1247" s="15" t="s">
        <v>8</v>
      </c>
      <c r="R1247" s="15" t="s">
        <v>8</v>
      </c>
      <c r="S1247" s="15" t="s">
        <v>8</v>
      </c>
      <c r="U1247" s="15" t="s">
        <v>8</v>
      </c>
      <c r="Y1247" s="8" t="s">
        <v>6</v>
      </c>
      <c r="Z1247" s="8" t="s">
        <v>3</v>
      </c>
    </row>
    <row r="1248" spans="3:30" x14ac:dyDescent="0.35">
      <c r="C1248" s="15" t="s">
        <v>8</v>
      </c>
      <c r="D1248" s="15" t="s">
        <v>8</v>
      </c>
      <c r="H1248" s="15" t="s">
        <v>8</v>
      </c>
      <c r="K1248" s="15" t="s">
        <v>8</v>
      </c>
      <c r="L1248" s="15" t="s">
        <v>8</v>
      </c>
      <c r="M1248" s="15" t="s">
        <v>8</v>
      </c>
      <c r="N1248" s="15" t="s">
        <v>8</v>
      </c>
      <c r="Q1248" s="15" t="s">
        <v>8</v>
      </c>
      <c r="R1248" s="15" t="s">
        <v>8</v>
      </c>
      <c r="S1248" s="15" t="s">
        <v>8</v>
      </c>
      <c r="U1248" s="15" t="s">
        <v>8</v>
      </c>
      <c r="Y1248" s="20" t="str">
        <f>HYPERLINK("http://yeinfo.com/family/I09066589.html", "JOAN GENEVILLE &lt;5&gt; 1286 EN-1325 EN ID:09066589")</f>
        <v>JOAN GENEVILLE &lt;5&gt; 1286 EN-1325 EN ID:09066589</v>
      </c>
      <c r="Z1248" s="17"/>
      <c r="AA1248" s="17"/>
      <c r="AB1248" s="17"/>
      <c r="AC1248" s="17"/>
    </row>
    <row r="1249" spans="3:31" x14ac:dyDescent="0.35">
      <c r="C1249" s="15" t="s">
        <v>8</v>
      </c>
      <c r="D1249" s="15" t="s">
        <v>8</v>
      </c>
      <c r="H1249" s="15" t="s">
        <v>8</v>
      </c>
      <c r="K1249" s="15" t="s">
        <v>8</v>
      </c>
      <c r="L1249" s="15" t="s">
        <v>8</v>
      </c>
      <c r="M1249" s="15" t="s">
        <v>8</v>
      </c>
      <c r="N1249" s="15" t="s">
        <v>8</v>
      </c>
      <c r="Q1249" s="15" t="s">
        <v>8</v>
      </c>
      <c r="R1249" s="15" t="s">
        <v>8</v>
      </c>
      <c r="S1249" s="15" t="s">
        <v>8</v>
      </c>
      <c r="U1249" s="15" t="s">
        <v>8</v>
      </c>
      <c r="Z1249" s="8" t="s">
        <v>6</v>
      </c>
    </row>
    <row r="1250" spans="3:31" x14ac:dyDescent="0.35">
      <c r="C1250" s="15" t="s">
        <v>8</v>
      </c>
      <c r="D1250" s="15" t="s">
        <v>8</v>
      </c>
      <c r="H1250" s="15" t="s">
        <v>8</v>
      </c>
      <c r="K1250" s="15" t="s">
        <v>8</v>
      </c>
      <c r="L1250" s="15" t="s">
        <v>8</v>
      </c>
      <c r="M1250" s="15" t="s">
        <v>8</v>
      </c>
      <c r="N1250" s="15" t="s">
        <v>8</v>
      </c>
      <c r="Q1250" s="15" t="s">
        <v>8</v>
      </c>
      <c r="R1250" s="15" t="s">
        <v>8</v>
      </c>
      <c r="S1250" s="15" t="s">
        <v>8</v>
      </c>
      <c r="U1250" s="15" t="s">
        <v>8</v>
      </c>
      <c r="Z1250" s="20" t="str">
        <f>HYPERLINK("http://yeinfo.com/family/I09066652.html", "JEANNE\JOAN LUSIGNAN &lt;5&gt; 1260 FR-1286  ID:09066652")</f>
        <v>JEANNE\JOAN LUSIGNAN &lt;5&gt; 1260 FR-1286  ID:09066652</v>
      </c>
      <c r="AA1250" s="17"/>
      <c r="AB1250" s="17"/>
      <c r="AC1250" s="17"/>
      <c r="AD1250" s="17"/>
      <c r="AE1250" s="17"/>
    </row>
    <row r="1251" spans="3:31" x14ac:dyDescent="0.35">
      <c r="C1251" s="15" t="s">
        <v>8</v>
      </c>
      <c r="D1251" s="15" t="s">
        <v>8</v>
      </c>
      <c r="H1251" s="15" t="s">
        <v>8</v>
      </c>
      <c r="K1251" s="15" t="s">
        <v>8</v>
      </c>
      <c r="L1251" s="15" t="s">
        <v>8</v>
      </c>
      <c r="M1251" s="15" t="s">
        <v>8</v>
      </c>
      <c r="N1251" s="15" t="s">
        <v>8</v>
      </c>
      <c r="Q1251" s="15" t="s">
        <v>8</v>
      </c>
      <c r="R1251" s="15" t="s">
        <v>8</v>
      </c>
      <c r="S1251" s="15" t="s">
        <v>8</v>
      </c>
      <c r="U1251" s="15" t="s">
        <v>8</v>
      </c>
    </row>
    <row r="1252" spans="3:31" x14ac:dyDescent="0.35">
      <c r="C1252" s="15" t="s">
        <v>8</v>
      </c>
      <c r="D1252" s="15" t="s">
        <v>8</v>
      </c>
      <c r="H1252" s="15" t="s">
        <v>8</v>
      </c>
      <c r="K1252" s="15" t="s">
        <v>8</v>
      </c>
      <c r="L1252" s="15" t="s">
        <v>8</v>
      </c>
      <c r="M1252" s="15" t="s">
        <v>8</v>
      </c>
      <c r="N1252" s="15" t="s">
        <v>8</v>
      </c>
      <c r="Q1252" s="15" t="s">
        <v>8</v>
      </c>
      <c r="R1252" s="15" t="s">
        <v>8</v>
      </c>
      <c r="S1252" s="15" t="s">
        <v>8</v>
      </c>
      <c r="T1252" s="19" t="str">
        <f>HYPERLINK("http://yeinfo.com/family/I09066797.html", "THOMAS FERRERS &lt;2&gt; 1438 EN-1499 EN ID:09066796")</f>
        <v>THOMAS FERRERS &lt;2&gt; 1438 EN-1499 EN ID:09066796</v>
      </c>
      <c r="U1252" s="9"/>
      <c r="V1252" s="9"/>
      <c r="W1252" s="9"/>
      <c r="X1252" s="9"/>
    </row>
    <row r="1253" spans="3:31" x14ac:dyDescent="0.35">
      <c r="C1253" s="15" t="s">
        <v>8</v>
      </c>
      <c r="D1253" s="15" t="s">
        <v>8</v>
      </c>
      <c r="H1253" s="15" t="s">
        <v>8</v>
      </c>
      <c r="K1253" s="15" t="s">
        <v>8</v>
      </c>
      <c r="L1253" s="15" t="s">
        <v>8</v>
      </c>
      <c r="M1253" s="15" t="s">
        <v>8</v>
      </c>
      <c r="N1253" s="15" t="s">
        <v>8</v>
      </c>
      <c r="Q1253" s="15" t="s">
        <v>8</v>
      </c>
      <c r="R1253" s="15" t="s">
        <v>8</v>
      </c>
      <c r="S1253" s="15" t="s">
        <v>8</v>
      </c>
      <c r="T1253" s="8" t="s">
        <v>3</v>
      </c>
      <c r="U1253" s="15" t="s">
        <v>8</v>
      </c>
    </row>
    <row r="1254" spans="3:31" x14ac:dyDescent="0.35">
      <c r="C1254" s="15" t="s">
        <v>8</v>
      </c>
      <c r="D1254" s="15" t="s">
        <v>8</v>
      </c>
      <c r="H1254" s="15" t="s">
        <v>8</v>
      </c>
      <c r="K1254" s="15" t="s">
        <v>8</v>
      </c>
      <c r="L1254" s="15" t="s">
        <v>8</v>
      </c>
      <c r="M1254" s="15" t="s">
        <v>8</v>
      </c>
      <c r="N1254" s="15" t="s">
        <v>8</v>
      </c>
      <c r="Q1254" s="15" t="s">
        <v>8</v>
      </c>
      <c r="R1254" s="15" t="s">
        <v>8</v>
      </c>
      <c r="S1254" s="15" t="s">
        <v>8</v>
      </c>
      <c r="T1254" s="15" t="s">
        <v>8</v>
      </c>
      <c r="U1254" s="15" t="s">
        <v>8</v>
      </c>
      <c r="V1254" s="19" t="str">
        <f>HYPERLINK("http://yeinfo.com/family/I09066799.html", "BALDWIN FREVILLE &lt;2&gt; 1375 EN-1401 EN ID:09066798")</f>
        <v>BALDWIN FREVILLE &lt;2&gt; 1375 EN-1401 EN ID:09066798</v>
      </c>
      <c r="W1254" s="9"/>
      <c r="X1254" s="9"/>
      <c r="Y1254" s="9"/>
      <c r="Z1254" s="9"/>
    </row>
    <row r="1255" spans="3:31" x14ac:dyDescent="0.35">
      <c r="C1255" s="15" t="s">
        <v>8</v>
      </c>
      <c r="D1255" s="15" t="s">
        <v>8</v>
      </c>
      <c r="H1255" s="15" t="s">
        <v>8</v>
      </c>
      <c r="K1255" s="15" t="s">
        <v>8</v>
      </c>
      <c r="L1255" s="15" t="s">
        <v>8</v>
      </c>
      <c r="M1255" s="15" t="s">
        <v>8</v>
      </c>
      <c r="N1255" s="15" t="s">
        <v>8</v>
      </c>
      <c r="Q1255" s="15" t="s">
        <v>8</v>
      </c>
      <c r="R1255" s="15" t="s">
        <v>8</v>
      </c>
      <c r="S1255" s="15" t="s">
        <v>8</v>
      </c>
      <c r="T1255" s="15" t="s">
        <v>8</v>
      </c>
      <c r="U1255" s="8" t="s">
        <v>6</v>
      </c>
      <c r="V1255" s="8" t="s">
        <v>3</v>
      </c>
    </row>
    <row r="1256" spans="3:31" x14ac:dyDescent="0.35">
      <c r="C1256" s="15" t="s">
        <v>8</v>
      </c>
      <c r="D1256" s="15" t="s">
        <v>8</v>
      </c>
      <c r="H1256" s="15" t="s">
        <v>8</v>
      </c>
      <c r="K1256" s="15" t="s">
        <v>8</v>
      </c>
      <c r="L1256" s="15" t="s">
        <v>8</v>
      </c>
      <c r="M1256" s="15" t="s">
        <v>8</v>
      </c>
      <c r="N1256" s="15" t="s">
        <v>8</v>
      </c>
      <c r="Q1256" s="15" t="s">
        <v>8</v>
      </c>
      <c r="R1256" s="15" t="s">
        <v>8</v>
      </c>
      <c r="S1256" s="15" t="s">
        <v>8</v>
      </c>
      <c r="T1256" s="15" t="s">
        <v>8</v>
      </c>
      <c r="U1256" s="20" t="str">
        <f>HYPERLINK("http://yeinfo.com/family/I09066788.html", "ELIZABETH FREVILLE &lt;2&gt; 1383 EN-1468 EN ID:09066799")</f>
        <v>ELIZABETH FREVILLE &lt;2&gt; 1383 EN-1468 EN ID:09066799</v>
      </c>
      <c r="V1256" s="17"/>
      <c r="W1256" s="17"/>
      <c r="X1256" s="17"/>
      <c r="Y1256" s="17"/>
    </row>
    <row r="1257" spans="3:31" x14ac:dyDescent="0.35">
      <c r="C1257" s="15" t="s">
        <v>8</v>
      </c>
      <c r="D1257" s="15" t="s">
        <v>8</v>
      </c>
      <c r="H1257" s="15" t="s">
        <v>8</v>
      </c>
      <c r="K1257" s="15" t="s">
        <v>8</v>
      </c>
      <c r="L1257" s="15" t="s">
        <v>8</v>
      </c>
      <c r="M1257" s="15" t="s">
        <v>8</v>
      </c>
      <c r="N1257" s="15" t="s">
        <v>8</v>
      </c>
      <c r="Q1257" s="15" t="s">
        <v>8</v>
      </c>
      <c r="R1257" s="15" t="s">
        <v>8</v>
      </c>
      <c r="S1257" s="15" t="s">
        <v>8</v>
      </c>
      <c r="T1257" s="15" t="s">
        <v>8</v>
      </c>
      <c r="V1257" s="8" t="s">
        <v>6</v>
      </c>
    </row>
    <row r="1258" spans="3:31" x14ac:dyDescent="0.35">
      <c r="C1258" s="15" t="s">
        <v>8</v>
      </c>
      <c r="D1258" s="15" t="s">
        <v>8</v>
      </c>
      <c r="H1258" s="15" t="s">
        <v>8</v>
      </c>
      <c r="K1258" s="15" t="s">
        <v>8</v>
      </c>
      <c r="L1258" s="15" t="s">
        <v>8</v>
      </c>
      <c r="M1258" s="15" t="s">
        <v>8</v>
      </c>
      <c r="N1258" s="15" t="s">
        <v>8</v>
      </c>
      <c r="Q1258" s="15" t="s">
        <v>8</v>
      </c>
      <c r="R1258" s="15" t="s">
        <v>8</v>
      </c>
      <c r="S1258" s="15" t="s">
        <v>8</v>
      </c>
      <c r="T1258" s="15" t="s">
        <v>8</v>
      </c>
      <c r="V1258" s="20" t="str">
        <f>HYPERLINK("http://yeinfo.com/family/I09066798.html", "JOAN GREENE &lt;2&gt; 1370 EN-1401 EN ID:09066801")</f>
        <v>JOAN GREENE &lt;2&gt; 1370 EN-1401 EN ID:09066801</v>
      </c>
      <c r="W1258" s="17"/>
      <c r="X1258" s="17"/>
      <c r="Y1258" s="17"/>
      <c r="Z1258" s="17"/>
    </row>
    <row r="1259" spans="3:31" x14ac:dyDescent="0.35">
      <c r="C1259" s="15" t="s">
        <v>8</v>
      </c>
      <c r="D1259" s="15" t="s">
        <v>8</v>
      </c>
      <c r="H1259" s="15" t="s">
        <v>8</v>
      </c>
      <c r="K1259" s="15" t="s">
        <v>8</v>
      </c>
      <c r="L1259" s="15" t="s">
        <v>8</v>
      </c>
      <c r="M1259" s="15" t="s">
        <v>8</v>
      </c>
      <c r="N1259" s="15" t="s">
        <v>8</v>
      </c>
      <c r="Q1259" s="15" t="s">
        <v>8</v>
      </c>
      <c r="R1259" s="15" t="s">
        <v>8</v>
      </c>
      <c r="S1259" s="8" t="s">
        <v>6</v>
      </c>
      <c r="T1259" s="15" t="s">
        <v>8</v>
      </c>
    </row>
    <row r="1260" spans="3:31" x14ac:dyDescent="0.35">
      <c r="C1260" s="15" t="s">
        <v>8</v>
      </c>
      <c r="D1260" s="15" t="s">
        <v>8</v>
      </c>
      <c r="H1260" s="15" t="s">
        <v>8</v>
      </c>
      <c r="K1260" s="15" t="s">
        <v>8</v>
      </c>
      <c r="L1260" s="15" t="s">
        <v>8</v>
      </c>
      <c r="M1260" s="15" t="s">
        <v>8</v>
      </c>
      <c r="N1260" s="15" t="s">
        <v>8</v>
      </c>
      <c r="Q1260" s="15" t="s">
        <v>8</v>
      </c>
      <c r="R1260" s="15" t="s">
        <v>8</v>
      </c>
      <c r="S1260" s="20" t="str">
        <f>HYPERLINK("http://yeinfo.com/family/I09066652.html", "MABEL FERRERS &lt;2&gt; 1448 EN-1465 EN ID:09066797")</f>
        <v>MABEL FERRERS &lt;2&gt; 1448 EN-1465 EN ID:09066797</v>
      </c>
      <c r="T1260" s="17"/>
      <c r="U1260" s="17"/>
      <c r="V1260" s="17"/>
      <c r="W1260" s="17"/>
    </row>
    <row r="1261" spans="3:31" x14ac:dyDescent="0.35">
      <c r="C1261" s="15" t="s">
        <v>8</v>
      </c>
      <c r="D1261" s="15" t="s">
        <v>8</v>
      </c>
      <c r="H1261" s="15" t="s">
        <v>8</v>
      </c>
      <c r="K1261" s="15" t="s">
        <v>8</v>
      </c>
      <c r="L1261" s="15" t="s">
        <v>8</v>
      </c>
      <c r="M1261" s="15" t="s">
        <v>8</v>
      </c>
      <c r="N1261" s="15" t="s">
        <v>8</v>
      </c>
      <c r="Q1261" s="15" t="s">
        <v>8</v>
      </c>
      <c r="R1261" s="15" t="s">
        <v>8</v>
      </c>
      <c r="T1261" s="15" t="s">
        <v>8</v>
      </c>
    </row>
    <row r="1262" spans="3:31" x14ac:dyDescent="0.35">
      <c r="C1262" s="15" t="s">
        <v>8</v>
      </c>
      <c r="D1262" s="15" t="s">
        <v>8</v>
      </c>
      <c r="H1262" s="15" t="s">
        <v>8</v>
      </c>
      <c r="K1262" s="15" t="s">
        <v>8</v>
      </c>
      <c r="L1262" s="15" t="s">
        <v>8</v>
      </c>
      <c r="M1262" s="15" t="s">
        <v>8</v>
      </c>
      <c r="N1262" s="15" t="s">
        <v>8</v>
      </c>
      <c r="Q1262" s="15" t="s">
        <v>8</v>
      </c>
      <c r="R1262" s="15" t="s">
        <v>8</v>
      </c>
      <c r="T1262" s="15" t="s">
        <v>8</v>
      </c>
      <c r="U1262" s="19" t="str">
        <f>HYPERLINK("http://yeinfo.com/family/I09066805.html", "LEONARD HASTINGS &lt;2&gt; 1396 EN-1455 EN ID:09066804")</f>
        <v>LEONARD HASTINGS &lt;2&gt; 1396 EN-1455 EN ID:09066804</v>
      </c>
      <c r="V1262" s="9"/>
      <c r="W1262" s="9"/>
      <c r="X1262" s="9"/>
      <c r="Y1262" s="9"/>
    </row>
    <row r="1263" spans="3:31" x14ac:dyDescent="0.35">
      <c r="C1263" s="15" t="s">
        <v>8</v>
      </c>
      <c r="D1263" s="15" t="s">
        <v>8</v>
      </c>
      <c r="H1263" s="15" t="s">
        <v>8</v>
      </c>
      <c r="K1263" s="15" t="s">
        <v>8</v>
      </c>
      <c r="L1263" s="15" t="s">
        <v>8</v>
      </c>
      <c r="M1263" s="15" t="s">
        <v>8</v>
      </c>
      <c r="N1263" s="15" t="s">
        <v>8</v>
      </c>
      <c r="Q1263" s="15" t="s">
        <v>8</v>
      </c>
      <c r="R1263" s="15" t="s">
        <v>8</v>
      </c>
      <c r="T1263" s="8" t="s">
        <v>6</v>
      </c>
      <c r="U1263" s="8" t="s">
        <v>3</v>
      </c>
    </row>
    <row r="1264" spans="3:31" x14ac:dyDescent="0.35">
      <c r="C1264" s="15" t="s">
        <v>8</v>
      </c>
      <c r="D1264" s="15" t="s">
        <v>8</v>
      </c>
      <c r="H1264" s="15" t="s">
        <v>8</v>
      </c>
      <c r="K1264" s="15" t="s">
        <v>8</v>
      </c>
      <c r="L1264" s="15" t="s">
        <v>8</v>
      </c>
      <c r="M1264" s="15" t="s">
        <v>8</v>
      </c>
      <c r="N1264" s="15" t="s">
        <v>8</v>
      </c>
      <c r="Q1264" s="15" t="s">
        <v>8</v>
      </c>
      <c r="R1264" s="15" t="s">
        <v>8</v>
      </c>
      <c r="T1264" s="20" t="str">
        <f>HYPERLINK("http://yeinfo.com/family/I09066801.html", "ANNE HASTINGS &lt;2&gt; 1427 EN-1448 EN ID:09066805")</f>
        <v>ANNE HASTINGS &lt;2&gt; 1427 EN-1448 EN ID:09066805</v>
      </c>
      <c r="U1264" s="17"/>
      <c r="V1264" s="17"/>
      <c r="W1264" s="17"/>
      <c r="X1264" s="17"/>
    </row>
    <row r="1265" spans="3:26" x14ac:dyDescent="0.35">
      <c r="C1265" s="15" t="s">
        <v>8</v>
      </c>
      <c r="D1265" s="15" t="s">
        <v>8</v>
      </c>
      <c r="H1265" s="15" t="s">
        <v>8</v>
      </c>
      <c r="K1265" s="15" t="s">
        <v>8</v>
      </c>
      <c r="L1265" s="15" t="s">
        <v>8</v>
      </c>
      <c r="M1265" s="15" t="s">
        <v>8</v>
      </c>
      <c r="N1265" s="15" t="s">
        <v>8</v>
      </c>
      <c r="Q1265" s="15" t="s">
        <v>8</v>
      </c>
      <c r="R1265" s="15" t="s">
        <v>8</v>
      </c>
      <c r="U1265" s="8" t="s">
        <v>6</v>
      </c>
    </row>
    <row r="1266" spans="3:26" x14ac:dyDescent="0.35">
      <c r="C1266" s="15" t="s">
        <v>8</v>
      </c>
      <c r="D1266" s="15" t="s">
        <v>8</v>
      </c>
      <c r="H1266" s="15" t="s">
        <v>8</v>
      </c>
      <c r="K1266" s="15" t="s">
        <v>8</v>
      </c>
      <c r="L1266" s="15" t="s">
        <v>8</v>
      </c>
      <c r="M1266" s="15" t="s">
        <v>8</v>
      </c>
      <c r="N1266" s="15" t="s">
        <v>8</v>
      </c>
      <c r="Q1266" s="15" t="s">
        <v>8</v>
      </c>
      <c r="R1266" s="15" t="s">
        <v>8</v>
      </c>
      <c r="U1266" s="20" t="str">
        <f>HYPERLINK("http://yeinfo.com/family/I09066804.html", "ALICE PHILIPA CAMOYS &lt;2&gt; 1400 EN-1455 EN ID:09066785")</f>
        <v>ALICE PHILIPA CAMOYS &lt;2&gt; 1400 EN-1455 EN ID:09066785</v>
      </c>
      <c r="V1266" s="17"/>
      <c r="W1266" s="17"/>
      <c r="X1266" s="17"/>
      <c r="Y1266" s="17"/>
    </row>
    <row r="1267" spans="3:26" x14ac:dyDescent="0.35">
      <c r="C1267" s="15" t="s">
        <v>8</v>
      </c>
      <c r="D1267" s="15" t="s">
        <v>8</v>
      </c>
      <c r="H1267" s="15" t="s">
        <v>8</v>
      </c>
      <c r="K1267" s="15" t="s">
        <v>8</v>
      </c>
      <c r="L1267" s="15" t="s">
        <v>8</v>
      </c>
      <c r="M1267" s="15" t="s">
        <v>8</v>
      </c>
      <c r="N1267" s="15" t="s">
        <v>8</v>
      </c>
      <c r="Q1267" s="8" t="s">
        <v>6</v>
      </c>
      <c r="R1267" s="15" t="s">
        <v>8</v>
      </c>
    </row>
    <row r="1268" spans="3:26" x14ac:dyDescent="0.35">
      <c r="C1268" s="15" t="s">
        <v>8</v>
      </c>
      <c r="D1268" s="15" t="s">
        <v>8</v>
      </c>
      <c r="H1268" s="15" t="s">
        <v>8</v>
      </c>
      <c r="K1268" s="15" t="s">
        <v>8</v>
      </c>
      <c r="L1268" s="15" t="s">
        <v>8</v>
      </c>
      <c r="M1268" s="15" t="s">
        <v>8</v>
      </c>
      <c r="N1268" s="15" t="s">
        <v>8</v>
      </c>
      <c r="Q1268" s="20" t="str">
        <f>HYPERLINK("http://yeinfo.com/family/I09066800.html", "ELIZABETH LONGFORD &lt;2&gt; 1490 EN-1548 EN ID:09041431")</f>
        <v>ELIZABETH LONGFORD &lt;2&gt; 1490 EN-1548 EN ID:09041431</v>
      </c>
      <c r="R1268" s="17"/>
      <c r="S1268" s="17"/>
      <c r="T1268" s="17"/>
      <c r="U1268" s="17"/>
    </row>
    <row r="1269" spans="3:26" x14ac:dyDescent="0.35">
      <c r="C1269" s="15" t="s">
        <v>8</v>
      </c>
      <c r="D1269" s="15" t="s">
        <v>8</v>
      </c>
      <c r="H1269" s="15" t="s">
        <v>8</v>
      </c>
      <c r="K1269" s="15" t="s">
        <v>8</v>
      </c>
      <c r="L1269" s="15" t="s">
        <v>8</v>
      </c>
      <c r="M1269" s="15" t="s">
        <v>8</v>
      </c>
      <c r="N1269" s="15" t="s">
        <v>8</v>
      </c>
      <c r="R1269" s="15" t="s">
        <v>8</v>
      </c>
    </row>
    <row r="1270" spans="3:26" x14ac:dyDescent="0.35">
      <c r="C1270" s="15" t="s">
        <v>8</v>
      </c>
      <c r="D1270" s="15" t="s">
        <v>8</v>
      </c>
      <c r="H1270" s="15" t="s">
        <v>8</v>
      </c>
      <c r="K1270" s="15" t="s">
        <v>8</v>
      </c>
      <c r="L1270" s="15" t="s">
        <v>8</v>
      </c>
      <c r="M1270" s="15" t="s">
        <v>8</v>
      </c>
      <c r="N1270" s="15" t="s">
        <v>8</v>
      </c>
      <c r="R1270" s="15" t="s">
        <v>8</v>
      </c>
      <c r="V1270" s="19" t="str">
        <f>HYPERLINK("http://yeinfo.com/family/I09066981.html", "HENRY TRAFFORD &lt;9&gt; 1225 EN-1264 EN ID:09066981")</f>
        <v>HENRY TRAFFORD &lt;9&gt; 1225 EN-1264 EN ID:09066981</v>
      </c>
      <c r="W1270" s="9"/>
      <c r="X1270" s="9"/>
      <c r="Y1270" s="9"/>
      <c r="Z1270" s="9"/>
    </row>
    <row r="1271" spans="3:26" x14ac:dyDescent="0.35">
      <c r="C1271" s="15" t="s">
        <v>8</v>
      </c>
      <c r="D1271" s="15" t="s">
        <v>8</v>
      </c>
      <c r="H1271" s="15" t="s">
        <v>8</v>
      </c>
      <c r="K1271" s="15" t="s">
        <v>8</v>
      </c>
      <c r="L1271" s="15" t="s">
        <v>8</v>
      </c>
      <c r="M1271" s="15" t="s">
        <v>8</v>
      </c>
      <c r="N1271" s="15" t="s">
        <v>8</v>
      </c>
      <c r="R1271" s="15" t="s">
        <v>8</v>
      </c>
      <c r="V1271" s="8" t="s">
        <v>3</v>
      </c>
    </row>
    <row r="1272" spans="3:26" x14ac:dyDescent="0.35">
      <c r="C1272" s="15" t="s">
        <v>8</v>
      </c>
      <c r="D1272" s="15" t="s">
        <v>8</v>
      </c>
      <c r="H1272" s="15" t="s">
        <v>8</v>
      </c>
      <c r="K1272" s="15" t="s">
        <v>8</v>
      </c>
      <c r="L1272" s="15" t="s">
        <v>8</v>
      </c>
      <c r="M1272" s="15" t="s">
        <v>8</v>
      </c>
      <c r="N1272" s="15" t="s">
        <v>8</v>
      </c>
      <c r="R1272" s="15" t="s">
        <v>8</v>
      </c>
      <c r="U1272" s="19" t="str">
        <f>HYPERLINK("http://yeinfo.com/family/I09066434.html", "JOHN TRAFFORD &lt;9&gt; 1264 EN-1340 EN ID:09066434")</f>
        <v>JOHN TRAFFORD &lt;9&gt; 1264 EN-1340 EN ID:09066434</v>
      </c>
      <c r="V1272" s="9"/>
      <c r="W1272" s="9"/>
      <c r="X1272" s="9"/>
      <c r="Y1272" s="9"/>
    </row>
    <row r="1273" spans="3:26" x14ac:dyDescent="0.35">
      <c r="C1273" s="15" t="s">
        <v>8</v>
      </c>
      <c r="D1273" s="15" t="s">
        <v>8</v>
      </c>
      <c r="H1273" s="15" t="s">
        <v>8</v>
      </c>
      <c r="K1273" s="15" t="s">
        <v>8</v>
      </c>
      <c r="L1273" s="15" t="s">
        <v>8</v>
      </c>
      <c r="M1273" s="15" t="s">
        <v>8</v>
      </c>
      <c r="N1273" s="15" t="s">
        <v>8</v>
      </c>
      <c r="R1273" s="15" t="s">
        <v>8</v>
      </c>
      <c r="U1273" s="8" t="s">
        <v>3</v>
      </c>
      <c r="V1273" s="8" t="s">
        <v>6</v>
      </c>
    </row>
    <row r="1274" spans="3:26" x14ac:dyDescent="0.35">
      <c r="C1274" s="15" t="s">
        <v>8</v>
      </c>
      <c r="D1274" s="15" t="s">
        <v>8</v>
      </c>
      <c r="H1274" s="15" t="s">
        <v>8</v>
      </c>
      <c r="K1274" s="15" t="s">
        <v>8</v>
      </c>
      <c r="L1274" s="15" t="s">
        <v>8</v>
      </c>
      <c r="M1274" s="15" t="s">
        <v>8</v>
      </c>
      <c r="N1274" s="15" t="s">
        <v>8</v>
      </c>
      <c r="R1274" s="15" t="s">
        <v>8</v>
      </c>
      <c r="U1274" s="15" t="s">
        <v>8</v>
      </c>
      <c r="V1274" s="20" t="str">
        <f>HYPERLINK("http://yeinfo.com/family/I09066980.html", "Mrs. MARGARET TRAFFORD &lt;9&gt; 1236 EN-1334 EN ID:09066980")</f>
        <v>Mrs. MARGARET TRAFFORD &lt;9&gt; 1236 EN-1334 EN ID:09066980</v>
      </c>
      <c r="W1274" s="17"/>
      <c r="X1274" s="17"/>
      <c r="Y1274" s="17"/>
      <c r="Z1274" s="17"/>
    </row>
    <row r="1275" spans="3:26" x14ac:dyDescent="0.35">
      <c r="C1275" s="15" t="s">
        <v>8</v>
      </c>
      <c r="D1275" s="15" t="s">
        <v>8</v>
      </c>
      <c r="H1275" s="15" t="s">
        <v>8</v>
      </c>
      <c r="K1275" s="15" t="s">
        <v>8</v>
      </c>
      <c r="L1275" s="15" t="s">
        <v>8</v>
      </c>
      <c r="M1275" s="15" t="s">
        <v>8</v>
      </c>
      <c r="N1275" s="15" t="s">
        <v>8</v>
      </c>
      <c r="R1275" s="15" t="s">
        <v>8</v>
      </c>
      <c r="U1275" s="15" t="s">
        <v>8</v>
      </c>
    </row>
    <row r="1276" spans="3:26" x14ac:dyDescent="0.35">
      <c r="C1276" s="15" t="s">
        <v>8</v>
      </c>
      <c r="D1276" s="15" t="s">
        <v>8</v>
      </c>
      <c r="H1276" s="15" t="s">
        <v>8</v>
      </c>
      <c r="K1276" s="15" t="s">
        <v>8</v>
      </c>
      <c r="L1276" s="15" t="s">
        <v>8</v>
      </c>
      <c r="M1276" s="15" t="s">
        <v>8</v>
      </c>
      <c r="N1276" s="15" t="s">
        <v>8</v>
      </c>
      <c r="R1276" s="15" t="s">
        <v>8</v>
      </c>
      <c r="T1276" s="19" t="str">
        <f>HYPERLINK("http://yeinfo.com/family/I09066317.html", "HENRY TRAFFORD &lt;9&gt; 1292 EN-1370 EN ID:09066317")</f>
        <v>HENRY TRAFFORD &lt;9&gt; 1292 EN-1370 EN ID:09066317</v>
      </c>
      <c r="U1276" s="9"/>
      <c r="V1276" s="9"/>
      <c r="W1276" s="9"/>
      <c r="X1276" s="9"/>
    </row>
    <row r="1277" spans="3:26" x14ac:dyDescent="0.35">
      <c r="C1277" s="15" t="s">
        <v>8</v>
      </c>
      <c r="D1277" s="15" t="s">
        <v>8</v>
      </c>
      <c r="H1277" s="15" t="s">
        <v>8</v>
      </c>
      <c r="K1277" s="15" t="s">
        <v>8</v>
      </c>
      <c r="L1277" s="15" t="s">
        <v>8</v>
      </c>
      <c r="M1277" s="15" t="s">
        <v>8</v>
      </c>
      <c r="N1277" s="15" t="s">
        <v>8</v>
      </c>
      <c r="R1277" s="15" t="s">
        <v>8</v>
      </c>
      <c r="T1277" s="8" t="s">
        <v>3</v>
      </c>
      <c r="U1277" s="8" t="s">
        <v>6</v>
      </c>
    </row>
    <row r="1278" spans="3:26" x14ac:dyDescent="0.35">
      <c r="C1278" s="15" t="s">
        <v>8</v>
      </c>
      <c r="D1278" s="15" t="s">
        <v>8</v>
      </c>
      <c r="H1278" s="15" t="s">
        <v>8</v>
      </c>
      <c r="K1278" s="15" t="s">
        <v>8</v>
      </c>
      <c r="L1278" s="15" t="s">
        <v>8</v>
      </c>
      <c r="M1278" s="15" t="s">
        <v>8</v>
      </c>
      <c r="N1278" s="15" t="s">
        <v>8</v>
      </c>
      <c r="R1278" s="15" t="s">
        <v>8</v>
      </c>
      <c r="T1278" s="15" t="s">
        <v>8</v>
      </c>
      <c r="U1278" s="20" t="str">
        <f>HYPERLINK("http://yeinfo.com/family/I09066433.html", "ELIZABETH ASHTON &lt;9&gt; 1268 EN-1340 EN ID:09066433")</f>
        <v>ELIZABETH ASHTON &lt;9&gt; 1268 EN-1340 EN ID:09066433</v>
      </c>
      <c r="V1278" s="17"/>
      <c r="W1278" s="17"/>
      <c r="X1278" s="17"/>
      <c r="Y1278" s="17"/>
    </row>
    <row r="1279" spans="3:26" x14ac:dyDescent="0.35">
      <c r="C1279" s="15" t="s">
        <v>8</v>
      </c>
      <c r="D1279" s="15" t="s">
        <v>8</v>
      </c>
      <c r="H1279" s="15" t="s">
        <v>8</v>
      </c>
      <c r="K1279" s="15" t="s">
        <v>8</v>
      </c>
      <c r="L1279" s="15" t="s">
        <v>8</v>
      </c>
      <c r="M1279" s="15" t="s">
        <v>8</v>
      </c>
      <c r="N1279" s="15" t="s">
        <v>8</v>
      </c>
      <c r="R1279" s="15" t="s">
        <v>8</v>
      </c>
      <c r="T1279" s="15" t="s">
        <v>8</v>
      </c>
    </row>
    <row r="1280" spans="3:26" x14ac:dyDescent="0.35">
      <c r="C1280" s="15" t="s">
        <v>8</v>
      </c>
      <c r="D1280" s="15" t="s">
        <v>8</v>
      </c>
      <c r="H1280" s="15" t="s">
        <v>8</v>
      </c>
      <c r="K1280" s="15" t="s">
        <v>8</v>
      </c>
      <c r="L1280" s="15" t="s">
        <v>8</v>
      </c>
      <c r="M1280" s="15" t="s">
        <v>8</v>
      </c>
      <c r="N1280" s="15" t="s">
        <v>8</v>
      </c>
      <c r="R1280" s="15" t="s">
        <v>8</v>
      </c>
      <c r="S1280" s="19" t="str">
        <f>HYPERLINK("http://yeinfo.com/family/I09066982.html", "HENRY TRAFFORD &lt;6&gt; 1335 EN-1386 EN ID:09066982")</f>
        <v>HENRY TRAFFORD &lt;6&gt; 1335 EN-1386 EN ID:09066982</v>
      </c>
      <c r="T1280" s="9"/>
      <c r="U1280" s="9"/>
      <c r="V1280" s="9"/>
      <c r="W1280" s="9"/>
    </row>
    <row r="1281" spans="3:27" x14ac:dyDescent="0.35">
      <c r="C1281" s="15" t="s">
        <v>8</v>
      </c>
      <c r="D1281" s="15" t="s">
        <v>8</v>
      </c>
      <c r="H1281" s="15" t="s">
        <v>8</v>
      </c>
      <c r="K1281" s="15" t="s">
        <v>8</v>
      </c>
      <c r="L1281" s="15" t="s">
        <v>8</v>
      </c>
      <c r="M1281" s="15" t="s">
        <v>8</v>
      </c>
      <c r="N1281" s="15" t="s">
        <v>8</v>
      </c>
      <c r="R1281" s="15" t="s">
        <v>8</v>
      </c>
      <c r="S1281" s="8" t="s">
        <v>3</v>
      </c>
      <c r="T1281" s="15" t="s">
        <v>8</v>
      </c>
    </row>
    <row r="1282" spans="3:27" x14ac:dyDescent="0.35">
      <c r="C1282" s="15" t="s">
        <v>8</v>
      </c>
      <c r="D1282" s="15" t="s">
        <v>8</v>
      </c>
      <c r="H1282" s="15" t="s">
        <v>8</v>
      </c>
      <c r="K1282" s="15" t="s">
        <v>8</v>
      </c>
      <c r="L1282" s="15" t="s">
        <v>8</v>
      </c>
      <c r="M1282" s="15" t="s">
        <v>8</v>
      </c>
      <c r="N1282" s="15" t="s">
        <v>8</v>
      </c>
      <c r="R1282" s="15" t="s">
        <v>8</v>
      </c>
      <c r="S1282" s="15" t="s">
        <v>8</v>
      </c>
      <c r="T1282" s="15" t="s">
        <v>8</v>
      </c>
      <c r="U1282" s="19" t="str">
        <f>HYPERLINK("http://yeinfo.com/family/I09066492.html", "RICHARD DOTERINDE &lt;9&gt; 1280 EN-1345 EN ID:09066492")</f>
        <v>RICHARD DOTERINDE &lt;9&gt; 1280 EN-1345 EN ID:09066492</v>
      </c>
      <c r="V1282" s="9"/>
      <c r="W1282" s="9"/>
      <c r="X1282" s="9"/>
      <c r="Y1282" s="9"/>
    </row>
    <row r="1283" spans="3:27" x14ac:dyDescent="0.35">
      <c r="C1283" s="15" t="s">
        <v>8</v>
      </c>
      <c r="D1283" s="15" t="s">
        <v>8</v>
      </c>
      <c r="H1283" s="15" t="s">
        <v>8</v>
      </c>
      <c r="K1283" s="15" t="s">
        <v>8</v>
      </c>
      <c r="L1283" s="15" t="s">
        <v>8</v>
      </c>
      <c r="M1283" s="15" t="s">
        <v>8</v>
      </c>
      <c r="N1283" s="15" t="s">
        <v>8</v>
      </c>
      <c r="R1283" s="15" t="s">
        <v>8</v>
      </c>
      <c r="S1283" s="15" t="s">
        <v>8</v>
      </c>
      <c r="T1283" s="8" t="s">
        <v>6</v>
      </c>
      <c r="U1283" s="8" t="s">
        <v>3</v>
      </c>
    </row>
    <row r="1284" spans="3:27" x14ac:dyDescent="0.35">
      <c r="C1284" s="15" t="s">
        <v>8</v>
      </c>
      <c r="D1284" s="15" t="s">
        <v>8</v>
      </c>
      <c r="H1284" s="15" t="s">
        <v>8</v>
      </c>
      <c r="K1284" s="15" t="s">
        <v>8</v>
      </c>
      <c r="L1284" s="15" t="s">
        <v>8</v>
      </c>
      <c r="M1284" s="15" t="s">
        <v>8</v>
      </c>
      <c r="N1284" s="15" t="s">
        <v>8</v>
      </c>
      <c r="R1284" s="15" t="s">
        <v>8</v>
      </c>
      <c r="S1284" s="15" t="s">
        <v>8</v>
      </c>
      <c r="T1284" s="20" t="str">
        <f>HYPERLINK("http://yeinfo.com/family/I09066318.html", "AGNES DOTERINDE &lt;9&gt; 1302 EN-1360 EN ID:09066318")</f>
        <v>AGNES DOTERINDE &lt;9&gt; 1302 EN-1360 EN ID:09066318</v>
      </c>
      <c r="U1284" s="17"/>
      <c r="V1284" s="17"/>
      <c r="W1284" s="17"/>
      <c r="X1284" s="17"/>
    </row>
    <row r="1285" spans="3:27" x14ac:dyDescent="0.35">
      <c r="C1285" s="15" t="s">
        <v>8</v>
      </c>
      <c r="D1285" s="15" t="s">
        <v>8</v>
      </c>
      <c r="H1285" s="15" t="s">
        <v>8</v>
      </c>
      <c r="K1285" s="15" t="s">
        <v>8</v>
      </c>
      <c r="L1285" s="15" t="s">
        <v>8</v>
      </c>
      <c r="M1285" s="15" t="s">
        <v>8</v>
      </c>
      <c r="N1285" s="15" t="s">
        <v>8</v>
      </c>
      <c r="R1285" s="15" t="s">
        <v>8</v>
      </c>
      <c r="S1285" s="15" t="s">
        <v>8</v>
      </c>
      <c r="U1285" s="8" t="s">
        <v>6</v>
      </c>
    </row>
    <row r="1286" spans="3:27" x14ac:dyDescent="0.35">
      <c r="C1286" s="15" t="s">
        <v>8</v>
      </c>
      <c r="D1286" s="15" t="s">
        <v>8</v>
      </c>
      <c r="H1286" s="15" t="s">
        <v>8</v>
      </c>
      <c r="K1286" s="15" t="s">
        <v>8</v>
      </c>
      <c r="L1286" s="15" t="s">
        <v>8</v>
      </c>
      <c r="M1286" s="15" t="s">
        <v>8</v>
      </c>
      <c r="N1286" s="15" t="s">
        <v>8</v>
      </c>
      <c r="R1286" s="15" t="s">
        <v>8</v>
      </c>
      <c r="S1286" s="15" t="s">
        <v>8</v>
      </c>
      <c r="U1286" s="20" t="str">
        <f>HYPERLINK("http://yeinfo.com/family/I09066493.html", "Mrs. {_?_} DOTERINDE &lt;9&gt; 1280 EN-1302 EN ID:09066493")</f>
        <v>Mrs. {_?_} DOTERINDE &lt;9&gt; 1280 EN-1302 EN ID:09066493</v>
      </c>
      <c r="V1286" s="17"/>
      <c r="W1286" s="17"/>
      <c r="X1286" s="17"/>
      <c r="Y1286" s="17"/>
    </row>
    <row r="1287" spans="3:27" x14ac:dyDescent="0.35">
      <c r="C1287" s="15" t="s">
        <v>8</v>
      </c>
      <c r="D1287" s="15" t="s">
        <v>8</v>
      </c>
      <c r="H1287" s="15" t="s">
        <v>8</v>
      </c>
      <c r="K1287" s="15" t="s">
        <v>8</v>
      </c>
      <c r="L1287" s="15" t="s">
        <v>8</v>
      </c>
      <c r="M1287" s="15" t="s">
        <v>8</v>
      </c>
      <c r="N1287" s="15" t="s">
        <v>8</v>
      </c>
      <c r="R1287" s="8" t="s">
        <v>6</v>
      </c>
      <c r="S1287" s="15" t="s">
        <v>8</v>
      </c>
    </row>
    <row r="1288" spans="3:27" x14ac:dyDescent="0.35">
      <c r="C1288" s="15" t="s">
        <v>8</v>
      </c>
      <c r="D1288" s="15" t="s">
        <v>8</v>
      </c>
      <c r="H1288" s="15" t="s">
        <v>8</v>
      </c>
      <c r="K1288" s="15" t="s">
        <v>8</v>
      </c>
      <c r="L1288" s="15" t="s">
        <v>8</v>
      </c>
      <c r="M1288" s="15" t="s">
        <v>8</v>
      </c>
      <c r="N1288" s="15" t="s">
        <v>8</v>
      </c>
      <c r="R1288" s="20" t="str">
        <f>HYPERLINK("http://yeinfo.com/family/I09066785.html", "MARGERY TRAFFORD &lt;2&gt; 1462 EN-1549 EN ID:09066838")</f>
        <v>MARGERY TRAFFORD &lt;2&gt; 1462 EN-1549 EN ID:09066838</v>
      </c>
      <c r="S1288" s="17"/>
      <c r="T1288" s="17"/>
      <c r="U1288" s="17"/>
      <c r="V1288" s="17"/>
    </row>
    <row r="1289" spans="3:27" x14ac:dyDescent="0.35">
      <c r="C1289" s="15" t="s">
        <v>8</v>
      </c>
      <c r="D1289" s="15" t="s">
        <v>8</v>
      </c>
      <c r="H1289" s="15" t="s">
        <v>8</v>
      </c>
      <c r="K1289" s="15" t="s">
        <v>8</v>
      </c>
      <c r="L1289" s="15" t="s">
        <v>8</v>
      </c>
      <c r="M1289" s="15" t="s">
        <v>8</v>
      </c>
      <c r="N1289" s="15" t="s">
        <v>8</v>
      </c>
      <c r="S1289" s="15" t="s">
        <v>8</v>
      </c>
    </row>
    <row r="1290" spans="3:27" x14ac:dyDescent="0.35">
      <c r="C1290" s="15" t="s">
        <v>8</v>
      </c>
      <c r="D1290" s="15" t="s">
        <v>8</v>
      </c>
      <c r="H1290" s="15" t="s">
        <v>8</v>
      </c>
      <c r="K1290" s="15" t="s">
        <v>8</v>
      </c>
      <c r="L1290" s="15" t="s">
        <v>8</v>
      </c>
      <c r="M1290" s="15" t="s">
        <v>8</v>
      </c>
      <c r="N1290" s="15" t="s">
        <v>8</v>
      </c>
      <c r="S1290" s="15" t="s">
        <v>8</v>
      </c>
      <c r="V1290" s="19" t="str">
        <f>HYPERLINK("http://yeinfo.com/family/I09066930.html", "ALFREDUS INCE I &lt;6&gt; 1265 EN-1290 EN ID:09066930")</f>
        <v>ALFREDUS INCE I &lt;6&gt; 1265 EN-1290 EN ID:09066930</v>
      </c>
      <c r="W1290" s="9"/>
      <c r="X1290" s="9"/>
      <c r="Y1290" s="9"/>
      <c r="Z1290" s="9"/>
    </row>
    <row r="1291" spans="3:27" x14ac:dyDescent="0.35">
      <c r="C1291" s="15" t="s">
        <v>8</v>
      </c>
      <c r="D1291" s="15" t="s">
        <v>8</v>
      </c>
      <c r="H1291" s="15" t="s">
        <v>8</v>
      </c>
      <c r="K1291" s="15" t="s">
        <v>8</v>
      </c>
      <c r="L1291" s="15" t="s">
        <v>8</v>
      </c>
      <c r="M1291" s="15" t="s">
        <v>8</v>
      </c>
      <c r="N1291" s="15" t="s">
        <v>8</v>
      </c>
      <c r="S1291" s="15" t="s">
        <v>8</v>
      </c>
      <c r="V1291" s="8" t="s">
        <v>3</v>
      </c>
    </row>
    <row r="1292" spans="3:27" x14ac:dyDescent="0.35">
      <c r="C1292" s="15" t="s">
        <v>8</v>
      </c>
      <c r="D1292" s="15" t="s">
        <v>8</v>
      </c>
      <c r="H1292" s="15" t="s">
        <v>8</v>
      </c>
      <c r="K1292" s="15" t="s">
        <v>8</v>
      </c>
      <c r="L1292" s="15" t="s">
        <v>8</v>
      </c>
      <c r="M1292" s="15" t="s">
        <v>8</v>
      </c>
      <c r="N1292" s="15" t="s">
        <v>8</v>
      </c>
      <c r="S1292" s="15" t="s">
        <v>8</v>
      </c>
      <c r="U1292" s="19" t="str">
        <f>HYPERLINK("http://yeinfo.com/family/I09066931.html", "RICHARD INCE I &lt;6&gt; 1290 EN-1333 EN ID:09066931")</f>
        <v>RICHARD INCE I &lt;6&gt; 1290 EN-1333 EN ID:09066931</v>
      </c>
      <c r="V1292" s="9"/>
      <c r="W1292" s="9"/>
      <c r="X1292" s="9"/>
      <c r="Y1292" s="9"/>
    </row>
    <row r="1293" spans="3:27" x14ac:dyDescent="0.35">
      <c r="C1293" s="15" t="s">
        <v>8</v>
      </c>
      <c r="D1293" s="15" t="s">
        <v>8</v>
      </c>
      <c r="H1293" s="15" t="s">
        <v>8</v>
      </c>
      <c r="K1293" s="15" t="s">
        <v>8</v>
      </c>
      <c r="L1293" s="15" t="s">
        <v>8</v>
      </c>
      <c r="M1293" s="15" t="s">
        <v>8</v>
      </c>
      <c r="N1293" s="15" t="s">
        <v>8</v>
      </c>
      <c r="S1293" s="15" t="s">
        <v>8</v>
      </c>
      <c r="U1293" s="8" t="s">
        <v>3</v>
      </c>
      <c r="V1293" s="8" t="s">
        <v>6</v>
      </c>
    </row>
    <row r="1294" spans="3:27" x14ac:dyDescent="0.35">
      <c r="C1294" s="15" t="s">
        <v>8</v>
      </c>
      <c r="D1294" s="15" t="s">
        <v>8</v>
      </c>
      <c r="H1294" s="15" t="s">
        <v>8</v>
      </c>
      <c r="K1294" s="15" t="s">
        <v>8</v>
      </c>
      <c r="L1294" s="15" t="s">
        <v>8</v>
      </c>
      <c r="M1294" s="15" t="s">
        <v>8</v>
      </c>
      <c r="N1294" s="15" t="s">
        <v>8</v>
      </c>
      <c r="S1294" s="15" t="s">
        <v>8</v>
      </c>
      <c r="U1294" s="15" t="s">
        <v>8</v>
      </c>
      <c r="V1294" s="20" t="str">
        <f>HYPERLINK("http://yeinfo.com/family/I09066976.html", "ALICE\ALESIA STANDISH &lt;6&gt; 1262 EN-1290 EN ID:09066976")</f>
        <v>ALICE\ALESIA STANDISH &lt;6&gt; 1262 EN-1290 EN ID:09066976</v>
      </c>
      <c r="W1294" s="17"/>
      <c r="X1294" s="17"/>
      <c r="Y1294" s="17"/>
      <c r="Z1294" s="17"/>
      <c r="AA1294" s="17"/>
    </row>
    <row r="1295" spans="3:27" x14ac:dyDescent="0.35">
      <c r="C1295" s="15" t="s">
        <v>8</v>
      </c>
      <c r="D1295" s="15" t="s">
        <v>8</v>
      </c>
      <c r="H1295" s="15" t="s">
        <v>8</v>
      </c>
      <c r="K1295" s="15" t="s">
        <v>8</v>
      </c>
      <c r="L1295" s="15" t="s">
        <v>8</v>
      </c>
      <c r="M1295" s="15" t="s">
        <v>8</v>
      </c>
      <c r="N1295" s="15" t="s">
        <v>8</v>
      </c>
      <c r="S1295" s="15" t="s">
        <v>8</v>
      </c>
      <c r="U1295" s="15" t="s">
        <v>8</v>
      </c>
    </row>
    <row r="1296" spans="3:27" x14ac:dyDescent="0.35">
      <c r="C1296" s="15" t="s">
        <v>8</v>
      </c>
      <c r="D1296" s="15" t="s">
        <v>8</v>
      </c>
      <c r="H1296" s="15" t="s">
        <v>8</v>
      </c>
      <c r="K1296" s="15" t="s">
        <v>8</v>
      </c>
      <c r="L1296" s="15" t="s">
        <v>8</v>
      </c>
      <c r="M1296" s="15" t="s">
        <v>8</v>
      </c>
      <c r="N1296" s="15" t="s">
        <v>8</v>
      </c>
      <c r="S1296" s="15" t="s">
        <v>8</v>
      </c>
      <c r="T1296" s="19" t="str">
        <f>HYPERLINK("http://yeinfo.com/family/I09066933.html", "ROBERT INCE &lt;6&gt; 1304 EN-1335 EN ID:09066933")</f>
        <v>ROBERT INCE &lt;6&gt; 1304 EN-1335 EN ID:09066933</v>
      </c>
      <c r="U1296" s="9"/>
      <c r="V1296" s="9"/>
      <c r="W1296" s="9"/>
      <c r="X1296" s="9"/>
    </row>
    <row r="1297" spans="3:29" x14ac:dyDescent="0.35">
      <c r="C1297" s="15" t="s">
        <v>8</v>
      </c>
      <c r="D1297" s="15" t="s">
        <v>8</v>
      </c>
      <c r="H1297" s="15" t="s">
        <v>8</v>
      </c>
      <c r="K1297" s="15" t="s">
        <v>8</v>
      </c>
      <c r="L1297" s="15" t="s">
        <v>8</v>
      </c>
      <c r="M1297" s="15" t="s">
        <v>8</v>
      </c>
      <c r="N1297" s="15" t="s">
        <v>8</v>
      </c>
      <c r="S1297" s="15" t="s">
        <v>8</v>
      </c>
      <c r="T1297" s="8" t="s">
        <v>3</v>
      </c>
      <c r="U1297" s="15" t="s">
        <v>8</v>
      </c>
    </row>
    <row r="1298" spans="3:29" x14ac:dyDescent="0.35">
      <c r="C1298" s="15" t="s">
        <v>8</v>
      </c>
      <c r="D1298" s="15" t="s">
        <v>8</v>
      </c>
      <c r="H1298" s="15" t="s">
        <v>8</v>
      </c>
      <c r="K1298" s="15" t="s">
        <v>8</v>
      </c>
      <c r="L1298" s="15" t="s">
        <v>8</v>
      </c>
      <c r="M1298" s="15" t="s">
        <v>8</v>
      </c>
      <c r="N1298" s="15" t="s">
        <v>8</v>
      </c>
      <c r="S1298" s="15" t="s">
        <v>8</v>
      </c>
      <c r="T1298" s="15" t="s">
        <v>8</v>
      </c>
      <c r="U1298" s="15" t="s">
        <v>8</v>
      </c>
      <c r="X1298" s="19" t="str">
        <f>HYPERLINK("http://yeinfo.com/family/I09066959.html", "ROBERT RADCLIFFE &lt;A&gt; 1208 EN-1239 EN ID:09066959")</f>
        <v>ROBERT RADCLIFFE &lt;A&gt; 1208 EN-1239 EN ID:09066959</v>
      </c>
      <c r="Y1298" s="9"/>
      <c r="Z1298" s="9"/>
      <c r="AA1298" s="9"/>
      <c r="AB1298" s="9"/>
    </row>
    <row r="1299" spans="3:29" x14ac:dyDescent="0.35">
      <c r="C1299" s="15" t="s">
        <v>8</v>
      </c>
      <c r="D1299" s="15" t="s">
        <v>8</v>
      </c>
      <c r="H1299" s="15" t="s">
        <v>8</v>
      </c>
      <c r="K1299" s="15" t="s">
        <v>8</v>
      </c>
      <c r="L1299" s="15" t="s">
        <v>8</v>
      </c>
      <c r="M1299" s="15" t="s">
        <v>8</v>
      </c>
      <c r="N1299" s="15" t="s">
        <v>8</v>
      </c>
      <c r="S1299" s="15" t="s">
        <v>8</v>
      </c>
      <c r="T1299" s="15" t="s">
        <v>8</v>
      </c>
      <c r="U1299" s="15" t="s">
        <v>8</v>
      </c>
      <c r="X1299" s="8" t="s">
        <v>3</v>
      </c>
    </row>
    <row r="1300" spans="3:29" x14ac:dyDescent="0.35">
      <c r="C1300" s="15" t="s">
        <v>8</v>
      </c>
      <c r="D1300" s="15" t="s">
        <v>8</v>
      </c>
      <c r="H1300" s="15" t="s">
        <v>8</v>
      </c>
      <c r="K1300" s="15" t="s">
        <v>8</v>
      </c>
      <c r="L1300" s="15" t="s">
        <v>8</v>
      </c>
      <c r="M1300" s="15" t="s">
        <v>8</v>
      </c>
      <c r="N1300" s="15" t="s">
        <v>8</v>
      </c>
      <c r="S1300" s="15" t="s">
        <v>8</v>
      </c>
      <c r="T1300" s="15" t="s">
        <v>8</v>
      </c>
      <c r="U1300" s="15" t="s">
        <v>8</v>
      </c>
      <c r="W1300" s="19" t="str">
        <f>HYPERLINK("http://yeinfo.com/family/I09066960.html", "RICHARD RADCLIFFE &lt;A&gt; 1224 EN-1326 EN ID:09066960")</f>
        <v>RICHARD RADCLIFFE &lt;A&gt; 1224 EN-1326 EN ID:09066960</v>
      </c>
      <c r="X1300" s="9"/>
      <c r="Y1300" s="9"/>
      <c r="Z1300" s="9"/>
      <c r="AA1300" s="9"/>
    </row>
    <row r="1301" spans="3:29" x14ac:dyDescent="0.35">
      <c r="C1301" s="15" t="s">
        <v>8</v>
      </c>
      <c r="D1301" s="15" t="s">
        <v>8</v>
      </c>
      <c r="H1301" s="15" t="s">
        <v>8</v>
      </c>
      <c r="K1301" s="15" t="s">
        <v>8</v>
      </c>
      <c r="L1301" s="15" t="s">
        <v>8</v>
      </c>
      <c r="M1301" s="15" t="s">
        <v>8</v>
      </c>
      <c r="N1301" s="15" t="s">
        <v>8</v>
      </c>
      <c r="S1301" s="15" t="s">
        <v>8</v>
      </c>
      <c r="T1301" s="15" t="s">
        <v>8</v>
      </c>
      <c r="U1301" s="15" t="s">
        <v>8</v>
      </c>
      <c r="W1301" s="8" t="s">
        <v>3</v>
      </c>
      <c r="X1301" s="8" t="s">
        <v>6</v>
      </c>
    </row>
    <row r="1302" spans="3:29" x14ac:dyDescent="0.35">
      <c r="C1302" s="15" t="s">
        <v>8</v>
      </c>
      <c r="D1302" s="15" t="s">
        <v>8</v>
      </c>
      <c r="H1302" s="15" t="s">
        <v>8</v>
      </c>
      <c r="K1302" s="15" t="s">
        <v>8</v>
      </c>
      <c r="L1302" s="15" t="s">
        <v>8</v>
      </c>
      <c r="M1302" s="15" t="s">
        <v>8</v>
      </c>
      <c r="N1302" s="15" t="s">
        <v>8</v>
      </c>
      <c r="S1302" s="15" t="s">
        <v>8</v>
      </c>
      <c r="T1302" s="15" t="s">
        <v>8</v>
      </c>
      <c r="U1302" s="15" t="s">
        <v>8</v>
      </c>
      <c r="W1302" s="15" t="s">
        <v>8</v>
      </c>
      <c r="X1302" s="20" t="str">
        <f>HYPERLINK("http://yeinfo.com/family/I09066988.html", "AMBIL\AMABIL TRAFFORD &lt;A&gt; 1222 EN-1239 EN ID:09066988")</f>
        <v>AMBIL\AMABIL TRAFFORD &lt;A&gt; 1222 EN-1239 EN ID:09066988</v>
      </c>
      <c r="Y1302" s="17"/>
      <c r="Z1302" s="17"/>
      <c r="AA1302" s="17"/>
      <c r="AB1302" s="17"/>
      <c r="AC1302" s="17"/>
    </row>
    <row r="1303" spans="3:29" x14ac:dyDescent="0.35">
      <c r="C1303" s="15" t="s">
        <v>8</v>
      </c>
      <c r="D1303" s="15" t="s">
        <v>8</v>
      </c>
      <c r="H1303" s="15" t="s">
        <v>8</v>
      </c>
      <c r="K1303" s="15" t="s">
        <v>8</v>
      </c>
      <c r="L1303" s="15" t="s">
        <v>8</v>
      </c>
      <c r="M1303" s="15" t="s">
        <v>8</v>
      </c>
      <c r="N1303" s="15" t="s">
        <v>8</v>
      </c>
      <c r="S1303" s="15" t="s">
        <v>8</v>
      </c>
      <c r="T1303" s="15" t="s">
        <v>8</v>
      </c>
      <c r="U1303" s="15" t="s">
        <v>8</v>
      </c>
      <c r="W1303" s="15" t="s">
        <v>8</v>
      </c>
    </row>
    <row r="1304" spans="3:29" x14ac:dyDescent="0.35">
      <c r="C1304" s="15" t="s">
        <v>8</v>
      </c>
      <c r="D1304" s="15" t="s">
        <v>8</v>
      </c>
      <c r="H1304" s="15" t="s">
        <v>8</v>
      </c>
      <c r="K1304" s="15" t="s">
        <v>8</v>
      </c>
      <c r="L1304" s="15" t="s">
        <v>8</v>
      </c>
      <c r="M1304" s="15" t="s">
        <v>8</v>
      </c>
      <c r="N1304" s="15" t="s">
        <v>8</v>
      </c>
      <c r="S1304" s="15" t="s">
        <v>8</v>
      </c>
      <c r="T1304" s="15" t="s">
        <v>8</v>
      </c>
      <c r="U1304" s="15" t="s">
        <v>8</v>
      </c>
      <c r="V1304" s="19" t="str">
        <f>HYPERLINK("http://yeinfo.com/family/I09066961.html", "WILLIAM RADCLIFFE &lt;8&gt; 1267 EN-1333 EN ID:09066961")</f>
        <v>WILLIAM RADCLIFFE &lt;8&gt; 1267 EN-1333 EN ID:09066961</v>
      </c>
      <c r="W1304" s="9"/>
      <c r="X1304" s="9"/>
      <c r="Y1304" s="9"/>
      <c r="Z1304" s="9"/>
    </row>
    <row r="1305" spans="3:29" x14ac:dyDescent="0.35">
      <c r="C1305" s="15" t="s">
        <v>8</v>
      </c>
      <c r="D1305" s="15" t="s">
        <v>8</v>
      </c>
      <c r="H1305" s="15" t="s">
        <v>8</v>
      </c>
      <c r="K1305" s="15" t="s">
        <v>8</v>
      </c>
      <c r="L1305" s="15" t="s">
        <v>8</v>
      </c>
      <c r="M1305" s="15" t="s">
        <v>8</v>
      </c>
      <c r="N1305" s="15" t="s">
        <v>8</v>
      </c>
      <c r="S1305" s="15" t="s">
        <v>8</v>
      </c>
      <c r="T1305" s="15" t="s">
        <v>8</v>
      </c>
      <c r="U1305" s="15" t="s">
        <v>8</v>
      </c>
      <c r="V1305" s="8" t="s">
        <v>3</v>
      </c>
      <c r="W1305" s="15" t="s">
        <v>8</v>
      </c>
    </row>
    <row r="1306" spans="3:29" x14ac:dyDescent="0.35">
      <c r="C1306" s="15" t="s">
        <v>8</v>
      </c>
      <c r="D1306" s="15" t="s">
        <v>8</v>
      </c>
      <c r="H1306" s="15" t="s">
        <v>8</v>
      </c>
      <c r="K1306" s="15" t="s">
        <v>8</v>
      </c>
      <c r="L1306" s="15" t="s">
        <v>8</v>
      </c>
      <c r="M1306" s="15" t="s">
        <v>8</v>
      </c>
      <c r="N1306" s="15" t="s">
        <v>8</v>
      </c>
      <c r="S1306" s="15" t="s">
        <v>8</v>
      </c>
      <c r="T1306" s="15" t="s">
        <v>8</v>
      </c>
      <c r="U1306" s="15" t="s">
        <v>8</v>
      </c>
      <c r="V1306" s="15" t="s">
        <v>8</v>
      </c>
      <c r="W1306" s="15" t="s">
        <v>8</v>
      </c>
      <c r="X1306" s="19" t="str">
        <f>HYPERLINK("http://yeinfo.com/family/I09066877.html", "HENRY\WILLIAM\ROBERT BOTELER &lt;A&gt; 1230 EN-1247 EN ID:09066877")</f>
        <v>HENRY\WILLIAM\ROBERT BOTELER &lt;A&gt; 1230 EN-1247 EN ID:09066877</v>
      </c>
      <c r="Y1306" s="9"/>
      <c r="Z1306" s="9"/>
      <c r="AA1306" s="9"/>
      <c r="AB1306" s="9"/>
      <c r="AC1306" s="9"/>
    </row>
    <row r="1307" spans="3:29" x14ac:dyDescent="0.35">
      <c r="C1307" s="15" t="s">
        <v>8</v>
      </c>
      <c r="D1307" s="15" t="s">
        <v>8</v>
      </c>
      <c r="H1307" s="15" t="s">
        <v>8</v>
      </c>
      <c r="K1307" s="15" t="s">
        <v>8</v>
      </c>
      <c r="L1307" s="15" t="s">
        <v>8</v>
      </c>
      <c r="M1307" s="15" t="s">
        <v>8</v>
      </c>
      <c r="N1307" s="15" t="s">
        <v>8</v>
      </c>
      <c r="S1307" s="15" t="s">
        <v>8</v>
      </c>
      <c r="T1307" s="15" t="s">
        <v>8</v>
      </c>
      <c r="U1307" s="15" t="s">
        <v>8</v>
      </c>
      <c r="V1307" s="15" t="s">
        <v>8</v>
      </c>
      <c r="W1307" s="8" t="s">
        <v>6</v>
      </c>
      <c r="X1307" s="8" t="s">
        <v>3</v>
      </c>
    </row>
    <row r="1308" spans="3:29" x14ac:dyDescent="0.35">
      <c r="C1308" s="15" t="s">
        <v>8</v>
      </c>
      <c r="D1308" s="15" t="s">
        <v>8</v>
      </c>
      <c r="H1308" s="15" t="s">
        <v>8</v>
      </c>
      <c r="K1308" s="15" t="s">
        <v>8</v>
      </c>
      <c r="L1308" s="15" t="s">
        <v>8</v>
      </c>
      <c r="M1308" s="15" t="s">
        <v>8</v>
      </c>
      <c r="N1308" s="15" t="s">
        <v>8</v>
      </c>
      <c r="S1308" s="15" t="s">
        <v>8</v>
      </c>
      <c r="T1308" s="15" t="s">
        <v>8</v>
      </c>
      <c r="U1308" s="15" t="s">
        <v>8</v>
      </c>
      <c r="V1308" s="15" t="s">
        <v>8</v>
      </c>
      <c r="W1308" s="20" t="str">
        <f>HYPERLINK("http://yeinfo.com/family/I09066878.html", "JOAN\MARGARET BOTELER &lt;A&gt; 1232 EN-1267 EN ID:09066878")</f>
        <v>JOAN\MARGARET BOTELER &lt;A&gt; 1232 EN-1267 EN ID:09066878</v>
      </c>
      <c r="X1308" s="17"/>
      <c r="Y1308" s="17"/>
      <c r="Z1308" s="17"/>
      <c r="AA1308" s="17"/>
      <c r="AB1308" s="17"/>
    </row>
    <row r="1309" spans="3:29" x14ac:dyDescent="0.35">
      <c r="C1309" s="15" t="s">
        <v>8</v>
      </c>
      <c r="D1309" s="15" t="s">
        <v>8</v>
      </c>
      <c r="H1309" s="15" t="s">
        <v>8</v>
      </c>
      <c r="K1309" s="15" t="s">
        <v>8</v>
      </c>
      <c r="L1309" s="15" t="s">
        <v>8</v>
      </c>
      <c r="M1309" s="15" t="s">
        <v>8</v>
      </c>
      <c r="N1309" s="15" t="s">
        <v>8</v>
      </c>
      <c r="S1309" s="15" t="s">
        <v>8</v>
      </c>
      <c r="T1309" s="15" t="s">
        <v>8</v>
      </c>
      <c r="U1309" s="15" t="s">
        <v>8</v>
      </c>
      <c r="V1309" s="15" t="s">
        <v>8</v>
      </c>
      <c r="X1309" s="8" t="s">
        <v>6</v>
      </c>
    </row>
    <row r="1310" spans="3:29" x14ac:dyDescent="0.35">
      <c r="C1310" s="15" t="s">
        <v>8</v>
      </c>
      <c r="D1310" s="15" t="s">
        <v>8</v>
      </c>
      <c r="H1310" s="15" t="s">
        <v>8</v>
      </c>
      <c r="K1310" s="15" t="s">
        <v>8</v>
      </c>
      <c r="L1310" s="15" t="s">
        <v>8</v>
      </c>
      <c r="M1310" s="15" t="s">
        <v>8</v>
      </c>
      <c r="N1310" s="15" t="s">
        <v>8</v>
      </c>
      <c r="S1310" s="15" t="s">
        <v>8</v>
      </c>
      <c r="T1310" s="15" t="s">
        <v>8</v>
      </c>
      <c r="U1310" s="15" t="s">
        <v>8</v>
      </c>
      <c r="V1310" s="15" t="s">
        <v>8</v>
      </c>
      <c r="X1310" s="20" t="str">
        <f>HYPERLINK("http://yeinfo.com/family/I09066876.html", "Mrs. ISABELLA BOTELER &lt;A&gt; 1227 EN-1247 EN ID:09066876")</f>
        <v>Mrs. ISABELLA BOTELER &lt;A&gt; 1227 EN-1247 EN ID:09066876</v>
      </c>
      <c r="Y1310" s="17"/>
      <c r="Z1310" s="17"/>
      <c r="AA1310" s="17"/>
      <c r="AB1310" s="17"/>
    </row>
    <row r="1311" spans="3:29" x14ac:dyDescent="0.35">
      <c r="C1311" s="15" t="s">
        <v>8</v>
      </c>
      <c r="D1311" s="15" t="s">
        <v>8</v>
      </c>
      <c r="H1311" s="15" t="s">
        <v>8</v>
      </c>
      <c r="K1311" s="15" t="s">
        <v>8</v>
      </c>
      <c r="L1311" s="15" t="s">
        <v>8</v>
      </c>
      <c r="M1311" s="15" t="s">
        <v>8</v>
      </c>
      <c r="N1311" s="15" t="s">
        <v>8</v>
      </c>
      <c r="S1311" s="15" t="s">
        <v>8</v>
      </c>
      <c r="T1311" s="15" t="s">
        <v>8</v>
      </c>
      <c r="U1311" s="8" t="s">
        <v>6</v>
      </c>
      <c r="V1311" s="15" t="s">
        <v>8</v>
      </c>
    </row>
    <row r="1312" spans="3:29" x14ac:dyDescent="0.35">
      <c r="C1312" s="15" t="s">
        <v>8</v>
      </c>
      <c r="D1312" s="15" t="s">
        <v>8</v>
      </c>
      <c r="H1312" s="15" t="s">
        <v>8</v>
      </c>
      <c r="K1312" s="15" t="s">
        <v>8</v>
      </c>
      <c r="L1312" s="15" t="s">
        <v>8</v>
      </c>
      <c r="M1312" s="15" t="s">
        <v>8</v>
      </c>
      <c r="N1312" s="15" t="s">
        <v>8</v>
      </c>
      <c r="S1312" s="15" t="s">
        <v>8</v>
      </c>
      <c r="T1312" s="15" t="s">
        <v>8</v>
      </c>
      <c r="U1312" s="20" t="str">
        <f>HYPERLINK("http://yeinfo.com/family/I09066963.html", "ELIZABETH RADCLIFFE &lt;6&gt; 1290 EN-1310 EN ID:09066963")</f>
        <v>ELIZABETH RADCLIFFE &lt;6&gt; 1290 EN-1310 EN ID:09066963</v>
      </c>
      <c r="V1312" s="17"/>
      <c r="W1312" s="17"/>
      <c r="X1312" s="17"/>
      <c r="Y1312" s="17"/>
    </row>
    <row r="1313" spans="3:28" x14ac:dyDescent="0.35">
      <c r="C1313" s="15" t="s">
        <v>8</v>
      </c>
      <c r="D1313" s="15" t="s">
        <v>8</v>
      </c>
      <c r="H1313" s="15" t="s">
        <v>8</v>
      </c>
      <c r="K1313" s="15" t="s">
        <v>8</v>
      </c>
      <c r="L1313" s="15" t="s">
        <v>8</v>
      </c>
      <c r="M1313" s="15" t="s">
        <v>8</v>
      </c>
      <c r="N1313" s="15" t="s">
        <v>8</v>
      </c>
      <c r="S1313" s="15" t="s">
        <v>8</v>
      </c>
      <c r="T1313" s="15" t="s">
        <v>8</v>
      </c>
      <c r="V1313" s="15" t="s">
        <v>8</v>
      </c>
    </row>
    <row r="1314" spans="3:28" x14ac:dyDescent="0.35">
      <c r="C1314" s="15" t="s">
        <v>8</v>
      </c>
      <c r="D1314" s="15" t="s">
        <v>8</v>
      </c>
      <c r="H1314" s="15" t="s">
        <v>8</v>
      </c>
      <c r="K1314" s="15" t="s">
        <v>8</v>
      </c>
      <c r="L1314" s="15" t="s">
        <v>8</v>
      </c>
      <c r="M1314" s="15" t="s">
        <v>8</v>
      </c>
      <c r="N1314" s="15" t="s">
        <v>8</v>
      </c>
      <c r="S1314" s="15" t="s">
        <v>8</v>
      </c>
      <c r="T1314" s="15" t="s">
        <v>8</v>
      </c>
      <c r="V1314" s="15" t="s">
        <v>8</v>
      </c>
      <c r="W1314" s="19" t="str">
        <f>HYPERLINK("http://yeinfo.com/family/I09066956.html", "ADAM PEASFURLONG &lt;8&gt; 1242 EN-1274 EN ID:09066956")</f>
        <v>ADAM PEASFURLONG &lt;8&gt; 1242 EN-1274 EN ID:09066956</v>
      </c>
      <c r="X1314" s="9"/>
      <c r="Y1314" s="9"/>
      <c r="Z1314" s="9"/>
      <c r="AA1314" s="9"/>
    </row>
    <row r="1315" spans="3:28" x14ac:dyDescent="0.35">
      <c r="C1315" s="15" t="s">
        <v>8</v>
      </c>
      <c r="D1315" s="15" t="s">
        <v>8</v>
      </c>
      <c r="H1315" s="15" t="s">
        <v>8</v>
      </c>
      <c r="K1315" s="15" t="s">
        <v>8</v>
      </c>
      <c r="L1315" s="15" t="s">
        <v>8</v>
      </c>
      <c r="M1315" s="15" t="s">
        <v>8</v>
      </c>
      <c r="N1315" s="15" t="s">
        <v>8</v>
      </c>
      <c r="S1315" s="15" t="s">
        <v>8</v>
      </c>
      <c r="T1315" s="15" t="s">
        <v>8</v>
      </c>
      <c r="V1315" s="8" t="s">
        <v>6</v>
      </c>
      <c r="W1315" s="8" t="s">
        <v>3</v>
      </c>
    </row>
    <row r="1316" spans="3:28" x14ac:dyDescent="0.35">
      <c r="C1316" s="15" t="s">
        <v>8</v>
      </c>
      <c r="D1316" s="15" t="s">
        <v>8</v>
      </c>
      <c r="H1316" s="15" t="s">
        <v>8</v>
      </c>
      <c r="K1316" s="15" t="s">
        <v>8</v>
      </c>
      <c r="L1316" s="15" t="s">
        <v>8</v>
      </c>
      <c r="M1316" s="15" t="s">
        <v>8</v>
      </c>
      <c r="N1316" s="15" t="s">
        <v>8</v>
      </c>
      <c r="S1316" s="15" t="s">
        <v>8</v>
      </c>
      <c r="T1316" s="15" t="s">
        <v>8</v>
      </c>
      <c r="V1316" s="20" t="str">
        <f>HYPERLINK("http://yeinfo.com/family/I09066957.html", "MARGARET PEASFURLONG &lt;8&gt; 1244 EN-1290 EN ID:09066957")</f>
        <v>MARGARET PEASFURLONG &lt;8&gt; 1244 EN-1290 EN ID:09066957</v>
      </c>
      <c r="W1316" s="17"/>
      <c r="X1316" s="17"/>
      <c r="Y1316" s="17"/>
      <c r="Z1316" s="17"/>
    </row>
    <row r="1317" spans="3:28" x14ac:dyDescent="0.35">
      <c r="C1317" s="15" t="s">
        <v>8</v>
      </c>
      <c r="D1317" s="15" t="s">
        <v>8</v>
      </c>
      <c r="H1317" s="15" t="s">
        <v>8</v>
      </c>
      <c r="K1317" s="15" t="s">
        <v>8</v>
      </c>
      <c r="L1317" s="15" t="s">
        <v>8</v>
      </c>
      <c r="M1317" s="15" t="s">
        <v>8</v>
      </c>
      <c r="N1317" s="15" t="s">
        <v>8</v>
      </c>
      <c r="S1317" s="15" t="s">
        <v>8</v>
      </c>
      <c r="T1317" s="15" t="s">
        <v>8</v>
      </c>
      <c r="W1317" s="15" t="s">
        <v>8</v>
      </c>
    </row>
    <row r="1318" spans="3:28" x14ac:dyDescent="0.35">
      <c r="C1318" s="15" t="s">
        <v>8</v>
      </c>
      <c r="D1318" s="15" t="s">
        <v>8</v>
      </c>
      <c r="H1318" s="15" t="s">
        <v>8</v>
      </c>
      <c r="K1318" s="15" t="s">
        <v>8</v>
      </c>
      <c r="L1318" s="15" t="s">
        <v>8</v>
      </c>
      <c r="M1318" s="15" t="s">
        <v>8</v>
      </c>
      <c r="N1318" s="15" t="s">
        <v>8</v>
      </c>
      <c r="S1318" s="15" t="s">
        <v>8</v>
      </c>
      <c r="T1318" s="15" t="s">
        <v>8</v>
      </c>
      <c r="W1318" s="15" t="s">
        <v>8</v>
      </c>
      <c r="X1318" s="19" t="str">
        <f>HYPERLINK("http://yeinfo.com/family/I09066895.html", "GILBERT CULCHETH &lt;8&gt; 1205 EN-1246 EN ID:09066895")</f>
        <v>GILBERT CULCHETH &lt;8&gt; 1205 EN-1246 EN ID:09066895</v>
      </c>
      <c r="Y1318" s="9"/>
      <c r="Z1318" s="9"/>
      <c r="AA1318" s="9"/>
      <c r="AB1318" s="9"/>
    </row>
    <row r="1319" spans="3:28" x14ac:dyDescent="0.35">
      <c r="C1319" s="15" t="s">
        <v>8</v>
      </c>
      <c r="D1319" s="15" t="s">
        <v>8</v>
      </c>
      <c r="H1319" s="15" t="s">
        <v>8</v>
      </c>
      <c r="K1319" s="15" t="s">
        <v>8</v>
      </c>
      <c r="L1319" s="15" t="s">
        <v>8</v>
      </c>
      <c r="M1319" s="15" t="s">
        <v>8</v>
      </c>
      <c r="N1319" s="15" t="s">
        <v>8</v>
      </c>
      <c r="S1319" s="15" t="s">
        <v>8</v>
      </c>
      <c r="T1319" s="15" t="s">
        <v>8</v>
      </c>
      <c r="W1319" s="8" t="s">
        <v>6</v>
      </c>
      <c r="X1319" s="8" t="s">
        <v>3</v>
      </c>
    </row>
    <row r="1320" spans="3:28" x14ac:dyDescent="0.35">
      <c r="C1320" s="15" t="s">
        <v>8</v>
      </c>
      <c r="D1320" s="15" t="s">
        <v>8</v>
      </c>
      <c r="H1320" s="15" t="s">
        <v>8</v>
      </c>
      <c r="K1320" s="15" t="s">
        <v>8</v>
      </c>
      <c r="L1320" s="15" t="s">
        <v>8</v>
      </c>
      <c r="M1320" s="15" t="s">
        <v>8</v>
      </c>
      <c r="N1320" s="15" t="s">
        <v>8</v>
      </c>
      <c r="S1320" s="15" t="s">
        <v>8</v>
      </c>
      <c r="T1320" s="15" t="s">
        <v>8</v>
      </c>
      <c r="W1320" s="20" t="str">
        <f>HYPERLINK("http://yeinfo.com/family/I09066896.html", "ELIZABETH CULCHETH &lt;8&gt; 1215 EN-1274 EN ID:09066896")</f>
        <v>ELIZABETH CULCHETH &lt;8&gt; 1215 EN-1274 EN ID:09066896</v>
      </c>
      <c r="X1320" s="17"/>
      <c r="Y1320" s="17"/>
      <c r="Z1320" s="17"/>
      <c r="AA1320" s="17"/>
    </row>
    <row r="1321" spans="3:28" x14ac:dyDescent="0.35">
      <c r="C1321" s="15" t="s">
        <v>8</v>
      </c>
      <c r="D1321" s="15" t="s">
        <v>8</v>
      </c>
      <c r="H1321" s="15" t="s">
        <v>8</v>
      </c>
      <c r="K1321" s="15" t="s">
        <v>8</v>
      </c>
      <c r="L1321" s="15" t="s">
        <v>8</v>
      </c>
      <c r="M1321" s="15" t="s">
        <v>8</v>
      </c>
      <c r="N1321" s="15" t="s">
        <v>8</v>
      </c>
      <c r="S1321" s="15" t="s">
        <v>8</v>
      </c>
      <c r="T1321" s="15" t="s">
        <v>8</v>
      </c>
      <c r="X1321" s="8" t="s">
        <v>6</v>
      </c>
    </row>
    <row r="1322" spans="3:28" x14ac:dyDescent="0.35">
      <c r="C1322" s="15" t="s">
        <v>8</v>
      </c>
      <c r="D1322" s="15" t="s">
        <v>8</v>
      </c>
      <c r="H1322" s="15" t="s">
        <v>8</v>
      </c>
      <c r="K1322" s="15" t="s">
        <v>8</v>
      </c>
      <c r="L1322" s="15" t="s">
        <v>8</v>
      </c>
      <c r="M1322" s="15" t="s">
        <v>8</v>
      </c>
      <c r="N1322" s="15" t="s">
        <v>8</v>
      </c>
      <c r="S1322" s="15" t="s">
        <v>8</v>
      </c>
      <c r="T1322" s="15" t="s">
        <v>8</v>
      </c>
      <c r="X1322" s="20" t="str">
        <f>HYPERLINK("http://yeinfo.com/family/I09066935.html", "CECILIA LATHOM &lt;8&gt; 1222 EN-1245 EN ID:09066935")</f>
        <v>CECILIA LATHOM &lt;8&gt; 1222 EN-1245 EN ID:09066935</v>
      </c>
      <c r="Y1322" s="17"/>
      <c r="Z1322" s="17"/>
      <c r="AA1322" s="17"/>
      <c r="AB1322" s="17"/>
    </row>
    <row r="1323" spans="3:28" x14ac:dyDescent="0.35">
      <c r="C1323" s="15" t="s">
        <v>8</v>
      </c>
      <c r="D1323" s="15" t="s">
        <v>8</v>
      </c>
      <c r="H1323" s="15" t="s">
        <v>8</v>
      </c>
      <c r="K1323" s="15" t="s">
        <v>8</v>
      </c>
      <c r="L1323" s="15" t="s">
        <v>8</v>
      </c>
      <c r="M1323" s="15" t="s">
        <v>8</v>
      </c>
      <c r="N1323" s="15" t="s">
        <v>8</v>
      </c>
      <c r="S1323" s="8" t="s">
        <v>6</v>
      </c>
      <c r="T1323" s="15" t="s">
        <v>8</v>
      </c>
    </row>
    <row r="1324" spans="3:28" x14ac:dyDescent="0.35">
      <c r="C1324" s="15" t="s">
        <v>8</v>
      </c>
      <c r="D1324" s="15" t="s">
        <v>8</v>
      </c>
      <c r="H1324" s="15" t="s">
        <v>8</v>
      </c>
      <c r="K1324" s="15" t="s">
        <v>8</v>
      </c>
      <c r="L1324" s="15" t="s">
        <v>8</v>
      </c>
      <c r="M1324" s="15" t="s">
        <v>8</v>
      </c>
      <c r="N1324" s="15" t="s">
        <v>8</v>
      </c>
      <c r="S1324" s="20" t="str">
        <f>HYPERLINK("http://yeinfo.com/family/I09066934.html", "MARGARET INCE &lt;6&gt; 1330 EN-1417 EN ID:09066934")</f>
        <v>MARGARET INCE &lt;6&gt; 1330 EN-1417 EN ID:09066934</v>
      </c>
      <c r="T1324" s="17"/>
      <c r="U1324" s="17"/>
      <c r="V1324" s="17"/>
      <c r="W1324" s="17"/>
    </row>
    <row r="1325" spans="3:28" x14ac:dyDescent="0.35">
      <c r="C1325" s="15" t="s">
        <v>8</v>
      </c>
      <c r="D1325" s="15" t="s">
        <v>8</v>
      </c>
      <c r="H1325" s="15" t="s">
        <v>8</v>
      </c>
      <c r="K1325" s="15" t="s">
        <v>8</v>
      </c>
      <c r="L1325" s="15" t="s">
        <v>8</v>
      </c>
      <c r="M1325" s="15" t="s">
        <v>8</v>
      </c>
      <c r="N1325" s="15" t="s">
        <v>8</v>
      </c>
      <c r="T1325" s="8" t="s">
        <v>6</v>
      </c>
    </row>
    <row r="1326" spans="3:28" x14ac:dyDescent="0.35">
      <c r="C1326" s="15" t="s">
        <v>8</v>
      </c>
      <c r="D1326" s="15" t="s">
        <v>8</v>
      </c>
      <c r="H1326" s="15" t="s">
        <v>8</v>
      </c>
      <c r="K1326" s="15" t="s">
        <v>8</v>
      </c>
      <c r="L1326" s="15" t="s">
        <v>8</v>
      </c>
      <c r="M1326" s="15" t="s">
        <v>8</v>
      </c>
      <c r="N1326" s="15" t="s">
        <v>8</v>
      </c>
      <c r="T1326" s="20" t="str">
        <f>HYPERLINK("http://yeinfo.com/family/I09066932.html", "Mrs. {_?_} INCE &lt;6&gt; 1310 -1335 EN ID:09066932")</f>
        <v>Mrs. {_?_} INCE &lt;6&gt; 1310 -1335 EN ID:09066932</v>
      </c>
      <c r="U1326" s="17"/>
      <c r="V1326" s="17"/>
      <c r="W1326" s="17"/>
      <c r="X1326" s="17"/>
    </row>
    <row r="1327" spans="3:28" x14ac:dyDescent="0.35">
      <c r="C1327" s="15" t="s">
        <v>8</v>
      </c>
      <c r="D1327" s="15" t="s">
        <v>8</v>
      </c>
      <c r="H1327" s="15" t="s">
        <v>8</v>
      </c>
      <c r="K1327" s="15" t="s">
        <v>8</v>
      </c>
      <c r="L1327" s="15" t="s">
        <v>8</v>
      </c>
      <c r="M1327" s="8" t="s">
        <v>6</v>
      </c>
      <c r="N1327" s="15" t="s">
        <v>8</v>
      </c>
    </row>
    <row r="1328" spans="3:28" x14ac:dyDescent="0.35">
      <c r="C1328" s="15" t="s">
        <v>8</v>
      </c>
      <c r="D1328" s="15" t="s">
        <v>8</v>
      </c>
      <c r="H1328" s="15" t="s">
        <v>8</v>
      </c>
      <c r="K1328" s="15" t="s">
        <v>8</v>
      </c>
      <c r="L1328" s="15" t="s">
        <v>8</v>
      </c>
      <c r="M1328" s="22" t="str">
        <f>HYPERLINK("http://yeinfo.com/family/I09005177.html", "ANNE BARLOW &lt;2&gt; 1631 EN-1663 CT ID:09002589")</f>
        <v>ANNE BARLOW &lt;2&gt; 1631 EN-1663 CT ID:09002589</v>
      </c>
      <c r="N1328" s="13"/>
      <c r="O1328" s="13"/>
      <c r="P1328" s="13"/>
      <c r="Q1328" s="13"/>
    </row>
    <row r="1329" spans="3:21" x14ac:dyDescent="0.35">
      <c r="C1329" s="15" t="s">
        <v>8</v>
      </c>
      <c r="D1329" s="15" t="s">
        <v>8</v>
      </c>
      <c r="H1329" s="15" t="s">
        <v>8</v>
      </c>
      <c r="K1329" s="15" t="s">
        <v>8</v>
      </c>
      <c r="L1329" s="15" t="s">
        <v>8</v>
      </c>
      <c r="N1329" s="8" t="s">
        <v>6</v>
      </c>
    </row>
    <row r="1330" spans="3:21" x14ac:dyDescent="0.35">
      <c r="C1330" s="15" t="s">
        <v>8</v>
      </c>
      <c r="D1330" s="15" t="s">
        <v>8</v>
      </c>
      <c r="H1330" s="15" t="s">
        <v>8</v>
      </c>
      <c r="K1330" s="15" t="s">
        <v>8</v>
      </c>
      <c r="L1330" s="15" t="s">
        <v>8</v>
      </c>
      <c r="N1330" s="22" t="str">
        <f>HYPERLINK("http://yeinfo.com/family/I09066838.html", "ANN WARD &lt;2&gt; 1604 EN-1685 CT ID:09005179")</f>
        <v>ANN WARD &lt;2&gt; 1604 EN-1685 CT ID:09005179</v>
      </c>
      <c r="O1330" s="13"/>
      <c r="P1330" s="13"/>
      <c r="Q1330" s="13"/>
      <c r="R1330" s="13"/>
    </row>
    <row r="1331" spans="3:21" x14ac:dyDescent="0.35">
      <c r="C1331" s="15" t="s">
        <v>8</v>
      </c>
      <c r="D1331" s="15" t="s">
        <v>8</v>
      </c>
      <c r="H1331" s="15" t="s">
        <v>8</v>
      </c>
      <c r="K1331" s="8" t="s">
        <v>6</v>
      </c>
      <c r="L1331" s="15" t="s">
        <v>8</v>
      </c>
    </row>
    <row r="1332" spans="3:21" x14ac:dyDescent="0.35">
      <c r="C1332" s="15" t="s">
        <v>8</v>
      </c>
      <c r="D1332" s="15" t="s">
        <v>8</v>
      </c>
      <c r="H1332" s="15" t="s">
        <v>8</v>
      </c>
      <c r="K1332" s="16" t="str">
        <f>HYPERLINK("http://yeinfo.com/family/I09010351.html", "MARY DRAKE &lt;2&gt; 1691 NY-1757 NY ID:09000647")</f>
        <v>MARY DRAKE &lt;2&gt; 1691 NY-1757 NY ID:09000647</v>
      </c>
      <c r="L1332" s="11"/>
      <c r="M1332" s="11"/>
      <c r="N1332" s="11"/>
      <c r="O1332" s="11"/>
    </row>
    <row r="1333" spans="3:21" x14ac:dyDescent="0.35">
      <c r="C1333" s="15" t="s">
        <v>8</v>
      </c>
      <c r="D1333" s="15" t="s">
        <v>8</v>
      </c>
      <c r="H1333" s="15" t="s">
        <v>8</v>
      </c>
      <c r="L1333" s="15" t="s">
        <v>8</v>
      </c>
    </row>
    <row r="1334" spans="3:21" x14ac:dyDescent="0.35">
      <c r="C1334" s="15" t="s">
        <v>8</v>
      </c>
      <c r="D1334" s="15" t="s">
        <v>8</v>
      </c>
      <c r="H1334" s="15" t="s">
        <v>8</v>
      </c>
      <c r="L1334" s="15" t="s">
        <v>8</v>
      </c>
      <c r="N1334" s="21" t="str">
        <f>HYPERLINK("http://yeinfo.com/family/I09002590.html", "THOMAS SHUTE &lt;2&gt; 1613 EN-1671 NY ID:09005180")</f>
        <v>THOMAS SHUTE &lt;2&gt; 1613 EN-1671 NY ID:09005180</v>
      </c>
      <c r="O1334" s="6"/>
      <c r="P1334" s="6"/>
      <c r="Q1334" s="6"/>
      <c r="R1334" s="6"/>
    </row>
    <row r="1335" spans="3:21" x14ac:dyDescent="0.35">
      <c r="C1335" s="15" t="s">
        <v>8</v>
      </c>
      <c r="D1335" s="15" t="s">
        <v>8</v>
      </c>
      <c r="H1335" s="15" t="s">
        <v>8</v>
      </c>
      <c r="L1335" s="15" t="s">
        <v>8</v>
      </c>
      <c r="N1335" s="8" t="s">
        <v>3</v>
      </c>
    </row>
    <row r="1336" spans="3:21" x14ac:dyDescent="0.35">
      <c r="C1336" s="15" t="s">
        <v>8</v>
      </c>
      <c r="D1336" s="15" t="s">
        <v>8</v>
      </c>
      <c r="H1336" s="15" t="s">
        <v>8</v>
      </c>
      <c r="L1336" s="15" t="s">
        <v>8</v>
      </c>
      <c r="M1336" s="5" t="str">
        <f>HYPERLINK("http://yeinfo.com/family/I09001295.html", "RICHARD SHUTE &lt;2&gt; 1635 NY-1675 NY ID:09002590")</f>
        <v>RICHARD SHUTE &lt;2&gt; 1635 NY-1675 NY ID:09002590</v>
      </c>
      <c r="N1336" s="3"/>
      <c r="O1336" s="3"/>
      <c r="P1336" s="3"/>
      <c r="Q1336" s="3"/>
    </row>
    <row r="1337" spans="3:21" x14ac:dyDescent="0.35">
      <c r="C1337" s="15" t="s">
        <v>8</v>
      </c>
      <c r="D1337" s="15" t="s">
        <v>8</v>
      </c>
      <c r="H1337" s="15" t="s">
        <v>8</v>
      </c>
      <c r="L1337" s="15" t="s">
        <v>8</v>
      </c>
      <c r="M1337" s="8" t="s">
        <v>3</v>
      </c>
      <c r="N1337" s="8" t="s">
        <v>6</v>
      </c>
    </row>
    <row r="1338" spans="3:21" x14ac:dyDescent="0.35">
      <c r="C1338" s="15" t="s">
        <v>8</v>
      </c>
      <c r="D1338" s="15" t="s">
        <v>8</v>
      </c>
      <c r="H1338" s="15" t="s">
        <v>8</v>
      </c>
      <c r="L1338" s="15" t="s">
        <v>8</v>
      </c>
      <c r="M1338" s="15" t="s">
        <v>8</v>
      </c>
      <c r="N1338" s="22" t="str">
        <f>HYPERLINK("http://yeinfo.com/family/I09005180.html", "SARAH MEADOWS &lt;2&gt; 1615 EN-1635 NY ID:09005181")</f>
        <v>SARAH MEADOWS &lt;2&gt; 1615 EN-1635 NY ID:09005181</v>
      </c>
      <c r="O1338" s="13"/>
      <c r="P1338" s="13"/>
      <c r="Q1338" s="13"/>
      <c r="R1338" s="13"/>
    </row>
    <row r="1339" spans="3:21" x14ac:dyDescent="0.35">
      <c r="C1339" s="15" t="s">
        <v>8</v>
      </c>
      <c r="D1339" s="15" t="s">
        <v>8</v>
      </c>
      <c r="H1339" s="15" t="s">
        <v>8</v>
      </c>
      <c r="L1339" s="8" t="s">
        <v>6</v>
      </c>
      <c r="M1339" s="15" t="s">
        <v>8</v>
      </c>
    </row>
    <row r="1340" spans="3:21" x14ac:dyDescent="0.35">
      <c r="C1340" s="15" t="s">
        <v>8</v>
      </c>
      <c r="D1340" s="15" t="s">
        <v>8</v>
      </c>
      <c r="H1340" s="15" t="s">
        <v>8</v>
      </c>
      <c r="L1340" s="16" t="str">
        <f>HYPERLINK("http://yeinfo.com/family/I09005179.html", "MARY SARAH SHUTE &lt;2&gt; 1667 NY-1731 NY ID:09001295")</f>
        <v>MARY SARAH SHUTE &lt;2&gt; 1667 NY-1731 NY ID:09001295</v>
      </c>
      <c r="M1340" s="11"/>
      <c r="N1340" s="11"/>
      <c r="O1340" s="11"/>
      <c r="P1340" s="11"/>
    </row>
    <row r="1341" spans="3:21" x14ac:dyDescent="0.35">
      <c r="C1341" s="15" t="s">
        <v>8</v>
      </c>
      <c r="D1341" s="15" t="s">
        <v>8</v>
      </c>
      <c r="H1341" s="15" t="s">
        <v>8</v>
      </c>
      <c r="M1341" s="15" t="s">
        <v>8</v>
      </c>
    </row>
    <row r="1342" spans="3:21" x14ac:dyDescent="0.35">
      <c r="C1342" s="15" t="s">
        <v>8</v>
      </c>
      <c r="D1342" s="15" t="s">
        <v>8</v>
      </c>
      <c r="H1342" s="15" t="s">
        <v>8</v>
      </c>
      <c r="M1342" s="15" t="s">
        <v>8</v>
      </c>
      <c r="Q1342" s="19" t="str">
        <f>HYPERLINK("http://yeinfo.com/family/I09020728.html", "RICHARD SANFORD &lt;2&gt; 1533 EN-1591 EN ID:09041456")</f>
        <v>RICHARD SANFORD &lt;2&gt; 1533 EN-1591 EN ID:09041456</v>
      </c>
      <c r="R1342" s="9"/>
      <c r="S1342" s="9"/>
      <c r="T1342" s="9"/>
      <c r="U1342" s="9"/>
    </row>
    <row r="1343" spans="3:21" x14ac:dyDescent="0.35">
      <c r="C1343" s="15" t="s">
        <v>8</v>
      </c>
      <c r="D1343" s="15" t="s">
        <v>8</v>
      </c>
      <c r="H1343" s="15" t="s">
        <v>8</v>
      </c>
      <c r="M1343" s="15" t="s">
        <v>8</v>
      </c>
      <c r="Q1343" s="8" t="s">
        <v>3</v>
      </c>
    </row>
    <row r="1344" spans="3:21" x14ac:dyDescent="0.35">
      <c r="C1344" s="15" t="s">
        <v>8</v>
      </c>
      <c r="D1344" s="15" t="s">
        <v>8</v>
      </c>
      <c r="H1344" s="15" t="s">
        <v>8</v>
      </c>
      <c r="M1344" s="15" t="s">
        <v>8</v>
      </c>
      <c r="P1344" s="19" t="str">
        <f>HYPERLINK("http://yeinfo.com/family/I09010364.html", "THOMAS SANFORD &lt;2&gt; 1558 EN-1597 EN ID:09020728")</f>
        <v>THOMAS SANFORD &lt;2&gt; 1558 EN-1597 EN ID:09020728</v>
      </c>
      <c r="Q1344" s="9"/>
      <c r="R1344" s="9"/>
      <c r="S1344" s="9"/>
      <c r="T1344" s="9"/>
    </row>
    <row r="1345" spans="3:26" x14ac:dyDescent="0.35">
      <c r="C1345" s="15" t="s">
        <v>8</v>
      </c>
      <c r="D1345" s="15" t="s">
        <v>8</v>
      </c>
      <c r="H1345" s="15" t="s">
        <v>8</v>
      </c>
      <c r="M1345" s="15" t="s">
        <v>8</v>
      </c>
      <c r="P1345" s="8" t="s">
        <v>3</v>
      </c>
      <c r="Q1345" s="15" t="s">
        <v>8</v>
      </c>
    </row>
    <row r="1346" spans="3:26" x14ac:dyDescent="0.35">
      <c r="C1346" s="15" t="s">
        <v>8</v>
      </c>
      <c r="D1346" s="15" t="s">
        <v>8</v>
      </c>
      <c r="H1346" s="15" t="s">
        <v>8</v>
      </c>
      <c r="M1346" s="15" t="s">
        <v>8</v>
      </c>
      <c r="P1346" s="15" t="s">
        <v>8</v>
      </c>
      <c r="Q1346" s="15" t="s">
        <v>8</v>
      </c>
      <c r="V1346" s="19" t="str">
        <f>HYPERLINK("http://yeinfo.com/family/I09065973.html", "JOHN COGGESHALL &lt;2&gt; 1380 EN-1400 EN ID:09066157")</f>
        <v>JOHN COGGESHALL &lt;2&gt; 1380 EN-1400 EN ID:09066157</v>
      </c>
      <c r="W1346" s="9"/>
      <c r="X1346" s="9"/>
      <c r="Y1346" s="9"/>
      <c r="Z1346" s="9"/>
    </row>
    <row r="1347" spans="3:26" x14ac:dyDescent="0.35">
      <c r="C1347" s="15" t="s">
        <v>8</v>
      </c>
      <c r="D1347" s="15" t="s">
        <v>8</v>
      </c>
      <c r="H1347" s="15" t="s">
        <v>8</v>
      </c>
      <c r="M1347" s="15" t="s">
        <v>8</v>
      </c>
      <c r="P1347" s="15" t="s">
        <v>8</v>
      </c>
      <c r="Q1347" s="15" t="s">
        <v>8</v>
      </c>
      <c r="V1347" s="8" t="s">
        <v>3</v>
      </c>
    </row>
    <row r="1348" spans="3:26" x14ac:dyDescent="0.35">
      <c r="C1348" s="15" t="s">
        <v>8</v>
      </c>
      <c r="D1348" s="15" t="s">
        <v>8</v>
      </c>
      <c r="H1348" s="15" t="s">
        <v>8</v>
      </c>
      <c r="M1348" s="15" t="s">
        <v>8</v>
      </c>
      <c r="P1348" s="15" t="s">
        <v>8</v>
      </c>
      <c r="Q1348" s="15" t="s">
        <v>8</v>
      </c>
      <c r="U1348" s="19" t="str">
        <f>HYPERLINK("http://yeinfo.com/family/I09065815.html", "JOHN COGGESHALL &lt;2&gt; 1400 EN-1430 EN ID:09065973")</f>
        <v>JOHN COGGESHALL &lt;2&gt; 1400 EN-1430 EN ID:09065973</v>
      </c>
      <c r="V1348" s="9"/>
      <c r="W1348" s="9"/>
      <c r="X1348" s="9"/>
      <c r="Y1348" s="9"/>
    </row>
    <row r="1349" spans="3:26" x14ac:dyDescent="0.35">
      <c r="C1349" s="15" t="s">
        <v>8</v>
      </c>
      <c r="D1349" s="15" t="s">
        <v>8</v>
      </c>
      <c r="H1349" s="15" t="s">
        <v>8</v>
      </c>
      <c r="M1349" s="15" t="s">
        <v>8</v>
      </c>
      <c r="P1349" s="15" t="s">
        <v>8</v>
      </c>
      <c r="Q1349" s="15" t="s">
        <v>8</v>
      </c>
      <c r="U1349" s="8" t="s">
        <v>3</v>
      </c>
      <c r="V1349" s="8" t="s">
        <v>6</v>
      </c>
    </row>
    <row r="1350" spans="3:26" x14ac:dyDescent="0.35">
      <c r="C1350" s="15" t="s">
        <v>8</v>
      </c>
      <c r="D1350" s="15" t="s">
        <v>8</v>
      </c>
      <c r="H1350" s="15" t="s">
        <v>8</v>
      </c>
      <c r="M1350" s="15" t="s">
        <v>8</v>
      </c>
      <c r="P1350" s="15" t="s">
        <v>8</v>
      </c>
      <c r="Q1350" s="15" t="s">
        <v>8</v>
      </c>
      <c r="U1350" s="15" t="s">
        <v>8</v>
      </c>
      <c r="V1350" s="20" t="str">
        <f>HYPERLINK("http://yeinfo.com/family/I09066157.html", "Mrs. {_?_} COGGESHALL &lt;2&gt; 1380 EN-1400 EN ID:09066158")</f>
        <v>Mrs. {_?_} COGGESHALL &lt;2&gt; 1380 EN-1400 EN ID:09066158</v>
      </c>
      <c r="W1350" s="17"/>
      <c r="X1350" s="17"/>
      <c r="Y1350" s="17"/>
      <c r="Z1350" s="17"/>
    </row>
    <row r="1351" spans="3:26" x14ac:dyDescent="0.35">
      <c r="C1351" s="15" t="s">
        <v>8</v>
      </c>
      <c r="D1351" s="15" t="s">
        <v>8</v>
      </c>
      <c r="H1351" s="15" t="s">
        <v>8</v>
      </c>
      <c r="M1351" s="15" t="s">
        <v>8</v>
      </c>
      <c r="P1351" s="15" t="s">
        <v>8</v>
      </c>
      <c r="Q1351" s="15" t="s">
        <v>8</v>
      </c>
      <c r="U1351" s="15" t="s">
        <v>8</v>
      </c>
    </row>
    <row r="1352" spans="3:26" x14ac:dyDescent="0.35">
      <c r="C1352" s="15" t="s">
        <v>8</v>
      </c>
      <c r="D1352" s="15" t="s">
        <v>8</v>
      </c>
      <c r="H1352" s="15" t="s">
        <v>8</v>
      </c>
      <c r="M1352" s="15" t="s">
        <v>8</v>
      </c>
      <c r="P1352" s="15" t="s">
        <v>8</v>
      </c>
      <c r="Q1352" s="15" t="s">
        <v>8</v>
      </c>
      <c r="T1352" s="19" t="str">
        <f>HYPERLINK("http://yeinfo.com/family/I09065686.html", "JOHN COGGESHALL &lt;2&gt; 1430 EN-1488  ID:09065815")</f>
        <v>JOHN COGGESHALL &lt;2&gt; 1430 EN-1488  ID:09065815</v>
      </c>
      <c r="U1352" s="9"/>
      <c r="V1352" s="9"/>
      <c r="W1352" s="9"/>
      <c r="X1352" s="9"/>
    </row>
    <row r="1353" spans="3:26" x14ac:dyDescent="0.35">
      <c r="C1353" s="15" t="s">
        <v>8</v>
      </c>
      <c r="D1353" s="15" t="s">
        <v>8</v>
      </c>
      <c r="H1353" s="15" t="s">
        <v>8</v>
      </c>
      <c r="M1353" s="15" t="s">
        <v>8</v>
      </c>
      <c r="P1353" s="15" t="s">
        <v>8</v>
      </c>
      <c r="Q1353" s="15" t="s">
        <v>8</v>
      </c>
      <c r="T1353" s="8" t="s">
        <v>3</v>
      </c>
      <c r="U1353" s="8" t="s">
        <v>6</v>
      </c>
    </row>
    <row r="1354" spans="3:26" x14ac:dyDescent="0.35">
      <c r="C1354" s="15" t="s">
        <v>8</v>
      </c>
      <c r="D1354" s="15" t="s">
        <v>8</v>
      </c>
      <c r="H1354" s="15" t="s">
        <v>8</v>
      </c>
      <c r="M1354" s="15" t="s">
        <v>8</v>
      </c>
      <c r="P1354" s="15" t="s">
        <v>8</v>
      </c>
      <c r="Q1354" s="15" t="s">
        <v>8</v>
      </c>
      <c r="T1354" s="15" t="s">
        <v>8</v>
      </c>
      <c r="U1354" s="20" t="str">
        <f>HYPERLINK("http://yeinfo.com/family/I09066158.html", "Mrs. KATHERINE COGGESHALL &lt;2&gt; 1400 EN-1460 EN ID:09065974")</f>
        <v>Mrs. KATHERINE COGGESHALL &lt;2&gt; 1400 EN-1460 EN ID:09065974</v>
      </c>
      <c r="V1354" s="17"/>
      <c r="W1354" s="17"/>
      <c r="X1354" s="17"/>
      <c r="Y1354" s="17"/>
    </row>
    <row r="1355" spans="3:26" x14ac:dyDescent="0.35">
      <c r="C1355" s="15" t="s">
        <v>8</v>
      </c>
      <c r="D1355" s="15" t="s">
        <v>8</v>
      </c>
      <c r="H1355" s="15" t="s">
        <v>8</v>
      </c>
      <c r="M1355" s="15" t="s">
        <v>8</v>
      </c>
      <c r="P1355" s="15" t="s">
        <v>8</v>
      </c>
      <c r="Q1355" s="15" t="s">
        <v>8</v>
      </c>
      <c r="T1355" s="15" t="s">
        <v>8</v>
      </c>
    </row>
    <row r="1356" spans="3:26" x14ac:dyDescent="0.35">
      <c r="C1356" s="15" t="s">
        <v>8</v>
      </c>
      <c r="D1356" s="15" t="s">
        <v>8</v>
      </c>
      <c r="H1356" s="15" t="s">
        <v>8</v>
      </c>
      <c r="M1356" s="15" t="s">
        <v>8</v>
      </c>
      <c r="P1356" s="15" t="s">
        <v>8</v>
      </c>
      <c r="Q1356" s="15" t="s">
        <v>8</v>
      </c>
      <c r="S1356" s="19" t="str">
        <f>HYPERLINK("http://yeinfo.com/family/I09065547.html", "JOHN COGGESHALL &lt;2&gt; 1470 EN-1502 EN ID:09065686")</f>
        <v>JOHN COGGESHALL &lt;2&gt; 1470 EN-1502 EN ID:09065686</v>
      </c>
      <c r="T1356" s="9"/>
      <c r="U1356" s="9"/>
      <c r="V1356" s="9"/>
      <c r="W1356" s="9"/>
    </row>
    <row r="1357" spans="3:26" x14ac:dyDescent="0.35">
      <c r="C1357" s="15" t="s">
        <v>8</v>
      </c>
      <c r="D1357" s="15" t="s">
        <v>8</v>
      </c>
      <c r="H1357" s="15" t="s">
        <v>8</v>
      </c>
      <c r="M1357" s="15" t="s">
        <v>8</v>
      </c>
      <c r="P1357" s="15" t="s">
        <v>8</v>
      </c>
      <c r="Q1357" s="15" t="s">
        <v>8</v>
      </c>
      <c r="S1357" s="8" t="s">
        <v>3</v>
      </c>
      <c r="T1357" s="8" t="s">
        <v>6</v>
      </c>
    </row>
    <row r="1358" spans="3:26" x14ac:dyDescent="0.35">
      <c r="C1358" s="15" t="s">
        <v>8</v>
      </c>
      <c r="D1358" s="15" t="s">
        <v>8</v>
      </c>
      <c r="H1358" s="15" t="s">
        <v>8</v>
      </c>
      <c r="M1358" s="15" t="s">
        <v>8</v>
      </c>
      <c r="P1358" s="15" t="s">
        <v>8</v>
      </c>
      <c r="Q1358" s="15" t="s">
        <v>8</v>
      </c>
      <c r="S1358" s="15" t="s">
        <v>8</v>
      </c>
      <c r="T1358" s="20" t="str">
        <f>HYPERLINK("http://yeinfo.com/family/I09065974.html", "Mrs. ALICE COGGESHALL &lt;2&gt; 1435 EN-1487 EN ID:09065816")</f>
        <v>Mrs. ALICE COGGESHALL &lt;2&gt; 1435 EN-1487 EN ID:09065816</v>
      </c>
      <c r="U1358" s="17"/>
      <c r="V1358" s="17"/>
      <c r="W1358" s="17"/>
      <c r="X1358" s="17"/>
    </row>
    <row r="1359" spans="3:26" x14ac:dyDescent="0.35">
      <c r="C1359" s="15" t="s">
        <v>8</v>
      </c>
      <c r="D1359" s="15" t="s">
        <v>8</v>
      </c>
      <c r="H1359" s="15" t="s">
        <v>8</v>
      </c>
      <c r="M1359" s="15" t="s">
        <v>8</v>
      </c>
      <c r="P1359" s="15" t="s">
        <v>8</v>
      </c>
      <c r="Q1359" s="15" t="s">
        <v>8</v>
      </c>
      <c r="S1359" s="15" t="s">
        <v>8</v>
      </c>
    </row>
    <row r="1360" spans="3:26" x14ac:dyDescent="0.35">
      <c r="C1360" s="15" t="s">
        <v>8</v>
      </c>
      <c r="D1360" s="15" t="s">
        <v>8</v>
      </c>
      <c r="H1360" s="15" t="s">
        <v>8</v>
      </c>
      <c r="M1360" s="15" t="s">
        <v>8</v>
      </c>
      <c r="P1360" s="15" t="s">
        <v>8</v>
      </c>
      <c r="Q1360" s="15" t="s">
        <v>8</v>
      </c>
      <c r="R1360" s="19" t="str">
        <f>HYPERLINK("http://yeinfo.com/family/I09041457.html", "JOHN COGGESHALL &lt;2&gt; 1501 EN-1541 EN ID:09065547")</f>
        <v>JOHN COGGESHALL &lt;2&gt; 1501 EN-1541 EN ID:09065547</v>
      </c>
      <c r="S1360" s="9"/>
      <c r="T1360" s="9"/>
      <c r="U1360" s="9"/>
      <c r="V1360" s="9"/>
    </row>
    <row r="1361" spans="3:23" x14ac:dyDescent="0.35">
      <c r="C1361" s="15" t="s">
        <v>8</v>
      </c>
      <c r="D1361" s="15" t="s">
        <v>8</v>
      </c>
      <c r="H1361" s="15" t="s">
        <v>8</v>
      </c>
      <c r="M1361" s="15" t="s">
        <v>8</v>
      </c>
      <c r="P1361" s="15" t="s">
        <v>8</v>
      </c>
      <c r="Q1361" s="15" t="s">
        <v>8</v>
      </c>
      <c r="R1361" s="8" t="s">
        <v>3</v>
      </c>
      <c r="S1361" s="8" t="s">
        <v>6</v>
      </c>
    </row>
    <row r="1362" spans="3:23" x14ac:dyDescent="0.35">
      <c r="C1362" s="15" t="s">
        <v>8</v>
      </c>
      <c r="D1362" s="15" t="s">
        <v>8</v>
      </c>
      <c r="H1362" s="15" t="s">
        <v>8</v>
      </c>
      <c r="M1362" s="15" t="s">
        <v>8</v>
      </c>
      <c r="P1362" s="15" t="s">
        <v>8</v>
      </c>
      <c r="Q1362" s="15" t="s">
        <v>8</v>
      </c>
      <c r="R1362" s="15" t="s">
        <v>8</v>
      </c>
      <c r="S1362" s="20" t="str">
        <f>HYPERLINK("http://yeinfo.com/family/I09065816.html", "ALICE PARKER &lt;2&gt; 1478 EN-1501 EN ID:09065687")</f>
        <v>ALICE PARKER &lt;2&gt; 1478 EN-1501 EN ID:09065687</v>
      </c>
      <c r="T1362" s="17"/>
      <c r="U1362" s="17"/>
      <c r="V1362" s="17"/>
      <c r="W1362" s="17"/>
    </row>
    <row r="1363" spans="3:23" x14ac:dyDescent="0.35">
      <c r="C1363" s="15" t="s">
        <v>8</v>
      </c>
      <c r="D1363" s="15" t="s">
        <v>8</v>
      </c>
      <c r="H1363" s="15" t="s">
        <v>8</v>
      </c>
      <c r="M1363" s="15" t="s">
        <v>8</v>
      </c>
      <c r="P1363" s="15" t="s">
        <v>8</v>
      </c>
      <c r="Q1363" s="8" t="s">
        <v>6</v>
      </c>
      <c r="R1363" s="15" t="s">
        <v>8</v>
      </c>
    </row>
    <row r="1364" spans="3:23" x14ac:dyDescent="0.35">
      <c r="C1364" s="15" t="s">
        <v>8</v>
      </c>
      <c r="D1364" s="15" t="s">
        <v>8</v>
      </c>
      <c r="H1364" s="15" t="s">
        <v>8</v>
      </c>
      <c r="M1364" s="15" t="s">
        <v>8</v>
      </c>
      <c r="P1364" s="15" t="s">
        <v>8</v>
      </c>
      <c r="Q1364" s="20" t="str">
        <f>HYPERLINK("http://yeinfo.com/family/I09041456.html", "ELIZABETH COGGESHALL &lt;2&gt; 1537 EN-1600 EN ID:09041457")</f>
        <v>ELIZABETH COGGESHALL &lt;2&gt; 1537 EN-1600 EN ID:09041457</v>
      </c>
      <c r="R1364" s="17"/>
      <c r="S1364" s="17"/>
      <c r="T1364" s="17"/>
      <c r="U1364" s="17"/>
    </row>
    <row r="1365" spans="3:23" x14ac:dyDescent="0.35">
      <c r="C1365" s="15" t="s">
        <v>8</v>
      </c>
      <c r="D1365" s="15" t="s">
        <v>8</v>
      </c>
      <c r="H1365" s="15" t="s">
        <v>8</v>
      </c>
      <c r="M1365" s="15" t="s">
        <v>8</v>
      </c>
      <c r="P1365" s="15" t="s">
        <v>8</v>
      </c>
      <c r="R1365" s="8" t="s">
        <v>6</v>
      </c>
    </row>
    <row r="1366" spans="3:23" x14ac:dyDescent="0.35">
      <c r="C1366" s="15" t="s">
        <v>8</v>
      </c>
      <c r="D1366" s="15" t="s">
        <v>8</v>
      </c>
      <c r="H1366" s="15" t="s">
        <v>8</v>
      </c>
      <c r="M1366" s="15" t="s">
        <v>8</v>
      </c>
      <c r="P1366" s="15" t="s">
        <v>8</v>
      </c>
      <c r="R1366" s="20" t="str">
        <f>HYPERLINK("http://yeinfo.com/family/I09065687.html", "Mrs. ELIZABETH COGGESHALL &lt;2&gt; 1512 EN-1537 EN ID:09065548")</f>
        <v>Mrs. ELIZABETH COGGESHALL &lt;2&gt; 1512 EN-1537 EN ID:09065548</v>
      </c>
      <c r="S1366" s="17"/>
      <c r="T1366" s="17"/>
      <c r="U1366" s="17"/>
      <c r="V1366" s="17"/>
    </row>
    <row r="1367" spans="3:23" x14ac:dyDescent="0.35">
      <c r="C1367" s="15" t="s">
        <v>8</v>
      </c>
      <c r="D1367" s="15" t="s">
        <v>8</v>
      </c>
      <c r="H1367" s="15" t="s">
        <v>8</v>
      </c>
      <c r="M1367" s="15" t="s">
        <v>8</v>
      </c>
      <c r="P1367" s="15" t="s">
        <v>8</v>
      </c>
    </row>
    <row r="1368" spans="3:23" x14ac:dyDescent="0.35">
      <c r="C1368" s="15" t="s">
        <v>8</v>
      </c>
      <c r="D1368" s="15" t="s">
        <v>8</v>
      </c>
      <c r="H1368" s="15" t="s">
        <v>8</v>
      </c>
      <c r="M1368" s="15" t="s">
        <v>8</v>
      </c>
      <c r="O1368" s="19" t="str">
        <f>HYPERLINK("http://yeinfo.com/family/I09005182.html", "EZEKIEL SANFORD &lt;2&gt; 1586 EN-1607 EN ID:09010364")</f>
        <v>EZEKIEL SANFORD &lt;2&gt; 1586 EN-1607 EN ID:09010364</v>
      </c>
      <c r="P1368" s="9"/>
      <c r="Q1368" s="9"/>
      <c r="R1368" s="9"/>
      <c r="S1368" s="9"/>
    </row>
    <row r="1369" spans="3:23" x14ac:dyDescent="0.35">
      <c r="C1369" s="15" t="s">
        <v>8</v>
      </c>
      <c r="D1369" s="15" t="s">
        <v>8</v>
      </c>
      <c r="H1369" s="15" t="s">
        <v>8</v>
      </c>
      <c r="M1369" s="15" t="s">
        <v>8</v>
      </c>
      <c r="O1369" s="8" t="s">
        <v>3</v>
      </c>
      <c r="P1369" s="15" t="s">
        <v>8</v>
      </c>
    </row>
    <row r="1370" spans="3:23" x14ac:dyDescent="0.35">
      <c r="C1370" s="15" t="s">
        <v>8</v>
      </c>
      <c r="D1370" s="15" t="s">
        <v>8</v>
      </c>
      <c r="H1370" s="15" t="s">
        <v>8</v>
      </c>
      <c r="M1370" s="15" t="s">
        <v>8</v>
      </c>
      <c r="O1370" s="15" t="s">
        <v>8</v>
      </c>
      <c r="P1370" s="15" t="s">
        <v>8</v>
      </c>
      <c r="Q1370" s="19" t="str">
        <f>HYPERLINK("http://yeinfo.com/family/I09020729.html", "JOHN LEWES &lt;2&gt; 1537 EN-1584 EN ID:09041458")</f>
        <v>JOHN LEWES &lt;2&gt; 1537 EN-1584 EN ID:09041458</v>
      </c>
      <c r="R1370" s="9"/>
      <c r="S1370" s="9"/>
      <c r="T1370" s="9"/>
      <c r="U1370" s="9"/>
    </row>
    <row r="1371" spans="3:23" x14ac:dyDescent="0.35">
      <c r="C1371" s="15" t="s">
        <v>8</v>
      </c>
      <c r="D1371" s="15" t="s">
        <v>8</v>
      </c>
      <c r="H1371" s="15" t="s">
        <v>8</v>
      </c>
      <c r="M1371" s="15" t="s">
        <v>8</v>
      </c>
      <c r="O1371" s="15" t="s">
        <v>8</v>
      </c>
      <c r="P1371" s="8" t="s">
        <v>6</v>
      </c>
      <c r="Q1371" s="8" t="s">
        <v>3</v>
      </c>
    </row>
    <row r="1372" spans="3:23" x14ac:dyDescent="0.35">
      <c r="C1372" s="15" t="s">
        <v>8</v>
      </c>
      <c r="D1372" s="15" t="s">
        <v>8</v>
      </c>
      <c r="H1372" s="15" t="s">
        <v>8</v>
      </c>
      <c r="M1372" s="15" t="s">
        <v>8</v>
      </c>
      <c r="O1372" s="15" t="s">
        <v>8</v>
      </c>
      <c r="P1372" s="20" t="str">
        <f>HYPERLINK("http://yeinfo.com/family/I09065548.html", "MARY MELLET LEWES &lt;2&gt; 1563 EN-1620 EN ID:09020729")</f>
        <v>MARY MELLET LEWES &lt;2&gt; 1563 EN-1620 EN ID:09020729</v>
      </c>
      <c r="Q1372" s="17"/>
      <c r="R1372" s="17"/>
      <c r="S1372" s="17"/>
      <c r="T1372" s="17"/>
    </row>
    <row r="1373" spans="3:23" x14ac:dyDescent="0.35">
      <c r="C1373" s="15" t="s">
        <v>8</v>
      </c>
      <c r="D1373" s="15" t="s">
        <v>8</v>
      </c>
      <c r="H1373" s="15" t="s">
        <v>8</v>
      </c>
      <c r="M1373" s="15" t="s">
        <v>8</v>
      </c>
      <c r="O1373" s="15" t="s">
        <v>8</v>
      </c>
      <c r="Q1373" s="8" t="s">
        <v>6</v>
      </c>
    </row>
    <row r="1374" spans="3:23" x14ac:dyDescent="0.35">
      <c r="C1374" s="15" t="s">
        <v>8</v>
      </c>
      <c r="D1374" s="15" t="s">
        <v>8</v>
      </c>
      <c r="H1374" s="15" t="s">
        <v>8</v>
      </c>
      <c r="M1374" s="15" t="s">
        <v>8</v>
      </c>
      <c r="O1374" s="15" t="s">
        <v>8</v>
      </c>
      <c r="Q1374" s="20" t="str">
        <f>HYPERLINK("http://yeinfo.com/family/I09041458.html", "ALICE CHERVELL &lt;2&gt; 1539 EN-1600 EN ID:09041459")</f>
        <v>ALICE CHERVELL &lt;2&gt; 1539 EN-1600 EN ID:09041459</v>
      </c>
      <c r="R1374" s="17"/>
      <c r="S1374" s="17"/>
      <c r="T1374" s="17"/>
      <c r="U1374" s="17"/>
    </row>
    <row r="1375" spans="3:23" x14ac:dyDescent="0.35">
      <c r="C1375" s="15" t="s">
        <v>8</v>
      </c>
      <c r="D1375" s="15" t="s">
        <v>8</v>
      </c>
      <c r="H1375" s="15" t="s">
        <v>8</v>
      </c>
      <c r="M1375" s="15" t="s">
        <v>8</v>
      </c>
      <c r="O1375" s="15" t="s">
        <v>8</v>
      </c>
    </row>
    <row r="1376" spans="3:23" x14ac:dyDescent="0.35">
      <c r="C1376" s="15" t="s">
        <v>8</v>
      </c>
      <c r="D1376" s="15" t="s">
        <v>8</v>
      </c>
      <c r="H1376" s="15" t="s">
        <v>8</v>
      </c>
      <c r="M1376" s="15" t="s">
        <v>8</v>
      </c>
      <c r="N1376" s="21" t="str">
        <f>HYPERLINK("http://yeinfo.com/family/I09002591.html", "THOMAS SANFORD &lt;2&gt; 1607 EN-1681 CT ID:09005182")</f>
        <v>THOMAS SANFORD &lt;2&gt; 1607 EN-1681 CT ID:09005182</v>
      </c>
      <c r="O1376" s="6"/>
      <c r="P1376" s="6"/>
      <c r="Q1376" s="6"/>
      <c r="R1376" s="6"/>
    </row>
    <row r="1377" spans="3:21" x14ac:dyDescent="0.35">
      <c r="C1377" s="15" t="s">
        <v>8</v>
      </c>
      <c r="D1377" s="15" t="s">
        <v>8</v>
      </c>
      <c r="H1377" s="15" t="s">
        <v>8</v>
      </c>
      <c r="M1377" s="15" t="s">
        <v>8</v>
      </c>
      <c r="N1377" s="8" t="s">
        <v>3</v>
      </c>
      <c r="O1377" s="15" t="s">
        <v>8</v>
      </c>
    </row>
    <row r="1378" spans="3:21" x14ac:dyDescent="0.35">
      <c r="C1378" s="15" t="s">
        <v>8</v>
      </c>
      <c r="D1378" s="15" t="s">
        <v>8</v>
      </c>
      <c r="H1378" s="15" t="s">
        <v>8</v>
      </c>
      <c r="M1378" s="15" t="s">
        <v>8</v>
      </c>
      <c r="N1378" s="15" t="s">
        <v>8</v>
      </c>
      <c r="O1378" s="15" t="s">
        <v>8</v>
      </c>
      <c r="Q1378" s="19" t="str">
        <f>HYPERLINK("http://yeinfo.com/family/I09020730.html", "JOHN WARNER &lt;4&gt; 1545 EN-1584 EN ID:09041460")</f>
        <v>JOHN WARNER &lt;4&gt; 1545 EN-1584 EN ID:09041460</v>
      </c>
      <c r="R1378" s="9"/>
      <c r="S1378" s="9"/>
      <c r="T1378" s="9"/>
      <c r="U1378" s="9"/>
    </row>
    <row r="1379" spans="3:21" x14ac:dyDescent="0.35">
      <c r="C1379" s="15" t="s">
        <v>8</v>
      </c>
      <c r="D1379" s="15" t="s">
        <v>8</v>
      </c>
      <c r="H1379" s="15" t="s">
        <v>8</v>
      </c>
      <c r="M1379" s="15" t="s">
        <v>8</v>
      </c>
      <c r="N1379" s="15" t="s">
        <v>8</v>
      </c>
      <c r="O1379" s="15" t="s">
        <v>8</v>
      </c>
      <c r="Q1379" s="8" t="s">
        <v>3</v>
      </c>
    </row>
    <row r="1380" spans="3:21" x14ac:dyDescent="0.35">
      <c r="C1380" s="15" t="s">
        <v>8</v>
      </c>
      <c r="D1380" s="15" t="s">
        <v>8</v>
      </c>
      <c r="H1380" s="15" t="s">
        <v>8</v>
      </c>
      <c r="M1380" s="15" t="s">
        <v>8</v>
      </c>
      <c r="N1380" s="15" t="s">
        <v>8</v>
      </c>
      <c r="O1380" s="15" t="s">
        <v>8</v>
      </c>
      <c r="P1380" s="19" t="str">
        <f>HYPERLINK("http://yeinfo.com/family/I09010365.html", "JOHN WARNER &lt;4&gt; 1570 EN-1614 EN ID:09020730")</f>
        <v>JOHN WARNER &lt;4&gt; 1570 EN-1614 EN ID:09020730</v>
      </c>
      <c r="Q1380" s="9"/>
      <c r="R1380" s="9"/>
      <c r="S1380" s="9"/>
      <c r="T1380" s="9"/>
    </row>
    <row r="1381" spans="3:21" x14ac:dyDescent="0.35">
      <c r="C1381" s="15" t="s">
        <v>8</v>
      </c>
      <c r="D1381" s="15" t="s">
        <v>8</v>
      </c>
      <c r="H1381" s="15" t="s">
        <v>8</v>
      </c>
      <c r="M1381" s="15" t="s">
        <v>8</v>
      </c>
      <c r="N1381" s="15" t="s">
        <v>8</v>
      </c>
      <c r="O1381" s="15" t="s">
        <v>8</v>
      </c>
      <c r="P1381" s="8" t="s">
        <v>3</v>
      </c>
      <c r="Q1381" s="8" t="s">
        <v>6</v>
      </c>
    </row>
    <row r="1382" spans="3:21" x14ac:dyDescent="0.35">
      <c r="C1382" s="15" t="s">
        <v>8</v>
      </c>
      <c r="D1382" s="15" t="s">
        <v>8</v>
      </c>
      <c r="H1382" s="15" t="s">
        <v>8</v>
      </c>
      <c r="M1382" s="15" t="s">
        <v>8</v>
      </c>
      <c r="N1382" s="15" t="s">
        <v>8</v>
      </c>
      <c r="O1382" s="15" t="s">
        <v>8</v>
      </c>
      <c r="P1382" s="15" t="s">
        <v>8</v>
      </c>
      <c r="Q1382" s="20" t="str">
        <f>HYPERLINK("http://yeinfo.com/family/I09041460.html", "Mrs. MARGARET WARNER &lt;4&gt; 1545 EN-1570  ID:09041461")</f>
        <v>Mrs. MARGARET WARNER &lt;4&gt; 1545 EN-1570  ID:09041461</v>
      </c>
      <c r="R1382" s="17"/>
      <c r="S1382" s="17"/>
      <c r="T1382" s="17"/>
      <c r="U1382" s="17"/>
    </row>
    <row r="1383" spans="3:21" x14ac:dyDescent="0.35">
      <c r="C1383" s="15" t="s">
        <v>8</v>
      </c>
      <c r="D1383" s="15" t="s">
        <v>8</v>
      </c>
      <c r="H1383" s="15" t="s">
        <v>8</v>
      </c>
      <c r="M1383" s="15" t="s">
        <v>8</v>
      </c>
      <c r="N1383" s="15" t="s">
        <v>8</v>
      </c>
      <c r="O1383" s="8" t="s">
        <v>6</v>
      </c>
      <c r="P1383" s="15" t="s">
        <v>8</v>
      </c>
    </row>
    <row r="1384" spans="3:21" x14ac:dyDescent="0.35">
      <c r="C1384" s="15" t="s">
        <v>8</v>
      </c>
      <c r="D1384" s="15" t="s">
        <v>8</v>
      </c>
      <c r="H1384" s="15" t="s">
        <v>8</v>
      </c>
      <c r="M1384" s="15" t="s">
        <v>8</v>
      </c>
      <c r="N1384" s="15" t="s">
        <v>8</v>
      </c>
      <c r="O1384" s="20" t="str">
        <f>HYPERLINK("http://yeinfo.com/family/I09041459.html", "ROSE WARNER &lt;2&gt; 1588 EN-1625 EN ID:09010365")</f>
        <v>ROSE WARNER &lt;2&gt; 1588 EN-1625 EN ID:09010365</v>
      </c>
      <c r="P1384" s="17"/>
      <c r="Q1384" s="17"/>
      <c r="R1384" s="17"/>
      <c r="S1384" s="17"/>
    </row>
    <row r="1385" spans="3:21" x14ac:dyDescent="0.35">
      <c r="C1385" s="15" t="s">
        <v>8</v>
      </c>
      <c r="D1385" s="15" t="s">
        <v>8</v>
      </c>
      <c r="H1385" s="15" t="s">
        <v>8</v>
      </c>
      <c r="M1385" s="15" t="s">
        <v>8</v>
      </c>
      <c r="N1385" s="15" t="s">
        <v>8</v>
      </c>
      <c r="P1385" s="15" t="s">
        <v>8</v>
      </c>
    </row>
    <row r="1386" spans="3:21" x14ac:dyDescent="0.35">
      <c r="C1386" s="15" t="s">
        <v>8</v>
      </c>
      <c r="D1386" s="15" t="s">
        <v>8</v>
      </c>
      <c r="H1386" s="15" t="s">
        <v>8</v>
      </c>
      <c r="M1386" s="15" t="s">
        <v>8</v>
      </c>
      <c r="N1386" s="15" t="s">
        <v>8</v>
      </c>
      <c r="P1386" s="15" t="s">
        <v>8</v>
      </c>
      <c r="Q1386" s="19" t="str">
        <f>HYPERLINK("http://yeinfo.com/family/I09020731.html", "JOHN PURCHAS &lt;4&gt; 1550 EN-1585 EN ID:09041462")</f>
        <v>JOHN PURCHAS &lt;4&gt; 1550 EN-1585 EN ID:09041462</v>
      </c>
      <c r="R1386" s="9"/>
      <c r="S1386" s="9"/>
      <c r="T1386" s="9"/>
      <c r="U1386" s="9"/>
    </row>
    <row r="1387" spans="3:21" x14ac:dyDescent="0.35">
      <c r="C1387" s="15" t="s">
        <v>8</v>
      </c>
      <c r="D1387" s="15" t="s">
        <v>8</v>
      </c>
      <c r="H1387" s="15" t="s">
        <v>8</v>
      </c>
      <c r="M1387" s="15" t="s">
        <v>8</v>
      </c>
      <c r="N1387" s="15" t="s">
        <v>8</v>
      </c>
      <c r="P1387" s="8" t="s">
        <v>6</v>
      </c>
      <c r="Q1387" s="8" t="s">
        <v>3</v>
      </c>
    </row>
    <row r="1388" spans="3:21" x14ac:dyDescent="0.35">
      <c r="C1388" s="15" t="s">
        <v>8</v>
      </c>
      <c r="D1388" s="15" t="s">
        <v>8</v>
      </c>
      <c r="H1388" s="15" t="s">
        <v>8</v>
      </c>
      <c r="M1388" s="15" t="s">
        <v>8</v>
      </c>
      <c r="N1388" s="15" t="s">
        <v>8</v>
      </c>
      <c r="P1388" s="20" t="str">
        <f>HYPERLINK("http://yeinfo.com/family/I09041461.html", "MARY PURCHAS &lt;4&gt; 1570 EN-1627 EN ID:09020731")</f>
        <v>MARY PURCHAS &lt;4&gt; 1570 EN-1627 EN ID:09020731</v>
      </c>
      <c r="Q1388" s="17"/>
      <c r="R1388" s="17"/>
      <c r="S1388" s="17"/>
      <c r="T1388" s="17"/>
    </row>
    <row r="1389" spans="3:21" x14ac:dyDescent="0.35">
      <c r="C1389" s="15" t="s">
        <v>8</v>
      </c>
      <c r="D1389" s="15" t="s">
        <v>8</v>
      </c>
      <c r="H1389" s="15" t="s">
        <v>8</v>
      </c>
      <c r="M1389" s="15" t="s">
        <v>8</v>
      </c>
      <c r="N1389" s="15" t="s">
        <v>8</v>
      </c>
      <c r="Q1389" s="8" t="s">
        <v>6</v>
      </c>
    </row>
    <row r="1390" spans="3:21" x14ac:dyDescent="0.35">
      <c r="C1390" s="15" t="s">
        <v>8</v>
      </c>
      <c r="D1390" s="15" t="s">
        <v>8</v>
      </c>
      <c r="H1390" s="15" t="s">
        <v>8</v>
      </c>
      <c r="M1390" s="15" t="s">
        <v>8</v>
      </c>
      <c r="N1390" s="15" t="s">
        <v>8</v>
      </c>
      <c r="Q1390" s="20" t="str">
        <f>HYPERLINK("http://yeinfo.com/family/I09041462.html", "MARGARET KREABLES &lt;4&gt; 1550 EN-1570  ID:09041463")</f>
        <v>MARGARET KREABLES &lt;4&gt; 1550 EN-1570  ID:09041463</v>
      </c>
      <c r="R1390" s="17"/>
      <c r="S1390" s="17"/>
      <c r="T1390" s="17"/>
      <c r="U1390" s="17"/>
    </row>
    <row r="1391" spans="3:21" x14ac:dyDescent="0.35">
      <c r="C1391" s="15" t="s">
        <v>8</v>
      </c>
      <c r="D1391" s="15" t="s">
        <v>8</v>
      </c>
      <c r="H1391" s="15" t="s">
        <v>8</v>
      </c>
      <c r="M1391" s="8" t="s">
        <v>6</v>
      </c>
      <c r="N1391" s="15" t="s">
        <v>8</v>
      </c>
    </row>
    <row r="1392" spans="3:21" x14ac:dyDescent="0.35">
      <c r="C1392" s="15" t="s">
        <v>8</v>
      </c>
      <c r="D1392" s="15" t="s">
        <v>8</v>
      </c>
      <c r="H1392" s="15" t="s">
        <v>8</v>
      </c>
      <c r="M1392" s="16" t="str">
        <f>HYPERLINK("http://yeinfo.com/family/I09005181.html", "SARAH SANFORD &lt;2&gt; 1639 MA-1683 NY ID:09002591")</f>
        <v>SARAH SANFORD &lt;2&gt; 1639 MA-1683 NY ID:09002591</v>
      </c>
      <c r="N1392" s="11"/>
      <c r="O1392" s="11"/>
      <c r="P1392" s="11"/>
      <c r="Q1392" s="11"/>
    </row>
    <row r="1393" spans="3:22" x14ac:dyDescent="0.35">
      <c r="C1393" s="15" t="s">
        <v>8</v>
      </c>
      <c r="D1393" s="15" t="s">
        <v>8</v>
      </c>
      <c r="H1393" s="15" t="s">
        <v>8</v>
      </c>
      <c r="N1393" s="15" t="s">
        <v>8</v>
      </c>
    </row>
    <row r="1394" spans="3:22" x14ac:dyDescent="0.35">
      <c r="C1394" s="15" t="s">
        <v>8</v>
      </c>
      <c r="D1394" s="15" t="s">
        <v>8</v>
      </c>
      <c r="H1394" s="15" t="s">
        <v>8</v>
      </c>
      <c r="N1394" s="15" t="s">
        <v>8</v>
      </c>
      <c r="P1394" s="19" t="str">
        <f>HYPERLINK("http://yeinfo.com/family/I09010366.html", "HENRY MEADOWS &lt;2&gt; 1555 -1585  ID:09020732")</f>
        <v>HENRY MEADOWS &lt;2&gt; 1555 -1585  ID:09020732</v>
      </c>
      <c r="Q1394" s="9"/>
      <c r="R1394" s="9"/>
      <c r="S1394" s="9"/>
      <c r="T1394" s="9"/>
    </row>
    <row r="1395" spans="3:22" x14ac:dyDescent="0.35">
      <c r="C1395" s="15" t="s">
        <v>8</v>
      </c>
      <c r="D1395" s="15" t="s">
        <v>8</v>
      </c>
      <c r="H1395" s="15" t="s">
        <v>8</v>
      </c>
      <c r="N1395" s="15" t="s">
        <v>8</v>
      </c>
      <c r="P1395" s="8" t="s">
        <v>3</v>
      </c>
    </row>
    <row r="1396" spans="3:22" x14ac:dyDescent="0.35">
      <c r="C1396" s="15" t="s">
        <v>8</v>
      </c>
      <c r="D1396" s="15" t="s">
        <v>8</v>
      </c>
      <c r="H1396" s="15" t="s">
        <v>8</v>
      </c>
      <c r="N1396" s="15" t="s">
        <v>8</v>
      </c>
      <c r="O1396" s="19" t="str">
        <f>HYPERLINK("http://yeinfo.com/family/I09005183.html", "HENRY MEADOWS II &lt;2&gt; 1585 EN-1615 EN ID:09010366")</f>
        <v>HENRY MEADOWS II &lt;2&gt; 1585 EN-1615 EN ID:09010366</v>
      </c>
      <c r="P1396" s="9"/>
      <c r="Q1396" s="9"/>
      <c r="R1396" s="9"/>
      <c r="S1396" s="9"/>
    </row>
    <row r="1397" spans="3:22" x14ac:dyDescent="0.35">
      <c r="C1397" s="15" t="s">
        <v>8</v>
      </c>
      <c r="D1397" s="15" t="s">
        <v>8</v>
      </c>
      <c r="H1397" s="15" t="s">
        <v>8</v>
      </c>
      <c r="N1397" s="15" t="s">
        <v>8</v>
      </c>
      <c r="O1397" s="8" t="s">
        <v>3</v>
      </c>
      <c r="P1397" s="8" t="s">
        <v>6</v>
      </c>
    </row>
    <row r="1398" spans="3:22" x14ac:dyDescent="0.35">
      <c r="C1398" s="15" t="s">
        <v>8</v>
      </c>
      <c r="D1398" s="15" t="s">
        <v>8</v>
      </c>
      <c r="H1398" s="15" t="s">
        <v>8</v>
      </c>
      <c r="N1398" s="15" t="s">
        <v>8</v>
      </c>
      <c r="O1398" s="15" t="s">
        <v>8</v>
      </c>
      <c r="P1398" s="20" t="str">
        <f>HYPERLINK("http://yeinfo.com/family/I09020732.html", "ANN HATFIELD &lt;2&gt; 1555 EN-1585 EN ID:09020733")</f>
        <v>ANN HATFIELD &lt;2&gt; 1555 EN-1585 EN ID:09020733</v>
      </c>
      <c r="Q1398" s="17"/>
      <c r="R1398" s="17"/>
      <c r="S1398" s="17"/>
      <c r="T1398" s="17"/>
    </row>
    <row r="1399" spans="3:22" x14ac:dyDescent="0.35">
      <c r="C1399" s="15" t="s">
        <v>8</v>
      </c>
      <c r="D1399" s="15" t="s">
        <v>8</v>
      </c>
      <c r="H1399" s="15" t="s">
        <v>8</v>
      </c>
      <c r="N1399" s="8" t="s">
        <v>6</v>
      </c>
      <c r="O1399" s="15" t="s">
        <v>8</v>
      </c>
    </row>
    <row r="1400" spans="3:22" x14ac:dyDescent="0.35">
      <c r="C1400" s="15" t="s">
        <v>8</v>
      </c>
      <c r="D1400" s="15" t="s">
        <v>8</v>
      </c>
      <c r="H1400" s="15" t="s">
        <v>8</v>
      </c>
      <c r="N1400" s="22" t="str">
        <f>HYPERLINK("http://yeinfo.com/family/I09041463.html", "SARAH DOROTHY MEADOWS &lt;2&gt; 1615 EN-1681 CT ID:09005183")</f>
        <v>SARAH DOROTHY MEADOWS &lt;2&gt; 1615 EN-1681 CT ID:09005183</v>
      </c>
      <c r="O1400" s="13"/>
      <c r="P1400" s="13"/>
      <c r="Q1400" s="13"/>
      <c r="R1400" s="13"/>
    </row>
    <row r="1401" spans="3:22" x14ac:dyDescent="0.35">
      <c r="C1401" s="15" t="s">
        <v>8</v>
      </c>
      <c r="D1401" s="15" t="s">
        <v>8</v>
      </c>
      <c r="H1401" s="15" t="s">
        <v>8</v>
      </c>
      <c r="O1401" s="15" t="s">
        <v>8</v>
      </c>
    </row>
    <row r="1402" spans="3:22" x14ac:dyDescent="0.35">
      <c r="C1402" s="15" t="s">
        <v>8</v>
      </c>
      <c r="D1402" s="15" t="s">
        <v>8</v>
      </c>
      <c r="H1402" s="15" t="s">
        <v>8</v>
      </c>
      <c r="O1402" s="15" t="s">
        <v>8</v>
      </c>
      <c r="R1402" s="19" t="str">
        <f>HYPERLINK("http://yeinfo.com/family/I09041468.html", "GEORGE PRESTON &lt;2&gt; 1504 EN-1525 EN ID:09065549")</f>
        <v>GEORGE PRESTON &lt;2&gt; 1504 EN-1525 EN ID:09065549</v>
      </c>
      <c r="S1402" s="9"/>
      <c r="T1402" s="9"/>
      <c r="U1402" s="9"/>
      <c r="V1402" s="9"/>
    </row>
    <row r="1403" spans="3:22" x14ac:dyDescent="0.35">
      <c r="C1403" s="15" t="s">
        <v>8</v>
      </c>
      <c r="D1403" s="15" t="s">
        <v>8</v>
      </c>
      <c r="H1403" s="15" t="s">
        <v>8</v>
      </c>
      <c r="O1403" s="15" t="s">
        <v>8</v>
      </c>
      <c r="R1403" s="8" t="s">
        <v>3</v>
      </c>
    </row>
    <row r="1404" spans="3:22" x14ac:dyDescent="0.35">
      <c r="C1404" s="15" t="s">
        <v>8</v>
      </c>
      <c r="D1404" s="15" t="s">
        <v>8</v>
      </c>
      <c r="H1404" s="15" t="s">
        <v>8</v>
      </c>
      <c r="O1404" s="15" t="s">
        <v>8</v>
      </c>
      <c r="Q1404" s="19" t="str">
        <f>HYPERLINK("http://yeinfo.com/family/I09020734.html", "WILLIAM PRESTON Jr. &lt;2&gt; 1525 EN-1585 EN ID:09041468")</f>
        <v>WILLIAM PRESTON Jr. &lt;2&gt; 1525 EN-1585 EN ID:09041468</v>
      </c>
      <c r="R1404" s="9"/>
      <c r="S1404" s="9"/>
      <c r="T1404" s="9"/>
      <c r="U1404" s="9"/>
    </row>
    <row r="1405" spans="3:22" x14ac:dyDescent="0.35">
      <c r="C1405" s="15" t="s">
        <v>8</v>
      </c>
      <c r="D1405" s="15" t="s">
        <v>8</v>
      </c>
      <c r="H1405" s="15" t="s">
        <v>8</v>
      </c>
      <c r="O1405" s="15" t="s">
        <v>8</v>
      </c>
      <c r="Q1405" s="8" t="s">
        <v>3</v>
      </c>
      <c r="R1405" s="8" t="s">
        <v>6</v>
      </c>
    </row>
    <row r="1406" spans="3:22" x14ac:dyDescent="0.35">
      <c r="C1406" s="15" t="s">
        <v>8</v>
      </c>
      <c r="D1406" s="15" t="s">
        <v>8</v>
      </c>
      <c r="H1406" s="15" t="s">
        <v>8</v>
      </c>
      <c r="O1406" s="15" t="s">
        <v>8</v>
      </c>
      <c r="Q1406" s="15" t="s">
        <v>8</v>
      </c>
      <c r="R1406" s="20" t="str">
        <f>HYPERLINK("http://yeinfo.com/family/I09065549.html", "MARION SEMPHILL &lt;2&gt; 1505 EN-1525 EN ID:09065550")</f>
        <v>MARION SEMPHILL &lt;2&gt; 1505 EN-1525 EN ID:09065550</v>
      </c>
      <c r="S1406" s="17"/>
      <c r="T1406" s="17"/>
      <c r="U1406" s="17"/>
      <c r="V1406" s="17"/>
    </row>
    <row r="1407" spans="3:22" x14ac:dyDescent="0.35">
      <c r="C1407" s="15" t="s">
        <v>8</v>
      </c>
      <c r="D1407" s="15" t="s">
        <v>8</v>
      </c>
      <c r="H1407" s="15" t="s">
        <v>8</v>
      </c>
      <c r="O1407" s="15" t="s">
        <v>8</v>
      </c>
      <c r="Q1407" s="15" t="s">
        <v>8</v>
      </c>
    </row>
    <row r="1408" spans="3:22" x14ac:dyDescent="0.35">
      <c r="C1408" s="15" t="s">
        <v>8</v>
      </c>
      <c r="D1408" s="15" t="s">
        <v>8</v>
      </c>
      <c r="H1408" s="15" t="s">
        <v>8</v>
      </c>
      <c r="O1408" s="15" t="s">
        <v>8</v>
      </c>
      <c r="P1408" s="19" t="str">
        <f>HYPERLINK("http://yeinfo.com/family/I09010367.html", "ADAM PRESTON &lt;2&gt; 1564 EN-1593 EN ID:09020734")</f>
        <v>ADAM PRESTON &lt;2&gt; 1564 EN-1593 EN ID:09020734</v>
      </c>
      <c r="Q1408" s="9"/>
      <c r="R1408" s="9"/>
      <c r="S1408" s="9"/>
      <c r="T1408" s="9"/>
    </row>
    <row r="1409" spans="3:22" x14ac:dyDescent="0.35">
      <c r="C1409" s="15" t="s">
        <v>8</v>
      </c>
      <c r="D1409" s="15" t="s">
        <v>8</v>
      </c>
      <c r="H1409" s="15" t="s">
        <v>8</v>
      </c>
      <c r="O1409" s="15" t="s">
        <v>8</v>
      </c>
      <c r="P1409" s="8" t="s">
        <v>3</v>
      </c>
      <c r="Q1409" s="15" t="s">
        <v>8</v>
      </c>
    </row>
    <row r="1410" spans="3:22" x14ac:dyDescent="0.35">
      <c r="C1410" s="15" t="s">
        <v>8</v>
      </c>
      <c r="D1410" s="15" t="s">
        <v>8</v>
      </c>
      <c r="H1410" s="15" t="s">
        <v>8</v>
      </c>
      <c r="O1410" s="15" t="s">
        <v>8</v>
      </c>
      <c r="P1410" s="15" t="s">
        <v>8</v>
      </c>
      <c r="Q1410" s="15" t="s">
        <v>8</v>
      </c>
      <c r="R1410" s="19" t="str">
        <f>HYPERLINK("http://yeinfo.com/family/I09041469.html", "GEORGE SAUNDERS &lt;2&gt; 1505 EN-1530 EN ID:09065551")</f>
        <v>GEORGE SAUNDERS &lt;2&gt; 1505 EN-1530 EN ID:09065551</v>
      </c>
      <c r="S1410" s="9"/>
      <c r="T1410" s="9"/>
      <c r="U1410" s="9"/>
      <c r="V1410" s="9"/>
    </row>
    <row r="1411" spans="3:22" x14ac:dyDescent="0.35">
      <c r="C1411" s="15" t="s">
        <v>8</v>
      </c>
      <c r="D1411" s="15" t="s">
        <v>8</v>
      </c>
      <c r="H1411" s="15" t="s">
        <v>8</v>
      </c>
      <c r="O1411" s="15" t="s">
        <v>8</v>
      </c>
      <c r="P1411" s="15" t="s">
        <v>8</v>
      </c>
      <c r="Q1411" s="8" t="s">
        <v>6</v>
      </c>
      <c r="R1411" s="8" t="s">
        <v>3</v>
      </c>
    </row>
    <row r="1412" spans="3:22" x14ac:dyDescent="0.35">
      <c r="C1412" s="15" t="s">
        <v>8</v>
      </c>
      <c r="D1412" s="15" t="s">
        <v>8</v>
      </c>
      <c r="H1412" s="15" t="s">
        <v>8</v>
      </c>
      <c r="O1412" s="15" t="s">
        <v>8</v>
      </c>
      <c r="P1412" s="15" t="s">
        <v>8</v>
      </c>
      <c r="Q1412" s="20" t="str">
        <f>HYPERLINK("http://yeinfo.com/family/I09065550.html", "ANNA SAUNDERS &lt;2&gt; 1530 EN-1588 EN ID:09041469")</f>
        <v>ANNA SAUNDERS &lt;2&gt; 1530 EN-1588 EN ID:09041469</v>
      </c>
      <c r="R1412" s="17"/>
      <c r="S1412" s="17"/>
      <c r="T1412" s="17"/>
      <c r="U1412" s="17"/>
    </row>
    <row r="1413" spans="3:22" x14ac:dyDescent="0.35">
      <c r="C1413" s="15" t="s">
        <v>8</v>
      </c>
      <c r="D1413" s="15" t="s">
        <v>8</v>
      </c>
      <c r="H1413" s="15" t="s">
        <v>8</v>
      </c>
      <c r="O1413" s="15" t="s">
        <v>8</v>
      </c>
      <c r="P1413" s="15" t="s">
        <v>8</v>
      </c>
      <c r="R1413" s="8" t="s">
        <v>6</v>
      </c>
    </row>
    <row r="1414" spans="3:22" x14ac:dyDescent="0.35">
      <c r="C1414" s="15" t="s">
        <v>8</v>
      </c>
      <c r="D1414" s="15" t="s">
        <v>8</v>
      </c>
      <c r="H1414" s="15" t="s">
        <v>8</v>
      </c>
      <c r="O1414" s="15" t="s">
        <v>8</v>
      </c>
      <c r="P1414" s="15" t="s">
        <v>8</v>
      </c>
      <c r="R1414" s="20" t="str">
        <f>HYPERLINK("http://yeinfo.com/family/I09065551.html", "HATTIE RATLIF &lt;2&gt; 1505 EN-1530 EN ID:09065552")</f>
        <v>HATTIE RATLIF &lt;2&gt; 1505 EN-1530 EN ID:09065552</v>
      </c>
      <c r="S1414" s="17"/>
      <c r="T1414" s="17"/>
      <c r="U1414" s="17"/>
      <c r="V1414" s="17"/>
    </row>
    <row r="1415" spans="3:22" x14ac:dyDescent="0.35">
      <c r="C1415" s="15" t="s">
        <v>8</v>
      </c>
      <c r="D1415" s="15" t="s">
        <v>8</v>
      </c>
      <c r="H1415" s="15" t="s">
        <v>8</v>
      </c>
      <c r="O1415" s="8" t="s">
        <v>6</v>
      </c>
      <c r="P1415" s="15" t="s">
        <v>8</v>
      </c>
    </row>
    <row r="1416" spans="3:22" x14ac:dyDescent="0.35">
      <c r="C1416" s="15" t="s">
        <v>8</v>
      </c>
      <c r="D1416" s="15" t="s">
        <v>8</v>
      </c>
      <c r="H1416" s="15" t="s">
        <v>8</v>
      </c>
      <c r="O1416" s="16" t="str">
        <f>HYPERLINK("http://yeinfo.com/family/I09020733.html", "MARGARET PRESTON &lt;2&gt; 1593 EN-1686  ID:09010367")</f>
        <v>MARGARET PRESTON &lt;2&gt; 1593 EN-1686  ID:09010367</v>
      </c>
      <c r="P1416" s="11"/>
      <c r="Q1416" s="11"/>
      <c r="R1416" s="11"/>
      <c r="S1416" s="11"/>
    </row>
    <row r="1417" spans="3:22" x14ac:dyDescent="0.35">
      <c r="C1417" s="15" t="s">
        <v>8</v>
      </c>
      <c r="D1417" s="15" t="s">
        <v>8</v>
      </c>
      <c r="H1417" s="15" t="s">
        <v>8</v>
      </c>
      <c r="P1417" s="15" t="s">
        <v>8</v>
      </c>
    </row>
    <row r="1418" spans="3:22" x14ac:dyDescent="0.35">
      <c r="C1418" s="15" t="s">
        <v>8</v>
      </c>
      <c r="D1418" s="15" t="s">
        <v>8</v>
      </c>
      <c r="H1418" s="15" t="s">
        <v>8</v>
      </c>
      <c r="P1418" s="15" t="s">
        <v>8</v>
      </c>
      <c r="Q1418" s="19" t="str">
        <f>HYPERLINK("http://yeinfo.com/family/I09020735.html", "ROBERT BRAITHWAITE &lt;2&gt; 1538 EN-1589  ID:09041470")</f>
        <v>ROBERT BRAITHWAITE &lt;2&gt; 1538 EN-1589  ID:09041470</v>
      </c>
      <c r="R1418" s="9"/>
      <c r="S1418" s="9"/>
      <c r="T1418" s="9"/>
      <c r="U1418" s="9"/>
    </row>
    <row r="1419" spans="3:22" x14ac:dyDescent="0.35">
      <c r="C1419" s="15" t="s">
        <v>8</v>
      </c>
      <c r="D1419" s="15" t="s">
        <v>8</v>
      </c>
      <c r="H1419" s="15" t="s">
        <v>8</v>
      </c>
      <c r="P1419" s="8" t="s">
        <v>6</v>
      </c>
      <c r="Q1419" s="8" t="s">
        <v>3</v>
      </c>
    </row>
    <row r="1420" spans="3:22" x14ac:dyDescent="0.35">
      <c r="C1420" s="15" t="s">
        <v>8</v>
      </c>
      <c r="D1420" s="15" t="s">
        <v>8</v>
      </c>
      <c r="H1420" s="15" t="s">
        <v>8</v>
      </c>
      <c r="P1420" s="20" t="str">
        <f>HYPERLINK("http://yeinfo.com/family/I09065552.html", "ISABEL\ISABELL BRAITHWAITE &lt;2&gt; 1564 EN-1620 EN ID:09020735")</f>
        <v>ISABEL\ISABELL BRAITHWAITE &lt;2&gt; 1564 EN-1620 EN ID:09020735</v>
      </c>
      <c r="Q1420" s="17"/>
      <c r="R1420" s="17"/>
      <c r="S1420" s="17"/>
      <c r="T1420" s="17"/>
      <c r="U1420" s="17"/>
    </row>
    <row r="1421" spans="3:22" x14ac:dyDescent="0.35">
      <c r="C1421" s="15" t="s">
        <v>8</v>
      </c>
      <c r="D1421" s="15" t="s">
        <v>8</v>
      </c>
      <c r="H1421" s="15" t="s">
        <v>8</v>
      </c>
      <c r="Q1421" s="8" t="s">
        <v>6</v>
      </c>
    </row>
    <row r="1422" spans="3:22" x14ac:dyDescent="0.35">
      <c r="C1422" s="15" t="s">
        <v>8</v>
      </c>
      <c r="D1422" s="15" t="s">
        <v>8</v>
      </c>
      <c r="H1422" s="15" t="s">
        <v>8</v>
      </c>
      <c r="Q1422" s="20" t="str">
        <f>HYPERLINK("http://yeinfo.com/family/I09041470.html", "BETTERES VAUX &lt;2&gt; 1543 EN-1594 EN ID:09041471")</f>
        <v>BETTERES VAUX &lt;2&gt; 1543 EN-1594 EN ID:09041471</v>
      </c>
      <c r="R1422" s="17"/>
      <c r="S1422" s="17"/>
      <c r="T1422" s="17"/>
      <c r="U1422" s="17"/>
    </row>
    <row r="1423" spans="3:22" x14ac:dyDescent="0.35">
      <c r="C1423" s="15" t="s">
        <v>8</v>
      </c>
      <c r="D1423" s="15" t="s">
        <v>8</v>
      </c>
      <c r="H1423" s="15" t="s">
        <v>8</v>
      </c>
    </row>
    <row r="1424" spans="3:22" x14ac:dyDescent="0.35">
      <c r="C1424" s="15" t="s">
        <v>8</v>
      </c>
      <c r="D1424" s="15" t="s">
        <v>8</v>
      </c>
      <c r="G1424" s="5" t="str">
        <f>HYPERLINK("http://yeinfo.com/family/I09000020.html", "GILBERT SEARLS 1811 NY-1860 IL ID:09000040")</f>
        <v>GILBERT SEARLS 1811 NY-1860 IL ID:09000040</v>
      </c>
      <c r="H1424" s="3"/>
      <c r="I1424" s="3"/>
      <c r="J1424" s="3"/>
      <c r="K1424" s="3"/>
    </row>
    <row r="1425" spans="3:19" x14ac:dyDescent="0.35">
      <c r="C1425" s="15" t="s">
        <v>8</v>
      </c>
      <c r="D1425" s="15" t="s">
        <v>8</v>
      </c>
      <c r="G1425" s="8" t="s">
        <v>3</v>
      </c>
      <c r="H1425" s="15" t="s">
        <v>8</v>
      </c>
    </row>
    <row r="1426" spans="3:19" x14ac:dyDescent="0.35">
      <c r="C1426" s="15" t="s">
        <v>8</v>
      </c>
      <c r="D1426" s="15" t="s">
        <v>8</v>
      </c>
      <c r="G1426" s="15" t="s">
        <v>8</v>
      </c>
      <c r="H1426" s="15" t="s">
        <v>8</v>
      </c>
      <c r="O1426" s="19" t="str">
        <f>HYPERLINK("http://yeinfo.com/family/I09005184.html", "WILLIAM FISHER 1560 ST-1589 ST ID:09010368")</f>
        <v>WILLIAM FISHER 1560 ST-1589 ST ID:09010368</v>
      </c>
      <c r="P1426" s="9"/>
      <c r="Q1426" s="9"/>
      <c r="R1426" s="9"/>
      <c r="S1426" s="9"/>
    </row>
    <row r="1427" spans="3:19" x14ac:dyDescent="0.35">
      <c r="C1427" s="15" t="s">
        <v>8</v>
      </c>
      <c r="D1427" s="15" t="s">
        <v>8</v>
      </c>
      <c r="G1427" s="15" t="s">
        <v>8</v>
      </c>
      <c r="H1427" s="15" t="s">
        <v>8</v>
      </c>
      <c r="O1427" s="8" t="s">
        <v>3</v>
      </c>
    </row>
    <row r="1428" spans="3:19" x14ac:dyDescent="0.35">
      <c r="C1428" s="15" t="s">
        <v>8</v>
      </c>
      <c r="D1428" s="15" t="s">
        <v>8</v>
      </c>
      <c r="G1428" s="15" t="s">
        <v>8</v>
      </c>
      <c r="H1428" s="15" t="s">
        <v>8</v>
      </c>
      <c r="N1428" s="19" t="str">
        <f>HYPERLINK("http://yeinfo.com/family/I09002592.html", "JOHN FISHER 1585 ST-1621 ST ID:09005184")</f>
        <v>JOHN FISHER 1585 ST-1621 ST ID:09005184</v>
      </c>
      <c r="O1428" s="9"/>
      <c r="P1428" s="9"/>
      <c r="Q1428" s="9"/>
      <c r="R1428" s="9"/>
    </row>
    <row r="1429" spans="3:19" x14ac:dyDescent="0.35">
      <c r="C1429" s="15" t="s">
        <v>8</v>
      </c>
      <c r="D1429" s="15" t="s">
        <v>8</v>
      </c>
      <c r="G1429" s="15" t="s">
        <v>8</v>
      </c>
      <c r="H1429" s="15" t="s">
        <v>8</v>
      </c>
      <c r="N1429" s="8" t="s">
        <v>3</v>
      </c>
      <c r="O1429" s="8" t="s">
        <v>6</v>
      </c>
    </row>
    <row r="1430" spans="3:19" x14ac:dyDescent="0.35">
      <c r="C1430" s="15" t="s">
        <v>8</v>
      </c>
      <c r="D1430" s="15" t="s">
        <v>8</v>
      </c>
      <c r="G1430" s="15" t="s">
        <v>8</v>
      </c>
      <c r="H1430" s="15" t="s">
        <v>8</v>
      </c>
      <c r="N1430" s="15" t="s">
        <v>8</v>
      </c>
      <c r="O1430" s="20" t="str">
        <f>HYPERLINK("http://yeinfo.com/family/I09010368.html", "MARY ROACH 1560 ST-1585 ST ID:09010369")</f>
        <v>MARY ROACH 1560 ST-1585 ST ID:09010369</v>
      </c>
      <c r="P1430" s="17"/>
      <c r="Q1430" s="17"/>
      <c r="R1430" s="17"/>
      <c r="S1430" s="17"/>
    </row>
    <row r="1431" spans="3:19" x14ac:dyDescent="0.35">
      <c r="C1431" s="15" t="s">
        <v>8</v>
      </c>
      <c r="D1431" s="15" t="s">
        <v>8</v>
      </c>
      <c r="G1431" s="15" t="s">
        <v>8</v>
      </c>
      <c r="H1431" s="15" t="s">
        <v>8</v>
      </c>
      <c r="N1431" s="15" t="s">
        <v>8</v>
      </c>
    </row>
    <row r="1432" spans="3:19" x14ac:dyDescent="0.35">
      <c r="C1432" s="15" t="s">
        <v>8</v>
      </c>
      <c r="D1432" s="15" t="s">
        <v>8</v>
      </c>
      <c r="G1432" s="15" t="s">
        <v>8</v>
      </c>
      <c r="H1432" s="15" t="s">
        <v>8</v>
      </c>
      <c r="M1432" s="19" t="str">
        <f>HYPERLINK("http://yeinfo.com/family/I09001296.html", "JAMES FISHER 1611 ST-1672 IR ID:09002592")</f>
        <v>JAMES FISHER 1611 ST-1672 IR ID:09002592</v>
      </c>
      <c r="N1432" s="9"/>
      <c r="O1432" s="9"/>
      <c r="P1432" s="9"/>
      <c r="Q1432" s="9"/>
    </row>
    <row r="1433" spans="3:19" x14ac:dyDescent="0.35">
      <c r="C1433" s="15" t="s">
        <v>8</v>
      </c>
      <c r="D1433" s="15" t="s">
        <v>8</v>
      </c>
      <c r="G1433" s="15" t="s">
        <v>8</v>
      </c>
      <c r="H1433" s="15" t="s">
        <v>8</v>
      </c>
      <c r="M1433" s="8" t="s">
        <v>3</v>
      </c>
      <c r="N1433" s="8" t="s">
        <v>6</v>
      </c>
    </row>
    <row r="1434" spans="3:19" x14ac:dyDescent="0.35">
      <c r="C1434" s="15" t="s">
        <v>8</v>
      </c>
      <c r="D1434" s="15" t="s">
        <v>8</v>
      </c>
      <c r="G1434" s="15" t="s">
        <v>8</v>
      </c>
      <c r="H1434" s="15" t="s">
        <v>8</v>
      </c>
      <c r="M1434" s="15" t="s">
        <v>8</v>
      </c>
      <c r="N1434" s="20" t="str">
        <f>HYPERLINK("http://yeinfo.com/family/I09010369.html", "Mrs. MARTHA FISHER 1585 ST-1621 ST ID:09005185")</f>
        <v>Mrs. MARTHA FISHER 1585 ST-1621 ST ID:09005185</v>
      </c>
      <c r="O1434" s="17"/>
      <c r="P1434" s="17"/>
      <c r="Q1434" s="17"/>
      <c r="R1434" s="17"/>
    </row>
    <row r="1435" spans="3:19" x14ac:dyDescent="0.35">
      <c r="C1435" s="15" t="s">
        <v>8</v>
      </c>
      <c r="D1435" s="15" t="s">
        <v>8</v>
      </c>
      <c r="G1435" s="15" t="s">
        <v>8</v>
      </c>
      <c r="H1435" s="15" t="s">
        <v>8</v>
      </c>
      <c r="M1435" s="15" t="s">
        <v>8</v>
      </c>
    </row>
    <row r="1436" spans="3:19" x14ac:dyDescent="0.35">
      <c r="C1436" s="15" t="s">
        <v>8</v>
      </c>
      <c r="D1436" s="15" t="s">
        <v>8</v>
      </c>
      <c r="G1436" s="15" t="s">
        <v>8</v>
      </c>
      <c r="H1436" s="15" t="s">
        <v>8</v>
      </c>
      <c r="L1436" s="19" t="str">
        <f>HYPERLINK("http://yeinfo.com/family/I09000648.html", "JAMES FISHER 1636 IR-1675 NI ID:09001296")</f>
        <v>JAMES FISHER 1636 IR-1675 NI ID:09001296</v>
      </c>
      <c r="M1436" s="9"/>
      <c r="N1436" s="9"/>
      <c r="O1436" s="9"/>
      <c r="P1436" s="9"/>
    </row>
    <row r="1437" spans="3:19" x14ac:dyDescent="0.35">
      <c r="C1437" s="15" t="s">
        <v>8</v>
      </c>
      <c r="D1437" s="15" t="s">
        <v>8</v>
      </c>
      <c r="G1437" s="15" t="s">
        <v>8</v>
      </c>
      <c r="H1437" s="15" t="s">
        <v>8</v>
      </c>
      <c r="L1437" s="8" t="s">
        <v>3</v>
      </c>
      <c r="M1437" s="8" t="s">
        <v>6</v>
      </c>
    </row>
    <row r="1438" spans="3:19" x14ac:dyDescent="0.35">
      <c r="C1438" s="15" t="s">
        <v>8</v>
      </c>
      <c r="D1438" s="15" t="s">
        <v>8</v>
      </c>
      <c r="G1438" s="15" t="s">
        <v>8</v>
      </c>
      <c r="H1438" s="15" t="s">
        <v>8</v>
      </c>
      <c r="L1438" s="15" t="s">
        <v>8</v>
      </c>
      <c r="M1438" s="20" t="str">
        <f>HYPERLINK("http://yeinfo.com/family/I09005185.html", "Mrs. ELIZABETH FISHER 1611 ST-1652 IR ID:09002593")</f>
        <v>Mrs. ELIZABETH FISHER 1611 ST-1652 IR ID:09002593</v>
      </c>
      <c r="N1438" s="17"/>
      <c r="O1438" s="17"/>
      <c r="P1438" s="17"/>
      <c r="Q1438" s="17"/>
    </row>
    <row r="1439" spans="3:19" x14ac:dyDescent="0.35">
      <c r="C1439" s="15" t="s">
        <v>8</v>
      </c>
      <c r="D1439" s="15" t="s">
        <v>8</v>
      </c>
      <c r="G1439" s="15" t="s">
        <v>8</v>
      </c>
      <c r="H1439" s="15" t="s">
        <v>8</v>
      </c>
      <c r="L1439" s="15" t="s">
        <v>8</v>
      </c>
    </row>
    <row r="1440" spans="3:19" x14ac:dyDescent="0.35">
      <c r="C1440" s="15" t="s">
        <v>8</v>
      </c>
      <c r="D1440" s="15" t="s">
        <v>8</v>
      </c>
      <c r="G1440" s="15" t="s">
        <v>8</v>
      </c>
      <c r="H1440" s="15" t="s">
        <v>8</v>
      </c>
      <c r="K1440" s="19" t="str">
        <f>HYPERLINK("http://yeinfo.com/family/I09000324.html", "JOHN FISHER 1675 IR-1727 IR ID:09000648")</f>
        <v>JOHN FISHER 1675 IR-1727 IR ID:09000648</v>
      </c>
      <c r="L1440" s="9"/>
      <c r="M1440" s="9"/>
      <c r="N1440" s="9"/>
      <c r="O1440" s="9"/>
    </row>
    <row r="1441" spans="3:17" x14ac:dyDescent="0.35">
      <c r="C1441" s="15" t="s">
        <v>8</v>
      </c>
      <c r="D1441" s="15" t="s">
        <v>8</v>
      </c>
      <c r="G1441" s="15" t="s">
        <v>8</v>
      </c>
      <c r="H1441" s="15" t="s">
        <v>8</v>
      </c>
      <c r="K1441" s="8" t="s">
        <v>3</v>
      </c>
      <c r="L1441" s="8" t="s">
        <v>6</v>
      </c>
    </row>
    <row r="1442" spans="3:17" x14ac:dyDescent="0.35">
      <c r="C1442" s="15" t="s">
        <v>8</v>
      </c>
      <c r="D1442" s="15" t="s">
        <v>8</v>
      </c>
      <c r="G1442" s="15" t="s">
        <v>8</v>
      </c>
      <c r="H1442" s="15" t="s">
        <v>8</v>
      </c>
      <c r="K1442" s="15" t="s">
        <v>8</v>
      </c>
      <c r="L1442" s="20" t="str">
        <f>HYPERLINK("http://yeinfo.com/family/I09002593.html", "Mrs. JANET FISHER 1636 NI-1675 NI ID:09001297")</f>
        <v>Mrs. JANET FISHER 1636 NI-1675 NI ID:09001297</v>
      </c>
      <c r="M1442" s="17"/>
      <c r="N1442" s="17"/>
      <c r="O1442" s="17"/>
      <c r="P1442" s="17"/>
    </row>
    <row r="1443" spans="3:17" x14ac:dyDescent="0.35">
      <c r="C1443" s="15" t="s">
        <v>8</v>
      </c>
      <c r="D1443" s="15" t="s">
        <v>8</v>
      </c>
      <c r="G1443" s="15" t="s">
        <v>8</v>
      </c>
      <c r="H1443" s="15" t="s">
        <v>8</v>
      </c>
      <c r="K1443" s="15" t="s">
        <v>8</v>
      </c>
    </row>
    <row r="1444" spans="3:17" x14ac:dyDescent="0.35">
      <c r="C1444" s="15" t="s">
        <v>8</v>
      </c>
      <c r="D1444" s="15" t="s">
        <v>8</v>
      </c>
      <c r="G1444" s="15" t="s">
        <v>8</v>
      </c>
      <c r="H1444" s="15" t="s">
        <v>8</v>
      </c>
      <c r="J1444" s="21" t="str">
        <f>HYPERLINK("http://yeinfo.com/family/I09000162.html", "SAMUEL FISHER 1722 IR-1806 NH ID:09000324")</f>
        <v>SAMUEL FISHER 1722 IR-1806 NH ID:09000324</v>
      </c>
      <c r="K1444" s="6"/>
      <c r="L1444" s="6"/>
      <c r="M1444" s="6"/>
      <c r="N1444" s="6"/>
    </row>
    <row r="1445" spans="3:17" x14ac:dyDescent="0.35">
      <c r="C1445" s="15" t="s">
        <v>8</v>
      </c>
      <c r="D1445" s="15" t="s">
        <v>8</v>
      </c>
      <c r="G1445" s="15" t="s">
        <v>8</v>
      </c>
      <c r="H1445" s="15" t="s">
        <v>8</v>
      </c>
      <c r="J1445" s="8" t="s">
        <v>3</v>
      </c>
      <c r="K1445" s="8" t="s">
        <v>6</v>
      </c>
    </row>
    <row r="1446" spans="3:17" x14ac:dyDescent="0.35">
      <c r="C1446" s="15" t="s">
        <v>8</v>
      </c>
      <c r="D1446" s="15" t="s">
        <v>8</v>
      </c>
      <c r="G1446" s="15" t="s">
        <v>8</v>
      </c>
      <c r="H1446" s="15" t="s">
        <v>8</v>
      </c>
      <c r="J1446" s="15" t="s">
        <v>8</v>
      </c>
      <c r="K1446" s="20" t="str">
        <f>HYPERLINK("http://yeinfo.com/family/I09001297.html", "SARAH ELLEN WALTERS 1675 IR-1724 IR ID:09000649")</f>
        <v>SARAH ELLEN WALTERS 1675 IR-1724 IR ID:09000649</v>
      </c>
      <c r="L1446" s="17"/>
      <c r="M1446" s="17"/>
      <c r="N1446" s="17"/>
      <c r="O1446" s="17"/>
    </row>
    <row r="1447" spans="3:17" x14ac:dyDescent="0.35">
      <c r="C1447" s="15" t="s">
        <v>8</v>
      </c>
      <c r="D1447" s="15" t="s">
        <v>8</v>
      </c>
      <c r="G1447" s="15" t="s">
        <v>8</v>
      </c>
      <c r="H1447" s="15" t="s">
        <v>8</v>
      </c>
      <c r="J1447" s="15" t="s">
        <v>8</v>
      </c>
    </row>
    <row r="1448" spans="3:17" x14ac:dyDescent="0.35">
      <c r="C1448" s="15" t="s">
        <v>8</v>
      </c>
      <c r="D1448" s="15" t="s">
        <v>8</v>
      </c>
      <c r="G1448" s="15" t="s">
        <v>8</v>
      </c>
      <c r="H1448" s="15" t="s">
        <v>8</v>
      </c>
      <c r="I1448" s="5" t="str">
        <f>HYPERLINK("http://yeinfo.com/family/I09000081.html", "WILLIAM FISHER 1762 NY-1823 NY ID:09000162")</f>
        <v>WILLIAM FISHER 1762 NY-1823 NY ID:09000162</v>
      </c>
      <c r="J1448" s="3"/>
      <c r="K1448" s="3"/>
      <c r="L1448" s="3"/>
      <c r="M1448" s="3"/>
    </row>
    <row r="1449" spans="3:17" x14ac:dyDescent="0.35">
      <c r="C1449" s="15" t="s">
        <v>8</v>
      </c>
      <c r="D1449" s="15" t="s">
        <v>8</v>
      </c>
      <c r="G1449" s="15" t="s">
        <v>8</v>
      </c>
      <c r="H1449" s="15" t="s">
        <v>8</v>
      </c>
      <c r="I1449" s="8" t="s">
        <v>3</v>
      </c>
      <c r="J1449" s="15" t="s">
        <v>8</v>
      </c>
    </row>
    <row r="1450" spans="3:17" x14ac:dyDescent="0.35">
      <c r="C1450" s="15" t="s">
        <v>8</v>
      </c>
      <c r="D1450" s="15" t="s">
        <v>8</v>
      </c>
      <c r="G1450" s="15" t="s">
        <v>8</v>
      </c>
      <c r="H1450" s="15" t="s">
        <v>8</v>
      </c>
      <c r="I1450" s="15" t="s">
        <v>8</v>
      </c>
      <c r="J1450" s="15" t="s">
        <v>8</v>
      </c>
      <c r="M1450" s="5" t="str">
        <f>HYPERLINK("http://yeinfo.com/family/I09001300.html", "JOHN BARBER 1630 NH-1669 MA ID:09002600")</f>
        <v>JOHN BARBER 1630 NH-1669 MA ID:09002600</v>
      </c>
      <c r="N1450" s="3"/>
      <c r="O1450" s="3"/>
      <c r="P1450" s="3"/>
      <c r="Q1450" s="3"/>
    </row>
    <row r="1451" spans="3:17" x14ac:dyDescent="0.35">
      <c r="C1451" s="15" t="s">
        <v>8</v>
      </c>
      <c r="D1451" s="15" t="s">
        <v>8</v>
      </c>
      <c r="G1451" s="15" t="s">
        <v>8</v>
      </c>
      <c r="H1451" s="15" t="s">
        <v>8</v>
      </c>
      <c r="I1451" s="15" t="s">
        <v>8</v>
      </c>
      <c r="J1451" s="15" t="s">
        <v>8</v>
      </c>
      <c r="M1451" s="8" t="s">
        <v>3</v>
      </c>
    </row>
    <row r="1452" spans="3:17" x14ac:dyDescent="0.35">
      <c r="C1452" s="15" t="s">
        <v>8</v>
      </c>
      <c r="D1452" s="15" t="s">
        <v>8</v>
      </c>
      <c r="G1452" s="15" t="s">
        <v>8</v>
      </c>
      <c r="H1452" s="15" t="s">
        <v>8</v>
      </c>
      <c r="I1452" s="15" t="s">
        <v>8</v>
      </c>
      <c r="J1452" s="15" t="s">
        <v>8</v>
      </c>
      <c r="L1452" s="5" t="str">
        <f>HYPERLINK("http://yeinfo.com/family/I09000650.html", "ROBERT BARBER Sr. 1669 MA-1706 NH ID:09001300")</f>
        <v>ROBERT BARBER Sr. 1669 MA-1706 NH ID:09001300</v>
      </c>
      <c r="M1452" s="3"/>
      <c r="N1452" s="3"/>
      <c r="O1452" s="3"/>
      <c r="P1452" s="3"/>
    </row>
    <row r="1453" spans="3:17" x14ac:dyDescent="0.35">
      <c r="C1453" s="15" t="s">
        <v>8</v>
      </c>
      <c r="D1453" s="15" t="s">
        <v>8</v>
      </c>
      <c r="G1453" s="15" t="s">
        <v>8</v>
      </c>
      <c r="H1453" s="15" t="s">
        <v>8</v>
      </c>
      <c r="I1453" s="15" t="s">
        <v>8</v>
      </c>
      <c r="J1453" s="15" t="s">
        <v>8</v>
      </c>
      <c r="L1453" s="8" t="s">
        <v>3</v>
      </c>
      <c r="M1453" s="8" t="s">
        <v>6</v>
      </c>
    </row>
    <row r="1454" spans="3:17" x14ac:dyDescent="0.35">
      <c r="C1454" s="15" t="s">
        <v>8</v>
      </c>
      <c r="D1454" s="15" t="s">
        <v>8</v>
      </c>
      <c r="G1454" s="15" t="s">
        <v>8</v>
      </c>
      <c r="H1454" s="15" t="s">
        <v>8</v>
      </c>
      <c r="I1454" s="15" t="s">
        <v>8</v>
      </c>
      <c r="J1454" s="15" t="s">
        <v>8</v>
      </c>
      <c r="L1454" s="15" t="s">
        <v>8</v>
      </c>
      <c r="M1454" s="16" t="str">
        <f>HYPERLINK("http://yeinfo.com/family/I09002600.html", "Mrs. SISELY BARBER 1633 NH-1669 MA ID:09002601")</f>
        <v>Mrs. SISELY BARBER 1633 NH-1669 MA ID:09002601</v>
      </c>
      <c r="N1454" s="11"/>
      <c r="O1454" s="11"/>
      <c r="P1454" s="11"/>
      <c r="Q1454" s="11"/>
    </row>
    <row r="1455" spans="3:17" x14ac:dyDescent="0.35">
      <c r="C1455" s="15" t="s">
        <v>8</v>
      </c>
      <c r="D1455" s="15" t="s">
        <v>8</v>
      </c>
      <c r="G1455" s="15" t="s">
        <v>8</v>
      </c>
      <c r="H1455" s="15" t="s">
        <v>8</v>
      </c>
      <c r="I1455" s="15" t="s">
        <v>8</v>
      </c>
      <c r="J1455" s="15" t="s">
        <v>8</v>
      </c>
      <c r="L1455" s="15" t="s">
        <v>8</v>
      </c>
    </row>
    <row r="1456" spans="3:17" x14ac:dyDescent="0.35">
      <c r="C1456" s="15" t="s">
        <v>8</v>
      </c>
      <c r="D1456" s="15" t="s">
        <v>8</v>
      </c>
      <c r="G1456" s="15" t="s">
        <v>8</v>
      </c>
      <c r="H1456" s="15" t="s">
        <v>8</v>
      </c>
      <c r="I1456" s="15" t="s">
        <v>8</v>
      </c>
      <c r="J1456" s="15" t="s">
        <v>8</v>
      </c>
      <c r="K1456" s="5" t="str">
        <f>HYPERLINK("http://yeinfo.com/family/I09000325.html", "ROBERT BARBER 1699 NH-1742 NH ID:09000650")</f>
        <v>ROBERT BARBER 1699 NH-1742 NH ID:09000650</v>
      </c>
      <c r="L1456" s="3"/>
      <c r="M1456" s="3"/>
      <c r="N1456" s="3"/>
      <c r="O1456" s="3"/>
    </row>
    <row r="1457" spans="3:25" x14ac:dyDescent="0.35">
      <c r="C1457" s="15" t="s">
        <v>8</v>
      </c>
      <c r="D1457" s="15" t="s">
        <v>8</v>
      </c>
      <c r="G1457" s="15" t="s">
        <v>8</v>
      </c>
      <c r="H1457" s="15" t="s">
        <v>8</v>
      </c>
      <c r="I1457" s="15" t="s">
        <v>8</v>
      </c>
      <c r="J1457" s="15" t="s">
        <v>8</v>
      </c>
      <c r="K1457" s="8" t="s">
        <v>3</v>
      </c>
      <c r="L1457" s="8" t="s">
        <v>6</v>
      </c>
    </row>
    <row r="1458" spans="3:25" x14ac:dyDescent="0.35">
      <c r="C1458" s="15" t="s">
        <v>8</v>
      </c>
      <c r="D1458" s="15" t="s">
        <v>8</v>
      </c>
      <c r="G1458" s="15" t="s">
        <v>8</v>
      </c>
      <c r="H1458" s="15" t="s">
        <v>8</v>
      </c>
      <c r="I1458" s="15" t="s">
        <v>8</v>
      </c>
      <c r="J1458" s="15" t="s">
        <v>8</v>
      </c>
      <c r="K1458" s="15" t="s">
        <v>8</v>
      </c>
      <c r="L1458" s="16" t="str">
        <f>HYPERLINK("http://yeinfo.com/family/I09002601.html", "Mrs. SISLY BARBER 1670 -1699  ID:09001301")</f>
        <v>Mrs. SISLY BARBER 1670 -1699  ID:09001301</v>
      </c>
      <c r="M1458" s="11"/>
      <c r="N1458" s="11"/>
      <c r="O1458" s="11"/>
      <c r="P1458" s="11"/>
    </row>
    <row r="1459" spans="3:25" x14ac:dyDescent="0.35">
      <c r="C1459" s="15" t="s">
        <v>8</v>
      </c>
      <c r="D1459" s="15" t="s">
        <v>8</v>
      </c>
      <c r="G1459" s="15" t="s">
        <v>8</v>
      </c>
      <c r="H1459" s="15" t="s">
        <v>8</v>
      </c>
      <c r="I1459" s="15" t="s">
        <v>8</v>
      </c>
      <c r="J1459" s="8" t="s">
        <v>6</v>
      </c>
      <c r="K1459" s="15" t="s">
        <v>8</v>
      </c>
    </row>
    <row r="1460" spans="3:25" x14ac:dyDescent="0.35">
      <c r="C1460" s="15" t="s">
        <v>8</v>
      </c>
      <c r="D1460" s="15" t="s">
        <v>8</v>
      </c>
      <c r="G1460" s="15" t="s">
        <v>8</v>
      </c>
      <c r="H1460" s="15" t="s">
        <v>8</v>
      </c>
      <c r="I1460" s="15" t="s">
        <v>8</v>
      </c>
      <c r="J1460" s="16" t="str">
        <f>HYPERLINK("http://yeinfo.com/family/I09000649.html", "SARAH BARBER 1732 NH-1813 NH ID:09000325")</f>
        <v>SARAH BARBER 1732 NH-1813 NH ID:09000325</v>
      </c>
      <c r="K1460" s="11"/>
      <c r="L1460" s="11"/>
      <c r="M1460" s="11"/>
      <c r="N1460" s="11"/>
    </row>
    <row r="1461" spans="3:25" x14ac:dyDescent="0.35">
      <c r="C1461" s="15" t="s">
        <v>8</v>
      </c>
      <c r="D1461" s="15" t="s">
        <v>8</v>
      </c>
      <c r="G1461" s="15" t="s">
        <v>8</v>
      </c>
      <c r="H1461" s="15" t="s">
        <v>8</v>
      </c>
      <c r="I1461" s="15" t="s">
        <v>8</v>
      </c>
      <c r="K1461" s="15" t="s">
        <v>8</v>
      </c>
    </row>
    <row r="1462" spans="3:25" x14ac:dyDescent="0.35">
      <c r="C1462" s="15" t="s">
        <v>8</v>
      </c>
      <c r="D1462" s="15" t="s">
        <v>8</v>
      </c>
      <c r="G1462" s="15" t="s">
        <v>8</v>
      </c>
      <c r="H1462" s="15" t="s">
        <v>8</v>
      </c>
      <c r="I1462" s="15" t="s">
        <v>8</v>
      </c>
      <c r="K1462" s="15" t="s">
        <v>8</v>
      </c>
      <c r="U1462" s="19" t="str">
        <f>HYPERLINK("http://yeinfo.com/family/I09065817.html", "PAUL MACBEAN 1350 ST-1405 ST ID:09065975")</f>
        <v>PAUL MACBEAN 1350 ST-1405 ST ID:09065975</v>
      </c>
      <c r="V1462" s="9"/>
      <c r="W1462" s="9"/>
      <c r="X1462" s="9"/>
      <c r="Y1462" s="9"/>
    </row>
    <row r="1463" spans="3:25" x14ac:dyDescent="0.35">
      <c r="C1463" s="15" t="s">
        <v>8</v>
      </c>
      <c r="D1463" s="15" t="s">
        <v>8</v>
      </c>
      <c r="G1463" s="15" t="s">
        <v>8</v>
      </c>
      <c r="H1463" s="15" t="s">
        <v>8</v>
      </c>
      <c r="I1463" s="15" t="s">
        <v>8</v>
      </c>
      <c r="K1463" s="15" t="s">
        <v>8</v>
      </c>
      <c r="U1463" s="8" t="s">
        <v>3</v>
      </c>
    </row>
    <row r="1464" spans="3:25" x14ac:dyDescent="0.35">
      <c r="C1464" s="15" t="s">
        <v>8</v>
      </c>
      <c r="D1464" s="15" t="s">
        <v>8</v>
      </c>
      <c r="G1464" s="15" t="s">
        <v>8</v>
      </c>
      <c r="H1464" s="15" t="s">
        <v>8</v>
      </c>
      <c r="I1464" s="15" t="s">
        <v>8</v>
      </c>
      <c r="K1464" s="15" t="s">
        <v>8</v>
      </c>
      <c r="T1464" s="19" t="str">
        <f>HYPERLINK("http://yeinfo.com/family/I09065688.html", "NOAH MACBEAN 1405 ST-1445 ST ID:09065817")</f>
        <v>NOAH MACBEAN 1405 ST-1445 ST ID:09065817</v>
      </c>
      <c r="U1464" s="9"/>
      <c r="V1464" s="9"/>
      <c r="W1464" s="9"/>
      <c r="X1464" s="9"/>
    </row>
    <row r="1465" spans="3:25" x14ac:dyDescent="0.35">
      <c r="C1465" s="15" t="s">
        <v>8</v>
      </c>
      <c r="D1465" s="15" t="s">
        <v>8</v>
      </c>
      <c r="G1465" s="15" t="s">
        <v>8</v>
      </c>
      <c r="H1465" s="15" t="s">
        <v>8</v>
      </c>
      <c r="I1465" s="15" t="s">
        <v>8</v>
      </c>
      <c r="K1465" s="15" t="s">
        <v>8</v>
      </c>
      <c r="T1465" s="8" t="s">
        <v>3</v>
      </c>
      <c r="U1465" s="8" t="s">
        <v>6</v>
      </c>
    </row>
    <row r="1466" spans="3:25" x14ac:dyDescent="0.35">
      <c r="C1466" s="15" t="s">
        <v>8</v>
      </c>
      <c r="D1466" s="15" t="s">
        <v>8</v>
      </c>
      <c r="G1466" s="15" t="s">
        <v>8</v>
      </c>
      <c r="H1466" s="15" t="s">
        <v>8</v>
      </c>
      <c r="I1466" s="15" t="s">
        <v>8</v>
      </c>
      <c r="K1466" s="15" t="s">
        <v>8</v>
      </c>
      <c r="T1466" s="15" t="s">
        <v>8</v>
      </c>
      <c r="U1466" s="20" t="str">
        <f>HYPERLINK("http://yeinfo.com/family/I09065975.html", "Mrs. {_?_} MACBEAN 1355 ST-1405 ST ID:09065976")</f>
        <v>Mrs. {_?_} MACBEAN 1355 ST-1405 ST ID:09065976</v>
      </c>
      <c r="V1466" s="17"/>
      <c r="W1466" s="17"/>
      <c r="X1466" s="17"/>
      <c r="Y1466" s="17"/>
    </row>
    <row r="1467" spans="3:25" x14ac:dyDescent="0.35">
      <c r="C1467" s="15" t="s">
        <v>8</v>
      </c>
      <c r="D1467" s="15" t="s">
        <v>8</v>
      </c>
      <c r="G1467" s="15" t="s">
        <v>8</v>
      </c>
      <c r="H1467" s="15" t="s">
        <v>8</v>
      </c>
      <c r="I1467" s="15" t="s">
        <v>8</v>
      </c>
      <c r="K1467" s="15" t="s">
        <v>8</v>
      </c>
      <c r="T1467" s="15" t="s">
        <v>8</v>
      </c>
    </row>
    <row r="1468" spans="3:25" x14ac:dyDescent="0.35">
      <c r="C1468" s="15" t="s">
        <v>8</v>
      </c>
      <c r="D1468" s="15" t="s">
        <v>8</v>
      </c>
      <c r="G1468" s="15" t="s">
        <v>8</v>
      </c>
      <c r="H1468" s="15" t="s">
        <v>8</v>
      </c>
      <c r="I1468" s="15" t="s">
        <v>8</v>
      </c>
      <c r="K1468" s="15" t="s">
        <v>8</v>
      </c>
      <c r="S1468" s="19" t="str">
        <f>HYPERLINK("http://yeinfo.com/family/I09065553.html", "PAUL MACBEAN 1445 ST-1475 ST ID:09065688")</f>
        <v>PAUL MACBEAN 1445 ST-1475 ST ID:09065688</v>
      </c>
      <c r="T1468" s="9"/>
      <c r="U1468" s="9"/>
      <c r="V1468" s="9"/>
      <c r="W1468" s="9"/>
    </row>
    <row r="1469" spans="3:25" x14ac:dyDescent="0.35">
      <c r="C1469" s="15" t="s">
        <v>8</v>
      </c>
      <c r="D1469" s="15" t="s">
        <v>8</v>
      </c>
      <c r="G1469" s="15" t="s">
        <v>8</v>
      </c>
      <c r="H1469" s="15" t="s">
        <v>8</v>
      </c>
      <c r="I1469" s="15" t="s">
        <v>8</v>
      </c>
      <c r="K1469" s="15" t="s">
        <v>8</v>
      </c>
      <c r="S1469" s="8" t="s">
        <v>3</v>
      </c>
      <c r="T1469" s="8" t="s">
        <v>6</v>
      </c>
    </row>
    <row r="1470" spans="3:25" x14ac:dyDescent="0.35">
      <c r="C1470" s="15" t="s">
        <v>8</v>
      </c>
      <c r="D1470" s="15" t="s">
        <v>8</v>
      </c>
      <c r="G1470" s="15" t="s">
        <v>8</v>
      </c>
      <c r="H1470" s="15" t="s">
        <v>8</v>
      </c>
      <c r="I1470" s="15" t="s">
        <v>8</v>
      </c>
      <c r="K1470" s="15" t="s">
        <v>8</v>
      </c>
      <c r="S1470" s="15" t="s">
        <v>8</v>
      </c>
      <c r="T1470" s="20" t="str">
        <f>HYPERLINK("http://yeinfo.com/family/I09065976.html", "EMZARA NAAMAH 1410 ST-1445 ST ID:09065818")</f>
        <v>EMZARA NAAMAH 1410 ST-1445 ST ID:09065818</v>
      </c>
      <c r="U1470" s="17"/>
      <c r="V1470" s="17"/>
      <c r="W1470" s="17"/>
      <c r="X1470" s="17"/>
    </row>
    <row r="1471" spans="3:25" x14ac:dyDescent="0.35">
      <c r="C1471" s="15" t="s">
        <v>8</v>
      </c>
      <c r="D1471" s="15" t="s">
        <v>8</v>
      </c>
      <c r="G1471" s="15" t="s">
        <v>8</v>
      </c>
      <c r="H1471" s="15" t="s">
        <v>8</v>
      </c>
      <c r="I1471" s="15" t="s">
        <v>8</v>
      </c>
      <c r="K1471" s="15" t="s">
        <v>8</v>
      </c>
      <c r="S1471" s="15" t="s">
        <v>8</v>
      </c>
    </row>
    <row r="1472" spans="3:25" x14ac:dyDescent="0.35">
      <c r="C1472" s="15" t="s">
        <v>8</v>
      </c>
      <c r="D1472" s="15" t="s">
        <v>8</v>
      </c>
      <c r="G1472" s="15" t="s">
        <v>8</v>
      </c>
      <c r="H1472" s="15" t="s">
        <v>8</v>
      </c>
      <c r="I1472" s="15" t="s">
        <v>8</v>
      </c>
      <c r="K1472" s="15" t="s">
        <v>8</v>
      </c>
      <c r="R1472" s="19" t="str">
        <f>HYPERLINK("http://yeinfo.com/family/I09041664.html", "GILLIS\GILES MACBEAN 1470 ST-1546 ST ID:09065553")</f>
        <v>GILLIS\GILES MACBEAN 1470 ST-1546 ST ID:09065553</v>
      </c>
      <c r="S1472" s="9"/>
      <c r="T1472" s="9"/>
      <c r="U1472" s="9"/>
      <c r="V1472" s="9"/>
      <c r="W1472" s="9"/>
    </row>
    <row r="1473" spans="3:23" x14ac:dyDescent="0.35">
      <c r="C1473" s="15" t="s">
        <v>8</v>
      </c>
      <c r="D1473" s="15" t="s">
        <v>8</v>
      </c>
      <c r="G1473" s="15" t="s">
        <v>8</v>
      </c>
      <c r="H1473" s="15" t="s">
        <v>8</v>
      </c>
      <c r="I1473" s="15" t="s">
        <v>8</v>
      </c>
      <c r="K1473" s="15" t="s">
        <v>8</v>
      </c>
      <c r="R1473" s="8" t="s">
        <v>3</v>
      </c>
      <c r="S1473" s="8" t="s">
        <v>6</v>
      </c>
    </row>
    <row r="1474" spans="3:23" x14ac:dyDescent="0.35">
      <c r="C1474" s="15" t="s">
        <v>8</v>
      </c>
      <c r="D1474" s="15" t="s">
        <v>8</v>
      </c>
      <c r="G1474" s="15" t="s">
        <v>8</v>
      </c>
      <c r="H1474" s="15" t="s">
        <v>8</v>
      </c>
      <c r="I1474" s="15" t="s">
        <v>8</v>
      </c>
      <c r="K1474" s="15" t="s">
        <v>8</v>
      </c>
      <c r="R1474" s="15" t="s">
        <v>8</v>
      </c>
      <c r="S1474" s="20" t="str">
        <f>HYPERLINK("http://yeinfo.com/family/I09065818.html", "SARAH ANNE MORRAY 1445 ST-1470 ST ID:09065689")</f>
        <v>SARAH ANNE MORRAY 1445 ST-1470 ST ID:09065689</v>
      </c>
      <c r="T1474" s="17"/>
      <c r="U1474" s="17"/>
      <c r="V1474" s="17"/>
      <c r="W1474" s="17"/>
    </row>
    <row r="1475" spans="3:23" x14ac:dyDescent="0.35">
      <c r="C1475" s="15" t="s">
        <v>8</v>
      </c>
      <c r="D1475" s="15" t="s">
        <v>8</v>
      </c>
      <c r="G1475" s="15" t="s">
        <v>8</v>
      </c>
      <c r="H1475" s="15" t="s">
        <v>8</v>
      </c>
      <c r="I1475" s="15" t="s">
        <v>8</v>
      </c>
      <c r="K1475" s="15" t="s">
        <v>8</v>
      </c>
      <c r="R1475" s="15" t="s">
        <v>8</v>
      </c>
    </row>
    <row r="1476" spans="3:23" x14ac:dyDescent="0.35">
      <c r="C1476" s="15" t="s">
        <v>8</v>
      </c>
      <c r="D1476" s="15" t="s">
        <v>8</v>
      </c>
      <c r="G1476" s="15" t="s">
        <v>8</v>
      </c>
      <c r="H1476" s="15" t="s">
        <v>8</v>
      </c>
      <c r="I1476" s="15" t="s">
        <v>8</v>
      </c>
      <c r="K1476" s="15" t="s">
        <v>8</v>
      </c>
      <c r="Q1476" s="19" t="str">
        <f>HYPERLINK("http://yeinfo.com/family/I09020832.html", "WILLIAM MACBEAN 1510 ST-1585 ST ID:09041664")</f>
        <v>WILLIAM MACBEAN 1510 ST-1585 ST ID:09041664</v>
      </c>
      <c r="R1476" s="9"/>
      <c r="S1476" s="9"/>
      <c r="T1476" s="9"/>
      <c r="U1476" s="9"/>
    </row>
    <row r="1477" spans="3:23" x14ac:dyDescent="0.35">
      <c r="C1477" s="15" t="s">
        <v>8</v>
      </c>
      <c r="D1477" s="15" t="s">
        <v>8</v>
      </c>
      <c r="G1477" s="15" t="s">
        <v>8</v>
      </c>
      <c r="H1477" s="15" t="s">
        <v>8</v>
      </c>
      <c r="I1477" s="15" t="s">
        <v>8</v>
      </c>
      <c r="K1477" s="15" t="s">
        <v>8</v>
      </c>
      <c r="Q1477" s="8" t="s">
        <v>3</v>
      </c>
      <c r="R1477" s="8" t="s">
        <v>6</v>
      </c>
    </row>
    <row r="1478" spans="3:23" x14ac:dyDescent="0.35">
      <c r="C1478" s="15" t="s">
        <v>8</v>
      </c>
      <c r="D1478" s="15" t="s">
        <v>8</v>
      </c>
      <c r="G1478" s="15" t="s">
        <v>8</v>
      </c>
      <c r="H1478" s="15" t="s">
        <v>8</v>
      </c>
      <c r="I1478" s="15" t="s">
        <v>8</v>
      </c>
      <c r="K1478" s="15" t="s">
        <v>8</v>
      </c>
      <c r="Q1478" s="15" t="s">
        <v>8</v>
      </c>
      <c r="R1478" s="20" t="str">
        <f>HYPERLINK("http://yeinfo.com/family/I09065689.html", "VICTORIA DOUGLAS 1470 ST-1510 ST ID:09065554")</f>
        <v>VICTORIA DOUGLAS 1470 ST-1510 ST ID:09065554</v>
      </c>
      <c r="S1478" s="17"/>
      <c r="T1478" s="17"/>
      <c r="U1478" s="17"/>
      <c r="V1478" s="17"/>
    </row>
    <row r="1479" spans="3:23" x14ac:dyDescent="0.35">
      <c r="C1479" s="15" t="s">
        <v>8</v>
      </c>
      <c r="D1479" s="15" t="s">
        <v>8</v>
      </c>
      <c r="G1479" s="15" t="s">
        <v>8</v>
      </c>
      <c r="H1479" s="15" t="s">
        <v>8</v>
      </c>
      <c r="I1479" s="15" t="s">
        <v>8</v>
      </c>
      <c r="K1479" s="15" t="s">
        <v>8</v>
      </c>
      <c r="Q1479" s="15" t="s">
        <v>8</v>
      </c>
    </row>
    <row r="1480" spans="3:23" x14ac:dyDescent="0.35">
      <c r="C1480" s="15" t="s">
        <v>8</v>
      </c>
      <c r="D1480" s="15" t="s">
        <v>8</v>
      </c>
      <c r="G1480" s="15" t="s">
        <v>8</v>
      </c>
      <c r="H1480" s="15" t="s">
        <v>8</v>
      </c>
      <c r="I1480" s="15" t="s">
        <v>8</v>
      </c>
      <c r="K1480" s="15" t="s">
        <v>8</v>
      </c>
      <c r="P1480" s="19" t="str">
        <f>HYPERLINK("http://yeinfo.com/family/I09010416.html", "PAUL MACBEAN 1545 ST-1590 ST ID:09020832")</f>
        <v>PAUL MACBEAN 1545 ST-1590 ST ID:09020832</v>
      </c>
      <c r="Q1480" s="9"/>
      <c r="R1480" s="9"/>
      <c r="S1480" s="9"/>
      <c r="T1480" s="9"/>
    </row>
    <row r="1481" spans="3:23" x14ac:dyDescent="0.35">
      <c r="C1481" s="15" t="s">
        <v>8</v>
      </c>
      <c r="D1481" s="15" t="s">
        <v>8</v>
      </c>
      <c r="G1481" s="15" t="s">
        <v>8</v>
      </c>
      <c r="H1481" s="15" t="s">
        <v>8</v>
      </c>
      <c r="I1481" s="15" t="s">
        <v>8</v>
      </c>
      <c r="K1481" s="15" t="s">
        <v>8</v>
      </c>
      <c r="P1481" s="8" t="s">
        <v>3</v>
      </c>
      <c r="Q1481" s="15" t="s">
        <v>8</v>
      </c>
    </row>
    <row r="1482" spans="3:23" x14ac:dyDescent="0.35">
      <c r="C1482" s="15" t="s">
        <v>8</v>
      </c>
      <c r="D1482" s="15" t="s">
        <v>8</v>
      </c>
      <c r="G1482" s="15" t="s">
        <v>8</v>
      </c>
      <c r="H1482" s="15" t="s">
        <v>8</v>
      </c>
      <c r="I1482" s="15" t="s">
        <v>8</v>
      </c>
      <c r="K1482" s="15" t="s">
        <v>8</v>
      </c>
      <c r="P1482" s="15" t="s">
        <v>8</v>
      </c>
      <c r="Q1482" s="15" t="s">
        <v>8</v>
      </c>
      <c r="R1482" s="19" t="str">
        <f>HYPERLINK("http://yeinfo.com/family/I09041665.html", "WILLIAM MACKINTOSH 1470 ST-1510  ID:09065555")</f>
        <v>WILLIAM MACKINTOSH 1470 ST-1510  ID:09065555</v>
      </c>
      <c r="S1482" s="9"/>
      <c r="T1482" s="9"/>
      <c r="U1482" s="9"/>
      <c r="V1482" s="9"/>
    </row>
    <row r="1483" spans="3:23" x14ac:dyDescent="0.35">
      <c r="C1483" s="15" t="s">
        <v>8</v>
      </c>
      <c r="D1483" s="15" t="s">
        <v>8</v>
      </c>
      <c r="G1483" s="15" t="s">
        <v>8</v>
      </c>
      <c r="H1483" s="15" t="s">
        <v>8</v>
      </c>
      <c r="I1483" s="15" t="s">
        <v>8</v>
      </c>
      <c r="K1483" s="15" t="s">
        <v>8</v>
      </c>
      <c r="P1483" s="15" t="s">
        <v>8</v>
      </c>
      <c r="Q1483" s="8" t="s">
        <v>6</v>
      </c>
      <c r="R1483" s="8" t="s">
        <v>3</v>
      </c>
    </row>
    <row r="1484" spans="3:23" x14ac:dyDescent="0.35">
      <c r="C1484" s="15" t="s">
        <v>8</v>
      </c>
      <c r="D1484" s="15" t="s">
        <v>8</v>
      </c>
      <c r="G1484" s="15" t="s">
        <v>8</v>
      </c>
      <c r="H1484" s="15" t="s">
        <v>8</v>
      </c>
      <c r="I1484" s="15" t="s">
        <v>8</v>
      </c>
      <c r="K1484" s="15" t="s">
        <v>8</v>
      </c>
      <c r="P1484" s="15" t="s">
        <v>8</v>
      </c>
      <c r="Q1484" s="20" t="str">
        <f>HYPERLINK("http://yeinfo.com/family/I09065554.html", "ELIZABETH MACKINTOSH 1510 ST-1545 ST ID:09041665")</f>
        <v>ELIZABETH MACKINTOSH 1510 ST-1545 ST ID:09041665</v>
      </c>
      <c r="R1484" s="17"/>
      <c r="S1484" s="17"/>
      <c r="T1484" s="17"/>
      <c r="U1484" s="17"/>
    </row>
    <row r="1485" spans="3:23" x14ac:dyDescent="0.35">
      <c r="C1485" s="15" t="s">
        <v>8</v>
      </c>
      <c r="D1485" s="15" t="s">
        <v>8</v>
      </c>
      <c r="G1485" s="15" t="s">
        <v>8</v>
      </c>
      <c r="H1485" s="15" t="s">
        <v>8</v>
      </c>
      <c r="I1485" s="15" t="s">
        <v>8</v>
      </c>
      <c r="K1485" s="15" t="s">
        <v>8</v>
      </c>
      <c r="P1485" s="15" t="s">
        <v>8</v>
      </c>
      <c r="R1485" s="8" t="s">
        <v>6</v>
      </c>
    </row>
    <row r="1486" spans="3:23" x14ac:dyDescent="0.35">
      <c r="C1486" s="15" t="s">
        <v>8</v>
      </c>
      <c r="D1486" s="15" t="s">
        <v>8</v>
      </c>
      <c r="G1486" s="15" t="s">
        <v>8</v>
      </c>
      <c r="H1486" s="15" t="s">
        <v>8</v>
      </c>
      <c r="I1486" s="15" t="s">
        <v>8</v>
      </c>
      <c r="K1486" s="15" t="s">
        <v>8</v>
      </c>
      <c r="P1486" s="15" t="s">
        <v>8</v>
      </c>
      <c r="R1486" s="20" t="str">
        <f>HYPERLINK("http://yeinfo.com/family/I09065555.html", "SUZANNA BUCHANAN 1470 IR-1510  ID:09065556")</f>
        <v>SUZANNA BUCHANAN 1470 IR-1510  ID:09065556</v>
      </c>
      <c r="S1486" s="17"/>
      <c r="T1486" s="17"/>
      <c r="U1486" s="17"/>
      <c r="V1486" s="17"/>
    </row>
    <row r="1487" spans="3:23" x14ac:dyDescent="0.35">
      <c r="C1487" s="15" t="s">
        <v>8</v>
      </c>
      <c r="D1487" s="15" t="s">
        <v>8</v>
      </c>
      <c r="G1487" s="15" t="s">
        <v>8</v>
      </c>
      <c r="H1487" s="15" t="s">
        <v>8</v>
      </c>
      <c r="I1487" s="15" t="s">
        <v>8</v>
      </c>
      <c r="K1487" s="15" t="s">
        <v>8</v>
      </c>
      <c r="P1487" s="15" t="s">
        <v>8</v>
      </c>
    </row>
    <row r="1488" spans="3:23" x14ac:dyDescent="0.35">
      <c r="C1488" s="15" t="s">
        <v>8</v>
      </c>
      <c r="D1488" s="15" t="s">
        <v>8</v>
      </c>
      <c r="G1488" s="15" t="s">
        <v>8</v>
      </c>
      <c r="H1488" s="15" t="s">
        <v>8</v>
      </c>
      <c r="I1488" s="15" t="s">
        <v>8</v>
      </c>
      <c r="K1488" s="15" t="s">
        <v>8</v>
      </c>
      <c r="O1488" s="19" t="str">
        <f>HYPERLINK("http://yeinfo.com/family/I09005208.html", "ANGUS\AARON GILLEPHADRIC MACBEAN 1590 ST-1689 ST ID:09010416")</f>
        <v>ANGUS\AARON GILLEPHADRIC MACBEAN 1590 ST-1689 ST ID:09010416</v>
      </c>
      <c r="P1488" s="9"/>
      <c r="Q1488" s="9"/>
      <c r="R1488" s="9"/>
      <c r="S1488" s="9"/>
      <c r="T1488" s="9"/>
    </row>
    <row r="1489" spans="3:23" x14ac:dyDescent="0.35">
      <c r="C1489" s="15" t="s">
        <v>8</v>
      </c>
      <c r="D1489" s="15" t="s">
        <v>8</v>
      </c>
      <c r="G1489" s="15" t="s">
        <v>8</v>
      </c>
      <c r="H1489" s="15" t="s">
        <v>8</v>
      </c>
      <c r="I1489" s="15" t="s">
        <v>8</v>
      </c>
      <c r="K1489" s="15" t="s">
        <v>8</v>
      </c>
      <c r="O1489" s="8" t="s">
        <v>3</v>
      </c>
      <c r="P1489" s="8" t="s">
        <v>6</v>
      </c>
    </row>
    <row r="1490" spans="3:23" x14ac:dyDescent="0.35">
      <c r="C1490" s="15" t="s">
        <v>8</v>
      </c>
      <c r="D1490" s="15" t="s">
        <v>8</v>
      </c>
      <c r="G1490" s="15" t="s">
        <v>8</v>
      </c>
      <c r="H1490" s="15" t="s">
        <v>8</v>
      </c>
      <c r="I1490" s="15" t="s">
        <v>8</v>
      </c>
      <c r="K1490" s="15" t="s">
        <v>8</v>
      </c>
      <c r="O1490" s="15" t="s">
        <v>8</v>
      </c>
      <c r="P1490" s="20" t="str">
        <f>HYPERLINK("http://yeinfo.com/family/I09065556.html", "MARGARET MACGOUCH 1546 ST-1590 ST ID:09020833")</f>
        <v>MARGARET MACGOUCH 1546 ST-1590 ST ID:09020833</v>
      </c>
      <c r="Q1490" s="17"/>
      <c r="R1490" s="17"/>
      <c r="S1490" s="17"/>
      <c r="T1490" s="17"/>
    </row>
    <row r="1491" spans="3:23" x14ac:dyDescent="0.35">
      <c r="C1491" s="15" t="s">
        <v>8</v>
      </c>
      <c r="D1491" s="15" t="s">
        <v>8</v>
      </c>
      <c r="G1491" s="15" t="s">
        <v>8</v>
      </c>
      <c r="H1491" s="15" t="s">
        <v>8</v>
      </c>
      <c r="I1491" s="15" t="s">
        <v>8</v>
      </c>
      <c r="K1491" s="15" t="s">
        <v>8</v>
      </c>
      <c r="O1491" s="15" t="s">
        <v>8</v>
      </c>
    </row>
    <row r="1492" spans="3:23" x14ac:dyDescent="0.35">
      <c r="C1492" s="15" t="s">
        <v>8</v>
      </c>
      <c r="D1492" s="15" t="s">
        <v>8</v>
      </c>
      <c r="G1492" s="15" t="s">
        <v>8</v>
      </c>
      <c r="H1492" s="15" t="s">
        <v>8</v>
      </c>
      <c r="I1492" s="15" t="s">
        <v>8</v>
      </c>
      <c r="K1492" s="15" t="s">
        <v>8</v>
      </c>
      <c r="N1492" s="19" t="str">
        <f>HYPERLINK("http://yeinfo.com/family/I09002604.html", "DONALD MACBEAN 1610 ST-1690 ST ID:09005208")</f>
        <v>DONALD MACBEAN 1610 ST-1690 ST ID:09005208</v>
      </c>
      <c r="O1492" s="9"/>
      <c r="P1492" s="9"/>
      <c r="Q1492" s="9"/>
      <c r="R1492" s="9"/>
    </row>
    <row r="1493" spans="3:23" x14ac:dyDescent="0.35">
      <c r="C1493" s="15" t="s">
        <v>8</v>
      </c>
      <c r="D1493" s="15" t="s">
        <v>8</v>
      </c>
      <c r="G1493" s="15" t="s">
        <v>8</v>
      </c>
      <c r="H1493" s="15" t="s">
        <v>8</v>
      </c>
      <c r="I1493" s="15" t="s">
        <v>8</v>
      </c>
      <c r="K1493" s="15" t="s">
        <v>8</v>
      </c>
      <c r="N1493" s="8" t="s">
        <v>3</v>
      </c>
      <c r="O1493" s="15" t="s">
        <v>8</v>
      </c>
    </row>
    <row r="1494" spans="3:23" x14ac:dyDescent="0.35">
      <c r="C1494" s="15" t="s">
        <v>8</v>
      </c>
      <c r="D1494" s="15" t="s">
        <v>8</v>
      </c>
      <c r="G1494" s="15" t="s">
        <v>8</v>
      </c>
      <c r="H1494" s="15" t="s">
        <v>8</v>
      </c>
      <c r="I1494" s="15" t="s">
        <v>8</v>
      </c>
      <c r="K1494" s="15" t="s">
        <v>8</v>
      </c>
      <c r="N1494" s="15" t="s">
        <v>8</v>
      </c>
      <c r="O1494" s="15" t="s">
        <v>8</v>
      </c>
      <c r="Q1494" s="19" t="str">
        <f>HYPERLINK("http://yeinfo.com/family/I09020834.html", "WILLIAM MAXWELL BAILIE 1522 ST-1558 ST ID:09041668")</f>
        <v>WILLIAM MAXWELL BAILIE 1522 ST-1558 ST ID:09041668</v>
      </c>
      <c r="R1494" s="9"/>
      <c r="S1494" s="9"/>
      <c r="T1494" s="9"/>
      <c r="U1494" s="9"/>
    </row>
    <row r="1495" spans="3:23" x14ac:dyDescent="0.35">
      <c r="C1495" s="15" t="s">
        <v>8</v>
      </c>
      <c r="D1495" s="15" t="s">
        <v>8</v>
      </c>
      <c r="G1495" s="15" t="s">
        <v>8</v>
      </c>
      <c r="H1495" s="15" t="s">
        <v>8</v>
      </c>
      <c r="I1495" s="15" t="s">
        <v>8</v>
      </c>
      <c r="K1495" s="15" t="s">
        <v>8</v>
      </c>
      <c r="N1495" s="15" t="s">
        <v>8</v>
      </c>
      <c r="O1495" s="15" t="s">
        <v>8</v>
      </c>
      <c r="Q1495" s="8" t="s">
        <v>3</v>
      </c>
    </row>
    <row r="1496" spans="3:23" x14ac:dyDescent="0.35">
      <c r="C1496" s="15" t="s">
        <v>8</v>
      </c>
      <c r="D1496" s="15" t="s">
        <v>8</v>
      </c>
      <c r="G1496" s="15" t="s">
        <v>8</v>
      </c>
      <c r="H1496" s="15" t="s">
        <v>8</v>
      </c>
      <c r="I1496" s="15" t="s">
        <v>8</v>
      </c>
      <c r="K1496" s="15" t="s">
        <v>8</v>
      </c>
      <c r="N1496" s="15" t="s">
        <v>8</v>
      </c>
      <c r="O1496" s="15" t="s">
        <v>8</v>
      </c>
      <c r="P1496" s="19" t="str">
        <f>HYPERLINK("http://yeinfo.com/family/I09010417.html", "WILLIAM BAILIE 1558 ST-1593 ST ID:09020834")</f>
        <v>WILLIAM BAILIE 1558 ST-1593 ST ID:09020834</v>
      </c>
      <c r="Q1496" s="9"/>
      <c r="R1496" s="9"/>
      <c r="S1496" s="9"/>
      <c r="T1496" s="9"/>
    </row>
    <row r="1497" spans="3:23" x14ac:dyDescent="0.35">
      <c r="C1497" s="15" t="s">
        <v>8</v>
      </c>
      <c r="D1497" s="15" t="s">
        <v>8</v>
      </c>
      <c r="G1497" s="15" t="s">
        <v>8</v>
      </c>
      <c r="H1497" s="15" t="s">
        <v>8</v>
      </c>
      <c r="I1497" s="15" t="s">
        <v>8</v>
      </c>
      <c r="K1497" s="15" t="s">
        <v>8</v>
      </c>
      <c r="N1497" s="15" t="s">
        <v>8</v>
      </c>
      <c r="O1497" s="15" t="s">
        <v>8</v>
      </c>
      <c r="P1497" s="8" t="s">
        <v>3</v>
      </c>
      <c r="Q1497" s="8" t="s">
        <v>6</v>
      </c>
    </row>
    <row r="1498" spans="3:23" x14ac:dyDescent="0.35">
      <c r="C1498" s="15" t="s">
        <v>8</v>
      </c>
      <c r="D1498" s="15" t="s">
        <v>8</v>
      </c>
      <c r="G1498" s="15" t="s">
        <v>8</v>
      </c>
      <c r="H1498" s="15" t="s">
        <v>8</v>
      </c>
      <c r="I1498" s="15" t="s">
        <v>8</v>
      </c>
      <c r="K1498" s="15" t="s">
        <v>8</v>
      </c>
      <c r="N1498" s="15" t="s">
        <v>8</v>
      </c>
      <c r="O1498" s="15" t="s">
        <v>8</v>
      </c>
      <c r="P1498" s="15" t="s">
        <v>8</v>
      </c>
      <c r="Q1498" s="20" t="str">
        <f>HYPERLINK("http://yeinfo.com/family/I09041668.html", "ELIZABETH STEWART 1525 ST-1591 ST ID:09041669")</f>
        <v>ELIZABETH STEWART 1525 ST-1591 ST ID:09041669</v>
      </c>
      <c r="R1498" s="17"/>
      <c r="S1498" s="17"/>
      <c r="T1498" s="17"/>
      <c r="U1498" s="17"/>
    </row>
    <row r="1499" spans="3:23" x14ac:dyDescent="0.35">
      <c r="C1499" s="15" t="s">
        <v>8</v>
      </c>
      <c r="D1499" s="15" t="s">
        <v>8</v>
      </c>
      <c r="G1499" s="15" t="s">
        <v>8</v>
      </c>
      <c r="H1499" s="15" t="s">
        <v>8</v>
      </c>
      <c r="I1499" s="15" t="s">
        <v>8</v>
      </c>
      <c r="K1499" s="15" t="s">
        <v>8</v>
      </c>
      <c r="N1499" s="15" t="s">
        <v>8</v>
      </c>
      <c r="O1499" s="8" t="s">
        <v>6</v>
      </c>
      <c r="P1499" s="15" t="s">
        <v>8</v>
      </c>
    </row>
    <row r="1500" spans="3:23" x14ac:dyDescent="0.35">
      <c r="C1500" s="15" t="s">
        <v>8</v>
      </c>
      <c r="D1500" s="15" t="s">
        <v>8</v>
      </c>
      <c r="G1500" s="15" t="s">
        <v>8</v>
      </c>
      <c r="H1500" s="15" t="s">
        <v>8</v>
      </c>
      <c r="I1500" s="15" t="s">
        <v>8</v>
      </c>
      <c r="K1500" s="15" t="s">
        <v>8</v>
      </c>
      <c r="N1500" s="15" t="s">
        <v>8</v>
      </c>
      <c r="O1500" s="20" t="str">
        <f>HYPERLINK("http://yeinfo.com/family/I09020833.html", "ISOBEL BAILIE 1575 ST-1661 ST ID:09010417")</f>
        <v>ISOBEL BAILIE 1575 ST-1661 ST ID:09010417</v>
      </c>
      <c r="P1500" s="17"/>
      <c r="Q1500" s="17"/>
      <c r="R1500" s="17"/>
      <c r="S1500" s="17"/>
    </row>
    <row r="1501" spans="3:23" x14ac:dyDescent="0.35">
      <c r="C1501" s="15" t="s">
        <v>8</v>
      </c>
      <c r="D1501" s="15" t="s">
        <v>8</v>
      </c>
      <c r="G1501" s="15" t="s">
        <v>8</v>
      </c>
      <c r="H1501" s="15" t="s">
        <v>8</v>
      </c>
      <c r="I1501" s="15" t="s">
        <v>8</v>
      </c>
      <c r="K1501" s="15" t="s">
        <v>8</v>
      </c>
      <c r="N1501" s="15" t="s">
        <v>8</v>
      </c>
      <c r="P1501" s="15" t="s">
        <v>8</v>
      </c>
    </row>
    <row r="1502" spans="3:23" x14ac:dyDescent="0.35">
      <c r="C1502" s="15" t="s">
        <v>8</v>
      </c>
      <c r="D1502" s="15" t="s">
        <v>8</v>
      </c>
      <c r="G1502" s="15" t="s">
        <v>8</v>
      </c>
      <c r="H1502" s="15" t="s">
        <v>8</v>
      </c>
      <c r="I1502" s="15" t="s">
        <v>8</v>
      </c>
      <c r="K1502" s="15" t="s">
        <v>8</v>
      </c>
      <c r="N1502" s="15" t="s">
        <v>8</v>
      </c>
      <c r="P1502" s="15" t="s">
        <v>8</v>
      </c>
      <c r="S1502" s="19" t="str">
        <f>HYPERLINK("http://yeinfo.com/family/I09066757.html", "JAMES HAMILTON III 1475 ST-1529 ST ID:09066759")</f>
        <v>JAMES HAMILTON III 1475 ST-1529 ST ID:09066759</v>
      </c>
      <c r="T1502" s="9"/>
      <c r="U1502" s="9"/>
      <c r="V1502" s="9"/>
      <c r="W1502" s="9"/>
    </row>
    <row r="1503" spans="3:23" x14ac:dyDescent="0.35">
      <c r="C1503" s="15" t="s">
        <v>8</v>
      </c>
      <c r="D1503" s="15" t="s">
        <v>8</v>
      </c>
      <c r="G1503" s="15" t="s">
        <v>8</v>
      </c>
      <c r="H1503" s="15" t="s">
        <v>8</v>
      </c>
      <c r="I1503" s="15" t="s">
        <v>8</v>
      </c>
      <c r="K1503" s="15" t="s">
        <v>8</v>
      </c>
      <c r="N1503" s="15" t="s">
        <v>8</v>
      </c>
      <c r="P1503" s="15" t="s">
        <v>8</v>
      </c>
      <c r="S1503" s="8" t="s">
        <v>3</v>
      </c>
    </row>
    <row r="1504" spans="3:23" x14ac:dyDescent="0.35">
      <c r="C1504" s="15" t="s">
        <v>8</v>
      </c>
      <c r="D1504" s="15" t="s">
        <v>8</v>
      </c>
      <c r="G1504" s="15" t="s">
        <v>8</v>
      </c>
      <c r="H1504" s="15" t="s">
        <v>8</v>
      </c>
      <c r="I1504" s="15" t="s">
        <v>8</v>
      </c>
      <c r="K1504" s="15" t="s">
        <v>8</v>
      </c>
      <c r="N1504" s="15" t="s">
        <v>8</v>
      </c>
      <c r="P1504" s="15" t="s">
        <v>8</v>
      </c>
      <c r="R1504" s="19" t="str">
        <f>HYPERLINK("http://yeinfo.com/family/I09041670.html", "JAMES HAMILTON 1515 ST-1575 ST ID:09066757")</f>
        <v>JAMES HAMILTON 1515 ST-1575 ST ID:09066757</v>
      </c>
      <c r="S1504" s="9"/>
      <c r="T1504" s="9"/>
      <c r="U1504" s="9"/>
      <c r="V1504" s="9"/>
    </row>
    <row r="1505" spans="3:23" x14ac:dyDescent="0.35">
      <c r="C1505" s="15" t="s">
        <v>8</v>
      </c>
      <c r="D1505" s="15" t="s">
        <v>8</v>
      </c>
      <c r="G1505" s="15" t="s">
        <v>8</v>
      </c>
      <c r="H1505" s="15" t="s">
        <v>8</v>
      </c>
      <c r="I1505" s="15" t="s">
        <v>8</v>
      </c>
      <c r="K1505" s="15" t="s">
        <v>8</v>
      </c>
      <c r="N1505" s="15" t="s">
        <v>8</v>
      </c>
      <c r="P1505" s="15" t="s">
        <v>8</v>
      </c>
      <c r="R1505" s="8" t="s">
        <v>3</v>
      </c>
      <c r="S1505" s="8" t="s">
        <v>6</v>
      </c>
    </row>
    <row r="1506" spans="3:23" x14ac:dyDescent="0.35">
      <c r="C1506" s="15" t="s">
        <v>8</v>
      </c>
      <c r="D1506" s="15" t="s">
        <v>8</v>
      </c>
      <c r="G1506" s="15" t="s">
        <v>8</v>
      </c>
      <c r="H1506" s="15" t="s">
        <v>8</v>
      </c>
      <c r="I1506" s="15" t="s">
        <v>8</v>
      </c>
      <c r="K1506" s="15" t="s">
        <v>8</v>
      </c>
      <c r="N1506" s="15" t="s">
        <v>8</v>
      </c>
      <c r="P1506" s="15" t="s">
        <v>8</v>
      </c>
      <c r="R1506" s="15" t="s">
        <v>8</v>
      </c>
      <c r="S1506" s="20" t="str">
        <f>HYPERLINK("http://yeinfo.com/family/I09066759.html", "JANET BETHUNE 1486 ST-1529 ST ID:09066760")</f>
        <v>JANET BETHUNE 1486 ST-1529 ST ID:09066760</v>
      </c>
      <c r="T1506" s="17"/>
      <c r="U1506" s="17"/>
      <c r="V1506" s="17"/>
      <c r="W1506" s="17"/>
    </row>
    <row r="1507" spans="3:23" x14ac:dyDescent="0.35">
      <c r="C1507" s="15" t="s">
        <v>8</v>
      </c>
      <c r="D1507" s="15" t="s">
        <v>8</v>
      </c>
      <c r="G1507" s="15" t="s">
        <v>8</v>
      </c>
      <c r="H1507" s="15" t="s">
        <v>8</v>
      </c>
      <c r="I1507" s="15" t="s">
        <v>8</v>
      </c>
      <c r="K1507" s="15" t="s">
        <v>8</v>
      </c>
      <c r="N1507" s="15" t="s">
        <v>8</v>
      </c>
      <c r="P1507" s="15" t="s">
        <v>8</v>
      </c>
      <c r="R1507" s="15" t="s">
        <v>8</v>
      </c>
    </row>
    <row r="1508" spans="3:23" x14ac:dyDescent="0.35">
      <c r="C1508" s="15" t="s">
        <v>8</v>
      </c>
      <c r="D1508" s="15" t="s">
        <v>8</v>
      </c>
      <c r="G1508" s="15" t="s">
        <v>8</v>
      </c>
      <c r="H1508" s="15" t="s">
        <v>8</v>
      </c>
      <c r="I1508" s="15" t="s">
        <v>8</v>
      </c>
      <c r="K1508" s="15" t="s">
        <v>8</v>
      </c>
      <c r="N1508" s="15" t="s">
        <v>8</v>
      </c>
      <c r="P1508" s="15" t="s">
        <v>8</v>
      </c>
      <c r="Q1508" s="19" t="str">
        <f>HYPERLINK("http://yeinfo.com/family/I09020835.html", "CLAUDE HAMILTON 1543 ST-1621 ST ID:09041670")</f>
        <v>CLAUDE HAMILTON 1543 ST-1621 ST ID:09041670</v>
      </c>
      <c r="R1508" s="9"/>
      <c r="S1508" s="9"/>
      <c r="T1508" s="9"/>
      <c r="U1508" s="9"/>
    </row>
    <row r="1509" spans="3:23" x14ac:dyDescent="0.35">
      <c r="C1509" s="15" t="s">
        <v>8</v>
      </c>
      <c r="D1509" s="15" t="s">
        <v>8</v>
      </c>
      <c r="G1509" s="15" t="s">
        <v>8</v>
      </c>
      <c r="H1509" s="15" t="s">
        <v>8</v>
      </c>
      <c r="I1509" s="15" t="s">
        <v>8</v>
      </c>
      <c r="K1509" s="15" t="s">
        <v>8</v>
      </c>
      <c r="N1509" s="15" t="s">
        <v>8</v>
      </c>
      <c r="P1509" s="15" t="s">
        <v>8</v>
      </c>
      <c r="Q1509" s="8" t="s">
        <v>3</v>
      </c>
      <c r="R1509" s="15" t="s">
        <v>8</v>
      </c>
    </row>
    <row r="1510" spans="3:23" x14ac:dyDescent="0.35">
      <c r="C1510" s="15" t="s">
        <v>8</v>
      </c>
      <c r="D1510" s="15" t="s">
        <v>8</v>
      </c>
      <c r="G1510" s="15" t="s">
        <v>8</v>
      </c>
      <c r="H1510" s="15" t="s">
        <v>8</v>
      </c>
      <c r="I1510" s="15" t="s">
        <v>8</v>
      </c>
      <c r="K1510" s="15" t="s">
        <v>8</v>
      </c>
      <c r="N1510" s="15" t="s">
        <v>8</v>
      </c>
      <c r="P1510" s="15" t="s">
        <v>8</v>
      </c>
      <c r="Q1510" s="15" t="s">
        <v>8</v>
      </c>
      <c r="R1510" s="15" t="s">
        <v>8</v>
      </c>
      <c r="S1510" s="19" t="str">
        <f>HYPERLINK("http://yeinfo.com/family/I09066758.html", "JAMES DOUGLAS 1487 ST-1548 ST ID:09066761")</f>
        <v>JAMES DOUGLAS 1487 ST-1548 ST ID:09066761</v>
      </c>
      <c r="T1510" s="9"/>
      <c r="U1510" s="9"/>
      <c r="V1510" s="9"/>
      <c r="W1510" s="9"/>
    </row>
    <row r="1511" spans="3:23" x14ac:dyDescent="0.35">
      <c r="C1511" s="15" t="s">
        <v>8</v>
      </c>
      <c r="D1511" s="15" t="s">
        <v>8</v>
      </c>
      <c r="G1511" s="15" t="s">
        <v>8</v>
      </c>
      <c r="H1511" s="15" t="s">
        <v>8</v>
      </c>
      <c r="I1511" s="15" t="s">
        <v>8</v>
      </c>
      <c r="K1511" s="15" t="s">
        <v>8</v>
      </c>
      <c r="N1511" s="15" t="s">
        <v>8</v>
      </c>
      <c r="P1511" s="15" t="s">
        <v>8</v>
      </c>
      <c r="Q1511" s="15" t="s">
        <v>8</v>
      </c>
      <c r="R1511" s="8" t="s">
        <v>6</v>
      </c>
      <c r="S1511" s="8" t="s">
        <v>3</v>
      </c>
    </row>
    <row r="1512" spans="3:23" x14ac:dyDescent="0.35">
      <c r="C1512" s="15" t="s">
        <v>8</v>
      </c>
      <c r="D1512" s="15" t="s">
        <v>8</v>
      </c>
      <c r="G1512" s="15" t="s">
        <v>8</v>
      </c>
      <c r="H1512" s="15" t="s">
        <v>8</v>
      </c>
      <c r="I1512" s="15" t="s">
        <v>8</v>
      </c>
      <c r="K1512" s="15" t="s">
        <v>8</v>
      </c>
      <c r="N1512" s="15" t="s">
        <v>8</v>
      </c>
      <c r="P1512" s="15" t="s">
        <v>8</v>
      </c>
      <c r="Q1512" s="15" t="s">
        <v>8</v>
      </c>
      <c r="R1512" s="20" t="str">
        <f>HYPERLINK("http://yeinfo.com/family/I09066760.html", "MARGARET DOUGLAS 1511 ST-1579 ST ID:09066758")</f>
        <v>MARGARET DOUGLAS 1511 ST-1579 ST ID:09066758</v>
      </c>
      <c r="S1512" s="17"/>
      <c r="T1512" s="17"/>
      <c r="U1512" s="17"/>
      <c r="V1512" s="17"/>
    </row>
    <row r="1513" spans="3:23" x14ac:dyDescent="0.35">
      <c r="C1513" s="15" t="s">
        <v>8</v>
      </c>
      <c r="D1513" s="15" t="s">
        <v>8</v>
      </c>
      <c r="G1513" s="15" t="s">
        <v>8</v>
      </c>
      <c r="H1513" s="15" t="s">
        <v>8</v>
      </c>
      <c r="I1513" s="15" t="s">
        <v>8</v>
      </c>
      <c r="K1513" s="15" t="s">
        <v>8</v>
      </c>
      <c r="N1513" s="15" t="s">
        <v>8</v>
      </c>
      <c r="P1513" s="15" t="s">
        <v>8</v>
      </c>
      <c r="Q1513" s="15" t="s">
        <v>8</v>
      </c>
      <c r="S1513" s="8" t="s">
        <v>6</v>
      </c>
    </row>
    <row r="1514" spans="3:23" x14ac:dyDescent="0.35">
      <c r="C1514" s="15" t="s">
        <v>8</v>
      </c>
      <c r="D1514" s="15" t="s">
        <v>8</v>
      </c>
      <c r="G1514" s="15" t="s">
        <v>8</v>
      </c>
      <c r="H1514" s="15" t="s">
        <v>8</v>
      </c>
      <c r="I1514" s="15" t="s">
        <v>8</v>
      </c>
      <c r="K1514" s="15" t="s">
        <v>8</v>
      </c>
      <c r="N1514" s="15" t="s">
        <v>8</v>
      </c>
      <c r="P1514" s="15" t="s">
        <v>8</v>
      </c>
      <c r="Q1514" s="15" t="s">
        <v>8</v>
      </c>
      <c r="S1514" s="20" t="str">
        <f>HYPERLINK("http://yeinfo.com/family/I09066761.html", "CATHERINE STEWART 1491 ST-1554 ST ID:09066762")</f>
        <v>CATHERINE STEWART 1491 ST-1554 ST ID:09066762</v>
      </c>
      <c r="T1514" s="17"/>
      <c r="U1514" s="17"/>
      <c r="V1514" s="17"/>
      <c r="W1514" s="17"/>
    </row>
    <row r="1515" spans="3:23" x14ac:dyDescent="0.35">
      <c r="C1515" s="15" t="s">
        <v>8</v>
      </c>
      <c r="D1515" s="15" t="s">
        <v>8</v>
      </c>
      <c r="G1515" s="15" t="s">
        <v>8</v>
      </c>
      <c r="H1515" s="15" t="s">
        <v>8</v>
      </c>
      <c r="I1515" s="15" t="s">
        <v>8</v>
      </c>
      <c r="K1515" s="15" t="s">
        <v>8</v>
      </c>
      <c r="N1515" s="15" t="s">
        <v>8</v>
      </c>
      <c r="P1515" s="8" t="s">
        <v>6</v>
      </c>
      <c r="Q1515" s="15" t="s">
        <v>8</v>
      </c>
    </row>
    <row r="1516" spans="3:23" x14ac:dyDescent="0.35">
      <c r="C1516" s="15" t="s">
        <v>8</v>
      </c>
      <c r="D1516" s="15" t="s">
        <v>8</v>
      </c>
      <c r="G1516" s="15" t="s">
        <v>8</v>
      </c>
      <c r="H1516" s="15" t="s">
        <v>8</v>
      </c>
      <c r="I1516" s="15" t="s">
        <v>8</v>
      </c>
      <c r="K1516" s="15" t="s">
        <v>8</v>
      </c>
      <c r="N1516" s="15" t="s">
        <v>8</v>
      </c>
      <c r="P1516" s="20" t="str">
        <f>HYPERLINK("http://yeinfo.com/family/I09041669.html", "GRIZEL HAMILTON 1563 ST-1658 ST ID:09020835")</f>
        <v>GRIZEL HAMILTON 1563 ST-1658 ST ID:09020835</v>
      </c>
      <c r="Q1516" s="17"/>
      <c r="R1516" s="17"/>
      <c r="S1516" s="17"/>
      <c r="T1516" s="17"/>
    </row>
    <row r="1517" spans="3:23" x14ac:dyDescent="0.35">
      <c r="C1517" s="15" t="s">
        <v>8</v>
      </c>
      <c r="D1517" s="15" t="s">
        <v>8</v>
      </c>
      <c r="G1517" s="15" t="s">
        <v>8</v>
      </c>
      <c r="H1517" s="15" t="s">
        <v>8</v>
      </c>
      <c r="I1517" s="15" t="s">
        <v>8</v>
      </c>
      <c r="K1517" s="15" t="s">
        <v>8</v>
      </c>
      <c r="N1517" s="15" t="s">
        <v>8</v>
      </c>
      <c r="Q1517" s="15" t="s">
        <v>8</v>
      </c>
    </row>
    <row r="1518" spans="3:23" x14ac:dyDescent="0.35">
      <c r="C1518" s="15" t="s">
        <v>8</v>
      </c>
      <c r="D1518" s="15" t="s">
        <v>8</v>
      </c>
      <c r="G1518" s="15" t="s">
        <v>8</v>
      </c>
      <c r="H1518" s="15" t="s">
        <v>8</v>
      </c>
      <c r="I1518" s="15" t="s">
        <v>8</v>
      </c>
      <c r="K1518" s="15" t="s">
        <v>8</v>
      </c>
      <c r="N1518" s="15" t="s">
        <v>8</v>
      </c>
      <c r="Q1518" s="15" t="s">
        <v>8</v>
      </c>
      <c r="R1518" s="19" t="str">
        <f>HYPERLINK("http://yeinfo.com/family/I09041671.html", "GEORGE SETON 1528 ST-1585 FR ID:09066763")</f>
        <v>GEORGE SETON 1528 ST-1585 FR ID:09066763</v>
      </c>
      <c r="S1518" s="9"/>
      <c r="T1518" s="9"/>
      <c r="U1518" s="9"/>
      <c r="V1518" s="9"/>
    </row>
    <row r="1519" spans="3:23" x14ac:dyDescent="0.35">
      <c r="C1519" s="15" t="s">
        <v>8</v>
      </c>
      <c r="D1519" s="15" t="s">
        <v>8</v>
      </c>
      <c r="G1519" s="15" t="s">
        <v>8</v>
      </c>
      <c r="H1519" s="15" t="s">
        <v>8</v>
      </c>
      <c r="I1519" s="15" t="s">
        <v>8</v>
      </c>
      <c r="K1519" s="15" t="s">
        <v>8</v>
      </c>
      <c r="N1519" s="15" t="s">
        <v>8</v>
      </c>
      <c r="Q1519" s="8" t="s">
        <v>6</v>
      </c>
      <c r="R1519" s="8" t="s">
        <v>3</v>
      </c>
    </row>
    <row r="1520" spans="3:23" x14ac:dyDescent="0.35">
      <c r="C1520" s="15" t="s">
        <v>8</v>
      </c>
      <c r="D1520" s="15" t="s">
        <v>8</v>
      </c>
      <c r="G1520" s="15" t="s">
        <v>8</v>
      </c>
      <c r="H1520" s="15" t="s">
        <v>8</v>
      </c>
      <c r="I1520" s="15" t="s">
        <v>8</v>
      </c>
      <c r="K1520" s="15" t="s">
        <v>8</v>
      </c>
      <c r="N1520" s="15" t="s">
        <v>8</v>
      </c>
      <c r="Q1520" s="20" t="str">
        <f>HYPERLINK("http://yeinfo.com/family/I09066762.html", "MARGARET SETON 1550 ST-1616 ST ID:09041671")</f>
        <v>MARGARET SETON 1550 ST-1616 ST ID:09041671</v>
      </c>
      <c r="R1520" s="17"/>
      <c r="S1520" s="17"/>
      <c r="T1520" s="17"/>
      <c r="U1520" s="17"/>
    </row>
    <row r="1521" spans="3:22" x14ac:dyDescent="0.35">
      <c r="C1521" s="15" t="s">
        <v>8</v>
      </c>
      <c r="D1521" s="15" t="s">
        <v>8</v>
      </c>
      <c r="G1521" s="15" t="s">
        <v>8</v>
      </c>
      <c r="H1521" s="15" t="s">
        <v>8</v>
      </c>
      <c r="I1521" s="15" t="s">
        <v>8</v>
      </c>
      <c r="K1521" s="15" t="s">
        <v>8</v>
      </c>
      <c r="N1521" s="15" t="s">
        <v>8</v>
      </c>
      <c r="R1521" s="8" t="s">
        <v>6</v>
      </c>
    </row>
    <row r="1522" spans="3:22" x14ac:dyDescent="0.35">
      <c r="C1522" s="15" t="s">
        <v>8</v>
      </c>
      <c r="D1522" s="15" t="s">
        <v>8</v>
      </c>
      <c r="G1522" s="15" t="s">
        <v>8</v>
      </c>
      <c r="H1522" s="15" t="s">
        <v>8</v>
      </c>
      <c r="I1522" s="15" t="s">
        <v>8</v>
      </c>
      <c r="K1522" s="15" t="s">
        <v>8</v>
      </c>
      <c r="N1522" s="15" t="s">
        <v>8</v>
      </c>
      <c r="R1522" s="20" t="str">
        <f>HYPERLINK("http://yeinfo.com/family/I09066763.html", "ISABEL HAMILTON 1533 ST-1604 ST ID:09066764")</f>
        <v>ISABEL HAMILTON 1533 ST-1604 ST ID:09066764</v>
      </c>
      <c r="S1522" s="17"/>
      <c r="T1522" s="17"/>
      <c r="U1522" s="17"/>
      <c r="V1522" s="17"/>
    </row>
    <row r="1523" spans="3:22" x14ac:dyDescent="0.35">
      <c r="C1523" s="15" t="s">
        <v>8</v>
      </c>
      <c r="D1523" s="15" t="s">
        <v>8</v>
      </c>
      <c r="G1523" s="15" t="s">
        <v>8</v>
      </c>
      <c r="H1523" s="15" t="s">
        <v>8</v>
      </c>
      <c r="I1523" s="15" t="s">
        <v>8</v>
      </c>
      <c r="K1523" s="15" t="s">
        <v>8</v>
      </c>
      <c r="N1523" s="15" t="s">
        <v>8</v>
      </c>
    </row>
    <row r="1524" spans="3:22" x14ac:dyDescent="0.35">
      <c r="C1524" s="15" t="s">
        <v>8</v>
      </c>
      <c r="D1524" s="15" t="s">
        <v>8</v>
      </c>
      <c r="G1524" s="15" t="s">
        <v>8</v>
      </c>
      <c r="H1524" s="15" t="s">
        <v>8</v>
      </c>
      <c r="I1524" s="15" t="s">
        <v>8</v>
      </c>
      <c r="K1524" s="15" t="s">
        <v>8</v>
      </c>
      <c r="M1524" s="21" t="str">
        <f>HYPERLINK("http://yeinfo.com/family/I09001302.html", "JOHN BEAN Sr. 1634 ST-1718 NH ID:09002604")</f>
        <v>JOHN BEAN Sr. 1634 ST-1718 NH ID:09002604</v>
      </c>
      <c r="N1524" s="6"/>
      <c r="O1524" s="6"/>
      <c r="P1524" s="6"/>
      <c r="Q1524" s="6"/>
    </row>
    <row r="1525" spans="3:22" x14ac:dyDescent="0.35">
      <c r="C1525" s="15" t="s">
        <v>8</v>
      </c>
      <c r="D1525" s="15" t="s">
        <v>8</v>
      </c>
      <c r="G1525" s="15" t="s">
        <v>8</v>
      </c>
      <c r="H1525" s="15" t="s">
        <v>8</v>
      </c>
      <c r="I1525" s="15" t="s">
        <v>8</v>
      </c>
      <c r="K1525" s="15" t="s">
        <v>8</v>
      </c>
      <c r="M1525" s="8" t="s">
        <v>3</v>
      </c>
      <c r="N1525" s="15" t="s">
        <v>8</v>
      </c>
    </row>
    <row r="1526" spans="3:22" x14ac:dyDescent="0.35">
      <c r="C1526" s="15" t="s">
        <v>8</v>
      </c>
      <c r="D1526" s="15" t="s">
        <v>8</v>
      </c>
      <c r="G1526" s="15" t="s">
        <v>8</v>
      </c>
      <c r="H1526" s="15" t="s">
        <v>8</v>
      </c>
      <c r="I1526" s="15" t="s">
        <v>8</v>
      </c>
      <c r="K1526" s="15" t="s">
        <v>8</v>
      </c>
      <c r="M1526" s="15" t="s">
        <v>8</v>
      </c>
      <c r="N1526" s="15" t="s">
        <v>8</v>
      </c>
      <c r="Q1526" s="19" t="str">
        <f>HYPERLINK("http://yeinfo.com/family/I09020836.html", "STEPHEN MACGILLIS 1525 ST-1550  ID:09041672")</f>
        <v>STEPHEN MACGILLIS 1525 ST-1550  ID:09041672</v>
      </c>
      <c r="R1526" s="9"/>
      <c r="S1526" s="9"/>
      <c r="T1526" s="9"/>
      <c r="U1526" s="9"/>
    </row>
    <row r="1527" spans="3:22" x14ac:dyDescent="0.35">
      <c r="C1527" s="15" t="s">
        <v>8</v>
      </c>
      <c r="D1527" s="15" t="s">
        <v>8</v>
      </c>
      <c r="G1527" s="15" t="s">
        <v>8</v>
      </c>
      <c r="H1527" s="15" t="s">
        <v>8</v>
      </c>
      <c r="I1527" s="15" t="s">
        <v>8</v>
      </c>
      <c r="K1527" s="15" t="s">
        <v>8</v>
      </c>
      <c r="M1527" s="15" t="s">
        <v>8</v>
      </c>
      <c r="N1527" s="15" t="s">
        <v>8</v>
      </c>
      <c r="Q1527" s="8" t="s">
        <v>3</v>
      </c>
    </row>
    <row r="1528" spans="3:22" x14ac:dyDescent="0.35">
      <c r="C1528" s="15" t="s">
        <v>8</v>
      </c>
      <c r="D1528" s="15" t="s">
        <v>8</v>
      </c>
      <c r="G1528" s="15" t="s">
        <v>8</v>
      </c>
      <c r="H1528" s="15" t="s">
        <v>8</v>
      </c>
      <c r="I1528" s="15" t="s">
        <v>8</v>
      </c>
      <c r="K1528" s="15" t="s">
        <v>8</v>
      </c>
      <c r="M1528" s="15" t="s">
        <v>8</v>
      </c>
      <c r="N1528" s="15" t="s">
        <v>8</v>
      </c>
      <c r="P1528" s="19" t="str">
        <f>HYPERLINK("http://yeinfo.com/family/I09010418.html", "CHRISTOPHER MACGILLIS 1550 ST-1627 ST ID:09020836")</f>
        <v>CHRISTOPHER MACGILLIS 1550 ST-1627 ST ID:09020836</v>
      </c>
      <c r="Q1528" s="9"/>
      <c r="R1528" s="9"/>
      <c r="S1528" s="9"/>
      <c r="T1528" s="9"/>
    </row>
    <row r="1529" spans="3:22" x14ac:dyDescent="0.35">
      <c r="C1529" s="15" t="s">
        <v>8</v>
      </c>
      <c r="D1529" s="15" t="s">
        <v>8</v>
      </c>
      <c r="G1529" s="15" t="s">
        <v>8</v>
      </c>
      <c r="H1529" s="15" t="s">
        <v>8</v>
      </c>
      <c r="I1529" s="15" t="s">
        <v>8</v>
      </c>
      <c r="K1529" s="15" t="s">
        <v>8</v>
      </c>
      <c r="M1529" s="15" t="s">
        <v>8</v>
      </c>
      <c r="N1529" s="15" t="s">
        <v>8</v>
      </c>
      <c r="P1529" s="8" t="s">
        <v>3</v>
      </c>
      <c r="Q1529" s="8" t="s">
        <v>6</v>
      </c>
    </row>
    <row r="1530" spans="3:22" x14ac:dyDescent="0.35">
      <c r="C1530" s="15" t="s">
        <v>8</v>
      </c>
      <c r="D1530" s="15" t="s">
        <v>8</v>
      </c>
      <c r="G1530" s="15" t="s">
        <v>8</v>
      </c>
      <c r="H1530" s="15" t="s">
        <v>8</v>
      </c>
      <c r="I1530" s="15" t="s">
        <v>8</v>
      </c>
      <c r="K1530" s="15" t="s">
        <v>8</v>
      </c>
      <c r="M1530" s="15" t="s">
        <v>8</v>
      </c>
      <c r="N1530" s="15" t="s">
        <v>8</v>
      </c>
      <c r="P1530" s="15" t="s">
        <v>8</v>
      </c>
      <c r="Q1530" s="20" t="str">
        <f>HYPERLINK("http://yeinfo.com/family/I09041672.html", "MORIA HUNT WALKER 1529 ST-1550  ID:09041673")</f>
        <v>MORIA HUNT WALKER 1529 ST-1550  ID:09041673</v>
      </c>
      <c r="R1530" s="17"/>
      <c r="S1530" s="17"/>
      <c r="T1530" s="17"/>
      <c r="U1530" s="17"/>
    </row>
    <row r="1531" spans="3:22" x14ac:dyDescent="0.35">
      <c r="C1531" s="15" t="s">
        <v>8</v>
      </c>
      <c r="D1531" s="15" t="s">
        <v>8</v>
      </c>
      <c r="G1531" s="15" t="s">
        <v>8</v>
      </c>
      <c r="H1531" s="15" t="s">
        <v>8</v>
      </c>
      <c r="I1531" s="15" t="s">
        <v>8</v>
      </c>
      <c r="K1531" s="15" t="s">
        <v>8</v>
      </c>
      <c r="M1531" s="15" t="s">
        <v>8</v>
      </c>
      <c r="N1531" s="15" t="s">
        <v>8</v>
      </c>
      <c r="P1531" s="15" t="s">
        <v>8</v>
      </c>
    </row>
    <row r="1532" spans="3:22" x14ac:dyDescent="0.35">
      <c r="C1532" s="15" t="s">
        <v>8</v>
      </c>
      <c r="D1532" s="15" t="s">
        <v>8</v>
      </c>
      <c r="G1532" s="15" t="s">
        <v>8</v>
      </c>
      <c r="H1532" s="15" t="s">
        <v>8</v>
      </c>
      <c r="I1532" s="15" t="s">
        <v>8</v>
      </c>
      <c r="K1532" s="15" t="s">
        <v>8</v>
      </c>
      <c r="M1532" s="15" t="s">
        <v>8</v>
      </c>
      <c r="N1532" s="15" t="s">
        <v>8</v>
      </c>
      <c r="O1532" s="19" t="str">
        <f>HYPERLINK("http://yeinfo.com/family/I09005209.html", "WILLIAM MACGILLIS 1575 ST-1647 ST ID:09010418")</f>
        <v>WILLIAM MACGILLIS 1575 ST-1647 ST ID:09010418</v>
      </c>
      <c r="P1532" s="9"/>
      <c r="Q1532" s="9"/>
      <c r="R1532" s="9"/>
      <c r="S1532" s="9"/>
    </row>
    <row r="1533" spans="3:22" x14ac:dyDescent="0.35">
      <c r="C1533" s="15" t="s">
        <v>8</v>
      </c>
      <c r="D1533" s="15" t="s">
        <v>8</v>
      </c>
      <c r="G1533" s="15" t="s">
        <v>8</v>
      </c>
      <c r="H1533" s="15" t="s">
        <v>8</v>
      </c>
      <c r="I1533" s="15" t="s">
        <v>8</v>
      </c>
      <c r="K1533" s="15" t="s">
        <v>8</v>
      </c>
      <c r="M1533" s="15" t="s">
        <v>8</v>
      </c>
      <c r="N1533" s="15" t="s">
        <v>8</v>
      </c>
      <c r="O1533" s="8" t="s">
        <v>3</v>
      </c>
      <c r="P1533" s="8" t="s">
        <v>6</v>
      </c>
    </row>
    <row r="1534" spans="3:22" x14ac:dyDescent="0.35">
      <c r="C1534" s="15" t="s">
        <v>8</v>
      </c>
      <c r="D1534" s="15" t="s">
        <v>8</v>
      </c>
      <c r="G1534" s="15" t="s">
        <v>8</v>
      </c>
      <c r="H1534" s="15" t="s">
        <v>8</v>
      </c>
      <c r="I1534" s="15" t="s">
        <v>8</v>
      </c>
      <c r="K1534" s="15" t="s">
        <v>8</v>
      </c>
      <c r="M1534" s="15" t="s">
        <v>8</v>
      </c>
      <c r="N1534" s="15" t="s">
        <v>8</v>
      </c>
      <c r="O1534" s="15" t="s">
        <v>8</v>
      </c>
      <c r="P1534" s="20" t="str">
        <f>HYPERLINK("http://yeinfo.com/family/I09041673.html", "MARY JOYCE 1553 ST-1625 ST ID:09020837")</f>
        <v>MARY JOYCE 1553 ST-1625 ST ID:09020837</v>
      </c>
      <c r="Q1534" s="17"/>
      <c r="R1534" s="17"/>
      <c r="S1534" s="17"/>
      <c r="T1534" s="17"/>
    </row>
    <row r="1535" spans="3:22" x14ac:dyDescent="0.35">
      <c r="C1535" s="15" t="s">
        <v>8</v>
      </c>
      <c r="D1535" s="15" t="s">
        <v>8</v>
      </c>
      <c r="G1535" s="15" t="s">
        <v>8</v>
      </c>
      <c r="H1535" s="15" t="s">
        <v>8</v>
      </c>
      <c r="I1535" s="15" t="s">
        <v>8</v>
      </c>
      <c r="K1535" s="15" t="s">
        <v>8</v>
      </c>
      <c r="M1535" s="15" t="s">
        <v>8</v>
      </c>
      <c r="N1535" s="8" t="s">
        <v>6</v>
      </c>
      <c r="O1535" s="15" t="s">
        <v>8</v>
      </c>
    </row>
    <row r="1536" spans="3:22" x14ac:dyDescent="0.35">
      <c r="C1536" s="15" t="s">
        <v>8</v>
      </c>
      <c r="D1536" s="15" t="s">
        <v>8</v>
      </c>
      <c r="G1536" s="15" t="s">
        <v>8</v>
      </c>
      <c r="H1536" s="15" t="s">
        <v>8</v>
      </c>
      <c r="I1536" s="15" t="s">
        <v>8</v>
      </c>
      <c r="K1536" s="15" t="s">
        <v>8</v>
      </c>
      <c r="M1536" s="15" t="s">
        <v>8</v>
      </c>
      <c r="N1536" s="20" t="str">
        <f>HYPERLINK("http://yeinfo.com/family/I09066764.html", "MARY MACGILLIS 1610 ST-1710 ST ID:09005209")</f>
        <v>MARY MACGILLIS 1610 ST-1710 ST ID:09005209</v>
      </c>
      <c r="O1536" s="17"/>
      <c r="P1536" s="17"/>
      <c r="Q1536" s="17"/>
      <c r="R1536" s="17"/>
    </row>
    <row r="1537" spans="3:20" x14ac:dyDescent="0.35">
      <c r="C1537" s="15" t="s">
        <v>8</v>
      </c>
      <c r="D1537" s="15" t="s">
        <v>8</v>
      </c>
      <c r="G1537" s="15" t="s">
        <v>8</v>
      </c>
      <c r="H1537" s="15" t="s">
        <v>8</v>
      </c>
      <c r="I1537" s="15" t="s">
        <v>8</v>
      </c>
      <c r="K1537" s="15" t="s">
        <v>8</v>
      </c>
      <c r="M1537" s="15" t="s">
        <v>8</v>
      </c>
      <c r="O1537" s="15" t="s">
        <v>8</v>
      </c>
    </row>
    <row r="1538" spans="3:20" x14ac:dyDescent="0.35">
      <c r="C1538" s="15" t="s">
        <v>8</v>
      </c>
      <c r="D1538" s="15" t="s">
        <v>8</v>
      </c>
      <c r="G1538" s="15" t="s">
        <v>8</v>
      </c>
      <c r="H1538" s="15" t="s">
        <v>8</v>
      </c>
      <c r="I1538" s="15" t="s">
        <v>8</v>
      </c>
      <c r="K1538" s="15" t="s">
        <v>8</v>
      </c>
      <c r="M1538" s="15" t="s">
        <v>8</v>
      </c>
      <c r="O1538" s="15" t="s">
        <v>8</v>
      </c>
      <c r="P1538" s="19" t="str">
        <f>HYPERLINK("http://yeinfo.com/family/I09010419.html", "MARK YOUNG 1555 EN-1578 ST ID:09020838")</f>
        <v>MARK YOUNG 1555 EN-1578 ST ID:09020838</v>
      </c>
      <c r="Q1538" s="9"/>
      <c r="R1538" s="9"/>
      <c r="S1538" s="9"/>
      <c r="T1538" s="9"/>
    </row>
    <row r="1539" spans="3:20" x14ac:dyDescent="0.35">
      <c r="C1539" s="15" t="s">
        <v>8</v>
      </c>
      <c r="D1539" s="15" t="s">
        <v>8</v>
      </c>
      <c r="G1539" s="15" t="s">
        <v>8</v>
      </c>
      <c r="H1539" s="15" t="s">
        <v>8</v>
      </c>
      <c r="I1539" s="15" t="s">
        <v>8</v>
      </c>
      <c r="K1539" s="15" t="s">
        <v>8</v>
      </c>
      <c r="M1539" s="15" t="s">
        <v>8</v>
      </c>
      <c r="O1539" s="8" t="s">
        <v>6</v>
      </c>
      <c r="P1539" s="8" t="s">
        <v>3</v>
      </c>
    </row>
    <row r="1540" spans="3:20" x14ac:dyDescent="0.35">
      <c r="C1540" s="15" t="s">
        <v>8</v>
      </c>
      <c r="D1540" s="15" t="s">
        <v>8</v>
      </c>
      <c r="G1540" s="15" t="s">
        <v>8</v>
      </c>
      <c r="H1540" s="15" t="s">
        <v>8</v>
      </c>
      <c r="I1540" s="15" t="s">
        <v>8</v>
      </c>
      <c r="K1540" s="15" t="s">
        <v>8</v>
      </c>
      <c r="M1540" s="15" t="s">
        <v>8</v>
      </c>
      <c r="O1540" s="20" t="str">
        <f>HYPERLINK("http://yeinfo.com/family/I09020837.html", "ALICE JANE YOUNG 1578 ST-1645 ST ID:09010419")</f>
        <v>ALICE JANE YOUNG 1578 ST-1645 ST ID:09010419</v>
      </c>
      <c r="P1540" s="17"/>
      <c r="Q1540" s="17"/>
      <c r="R1540" s="17"/>
      <c r="S1540" s="17"/>
    </row>
    <row r="1541" spans="3:20" x14ac:dyDescent="0.35">
      <c r="C1541" s="15" t="s">
        <v>8</v>
      </c>
      <c r="D1541" s="15" t="s">
        <v>8</v>
      </c>
      <c r="G1541" s="15" t="s">
        <v>8</v>
      </c>
      <c r="H1541" s="15" t="s">
        <v>8</v>
      </c>
      <c r="I1541" s="15" t="s">
        <v>8</v>
      </c>
      <c r="K1541" s="15" t="s">
        <v>8</v>
      </c>
      <c r="M1541" s="15" t="s">
        <v>8</v>
      </c>
      <c r="P1541" s="8" t="s">
        <v>6</v>
      </c>
    </row>
    <row r="1542" spans="3:20" x14ac:dyDescent="0.35">
      <c r="C1542" s="15" t="s">
        <v>8</v>
      </c>
      <c r="D1542" s="15" t="s">
        <v>8</v>
      </c>
      <c r="G1542" s="15" t="s">
        <v>8</v>
      </c>
      <c r="H1542" s="15" t="s">
        <v>8</v>
      </c>
      <c r="I1542" s="15" t="s">
        <v>8</v>
      </c>
      <c r="K1542" s="15" t="s">
        <v>8</v>
      </c>
      <c r="M1542" s="15" t="s">
        <v>8</v>
      </c>
      <c r="P1542" s="20" t="str">
        <f>HYPERLINK("http://yeinfo.com/family/I09020838.html", "STEPHANIE BLOOMINGDALE 1558 ST-1618 ST ID:09020839")</f>
        <v>STEPHANIE BLOOMINGDALE 1558 ST-1618 ST ID:09020839</v>
      </c>
      <c r="Q1542" s="17"/>
      <c r="R1542" s="17"/>
      <c r="S1542" s="17"/>
      <c r="T1542" s="17"/>
    </row>
    <row r="1543" spans="3:20" x14ac:dyDescent="0.35">
      <c r="C1543" s="15" t="s">
        <v>8</v>
      </c>
      <c r="D1543" s="15" t="s">
        <v>8</v>
      </c>
      <c r="G1543" s="15" t="s">
        <v>8</v>
      </c>
      <c r="H1543" s="15" t="s">
        <v>8</v>
      </c>
      <c r="I1543" s="15" t="s">
        <v>8</v>
      </c>
      <c r="K1543" s="15" t="s">
        <v>8</v>
      </c>
      <c r="M1543" s="15" t="s">
        <v>8</v>
      </c>
    </row>
    <row r="1544" spans="3:20" x14ac:dyDescent="0.35">
      <c r="C1544" s="15" t="s">
        <v>8</v>
      </c>
      <c r="D1544" s="15" t="s">
        <v>8</v>
      </c>
      <c r="G1544" s="15" t="s">
        <v>8</v>
      </c>
      <c r="H1544" s="15" t="s">
        <v>8</v>
      </c>
      <c r="I1544" s="15" t="s">
        <v>8</v>
      </c>
      <c r="K1544" s="15" t="s">
        <v>8</v>
      </c>
      <c r="L1544" s="5" t="str">
        <f>HYPERLINK("http://yeinfo.com/family/I09000651.html", "JOHN BEAN Jr. 1668 NH-1719 NH ID:09001302")</f>
        <v>JOHN BEAN Jr. 1668 NH-1719 NH ID:09001302</v>
      </c>
      <c r="M1544" s="3"/>
      <c r="N1544" s="3"/>
      <c r="O1544" s="3"/>
      <c r="P1544" s="3"/>
    </row>
    <row r="1545" spans="3:20" x14ac:dyDescent="0.35">
      <c r="C1545" s="15" t="s">
        <v>8</v>
      </c>
      <c r="D1545" s="15" t="s">
        <v>8</v>
      </c>
      <c r="G1545" s="15" t="s">
        <v>8</v>
      </c>
      <c r="H1545" s="15" t="s">
        <v>8</v>
      </c>
      <c r="I1545" s="15" t="s">
        <v>8</v>
      </c>
      <c r="K1545" s="15" t="s">
        <v>8</v>
      </c>
      <c r="L1545" s="8" t="s">
        <v>3</v>
      </c>
      <c r="M1545" s="8" t="s">
        <v>6</v>
      </c>
    </row>
    <row r="1546" spans="3:20" x14ac:dyDescent="0.35">
      <c r="C1546" s="15" t="s">
        <v>8</v>
      </c>
      <c r="D1546" s="15" t="s">
        <v>8</v>
      </c>
      <c r="G1546" s="15" t="s">
        <v>8</v>
      </c>
      <c r="H1546" s="15" t="s">
        <v>8</v>
      </c>
      <c r="I1546" s="15" t="s">
        <v>8</v>
      </c>
      <c r="K1546" s="15" t="s">
        <v>8</v>
      </c>
      <c r="L1546" s="15" t="s">
        <v>8</v>
      </c>
      <c r="M1546" s="22" t="str">
        <f>HYPERLINK("http://yeinfo.com/family/I09020839.html", "MARGARET EDWARDS 1640 ST-1714 NH ID:09002605")</f>
        <v>MARGARET EDWARDS 1640 ST-1714 NH ID:09002605</v>
      </c>
      <c r="N1546" s="13"/>
      <c r="O1546" s="13"/>
      <c r="P1546" s="13"/>
      <c r="Q1546" s="13"/>
    </row>
    <row r="1547" spans="3:20" x14ac:dyDescent="0.35">
      <c r="C1547" s="15" t="s">
        <v>8</v>
      </c>
      <c r="D1547" s="15" t="s">
        <v>8</v>
      </c>
      <c r="G1547" s="15" t="s">
        <v>8</v>
      </c>
      <c r="H1547" s="15" t="s">
        <v>8</v>
      </c>
      <c r="I1547" s="15" t="s">
        <v>8</v>
      </c>
      <c r="K1547" s="8" t="s">
        <v>6</v>
      </c>
      <c r="L1547" s="15" t="s">
        <v>8</v>
      </c>
    </row>
    <row r="1548" spans="3:20" x14ac:dyDescent="0.35">
      <c r="C1548" s="15" t="s">
        <v>8</v>
      </c>
      <c r="D1548" s="15" t="s">
        <v>8</v>
      </c>
      <c r="G1548" s="15" t="s">
        <v>8</v>
      </c>
      <c r="H1548" s="15" t="s">
        <v>8</v>
      </c>
      <c r="I1548" s="15" t="s">
        <v>8</v>
      </c>
      <c r="K1548" s="16" t="str">
        <f>HYPERLINK("http://yeinfo.com/family/I09001301.html", "SARAH BEAN 1704 NH-1790 NH ID:09000651")</f>
        <v>SARAH BEAN 1704 NH-1790 NH ID:09000651</v>
      </c>
      <c r="L1548" s="11"/>
      <c r="M1548" s="11"/>
      <c r="N1548" s="11"/>
      <c r="O1548" s="11"/>
    </row>
    <row r="1549" spans="3:20" x14ac:dyDescent="0.35">
      <c r="C1549" s="15" t="s">
        <v>8</v>
      </c>
      <c r="D1549" s="15" t="s">
        <v>8</v>
      </c>
      <c r="G1549" s="15" t="s">
        <v>8</v>
      </c>
      <c r="H1549" s="15" t="s">
        <v>8</v>
      </c>
      <c r="I1549" s="15" t="s">
        <v>8</v>
      </c>
      <c r="L1549" s="15" t="s">
        <v>8</v>
      </c>
    </row>
    <row r="1550" spans="3:20" x14ac:dyDescent="0.35">
      <c r="C1550" s="15" t="s">
        <v>8</v>
      </c>
      <c r="D1550" s="15" t="s">
        <v>8</v>
      </c>
      <c r="G1550" s="15" t="s">
        <v>8</v>
      </c>
      <c r="H1550" s="15" t="s">
        <v>8</v>
      </c>
      <c r="I1550" s="15" t="s">
        <v>8</v>
      </c>
      <c r="L1550" s="15" t="s">
        <v>8</v>
      </c>
      <c r="N1550" s="21" t="str">
        <f>HYPERLINK("http://yeinfo.com/family/I09002606.html", "JOHN WADLEIGH 1607 EN-1632 ME ID:09005212")</f>
        <v>JOHN WADLEIGH 1607 EN-1632 ME ID:09005212</v>
      </c>
      <c r="O1550" s="6"/>
      <c r="P1550" s="6"/>
      <c r="Q1550" s="6"/>
      <c r="R1550" s="6"/>
    </row>
    <row r="1551" spans="3:20" x14ac:dyDescent="0.35">
      <c r="C1551" s="15" t="s">
        <v>8</v>
      </c>
      <c r="D1551" s="15" t="s">
        <v>8</v>
      </c>
      <c r="G1551" s="15" t="s">
        <v>8</v>
      </c>
      <c r="H1551" s="15" t="s">
        <v>8</v>
      </c>
      <c r="I1551" s="15" t="s">
        <v>8</v>
      </c>
      <c r="L1551" s="15" t="s">
        <v>8</v>
      </c>
      <c r="N1551" s="8" t="s">
        <v>3</v>
      </c>
    </row>
    <row r="1552" spans="3:20" x14ac:dyDescent="0.35">
      <c r="C1552" s="15" t="s">
        <v>8</v>
      </c>
      <c r="D1552" s="15" t="s">
        <v>8</v>
      </c>
      <c r="G1552" s="15" t="s">
        <v>8</v>
      </c>
      <c r="H1552" s="15" t="s">
        <v>8</v>
      </c>
      <c r="I1552" s="15" t="s">
        <v>8</v>
      </c>
      <c r="L1552" s="15" t="s">
        <v>8</v>
      </c>
      <c r="M1552" s="21" t="str">
        <f>HYPERLINK("http://yeinfo.com/family/I09001303.html", "ROBERT WADLEIGH 1628 EN-1672 NH ID:09002606")</f>
        <v>ROBERT WADLEIGH 1628 EN-1672 NH ID:09002606</v>
      </c>
      <c r="N1552" s="6"/>
      <c r="O1552" s="6"/>
      <c r="P1552" s="6"/>
      <c r="Q1552" s="6"/>
    </row>
    <row r="1553" spans="3:19" x14ac:dyDescent="0.35">
      <c r="C1553" s="15" t="s">
        <v>8</v>
      </c>
      <c r="D1553" s="15" t="s">
        <v>8</v>
      </c>
      <c r="G1553" s="15" t="s">
        <v>8</v>
      </c>
      <c r="H1553" s="15" t="s">
        <v>8</v>
      </c>
      <c r="I1553" s="15" t="s">
        <v>8</v>
      </c>
      <c r="L1553" s="15" t="s">
        <v>8</v>
      </c>
      <c r="M1553" s="8" t="s">
        <v>3</v>
      </c>
      <c r="N1553" s="8" t="s">
        <v>6</v>
      </c>
    </row>
    <row r="1554" spans="3:19" x14ac:dyDescent="0.35">
      <c r="C1554" s="15" t="s">
        <v>8</v>
      </c>
      <c r="D1554" s="15" t="s">
        <v>8</v>
      </c>
      <c r="G1554" s="15" t="s">
        <v>8</v>
      </c>
      <c r="H1554" s="15" t="s">
        <v>8</v>
      </c>
      <c r="I1554" s="15" t="s">
        <v>8</v>
      </c>
      <c r="L1554" s="15" t="s">
        <v>8</v>
      </c>
      <c r="M1554" s="15" t="s">
        <v>8</v>
      </c>
      <c r="N1554" s="16" t="str">
        <f>HYPERLINK("http://yeinfo.com/family/I09005212.html", "MARY MARSTON 1600 EN-1632  ID:09005213")</f>
        <v>MARY MARSTON 1600 EN-1632  ID:09005213</v>
      </c>
      <c r="O1554" s="11"/>
      <c r="P1554" s="11"/>
      <c r="Q1554" s="11"/>
      <c r="R1554" s="11"/>
    </row>
    <row r="1555" spans="3:19" x14ac:dyDescent="0.35">
      <c r="C1555" s="15" t="s">
        <v>8</v>
      </c>
      <c r="D1555" s="15" t="s">
        <v>8</v>
      </c>
      <c r="G1555" s="15" t="s">
        <v>8</v>
      </c>
      <c r="H1555" s="15" t="s">
        <v>8</v>
      </c>
      <c r="I1555" s="15" t="s">
        <v>8</v>
      </c>
      <c r="L1555" s="8" t="s">
        <v>6</v>
      </c>
      <c r="M1555" s="15" t="s">
        <v>8</v>
      </c>
    </row>
    <row r="1556" spans="3:19" x14ac:dyDescent="0.35">
      <c r="C1556" s="15" t="s">
        <v>8</v>
      </c>
      <c r="D1556" s="15" t="s">
        <v>8</v>
      </c>
      <c r="G1556" s="15" t="s">
        <v>8</v>
      </c>
      <c r="H1556" s="15" t="s">
        <v>8</v>
      </c>
      <c r="I1556" s="15" t="s">
        <v>8</v>
      </c>
      <c r="L1556" s="16" t="str">
        <f>HYPERLINK("http://yeinfo.com/family/I09002605.html", "SARAH WADLEIGH 1655 NH-1704  ID:09001303")</f>
        <v>SARAH WADLEIGH 1655 NH-1704  ID:09001303</v>
      </c>
      <c r="M1556" s="11"/>
      <c r="N1556" s="11"/>
      <c r="O1556" s="11"/>
      <c r="P1556" s="11"/>
    </row>
    <row r="1557" spans="3:19" x14ac:dyDescent="0.35">
      <c r="C1557" s="15" t="s">
        <v>8</v>
      </c>
      <c r="D1557" s="15" t="s">
        <v>8</v>
      </c>
      <c r="G1557" s="15" t="s">
        <v>8</v>
      </c>
      <c r="H1557" s="15" t="s">
        <v>8</v>
      </c>
      <c r="I1557" s="15" t="s">
        <v>8</v>
      </c>
      <c r="M1557" s="15" t="s">
        <v>8</v>
      </c>
    </row>
    <row r="1558" spans="3:19" x14ac:dyDescent="0.35">
      <c r="C1558" s="15" t="s">
        <v>8</v>
      </c>
      <c r="D1558" s="15" t="s">
        <v>8</v>
      </c>
      <c r="G1558" s="15" t="s">
        <v>8</v>
      </c>
      <c r="H1558" s="15" t="s">
        <v>8</v>
      </c>
      <c r="I1558" s="15" t="s">
        <v>8</v>
      </c>
      <c r="M1558" s="15" t="s">
        <v>8</v>
      </c>
      <c r="O1558" s="21" t="str">
        <f>HYPERLINK("http://yeinfo.com/family/I09005214.html", "JOHN SMITH 1594 EN-1674 MA ID:09010428")</f>
        <v>JOHN SMITH 1594 EN-1674 MA ID:09010428</v>
      </c>
      <c r="P1558" s="6"/>
      <c r="Q1558" s="6"/>
      <c r="R1558" s="6"/>
      <c r="S1558" s="6"/>
    </row>
    <row r="1559" spans="3:19" x14ac:dyDescent="0.35">
      <c r="C1559" s="15" t="s">
        <v>8</v>
      </c>
      <c r="D1559" s="15" t="s">
        <v>8</v>
      </c>
      <c r="G1559" s="15" t="s">
        <v>8</v>
      </c>
      <c r="H1559" s="15" t="s">
        <v>8</v>
      </c>
      <c r="I1559" s="15" t="s">
        <v>8</v>
      </c>
      <c r="M1559" s="15" t="s">
        <v>8</v>
      </c>
      <c r="O1559" s="8" t="s">
        <v>3</v>
      </c>
    </row>
    <row r="1560" spans="3:19" x14ac:dyDescent="0.35">
      <c r="C1560" s="15" t="s">
        <v>8</v>
      </c>
      <c r="D1560" s="15" t="s">
        <v>8</v>
      </c>
      <c r="G1560" s="15" t="s">
        <v>8</v>
      </c>
      <c r="H1560" s="15" t="s">
        <v>8</v>
      </c>
      <c r="I1560" s="15" t="s">
        <v>8</v>
      </c>
      <c r="M1560" s="15" t="s">
        <v>8</v>
      </c>
      <c r="N1560" s="21" t="str">
        <f>HYPERLINK("http://yeinfo.com/family/I09002607.html", "ROBERT SMITH 1611 EN-1706 NH ID:09005214")</f>
        <v>ROBERT SMITH 1611 EN-1706 NH ID:09005214</v>
      </c>
      <c r="O1560" s="6"/>
      <c r="P1560" s="6"/>
      <c r="Q1560" s="6"/>
      <c r="R1560" s="6"/>
    </row>
    <row r="1561" spans="3:19" x14ac:dyDescent="0.35">
      <c r="C1561" s="15" t="s">
        <v>8</v>
      </c>
      <c r="D1561" s="15" t="s">
        <v>8</v>
      </c>
      <c r="G1561" s="15" t="s">
        <v>8</v>
      </c>
      <c r="H1561" s="15" t="s">
        <v>8</v>
      </c>
      <c r="I1561" s="15" t="s">
        <v>8</v>
      </c>
      <c r="M1561" s="15" t="s">
        <v>8</v>
      </c>
      <c r="N1561" s="8" t="s">
        <v>3</v>
      </c>
      <c r="O1561" s="8" t="s">
        <v>6</v>
      </c>
    </row>
    <row r="1562" spans="3:19" x14ac:dyDescent="0.35">
      <c r="C1562" s="15" t="s">
        <v>8</v>
      </c>
      <c r="D1562" s="15" t="s">
        <v>8</v>
      </c>
      <c r="G1562" s="15" t="s">
        <v>8</v>
      </c>
      <c r="H1562" s="15" t="s">
        <v>8</v>
      </c>
      <c r="I1562" s="15" t="s">
        <v>8</v>
      </c>
      <c r="M1562" s="15" t="s">
        <v>8</v>
      </c>
      <c r="N1562" s="15" t="s">
        <v>8</v>
      </c>
      <c r="O1562" s="22" t="str">
        <f>HYPERLINK("http://yeinfo.com/family/I09010428.html", "DOROTHY KETRINGHAM 1588 EN-1611 MA ID:09010429")</f>
        <v>DOROTHY KETRINGHAM 1588 EN-1611 MA ID:09010429</v>
      </c>
      <c r="P1562" s="13"/>
      <c r="Q1562" s="13"/>
      <c r="R1562" s="13"/>
      <c r="S1562" s="13"/>
    </row>
    <row r="1563" spans="3:19" x14ac:dyDescent="0.35">
      <c r="C1563" s="15" t="s">
        <v>8</v>
      </c>
      <c r="D1563" s="15" t="s">
        <v>8</v>
      </c>
      <c r="G1563" s="15" t="s">
        <v>8</v>
      </c>
      <c r="H1563" s="15" t="s">
        <v>8</v>
      </c>
      <c r="I1563" s="15" t="s">
        <v>8</v>
      </c>
      <c r="M1563" s="8" t="s">
        <v>6</v>
      </c>
      <c r="N1563" s="15" t="s">
        <v>8</v>
      </c>
    </row>
    <row r="1564" spans="3:19" x14ac:dyDescent="0.35">
      <c r="C1564" s="15" t="s">
        <v>8</v>
      </c>
      <c r="D1564" s="15" t="s">
        <v>8</v>
      </c>
      <c r="G1564" s="15" t="s">
        <v>8</v>
      </c>
      <c r="H1564" s="15" t="s">
        <v>8</v>
      </c>
      <c r="I1564" s="15" t="s">
        <v>8</v>
      </c>
      <c r="M1564" s="16" t="str">
        <f>HYPERLINK("http://yeinfo.com/family/I09005213.html", "SARAH SMITH 1632 NH-1660 NH ID:09002607")</f>
        <v>SARAH SMITH 1632 NH-1660 NH ID:09002607</v>
      </c>
      <c r="N1564" s="11"/>
      <c r="O1564" s="11"/>
      <c r="P1564" s="11"/>
      <c r="Q1564" s="11"/>
    </row>
    <row r="1565" spans="3:19" x14ac:dyDescent="0.35">
      <c r="C1565" s="15" t="s">
        <v>8</v>
      </c>
      <c r="D1565" s="15" t="s">
        <v>8</v>
      </c>
      <c r="G1565" s="15" t="s">
        <v>8</v>
      </c>
      <c r="H1565" s="15" t="s">
        <v>8</v>
      </c>
      <c r="I1565" s="15" t="s">
        <v>8</v>
      </c>
      <c r="N1565" s="8" t="s">
        <v>6</v>
      </c>
    </row>
    <row r="1566" spans="3:19" x14ac:dyDescent="0.35">
      <c r="C1566" s="15" t="s">
        <v>8</v>
      </c>
      <c r="D1566" s="15" t="s">
        <v>8</v>
      </c>
      <c r="G1566" s="15" t="s">
        <v>8</v>
      </c>
      <c r="H1566" s="15" t="s">
        <v>8</v>
      </c>
      <c r="I1566" s="15" t="s">
        <v>8</v>
      </c>
      <c r="N1566" s="22" t="str">
        <f>HYPERLINK("http://yeinfo.com/family/I09010429.html", "SUSANNAH PORTE 1611 EN-1680 NH ID:09005215")</f>
        <v>SUSANNAH PORTE 1611 EN-1680 NH ID:09005215</v>
      </c>
      <c r="O1566" s="13"/>
      <c r="P1566" s="13"/>
      <c r="Q1566" s="13"/>
      <c r="R1566" s="13"/>
    </row>
    <row r="1567" spans="3:19" x14ac:dyDescent="0.35">
      <c r="C1567" s="15" t="s">
        <v>8</v>
      </c>
      <c r="D1567" s="15" t="s">
        <v>8</v>
      </c>
      <c r="G1567" s="15" t="s">
        <v>8</v>
      </c>
      <c r="H1567" s="8" t="s">
        <v>6</v>
      </c>
      <c r="I1567" s="15" t="s">
        <v>8</v>
      </c>
    </row>
    <row r="1568" spans="3:19" x14ac:dyDescent="0.35">
      <c r="C1568" s="15" t="s">
        <v>8</v>
      </c>
      <c r="D1568" s="15" t="s">
        <v>8</v>
      </c>
      <c r="G1568" s="15" t="s">
        <v>8</v>
      </c>
      <c r="H1568" s="16" t="str">
        <f>HYPERLINK("http://yeinfo.com/family/I09041471.html", "PHOEBE FISHER 1784 NY-1861 OH ID:09000081")</f>
        <v>PHOEBE FISHER 1784 NY-1861 OH ID:09000081</v>
      </c>
      <c r="I1568" s="11"/>
      <c r="J1568" s="11"/>
      <c r="K1568" s="11"/>
      <c r="L1568" s="11"/>
    </row>
    <row r="1569" spans="3:17" x14ac:dyDescent="0.35">
      <c r="C1569" s="15" t="s">
        <v>8</v>
      </c>
      <c r="D1569" s="15" t="s">
        <v>8</v>
      </c>
      <c r="G1569" s="15" t="s">
        <v>8</v>
      </c>
      <c r="I1569" s="15" t="s">
        <v>8</v>
      </c>
    </row>
    <row r="1570" spans="3:17" x14ac:dyDescent="0.35">
      <c r="C1570" s="15" t="s">
        <v>8</v>
      </c>
      <c r="D1570" s="15" t="s">
        <v>8</v>
      </c>
      <c r="G1570" s="15" t="s">
        <v>8</v>
      </c>
      <c r="I1570" s="15" t="s">
        <v>8</v>
      </c>
      <c r="M1570" s="19" t="str">
        <f>HYPERLINK("http://yeinfo.com/family/I09001280.html", "ROBERT SEARLS &lt;2&gt; 1640 EN-1663 EN ID:09001280")</f>
        <v>ROBERT SEARLS &lt;2&gt; 1640 EN-1663 EN ID:09001280</v>
      </c>
      <c r="N1570" s="9"/>
      <c r="O1570" s="9"/>
      <c r="P1570" s="9"/>
      <c r="Q1570" s="9"/>
    </row>
    <row r="1571" spans="3:17" x14ac:dyDescent="0.35">
      <c r="C1571" s="15" t="s">
        <v>8</v>
      </c>
      <c r="D1571" s="15" t="s">
        <v>8</v>
      </c>
      <c r="G1571" s="15" t="s">
        <v>8</v>
      </c>
      <c r="I1571" s="15" t="s">
        <v>8</v>
      </c>
      <c r="M1571" s="8" t="s">
        <v>3</v>
      </c>
    </row>
    <row r="1572" spans="3:17" x14ac:dyDescent="0.35">
      <c r="C1572" s="15" t="s">
        <v>8</v>
      </c>
      <c r="D1572" s="15" t="s">
        <v>8</v>
      </c>
      <c r="G1572" s="15" t="s">
        <v>8</v>
      </c>
      <c r="I1572" s="15" t="s">
        <v>8</v>
      </c>
      <c r="L1572" s="19" t="str">
        <f>HYPERLINK("http://yeinfo.com/family/I09000640.html", "ROBERT SEARLS &lt;2&gt; 1663 EN-1711 EN ID:09000640")</f>
        <v>ROBERT SEARLS &lt;2&gt; 1663 EN-1711 EN ID:09000640</v>
      </c>
      <c r="M1572" s="9"/>
      <c r="N1572" s="9"/>
      <c r="O1572" s="9"/>
      <c r="P1572" s="9"/>
    </row>
    <row r="1573" spans="3:17" x14ac:dyDescent="0.35">
      <c r="C1573" s="15" t="s">
        <v>8</v>
      </c>
      <c r="D1573" s="15" t="s">
        <v>8</v>
      </c>
      <c r="G1573" s="15" t="s">
        <v>8</v>
      </c>
      <c r="I1573" s="15" t="s">
        <v>8</v>
      </c>
      <c r="L1573" s="8" t="s">
        <v>3</v>
      </c>
      <c r="M1573" s="8" t="s">
        <v>6</v>
      </c>
    </row>
    <row r="1574" spans="3:17" x14ac:dyDescent="0.35">
      <c r="C1574" s="15" t="s">
        <v>8</v>
      </c>
      <c r="D1574" s="15" t="s">
        <v>8</v>
      </c>
      <c r="G1574" s="15" t="s">
        <v>8</v>
      </c>
      <c r="I1574" s="15" t="s">
        <v>8</v>
      </c>
      <c r="L1574" s="15" t="s">
        <v>8</v>
      </c>
      <c r="M1574" s="20" t="str">
        <f>HYPERLINK("http://yeinfo.com/family/I09001281.html", "Mrs. JOHANNA SEARLS &lt;2&gt; 1640 EN-1663 EN ID:09001281")</f>
        <v>Mrs. JOHANNA SEARLS &lt;2&gt; 1640 EN-1663 EN ID:09001281</v>
      </c>
      <c r="N1574" s="17"/>
      <c r="O1574" s="17"/>
      <c r="P1574" s="17"/>
      <c r="Q1574" s="17"/>
    </row>
    <row r="1575" spans="3:17" x14ac:dyDescent="0.35">
      <c r="C1575" s="15" t="s">
        <v>8</v>
      </c>
      <c r="D1575" s="15" t="s">
        <v>8</v>
      </c>
      <c r="G1575" s="15" t="s">
        <v>8</v>
      </c>
      <c r="I1575" s="15" t="s">
        <v>8</v>
      </c>
      <c r="L1575" s="15" t="s">
        <v>8</v>
      </c>
    </row>
    <row r="1576" spans="3:17" x14ac:dyDescent="0.35">
      <c r="C1576" s="15" t="s">
        <v>8</v>
      </c>
      <c r="D1576" s="15" t="s">
        <v>8</v>
      </c>
      <c r="G1576" s="15" t="s">
        <v>8</v>
      </c>
      <c r="I1576" s="15" t="s">
        <v>8</v>
      </c>
      <c r="K1576" s="21" t="str">
        <f>HYPERLINK("http://yeinfo.com/family/I09000320.html", "JOHN SEARLS Sr. &lt;2&gt; 1711 EN-1770 NY ID:09000320")</f>
        <v>JOHN SEARLS Sr. &lt;2&gt; 1711 EN-1770 NY ID:09000320</v>
      </c>
      <c r="L1576" s="6"/>
      <c r="M1576" s="6"/>
      <c r="N1576" s="6"/>
      <c r="O1576" s="6"/>
    </row>
    <row r="1577" spans="3:17" x14ac:dyDescent="0.35">
      <c r="C1577" s="15" t="s">
        <v>8</v>
      </c>
      <c r="D1577" s="15" t="s">
        <v>8</v>
      </c>
      <c r="G1577" s="15" t="s">
        <v>8</v>
      </c>
      <c r="I1577" s="15" t="s">
        <v>8</v>
      </c>
      <c r="K1577" s="8" t="s">
        <v>3</v>
      </c>
      <c r="L1577" s="8" t="s">
        <v>6</v>
      </c>
    </row>
    <row r="1578" spans="3:17" x14ac:dyDescent="0.35">
      <c r="C1578" s="15" t="s">
        <v>8</v>
      </c>
      <c r="D1578" s="15" t="s">
        <v>8</v>
      </c>
      <c r="G1578" s="15" t="s">
        <v>8</v>
      </c>
      <c r="I1578" s="15" t="s">
        <v>8</v>
      </c>
      <c r="K1578" s="15" t="s">
        <v>8</v>
      </c>
      <c r="L1578" s="20" t="str">
        <f>HYPERLINK("http://yeinfo.com/family/I09000641.html", "MARY\MATILDA QUARTERMAIN &lt;2&gt; 1670 EN-1711 EN ID:09000641")</f>
        <v>MARY\MATILDA QUARTERMAIN &lt;2&gt; 1670 EN-1711 EN ID:09000641</v>
      </c>
      <c r="M1578" s="17"/>
      <c r="N1578" s="17"/>
      <c r="O1578" s="17"/>
      <c r="P1578" s="17"/>
      <c r="Q1578" s="17"/>
    </row>
    <row r="1579" spans="3:17" x14ac:dyDescent="0.35">
      <c r="C1579" s="15" t="s">
        <v>8</v>
      </c>
      <c r="D1579" s="15" t="s">
        <v>8</v>
      </c>
      <c r="G1579" s="15" t="s">
        <v>8</v>
      </c>
      <c r="I1579" s="15" t="s">
        <v>8</v>
      </c>
      <c r="K1579" s="15" t="s">
        <v>8</v>
      </c>
    </row>
    <row r="1580" spans="3:17" x14ac:dyDescent="0.35">
      <c r="C1580" s="15" t="s">
        <v>8</v>
      </c>
      <c r="D1580" s="15" t="s">
        <v>8</v>
      </c>
      <c r="G1580" s="15" t="s">
        <v>8</v>
      </c>
      <c r="I1580" s="15" t="s">
        <v>8</v>
      </c>
      <c r="J1580" s="5" t="str">
        <f>HYPERLINK("http://yeinfo.com/family/I09000160.html", "JOHN SEARLS Jr. &lt;2&gt; 1732 NY-1810 NY ID:09000160")</f>
        <v>JOHN SEARLS Jr. &lt;2&gt; 1732 NY-1810 NY ID:09000160</v>
      </c>
      <c r="K1580" s="3"/>
      <c r="L1580" s="3"/>
      <c r="M1580" s="3"/>
      <c r="N1580" s="3"/>
    </row>
    <row r="1581" spans="3:17" x14ac:dyDescent="0.35">
      <c r="C1581" s="15" t="s">
        <v>8</v>
      </c>
      <c r="D1581" s="15" t="s">
        <v>8</v>
      </c>
      <c r="G1581" s="15" t="s">
        <v>8</v>
      </c>
      <c r="I1581" s="15" t="s">
        <v>8</v>
      </c>
      <c r="J1581" s="8" t="s">
        <v>3</v>
      </c>
      <c r="K1581" s="8" t="s">
        <v>6</v>
      </c>
    </row>
    <row r="1582" spans="3:17" x14ac:dyDescent="0.35">
      <c r="C1582" s="15" t="s">
        <v>8</v>
      </c>
      <c r="D1582" s="15" t="s">
        <v>8</v>
      </c>
      <c r="G1582" s="15" t="s">
        <v>8</v>
      </c>
      <c r="I1582" s="15" t="s">
        <v>8</v>
      </c>
      <c r="J1582" s="15" t="s">
        <v>8</v>
      </c>
      <c r="K1582" s="22" t="str">
        <f>HYPERLINK("http://yeinfo.com/family/I09000321.html", "MARY ELIZABETH PACKER &lt;2&gt; 1709 EN-1732 NY ID:09000321")</f>
        <v>MARY ELIZABETH PACKER &lt;2&gt; 1709 EN-1732 NY ID:09000321</v>
      </c>
      <c r="L1582" s="13"/>
      <c r="M1582" s="13"/>
      <c r="N1582" s="13"/>
      <c r="O1582" s="13"/>
    </row>
    <row r="1583" spans="3:17" x14ac:dyDescent="0.35">
      <c r="C1583" s="15" t="s">
        <v>8</v>
      </c>
      <c r="D1583" s="15" t="s">
        <v>8</v>
      </c>
      <c r="G1583" s="15" t="s">
        <v>8</v>
      </c>
      <c r="I1583" s="8" t="s">
        <v>6</v>
      </c>
      <c r="J1583" s="15" t="s">
        <v>8</v>
      </c>
    </row>
    <row r="1584" spans="3:17" x14ac:dyDescent="0.35">
      <c r="C1584" s="15" t="s">
        <v>8</v>
      </c>
      <c r="D1584" s="15" t="s">
        <v>8</v>
      </c>
      <c r="G1584" s="15" t="s">
        <v>8</v>
      </c>
      <c r="I1584" s="16" t="str">
        <f>HYPERLINK("http://yeinfo.com/family/I09005215.html", "CHARITY SEARLS 1763 NY-1841 NY ID:09000163")</f>
        <v>CHARITY SEARLS 1763 NY-1841 NY ID:09000163</v>
      </c>
      <c r="J1584" s="11"/>
      <c r="K1584" s="11"/>
      <c r="L1584" s="11"/>
      <c r="M1584" s="11"/>
    </row>
    <row r="1585" spans="3:22" x14ac:dyDescent="0.35">
      <c r="C1585" s="15" t="s">
        <v>8</v>
      </c>
      <c r="D1585" s="15" t="s">
        <v>8</v>
      </c>
      <c r="G1585" s="15" t="s">
        <v>8</v>
      </c>
      <c r="J1585" s="15" t="s">
        <v>8</v>
      </c>
    </row>
    <row r="1586" spans="3:22" x14ac:dyDescent="0.35">
      <c r="C1586" s="15" t="s">
        <v>8</v>
      </c>
      <c r="D1586" s="15" t="s">
        <v>8</v>
      </c>
      <c r="G1586" s="15" t="s">
        <v>8</v>
      </c>
      <c r="J1586" s="15" t="s">
        <v>8</v>
      </c>
      <c r="N1586" s="5" t="str">
        <f>HYPERLINK("http://yeinfo.com/family/I09002576.html", "WILLIAM\SAMUEL IRELAND Jr. &lt;2&gt; 1603 EN-1639  ID:09002576")</f>
        <v>WILLIAM\SAMUEL IRELAND Jr. &lt;2&gt; 1603 EN-1639  ID:09002576</v>
      </c>
      <c r="O1586" s="3"/>
      <c r="P1586" s="3"/>
      <c r="Q1586" s="3"/>
      <c r="R1586" s="3"/>
      <c r="S1586" s="3"/>
    </row>
    <row r="1587" spans="3:22" x14ac:dyDescent="0.35">
      <c r="C1587" s="15" t="s">
        <v>8</v>
      </c>
      <c r="D1587" s="15" t="s">
        <v>8</v>
      </c>
      <c r="G1587" s="15" t="s">
        <v>8</v>
      </c>
      <c r="J1587" s="15" t="s">
        <v>8</v>
      </c>
      <c r="N1587" s="8" t="s">
        <v>3</v>
      </c>
    </row>
    <row r="1588" spans="3:22" x14ac:dyDescent="0.35">
      <c r="C1588" s="15" t="s">
        <v>8</v>
      </c>
      <c r="D1588" s="15" t="s">
        <v>8</v>
      </c>
      <c r="G1588" s="15" t="s">
        <v>8</v>
      </c>
      <c r="J1588" s="15" t="s">
        <v>8</v>
      </c>
      <c r="M1588" s="5" t="str">
        <f>HYPERLINK("http://yeinfo.com/family/I09001288.html", "THOMAS IRELAND &lt;2&gt; 1622 EN-1668  ID:09001288")</f>
        <v>THOMAS IRELAND &lt;2&gt; 1622 EN-1668  ID:09001288</v>
      </c>
      <c r="N1588" s="3"/>
      <c r="O1588" s="3"/>
      <c r="P1588" s="3"/>
      <c r="Q1588" s="3"/>
    </row>
    <row r="1589" spans="3:22" x14ac:dyDescent="0.35">
      <c r="C1589" s="15" t="s">
        <v>8</v>
      </c>
      <c r="D1589" s="15" t="s">
        <v>8</v>
      </c>
      <c r="G1589" s="15" t="s">
        <v>8</v>
      </c>
      <c r="J1589" s="15" t="s">
        <v>8</v>
      </c>
      <c r="M1589" s="8" t="s">
        <v>3</v>
      </c>
      <c r="N1589" s="8" t="s">
        <v>6</v>
      </c>
    </row>
    <row r="1590" spans="3:22" x14ac:dyDescent="0.35">
      <c r="C1590" s="15" t="s">
        <v>8</v>
      </c>
      <c r="D1590" s="15" t="s">
        <v>8</v>
      </c>
      <c r="G1590" s="15" t="s">
        <v>8</v>
      </c>
      <c r="J1590" s="15" t="s">
        <v>8</v>
      </c>
      <c r="M1590" s="15" t="s">
        <v>8</v>
      </c>
      <c r="N1590" s="16" t="str">
        <f>HYPERLINK("http://yeinfo.com/family/I09002577.html", "MARY LOAH &lt;2&gt; 1590 EN-1622  ID:09002577")</f>
        <v>MARY LOAH &lt;2&gt; 1590 EN-1622  ID:09002577</v>
      </c>
      <c r="O1590" s="11"/>
      <c r="P1590" s="11"/>
      <c r="Q1590" s="11"/>
      <c r="R1590" s="11"/>
    </row>
    <row r="1591" spans="3:22" x14ac:dyDescent="0.35">
      <c r="C1591" s="15" t="s">
        <v>8</v>
      </c>
      <c r="D1591" s="15" t="s">
        <v>8</v>
      </c>
      <c r="G1591" s="15" t="s">
        <v>8</v>
      </c>
      <c r="J1591" s="15" t="s">
        <v>8</v>
      </c>
      <c r="M1591" s="15" t="s">
        <v>8</v>
      </c>
    </row>
    <row r="1592" spans="3:22" x14ac:dyDescent="0.35">
      <c r="C1592" s="15" t="s">
        <v>8</v>
      </c>
      <c r="D1592" s="15" t="s">
        <v>8</v>
      </c>
      <c r="G1592" s="15" t="s">
        <v>8</v>
      </c>
      <c r="J1592" s="15" t="s">
        <v>8</v>
      </c>
      <c r="L1592" s="5" t="str">
        <f>HYPERLINK("http://yeinfo.com/family/I09000644.html", "THOMAS JOSEPH IRELAND &lt;2&gt; 1647 NY-1710 NY ID:09000644")</f>
        <v>THOMAS JOSEPH IRELAND &lt;2&gt; 1647 NY-1710 NY ID:09000644</v>
      </c>
      <c r="M1592" s="3"/>
      <c r="N1592" s="3"/>
      <c r="O1592" s="3"/>
      <c r="P1592" s="3"/>
    </row>
    <row r="1593" spans="3:22" x14ac:dyDescent="0.35">
      <c r="C1593" s="15" t="s">
        <v>8</v>
      </c>
      <c r="D1593" s="15" t="s">
        <v>8</v>
      </c>
      <c r="G1593" s="15" t="s">
        <v>8</v>
      </c>
      <c r="J1593" s="15" t="s">
        <v>8</v>
      </c>
      <c r="L1593" s="8" t="s">
        <v>3</v>
      </c>
      <c r="M1593" s="15" t="s">
        <v>8</v>
      </c>
    </row>
    <row r="1594" spans="3:22" x14ac:dyDescent="0.35">
      <c r="C1594" s="15" t="s">
        <v>8</v>
      </c>
      <c r="D1594" s="15" t="s">
        <v>8</v>
      </c>
      <c r="G1594" s="15" t="s">
        <v>8</v>
      </c>
      <c r="J1594" s="15" t="s">
        <v>8</v>
      </c>
      <c r="L1594" s="15" t="s">
        <v>8</v>
      </c>
      <c r="M1594" s="15" t="s">
        <v>8</v>
      </c>
      <c r="O1594" s="19" t="str">
        <f>HYPERLINK("http://yeinfo.com/family/I09005156.html", "THOMAS DUTTON &lt;2&gt; 1568 EN-1614 EN ID:09005156")</f>
        <v>THOMAS DUTTON &lt;2&gt; 1568 EN-1614 EN ID:09005156</v>
      </c>
      <c r="P1594" s="9"/>
      <c r="Q1594" s="9"/>
      <c r="R1594" s="9"/>
      <c r="S1594" s="9"/>
    </row>
    <row r="1595" spans="3:22" x14ac:dyDescent="0.35">
      <c r="C1595" s="15" t="s">
        <v>8</v>
      </c>
      <c r="D1595" s="15" t="s">
        <v>8</v>
      </c>
      <c r="G1595" s="15" t="s">
        <v>8</v>
      </c>
      <c r="J1595" s="15" t="s">
        <v>8</v>
      </c>
      <c r="L1595" s="15" t="s">
        <v>8</v>
      </c>
      <c r="M1595" s="15" t="s">
        <v>8</v>
      </c>
      <c r="O1595" s="8" t="s">
        <v>3</v>
      </c>
    </row>
    <row r="1596" spans="3:22" x14ac:dyDescent="0.35">
      <c r="C1596" s="15" t="s">
        <v>8</v>
      </c>
      <c r="D1596" s="15" t="s">
        <v>8</v>
      </c>
      <c r="G1596" s="15" t="s">
        <v>8</v>
      </c>
      <c r="J1596" s="15" t="s">
        <v>8</v>
      </c>
      <c r="L1596" s="15" t="s">
        <v>8</v>
      </c>
      <c r="M1596" s="15" t="s">
        <v>8</v>
      </c>
      <c r="N1596" s="19" t="str">
        <f>HYPERLINK("http://yeinfo.com/family/I09002578.html", "ROLAND DUTTON &lt;2&gt; 1585 EN-1653 AS ID:09002578")</f>
        <v>ROLAND DUTTON &lt;2&gt; 1585 EN-1653 AS ID:09002578</v>
      </c>
      <c r="O1596" s="9"/>
      <c r="P1596" s="9"/>
      <c r="Q1596" s="9"/>
      <c r="R1596" s="9"/>
    </row>
    <row r="1597" spans="3:22" x14ac:dyDescent="0.35">
      <c r="C1597" s="15" t="s">
        <v>8</v>
      </c>
      <c r="D1597" s="15" t="s">
        <v>8</v>
      </c>
      <c r="G1597" s="15" t="s">
        <v>8</v>
      </c>
      <c r="J1597" s="15" t="s">
        <v>8</v>
      </c>
      <c r="L1597" s="15" t="s">
        <v>8</v>
      </c>
      <c r="M1597" s="15" t="s">
        <v>8</v>
      </c>
      <c r="N1597" s="8" t="s">
        <v>3</v>
      </c>
      <c r="O1597" s="15" t="s">
        <v>8</v>
      </c>
    </row>
    <row r="1598" spans="3:22" x14ac:dyDescent="0.35">
      <c r="C1598" s="15" t="s">
        <v>8</v>
      </c>
      <c r="D1598" s="15" t="s">
        <v>8</v>
      </c>
      <c r="G1598" s="15" t="s">
        <v>8</v>
      </c>
      <c r="J1598" s="15" t="s">
        <v>8</v>
      </c>
      <c r="L1598" s="15" t="s">
        <v>8</v>
      </c>
      <c r="M1598" s="15" t="s">
        <v>8</v>
      </c>
      <c r="N1598" s="15" t="s">
        <v>8</v>
      </c>
      <c r="O1598" s="15" t="s">
        <v>8</v>
      </c>
      <c r="R1598" s="19" t="str">
        <f>HYPERLINK("http://yeinfo.com/family/I09041256.html", "JAMES ANDERTON &lt;2&gt; 1495 EN-1552 EN ID:09041256")</f>
        <v>JAMES ANDERTON &lt;2&gt; 1495 EN-1552 EN ID:09041256</v>
      </c>
      <c r="S1598" s="9"/>
      <c r="T1598" s="9"/>
      <c r="U1598" s="9"/>
      <c r="V1598" s="9"/>
    </row>
    <row r="1599" spans="3:22" x14ac:dyDescent="0.35">
      <c r="C1599" s="15" t="s">
        <v>8</v>
      </c>
      <c r="D1599" s="15" t="s">
        <v>8</v>
      </c>
      <c r="G1599" s="15" t="s">
        <v>8</v>
      </c>
      <c r="J1599" s="15" t="s">
        <v>8</v>
      </c>
      <c r="L1599" s="15" t="s">
        <v>8</v>
      </c>
      <c r="M1599" s="15" t="s">
        <v>8</v>
      </c>
      <c r="N1599" s="15" t="s">
        <v>8</v>
      </c>
      <c r="O1599" s="15" t="s">
        <v>8</v>
      </c>
      <c r="R1599" s="8" t="s">
        <v>3</v>
      </c>
    </row>
    <row r="1600" spans="3:22" x14ac:dyDescent="0.35">
      <c r="C1600" s="15" t="s">
        <v>8</v>
      </c>
      <c r="D1600" s="15" t="s">
        <v>8</v>
      </c>
      <c r="G1600" s="15" t="s">
        <v>8</v>
      </c>
      <c r="J1600" s="15" t="s">
        <v>8</v>
      </c>
      <c r="L1600" s="15" t="s">
        <v>8</v>
      </c>
      <c r="M1600" s="15" t="s">
        <v>8</v>
      </c>
      <c r="N1600" s="15" t="s">
        <v>8</v>
      </c>
      <c r="O1600" s="15" t="s">
        <v>8</v>
      </c>
      <c r="Q1600" s="19" t="str">
        <f>HYPERLINK("http://yeinfo.com/family/I09020628.html", "ROGER ANDERTON Sr. &lt;2&gt; 1510 EN-1546 EN ID:09020628")</f>
        <v>ROGER ANDERTON Sr. &lt;2&gt; 1510 EN-1546 EN ID:09020628</v>
      </c>
      <c r="R1600" s="9"/>
      <c r="S1600" s="9"/>
      <c r="T1600" s="9"/>
      <c r="U1600" s="9"/>
    </row>
    <row r="1601" spans="3:25" x14ac:dyDescent="0.35">
      <c r="C1601" s="15" t="s">
        <v>8</v>
      </c>
      <c r="D1601" s="15" t="s">
        <v>8</v>
      </c>
      <c r="G1601" s="15" t="s">
        <v>8</v>
      </c>
      <c r="J1601" s="15" t="s">
        <v>8</v>
      </c>
      <c r="L1601" s="15" t="s">
        <v>8</v>
      </c>
      <c r="M1601" s="15" t="s">
        <v>8</v>
      </c>
      <c r="N1601" s="15" t="s">
        <v>8</v>
      </c>
      <c r="O1601" s="15" t="s">
        <v>8</v>
      </c>
      <c r="Q1601" s="8" t="s">
        <v>3</v>
      </c>
      <c r="R1601" s="15" t="s">
        <v>8</v>
      </c>
    </row>
    <row r="1602" spans="3:25" x14ac:dyDescent="0.35">
      <c r="C1602" s="15" t="s">
        <v>8</v>
      </c>
      <c r="D1602" s="15" t="s">
        <v>8</v>
      </c>
      <c r="G1602" s="15" t="s">
        <v>8</v>
      </c>
      <c r="J1602" s="15" t="s">
        <v>8</v>
      </c>
      <c r="L1602" s="15" t="s">
        <v>8</v>
      </c>
      <c r="M1602" s="15" t="s">
        <v>8</v>
      </c>
      <c r="N1602" s="15" t="s">
        <v>8</v>
      </c>
      <c r="O1602" s="15" t="s">
        <v>8</v>
      </c>
      <c r="Q1602" s="15" t="s">
        <v>8</v>
      </c>
      <c r="R1602" s="15" t="s">
        <v>8</v>
      </c>
      <c r="U1602" s="19" t="str">
        <f>HYPERLINK("http://yeinfo.com/family/I09066438.html", "WILLIAM BANASTRE II &lt;3&gt; 1359 EN-1395 EN ID:09066438")</f>
        <v>WILLIAM BANASTRE II &lt;3&gt; 1359 EN-1395 EN ID:09066438</v>
      </c>
      <c r="V1602" s="9"/>
      <c r="W1602" s="9"/>
      <c r="X1602" s="9"/>
      <c r="Y1602" s="9"/>
    </row>
    <row r="1603" spans="3:25" x14ac:dyDescent="0.35">
      <c r="C1603" s="15" t="s">
        <v>8</v>
      </c>
      <c r="D1603" s="15" t="s">
        <v>8</v>
      </c>
      <c r="G1603" s="15" t="s">
        <v>8</v>
      </c>
      <c r="J1603" s="15" t="s">
        <v>8</v>
      </c>
      <c r="L1603" s="15" t="s">
        <v>8</v>
      </c>
      <c r="M1603" s="15" t="s">
        <v>8</v>
      </c>
      <c r="N1603" s="15" t="s">
        <v>8</v>
      </c>
      <c r="O1603" s="15" t="s">
        <v>8</v>
      </c>
      <c r="Q1603" s="15" t="s">
        <v>8</v>
      </c>
      <c r="R1603" s="15" t="s">
        <v>8</v>
      </c>
      <c r="U1603" s="8" t="s">
        <v>3</v>
      </c>
    </row>
    <row r="1604" spans="3:25" x14ac:dyDescent="0.35">
      <c r="C1604" s="15" t="s">
        <v>8</v>
      </c>
      <c r="D1604" s="15" t="s">
        <v>8</v>
      </c>
      <c r="G1604" s="15" t="s">
        <v>8</v>
      </c>
      <c r="J1604" s="15" t="s">
        <v>8</v>
      </c>
      <c r="L1604" s="15" t="s">
        <v>8</v>
      </c>
      <c r="M1604" s="15" t="s">
        <v>8</v>
      </c>
      <c r="N1604" s="15" t="s">
        <v>8</v>
      </c>
      <c r="O1604" s="15" t="s">
        <v>8</v>
      </c>
      <c r="Q1604" s="15" t="s">
        <v>8</v>
      </c>
      <c r="R1604" s="15" t="s">
        <v>8</v>
      </c>
      <c r="T1604" s="19" t="str">
        <f>HYPERLINK("http://yeinfo.com/family/I09066773.html", "FRANCIS BANASTRE &lt;2&gt; 1400 EN-1495 EN ID:09066773")</f>
        <v>FRANCIS BANASTRE &lt;2&gt; 1400 EN-1495 EN ID:09066773</v>
      </c>
      <c r="U1604" s="9"/>
      <c r="V1604" s="9"/>
      <c r="W1604" s="9"/>
      <c r="X1604" s="9"/>
    </row>
    <row r="1605" spans="3:25" x14ac:dyDescent="0.35">
      <c r="C1605" s="15" t="s">
        <v>8</v>
      </c>
      <c r="D1605" s="15" t="s">
        <v>8</v>
      </c>
      <c r="G1605" s="15" t="s">
        <v>8</v>
      </c>
      <c r="J1605" s="15" t="s">
        <v>8</v>
      </c>
      <c r="L1605" s="15" t="s">
        <v>8</v>
      </c>
      <c r="M1605" s="15" t="s">
        <v>8</v>
      </c>
      <c r="N1605" s="15" t="s">
        <v>8</v>
      </c>
      <c r="O1605" s="15" t="s">
        <v>8</v>
      </c>
      <c r="Q1605" s="15" t="s">
        <v>8</v>
      </c>
      <c r="R1605" s="15" t="s">
        <v>8</v>
      </c>
      <c r="T1605" s="8" t="s">
        <v>3</v>
      </c>
      <c r="U1605" s="8" t="s">
        <v>6</v>
      </c>
    </row>
    <row r="1606" spans="3:25" x14ac:dyDescent="0.35">
      <c r="C1606" s="15" t="s">
        <v>8</v>
      </c>
      <c r="D1606" s="15" t="s">
        <v>8</v>
      </c>
      <c r="G1606" s="15" t="s">
        <v>8</v>
      </c>
      <c r="J1606" s="15" t="s">
        <v>8</v>
      </c>
      <c r="L1606" s="15" t="s">
        <v>8</v>
      </c>
      <c r="M1606" s="15" t="s">
        <v>8</v>
      </c>
      <c r="N1606" s="15" t="s">
        <v>8</v>
      </c>
      <c r="O1606" s="15" t="s">
        <v>8</v>
      </c>
      <c r="Q1606" s="15" t="s">
        <v>8</v>
      </c>
      <c r="R1606" s="15" t="s">
        <v>8</v>
      </c>
      <c r="T1606" s="15" t="s">
        <v>8</v>
      </c>
      <c r="U1606" s="20" t="str">
        <f>HYPERLINK("http://yeinfo.com/family/I09066486.html", "ELIZABETH WELLESLEY &lt;3&gt; 1363 EN-1400 EN ID:09066486")</f>
        <v>ELIZABETH WELLESLEY &lt;3&gt; 1363 EN-1400 EN ID:09066486</v>
      </c>
      <c r="V1606" s="17"/>
      <c r="W1606" s="17"/>
      <c r="X1606" s="17"/>
      <c r="Y1606" s="17"/>
    </row>
    <row r="1607" spans="3:25" x14ac:dyDescent="0.35">
      <c r="C1607" s="15" t="s">
        <v>8</v>
      </c>
      <c r="D1607" s="15" t="s">
        <v>8</v>
      </c>
      <c r="G1607" s="15" t="s">
        <v>8</v>
      </c>
      <c r="J1607" s="15" t="s">
        <v>8</v>
      </c>
      <c r="L1607" s="15" t="s">
        <v>8</v>
      </c>
      <c r="M1607" s="15" t="s">
        <v>8</v>
      </c>
      <c r="N1607" s="15" t="s">
        <v>8</v>
      </c>
      <c r="O1607" s="15" t="s">
        <v>8</v>
      </c>
      <c r="Q1607" s="15" t="s">
        <v>8</v>
      </c>
      <c r="R1607" s="15" t="s">
        <v>8</v>
      </c>
      <c r="T1607" s="15" t="s">
        <v>8</v>
      </c>
    </row>
    <row r="1608" spans="3:25" x14ac:dyDescent="0.35">
      <c r="C1608" s="15" t="s">
        <v>8</v>
      </c>
      <c r="D1608" s="15" t="s">
        <v>8</v>
      </c>
      <c r="G1608" s="15" t="s">
        <v>8</v>
      </c>
      <c r="J1608" s="15" t="s">
        <v>8</v>
      </c>
      <c r="L1608" s="15" t="s">
        <v>8</v>
      </c>
      <c r="M1608" s="15" t="s">
        <v>8</v>
      </c>
      <c r="N1608" s="15" t="s">
        <v>8</v>
      </c>
      <c r="O1608" s="15" t="s">
        <v>8</v>
      </c>
      <c r="Q1608" s="15" t="s">
        <v>8</v>
      </c>
      <c r="R1608" s="15" t="s">
        <v>8</v>
      </c>
      <c r="S1608" s="19" t="str">
        <f>HYPERLINK("http://yeinfo.com/family/I09066774.html", "HENRY BANASTRE &lt;2&gt; 1460 EN-1526 EN ID:09066774")</f>
        <v>HENRY BANASTRE &lt;2&gt; 1460 EN-1526 EN ID:09066774</v>
      </c>
      <c r="T1608" s="9"/>
      <c r="U1608" s="9"/>
      <c r="V1608" s="9"/>
      <c r="W1608" s="9"/>
    </row>
    <row r="1609" spans="3:25" x14ac:dyDescent="0.35">
      <c r="C1609" s="15" t="s">
        <v>8</v>
      </c>
      <c r="D1609" s="15" t="s">
        <v>8</v>
      </c>
      <c r="G1609" s="15" t="s">
        <v>8</v>
      </c>
      <c r="J1609" s="15" t="s">
        <v>8</v>
      </c>
      <c r="L1609" s="15" t="s">
        <v>8</v>
      </c>
      <c r="M1609" s="15" t="s">
        <v>8</v>
      </c>
      <c r="N1609" s="15" t="s">
        <v>8</v>
      </c>
      <c r="O1609" s="15" t="s">
        <v>8</v>
      </c>
      <c r="Q1609" s="15" t="s">
        <v>8</v>
      </c>
      <c r="R1609" s="15" t="s">
        <v>8</v>
      </c>
      <c r="S1609" s="8" t="s">
        <v>3</v>
      </c>
      <c r="T1609" s="15" t="s">
        <v>8</v>
      </c>
    </row>
    <row r="1610" spans="3:25" x14ac:dyDescent="0.35">
      <c r="C1610" s="15" t="s">
        <v>8</v>
      </c>
      <c r="D1610" s="15" t="s">
        <v>8</v>
      </c>
      <c r="G1610" s="15" t="s">
        <v>8</v>
      </c>
      <c r="J1610" s="15" t="s">
        <v>8</v>
      </c>
      <c r="L1610" s="15" t="s">
        <v>8</v>
      </c>
      <c r="M1610" s="15" t="s">
        <v>8</v>
      </c>
      <c r="N1610" s="15" t="s">
        <v>8</v>
      </c>
      <c r="O1610" s="15" t="s">
        <v>8</v>
      </c>
      <c r="Q1610" s="15" t="s">
        <v>8</v>
      </c>
      <c r="R1610" s="15" t="s">
        <v>8</v>
      </c>
      <c r="S1610" s="15" t="s">
        <v>8</v>
      </c>
      <c r="T1610" s="15" t="s">
        <v>8</v>
      </c>
      <c r="U1610" s="19" t="str">
        <f>HYPERLINK("http://yeinfo.com/family/I09066807.html", "THOMAS JOSEPH &lt;2&gt; 1395 EN-1418 EN ID:09066807")</f>
        <v>THOMAS JOSEPH &lt;2&gt; 1395 EN-1418 EN ID:09066807</v>
      </c>
      <c r="V1610" s="9"/>
      <c r="W1610" s="9"/>
      <c r="X1610" s="9"/>
      <c r="Y1610" s="9"/>
    </row>
    <row r="1611" spans="3:25" x14ac:dyDescent="0.35">
      <c r="C1611" s="15" t="s">
        <v>8</v>
      </c>
      <c r="D1611" s="15" t="s">
        <v>8</v>
      </c>
      <c r="G1611" s="15" t="s">
        <v>8</v>
      </c>
      <c r="J1611" s="15" t="s">
        <v>8</v>
      </c>
      <c r="L1611" s="15" t="s">
        <v>8</v>
      </c>
      <c r="M1611" s="15" t="s">
        <v>8</v>
      </c>
      <c r="N1611" s="15" t="s">
        <v>8</v>
      </c>
      <c r="O1611" s="15" t="s">
        <v>8</v>
      </c>
      <c r="Q1611" s="15" t="s">
        <v>8</v>
      </c>
      <c r="R1611" s="15" t="s">
        <v>8</v>
      </c>
      <c r="S1611" s="15" t="s">
        <v>8</v>
      </c>
      <c r="T1611" s="8" t="s">
        <v>6</v>
      </c>
      <c r="U1611" s="8" t="s">
        <v>3</v>
      </c>
    </row>
    <row r="1612" spans="3:25" x14ac:dyDescent="0.35">
      <c r="C1612" s="15" t="s">
        <v>8</v>
      </c>
      <c r="D1612" s="15" t="s">
        <v>8</v>
      </c>
      <c r="G1612" s="15" t="s">
        <v>8</v>
      </c>
      <c r="J1612" s="15" t="s">
        <v>8</v>
      </c>
      <c r="L1612" s="15" t="s">
        <v>8</v>
      </c>
      <c r="M1612" s="15" t="s">
        <v>8</v>
      </c>
      <c r="N1612" s="15" t="s">
        <v>8</v>
      </c>
      <c r="O1612" s="15" t="s">
        <v>8</v>
      </c>
      <c r="Q1612" s="15" t="s">
        <v>8</v>
      </c>
      <c r="R1612" s="15" t="s">
        <v>8</v>
      </c>
      <c r="S1612" s="15" t="s">
        <v>8</v>
      </c>
      <c r="T1612" s="20" t="str">
        <f>HYPERLINK("http://yeinfo.com/family/I09066808.html", "ELIZABETH JOSEPH &lt;2&gt; 1418 EN-1475 EN ID:09066808")</f>
        <v>ELIZABETH JOSEPH &lt;2&gt; 1418 EN-1475 EN ID:09066808</v>
      </c>
      <c r="U1612" s="17"/>
      <c r="V1612" s="17"/>
      <c r="W1612" s="17"/>
      <c r="X1612" s="17"/>
    </row>
    <row r="1613" spans="3:25" x14ac:dyDescent="0.35">
      <c r="C1613" s="15" t="s">
        <v>8</v>
      </c>
      <c r="D1613" s="15" t="s">
        <v>8</v>
      </c>
      <c r="G1613" s="15" t="s">
        <v>8</v>
      </c>
      <c r="J1613" s="15" t="s">
        <v>8</v>
      </c>
      <c r="L1613" s="15" t="s">
        <v>8</v>
      </c>
      <c r="M1613" s="15" t="s">
        <v>8</v>
      </c>
      <c r="N1613" s="15" t="s">
        <v>8</v>
      </c>
      <c r="O1613" s="15" t="s">
        <v>8</v>
      </c>
      <c r="Q1613" s="15" t="s">
        <v>8</v>
      </c>
      <c r="R1613" s="15" t="s">
        <v>8</v>
      </c>
      <c r="S1613" s="15" t="s">
        <v>8</v>
      </c>
      <c r="U1613" s="8" t="s">
        <v>6</v>
      </c>
    </row>
    <row r="1614" spans="3:25" x14ac:dyDescent="0.35">
      <c r="C1614" s="15" t="s">
        <v>8</v>
      </c>
      <c r="D1614" s="15" t="s">
        <v>8</v>
      </c>
      <c r="G1614" s="15" t="s">
        <v>8</v>
      </c>
      <c r="J1614" s="15" t="s">
        <v>8</v>
      </c>
      <c r="L1614" s="15" t="s">
        <v>8</v>
      </c>
      <c r="M1614" s="15" t="s">
        <v>8</v>
      </c>
      <c r="N1614" s="15" t="s">
        <v>8</v>
      </c>
      <c r="O1614" s="15" t="s">
        <v>8</v>
      </c>
      <c r="Q1614" s="15" t="s">
        <v>8</v>
      </c>
      <c r="R1614" s="15" t="s">
        <v>8</v>
      </c>
      <c r="S1614" s="15" t="s">
        <v>8</v>
      </c>
      <c r="U1614" s="20" t="str">
        <f>HYPERLINK("http://yeinfo.com/family/I09066806.html", "Mrs. {_?_} JOSEPH &lt;2&gt; 1398 EN-1418 EN ID:09066806")</f>
        <v>Mrs. {_?_} JOSEPH &lt;2&gt; 1398 EN-1418 EN ID:09066806</v>
      </c>
      <c r="V1614" s="17"/>
      <c r="W1614" s="17"/>
      <c r="X1614" s="17"/>
      <c r="Y1614" s="17"/>
    </row>
    <row r="1615" spans="3:25" x14ac:dyDescent="0.35">
      <c r="C1615" s="15" t="s">
        <v>8</v>
      </c>
      <c r="D1615" s="15" t="s">
        <v>8</v>
      </c>
      <c r="G1615" s="15" t="s">
        <v>8</v>
      </c>
      <c r="J1615" s="15" t="s">
        <v>8</v>
      </c>
      <c r="L1615" s="15" t="s">
        <v>8</v>
      </c>
      <c r="M1615" s="15" t="s">
        <v>8</v>
      </c>
      <c r="N1615" s="15" t="s">
        <v>8</v>
      </c>
      <c r="O1615" s="15" t="s">
        <v>8</v>
      </c>
      <c r="Q1615" s="15" t="s">
        <v>8</v>
      </c>
      <c r="R1615" s="8" t="s">
        <v>6</v>
      </c>
      <c r="S1615" s="15" t="s">
        <v>8</v>
      </c>
    </row>
    <row r="1616" spans="3:25" x14ac:dyDescent="0.35">
      <c r="C1616" s="15" t="s">
        <v>8</v>
      </c>
      <c r="D1616" s="15" t="s">
        <v>8</v>
      </c>
      <c r="G1616" s="15" t="s">
        <v>8</v>
      </c>
      <c r="J1616" s="15" t="s">
        <v>8</v>
      </c>
      <c r="L1616" s="15" t="s">
        <v>8</v>
      </c>
      <c r="M1616" s="15" t="s">
        <v>8</v>
      </c>
      <c r="N1616" s="15" t="s">
        <v>8</v>
      </c>
      <c r="O1616" s="15" t="s">
        <v>8</v>
      </c>
      <c r="Q1616" s="15" t="s">
        <v>8</v>
      </c>
      <c r="R1616" s="20" t="str">
        <f>HYPERLINK("http://yeinfo.com/family/I09041257.html", "ANNE BANASTRE &lt;2&gt; 1503 EN-1552 EN ID:09041257")</f>
        <v>ANNE BANASTRE &lt;2&gt; 1503 EN-1552 EN ID:09041257</v>
      </c>
      <c r="S1616" s="17"/>
      <c r="T1616" s="17"/>
      <c r="U1616" s="17"/>
      <c r="V1616" s="17"/>
    </row>
    <row r="1617" spans="3:26" x14ac:dyDescent="0.35">
      <c r="C1617" s="15" t="s">
        <v>8</v>
      </c>
      <c r="D1617" s="15" t="s">
        <v>8</v>
      </c>
      <c r="G1617" s="15" t="s">
        <v>8</v>
      </c>
      <c r="J1617" s="15" t="s">
        <v>8</v>
      </c>
      <c r="L1617" s="15" t="s">
        <v>8</v>
      </c>
      <c r="M1617" s="15" t="s">
        <v>8</v>
      </c>
      <c r="N1617" s="15" t="s">
        <v>8</v>
      </c>
      <c r="O1617" s="15" t="s">
        <v>8</v>
      </c>
      <c r="Q1617" s="15" t="s">
        <v>8</v>
      </c>
      <c r="S1617" s="15" t="s">
        <v>8</v>
      </c>
    </row>
    <row r="1618" spans="3:26" x14ac:dyDescent="0.35">
      <c r="C1618" s="15" t="s">
        <v>8</v>
      </c>
      <c r="D1618" s="15" t="s">
        <v>8</v>
      </c>
      <c r="G1618" s="15" t="s">
        <v>8</v>
      </c>
      <c r="J1618" s="15" t="s">
        <v>8</v>
      </c>
      <c r="L1618" s="15" t="s">
        <v>8</v>
      </c>
      <c r="M1618" s="15" t="s">
        <v>8</v>
      </c>
      <c r="N1618" s="15" t="s">
        <v>8</v>
      </c>
      <c r="O1618" s="15" t="s">
        <v>8</v>
      </c>
      <c r="Q1618" s="15" t="s">
        <v>8</v>
      </c>
      <c r="S1618" s="15" t="s">
        <v>8</v>
      </c>
      <c r="V1618" s="19" t="str">
        <f>HYPERLINK("http://yeinfo.com/family/I09066820.html", "GEOFFREY OSBALDESTON &lt;2&gt; 1335 EN-1383 EN ID:09066820")</f>
        <v>GEOFFREY OSBALDESTON &lt;2&gt; 1335 EN-1383 EN ID:09066820</v>
      </c>
      <c r="W1618" s="9"/>
      <c r="X1618" s="9"/>
      <c r="Y1618" s="9"/>
      <c r="Z1618" s="9"/>
    </row>
    <row r="1619" spans="3:26" x14ac:dyDescent="0.35">
      <c r="C1619" s="15" t="s">
        <v>8</v>
      </c>
      <c r="D1619" s="15" t="s">
        <v>8</v>
      </c>
      <c r="G1619" s="15" t="s">
        <v>8</v>
      </c>
      <c r="J1619" s="15" t="s">
        <v>8</v>
      </c>
      <c r="L1619" s="15" t="s">
        <v>8</v>
      </c>
      <c r="M1619" s="15" t="s">
        <v>8</v>
      </c>
      <c r="N1619" s="15" t="s">
        <v>8</v>
      </c>
      <c r="O1619" s="15" t="s">
        <v>8</v>
      </c>
      <c r="Q1619" s="15" t="s">
        <v>8</v>
      </c>
      <c r="S1619" s="15" t="s">
        <v>8</v>
      </c>
      <c r="V1619" s="8" t="s">
        <v>3</v>
      </c>
    </row>
    <row r="1620" spans="3:26" x14ac:dyDescent="0.35">
      <c r="C1620" s="15" t="s">
        <v>8</v>
      </c>
      <c r="D1620" s="15" t="s">
        <v>8</v>
      </c>
      <c r="G1620" s="15" t="s">
        <v>8</v>
      </c>
      <c r="J1620" s="15" t="s">
        <v>8</v>
      </c>
      <c r="L1620" s="15" t="s">
        <v>8</v>
      </c>
      <c r="M1620" s="15" t="s">
        <v>8</v>
      </c>
      <c r="N1620" s="15" t="s">
        <v>8</v>
      </c>
      <c r="O1620" s="15" t="s">
        <v>8</v>
      </c>
      <c r="Q1620" s="15" t="s">
        <v>8</v>
      </c>
      <c r="S1620" s="15" t="s">
        <v>8</v>
      </c>
      <c r="U1620" s="19" t="str">
        <f>HYPERLINK("http://yeinfo.com/family/I09066822.html", "THOMAS OSBALDESTON &lt;2&gt; 1383 EN-1412 EN ID:09066822")</f>
        <v>THOMAS OSBALDESTON &lt;2&gt; 1383 EN-1412 EN ID:09066822</v>
      </c>
      <c r="V1620" s="9"/>
      <c r="W1620" s="9"/>
      <c r="X1620" s="9"/>
      <c r="Y1620" s="9"/>
    </row>
    <row r="1621" spans="3:26" x14ac:dyDescent="0.35">
      <c r="C1621" s="15" t="s">
        <v>8</v>
      </c>
      <c r="D1621" s="15" t="s">
        <v>8</v>
      </c>
      <c r="G1621" s="15" t="s">
        <v>8</v>
      </c>
      <c r="J1621" s="15" t="s">
        <v>8</v>
      </c>
      <c r="L1621" s="15" t="s">
        <v>8</v>
      </c>
      <c r="M1621" s="15" t="s">
        <v>8</v>
      </c>
      <c r="N1621" s="15" t="s">
        <v>8</v>
      </c>
      <c r="O1621" s="15" t="s">
        <v>8</v>
      </c>
      <c r="Q1621" s="15" t="s">
        <v>8</v>
      </c>
      <c r="S1621" s="15" t="s">
        <v>8</v>
      </c>
      <c r="U1621" s="8" t="s">
        <v>3</v>
      </c>
      <c r="V1621" s="8" t="s">
        <v>6</v>
      </c>
    </row>
    <row r="1622" spans="3:26" x14ac:dyDescent="0.35">
      <c r="C1622" s="15" t="s">
        <v>8</v>
      </c>
      <c r="D1622" s="15" t="s">
        <v>8</v>
      </c>
      <c r="G1622" s="15" t="s">
        <v>8</v>
      </c>
      <c r="J1622" s="15" t="s">
        <v>8</v>
      </c>
      <c r="L1622" s="15" t="s">
        <v>8</v>
      </c>
      <c r="M1622" s="15" t="s">
        <v>8</v>
      </c>
      <c r="N1622" s="15" t="s">
        <v>8</v>
      </c>
      <c r="O1622" s="15" t="s">
        <v>8</v>
      </c>
      <c r="Q1622" s="15" t="s">
        <v>8</v>
      </c>
      <c r="S1622" s="15" t="s">
        <v>8</v>
      </c>
      <c r="U1622" s="15" t="s">
        <v>8</v>
      </c>
      <c r="V1622" s="20" t="str">
        <f>HYPERLINK("http://yeinfo.com/family/I09066817.html", "CECILY MASSEY &lt;2&gt; 1360 EN-1383 EN ID:09066817")</f>
        <v>CECILY MASSEY &lt;2&gt; 1360 EN-1383 EN ID:09066817</v>
      </c>
      <c r="W1622" s="17"/>
      <c r="X1622" s="17"/>
      <c r="Y1622" s="17"/>
      <c r="Z1622" s="17"/>
    </row>
    <row r="1623" spans="3:26" x14ac:dyDescent="0.35">
      <c r="C1623" s="15" t="s">
        <v>8</v>
      </c>
      <c r="D1623" s="15" t="s">
        <v>8</v>
      </c>
      <c r="G1623" s="15" t="s">
        <v>8</v>
      </c>
      <c r="J1623" s="15" t="s">
        <v>8</v>
      </c>
      <c r="L1623" s="15" t="s">
        <v>8</v>
      </c>
      <c r="M1623" s="15" t="s">
        <v>8</v>
      </c>
      <c r="N1623" s="15" t="s">
        <v>8</v>
      </c>
      <c r="O1623" s="15" t="s">
        <v>8</v>
      </c>
      <c r="Q1623" s="15" t="s">
        <v>8</v>
      </c>
      <c r="S1623" s="15" t="s">
        <v>8</v>
      </c>
      <c r="U1623" s="15" t="s">
        <v>8</v>
      </c>
    </row>
    <row r="1624" spans="3:26" x14ac:dyDescent="0.35">
      <c r="C1624" s="15" t="s">
        <v>8</v>
      </c>
      <c r="D1624" s="15" t="s">
        <v>8</v>
      </c>
      <c r="G1624" s="15" t="s">
        <v>8</v>
      </c>
      <c r="J1624" s="15" t="s">
        <v>8</v>
      </c>
      <c r="L1624" s="15" t="s">
        <v>8</v>
      </c>
      <c r="M1624" s="15" t="s">
        <v>8</v>
      </c>
      <c r="N1624" s="15" t="s">
        <v>8</v>
      </c>
      <c r="O1624" s="15" t="s">
        <v>8</v>
      </c>
      <c r="Q1624" s="15" t="s">
        <v>8</v>
      </c>
      <c r="S1624" s="15" t="s">
        <v>8</v>
      </c>
      <c r="T1624" s="19" t="str">
        <f>HYPERLINK("http://yeinfo.com/family/I09066823.html", "GEOFFREY OSBALDESTON &lt;2&gt; 1405 EN-1475 EN ID:09066823")</f>
        <v>GEOFFREY OSBALDESTON &lt;2&gt; 1405 EN-1475 EN ID:09066823</v>
      </c>
      <c r="U1624" s="9"/>
      <c r="V1624" s="9"/>
      <c r="W1624" s="9"/>
      <c r="X1624" s="9"/>
    </row>
    <row r="1625" spans="3:26" x14ac:dyDescent="0.35">
      <c r="C1625" s="15" t="s">
        <v>8</v>
      </c>
      <c r="D1625" s="15" t="s">
        <v>8</v>
      </c>
      <c r="G1625" s="15" t="s">
        <v>8</v>
      </c>
      <c r="J1625" s="15" t="s">
        <v>8</v>
      </c>
      <c r="L1625" s="15" t="s">
        <v>8</v>
      </c>
      <c r="M1625" s="15" t="s">
        <v>8</v>
      </c>
      <c r="N1625" s="15" t="s">
        <v>8</v>
      </c>
      <c r="O1625" s="15" t="s">
        <v>8</v>
      </c>
      <c r="Q1625" s="15" t="s">
        <v>8</v>
      </c>
      <c r="S1625" s="15" t="s">
        <v>8</v>
      </c>
      <c r="T1625" s="8" t="s">
        <v>3</v>
      </c>
      <c r="U1625" s="8" t="s">
        <v>6</v>
      </c>
    </row>
    <row r="1626" spans="3:26" x14ac:dyDescent="0.35">
      <c r="C1626" s="15" t="s">
        <v>8</v>
      </c>
      <c r="D1626" s="15" t="s">
        <v>8</v>
      </c>
      <c r="G1626" s="15" t="s">
        <v>8</v>
      </c>
      <c r="J1626" s="15" t="s">
        <v>8</v>
      </c>
      <c r="L1626" s="15" t="s">
        <v>8</v>
      </c>
      <c r="M1626" s="15" t="s">
        <v>8</v>
      </c>
      <c r="N1626" s="15" t="s">
        <v>8</v>
      </c>
      <c r="O1626" s="15" t="s">
        <v>8</v>
      </c>
      <c r="Q1626" s="15" t="s">
        <v>8</v>
      </c>
      <c r="S1626" s="15" t="s">
        <v>8</v>
      </c>
      <c r="T1626" s="15" t="s">
        <v>8</v>
      </c>
      <c r="U1626" s="20" t="str">
        <f>HYPERLINK("http://yeinfo.com/family/I09066821.html", "Mrs. ALICE OSBALDESTON &lt;2&gt; 1385 EN-1459 EN ID:09066821")</f>
        <v>Mrs. ALICE OSBALDESTON &lt;2&gt; 1385 EN-1459 EN ID:09066821</v>
      </c>
      <c r="V1626" s="17"/>
      <c r="W1626" s="17"/>
      <c r="X1626" s="17"/>
      <c r="Y1626" s="17"/>
    </row>
    <row r="1627" spans="3:26" x14ac:dyDescent="0.35">
      <c r="C1627" s="15" t="s">
        <v>8</v>
      </c>
      <c r="D1627" s="15" t="s">
        <v>8</v>
      </c>
      <c r="G1627" s="15" t="s">
        <v>8</v>
      </c>
      <c r="J1627" s="15" t="s">
        <v>8</v>
      </c>
      <c r="L1627" s="15" t="s">
        <v>8</v>
      </c>
      <c r="M1627" s="15" t="s">
        <v>8</v>
      </c>
      <c r="N1627" s="15" t="s">
        <v>8</v>
      </c>
      <c r="O1627" s="15" t="s">
        <v>8</v>
      </c>
      <c r="Q1627" s="15" t="s">
        <v>8</v>
      </c>
      <c r="S1627" s="8" t="s">
        <v>6</v>
      </c>
      <c r="T1627" s="15" t="s">
        <v>8</v>
      </c>
    </row>
    <row r="1628" spans="3:26" x14ac:dyDescent="0.35">
      <c r="C1628" s="15" t="s">
        <v>8</v>
      </c>
      <c r="D1628" s="15" t="s">
        <v>8</v>
      </c>
      <c r="G1628" s="15" t="s">
        <v>8</v>
      </c>
      <c r="J1628" s="15" t="s">
        <v>8</v>
      </c>
      <c r="L1628" s="15" t="s">
        <v>8</v>
      </c>
      <c r="M1628" s="15" t="s">
        <v>8</v>
      </c>
      <c r="N1628" s="15" t="s">
        <v>8</v>
      </c>
      <c r="O1628" s="15" t="s">
        <v>8</v>
      </c>
      <c r="Q1628" s="15" t="s">
        <v>8</v>
      </c>
      <c r="S1628" s="20" t="str">
        <f>HYPERLINK("http://yeinfo.com/family/I09066824.html", "ELIZABETH OSBALDESTON &lt;2&gt; 1449 EN-1507 EN ID:09066824")</f>
        <v>ELIZABETH OSBALDESTON &lt;2&gt; 1449 EN-1507 EN ID:09066824</v>
      </c>
      <c r="T1628" s="17"/>
      <c r="U1628" s="17"/>
      <c r="V1628" s="17"/>
      <c r="W1628" s="17"/>
    </row>
    <row r="1629" spans="3:26" x14ac:dyDescent="0.35">
      <c r="C1629" s="15" t="s">
        <v>8</v>
      </c>
      <c r="D1629" s="15" t="s">
        <v>8</v>
      </c>
      <c r="G1629" s="15" t="s">
        <v>8</v>
      </c>
      <c r="J1629" s="15" t="s">
        <v>8</v>
      </c>
      <c r="L1629" s="15" t="s">
        <v>8</v>
      </c>
      <c r="M1629" s="15" t="s">
        <v>8</v>
      </c>
      <c r="N1629" s="15" t="s">
        <v>8</v>
      </c>
      <c r="O1629" s="15" t="s">
        <v>8</v>
      </c>
      <c r="Q1629" s="15" t="s">
        <v>8</v>
      </c>
      <c r="T1629" s="15" t="s">
        <v>8</v>
      </c>
    </row>
    <row r="1630" spans="3:26" x14ac:dyDescent="0.35">
      <c r="C1630" s="15" t="s">
        <v>8</v>
      </c>
      <c r="D1630" s="15" t="s">
        <v>8</v>
      </c>
      <c r="G1630" s="15" t="s">
        <v>8</v>
      </c>
      <c r="J1630" s="15" t="s">
        <v>8</v>
      </c>
      <c r="L1630" s="15" t="s">
        <v>8</v>
      </c>
      <c r="M1630" s="15" t="s">
        <v>8</v>
      </c>
      <c r="N1630" s="15" t="s">
        <v>8</v>
      </c>
      <c r="O1630" s="15" t="s">
        <v>8</v>
      </c>
      <c r="Q1630" s="15" t="s">
        <v>8</v>
      </c>
      <c r="T1630" s="15" t="s">
        <v>8</v>
      </c>
      <c r="V1630" s="19" t="str">
        <f>HYPERLINK("http://yeinfo.com/family/I09066809.html", "RALPH LANGTON &lt;2&gt; 1340 EN-1406 EN ID:09066809")</f>
        <v>RALPH LANGTON &lt;2&gt; 1340 EN-1406 EN ID:09066809</v>
      </c>
      <c r="W1630" s="9"/>
      <c r="X1630" s="9"/>
      <c r="Y1630" s="9"/>
      <c r="Z1630" s="9"/>
    </row>
    <row r="1631" spans="3:26" x14ac:dyDescent="0.35">
      <c r="C1631" s="15" t="s">
        <v>8</v>
      </c>
      <c r="D1631" s="15" t="s">
        <v>8</v>
      </c>
      <c r="G1631" s="15" t="s">
        <v>8</v>
      </c>
      <c r="J1631" s="15" t="s">
        <v>8</v>
      </c>
      <c r="L1631" s="15" t="s">
        <v>8</v>
      </c>
      <c r="M1631" s="15" t="s">
        <v>8</v>
      </c>
      <c r="N1631" s="15" t="s">
        <v>8</v>
      </c>
      <c r="O1631" s="15" t="s">
        <v>8</v>
      </c>
      <c r="Q1631" s="15" t="s">
        <v>8</v>
      </c>
      <c r="T1631" s="15" t="s">
        <v>8</v>
      </c>
      <c r="V1631" s="8" t="s">
        <v>3</v>
      </c>
    </row>
    <row r="1632" spans="3:26" x14ac:dyDescent="0.35">
      <c r="C1632" s="15" t="s">
        <v>8</v>
      </c>
      <c r="D1632" s="15" t="s">
        <v>8</v>
      </c>
      <c r="G1632" s="15" t="s">
        <v>8</v>
      </c>
      <c r="J1632" s="15" t="s">
        <v>8</v>
      </c>
      <c r="L1632" s="15" t="s">
        <v>8</v>
      </c>
      <c r="M1632" s="15" t="s">
        <v>8</v>
      </c>
      <c r="N1632" s="15" t="s">
        <v>8</v>
      </c>
      <c r="O1632" s="15" t="s">
        <v>8</v>
      </c>
      <c r="Q1632" s="15" t="s">
        <v>8</v>
      </c>
      <c r="T1632" s="15" t="s">
        <v>8</v>
      </c>
      <c r="U1632" s="19" t="str">
        <f>HYPERLINK("http://yeinfo.com/family/I09066810.html", "HENRY LANGTON &lt;2&gt; 1372 EN-1419 EN ID:09066810")</f>
        <v>HENRY LANGTON &lt;2&gt; 1372 EN-1419 EN ID:09066810</v>
      </c>
      <c r="V1632" s="9"/>
      <c r="W1632" s="9"/>
      <c r="X1632" s="9"/>
      <c r="Y1632" s="9"/>
    </row>
    <row r="1633" spans="3:26" x14ac:dyDescent="0.35">
      <c r="C1633" s="15" t="s">
        <v>8</v>
      </c>
      <c r="D1633" s="15" t="s">
        <v>8</v>
      </c>
      <c r="G1633" s="15" t="s">
        <v>8</v>
      </c>
      <c r="J1633" s="15" t="s">
        <v>8</v>
      </c>
      <c r="L1633" s="15" t="s">
        <v>8</v>
      </c>
      <c r="M1633" s="15" t="s">
        <v>8</v>
      </c>
      <c r="N1633" s="15" t="s">
        <v>8</v>
      </c>
      <c r="O1633" s="15" t="s">
        <v>8</v>
      </c>
      <c r="Q1633" s="15" t="s">
        <v>8</v>
      </c>
      <c r="T1633" s="15" t="s">
        <v>8</v>
      </c>
      <c r="U1633" s="8" t="s">
        <v>3</v>
      </c>
      <c r="V1633" s="8" t="s">
        <v>6</v>
      </c>
    </row>
    <row r="1634" spans="3:26" x14ac:dyDescent="0.35">
      <c r="C1634" s="15" t="s">
        <v>8</v>
      </c>
      <c r="D1634" s="15" t="s">
        <v>8</v>
      </c>
      <c r="G1634" s="15" t="s">
        <v>8</v>
      </c>
      <c r="J1634" s="15" t="s">
        <v>8</v>
      </c>
      <c r="L1634" s="15" t="s">
        <v>8</v>
      </c>
      <c r="M1634" s="15" t="s">
        <v>8</v>
      </c>
      <c r="N1634" s="15" t="s">
        <v>8</v>
      </c>
      <c r="O1634" s="15" t="s">
        <v>8</v>
      </c>
      <c r="Q1634" s="15" t="s">
        <v>8</v>
      </c>
      <c r="T1634" s="15" t="s">
        <v>8</v>
      </c>
      <c r="U1634" s="15" t="s">
        <v>8</v>
      </c>
      <c r="V1634" s="20" t="str">
        <f>HYPERLINK("http://yeinfo.com/family/I09066828.html", "JOAN RADCLIFFE &lt;2&gt; 1340 EN-1425 WL ID:09066828")</f>
        <v>JOAN RADCLIFFE &lt;2&gt; 1340 EN-1425 WL ID:09066828</v>
      </c>
      <c r="W1634" s="17"/>
      <c r="X1634" s="17"/>
      <c r="Y1634" s="17"/>
      <c r="Z1634" s="17"/>
    </row>
    <row r="1635" spans="3:26" x14ac:dyDescent="0.35">
      <c r="C1635" s="15" t="s">
        <v>8</v>
      </c>
      <c r="D1635" s="15" t="s">
        <v>8</v>
      </c>
      <c r="G1635" s="15" t="s">
        <v>8</v>
      </c>
      <c r="J1635" s="15" t="s">
        <v>8</v>
      </c>
      <c r="L1635" s="15" t="s">
        <v>8</v>
      </c>
      <c r="M1635" s="15" t="s">
        <v>8</v>
      </c>
      <c r="N1635" s="15" t="s">
        <v>8</v>
      </c>
      <c r="O1635" s="15" t="s">
        <v>8</v>
      </c>
      <c r="Q1635" s="15" t="s">
        <v>8</v>
      </c>
      <c r="T1635" s="8" t="s">
        <v>6</v>
      </c>
      <c r="U1635" s="15" t="s">
        <v>8</v>
      </c>
    </row>
    <row r="1636" spans="3:26" x14ac:dyDescent="0.35">
      <c r="C1636" s="15" t="s">
        <v>8</v>
      </c>
      <c r="D1636" s="15" t="s">
        <v>8</v>
      </c>
      <c r="G1636" s="15" t="s">
        <v>8</v>
      </c>
      <c r="J1636" s="15" t="s">
        <v>8</v>
      </c>
      <c r="L1636" s="15" t="s">
        <v>8</v>
      </c>
      <c r="M1636" s="15" t="s">
        <v>8</v>
      </c>
      <c r="N1636" s="15" t="s">
        <v>8</v>
      </c>
      <c r="O1636" s="15" t="s">
        <v>8</v>
      </c>
      <c r="Q1636" s="15" t="s">
        <v>8</v>
      </c>
      <c r="T1636" s="20" t="str">
        <f>HYPERLINK("http://yeinfo.com/family/I09066811.html", "ISABEL LANGTON &lt;2&gt; 1405 EN-1438 EN ID:09066811")</f>
        <v>ISABEL LANGTON &lt;2&gt; 1405 EN-1438 EN ID:09066811</v>
      </c>
      <c r="U1636" s="17"/>
      <c r="V1636" s="17"/>
      <c r="W1636" s="17"/>
      <c r="X1636" s="17"/>
    </row>
    <row r="1637" spans="3:26" x14ac:dyDescent="0.35">
      <c r="C1637" s="15" t="s">
        <v>8</v>
      </c>
      <c r="D1637" s="15" t="s">
        <v>8</v>
      </c>
      <c r="G1637" s="15" t="s">
        <v>8</v>
      </c>
      <c r="J1637" s="15" t="s">
        <v>8</v>
      </c>
      <c r="L1637" s="15" t="s">
        <v>8</v>
      </c>
      <c r="M1637" s="15" t="s">
        <v>8</v>
      </c>
      <c r="N1637" s="15" t="s">
        <v>8</v>
      </c>
      <c r="O1637" s="15" t="s">
        <v>8</v>
      </c>
      <c r="Q1637" s="15" t="s">
        <v>8</v>
      </c>
      <c r="U1637" s="15" t="s">
        <v>8</v>
      </c>
    </row>
    <row r="1638" spans="3:26" x14ac:dyDescent="0.35">
      <c r="C1638" s="15" t="s">
        <v>8</v>
      </c>
      <c r="D1638" s="15" t="s">
        <v>8</v>
      </c>
      <c r="G1638" s="15" t="s">
        <v>8</v>
      </c>
      <c r="J1638" s="15" t="s">
        <v>8</v>
      </c>
      <c r="L1638" s="15" t="s">
        <v>8</v>
      </c>
      <c r="M1638" s="15" t="s">
        <v>8</v>
      </c>
      <c r="N1638" s="15" t="s">
        <v>8</v>
      </c>
      <c r="O1638" s="15" t="s">
        <v>8</v>
      </c>
      <c r="Q1638" s="15" t="s">
        <v>8</v>
      </c>
      <c r="U1638" s="15" t="s">
        <v>8</v>
      </c>
      <c r="V1638" s="19" t="str">
        <f>HYPERLINK("http://yeinfo.com/family/I09066789.html", "JOHN DAVENPORT &lt;2&gt; 1320 EN-1384 EN ID:09066789")</f>
        <v>JOHN DAVENPORT &lt;2&gt; 1320 EN-1384 EN ID:09066789</v>
      </c>
      <c r="W1638" s="9"/>
      <c r="X1638" s="9"/>
      <c r="Y1638" s="9"/>
      <c r="Z1638" s="9"/>
    </row>
    <row r="1639" spans="3:26" x14ac:dyDescent="0.35">
      <c r="C1639" s="15" t="s">
        <v>8</v>
      </c>
      <c r="D1639" s="15" t="s">
        <v>8</v>
      </c>
      <c r="G1639" s="15" t="s">
        <v>8</v>
      </c>
      <c r="J1639" s="15" t="s">
        <v>8</v>
      </c>
      <c r="L1639" s="15" t="s">
        <v>8</v>
      </c>
      <c r="M1639" s="15" t="s">
        <v>8</v>
      </c>
      <c r="N1639" s="15" t="s">
        <v>8</v>
      </c>
      <c r="O1639" s="15" t="s">
        <v>8</v>
      </c>
      <c r="Q1639" s="15" t="s">
        <v>8</v>
      </c>
      <c r="U1639" s="8" t="s">
        <v>6</v>
      </c>
      <c r="V1639" s="8" t="s">
        <v>3</v>
      </c>
    </row>
    <row r="1640" spans="3:26" x14ac:dyDescent="0.35">
      <c r="C1640" s="15" t="s">
        <v>8</v>
      </c>
      <c r="D1640" s="15" t="s">
        <v>8</v>
      </c>
      <c r="G1640" s="15" t="s">
        <v>8</v>
      </c>
      <c r="J1640" s="15" t="s">
        <v>8</v>
      </c>
      <c r="L1640" s="15" t="s">
        <v>8</v>
      </c>
      <c r="M1640" s="15" t="s">
        <v>8</v>
      </c>
      <c r="N1640" s="15" t="s">
        <v>8</v>
      </c>
      <c r="O1640" s="15" t="s">
        <v>8</v>
      </c>
      <c r="Q1640" s="15" t="s">
        <v>8</v>
      </c>
      <c r="U1640" s="20" t="str">
        <f>HYPERLINK("http://yeinfo.com/family/I09066790.html", "AGNES DAVENPORT &lt;2&gt; 1370 EN-1405 EN ID:09066790")</f>
        <v>AGNES DAVENPORT &lt;2&gt; 1370 EN-1405 EN ID:09066790</v>
      </c>
      <c r="V1640" s="17"/>
      <c r="W1640" s="17"/>
      <c r="X1640" s="17"/>
      <c r="Y1640" s="17"/>
    </row>
    <row r="1641" spans="3:26" x14ac:dyDescent="0.35">
      <c r="C1641" s="15" t="s">
        <v>8</v>
      </c>
      <c r="D1641" s="15" t="s">
        <v>8</v>
      </c>
      <c r="G1641" s="15" t="s">
        <v>8</v>
      </c>
      <c r="J1641" s="15" t="s">
        <v>8</v>
      </c>
      <c r="L1641" s="15" t="s">
        <v>8</v>
      </c>
      <c r="M1641" s="15" t="s">
        <v>8</v>
      </c>
      <c r="N1641" s="15" t="s">
        <v>8</v>
      </c>
      <c r="O1641" s="15" t="s">
        <v>8</v>
      </c>
      <c r="Q1641" s="15" t="s">
        <v>8</v>
      </c>
      <c r="V1641" s="8" t="s">
        <v>6</v>
      </c>
    </row>
    <row r="1642" spans="3:26" x14ac:dyDescent="0.35">
      <c r="C1642" s="15" t="s">
        <v>8</v>
      </c>
      <c r="D1642" s="15" t="s">
        <v>8</v>
      </c>
      <c r="G1642" s="15" t="s">
        <v>8</v>
      </c>
      <c r="J1642" s="15" t="s">
        <v>8</v>
      </c>
      <c r="L1642" s="15" t="s">
        <v>8</v>
      </c>
      <c r="M1642" s="15" t="s">
        <v>8</v>
      </c>
      <c r="N1642" s="15" t="s">
        <v>8</v>
      </c>
      <c r="O1642" s="15" t="s">
        <v>8</v>
      </c>
      <c r="Q1642" s="15" t="s">
        <v>8</v>
      </c>
      <c r="V1642" s="20" t="str">
        <f>HYPERLINK("http://yeinfo.com/family/I09066791.html", "MARGARET DONNE &lt;2&gt; 1342 EN-1417 EN ID:09066791")</f>
        <v>MARGARET DONNE &lt;2&gt; 1342 EN-1417 EN ID:09066791</v>
      </c>
      <c r="W1642" s="17"/>
      <c r="X1642" s="17"/>
      <c r="Y1642" s="17"/>
      <c r="Z1642" s="17"/>
    </row>
    <row r="1643" spans="3:26" x14ac:dyDescent="0.35">
      <c r="C1643" s="15" t="s">
        <v>8</v>
      </c>
      <c r="D1643" s="15" t="s">
        <v>8</v>
      </c>
      <c r="G1643" s="15" t="s">
        <v>8</v>
      </c>
      <c r="J1643" s="15" t="s">
        <v>8</v>
      </c>
      <c r="L1643" s="15" t="s">
        <v>8</v>
      </c>
      <c r="M1643" s="15" t="s">
        <v>8</v>
      </c>
      <c r="N1643" s="15" t="s">
        <v>8</v>
      </c>
      <c r="O1643" s="15" t="s">
        <v>8</v>
      </c>
      <c r="Q1643" s="15" t="s">
        <v>8</v>
      </c>
    </row>
    <row r="1644" spans="3:26" x14ac:dyDescent="0.35">
      <c r="C1644" s="15" t="s">
        <v>8</v>
      </c>
      <c r="D1644" s="15" t="s">
        <v>8</v>
      </c>
      <c r="G1644" s="15" t="s">
        <v>8</v>
      </c>
      <c r="J1644" s="15" t="s">
        <v>8</v>
      </c>
      <c r="L1644" s="15" t="s">
        <v>8</v>
      </c>
      <c r="M1644" s="15" t="s">
        <v>8</v>
      </c>
      <c r="N1644" s="15" t="s">
        <v>8</v>
      </c>
      <c r="O1644" s="15" t="s">
        <v>8</v>
      </c>
      <c r="P1644" s="19" t="str">
        <f>HYPERLINK("http://yeinfo.com/family/I09010314.html", "ROGER ANDERTON Jr. &lt;2&gt; 1546 EN-1640 EN ID:09010314")</f>
        <v>ROGER ANDERTON Jr. &lt;2&gt; 1546 EN-1640 EN ID:09010314</v>
      </c>
      <c r="Q1644" s="9"/>
      <c r="R1644" s="9"/>
      <c r="S1644" s="9"/>
      <c r="T1644" s="9"/>
    </row>
    <row r="1645" spans="3:26" x14ac:dyDescent="0.35">
      <c r="C1645" s="15" t="s">
        <v>8</v>
      </c>
      <c r="D1645" s="15" t="s">
        <v>8</v>
      </c>
      <c r="G1645" s="15" t="s">
        <v>8</v>
      </c>
      <c r="J1645" s="15" t="s">
        <v>8</v>
      </c>
      <c r="L1645" s="15" t="s">
        <v>8</v>
      </c>
      <c r="M1645" s="15" t="s">
        <v>8</v>
      </c>
      <c r="N1645" s="15" t="s">
        <v>8</v>
      </c>
      <c r="O1645" s="15" t="s">
        <v>8</v>
      </c>
      <c r="P1645" s="8" t="s">
        <v>3</v>
      </c>
      <c r="Q1645" s="8" t="s">
        <v>6</v>
      </c>
    </row>
    <row r="1646" spans="3:26" x14ac:dyDescent="0.35">
      <c r="C1646" s="15" t="s">
        <v>8</v>
      </c>
      <c r="D1646" s="15" t="s">
        <v>8</v>
      </c>
      <c r="G1646" s="15" t="s">
        <v>8</v>
      </c>
      <c r="J1646" s="15" t="s">
        <v>8</v>
      </c>
      <c r="L1646" s="15" t="s">
        <v>8</v>
      </c>
      <c r="M1646" s="15" t="s">
        <v>8</v>
      </c>
      <c r="N1646" s="15" t="s">
        <v>8</v>
      </c>
      <c r="O1646" s="15" t="s">
        <v>8</v>
      </c>
      <c r="P1646" s="15" t="s">
        <v>8</v>
      </c>
      <c r="Q1646" s="20" t="str">
        <f>HYPERLINK("http://yeinfo.com/family/I09020629.html", "Mrs. {_?_} ANDERTON &lt;2&gt; 1526 EN-1546 EN ID:09020629")</f>
        <v>Mrs. {_?_} ANDERTON &lt;2&gt; 1526 EN-1546 EN ID:09020629</v>
      </c>
      <c r="R1646" s="17"/>
      <c r="S1646" s="17"/>
      <c r="T1646" s="17"/>
      <c r="U1646" s="17"/>
    </row>
    <row r="1647" spans="3:26" x14ac:dyDescent="0.35">
      <c r="C1647" s="15" t="s">
        <v>8</v>
      </c>
      <c r="D1647" s="15" t="s">
        <v>8</v>
      </c>
      <c r="G1647" s="15" t="s">
        <v>8</v>
      </c>
      <c r="J1647" s="15" t="s">
        <v>8</v>
      </c>
      <c r="L1647" s="15" t="s">
        <v>8</v>
      </c>
      <c r="M1647" s="15" t="s">
        <v>8</v>
      </c>
      <c r="N1647" s="15" t="s">
        <v>8</v>
      </c>
      <c r="O1647" s="8" t="s">
        <v>6</v>
      </c>
      <c r="P1647" s="15" t="s">
        <v>8</v>
      </c>
    </row>
    <row r="1648" spans="3:26" x14ac:dyDescent="0.35">
      <c r="C1648" s="15" t="s">
        <v>8</v>
      </c>
      <c r="D1648" s="15" t="s">
        <v>8</v>
      </c>
      <c r="G1648" s="15" t="s">
        <v>8</v>
      </c>
      <c r="J1648" s="15" t="s">
        <v>8</v>
      </c>
      <c r="L1648" s="15" t="s">
        <v>8</v>
      </c>
      <c r="M1648" s="15" t="s">
        <v>8</v>
      </c>
      <c r="N1648" s="15" t="s">
        <v>8</v>
      </c>
      <c r="O1648" s="20" t="str">
        <f>HYPERLINK("http://yeinfo.com/family/I09005157.html", "THOMASYN ANDERTON &lt;2&gt; 1567 EN-1596 EN ID:09005157")</f>
        <v>THOMASYN ANDERTON &lt;2&gt; 1567 EN-1596 EN ID:09005157</v>
      </c>
      <c r="P1648" s="17"/>
      <c r="Q1648" s="17"/>
      <c r="R1648" s="17"/>
      <c r="S1648" s="17"/>
    </row>
    <row r="1649" spans="3:22" x14ac:dyDescent="0.35">
      <c r="C1649" s="15" t="s">
        <v>8</v>
      </c>
      <c r="D1649" s="15" t="s">
        <v>8</v>
      </c>
      <c r="G1649" s="15" t="s">
        <v>8</v>
      </c>
      <c r="J1649" s="15" t="s">
        <v>8</v>
      </c>
      <c r="L1649" s="15" t="s">
        <v>8</v>
      </c>
      <c r="M1649" s="15" t="s">
        <v>8</v>
      </c>
      <c r="N1649" s="15" t="s">
        <v>8</v>
      </c>
      <c r="P1649" s="15" t="s">
        <v>8</v>
      </c>
    </row>
    <row r="1650" spans="3:22" x14ac:dyDescent="0.35">
      <c r="C1650" s="15" t="s">
        <v>8</v>
      </c>
      <c r="D1650" s="15" t="s">
        <v>8</v>
      </c>
      <c r="G1650" s="15" t="s">
        <v>8</v>
      </c>
      <c r="J1650" s="15" t="s">
        <v>8</v>
      </c>
      <c r="L1650" s="15" t="s">
        <v>8</v>
      </c>
      <c r="M1650" s="15" t="s">
        <v>8</v>
      </c>
      <c r="N1650" s="15" t="s">
        <v>8</v>
      </c>
      <c r="P1650" s="15" t="s">
        <v>8</v>
      </c>
      <c r="R1650" s="19" t="str">
        <f>HYPERLINK("http://yeinfo.com/family/I09041260.html", "GEOFFREY SHAKERLEY Sr. &lt;2&gt; 1500 EN-1525 EN ID:09041260")</f>
        <v>GEOFFREY SHAKERLEY Sr. &lt;2&gt; 1500 EN-1525 EN ID:09041260</v>
      </c>
      <c r="S1650" s="9"/>
      <c r="T1650" s="9"/>
      <c r="U1650" s="9"/>
      <c r="V1650" s="9"/>
    </row>
    <row r="1651" spans="3:22" x14ac:dyDescent="0.35">
      <c r="C1651" s="15" t="s">
        <v>8</v>
      </c>
      <c r="D1651" s="15" t="s">
        <v>8</v>
      </c>
      <c r="G1651" s="15" t="s">
        <v>8</v>
      </c>
      <c r="J1651" s="15" t="s">
        <v>8</v>
      </c>
      <c r="L1651" s="15" t="s">
        <v>8</v>
      </c>
      <c r="M1651" s="15" t="s">
        <v>8</v>
      </c>
      <c r="N1651" s="15" t="s">
        <v>8</v>
      </c>
      <c r="P1651" s="15" t="s">
        <v>8</v>
      </c>
      <c r="R1651" s="8" t="s">
        <v>3</v>
      </c>
    </row>
    <row r="1652" spans="3:22" x14ac:dyDescent="0.35">
      <c r="C1652" s="15" t="s">
        <v>8</v>
      </c>
      <c r="D1652" s="15" t="s">
        <v>8</v>
      </c>
      <c r="G1652" s="15" t="s">
        <v>8</v>
      </c>
      <c r="J1652" s="15" t="s">
        <v>8</v>
      </c>
      <c r="L1652" s="15" t="s">
        <v>8</v>
      </c>
      <c r="M1652" s="15" t="s">
        <v>8</v>
      </c>
      <c r="N1652" s="15" t="s">
        <v>8</v>
      </c>
      <c r="P1652" s="15" t="s">
        <v>8</v>
      </c>
      <c r="Q1652" s="19" t="str">
        <f>HYPERLINK("http://yeinfo.com/family/I09020630.html", "GEOFFREY SHAKERLEY Jr. &lt;2&gt; 1525 EN-1550 EN ID:09020630")</f>
        <v>GEOFFREY SHAKERLEY Jr. &lt;2&gt; 1525 EN-1550 EN ID:09020630</v>
      </c>
      <c r="R1652" s="9"/>
      <c r="S1652" s="9"/>
      <c r="T1652" s="9"/>
      <c r="U1652" s="9"/>
    </row>
    <row r="1653" spans="3:22" x14ac:dyDescent="0.35">
      <c r="C1653" s="15" t="s">
        <v>8</v>
      </c>
      <c r="D1653" s="15" t="s">
        <v>8</v>
      </c>
      <c r="G1653" s="15" t="s">
        <v>8</v>
      </c>
      <c r="J1653" s="15" t="s">
        <v>8</v>
      </c>
      <c r="L1653" s="15" t="s">
        <v>8</v>
      </c>
      <c r="M1653" s="15" t="s">
        <v>8</v>
      </c>
      <c r="N1653" s="15" t="s">
        <v>8</v>
      </c>
      <c r="P1653" s="15" t="s">
        <v>8</v>
      </c>
      <c r="Q1653" s="8" t="s">
        <v>3</v>
      </c>
      <c r="R1653" s="8" t="s">
        <v>6</v>
      </c>
    </row>
    <row r="1654" spans="3:22" x14ac:dyDescent="0.35">
      <c r="C1654" s="15" t="s">
        <v>8</v>
      </c>
      <c r="D1654" s="15" t="s">
        <v>8</v>
      </c>
      <c r="G1654" s="15" t="s">
        <v>8</v>
      </c>
      <c r="J1654" s="15" t="s">
        <v>8</v>
      </c>
      <c r="L1654" s="15" t="s">
        <v>8</v>
      </c>
      <c r="M1654" s="15" t="s">
        <v>8</v>
      </c>
      <c r="N1654" s="15" t="s">
        <v>8</v>
      </c>
      <c r="P1654" s="15" t="s">
        <v>8</v>
      </c>
      <c r="Q1654" s="15" t="s">
        <v>8</v>
      </c>
      <c r="R1654" s="20" t="str">
        <f>HYPERLINK("http://yeinfo.com/family/I09041261.html", "ISABEL VENABLES &lt;2&gt; 1496 EN-1530 EN ID:09041261")</f>
        <v>ISABEL VENABLES &lt;2&gt; 1496 EN-1530 EN ID:09041261</v>
      </c>
      <c r="S1654" s="17"/>
      <c r="T1654" s="17"/>
      <c r="U1654" s="17"/>
      <c r="V1654" s="17"/>
    </row>
    <row r="1655" spans="3:22" x14ac:dyDescent="0.35">
      <c r="C1655" s="15" t="s">
        <v>8</v>
      </c>
      <c r="D1655" s="15" t="s">
        <v>8</v>
      </c>
      <c r="G1655" s="15" t="s">
        <v>8</v>
      </c>
      <c r="J1655" s="15" t="s">
        <v>8</v>
      </c>
      <c r="L1655" s="15" t="s">
        <v>8</v>
      </c>
      <c r="M1655" s="15" t="s">
        <v>8</v>
      </c>
      <c r="N1655" s="15" t="s">
        <v>8</v>
      </c>
      <c r="P1655" s="8" t="s">
        <v>6</v>
      </c>
      <c r="Q1655" s="15" t="s">
        <v>8</v>
      </c>
    </row>
    <row r="1656" spans="3:22" x14ac:dyDescent="0.35">
      <c r="C1656" s="15" t="s">
        <v>8</v>
      </c>
      <c r="D1656" s="15" t="s">
        <v>8</v>
      </c>
      <c r="G1656" s="15" t="s">
        <v>8</v>
      </c>
      <c r="J1656" s="15" t="s">
        <v>8</v>
      </c>
      <c r="L1656" s="15" t="s">
        <v>8</v>
      </c>
      <c r="M1656" s="15" t="s">
        <v>8</v>
      </c>
      <c r="N1656" s="15" t="s">
        <v>8</v>
      </c>
      <c r="P1656" s="20" t="str">
        <f>HYPERLINK("http://yeinfo.com/family/I09010315.html", "ISABEL SHAKERLEY &lt;2&gt; 1550 EN-1588 EN ID:09010315")</f>
        <v>ISABEL SHAKERLEY &lt;2&gt; 1550 EN-1588 EN ID:09010315</v>
      </c>
      <c r="Q1656" s="17"/>
      <c r="R1656" s="17"/>
      <c r="S1656" s="17"/>
      <c r="T1656" s="17"/>
    </row>
    <row r="1657" spans="3:22" x14ac:dyDescent="0.35">
      <c r="C1657" s="15" t="s">
        <v>8</v>
      </c>
      <c r="D1657" s="15" t="s">
        <v>8</v>
      </c>
      <c r="G1657" s="15" t="s">
        <v>8</v>
      </c>
      <c r="J1657" s="15" t="s">
        <v>8</v>
      </c>
      <c r="L1657" s="15" t="s">
        <v>8</v>
      </c>
      <c r="M1657" s="15" t="s">
        <v>8</v>
      </c>
      <c r="N1657" s="15" t="s">
        <v>8</v>
      </c>
      <c r="Q1657" s="15" t="s">
        <v>8</v>
      </c>
    </row>
    <row r="1658" spans="3:22" x14ac:dyDescent="0.35">
      <c r="C1658" s="15" t="s">
        <v>8</v>
      </c>
      <c r="D1658" s="15" t="s">
        <v>8</v>
      </c>
      <c r="G1658" s="15" t="s">
        <v>8</v>
      </c>
      <c r="J1658" s="15" t="s">
        <v>8</v>
      </c>
      <c r="L1658" s="15" t="s">
        <v>8</v>
      </c>
      <c r="M1658" s="15" t="s">
        <v>8</v>
      </c>
      <c r="N1658" s="15" t="s">
        <v>8</v>
      </c>
      <c r="Q1658" s="15" t="s">
        <v>8</v>
      </c>
      <c r="R1658" s="19" t="str">
        <f>HYPERLINK("http://yeinfo.com/family/I09041262.html", "GEORGE BEESTON &lt;2&gt; 1501 EN-1601 EN ID:09041262")</f>
        <v>GEORGE BEESTON &lt;2&gt; 1501 EN-1601 EN ID:09041262</v>
      </c>
      <c r="S1658" s="9"/>
      <c r="T1658" s="9"/>
      <c r="U1658" s="9"/>
      <c r="V1658" s="9"/>
    </row>
    <row r="1659" spans="3:22" x14ac:dyDescent="0.35">
      <c r="C1659" s="15" t="s">
        <v>8</v>
      </c>
      <c r="D1659" s="15" t="s">
        <v>8</v>
      </c>
      <c r="G1659" s="15" t="s">
        <v>8</v>
      </c>
      <c r="J1659" s="15" t="s">
        <v>8</v>
      </c>
      <c r="L1659" s="15" t="s">
        <v>8</v>
      </c>
      <c r="M1659" s="15" t="s">
        <v>8</v>
      </c>
      <c r="N1659" s="15" t="s">
        <v>8</v>
      </c>
      <c r="Q1659" s="8" t="s">
        <v>6</v>
      </c>
      <c r="R1659" s="8" t="s">
        <v>3</v>
      </c>
    </row>
    <row r="1660" spans="3:22" x14ac:dyDescent="0.35">
      <c r="C1660" s="15" t="s">
        <v>8</v>
      </c>
      <c r="D1660" s="15" t="s">
        <v>8</v>
      </c>
      <c r="G1660" s="15" t="s">
        <v>8</v>
      </c>
      <c r="J1660" s="15" t="s">
        <v>8</v>
      </c>
      <c r="L1660" s="15" t="s">
        <v>8</v>
      </c>
      <c r="M1660" s="15" t="s">
        <v>8</v>
      </c>
      <c r="N1660" s="15" t="s">
        <v>8</v>
      </c>
      <c r="Q1660" s="20" t="str">
        <f>HYPERLINK("http://yeinfo.com/family/I09020631.html", "ELIZABETH BEESTON &lt;2&gt; 1529 EN-1620 EN ID:09020631")</f>
        <v>ELIZABETH BEESTON &lt;2&gt; 1529 EN-1620 EN ID:09020631</v>
      </c>
      <c r="R1660" s="17"/>
      <c r="S1660" s="17"/>
      <c r="T1660" s="17"/>
      <c r="U1660" s="17"/>
    </row>
    <row r="1661" spans="3:22" x14ac:dyDescent="0.35">
      <c r="C1661" s="15" t="s">
        <v>8</v>
      </c>
      <c r="D1661" s="15" t="s">
        <v>8</v>
      </c>
      <c r="G1661" s="15" t="s">
        <v>8</v>
      </c>
      <c r="J1661" s="15" t="s">
        <v>8</v>
      </c>
      <c r="L1661" s="15" t="s">
        <v>8</v>
      </c>
      <c r="M1661" s="15" t="s">
        <v>8</v>
      </c>
      <c r="N1661" s="15" t="s">
        <v>8</v>
      </c>
      <c r="R1661" s="8" t="s">
        <v>6</v>
      </c>
    </row>
    <row r="1662" spans="3:22" x14ac:dyDescent="0.35">
      <c r="C1662" s="15" t="s">
        <v>8</v>
      </c>
      <c r="D1662" s="15" t="s">
        <v>8</v>
      </c>
      <c r="G1662" s="15" t="s">
        <v>8</v>
      </c>
      <c r="J1662" s="15" t="s">
        <v>8</v>
      </c>
      <c r="L1662" s="15" t="s">
        <v>8</v>
      </c>
      <c r="M1662" s="15" t="s">
        <v>8</v>
      </c>
      <c r="N1662" s="15" t="s">
        <v>8</v>
      </c>
      <c r="R1662" s="20" t="str">
        <f>HYPERLINK("http://yeinfo.com/family/I09041263.html", "ALICE DAVENPORT &lt;2&gt; 1506 EN-1591 EN ID:09041263")</f>
        <v>ALICE DAVENPORT &lt;2&gt; 1506 EN-1591 EN ID:09041263</v>
      </c>
      <c r="S1662" s="17"/>
      <c r="T1662" s="17"/>
      <c r="U1662" s="17"/>
      <c r="V1662" s="17"/>
    </row>
    <row r="1663" spans="3:22" x14ac:dyDescent="0.35">
      <c r="C1663" s="15" t="s">
        <v>8</v>
      </c>
      <c r="D1663" s="15" t="s">
        <v>8</v>
      </c>
      <c r="G1663" s="15" t="s">
        <v>8</v>
      </c>
      <c r="J1663" s="15" t="s">
        <v>8</v>
      </c>
      <c r="L1663" s="15" t="s">
        <v>8</v>
      </c>
      <c r="M1663" s="8" t="s">
        <v>6</v>
      </c>
      <c r="N1663" s="15" t="s">
        <v>8</v>
      </c>
    </row>
    <row r="1664" spans="3:22" x14ac:dyDescent="0.35">
      <c r="C1664" s="15" t="s">
        <v>8</v>
      </c>
      <c r="D1664" s="15" t="s">
        <v>8</v>
      </c>
      <c r="G1664" s="15" t="s">
        <v>8</v>
      </c>
      <c r="J1664" s="15" t="s">
        <v>8</v>
      </c>
      <c r="L1664" s="15" t="s">
        <v>8</v>
      </c>
      <c r="M1664" s="22" t="str">
        <f>HYPERLINK("http://yeinfo.com/family/I09001289.html", "JOAN DUTTON &lt;2&gt; 1618 EN-1671 NY ID:09001289")</f>
        <v>JOAN DUTTON &lt;2&gt; 1618 EN-1671 NY ID:09001289</v>
      </c>
      <c r="N1664" s="13"/>
      <c r="O1664" s="13"/>
      <c r="P1664" s="13"/>
      <c r="Q1664" s="13"/>
    </row>
    <row r="1665" spans="3:20" x14ac:dyDescent="0.35">
      <c r="C1665" s="15" t="s">
        <v>8</v>
      </c>
      <c r="D1665" s="15" t="s">
        <v>8</v>
      </c>
      <c r="G1665" s="15" t="s">
        <v>8</v>
      </c>
      <c r="J1665" s="15" t="s">
        <v>8</v>
      </c>
      <c r="L1665" s="15" t="s">
        <v>8</v>
      </c>
      <c r="N1665" s="15" t="s">
        <v>8</v>
      </c>
    </row>
    <row r="1666" spans="3:20" x14ac:dyDescent="0.35">
      <c r="C1666" s="15" t="s">
        <v>8</v>
      </c>
      <c r="D1666" s="15" t="s">
        <v>8</v>
      </c>
      <c r="G1666" s="15" t="s">
        <v>8</v>
      </c>
      <c r="J1666" s="15" t="s">
        <v>8</v>
      </c>
      <c r="L1666" s="15" t="s">
        <v>8</v>
      </c>
      <c r="N1666" s="15" t="s">
        <v>8</v>
      </c>
      <c r="O1666" s="19" t="str">
        <f>HYPERLINK("http://yeinfo.com/family/I09005158.html", "JOHN JONES &lt;2&gt; 1569 -1589  ID:09005158")</f>
        <v>JOHN JONES &lt;2&gt; 1569 -1589  ID:09005158</v>
      </c>
      <c r="P1666" s="9"/>
      <c r="Q1666" s="9"/>
      <c r="R1666" s="9"/>
      <c r="S1666" s="9"/>
    </row>
    <row r="1667" spans="3:20" x14ac:dyDescent="0.35">
      <c r="C1667" s="15" t="s">
        <v>8</v>
      </c>
      <c r="D1667" s="15" t="s">
        <v>8</v>
      </c>
      <c r="G1667" s="15" t="s">
        <v>8</v>
      </c>
      <c r="J1667" s="15" t="s">
        <v>8</v>
      </c>
      <c r="L1667" s="15" t="s">
        <v>8</v>
      </c>
      <c r="N1667" s="8" t="s">
        <v>6</v>
      </c>
      <c r="O1667" s="8" t="s">
        <v>3</v>
      </c>
    </row>
    <row r="1668" spans="3:20" x14ac:dyDescent="0.35">
      <c r="C1668" s="15" t="s">
        <v>8</v>
      </c>
      <c r="D1668" s="15" t="s">
        <v>8</v>
      </c>
      <c r="G1668" s="15" t="s">
        <v>8</v>
      </c>
      <c r="J1668" s="15" t="s">
        <v>8</v>
      </c>
      <c r="L1668" s="15" t="s">
        <v>8</v>
      </c>
      <c r="N1668" s="20" t="str">
        <f>HYPERLINK("http://yeinfo.com/family/I09002579.html", "ELIZABETH JONES &lt;2&gt; 1589 EN-1634 EN ID:09002579")</f>
        <v>ELIZABETH JONES &lt;2&gt; 1589 EN-1634 EN ID:09002579</v>
      </c>
      <c r="O1668" s="17"/>
      <c r="P1668" s="17"/>
      <c r="Q1668" s="17"/>
      <c r="R1668" s="17"/>
    </row>
    <row r="1669" spans="3:20" x14ac:dyDescent="0.35">
      <c r="C1669" s="15" t="s">
        <v>8</v>
      </c>
      <c r="D1669" s="15" t="s">
        <v>8</v>
      </c>
      <c r="G1669" s="15" t="s">
        <v>8</v>
      </c>
      <c r="J1669" s="15" t="s">
        <v>8</v>
      </c>
      <c r="L1669" s="15" t="s">
        <v>8</v>
      </c>
      <c r="O1669" s="8" t="s">
        <v>6</v>
      </c>
    </row>
    <row r="1670" spans="3:20" x14ac:dyDescent="0.35">
      <c r="C1670" s="15" t="s">
        <v>8</v>
      </c>
      <c r="D1670" s="15" t="s">
        <v>8</v>
      </c>
      <c r="G1670" s="15" t="s">
        <v>8</v>
      </c>
      <c r="J1670" s="15" t="s">
        <v>8</v>
      </c>
      <c r="L1670" s="15" t="s">
        <v>8</v>
      </c>
      <c r="O1670" s="20" t="str">
        <f>HYPERLINK("http://yeinfo.com/family/I09005159.html", "ALICE EVANS &lt;2&gt; 1566 EN-1653 EN ID:09005159")</f>
        <v>ALICE EVANS &lt;2&gt; 1566 EN-1653 EN ID:09005159</v>
      </c>
      <c r="P1670" s="17"/>
      <c r="Q1670" s="17"/>
      <c r="R1670" s="17"/>
      <c r="S1670" s="17"/>
    </row>
    <row r="1671" spans="3:20" x14ac:dyDescent="0.35">
      <c r="C1671" s="15" t="s">
        <v>8</v>
      </c>
      <c r="D1671" s="15" t="s">
        <v>8</v>
      </c>
      <c r="G1671" s="15" t="s">
        <v>8</v>
      </c>
      <c r="J1671" s="15" t="s">
        <v>8</v>
      </c>
      <c r="L1671" s="15" t="s">
        <v>8</v>
      </c>
    </row>
    <row r="1672" spans="3:20" x14ac:dyDescent="0.35">
      <c r="C1672" s="15" t="s">
        <v>8</v>
      </c>
      <c r="D1672" s="15" t="s">
        <v>8</v>
      </c>
      <c r="G1672" s="15" t="s">
        <v>8</v>
      </c>
      <c r="J1672" s="15" t="s">
        <v>8</v>
      </c>
      <c r="K1672" s="5" t="str">
        <f>HYPERLINK("http://yeinfo.com/family/I09000322.html", "ADAM IRELAND &lt;2&gt; 1694 NY-1760 NY ID:09000322")</f>
        <v>ADAM IRELAND &lt;2&gt; 1694 NY-1760 NY ID:09000322</v>
      </c>
      <c r="L1672" s="3"/>
      <c r="M1672" s="3"/>
      <c r="N1672" s="3"/>
      <c r="O1672" s="3"/>
    </row>
    <row r="1673" spans="3:20" x14ac:dyDescent="0.35">
      <c r="C1673" s="15" t="s">
        <v>8</v>
      </c>
      <c r="D1673" s="15" t="s">
        <v>8</v>
      </c>
      <c r="G1673" s="15" t="s">
        <v>8</v>
      </c>
      <c r="J1673" s="15" t="s">
        <v>8</v>
      </c>
      <c r="K1673" s="8" t="s">
        <v>3</v>
      </c>
      <c r="L1673" s="15" t="s">
        <v>8</v>
      </c>
    </row>
    <row r="1674" spans="3:20" x14ac:dyDescent="0.35">
      <c r="C1674" s="15" t="s">
        <v>8</v>
      </c>
      <c r="D1674" s="15" t="s">
        <v>8</v>
      </c>
      <c r="G1674" s="15" t="s">
        <v>8</v>
      </c>
      <c r="J1674" s="15" t="s">
        <v>8</v>
      </c>
      <c r="K1674" s="15" t="s">
        <v>8</v>
      </c>
      <c r="L1674" s="15" t="s">
        <v>8</v>
      </c>
      <c r="P1674" s="19" t="str">
        <f>HYPERLINK("http://yeinfo.com/family/I09010320.html", "CHARLES HENRY ABRAHAMS &lt;2&gt; 1560 FR-1580 FR ID:09010320")</f>
        <v>CHARLES HENRY ABRAHAMS &lt;2&gt; 1560 FR-1580 FR ID:09010320</v>
      </c>
      <c r="Q1674" s="9"/>
      <c r="R1674" s="9"/>
      <c r="S1674" s="9"/>
      <c r="T1674" s="9"/>
    </row>
    <row r="1675" spans="3:20" x14ac:dyDescent="0.35">
      <c r="C1675" s="15" t="s">
        <v>8</v>
      </c>
      <c r="D1675" s="15" t="s">
        <v>8</v>
      </c>
      <c r="G1675" s="15" t="s">
        <v>8</v>
      </c>
      <c r="J1675" s="15" t="s">
        <v>8</v>
      </c>
      <c r="K1675" s="15" t="s">
        <v>8</v>
      </c>
      <c r="L1675" s="15" t="s">
        <v>8</v>
      </c>
      <c r="P1675" s="8" t="s">
        <v>3</v>
      </c>
    </row>
    <row r="1676" spans="3:20" x14ac:dyDescent="0.35">
      <c r="C1676" s="15" t="s">
        <v>8</v>
      </c>
      <c r="D1676" s="15" t="s">
        <v>8</v>
      </c>
      <c r="G1676" s="15" t="s">
        <v>8</v>
      </c>
      <c r="J1676" s="15" t="s">
        <v>8</v>
      </c>
      <c r="K1676" s="15" t="s">
        <v>8</v>
      </c>
      <c r="L1676" s="15" t="s">
        <v>8</v>
      </c>
      <c r="O1676" s="19" t="str">
        <f>HYPERLINK("http://yeinfo.com/family/I09005160.html", "CHARLES BENJAMIN ABRAHAMS &lt;2&gt; 1580 FR-1610 EN ID:09005160")</f>
        <v>CHARLES BENJAMIN ABRAHAMS &lt;2&gt; 1580 FR-1610 EN ID:09005160</v>
      </c>
      <c r="P1676" s="9"/>
      <c r="Q1676" s="9"/>
      <c r="R1676" s="9"/>
      <c r="S1676" s="9"/>
    </row>
    <row r="1677" spans="3:20" x14ac:dyDescent="0.35">
      <c r="C1677" s="15" t="s">
        <v>8</v>
      </c>
      <c r="D1677" s="15" t="s">
        <v>8</v>
      </c>
      <c r="G1677" s="15" t="s">
        <v>8</v>
      </c>
      <c r="J1677" s="15" t="s">
        <v>8</v>
      </c>
      <c r="K1677" s="15" t="s">
        <v>8</v>
      </c>
      <c r="L1677" s="15" t="s">
        <v>8</v>
      </c>
      <c r="O1677" s="8" t="s">
        <v>3</v>
      </c>
      <c r="P1677" s="8" t="s">
        <v>6</v>
      </c>
    </row>
    <row r="1678" spans="3:20" x14ac:dyDescent="0.35">
      <c r="C1678" s="15" t="s">
        <v>8</v>
      </c>
      <c r="D1678" s="15" t="s">
        <v>8</v>
      </c>
      <c r="G1678" s="15" t="s">
        <v>8</v>
      </c>
      <c r="J1678" s="15" t="s">
        <v>8</v>
      </c>
      <c r="K1678" s="15" t="s">
        <v>8</v>
      </c>
      <c r="L1678" s="15" t="s">
        <v>8</v>
      </c>
      <c r="O1678" s="15" t="s">
        <v>8</v>
      </c>
      <c r="P1678" s="20" t="str">
        <f>HYPERLINK("http://yeinfo.com/family/I09010321.html", "MARIE ANN LEVAY &lt;2&gt; 1560 FR-1622 FR ID:09010321")</f>
        <v>MARIE ANN LEVAY &lt;2&gt; 1560 FR-1622 FR ID:09010321</v>
      </c>
      <c r="Q1678" s="17"/>
      <c r="R1678" s="17"/>
      <c r="S1678" s="17"/>
      <c r="T1678" s="17"/>
    </row>
    <row r="1679" spans="3:20" x14ac:dyDescent="0.35">
      <c r="C1679" s="15" t="s">
        <v>8</v>
      </c>
      <c r="D1679" s="15" t="s">
        <v>8</v>
      </c>
      <c r="G1679" s="15" t="s">
        <v>8</v>
      </c>
      <c r="J1679" s="15" t="s">
        <v>8</v>
      </c>
      <c r="K1679" s="15" t="s">
        <v>8</v>
      </c>
      <c r="L1679" s="15" t="s">
        <v>8</v>
      </c>
      <c r="O1679" s="15" t="s">
        <v>8</v>
      </c>
    </row>
    <row r="1680" spans="3:20" x14ac:dyDescent="0.35">
      <c r="C1680" s="15" t="s">
        <v>8</v>
      </c>
      <c r="D1680" s="15" t="s">
        <v>8</v>
      </c>
      <c r="G1680" s="15" t="s">
        <v>8</v>
      </c>
      <c r="J1680" s="15" t="s">
        <v>8</v>
      </c>
      <c r="K1680" s="15" t="s">
        <v>8</v>
      </c>
      <c r="L1680" s="15" t="s">
        <v>8</v>
      </c>
      <c r="N1680" s="19" t="str">
        <f>HYPERLINK("http://yeinfo.com/family/I09002580.html", "HENRY ABRAHAMS &lt;2&gt; 1610 FR-1674 EN ID:09002580")</f>
        <v>HENRY ABRAHAMS &lt;2&gt; 1610 FR-1674 EN ID:09002580</v>
      </c>
      <c r="O1680" s="9"/>
      <c r="P1680" s="9"/>
      <c r="Q1680" s="9"/>
      <c r="R1680" s="9"/>
    </row>
    <row r="1681" spans="3:26" x14ac:dyDescent="0.35">
      <c r="C1681" s="15" t="s">
        <v>8</v>
      </c>
      <c r="D1681" s="15" t="s">
        <v>8</v>
      </c>
      <c r="G1681" s="15" t="s">
        <v>8</v>
      </c>
      <c r="J1681" s="15" t="s">
        <v>8</v>
      </c>
      <c r="K1681" s="15" t="s">
        <v>8</v>
      </c>
      <c r="L1681" s="15" t="s">
        <v>8</v>
      </c>
      <c r="N1681" s="8" t="s">
        <v>3</v>
      </c>
      <c r="O1681" s="8" t="s">
        <v>6</v>
      </c>
    </row>
    <row r="1682" spans="3:26" x14ac:dyDescent="0.35">
      <c r="C1682" s="15" t="s">
        <v>8</v>
      </c>
      <c r="D1682" s="15" t="s">
        <v>8</v>
      </c>
      <c r="G1682" s="15" t="s">
        <v>8</v>
      </c>
      <c r="J1682" s="15" t="s">
        <v>8</v>
      </c>
      <c r="K1682" s="15" t="s">
        <v>8</v>
      </c>
      <c r="L1682" s="15" t="s">
        <v>8</v>
      </c>
      <c r="N1682" s="15" t="s">
        <v>8</v>
      </c>
      <c r="O1682" s="20" t="str">
        <f>HYPERLINK("http://yeinfo.com/family/I09005161.html", "CLAUDET MAGNIER &lt;2&gt; 1580 FR-1628 FR ID:09005161")</f>
        <v>CLAUDET MAGNIER &lt;2&gt; 1580 FR-1628 FR ID:09005161</v>
      </c>
      <c r="P1682" s="17"/>
      <c r="Q1682" s="17"/>
      <c r="R1682" s="17"/>
      <c r="S1682" s="17"/>
    </row>
    <row r="1683" spans="3:26" x14ac:dyDescent="0.35">
      <c r="C1683" s="15" t="s">
        <v>8</v>
      </c>
      <c r="D1683" s="15" t="s">
        <v>8</v>
      </c>
      <c r="G1683" s="15" t="s">
        <v>8</v>
      </c>
      <c r="J1683" s="15" t="s">
        <v>8</v>
      </c>
      <c r="K1683" s="15" t="s">
        <v>8</v>
      </c>
      <c r="L1683" s="15" t="s">
        <v>8</v>
      </c>
      <c r="N1683" s="15" t="s">
        <v>8</v>
      </c>
    </row>
    <row r="1684" spans="3:26" x14ac:dyDescent="0.35">
      <c r="C1684" s="15" t="s">
        <v>8</v>
      </c>
      <c r="D1684" s="15" t="s">
        <v>8</v>
      </c>
      <c r="G1684" s="15" t="s">
        <v>8</v>
      </c>
      <c r="J1684" s="15" t="s">
        <v>8</v>
      </c>
      <c r="K1684" s="15" t="s">
        <v>8</v>
      </c>
      <c r="L1684" s="15" t="s">
        <v>8</v>
      </c>
      <c r="M1684" s="21" t="str">
        <f>HYPERLINK("http://yeinfo.com/family/I09001290.html", "ISAAC JOSEPH ABRAHAMS &lt;2&gt; 1639 FR-1726 MD ID:09001290")</f>
        <v>ISAAC JOSEPH ABRAHAMS &lt;2&gt; 1639 FR-1726 MD ID:09001290</v>
      </c>
      <c r="N1684" s="6"/>
      <c r="O1684" s="6"/>
      <c r="P1684" s="6"/>
      <c r="Q1684" s="6"/>
    </row>
    <row r="1685" spans="3:26" x14ac:dyDescent="0.35">
      <c r="C1685" s="15" t="s">
        <v>8</v>
      </c>
      <c r="D1685" s="15" t="s">
        <v>8</v>
      </c>
      <c r="G1685" s="15" t="s">
        <v>8</v>
      </c>
      <c r="J1685" s="15" t="s">
        <v>8</v>
      </c>
      <c r="K1685" s="15" t="s">
        <v>8</v>
      </c>
      <c r="L1685" s="15" t="s">
        <v>8</v>
      </c>
      <c r="M1685" s="8" t="s">
        <v>3</v>
      </c>
      <c r="N1685" s="8" t="s">
        <v>6</v>
      </c>
    </row>
    <row r="1686" spans="3:26" x14ac:dyDescent="0.35">
      <c r="C1686" s="15" t="s">
        <v>8</v>
      </c>
      <c r="D1686" s="15" t="s">
        <v>8</v>
      </c>
      <c r="G1686" s="15" t="s">
        <v>8</v>
      </c>
      <c r="J1686" s="15" t="s">
        <v>8</v>
      </c>
      <c r="K1686" s="15" t="s">
        <v>8</v>
      </c>
      <c r="L1686" s="15" t="s">
        <v>8</v>
      </c>
      <c r="M1686" s="15" t="s">
        <v>8</v>
      </c>
      <c r="N1686" s="20" t="str">
        <f>HYPERLINK("http://yeinfo.com/family/I09002581.html", "ANNE HODGES &lt;2&gt; 1615 EN-1678 EN ID:09002581")</f>
        <v>ANNE HODGES &lt;2&gt; 1615 EN-1678 EN ID:09002581</v>
      </c>
      <c r="O1686" s="17"/>
      <c r="P1686" s="17"/>
      <c r="Q1686" s="17"/>
      <c r="R1686" s="17"/>
    </row>
    <row r="1687" spans="3:26" x14ac:dyDescent="0.35">
      <c r="C1687" s="15" t="s">
        <v>8</v>
      </c>
      <c r="D1687" s="15" t="s">
        <v>8</v>
      </c>
      <c r="G1687" s="15" t="s">
        <v>8</v>
      </c>
      <c r="J1687" s="15" t="s">
        <v>8</v>
      </c>
      <c r="K1687" s="15" t="s">
        <v>8</v>
      </c>
      <c r="L1687" s="8" t="s">
        <v>6</v>
      </c>
      <c r="M1687" s="15" t="s">
        <v>8</v>
      </c>
    </row>
    <row r="1688" spans="3:26" x14ac:dyDescent="0.35">
      <c r="C1688" s="15" t="s">
        <v>8</v>
      </c>
      <c r="D1688" s="15" t="s">
        <v>8</v>
      </c>
      <c r="G1688" s="15" t="s">
        <v>8</v>
      </c>
      <c r="J1688" s="15" t="s">
        <v>8</v>
      </c>
      <c r="K1688" s="15" t="s">
        <v>8</v>
      </c>
      <c r="L1688" s="16" t="str">
        <f>HYPERLINK("http://yeinfo.com/family/I09000645.html", "MARY ABRAHAMS &lt;2&gt; 1657 NY-1723 NY ID:09000645")</f>
        <v>MARY ABRAHAMS &lt;2&gt; 1657 NY-1723 NY ID:09000645</v>
      </c>
      <c r="M1688" s="11"/>
      <c r="N1688" s="11"/>
      <c r="O1688" s="11"/>
      <c r="P1688" s="11"/>
    </row>
    <row r="1689" spans="3:26" x14ac:dyDescent="0.35">
      <c r="C1689" s="15" t="s">
        <v>8</v>
      </c>
      <c r="D1689" s="15" t="s">
        <v>8</v>
      </c>
      <c r="G1689" s="15" t="s">
        <v>8</v>
      </c>
      <c r="J1689" s="15" t="s">
        <v>8</v>
      </c>
      <c r="K1689" s="15" t="s">
        <v>8</v>
      </c>
      <c r="M1689" s="8" t="s">
        <v>6</v>
      </c>
    </row>
    <row r="1690" spans="3:26" x14ac:dyDescent="0.35">
      <c r="C1690" s="15" t="s">
        <v>8</v>
      </c>
      <c r="D1690" s="15" t="s">
        <v>8</v>
      </c>
      <c r="G1690" s="15" t="s">
        <v>8</v>
      </c>
      <c r="J1690" s="15" t="s">
        <v>8</v>
      </c>
      <c r="K1690" s="15" t="s">
        <v>8</v>
      </c>
      <c r="M1690" s="16" t="str">
        <f>HYPERLINK("http://yeinfo.com/family/I09001291.html", "ELIZABETH REED &lt;2&gt; 1639 -1661 II ID:09001291")</f>
        <v>ELIZABETH REED &lt;2&gt; 1639 -1661 II ID:09001291</v>
      </c>
      <c r="N1690" s="11"/>
      <c r="O1690" s="11"/>
      <c r="P1690" s="11"/>
      <c r="Q1690" s="11"/>
    </row>
    <row r="1691" spans="3:26" x14ac:dyDescent="0.35">
      <c r="C1691" s="15" t="s">
        <v>8</v>
      </c>
      <c r="D1691" s="15" t="s">
        <v>8</v>
      </c>
      <c r="G1691" s="15" t="s">
        <v>8</v>
      </c>
      <c r="J1691" s="8" t="s">
        <v>6</v>
      </c>
      <c r="K1691" s="15" t="s">
        <v>8</v>
      </c>
    </row>
    <row r="1692" spans="3:26" x14ac:dyDescent="0.35">
      <c r="C1692" s="15" t="s">
        <v>8</v>
      </c>
      <c r="D1692" s="15" t="s">
        <v>8</v>
      </c>
      <c r="G1692" s="15" t="s">
        <v>8</v>
      </c>
      <c r="J1692" s="16" t="str">
        <f>HYPERLINK("http://yeinfo.com/family/I09000161.html", "HANNAH IRELAND &lt;2&gt; 1735 NY-1821 NY ID:09000161")</f>
        <v>HANNAH IRELAND &lt;2&gt; 1735 NY-1821 NY ID:09000161</v>
      </c>
      <c r="K1692" s="11"/>
      <c r="L1692" s="11"/>
      <c r="M1692" s="11"/>
      <c r="N1692" s="11"/>
    </row>
    <row r="1693" spans="3:26" x14ac:dyDescent="0.35">
      <c r="C1693" s="15" t="s">
        <v>8</v>
      </c>
      <c r="D1693" s="15" t="s">
        <v>8</v>
      </c>
      <c r="G1693" s="15" t="s">
        <v>8</v>
      </c>
      <c r="K1693" s="15" t="s">
        <v>8</v>
      </c>
    </row>
    <row r="1694" spans="3:26" x14ac:dyDescent="0.35">
      <c r="C1694" s="15" t="s">
        <v>8</v>
      </c>
      <c r="D1694" s="15" t="s">
        <v>8</v>
      </c>
      <c r="G1694" s="15" t="s">
        <v>8</v>
      </c>
      <c r="K1694" s="15" t="s">
        <v>8</v>
      </c>
      <c r="V1694" s="19" t="str">
        <f>HYPERLINK("http://yeinfo.com/family/I09065959.html", "HENRY FOWLER &lt;2&gt; 1380 EN-1400 EN ID:09065959")</f>
        <v>HENRY FOWLER &lt;2&gt; 1380 EN-1400 EN ID:09065959</v>
      </c>
      <c r="W1694" s="9"/>
      <c r="X1694" s="9"/>
      <c r="Y1694" s="9"/>
      <c r="Z1694" s="9"/>
    </row>
    <row r="1695" spans="3:26" x14ac:dyDescent="0.35">
      <c r="C1695" s="15" t="s">
        <v>8</v>
      </c>
      <c r="D1695" s="15" t="s">
        <v>8</v>
      </c>
      <c r="G1695" s="15" t="s">
        <v>8</v>
      </c>
      <c r="K1695" s="15" t="s">
        <v>8</v>
      </c>
      <c r="V1695" s="8" t="s">
        <v>3</v>
      </c>
    </row>
    <row r="1696" spans="3:26" x14ac:dyDescent="0.35">
      <c r="C1696" s="15" t="s">
        <v>8</v>
      </c>
      <c r="D1696" s="15" t="s">
        <v>8</v>
      </c>
      <c r="G1696" s="15" t="s">
        <v>8</v>
      </c>
      <c r="K1696" s="15" t="s">
        <v>8</v>
      </c>
      <c r="U1696" s="19" t="str">
        <f>HYPERLINK("http://yeinfo.com/family/I09065807.html", "WILLIAM FOWLER &lt;2&gt; 1400 EN-1452 EN ID:09065807")</f>
        <v>WILLIAM FOWLER &lt;2&gt; 1400 EN-1452 EN ID:09065807</v>
      </c>
      <c r="V1696" s="9"/>
      <c r="W1696" s="9"/>
      <c r="X1696" s="9"/>
      <c r="Y1696" s="9"/>
    </row>
    <row r="1697" spans="3:27" x14ac:dyDescent="0.35">
      <c r="C1697" s="15" t="s">
        <v>8</v>
      </c>
      <c r="D1697" s="15" t="s">
        <v>8</v>
      </c>
      <c r="G1697" s="15" t="s">
        <v>8</v>
      </c>
      <c r="K1697" s="15" t="s">
        <v>8</v>
      </c>
      <c r="U1697" s="8" t="s">
        <v>3</v>
      </c>
      <c r="V1697" s="8" t="s">
        <v>6</v>
      </c>
    </row>
    <row r="1698" spans="3:27" x14ac:dyDescent="0.35">
      <c r="C1698" s="15" t="s">
        <v>8</v>
      </c>
      <c r="D1698" s="15" t="s">
        <v>8</v>
      </c>
      <c r="G1698" s="15" t="s">
        <v>8</v>
      </c>
      <c r="K1698" s="15" t="s">
        <v>8</v>
      </c>
      <c r="U1698" s="15" t="s">
        <v>8</v>
      </c>
      <c r="V1698" s="20" t="str">
        <f>HYPERLINK("http://yeinfo.com/family/I09065960.html", "ISABEL ELIZABETH BARTON &lt;2&gt; 1382 EN-1405 EN ID:09065960")</f>
        <v>ISABEL ELIZABETH BARTON &lt;2&gt; 1382 EN-1405 EN ID:09065960</v>
      </c>
      <c r="W1698" s="17"/>
      <c r="X1698" s="17"/>
      <c r="Y1698" s="17"/>
      <c r="Z1698" s="17"/>
    </row>
    <row r="1699" spans="3:27" x14ac:dyDescent="0.35">
      <c r="C1699" s="15" t="s">
        <v>8</v>
      </c>
      <c r="D1699" s="15" t="s">
        <v>8</v>
      </c>
      <c r="G1699" s="15" t="s">
        <v>8</v>
      </c>
      <c r="K1699" s="15" t="s">
        <v>8</v>
      </c>
      <c r="U1699" s="15" t="s">
        <v>8</v>
      </c>
    </row>
    <row r="1700" spans="3:27" x14ac:dyDescent="0.35">
      <c r="C1700" s="15" t="s">
        <v>8</v>
      </c>
      <c r="D1700" s="15" t="s">
        <v>8</v>
      </c>
      <c r="G1700" s="15" t="s">
        <v>8</v>
      </c>
      <c r="K1700" s="15" t="s">
        <v>8</v>
      </c>
      <c r="T1700" s="19" t="str">
        <f>HYPERLINK("http://yeinfo.com/family/I09065682.html", "RICHARD FOWLER &lt;2&gt; 1425 EN-1477 EN ID:09065682")</f>
        <v>RICHARD FOWLER &lt;2&gt; 1425 EN-1477 EN ID:09065682</v>
      </c>
      <c r="U1700" s="9"/>
      <c r="V1700" s="9"/>
      <c r="W1700" s="9"/>
      <c r="X1700" s="9"/>
    </row>
    <row r="1701" spans="3:27" x14ac:dyDescent="0.35">
      <c r="C1701" s="15" t="s">
        <v>8</v>
      </c>
      <c r="D1701" s="15" t="s">
        <v>8</v>
      </c>
      <c r="G1701" s="15" t="s">
        <v>8</v>
      </c>
      <c r="K1701" s="15" t="s">
        <v>8</v>
      </c>
      <c r="T1701" s="8" t="s">
        <v>3</v>
      </c>
      <c r="U1701" s="15" t="s">
        <v>8</v>
      </c>
    </row>
    <row r="1702" spans="3:27" x14ac:dyDescent="0.35">
      <c r="C1702" s="15" t="s">
        <v>8</v>
      </c>
      <c r="D1702" s="15" t="s">
        <v>8</v>
      </c>
      <c r="G1702" s="15" t="s">
        <v>8</v>
      </c>
      <c r="K1702" s="15" t="s">
        <v>8</v>
      </c>
      <c r="T1702" s="15" t="s">
        <v>8</v>
      </c>
      <c r="U1702" s="15" t="s">
        <v>8</v>
      </c>
      <c r="W1702" s="19" t="str">
        <f>HYPERLINK("http://yeinfo.com/family/I09066135.html", "PHILIP ENGLEFIELD &lt;2&gt; 1348 EN-1380 EN ID:09066135")</f>
        <v>PHILIP ENGLEFIELD &lt;2&gt; 1348 EN-1380 EN ID:09066135</v>
      </c>
      <c r="X1702" s="9"/>
      <c r="Y1702" s="9"/>
      <c r="Z1702" s="9"/>
      <c r="AA1702" s="9"/>
    </row>
    <row r="1703" spans="3:27" x14ac:dyDescent="0.35">
      <c r="C1703" s="15" t="s">
        <v>8</v>
      </c>
      <c r="D1703" s="15" t="s">
        <v>8</v>
      </c>
      <c r="G1703" s="15" t="s">
        <v>8</v>
      </c>
      <c r="K1703" s="15" t="s">
        <v>8</v>
      </c>
      <c r="T1703" s="15" t="s">
        <v>8</v>
      </c>
      <c r="U1703" s="15" t="s">
        <v>8</v>
      </c>
      <c r="W1703" s="8" t="s">
        <v>3</v>
      </c>
    </row>
    <row r="1704" spans="3:27" x14ac:dyDescent="0.35">
      <c r="C1704" s="15" t="s">
        <v>8</v>
      </c>
      <c r="D1704" s="15" t="s">
        <v>8</v>
      </c>
      <c r="G1704" s="15" t="s">
        <v>8</v>
      </c>
      <c r="K1704" s="15" t="s">
        <v>8</v>
      </c>
      <c r="T1704" s="15" t="s">
        <v>8</v>
      </c>
      <c r="U1704" s="15" t="s">
        <v>8</v>
      </c>
      <c r="V1704" s="19" t="str">
        <f>HYPERLINK("http://yeinfo.com/family/I09065961.html", "NICHOLAS ENGLEFIELD &lt;2&gt; 1378 EN-1415 EN ID:09065961")</f>
        <v>NICHOLAS ENGLEFIELD &lt;2&gt; 1378 EN-1415 EN ID:09065961</v>
      </c>
      <c r="W1704" s="9"/>
      <c r="X1704" s="9"/>
      <c r="Y1704" s="9"/>
      <c r="Z1704" s="9"/>
    </row>
    <row r="1705" spans="3:27" x14ac:dyDescent="0.35">
      <c r="C1705" s="15" t="s">
        <v>8</v>
      </c>
      <c r="D1705" s="15" t="s">
        <v>8</v>
      </c>
      <c r="G1705" s="15" t="s">
        <v>8</v>
      </c>
      <c r="K1705" s="15" t="s">
        <v>8</v>
      </c>
      <c r="T1705" s="15" t="s">
        <v>8</v>
      </c>
      <c r="U1705" s="15" t="s">
        <v>8</v>
      </c>
      <c r="V1705" s="8" t="s">
        <v>3</v>
      </c>
      <c r="W1705" s="8" t="s">
        <v>6</v>
      </c>
    </row>
    <row r="1706" spans="3:27" x14ac:dyDescent="0.35">
      <c r="C1706" s="15" t="s">
        <v>8</v>
      </c>
      <c r="D1706" s="15" t="s">
        <v>8</v>
      </c>
      <c r="G1706" s="15" t="s">
        <v>8</v>
      </c>
      <c r="K1706" s="15" t="s">
        <v>8</v>
      </c>
      <c r="T1706" s="15" t="s">
        <v>8</v>
      </c>
      <c r="U1706" s="15" t="s">
        <v>8</v>
      </c>
      <c r="V1706" s="15" t="s">
        <v>8</v>
      </c>
      <c r="W1706" s="20" t="str">
        <f>HYPERLINK("http://yeinfo.com/family/I09066136.html", "JOHANNE BURNET &lt;2&gt; 1352 EN-1378 EN ID:09066136")</f>
        <v>JOHANNE BURNET &lt;2&gt; 1352 EN-1378 EN ID:09066136</v>
      </c>
      <c r="X1706" s="17"/>
      <c r="Y1706" s="17"/>
      <c r="Z1706" s="17"/>
      <c r="AA1706" s="17"/>
    </row>
    <row r="1707" spans="3:27" x14ac:dyDescent="0.35">
      <c r="C1707" s="15" t="s">
        <v>8</v>
      </c>
      <c r="D1707" s="15" t="s">
        <v>8</v>
      </c>
      <c r="G1707" s="15" t="s">
        <v>8</v>
      </c>
      <c r="K1707" s="15" t="s">
        <v>8</v>
      </c>
      <c r="T1707" s="15" t="s">
        <v>8</v>
      </c>
      <c r="U1707" s="8" t="s">
        <v>6</v>
      </c>
      <c r="V1707" s="15" t="s">
        <v>8</v>
      </c>
    </row>
    <row r="1708" spans="3:27" x14ac:dyDescent="0.35">
      <c r="C1708" s="15" t="s">
        <v>8</v>
      </c>
      <c r="D1708" s="15" t="s">
        <v>8</v>
      </c>
      <c r="G1708" s="15" t="s">
        <v>8</v>
      </c>
      <c r="K1708" s="15" t="s">
        <v>8</v>
      </c>
      <c r="T1708" s="15" t="s">
        <v>8</v>
      </c>
      <c r="U1708" s="20" t="str">
        <f>HYPERLINK("http://yeinfo.com/family/I09065808.html", "CECILY ENGLEFIELD &lt;2&gt; 1403 EN-1425 EN ID:09065808")</f>
        <v>CECILY ENGLEFIELD &lt;2&gt; 1403 EN-1425 EN ID:09065808</v>
      </c>
      <c r="V1708" s="17"/>
      <c r="W1708" s="17"/>
      <c r="X1708" s="17"/>
      <c r="Y1708" s="17"/>
    </row>
    <row r="1709" spans="3:27" x14ac:dyDescent="0.35">
      <c r="C1709" s="15" t="s">
        <v>8</v>
      </c>
      <c r="D1709" s="15" t="s">
        <v>8</v>
      </c>
      <c r="G1709" s="15" t="s">
        <v>8</v>
      </c>
      <c r="K1709" s="15" t="s">
        <v>8</v>
      </c>
      <c r="T1709" s="15" t="s">
        <v>8</v>
      </c>
      <c r="V1709" s="15" t="s">
        <v>8</v>
      </c>
    </row>
    <row r="1710" spans="3:27" x14ac:dyDescent="0.35">
      <c r="C1710" s="15" t="s">
        <v>8</v>
      </c>
      <c r="D1710" s="15" t="s">
        <v>8</v>
      </c>
      <c r="G1710" s="15" t="s">
        <v>8</v>
      </c>
      <c r="K1710" s="15" t="s">
        <v>8</v>
      </c>
      <c r="T1710" s="15" t="s">
        <v>8</v>
      </c>
      <c r="V1710" s="15" t="s">
        <v>8</v>
      </c>
      <c r="W1710" s="19" t="str">
        <f>HYPERLINK("http://yeinfo.com/family/I09066137.html", "NICHOLAS RYCOTE &lt;2&gt; 1358 EN-1412 EN ID:09066137")</f>
        <v>NICHOLAS RYCOTE &lt;2&gt; 1358 EN-1412 EN ID:09066137</v>
      </c>
      <c r="X1710" s="9"/>
      <c r="Y1710" s="9"/>
      <c r="Z1710" s="9"/>
      <c r="AA1710" s="9"/>
    </row>
    <row r="1711" spans="3:27" x14ac:dyDescent="0.35">
      <c r="C1711" s="15" t="s">
        <v>8</v>
      </c>
      <c r="D1711" s="15" t="s">
        <v>8</v>
      </c>
      <c r="G1711" s="15" t="s">
        <v>8</v>
      </c>
      <c r="K1711" s="15" t="s">
        <v>8</v>
      </c>
      <c r="T1711" s="15" t="s">
        <v>8</v>
      </c>
      <c r="V1711" s="8" t="s">
        <v>6</v>
      </c>
      <c r="W1711" s="8" t="s">
        <v>3</v>
      </c>
    </row>
    <row r="1712" spans="3:27" x14ac:dyDescent="0.35">
      <c r="C1712" s="15" t="s">
        <v>8</v>
      </c>
      <c r="D1712" s="15" t="s">
        <v>8</v>
      </c>
      <c r="G1712" s="15" t="s">
        <v>8</v>
      </c>
      <c r="K1712" s="15" t="s">
        <v>8</v>
      </c>
      <c r="T1712" s="15" t="s">
        <v>8</v>
      </c>
      <c r="V1712" s="20" t="str">
        <f>HYPERLINK("http://yeinfo.com/family/I09065962.html", "JOAN\JOHANNA RYCOTE &lt;2&gt; 1378 EN-1403 EN ID:09065962")</f>
        <v>JOAN\JOHANNA RYCOTE &lt;2&gt; 1378 EN-1403 EN ID:09065962</v>
      </c>
      <c r="W1712" s="17"/>
      <c r="X1712" s="17"/>
      <c r="Y1712" s="17"/>
      <c r="Z1712" s="17"/>
      <c r="AA1712" s="17"/>
    </row>
    <row r="1713" spans="3:28" x14ac:dyDescent="0.35">
      <c r="C1713" s="15" t="s">
        <v>8</v>
      </c>
      <c r="D1713" s="15" t="s">
        <v>8</v>
      </c>
      <c r="G1713" s="15" t="s">
        <v>8</v>
      </c>
      <c r="K1713" s="15" t="s">
        <v>8</v>
      </c>
      <c r="T1713" s="15" t="s">
        <v>8</v>
      </c>
      <c r="W1713" s="8" t="s">
        <v>6</v>
      </c>
    </row>
    <row r="1714" spans="3:28" x14ac:dyDescent="0.35">
      <c r="C1714" s="15" t="s">
        <v>8</v>
      </c>
      <c r="D1714" s="15" t="s">
        <v>8</v>
      </c>
      <c r="G1714" s="15" t="s">
        <v>8</v>
      </c>
      <c r="K1714" s="15" t="s">
        <v>8</v>
      </c>
      <c r="T1714" s="15" t="s">
        <v>8</v>
      </c>
      <c r="W1714" s="20" t="str">
        <f>HYPERLINK("http://yeinfo.com/family/I09066138.html", "KATHERINE CLARKE &lt;2&gt; 1350 EN-1378 EN ID:09066138")</f>
        <v>KATHERINE CLARKE &lt;2&gt; 1350 EN-1378 EN ID:09066138</v>
      </c>
      <c r="X1714" s="17"/>
      <c r="Y1714" s="17"/>
      <c r="Z1714" s="17"/>
      <c r="AA1714" s="17"/>
    </row>
    <row r="1715" spans="3:28" x14ac:dyDescent="0.35">
      <c r="C1715" s="15" t="s">
        <v>8</v>
      </c>
      <c r="D1715" s="15" t="s">
        <v>8</v>
      </c>
      <c r="G1715" s="15" t="s">
        <v>8</v>
      </c>
      <c r="K1715" s="15" t="s">
        <v>8</v>
      </c>
      <c r="T1715" s="15" t="s">
        <v>8</v>
      </c>
    </row>
    <row r="1716" spans="3:28" x14ac:dyDescent="0.35">
      <c r="C1716" s="15" t="s">
        <v>8</v>
      </c>
      <c r="D1716" s="15" t="s">
        <v>8</v>
      </c>
      <c r="G1716" s="15" t="s">
        <v>8</v>
      </c>
      <c r="K1716" s="15" t="s">
        <v>8</v>
      </c>
      <c r="S1716" s="19" t="str">
        <f>HYPERLINK("http://yeinfo.com/family/I09065545.html", "RICHARD FOWLER &lt;2&gt; 1466 EN-1504 EN ID:09065545")</f>
        <v>RICHARD FOWLER &lt;2&gt; 1466 EN-1504 EN ID:09065545</v>
      </c>
      <c r="T1716" s="9"/>
      <c r="U1716" s="9"/>
      <c r="V1716" s="9"/>
      <c r="W1716" s="9"/>
    </row>
    <row r="1717" spans="3:28" x14ac:dyDescent="0.35">
      <c r="C1717" s="15" t="s">
        <v>8</v>
      </c>
      <c r="D1717" s="15" t="s">
        <v>8</v>
      </c>
      <c r="G1717" s="15" t="s">
        <v>8</v>
      </c>
      <c r="K1717" s="15" t="s">
        <v>8</v>
      </c>
      <c r="S1717" s="8" t="s">
        <v>3</v>
      </c>
      <c r="T1717" s="15" t="s">
        <v>8</v>
      </c>
    </row>
    <row r="1718" spans="3:28" x14ac:dyDescent="0.35">
      <c r="C1718" s="15" t="s">
        <v>8</v>
      </c>
      <c r="D1718" s="15" t="s">
        <v>8</v>
      </c>
      <c r="G1718" s="15" t="s">
        <v>8</v>
      </c>
      <c r="K1718" s="15" t="s">
        <v>8</v>
      </c>
      <c r="S1718" s="15" t="s">
        <v>8</v>
      </c>
      <c r="T1718" s="15" t="s">
        <v>8</v>
      </c>
      <c r="X1718" s="19" t="str">
        <f>HYPERLINK("http://yeinfo.com/family/I09066319.html", "SIMON DANVERS &lt;3&gt; 1256 EN-1331 EN ID:09066319")</f>
        <v>SIMON DANVERS &lt;3&gt; 1256 EN-1331 EN ID:09066319</v>
      </c>
      <c r="Y1718" s="9"/>
      <c r="Z1718" s="9"/>
      <c r="AA1718" s="9"/>
      <c r="AB1718" s="9"/>
    </row>
    <row r="1719" spans="3:28" x14ac:dyDescent="0.35">
      <c r="C1719" s="15" t="s">
        <v>8</v>
      </c>
      <c r="D1719" s="15" t="s">
        <v>8</v>
      </c>
      <c r="G1719" s="15" t="s">
        <v>8</v>
      </c>
      <c r="K1719" s="15" t="s">
        <v>8</v>
      </c>
      <c r="S1719" s="15" t="s">
        <v>8</v>
      </c>
      <c r="T1719" s="15" t="s">
        <v>8</v>
      </c>
      <c r="X1719" s="8" t="s">
        <v>3</v>
      </c>
    </row>
    <row r="1720" spans="3:28" x14ac:dyDescent="0.35">
      <c r="C1720" s="15" t="s">
        <v>8</v>
      </c>
      <c r="D1720" s="15" t="s">
        <v>8</v>
      </c>
      <c r="G1720" s="15" t="s">
        <v>8</v>
      </c>
      <c r="K1720" s="15" t="s">
        <v>8</v>
      </c>
      <c r="S1720" s="15" t="s">
        <v>8</v>
      </c>
      <c r="T1720" s="15" t="s">
        <v>8</v>
      </c>
      <c r="W1720" s="19" t="str">
        <f>HYPERLINK("http://yeinfo.com/family/I09066139.html", "JOHN DANVERS &lt;3&gt; 1295 EN-1347 EN ID:09066139")</f>
        <v>JOHN DANVERS &lt;3&gt; 1295 EN-1347 EN ID:09066139</v>
      </c>
      <c r="X1720" s="9"/>
      <c r="Y1720" s="9"/>
      <c r="Z1720" s="9"/>
      <c r="AA1720" s="9"/>
    </row>
    <row r="1721" spans="3:28" x14ac:dyDescent="0.35">
      <c r="C1721" s="15" t="s">
        <v>8</v>
      </c>
      <c r="D1721" s="15" t="s">
        <v>8</v>
      </c>
      <c r="G1721" s="15" t="s">
        <v>8</v>
      </c>
      <c r="K1721" s="15" t="s">
        <v>8</v>
      </c>
      <c r="S1721" s="15" t="s">
        <v>8</v>
      </c>
      <c r="T1721" s="15" t="s">
        <v>8</v>
      </c>
      <c r="W1721" s="8" t="s">
        <v>3</v>
      </c>
      <c r="X1721" s="8" t="s">
        <v>6</v>
      </c>
    </row>
    <row r="1722" spans="3:28" x14ac:dyDescent="0.35">
      <c r="C1722" s="15" t="s">
        <v>8</v>
      </c>
      <c r="D1722" s="15" t="s">
        <v>8</v>
      </c>
      <c r="G1722" s="15" t="s">
        <v>8</v>
      </c>
      <c r="K1722" s="15" t="s">
        <v>8</v>
      </c>
      <c r="S1722" s="15" t="s">
        <v>8</v>
      </c>
      <c r="T1722" s="15" t="s">
        <v>8</v>
      </c>
      <c r="W1722" s="15" t="s">
        <v>8</v>
      </c>
      <c r="X1722" s="20" t="str">
        <f>HYPERLINK("http://yeinfo.com/family/I09066320.html", "ALICE COOK &lt;3&gt; 1262 EN-1364 EN ID:09066320")</f>
        <v>ALICE COOK &lt;3&gt; 1262 EN-1364 EN ID:09066320</v>
      </c>
      <c r="Y1722" s="17"/>
      <c r="Z1722" s="17"/>
      <c r="AA1722" s="17"/>
      <c r="AB1722" s="17"/>
    </row>
    <row r="1723" spans="3:28" x14ac:dyDescent="0.35">
      <c r="C1723" s="15" t="s">
        <v>8</v>
      </c>
      <c r="D1723" s="15" t="s">
        <v>8</v>
      </c>
      <c r="G1723" s="15" t="s">
        <v>8</v>
      </c>
      <c r="K1723" s="15" t="s">
        <v>8</v>
      </c>
      <c r="S1723" s="15" t="s">
        <v>8</v>
      </c>
      <c r="T1723" s="15" t="s">
        <v>8</v>
      </c>
      <c r="W1723" s="15" t="s">
        <v>8</v>
      </c>
    </row>
    <row r="1724" spans="3:28" x14ac:dyDescent="0.35">
      <c r="C1724" s="15" t="s">
        <v>8</v>
      </c>
      <c r="D1724" s="15" t="s">
        <v>8</v>
      </c>
      <c r="G1724" s="15" t="s">
        <v>8</v>
      </c>
      <c r="K1724" s="15" t="s">
        <v>8</v>
      </c>
      <c r="S1724" s="15" t="s">
        <v>8</v>
      </c>
      <c r="T1724" s="15" t="s">
        <v>8</v>
      </c>
      <c r="V1724" s="19" t="str">
        <f>HYPERLINK("http://yeinfo.com/family/I09065963.html", "RICHARD DANVERS &lt;3&gt; 1330 EN-1409 EN ID:09065963")</f>
        <v>RICHARD DANVERS &lt;3&gt; 1330 EN-1409 EN ID:09065963</v>
      </c>
      <c r="W1724" s="9"/>
      <c r="X1724" s="9"/>
      <c r="Y1724" s="9"/>
      <c r="Z1724" s="9"/>
    </row>
    <row r="1725" spans="3:28" x14ac:dyDescent="0.35">
      <c r="C1725" s="15" t="s">
        <v>8</v>
      </c>
      <c r="D1725" s="15" t="s">
        <v>8</v>
      </c>
      <c r="G1725" s="15" t="s">
        <v>8</v>
      </c>
      <c r="K1725" s="15" t="s">
        <v>8</v>
      </c>
      <c r="S1725" s="15" t="s">
        <v>8</v>
      </c>
      <c r="T1725" s="15" t="s">
        <v>8</v>
      </c>
      <c r="V1725" s="8" t="s">
        <v>3</v>
      </c>
      <c r="W1725" s="8" t="s">
        <v>6</v>
      </c>
    </row>
    <row r="1726" spans="3:28" x14ac:dyDescent="0.35">
      <c r="C1726" s="15" t="s">
        <v>8</v>
      </c>
      <c r="D1726" s="15" t="s">
        <v>8</v>
      </c>
      <c r="G1726" s="15" t="s">
        <v>8</v>
      </c>
      <c r="K1726" s="15" t="s">
        <v>8</v>
      </c>
      <c r="S1726" s="15" t="s">
        <v>8</v>
      </c>
      <c r="T1726" s="15" t="s">
        <v>8</v>
      </c>
      <c r="V1726" s="15" t="s">
        <v>8</v>
      </c>
      <c r="W1726" s="20" t="str">
        <f>HYPERLINK("http://yeinfo.com/family/I09066140.html", "ISABEL LEE &lt;3&gt; 1310 EN-1330 EN ID:09066140")</f>
        <v>ISABEL LEE &lt;3&gt; 1310 EN-1330 EN ID:09066140</v>
      </c>
      <c r="X1726" s="17"/>
      <c r="Y1726" s="17"/>
      <c r="Z1726" s="17"/>
      <c r="AA1726" s="17"/>
    </row>
    <row r="1727" spans="3:28" x14ac:dyDescent="0.35">
      <c r="C1727" s="15" t="s">
        <v>8</v>
      </c>
      <c r="D1727" s="15" t="s">
        <v>8</v>
      </c>
      <c r="G1727" s="15" t="s">
        <v>8</v>
      </c>
      <c r="K1727" s="15" t="s">
        <v>8</v>
      </c>
      <c r="S1727" s="15" t="s">
        <v>8</v>
      </c>
      <c r="T1727" s="15" t="s">
        <v>8</v>
      </c>
      <c r="V1727" s="15" t="s">
        <v>8</v>
      </c>
    </row>
    <row r="1728" spans="3:28" x14ac:dyDescent="0.35">
      <c r="C1728" s="15" t="s">
        <v>8</v>
      </c>
      <c r="D1728" s="15" t="s">
        <v>8</v>
      </c>
      <c r="G1728" s="15" t="s">
        <v>8</v>
      </c>
      <c r="K1728" s="15" t="s">
        <v>8</v>
      </c>
      <c r="S1728" s="15" t="s">
        <v>8</v>
      </c>
      <c r="T1728" s="15" t="s">
        <v>8</v>
      </c>
      <c r="U1728" s="19" t="str">
        <f>HYPERLINK("http://yeinfo.com/family/I09065809.html", "JOHN DANVERS &lt;3&gt; 1390 EN-1449 EN ID:09065809")</f>
        <v>JOHN DANVERS &lt;3&gt; 1390 EN-1449 EN ID:09065809</v>
      </c>
      <c r="V1728" s="9"/>
      <c r="W1728" s="9"/>
      <c r="X1728" s="9"/>
      <c r="Y1728" s="9"/>
    </row>
    <row r="1729" spans="3:28" x14ac:dyDescent="0.35">
      <c r="C1729" s="15" t="s">
        <v>8</v>
      </c>
      <c r="D1729" s="15" t="s">
        <v>8</v>
      </c>
      <c r="G1729" s="15" t="s">
        <v>8</v>
      </c>
      <c r="K1729" s="15" t="s">
        <v>8</v>
      </c>
      <c r="S1729" s="15" t="s">
        <v>8</v>
      </c>
      <c r="T1729" s="15" t="s">
        <v>8</v>
      </c>
      <c r="U1729" s="8" t="s">
        <v>3</v>
      </c>
      <c r="V1729" s="15" t="s">
        <v>8</v>
      </c>
    </row>
    <row r="1730" spans="3:28" x14ac:dyDescent="0.35">
      <c r="C1730" s="15" t="s">
        <v>8</v>
      </c>
      <c r="D1730" s="15" t="s">
        <v>8</v>
      </c>
      <c r="G1730" s="15" t="s">
        <v>8</v>
      </c>
      <c r="K1730" s="15" t="s">
        <v>8</v>
      </c>
      <c r="S1730" s="15" t="s">
        <v>8</v>
      </c>
      <c r="T1730" s="15" t="s">
        <v>8</v>
      </c>
      <c r="U1730" s="15" t="s">
        <v>8</v>
      </c>
      <c r="V1730" s="15" t="s">
        <v>8</v>
      </c>
      <c r="W1730" s="19" t="str">
        <f>HYPERLINK("http://yeinfo.com/family/I09066141.html", "JOHN\RICHARD BRANCESTRE &lt;3&gt; 1340 EN-1392 EN ID:09066141")</f>
        <v>JOHN\RICHARD BRANCESTRE &lt;3&gt; 1340 EN-1392 EN ID:09066141</v>
      </c>
      <c r="X1730" s="9"/>
      <c r="Y1730" s="9"/>
      <c r="Z1730" s="9"/>
      <c r="AA1730" s="9"/>
      <c r="AB1730" s="9"/>
    </row>
    <row r="1731" spans="3:28" x14ac:dyDescent="0.35">
      <c r="C1731" s="15" t="s">
        <v>8</v>
      </c>
      <c r="D1731" s="15" t="s">
        <v>8</v>
      </c>
      <c r="G1731" s="15" t="s">
        <v>8</v>
      </c>
      <c r="K1731" s="15" t="s">
        <v>8</v>
      </c>
      <c r="S1731" s="15" t="s">
        <v>8</v>
      </c>
      <c r="T1731" s="15" t="s">
        <v>8</v>
      </c>
      <c r="U1731" s="15" t="s">
        <v>8</v>
      </c>
      <c r="V1731" s="8" t="s">
        <v>6</v>
      </c>
      <c r="W1731" s="8" t="s">
        <v>3</v>
      </c>
    </row>
    <row r="1732" spans="3:28" x14ac:dyDescent="0.35">
      <c r="C1732" s="15" t="s">
        <v>8</v>
      </c>
      <c r="D1732" s="15" t="s">
        <v>8</v>
      </c>
      <c r="G1732" s="15" t="s">
        <v>8</v>
      </c>
      <c r="K1732" s="15" t="s">
        <v>8</v>
      </c>
      <c r="S1732" s="15" t="s">
        <v>8</v>
      </c>
      <c r="T1732" s="15" t="s">
        <v>8</v>
      </c>
      <c r="U1732" s="15" t="s">
        <v>8</v>
      </c>
      <c r="V1732" s="20" t="str">
        <f>HYPERLINK("http://yeinfo.com/family/I09065964.html", "AGNES BRANCESTRE &lt;3&gt; 1365 EN-1394 EN ID:09065964")</f>
        <v>AGNES BRANCESTRE &lt;3&gt; 1365 EN-1394 EN ID:09065964</v>
      </c>
      <c r="W1732" s="17"/>
      <c r="X1732" s="17"/>
      <c r="Y1732" s="17"/>
      <c r="Z1732" s="17"/>
    </row>
    <row r="1733" spans="3:28" x14ac:dyDescent="0.35">
      <c r="C1733" s="15" t="s">
        <v>8</v>
      </c>
      <c r="D1733" s="15" t="s">
        <v>8</v>
      </c>
      <c r="G1733" s="15" t="s">
        <v>8</v>
      </c>
      <c r="K1733" s="15" t="s">
        <v>8</v>
      </c>
      <c r="S1733" s="15" t="s">
        <v>8</v>
      </c>
      <c r="T1733" s="15" t="s">
        <v>8</v>
      </c>
      <c r="U1733" s="15" t="s">
        <v>8</v>
      </c>
      <c r="W1733" s="8" t="s">
        <v>6</v>
      </c>
    </row>
    <row r="1734" spans="3:28" x14ac:dyDescent="0.35">
      <c r="C1734" s="15" t="s">
        <v>8</v>
      </c>
      <c r="D1734" s="15" t="s">
        <v>8</v>
      </c>
      <c r="G1734" s="15" t="s">
        <v>8</v>
      </c>
      <c r="K1734" s="15" t="s">
        <v>8</v>
      </c>
      <c r="S1734" s="15" t="s">
        <v>8</v>
      </c>
      <c r="T1734" s="15" t="s">
        <v>8</v>
      </c>
      <c r="U1734" s="15" t="s">
        <v>8</v>
      </c>
      <c r="W1734" s="20" t="str">
        <f>HYPERLINK("http://yeinfo.com/family/I09066142.html", "MARGARET\AGNES MILE &lt;3&gt; 1330 EN-1374 EN ID:09066142")</f>
        <v>MARGARET\AGNES MILE &lt;3&gt; 1330 EN-1374 EN ID:09066142</v>
      </c>
      <c r="X1734" s="17"/>
      <c r="Y1734" s="17"/>
      <c r="Z1734" s="17"/>
      <c r="AA1734" s="17"/>
      <c r="AB1734" s="17"/>
    </row>
    <row r="1735" spans="3:28" x14ac:dyDescent="0.35">
      <c r="C1735" s="15" t="s">
        <v>8</v>
      </c>
      <c r="D1735" s="15" t="s">
        <v>8</v>
      </c>
      <c r="G1735" s="15" t="s">
        <v>8</v>
      </c>
      <c r="K1735" s="15" t="s">
        <v>8</v>
      </c>
      <c r="S1735" s="15" t="s">
        <v>8</v>
      </c>
      <c r="T1735" s="8" t="s">
        <v>6</v>
      </c>
      <c r="U1735" s="15" t="s">
        <v>8</v>
      </c>
    </row>
    <row r="1736" spans="3:28" x14ac:dyDescent="0.35">
      <c r="C1736" s="15" t="s">
        <v>8</v>
      </c>
      <c r="D1736" s="15" t="s">
        <v>8</v>
      </c>
      <c r="G1736" s="15" t="s">
        <v>8</v>
      </c>
      <c r="K1736" s="15" t="s">
        <v>8</v>
      </c>
      <c r="S1736" s="15" t="s">
        <v>8</v>
      </c>
      <c r="T1736" s="20" t="str">
        <f>HYPERLINK("http://yeinfo.com/family/I09065683.html", "JOAN DANVERS &lt;2&gt; 1422 EN-1505 EN ID:09065683")</f>
        <v>JOAN DANVERS &lt;2&gt; 1422 EN-1505 EN ID:09065683</v>
      </c>
      <c r="U1736" s="17"/>
      <c r="V1736" s="17"/>
      <c r="W1736" s="17"/>
      <c r="X1736" s="17"/>
    </row>
    <row r="1737" spans="3:28" x14ac:dyDescent="0.35">
      <c r="C1737" s="15" t="s">
        <v>8</v>
      </c>
      <c r="D1737" s="15" t="s">
        <v>8</v>
      </c>
      <c r="G1737" s="15" t="s">
        <v>8</v>
      </c>
      <c r="K1737" s="15" t="s">
        <v>8</v>
      </c>
      <c r="S1737" s="15" t="s">
        <v>8</v>
      </c>
      <c r="U1737" s="15" t="s">
        <v>8</v>
      </c>
    </row>
    <row r="1738" spans="3:28" x14ac:dyDescent="0.35">
      <c r="C1738" s="15" t="s">
        <v>8</v>
      </c>
      <c r="D1738" s="15" t="s">
        <v>8</v>
      </c>
      <c r="G1738" s="15" t="s">
        <v>8</v>
      </c>
      <c r="K1738" s="15" t="s">
        <v>8</v>
      </c>
      <c r="S1738" s="15" t="s">
        <v>8</v>
      </c>
      <c r="U1738" s="15" t="s">
        <v>8</v>
      </c>
      <c r="W1738" s="19" t="str">
        <f>HYPERLINK("http://yeinfo.com/family/I09066143.html", "WILLIAM BRULEY &lt;2&gt; 1348 EN-1436 EN ID:09066143")</f>
        <v>WILLIAM BRULEY &lt;2&gt; 1348 EN-1436 EN ID:09066143</v>
      </c>
      <c r="X1738" s="9"/>
      <c r="Y1738" s="9"/>
      <c r="Z1738" s="9"/>
      <c r="AA1738" s="9"/>
    </row>
    <row r="1739" spans="3:28" x14ac:dyDescent="0.35">
      <c r="C1739" s="15" t="s">
        <v>8</v>
      </c>
      <c r="D1739" s="15" t="s">
        <v>8</v>
      </c>
      <c r="G1739" s="15" t="s">
        <v>8</v>
      </c>
      <c r="K1739" s="15" t="s">
        <v>8</v>
      </c>
      <c r="S1739" s="15" t="s">
        <v>8</v>
      </c>
      <c r="U1739" s="15" t="s">
        <v>8</v>
      </c>
      <c r="W1739" s="8" t="s">
        <v>3</v>
      </c>
    </row>
    <row r="1740" spans="3:28" x14ac:dyDescent="0.35">
      <c r="C1740" s="15" t="s">
        <v>8</v>
      </c>
      <c r="D1740" s="15" t="s">
        <v>8</v>
      </c>
      <c r="G1740" s="15" t="s">
        <v>8</v>
      </c>
      <c r="K1740" s="15" t="s">
        <v>8</v>
      </c>
      <c r="S1740" s="15" t="s">
        <v>8</v>
      </c>
      <c r="U1740" s="15" t="s">
        <v>8</v>
      </c>
      <c r="V1740" s="19" t="str">
        <f>HYPERLINK("http://yeinfo.com/family/I09065965.html", "JOHN BRULEY &lt;2&gt; 1375 EN-1403 EN ID:09065965")</f>
        <v>JOHN BRULEY &lt;2&gt; 1375 EN-1403 EN ID:09065965</v>
      </c>
      <c r="W1740" s="9"/>
      <c r="X1740" s="9"/>
      <c r="Y1740" s="9"/>
      <c r="Z1740" s="9"/>
    </row>
    <row r="1741" spans="3:28" x14ac:dyDescent="0.35">
      <c r="C1741" s="15" t="s">
        <v>8</v>
      </c>
      <c r="D1741" s="15" t="s">
        <v>8</v>
      </c>
      <c r="G1741" s="15" t="s">
        <v>8</v>
      </c>
      <c r="K1741" s="15" t="s">
        <v>8</v>
      </c>
      <c r="S1741" s="15" t="s">
        <v>8</v>
      </c>
      <c r="U1741" s="15" t="s">
        <v>8</v>
      </c>
      <c r="V1741" s="8" t="s">
        <v>3</v>
      </c>
      <c r="W1741" s="8" t="s">
        <v>6</v>
      </c>
    </row>
    <row r="1742" spans="3:28" x14ac:dyDescent="0.35">
      <c r="C1742" s="15" t="s">
        <v>8</v>
      </c>
      <c r="D1742" s="15" t="s">
        <v>8</v>
      </c>
      <c r="G1742" s="15" t="s">
        <v>8</v>
      </c>
      <c r="K1742" s="15" t="s">
        <v>8</v>
      </c>
      <c r="S1742" s="15" t="s">
        <v>8</v>
      </c>
      <c r="U1742" s="15" t="s">
        <v>8</v>
      </c>
      <c r="V1742" s="15" t="s">
        <v>8</v>
      </c>
      <c r="W1742" s="20" t="str">
        <f>HYPERLINK("http://yeinfo.com/family/I09066144.html", "Mrs. AGNES BRULEY &lt;2&gt; 1350 EN-1383 EN ID:09066144")</f>
        <v>Mrs. AGNES BRULEY &lt;2&gt; 1350 EN-1383 EN ID:09066144</v>
      </c>
      <c r="X1742" s="17"/>
      <c r="Y1742" s="17"/>
      <c r="Z1742" s="17"/>
      <c r="AA1742" s="17"/>
    </row>
    <row r="1743" spans="3:28" x14ac:dyDescent="0.35">
      <c r="C1743" s="15" t="s">
        <v>8</v>
      </c>
      <c r="D1743" s="15" t="s">
        <v>8</v>
      </c>
      <c r="G1743" s="15" t="s">
        <v>8</v>
      </c>
      <c r="K1743" s="15" t="s">
        <v>8</v>
      </c>
      <c r="S1743" s="15" t="s">
        <v>8</v>
      </c>
      <c r="U1743" s="8" t="s">
        <v>6</v>
      </c>
      <c r="V1743" s="15" t="s">
        <v>8</v>
      </c>
    </row>
    <row r="1744" spans="3:28" x14ac:dyDescent="0.35">
      <c r="C1744" s="15" t="s">
        <v>8</v>
      </c>
      <c r="D1744" s="15" t="s">
        <v>8</v>
      </c>
      <c r="G1744" s="15" t="s">
        <v>8</v>
      </c>
      <c r="K1744" s="15" t="s">
        <v>8</v>
      </c>
      <c r="S1744" s="15" t="s">
        <v>8</v>
      </c>
      <c r="U1744" s="20" t="str">
        <f>HYPERLINK("http://yeinfo.com/family/I09065810.html", "JOAN\JOANE BRULEY &lt;2&gt; 1396 EN-1422 EN ID:09065810")</f>
        <v>JOAN\JOANE BRULEY &lt;2&gt; 1396 EN-1422 EN ID:09065810</v>
      </c>
      <c r="V1744" s="17"/>
      <c r="W1744" s="17"/>
      <c r="X1744" s="17"/>
      <c r="Y1744" s="17"/>
      <c r="Z1744" s="17"/>
    </row>
    <row r="1745" spans="3:28" x14ac:dyDescent="0.35">
      <c r="C1745" s="15" t="s">
        <v>8</v>
      </c>
      <c r="D1745" s="15" t="s">
        <v>8</v>
      </c>
      <c r="G1745" s="15" t="s">
        <v>8</v>
      </c>
      <c r="K1745" s="15" t="s">
        <v>8</v>
      </c>
      <c r="S1745" s="15" t="s">
        <v>8</v>
      </c>
      <c r="V1745" s="15" t="s">
        <v>8</v>
      </c>
    </row>
    <row r="1746" spans="3:28" x14ac:dyDescent="0.35">
      <c r="C1746" s="15" t="s">
        <v>8</v>
      </c>
      <c r="D1746" s="15" t="s">
        <v>8</v>
      </c>
      <c r="G1746" s="15" t="s">
        <v>8</v>
      </c>
      <c r="K1746" s="15" t="s">
        <v>8</v>
      </c>
      <c r="S1746" s="15" t="s">
        <v>8</v>
      </c>
      <c r="V1746" s="15" t="s">
        <v>8</v>
      </c>
      <c r="X1746" s="19" t="str">
        <f>HYPERLINK("http://yeinfo.com/family/I09066432.html", "THOMAS QUARTERMAIN Sr. &lt;2&gt; 1313 EN-1399 EN ID:09066432")</f>
        <v>THOMAS QUARTERMAIN Sr. &lt;2&gt; 1313 EN-1399 EN ID:09066432</v>
      </c>
      <c r="Y1746" s="9"/>
      <c r="Z1746" s="9"/>
      <c r="AA1746" s="9"/>
      <c r="AB1746" s="9"/>
    </row>
    <row r="1747" spans="3:28" x14ac:dyDescent="0.35">
      <c r="C1747" s="15" t="s">
        <v>8</v>
      </c>
      <c r="D1747" s="15" t="s">
        <v>8</v>
      </c>
      <c r="G1747" s="15" t="s">
        <v>8</v>
      </c>
      <c r="K1747" s="15" t="s">
        <v>8</v>
      </c>
      <c r="S1747" s="15" t="s">
        <v>8</v>
      </c>
      <c r="V1747" s="15" t="s">
        <v>8</v>
      </c>
      <c r="X1747" s="8" t="s">
        <v>3</v>
      </c>
    </row>
    <row r="1748" spans="3:28" x14ac:dyDescent="0.35">
      <c r="C1748" s="15" t="s">
        <v>8</v>
      </c>
      <c r="D1748" s="15" t="s">
        <v>8</v>
      </c>
      <c r="G1748" s="15" t="s">
        <v>8</v>
      </c>
      <c r="K1748" s="15" t="s">
        <v>8</v>
      </c>
      <c r="S1748" s="15" t="s">
        <v>8</v>
      </c>
      <c r="V1748" s="15" t="s">
        <v>8</v>
      </c>
      <c r="W1748" s="19" t="str">
        <f>HYPERLINK("http://yeinfo.com/family/I09066145.html", "THOMAS QUARTERMAIN Jr. &lt;2&gt; 1338 EN-1398 EN ID:09066145")</f>
        <v>THOMAS QUARTERMAIN Jr. &lt;2&gt; 1338 EN-1398 EN ID:09066145</v>
      </c>
      <c r="X1748" s="9"/>
      <c r="Y1748" s="9"/>
      <c r="Z1748" s="9"/>
      <c r="AA1748" s="9"/>
    </row>
    <row r="1749" spans="3:28" x14ac:dyDescent="0.35">
      <c r="C1749" s="15" t="s">
        <v>8</v>
      </c>
      <c r="D1749" s="15" t="s">
        <v>8</v>
      </c>
      <c r="G1749" s="15" t="s">
        <v>8</v>
      </c>
      <c r="K1749" s="15" t="s">
        <v>8</v>
      </c>
      <c r="S1749" s="15" t="s">
        <v>8</v>
      </c>
      <c r="V1749" s="15" t="s">
        <v>8</v>
      </c>
      <c r="W1749" s="8" t="s">
        <v>3</v>
      </c>
      <c r="X1749" s="8" t="s">
        <v>6</v>
      </c>
    </row>
    <row r="1750" spans="3:28" x14ac:dyDescent="0.35">
      <c r="C1750" s="15" t="s">
        <v>8</v>
      </c>
      <c r="D1750" s="15" t="s">
        <v>8</v>
      </c>
      <c r="G1750" s="15" t="s">
        <v>8</v>
      </c>
      <c r="K1750" s="15" t="s">
        <v>8</v>
      </c>
      <c r="S1750" s="15" t="s">
        <v>8</v>
      </c>
      <c r="V1750" s="15" t="s">
        <v>8</v>
      </c>
      <c r="W1750" s="15" t="s">
        <v>8</v>
      </c>
      <c r="X1750" s="20" t="str">
        <f>HYPERLINK("http://yeinfo.com/family/I09066435.html", "CATHERINE BRETTON &lt;2&gt; 1317 EN-1342 EN ID:09066435")</f>
        <v>CATHERINE BRETTON &lt;2&gt; 1317 EN-1342 EN ID:09066435</v>
      </c>
      <c r="Y1750" s="17"/>
      <c r="Z1750" s="17"/>
      <c r="AA1750" s="17"/>
      <c r="AB1750" s="17"/>
    </row>
    <row r="1751" spans="3:28" x14ac:dyDescent="0.35">
      <c r="C1751" s="15" t="s">
        <v>8</v>
      </c>
      <c r="D1751" s="15" t="s">
        <v>8</v>
      </c>
      <c r="G1751" s="15" t="s">
        <v>8</v>
      </c>
      <c r="K1751" s="15" t="s">
        <v>8</v>
      </c>
      <c r="S1751" s="15" t="s">
        <v>8</v>
      </c>
      <c r="V1751" s="8" t="s">
        <v>6</v>
      </c>
      <c r="W1751" s="15" t="s">
        <v>8</v>
      </c>
    </row>
    <row r="1752" spans="3:28" x14ac:dyDescent="0.35">
      <c r="C1752" s="15" t="s">
        <v>8</v>
      </c>
      <c r="D1752" s="15" t="s">
        <v>8</v>
      </c>
      <c r="G1752" s="15" t="s">
        <v>8</v>
      </c>
      <c r="K1752" s="15" t="s">
        <v>8</v>
      </c>
      <c r="S1752" s="15" t="s">
        <v>8</v>
      </c>
      <c r="V1752" s="20" t="str">
        <f>HYPERLINK("http://yeinfo.com/family/I09065966.html", "MAUD MATILDA QUARTERMAIN &lt;2&gt; 1378 EN-1410 EN ID:09065966")</f>
        <v>MAUD MATILDA QUARTERMAIN &lt;2&gt; 1378 EN-1410 EN ID:09065966</v>
      </c>
      <c r="W1752" s="17"/>
      <c r="X1752" s="17"/>
      <c r="Y1752" s="17"/>
      <c r="Z1752" s="17"/>
    </row>
    <row r="1753" spans="3:28" x14ac:dyDescent="0.35">
      <c r="C1753" s="15" t="s">
        <v>8</v>
      </c>
      <c r="D1753" s="15" t="s">
        <v>8</v>
      </c>
      <c r="G1753" s="15" t="s">
        <v>8</v>
      </c>
      <c r="K1753" s="15" t="s">
        <v>8</v>
      </c>
      <c r="S1753" s="15" t="s">
        <v>8</v>
      </c>
      <c r="W1753" s="8" t="s">
        <v>6</v>
      </c>
    </row>
    <row r="1754" spans="3:28" x14ac:dyDescent="0.35">
      <c r="C1754" s="15" t="s">
        <v>8</v>
      </c>
      <c r="D1754" s="15" t="s">
        <v>8</v>
      </c>
      <c r="G1754" s="15" t="s">
        <v>8</v>
      </c>
      <c r="K1754" s="15" t="s">
        <v>8</v>
      </c>
      <c r="S1754" s="15" t="s">
        <v>8</v>
      </c>
      <c r="W1754" s="20" t="str">
        <f>HYPERLINK("http://yeinfo.com/family/I09066146.html", "JOAN RUSSELL &lt;2&gt; 1340 EN-1399 EN ID:09066146")</f>
        <v>JOAN RUSSELL &lt;2&gt; 1340 EN-1399 EN ID:09066146</v>
      </c>
      <c r="X1754" s="17"/>
      <c r="Y1754" s="17"/>
      <c r="Z1754" s="17"/>
      <c r="AA1754" s="17"/>
    </row>
    <row r="1755" spans="3:28" x14ac:dyDescent="0.35">
      <c r="C1755" s="15" t="s">
        <v>8</v>
      </c>
      <c r="D1755" s="15" t="s">
        <v>8</v>
      </c>
      <c r="G1755" s="15" t="s">
        <v>8</v>
      </c>
      <c r="K1755" s="15" t="s">
        <v>8</v>
      </c>
      <c r="S1755" s="15" t="s">
        <v>8</v>
      </c>
    </row>
    <row r="1756" spans="3:28" x14ac:dyDescent="0.35">
      <c r="C1756" s="15" t="s">
        <v>8</v>
      </c>
      <c r="D1756" s="15" t="s">
        <v>8</v>
      </c>
      <c r="G1756" s="15" t="s">
        <v>8</v>
      </c>
      <c r="K1756" s="15" t="s">
        <v>8</v>
      </c>
      <c r="R1756" s="19" t="str">
        <f>HYPERLINK("http://yeinfo.com/family/I09041344.html", "ANTHONY FOWLER &lt;2&gt; 1504 EN-1530 EN ID:09041344")</f>
        <v>ANTHONY FOWLER &lt;2&gt; 1504 EN-1530 EN ID:09041344</v>
      </c>
      <c r="S1756" s="9"/>
      <c r="T1756" s="9"/>
      <c r="U1756" s="9"/>
      <c r="V1756" s="9"/>
    </row>
    <row r="1757" spans="3:28" x14ac:dyDescent="0.35">
      <c r="C1757" s="15" t="s">
        <v>8</v>
      </c>
      <c r="D1757" s="15" t="s">
        <v>8</v>
      </c>
      <c r="G1757" s="15" t="s">
        <v>8</v>
      </c>
      <c r="K1757" s="15" t="s">
        <v>8</v>
      </c>
      <c r="R1757" s="8" t="s">
        <v>3</v>
      </c>
      <c r="S1757" s="15" t="s">
        <v>8</v>
      </c>
    </row>
    <row r="1758" spans="3:28" x14ac:dyDescent="0.35">
      <c r="C1758" s="15" t="s">
        <v>8</v>
      </c>
      <c r="D1758" s="15" t="s">
        <v>8</v>
      </c>
      <c r="G1758" s="15" t="s">
        <v>8</v>
      </c>
      <c r="K1758" s="15" t="s">
        <v>8</v>
      </c>
      <c r="R1758" s="15" t="s">
        <v>8</v>
      </c>
      <c r="S1758" s="15" t="s">
        <v>8</v>
      </c>
      <c r="W1758" s="19" t="str">
        <f>HYPERLINK("http://yeinfo.com/family/I09066147.html", "BRYAN WINDSOR &lt;2&gt; 1371 EN-1399 EN ID:09066147")</f>
        <v>BRYAN WINDSOR &lt;2&gt; 1371 EN-1399 EN ID:09066147</v>
      </c>
      <c r="X1758" s="9"/>
      <c r="Y1758" s="9"/>
      <c r="Z1758" s="9"/>
      <c r="AA1758" s="9"/>
    </row>
    <row r="1759" spans="3:28" x14ac:dyDescent="0.35">
      <c r="C1759" s="15" t="s">
        <v>8</v>
      </c>
      <c r="D1759" s="15" t="s">
        <v>8</v>
      </c>
      <c r="G1759" s="15" t="s">
        <v>8</v>
      </c>
      <c r="K1759" s="15" t="s">
        <v>8</v>
      </c>
      <c r="R1759" s="15" t="s">
        <v>8</v>
      </c>
      <c r="S1759" s="15" t="s">
        <v>8</v>
      </c>
      <c r="W1759" s="8" t="s">
        <v>3</v>
      </c>
    </row>
    <row r="1760" spans="3:28" x14ac:dyDescent="0.35">
      <c r="C1760" s="15" t="s">
        <v>8</v>
      </c>
      <c r="D1760" s="15" t="s">
        <v>8</v>
      </c>
      <c r="G1760" s="15" t="s">
        <v>8</v>
      </c>
      <c r="K1760" s="15" t="s">
        <v>8</v>
      </c>
      <c r="R1760" s="15" t="s">
        <v>8</v>
      </c>
      <c r="S1760" s="15" t="s">
        <v>8</v>
      </c>
      <c r="V1760" s="19" t="str">
        <f>HYPERLINK("http://yeinfo.com/family/I09065967.html", "RICHARD WINDSOR &lt;2&gt; 1380 EN-1428 EN ID:09065967")</f>
        <v>RICHARD WINDSOR &lt;2&gt; 1380 EN-1428 EN ID:09065967</v>
      </c>
      <c r="W1760" s="9"/>
      <c r="X1760" s="9"/>
      <c r="Y1760" s="9"/>
      <c r="Z1760" s="9"/>
    </row>
    <row r="1761" spans="3:28" x14ac:dyDescent="0.35">
      <c r="C1761" s="15" t="s">
        <v>8</v>
      </c>
      <c r="D1761" s="15" t="s">
        <v>8</v>
      </c>
      <c r="G1761" s="15" t="s">
        <v>8</v>
      </c>
      <c r="K1761" s="15" t="s">
        <v>8</v>
      </c>
      <c r="R1761" s="15" t="s">
        <v>8</v>
      </c>
      <c r="S1761" s="15" t="s">
        <v>8</v>
      </c>
      <c r="V1761" s="8" t="s">
        <v>3</v>
      </c>
      <c r="W1761" s="8" t="s">
        <v>6</v>
      </c>
    </row>
    <row r="1762" spans="3:28" x14ac:dyDescent="0.35">
      <c r="C1762" s="15" t="s">
        <v>8</v>
      </c>
      <c r="D1762" s="15" t="s">
        <v>8</v>
      </c>
      <c r="G1762" s="15" t="s">
        <v>8</v>
      </c>
      <c r="K1762" s="15" t="s">
        <v>8</v>
      </c>
      <c r="R1762" s="15" t="s">
        <v>8</v>
      </c>
      <c r="S1762" s="15" t="s">
        <v>8</v>
      </c>
      <c r="V1762" s="15" t="s">
        <v>8</v>
      </c>
      <c r="W1762" s="20" t="str">
        <f>HYPERLINK("http://yeinfo.com/family/I09066148.html", "ALICE DREW &lt;2&gt; 1378 EN-1405 EN ID:09066148")</f>
        <v>ALICE DREW &lt;2&gt; 1378 EN-1405 EN ID:09066148</v>
      </c>
      <c r="X1762" s="17"/>
      <c r="Y1762" s="17"/>
      <c r="Z1762" s="17"/>
      <c r="AA1762" s="17"/>
    </row>
    <row r="1763" spans="3:28" x14ac:dyDescent="0.35">
      <c r="C1763" s="15" t="s">
        <v>8</v>
      </c>
      <c r="D1763" s="15" t="s">
        <v>8</v>
      </c>
      <c r="G1763" s="15" t="s">
        <v>8</v>
      </c>
      <c r="K1763" s="15" t="s">
        <v>8</v>
      </c>
      <c r="R1763" s="15" t="s">
        <v>8</v>
      </c>
      <c r="S1763" s="15" t="s">
        <v>8</v>
      </c>
      <c r="V1763" s="15" t="s">
        <v>8</v>
      </c>
    </row>
    <row r="1764" spans="3:28" x14ac:dyDescent="0.35">
      <c r="C1764" s="15" t="s">
        <v>8</v>
      </c>
      <c r="D1764" s="15" t="s">
        <v>8</v>
      </c>
      <c r="G1764" s="15" t="s">
        <v>8</v>
      </c>
      <c r="K1764" s="15" t="s">
        <v>8</v>
      </c>
      <c r="R1764" s="15" t="s">
        <v>8</v>
      </c>
      <c r="S1764" s="15" t="s">
        <v>8</v>
      </c>
      <c r="U1764" s="19" t="str">
        <f>HYPERLINK("http://yeinfo.com/family/I09065811.html", "MILES WINDSOR &lt;2&gt; 1399 EN-1451 IT ID:09065811")</f>
        <v>MILES WINDSOR &lt;2&gt; 1399 EN-1451 IT ID:09065811</v>
      </c>
      <c r="V1764" s="9"/>
      <c r="W1764" s="9"/>
      <c r="X1764" s="9"/>
      <c r="Y1764" s="9"/>
    </row>
    <row r="1765" spans="3:28" x14ac:dyDescent="0.35">
      <c r="C1765" s="15" t="s">
        <v>8</v>
      </c>
      <c r="D1765" s="15" t="s">
        <v>8</v>
      </c>
      <c r="G1765" s="15" t="s">
        <v>8</v>
      </c>
      <c r="K1765" s="15" t="s">
        <v>8</v>
      </c>
      <c r="R1765" s="15" t="s">
        <v>8</v>
      </c>
      <c r="S1765" s="15" t="s">
        <v>8</v>
      </c>
      <c r="U1765" s="8" t="s">
        <v>3</v>
      </c>
      <c r="V1765" s="15" t="s">
        <v>8</v>
      </c>
    </row>
    <row r="1766" spans="3:28" x14ac:dyDescent="0.35">
      <c r="C1766" s="15" t="s">
        <v>8</v>
      </c>
      <c r="D1766" s="15" t="s">
        <v>8</v>
      </c>
      <c r="G1766" s="15" t="s">
        <v>8</v>
      </c>
      <c r="K1766" s="15" t="s">
        <v>8</v>
      </c>
      <c r="R1766" s="15" t="s">
        <v>8</v>
      </c>
      <c r="S1766" s="15" t="s">
        <v>8</v>
      </c>
      <c r="U1766" s="15" t="s">
        <v>8</v>
      </c>
      <c r="V1766" s="15" t="s">
        <v>8</v>
      </c>
      <c r="X1766" s="19" t="str">
        <f>HYPERLINK("http://yeinfo.com/family/I09066452.html", "RICHARD FAULKNER Sr. &lt;2&gt; 1334 EN-1401 EN ID:09066452")</f>
        <v>RICHARD FAULKNER Sr. &lt;2&gt; 1334 EN-1401 EN ID:09066452</v>
      </c>
      <c r="Y1766" s="9"/>
      <c r="Z1766" s="9"/>
      <c r="AA1766" s="9"/>
      <c r="AB1766" s="9"/>
    </row>
    <row r="1767" spans="3:28" x14ac:dyDescent="0.35">
      <c r="C1767" s="15" t="s">
        <v>8</v>
      </c>
      <c r="D1767" s="15" t="s">
        <v>8</v>
      </c>
      <c r="G1767" s="15" t="s">
        <v>8</v>
      </c>
      <c r="K1767" s="15" t="s">
        <v>8</v>
      </c>
      <c r="R1767" s="15" t="s">
        <v>8</v>
      </c>
      <c r="S1767" s="15" t="s">
        <v>8</v>
      </c>
      <c r="U1767" s="15" t="s">
        <v>8</v>
      </c>
      <c r="V1767" s="15" t="s">
        <v>8</v>
      </c>
      <c r="X1767" s="8" t="s">
        <v>3</v>
      </c>
    </row>
    <row r="1768" spans="3:28" x14ac:dyDescent="0.35">
      <c r="C1768" s="15" t="s">
        <v>8</v>
      </c>
      <c r="D1768" s="15" t="s">
        <v>8</v>
      </c>
      <c r="G1768" s="15" t="s">
        <v>8</v>
      </c>
      <c r="K1768" s="15" t="s">
        <v>8</v>
      </c>
      <c r="R1768" s="15" t="s">
        <v>8</v>
      </c>
      <c r="S1768" s="15" t="s">
        <v>8</v>
      </c>
      <c r="U1768" s="15" t="s">
        <v>8</v>
      </c>
      <c r="V1768" s="15" t="s">
        <v>8</v>
      </c>
      <c r="W1768" s="19" t="str">
        <f>HYPERLINK("http://yeinfo.com/family/I09066149.html", "RICHARD FAULKNER Jr. &lt;2&gt; 1354 EN-1401 EN ID:09066149")</f>
        <v>RICHARD FAULKNER Jr. &lt;2&gt; 1354 EN-1401 EN ID:09066149</v>
      </c>
      <c r="X1768" s="9"/>
      <c r="Y1768" s="9"/>
      <c r="Z1768" s="9"/>
      <c r="AA1768" s="9"/>
    </row>
    <row r="1769" spans="3:28" x14ac:dyDescent="0.35">
      <c r="C1769" s="15" t="s">
        <v>8</v>
      </c>
      <c r="D1769" s="15" t="s">
        <v>8</v>
      </c>
      <c r="G1769" s="15" t="s">
        <v>8</v>
      </c>
      <c r="K1769" s="15" t="s">
        <v>8</v>
      </c>
      <c r="R1769" s="15" t="s">
        <v>8</v>
      </c>
      <c r="S1769" s="15" t="s">
        <v>8</v>
      </c>
      <c r="U1769" s="15" t="s">
        <v>8</v>
      </c>
      <c r="V1769" s="15" t="s">
        <v>8</v>
      </c>
      <c r="W1769" s="8" t="s">
        <v>3</v>
      </c>
      <c r="X1769" s="8" t="s">
        <v>6</v>
      </c>
    </row>
    <row r="1770" spans="3:28" x14ac:dyDescent="0.35">
      <c r="C1770" s="15" t="s">
        <v>8</v>
      </c>
      <c r="D1770" s="15" t="s">
        <v>8</v>
      </c>
      <c r="G1770" s="15" t="s">
        <v>8</v>
      </c>
      <c r="K1770" s="15" t="s">
        <v>8</v>
      </c>
      <c r="R1770" s="15" t="s">
        <v>8</v>
      </c>
      <c r="S1770" s="15" t="s">
        <v>8</v>
      </c>
      <c r="U1770" s="15" t="s">
        <v>8</v>
      </c>
      <c r="V1770" s="15" t="s">
        <v>8</v>
      </c>
      <c r="W1770" s="15" t="s">
        <v>8</v>
      </c>
      <c r="X1770" s="20" t="str">
        <f>HYPERLINK("http://yeinfo.com/family/I09066451.html", "Mrs. {_?_} FAULKNER &lt;2&gt; 1335 EN-1355 EN ID:09066451")</f>
        <v>Mrs. {_?_} FAULKNER &lt;2&gt; 1335 EN-1355 EN ID:09066451</v>
      </c>
      <c r="Y1770" s="17"/>
      <c r="Z1770" s="17"/>
      <c r="AA1770" s="17"/>
      <c r="AB1770" s="17"/>
    </row>
    <row r="1771" spans="3:28" x14ac:dyDescent="0.35">
      <c r="C1771" s="15" t="s">
        <v>8</v>
      </c>
      <c r="D1771" s="15" t="s">
        <v>8</v>
      </c>
      <c r="G1771" s="15" t="s">
        <v>8</v>
      </c>
      <c r="K1771" s="15" t="s">
        <v>8</v>
      </c>
      <c r="R1771" s="15" t="s">
        <v>8</v>
      </c>
      <c r="S1771" s="15" t="s">
        <v>8</v>
      </c>
      <c r="U1771" s="15" t="s">
        <v>8</v>
      </c>
      <c r="V1771" s="8" t="s">
        <v>6</v>
      </c>
      <c r="W1771" s="15" t="s">
        <v>8</v>
      </c>
    </row>
    <row r="1772" spans="3:28" x14ac:dyDescent="0.35">
      <c r="C1772" s="15" t="s">
        <v>8</v>
      </c>
      <c r="D1772" s="15" t="s">
        <v>8</v>
      </c>
      <c r="G1772" s="15" t="s">
        <v>8</v>
      </c>
      <c r="K1772" s="15" t="s">
        <v>8</v>
      </c>
      <c r="R1772" s="15" t="s">
        <v>8</v>
      </c>
      <c r="S1772" s="15" t="s">
        <v>8</v>
      </c>
      <c r="U1772" s="15" t="s">
        <v>8</v>
      </c>
      <c r="V1772" s="20" t="str">
        <f>HYPERLINK("http://yeinfo.com/family/I09065968.html", "CHRISTIAN FAULKNER &lt;2&gt; 1380 EN-1418 EN ID:09065968")</f>
        <v>CHRISTIAN FAULKNER &lt;2&gt; 1380 EN-1418 EN ID:09065968</v>
      </c>
      <c r="W1772" s="17"/>
      <c r="X1772" s="17"/>
      <c r="Y1772" s="17"/>
      <c r="Z1772" s="17"/>
    </row>
    <row r="1773" spans="3:28" x14ac:dyDescent="0.35">
      <c r="C1773" s="15" t="s">
        <v>8</v>
      </c>
      <c r="D1773" s="15" t="s">
        <v>8</v>
      </c>
      <c r="G1773" s="15" t="s">
        <v>8</v>
      </c>
      <c r="K1773" s="15" t="s">
        <v>8</v>
      </c>
      <c r="R1773" s="15" t="s">
        <v>8</v>
      </c>
      <c r="S1773" s="15" t="s">
        <v>8</v>
      </c>
      <c r="U1773" s="15" t="s">
        <v>8</v>
      </c>
      <c r="W1773" s="8" t="s">
        <v>6</v>
      </c>
    </row>
    <row r="1774" spans="3:28" x14ac:dyDescent="0.35">
      <c r="C1774" s="15" t="s">
        <v>8</v>
      </c>
      <c r="D1774" s="15" t="s">
        <v>8</v>
      </c>
      <c r="G1774" s="15" t="s">
        <v>8</v>
      </c>
      <c r="K1774" s="15" t="s">
        <v>8</v>
      </c>
      <c r="R1774" s="15" t="s">
        <v>8</v>
      </c>
      <c r="S1774" s="15" t="s">
        <v>8</v>
      </c>
      <c r="U1774" s="15" t="s">
        <v>8</v>
      </c>
      <c r="W1774" s="20" t="str">
        <f>HYPERLINK("http://yeinfo.com/family/I09066150.html", "MARGARET BOULTON &lt;2&gt; 1360 EN-1400 EN ID:09066150")</f>
        <v>MARGARET BOULTON &lt;2&gt; 1360 EN-1400 EN ID:09066150</v>
      </c>
      <c r="X1774" s="17"/>
      <c r="Y1774" s="17"/>
      <c r="Z1774" s="17"/>
      <c r="AA1774" s="17"/>
    </row>
    <row r="1775" spans="3:28" x14ac:dyDescent="0.35">
      <c r="C1775" s="15" t="s">
        <v>8</v>
      </c>
      <c r="D1775" s="15" t="s">
        <v>8</v>
      </c>
      <c r="G1775" s="15" t="s">
        <v>8</v>
      </c>
      <c r="K1775" s="15" t="s">
        <v>8</v>
      </c>
      <c r="R1775" s="15" t="s">
        <v>8</v>
      </c>
      <c r="S1775" s="15" t="s">
        <v>8</v>
      </c>
      <c r="U1775" s="15" t="s">
        <v>8</v>
      </c>
    </row>
    <row r="1776" spans="3:28" x14ac:dyDescent="0.35">
      <c r="C1776" s="15" t="s">
        <v>8</v>
      </c>
      <c r="D1776" s="15" t="s">
        <v>8</v>
      </c>
      <c r="G1776" s="15" t="s">
        <v>8</v>
      </c>
      <c r="K1776" s="15" t="s">
        <v>8</v>
      </c>
      <c r="R1776" s="15" t="s">
        <v>8</v>
      </c>
      <c r="S1776" s="15" t="s">
        <v>8</v>
      </c>
      <c r="T1776" s="19" t="str">
        <f>HYPERLINK("http://yeinfo.com/family/I09065684.html", "THOMAS WINDSOR &lt;2&gt; 1440 EN-1485 EN ID:09065684")</f>
        <v>THOMAS WINDSOR &lt;2&gt; 1440 EN-1485 EN ID:09065684</v>
      </c>
      <c r="U1776" s="9"/>
      <c r="V1776" s="9"/>
      <c r="W1776" s="9"/>
      <c r="X1776" s="9"/>
    </row>
    <row r="1777" spans="3:27" x14ac:dyDescent="0.35">
      <c r="C1777" s="15" t="s">
        <v>8</v>
      </c>
      <c r="D1777" s="15" t="s">
        <v>8</v>
      </c>
      <c r="G1777" s="15" t="s">
        <v>8</v>
      </c>
      <c r="K1777" s="15" t="s">
        <v>8</v>
      </c>
      <c r="R1777" s="15" t="s">
        <v>8</v>
      </c>
      <c r="S1777" s="15" t="s">
        <v>8</v>
      </c>
      <c r="T1777" s="8" t="s">
        <v>3</v>
      </c>
      <c r="U1777" s="15" t="s">
        <v>8</v>
      </c>
    </row>
    <row r="1778" spans="3:27" x14ac:dyDescent="0.35">
      <c r="C1778" s="15" t="s">
        <v>8</v>
      </c>
      <c r="D1778" s="15" t="s">
        <v>8</v>
      </c>
      <c r="G1778" s="15" t="s">
        <v>8</v>
      </c>
      <c r="K1778" s="15" t="s">
        <v>8</v>
      </c>
      <c r="R1778" s="15" t="s">
        <v>8</v>
      </c>
      <c r="S1778" s="15" t="s">
        <v>8</v>
      </c>
      <c r="T1778" s="15" t="s">
        <v>8</v>
      </c>
      <c r="U1778" s="15" t="s">
        <v>8</v>
      </c>
      <c r="W1778" s="19" t="str">
        <f>HYPERLINK("http://yeinfo.com/family/I09066151.html", "WALTER GREENE &lt;2&gt; 1370 EN-1475 EN ID:09066151")</f>
        <v>WALTER GREENE &lt;2&gt; 1370 EN-1475 EN ID:09066151</v>
      </c>
      <c r="X1778" s="9"/>
      <c r="Y1778" s="9"/>
      <c r="Z1778" s="9"/>
      <c r="AA1778" s="9"/>
    </row>
    <row r="1779" spans="3:27" x14ac:dyDescent="0.35">
      <c r="C1779" s="15" t="s">
        <v>8</v>
      </c>
      <c r="D1779" s="15" t="s">
        <v>8</v>
      </c>
      <c r="G1779" s="15" t="s">
        <v>8</v>
      </c>
      <c r="K1779" s="15" t="s">
        <v>8</v>
      </c>
      <c r="R1779" s="15" t="s">
        <v>8</v>
      </c>
      <c r="S1779" s="15" t="s">
        <v>8</v>
      </c>
      <c r="T1779" s="15" t="s">
        <v>8</v>
      </c>
      <c r="U1779" s="15" t="s">
        <v>8</v>
      </c>
      <c r="W1779" s="8" t="s">
        <v>3</v>
      </c>
    </row>
    <row r="1780" spans="3:27" x14ac:dyDescent="0.35">
      <c r="C1780" s="15" t="s">
        <v>8</v>
      </c>
      <c r="D1780" s="15" t="s">
        <v>8</v>
      </c>
      <c r="G1780" s="15" t="s">
        <v>8</v>
      </c>
      <c r="K1780" s="15" t="s">
        <v>8</v>
      </c>
      <c r="R1780" s="15" t="s">
        <v>8</v>
      </c>
      <c r="S1780" s="15" t="s">
        <v>8</v>
      </c>
      <c r="T1780" s="15" t="s">
        <v>8</v>
      </c>
      <c r="U1780" s="15" t="s">
        <v>8</v>
      </c>
      <c r="V1780" s="19" t="str">
        <f>HYPERLINK("http://yeinfo.com/family/I09065969.html", "WALTER GREENE &lt;2&gt; 1384 EN-1475 EN ID:09065969")</f>
        <v>WALTER GREENE &lt;2&gt; 1384 EN-1475 EN ID:09065969</v>
      </c>
      <c r="W1780" s="9"/>
      <c r="X1780" s="9"/>
      <c r="Y1780" s="9"/>
      <c r="Z1780" s="9"/>
    </row>
    <row r="1781" spans="3:27" x14ac:dyDescent="0.35">
      <c r="C1781" s="15" t="s">
        <v>8</v>
      </c>
      <c r="D1781" s="15" t="s">
        <v>8</v>
      </c>
      <c r="G1781" s="15" t="s">
        <v>8</v>
      </c>
      <c r="K1781" s="15" t="s">
        <v>8</v>
      </c>
      <c r="R1781" s="15" t="s">
        <v>8</v>
      </c>
      <c r="S1781" s="15" t="s">
        <v>8</v>
      </c>
      <c r="T1781" s="15" t="s">
        <v>8</v>
      </c>
      <c r="U1781" s="15" t="s">
        <v>8</v>
      </c>
      <c r="V1781" s="8" t="s">
        <v>3</v>
      </c>
      <c r="W1781" s="8" t="s">
        <v>6</v>
      </c>
    </row>
    <row r="1782" spans="3:27" x14ac:dyDescent="0.35">
      <c r="C1782" s="15" t="s">
        <v>8</v>
      </c>
      <c r="D1782" s="15" t="s">
        <v>8</v>
      </c>
      <c r="G1782" s="15" t="s">
        <v>8</v>
      </c>
      <c r="K1782" s="15" t="s">
        <v>8</v>
      </c>
      <c r="R1782" s="15" t="s">
        <v>8</v>
      </c>
      <c r="S1782" s="15" t="s">
        <v>8</v>
      </c>
      <c r="T1782" s="15" t="s">
        <v>8</v>
      </c>
      <c r="U1782" s="15" t="s">
        <v>8</v>
      </c>
      <c r="V1782" s="15" t="s">
        <v>8</v>
      </c>
      <c r="W1782" s="20" t="str">
        <f>HYPERLINK("http://yeinfo.com/family/I09066152.html", "MARGERY MABLETHORPE &lt;2&gt; 1370 EN-1390 EN ID:09066152")</f>
        <v>MARGERY MABLETHORPE &lt;2&gt; 1370 EN-1390 EN ID:09066152</v>
      </c>
      <c r="X1782" s="17"/>
      <c r="Y1782" s="17"/>
      <c r="Z1782" s="17"/>
      <c r="AA1782" s="17"/>
    </row>
    <row r="1783" spans="3:27" x14ac:dyDescent="0.35">
      <c r="C1783" s="15" t="s">
        <v>8</v>
      </c>
      <c r="D1783" s="15" t="s">
        <v>8</v>
      </c>
      <c r="G1783" s="15" t="s">
        <v>8</v>
      </c>
      <c r="K1783" s="15" t="s">
        <v>8</v>
      </c>
      <c r="R1783" s="15" t="s">
        <v>8</v>
      </c>
      <c r="S1783" s="15" t="s">
        <v>8</v>
      </c>
      <c r="T1783" s="15" t="s">
        <v>8</v>
      </c>
      <c r="U1783" s="8" t="s">
        <v>6</v>
      </c>
      <c r="V1783" s="15" t="s">
        <v>8</v>
      </c>
    </row>
    <row r="1784" spans="3:27" x14ac:dyDescent="0.35">
      <c r="C1784" s="15" t="s">
        <v>8</v>
      </c>
      <c r="D1784" s="15" t="s">
        <v>8</v>
      </c>
      <c r="G1784" s="15" t="s">
        <v>8</v>
      </c>
      <c r="K1784" s="15" t="s">
        <v>8</v>
      </c>
      <c r="R1784" s="15" t="s">
        <v>8</v>
      </c>
      <c r="S1784" s="15" t="s">
        <v>8</v>
      </c>
      <c r="T1784" s="15" t="s">
        <v>8</v>
      </c>
      <c r="U1784" s="20" t="str">
        <f>HYPERLINK("http://yeinfo.com/family/I09065812.html", "JOAN GREENE &lt;2&gt; 1414 EN-1451 EN ID:09065812")</f>
        <v>JOAN GREENE &lt;2&gt; 1414 EN-1451 EN ID:09065812</v>
      </c>
      <c r="V1784" s="17"/>
      <c r="W1784" s="17"/>
      <c r="X1784" s="17"/>
      <c r="Y1784" s="17"/>
    </row>
    <row r="1785" spans="3:27" x14ac:dyDescent="0.35">
      <c r="C1785" s="15" t="s">
        <v>8</v>
      </c>
      <c r="D1785" s="15" t="s">
        <v>8</v>
      </c>
      <c r="G1785" s="15" t="s">
        <v>8</v>
      </c>
      <c r="K1785" s="15" t="s">
        <v>8</v>
      </c>
      <c r="R1785" s="15" t="s">
        <v>8</v>
      </c>
      <c r="S1785" s="15" t="s">
        <v>8</v>
      </c>
      <c r="T1785" s="15" t="s">
        <v>8</v>
      </c>
      <c r="V1785" s="8" t="s">
        <v>6</v>
      </c>
    </row>
    <row r="1786" spans="3:27" x14ac:dyDescent="0.35">
      <c r="C1786" s="15" t="s">
        <v>8</v>
      </c>
      <c r="D1786" s="15" t="s">
        <v>8</v>
      </c>
      <c r="G1786" s="15" t="s">
        <v>8</v>
      </c>
      <c r="K1786" s="15" t="s">
        <v>8</v>
      </c>
      <c r="R1786" s="15" t="s">
        <v>8</v>
      </c>
      <c r="S1786" s="15" t="s">
        <v>8</v>
      </c>
      <c r="T1786" s="15" t="s">
        <v>8</v>
      </c>
      <c r="V1786" s="20" t="str">
        <f>HYPERLINK("http://yeinfo.com/family/I09065970.html", "Mrs. {_?_} GREENE &lt;2&gt; 1386 EN-1414 EN ID:09065970")</f>
        <v>Mrs. {_?_} GREENE &lt;2&gt; 1386 EN-1414 EN ID:09065970</v>
      </c>
      <c r="W1786" s="17"/>
      <c r="X1786" s="17"/>
      <c r="Y1786" s="17"/>
      <c r="Z1786" s="17"/>
    </row>
    <row r="1787" spans="3:27" x14ac:dyDescent="0.35">
      <c r="C1787" s="15" t="s">
        <v>8</v>
      </c>
      <c r="D1787" s="15" t="s">
        <v>8</v>
      </c>
      <c r="G1787" s="15" t="s">
        <v>8</v>
      </c>
      <c r="K1787" s="15" t="s">
        <v>8</v>
      </c>
      <c r="R1787" s="15" t="s">
        <v>8</v>
      </c>
      <c r="S1787" s="8" t="s">
        <v>6</v>
      </c>
      <c r="T1787" s="15" t="s">
        <v>8</v>
      </c>
    </row>
    <row r="1788" spans="3:27" x14ac:dyDescent="0.35">
      <c r="C1788" s="15" t="s">
        <v>8</v>
      </c>
      <c r="D1788" s="15" t="s">
        <v>8</v>
      </c>
      <c r="G1788" s="15" t="s">
        <v>8</v>
      </c>
      <c r="K1788" s="15" t="s">
        <v>8</v>
      </c>
      <c r="R1788" s="15" t="s">
        <v>8</v>
      </c>
      <c r="S1788" s="20" t="str">
        <f>HYPERLINK("http://yeinfo.com/family/I09065546.html", "ELIZABETH WINDSOR &lt;2&gt; 1467 EN-1504 EN ID:09065546")</f>
        <v>ELIZABETH WINDSOR &lt;2&gt; 1467 EN-1504 EN ID:09065546</v>
      </c>
      <c r="T1788" s="17"/>
      <c r="U1788" s="17"/>
      <c r="V1788" s="17"/>
      <c r="W1788" s="17"/>
    </row>
    <row r="1789" spans="3:27" x14ac:dyDescent="0.35">
      <c r="C1789" s="15" t="s">
        <v>8</v>
      </c>
      <c r="D1789" s="15" t="s">
        <v>8</v>
      </c>
      <c r="G1789" s="15" t="s">
        <v>8</v>
      </c>
      <c r="K1789" s="15" t="s">
        <v>8</v>
      </c>
      <c r="R1789" s="15" t="s">
        <v>8</v>
      </c>
      <c r="T1789" s="15" t="s">
        <v>8</v>
      </c>
    </row>
    <row r="1790" spans="3:27" x14ac:dyDescent="0.35">
      <c r="C1790" s="15" t="s">
        <v>8</v>
      </c>
      <c r="D1790" s="15" t="s">
        <v>8</v>
      </c>
      <c r="G1790" s="15" t="s">
        <v>8</v>
      </c>
      <c r="K1790" s="15" t="s">
        <v>8</v>
      </c>
      <c r="R1790" s="15" t="s">
        <v>8</v>
      </c>
      <c r="T1790" s="15" t="s">
        <v>8</v>
      </c>
      <c r="W1790" s="19" t="str">
        <f>HYPERLINK("http://yeinfo.com/family/I09066153.html", "WILLIAM ANDREWS &lt;2&gt; 1366 EN-1397 EN ID:09066153")</f>
        <v>WILLIAM ANDREWS &lt;2&gt; 1366 EN-1397 EN ID:09066153</v>
      </c>
      <c r="X1790" s="9"/>
      <c r="Y1790" s="9"/>
      <c r="Z1790" s="9"/>
      <c r="AA1790" s="9"/>
    </row>
    <row r="1791" spans="3:27" x14ac:dyDescent="0.35">
      <c r="C1791" s="15" t="s">
        <v>8</v>
      </c>
      <c r="D1791" s="15" t="s">
        <v>8</v>
      </c>
      <c r="G1791" s="15" t="s">
        <v>8</v>
      </c>
      <c r="K1791" s="15" t="s">
        <v>8</v>
      </c>
      <c r="R1791" s="15" t="s">
        <v>8</v>
      </c>
      <c r="T1791" s="15" t="s">
        <v>8</v>
      </c>
      <c r="W1791" s="8" t="s">
        <v>3</v>
      </c>
    </row>
    <row r="1792" spans="3:27" x14ac:dyDescent="0.35">
      <c r="C1792" s="15" t="s">
        <v>8</v>
      </c>
      <c r="D1792" s="15" t="s">
        <v>8</v>
      </c>
      <c r="G1792" s="15" t="s">
        <v>8</v>
      </c>
      <c r="K1792" s="15" t="s">
        <v>8</v>
      </c>
      <c r="R1792" s="15" t="s">
        <v>8</v>
      </c>
      <c r="T1792" s="15" t="s">
        <v>8</v>
      </c>
      <c r="V1792" s="19" t="str">
        <f>HYPERLINK("http://yeinfo.com/family/I09065971.html", "JAMES ANDREWS &lt;2&gt; 1397 EN-1434 EN ID:09065971")</f>
        <v>JAMES ANDREWS &lt;2&gt; 1397 EN-1434 EN ID:09065971</v>
      </c>
      <c r="W1792" s="9"/>
      <c r="X1792" s="9"/>
      <c r="Y1792" s="9"/>
      <c r="Z1792" s="9"/>
    </row>
    <row r="1793" spans="3:27" x14ac:dyDescent="0.35">
      <c r="C1793" s="15" t="s">
        <v>8</v>
      </c>
      <c r="D1793" s="15" t="s">
        <v>8</v>
      </c>
      <c r="G1793" s="15" t="s">
        <v>8</v>
      </c>
      <c r="K1793" s="15" t="s">
        <v>8</v>
      </c>
      <c r="R1793" s="15" t="s">
        <v>8</v>
      </c>
      <c r="T1793" s="15" t="s">
        <v>8</v>
      </c>
      <c r="V1793" s="8" t="s">
        <v>3</v>
      </c>
      <c r="W1793" s="8" t="s">
        <v>6</v>
      </c>
    </row>
    <row r="1794" spans="3:27" x14ac:dyDescent="0.35">
      <c r="C1794" s="15" t="s">
        <v>8</v>
      </c>
      <c r="D1794" s="15" t="s">
        <v>8</v>
      </c>
      <c r="G1794" s="15" t="s">
        <v>8</v>
      </c>
      <c r="K1794" s="15" t="s">
        <v>8</v>
      </c>
      <c r="R1794" s="15" t="s">
        <v>8</v>
      </c>
      <c r="T1794" s="15" t="s">
        <v>8</v>
      </c>
      <c r="V1794" s="15" t="s">
        <v>8</v>
      </c>
      <c r="W1794" s="20" t="str">
        <f>HYPERLINK("http://yeinfo.com/family/I09066154.html", "MARGARET CHISLINGTON &lt;2&gt; 1372 EN-1397 EN ID:09066154")</f>
        <v>MARGARET CHISLINGTON &lt;2&gt; 1372 EN-1397 EN ID:09066154</v>
      </c>
      <c r="X1794" s="17"/>
      <c r="Y1794" s="17"/>
      <c r="Z1794" s="17"/>
      <c r="AA1794" s="17"/>
    </row>
    <row r="1795" spans="3:27" x14ac:dyDescent="0.35">
      <c r="C1795" s="15" t="s">
        <v>8</v>
      </c>
      <c r="D1795" s="15" t="s">
        <v>8</v>
      </c>
      <c r="G1795" s="15" t="s">
        <v>8</v>
      </c>
      <c r="K1795" s="15" t="s">
        <v>8</v>
      </c>
      <c r="R1795" s="15" t="s">
        <v>8</v>
      </c>
      <c r="T1795" s="15" t="s">
        <v>8</v>
      </c>
      <c r="V1795" s="15" t="s">
        <v>8</v>
      </c>
    </row>
    <row r="1796" spans="3:27" x14ac:dyDescent="0.35">
      <c r="C1796" s="15" t="s">
        <v>8</v>
      </c>
      <c r="D1796" s="15" t="s">
        <v>8</v>
      </c>
      <c r="G1796" s="15" t="s">
        <v>8</v>
      </c>
      <c r="K1796" s="15" t="s">
        <v>8</v>
      </c>
      <c r="R1796" s="15" t="s">
        <v>8</v>
      </c>
      <c r="T1796" s="15" t="s">
        <v>8</v>
      </c>
      <c r="U1796" s="19" t="str">
        <f>HYPERLINK("http://yeinfo.com/family/I09065813.html", "JOHN ANDREWS &lt;2&gt; 1415 EN-1473 EN ID:09065813")</f>
        <v>JOHN ANDREWS &lt;2&gt; 1415 EN-1473 EN ID:09065813</v>
      </c>
      <c r="V1796" s="9"/>
      <c r="W1796" s="9"/>
      <c r="X1796" s="9"/>
      <c r="Y1796" s="9"/>
    </row>
    <row r="1797" spans="3:27" x14ac:dyDescent="0.35">
      <c r="C1797" s="15" t="s">
        <v>8</v>
      </c>
      <c r="D1797" s="15" t="s">
        <v>8</v>
      </c>
      <c r="G1797" s="15" t="s">
        <v>8</v>
      </c>
      <c r="K1797" s="15" t="s">
        <v>8</v>
      </c>
      <c r="R1797" s="15" t="s">
        <v>8</v>
      </c>
      <c r="T1797" s="15" t="s">
        <v>8</v>
      </c>
      <c r="U1797" s="8" t="s">
        <v>3</v>
      </c>
      <c r="V1797" s="15" t="s">
        <v>8</v>
      </c>
    </row>
    <row r="1798" spans="3:27" x14ac:dyDescent="0.35">
      <c r="C1798" s="15" t="s">
        <v>8</v>
      </c>
      <c r="D1798" s="15" t="s">
        <v>8</v>
      </c>
      <c r="G1798" s="15" t="s">
        <v>8</v>
      </c>
      <c r="K1798" s="15" t="s">
        <v>8</v>
      </c>
      <c r="R1798" s="15" t="s">
        <v>8</v>
      </c>
      <c r="T1798" s="15" t="s">
        <v>8</v>
      </c>
      <c r="U1798" s="15" t="s">
        <v>8</v>
      </c>
      <c r="V1798" s="15" t="s">
        <v>8</v>
      </c>
      <c r="W1798" s="19" t="str">
        <f>HYPERLINK("http://yeinfo.com/family/I09066155.html", "JOHN WEYLAND &lt;2&gt; 1373 EN-1399 EN ID:09066155")</f>
        <v>JOHN WEYLAND &lt;2&gt; 1373 EN-1399 EN ID:09066155</v>
      </c>
      <c r="X1798" s="9"/>
      <c r="Y1798" s="9"/>
      <c r="Z1798" s="9"/>
      <c r="AA1798" s="9"/>
    </row>
    <row r="1799" spans="3:27" x14ac:dyDescent="0.35">
      <c r="C1799" s="15" t="s">
        <v>8</v>
      </c>
      <c r="D1799" s="15" t="s">
        <v>8</v>
      </c>
      <c r="G1799" s="15" t="s">
        <v>8</v>
      </c>
      <c r="K1799" s="15" t="s">
        <v>8</v>
      </c>
      <c r="R1799" s="15" t="s">
        <v>8</v>
      </c>
      <c r="T1799" s="15" t="s">
        <v>8</v>
      </c>
      <c r="U1799" s="15" t="s">
        <v>8</v>
      </c>
      <c r="V1799" s="8" t="s">
        <v>6</v>
      </c>
      <c r="W1799" s="8" t="s">
        <v>3</v>
      </c>
    </row>
    <row r="1800" spans="3:27" x14ac:dyDescent="0.35">
      <c r="C1800" s="15" t="s">
        <v>8</v>
      </c>
      <c r="D1800" s="15" t="s">
        <v>8</v>
      </c>
      <c r="G1800" s="15" t="s">
        <v>8</v>
      </c>
      <c r="K1800" s="15" t="s">
        <v>8</v>
      </c>
      <c r="R1800" s="15" t="s">
        <v>8</v>
      </c>
      <c r="T1800" s="15" t="s">
        <v>8</v>
      </c>
      <c r="U1800" s="15" t="s">
        <v>8</v>
      </c>
      <c r="V1800" s="20" t="str">
        <f>HYPERLINK("http://yeinfo.com/family/I09065972.html", "ALICE WEYLAND &lt;2&gt; 1399 EN-1419 EN ID:09065972")</f>
        <v>ALICE WEYLAND &lt;2&gt; 1399 EN-1419 EN ID:09065972</v>
      </c>
      <c r="W1800" s="17"/>
      <c r="X1800" s="17"/>
      <c r="Y1800" s="17"/>
      <c r="Z1800" s="17"/>
    </row>
    <row r="1801" spans="3:27" x14ac:dyDescent="0.35">
      <c r="C1801" s="15" t="s">
        <v>8</v>
      </c>
      <c r="D1801" s="15" t="s">
        <v>8</v>
      </c>
      <c r="G1801" s="15" t="s">
        <v>8</v>
      </c>
      <c r="K1801" s="15" t="s">
        <v>8</v>
      </c>
      <c r="R1801" s="15" t="s">
        <v>8</v>
      </c>
      <c r="T1801" s="15" t="s">
        <v>8</v>
      </c>
      <c r="U1801" s="15" t="s">
        <v>8</v>
      </c>
      <c r="W1801" s="8" t="s">
        <v>6</v>
      </c>
    </row>
    <row r="1802" spans="3:27" x14ac:dyDescent="0.35">
      <c r="C1802" s="15" t="s">
        <v>8</v>
      </c>
      <c r="D1802" s="15" t="s">
        <v>8</v>
      </c>
      <c r="G1802" s="15" t="s">
        <v>8</v>
      </c>
      <c r="K1802" s="15" t="s">
        <v>8</v>
      </c>
      <c r="R1802" s="15" t="s">
        <v>8</v>
      </c>
      <c r="T1802" s="15" t="s">
        <v>8</v>
      </c>
      <c r="U1802" s="15" t="s">
        <v>8</v>
      </c>
      <c r="W1802" s="20" t="str">
        <f>HYPERLINK("http://yeinfo.com/family/I09066156.html", "MARGARET BURNAVILLE &lt;2&gt; 1373 EN-1399 EN ID:09066156")</f>
        <v>MARGARET BURNAVILLE &lt;2&gt; 1373 EN-1399 EN ID:09066156</v>
      </c>
      <c r="X1802" s="17"/>
      <c r="Y1802" s="17"/>
      <c r="Z1802" s="17"/>
      <c r="AA1802" s="17"/>
    </row>
    <row r="1803" spans="3:27" x14ac:dyDescent="0.35">
      <c r="C1803" s="15" t="s">
        <v>8</v>
      </c>
      <c r="D1803" s="15" t="s">
        <v>8</v>
      </c>
      <c r="G1803" s="15" t="s">
        <v>8</v>
      </c>
      <c r="K1803" s="15" t="s">
        <v>8</v>
      </c>
      <c r="R1803" s="15" t="s">
        <v>8</v>
      </c>
      <c r="T1803" s="8" t="s">
        <v>6</v>
      </c>
      <c r="U1803" s="15" t="s">
        <v>8</v>
      </c>
    </row>
    <row r="1804" spans="3:27" x14ac:dyDescent="0.35">
      <c r="C1804" s="15" t="s">
        <v>8</v>
      </c>
      <c r="D1804" s="15" t="s">
        <v>8</v>
      </c>
      <c r="G1804" s="15" t="s">
        <v>8</v>
      </c>
      <c r="K1804" s="15" t="s">
        <v>8</v>
      </c>
      <c r="R1804" s="15" t="s">
        <v>8</v>
      </c>
      <c r="T1804" s="20" t="str">
        <f>HYPERLINK("http://yeinfo.com/family/I09065685.html", "ELIZABETH ANDREWS &lt;2&gt; 1444 EN-1467 EN ID:09065685")</f>
        <v>ELIZABETH ANDREWS &lt;2&gt; 1444 EN-1467 EN ID:09065685</v>
      </c>
      <c r="U1804" s="17"/>
      <c r="V1804" s="17"/>
      <c r="W1804" s="17"/>
      <c r="X1804" s="17"/>
    </row>
    <row r="1805" spans="3:27" x14ac:dyDescent="0.35">
      <c r="C1805" s="15" t="s">
        <v>8</v>
      </c>
      <c r="D1805" s="15" t="s">
        <v>8</v>
      </c>
      <c r="G1805" s="15" t="s">
        <v>8</v>
      </c>
      <c r="K1805" s="15" t="s">
        <v>8</v>
      </c>
      <c r="R1805" s="15" t="s">
        <v>8</v>
      </c>
      <c r="U1805" s="8" t="s">
        <v>6</v>
      </c>
    </row>
    <row r="1806" spans="3:27" x14ac:dyDescent="0.35">
      <c r="C1806" s="15" t="s">
        <v>8</v>
      </c>
      <c r="D1806" s="15" t="s">
        <v>8</v>
      </c>
      <c r="G1806" s="15" t="s">
        <v>8</v>
      </c>
      <c r="K1806" s="15" t="s">
        <v>8</v>
      </c>
      <c r="R1806" s="15" t="s">
        <v>8</v>
      </c>
      <c r="U1806" s="20" t="str">
        <f>HYPERLINK("http://yeinfo.com/family/I09065814.html", "ELIZABETH STRATTON &lt;2&gt; 1425 EN-1474 EN ID:09065814")</f>
        <v>ELIZABETH STRATTON &lt;2&gt; 1425 EN-1474 EN ID:09065814</v>
      </c>
      <c r="V1806" s="17"/>
      <c r="W1806" s="17"/>
      <c r="X1806" s="17"/>
      <c r="Y1806" s="17"/>
    </row>
    <row r="1807" spans="3:27" x14ac:dyDescent="0.35">
      <c r="C1807" s="15" t="s">
        <v>8</v>
      </c>
      <c r="D1807" s="15" t="s">
        <v>8</v>
      </c>
      <c r="G1807" s="15" t="s">
        <v>8</v>
      </c>
      <c r="K1807" s="15" t="s">
        <v>8</v>
      </c>
      <c r="R1807" s="15" t="s">
        <v>8</v>
      </c>
    </row>
    <row r="1808" spans="3:27" x14ac:dyDescent="0.35">
      <c r="C1808" s="15" t="s">
        <v>8</v>
      </c>
      <c r="D1808" s="15" t="s">
        <v>8</v>
      </c>
      <c r="G1808" s="15" t="s">
        <v>8</v>
      </c>
      <c r="K1808" s="15" t="s">
        <v>8</v>
      </c>
      <c r="Q1808" s="19" t="str">
        <f>HYPERLINK("http://yeinfo.com/family/I09020672.html", "THOMAS FOWLER &lt;2&gt; 1530 EN-1566 EN ID:09020672")</f>
        <v>THOMAS FOWLER &lt;2&gt; 1530 EN-1566 EN ID:09020672</v>
      </c>
      <c r="R1808" s="9"/>
      <c r="S1808" s="9"/>
      <c r="T1808" s="9"/>
      <c r="U1808" s="9"/>
    </row>
    <row r="1809" spans="3:22" x14ac:dyDescent="0.35">
      <c r="C1809" s="15" t="s">
        <v>8</v>
      </c>
      <c r="D1809" s="15" t="s">
        <v>8</v>
      </c>
      <c r="G1809" s="15" t="s">
        <v>8</v>
      </c>
      <c r="K1809" s="15" t="s">
        <v>8</v>
      </c>
      <c r="Q1809" s="8" t="s">
        <v>3</v>
      </c>
      <c r="R1809" s="8" t="s">
        <v>6</v>
      </c>
    </row>
    <row r="1810" spans="3:22" x14ac:dyDescent="0.35">
      <c r="C1810" s="15" t="s">
        <v>8</v>
      </c>
      <c r="D1810" s="15" t="s">
        <v>8</v>
      </c>
      <c r="G1810" s="15" t="s">
        <v>8</v>
      </c>
      <c r="K1810" s="15" t="s">
        <v>8</v>
      </c>
      <c r="Q1810" s="15" t="s">
        <v>8</v>
      </c>
      <c r="R1810" s="20" t="str">
        <f>HYPERLINK("http://yeinfo.com/family/I09041345.html", "Mrs. ELIZABETH FOWLER &lt;2&gt; 1505 EN-1530 EN ID:09041345")</f>
        <v>Mrs. ELIZABETH FOWLER &lt;2&gt; 1505 EN-1530 EN ID:09041345</v>
      </c>
      <c r="S1810" s="17"/>
      <c r="T1810" s="17"/>
      <c r="U1810" s="17"/>
      <c r="V1810" s="17"/>
    </row>
    <row r="1811" spans="3:22" x14ac:dyDescent="0.35">
      <c r="C1811" s="15" t="s">
        <v>8</v>
      </c>
      <c r="D1811" s="15" t="s">
        <v>8</v>
      </c>
      <c r="G1811" s="15" t="s">
        <v>8</v>
      </c>
      <c r="K1811" s="15" t="s">
        <v>8</v>
      </c>
      <c r="Q1811" s="15" t="s">
        <v>8</v>
      </c>
    </row>
    <row r="1812" spans="3:22" x14ac:dyDescent="0.35">
      <c r="C1812" s="15" t="s">
        <v>8</v>
      </c>
      <c r="D1812" s="15" t="s">
        <v>8</v>
      </c>
      <c r="G1812" s="15" t="s">
        <v>8</v>
      </c>
      <c r="K1812" s="15" t="s">
        <v>8</v>
      </c>
      <c r="P1812" s="19" t="str">
        <f>HYPERLINK("http://yeinfo.com/family/I09010336.html", "HENRY FOWLER I &lt;2&gt; 1546 EN-1590 EN ID:09010336")</f>
        <v>HENRY FOWLER I &lt;2&gt; 1546 EN-1590 EN ID:09010336</v>
      </c>
      <c r="Q1812" s="9"/>
      <c r="R1812" s="9"/>
      <c r="S1812" s="9"/>
      <c r="T1812" s="9"/>
    </row>
    <row r="1813" spans="3:22" x14ac:dyDescent="0.35">
      <c r="C1813" s="15" t="s">
        <v>8</v>
      </c>
      <c r="D1813" s="15" t="s">
        <v>8</v>
      </c>
      <c r="G1813" s="15" t="s">
        <v>8</v>
      </c>
      <c r="K1813" s="15" t="s">
        <v>8</v>
      </c>
      <c r="P1813" s="8" t="s">
        <v>3</v>
      </c>
      <c r="Q1813" s="8" t="s">
        <v>6</v>
      </c>
    </row>
    <row r="1814" spans="3:22" x14ac:dyDescent="0.35">
      <c r="C1814" s="15" t="s">
        <v>8</v>
      </c>
      <c r="D1814" s="15" t="s">
        <v>8</v>
      </c>
      <c r="G1814" s="15" t="s">
        <v>8</v>
      </c>
      <c r="K1814" s="15" t="s">
        <v>8</v>
      </c>
      <c r="P1814" s="15" t="s">
        <v>8</v>
      </c>
      <c r="Q1814" s="20" t="str">
        <f>HYPERLINK("http://yeinfo.com/family/I09020673.html", "Mrs. {_?_} FOWLER &lt;2&gt; 1535 EN-1566 EN ID:09020673")</f>
        <v>Mrs. {_?_} FOWLER &lt;2&gt; 1535 EN-1566 EN ID:09020673</v>
      </c>
      <c r="R1814" s="17"/>
      <c r="S1814" s="17"/>
      <c r="T1814" s="17"/>
      <c r="U1814" s="17"/>
    </row>
    <row r="1815" spans="3:22" x14ac:dyDescent="0.35">
      <c r="C1815" s="15" t="s">
        <v>8</v>
      </c>
      <c r="D1815" s="15" t="s">
        <v>8</v>
      </c>
      <c r="G1815" s="15" t="s">
        <v>8</v>
      </c>
      <c r="K1815" s="15" t="s">
        <v>8</v>
      </c>
      <c r="P1815" s="15" t="s">
        <v>8</v>
      </c>
    </row>
    <row r="1816" spans="3:22" x14ac:dyDescent="0.35">
      <c r="C1816" s="15" t="s">
        <v>8</v>
      </c>
      <c r="D1816" s="15" t="s">
        <v>8</v>
      </c>
      <c r="G1816" s="15" t="s">
        <v>8</v>
      </c>
      <c r="K1816" s="15" t="s">
        <v>8</v>
      </c>
      <c r="O1816" s="21" t="str">
        <f>HYPERLINK("http://yeinfo.com/family/I09005168.html", "HENRY FOWLER II &lt;2&gt; 1590 EN-1661 NY ID:09005168")</f>
        <v>HENRY FOWLER II &lt;2&gt; 1590 EN-1661 NY ID:09005168</v>
      </c>
      <c r="P1816" s="6"/>
      <c r="Q1816" s="6"/>
      <c r="R1816" s="6"/>
      <c r="S1816" s="6"/>
    </row>
    <row r="1817" spans="3:22" x14ac:dyDescent="0.35">
      <c r="C1817" s="15" t="s">
        <v>8</v>
      </c>
      <c r="D1817" s="15" t="s">
        <v>8</v>
      </c>
      <c r="G1817" s="15" t="s">
        <v>8</v>
      </c>
      <c r="K1817" s="15" t="s">
        <v>8</v>
      </c>
      <c r="O1817" s="8" t="s">
        <v>3</v>
      </c>
      <c r="P1817" s="8" t="s">
        <v>6</v>
      </c>
    </row>
    <row r="1818" spans="3:22" x14ac:dyDescent="0.35">
      <c r="C1818" s="15" t="s">
        <v>8</v>
      </c>
      <c r="D1818" s="15" t="s">
        <v>8</v>
      </c>
      <c r="G1818" s="15" t="s">
        <v>8</v>
      </c>
      <c r="K1818" s="15" t="s">
        <v>8</v>
      </c>
      <c r="O1818" s="15" t="s">
        <v>8</v>
      </c>
      <c r="P1818" s="20" t="str">
        <f>HYPERLINK("http://yeinfo.com/family/I09010337.html", "ARMIS KNIGHT &lt;2&gt; 1560 EN-1590 EN ID:09010337")</f>
        <v>ARMIS KNIGHT &lt;2&gt; 1560 EN-1590 EN ID:09010337</v>
      </c>
      <c r="Q1818" s="17"/>
      <c r="R1818" s="17"/>
      <c r="S1818" s="17"/>
      <c r="T1818" s="17"/>
    </row>
    <row r="1819" spans="3:22" x14ac:dyDescent="0.35">
      <c r="C1819" s="15" t="s">
        <v>8</v>
      </c>
      <c r="D1819" s="15" t="s">
        <v>8</v>
      </c>
      <c r="G1819" s="15" t="s">
        <v>8</v>
      </c>
      <c r="K1819" s="15" t="s">
        <v>8</v>
      </c>
      <c r="O1819" s="15" t="s">
        <v>8</v>
      </c>
    </row>
    <row r="1820" spans="3:22" x14ac:dyDescent="0.35">
      <c r="C1820" s="15" t="s">
        <v>8</v>
      </c>
      <c r="D1820" s="15" t="s">
        <v>8</v>
      </c>
      <c r="G1820" s="15" t="s">
        <v>8</v>
      </c>
      <c r="K1820" s="15" t="s">
        <v>8</v>
      </c>
      <c r="N1820" s="21" t="str">
        <f>HYPERLINK("http://yeinfo.com/family/I09002584.html", "HENRY FOWLER III &lt;2&gt; 1633 EN-1687 NY ID:09002584")</f>
        <v>HENRY FOWLER III &lt;2&gt; 1633 EN-1687 NY ID:09002584</v>
      </c>
      <c r="O1820" s="6"/>
      <c r="P1820" s="6"/>
      <c r="Q1820" s="6"/>
      <c r="R1820" s="6"/>
    </row>
    <row r="1821" spans="3:22" x14ac:dyDescent="0.35">
      <c r="C1821" s="15" t="s">
        <v>8</v>
      </c>
      <c r="D1821" s="15" t="s">
        <v>8</v>
      </c>
      <c r="G1821" s="15" t="s">
        <v>8</v>
      </c>
      <c r="K1821" s="15" t="s">
        <v>8</v>
      </c>
      <c r="N1821" s="8" t="s">
        <v>3</v>
      </c>
      <c r="O1821" s="15" t="s">
        <v>8</v>
      </c>
    </row>
    <row r="1822" spans="3:22" x14ac:dyDescent="0.35">
      <c r="C1822" s="15" t="s">
        <v>8</v>
      </c>
      <c r="D1822" s="15" t="s">
        <v>8</v>
      </c>
      <c r="G1822" s="15" t="s">
        <v>8</v>
      </c>
      <c r="K1822" s="15" t="s">
        <v>8</v>
      </c>
      <c r="N1822" s="15" t="s">
        <v>8</v>
      </c>
      <c r="O1822" s="15" t="s">
        <v>8</v>
      </c>
      <c r="Q1822" s="19" t="str">
        <f>HYPERLINK("http://yeinfo.com/family/I09020676.html", "MONTEGUE KEVINGTON Jr. &lt;2&gt; 1540 EN-1575 EN ID:09020676")</f>
        <v>MONTEGUE KEVINGTON Jr. &lt;2&gt; 1540 EN-1575 EN ID:09020676</v>
      </c>
      <c r="R1822" s="9"/>
      <c r="S1822" s="9"/>
      <c r="T1822" s="9"/>
      <c r="U1822" s="9"/>
    </row>
    <row r="1823" spans="3:22" x14ac:dyDescent="0.35">
      <c r="C1823" s="15" t="s">
        <v>8</v>
      </c>
      <c r="D1823" s="15" t="s">
        <v>8</v>
      </c>
      <c r="G1823" s="15" t="s">
        <v>8</v>
      </c>
      <c r="K1823" s="15" t="s">
        <v>8</v>
      </c>
      <c r="N1823" s="15" t="s">
        <v>8</v>
      </c>
      <c r="O1823" s="15" t="s">
        <v>8</v>
      </c>
      <c r="Q1823" s="8" t="s">
        <v>3</v>
      </c>
    </row>
    <row r="1824" spans="3:22" x14ac:dyDescent="0.35">
      <c r="C1824" s="15" t="s">
        <v>8</v>
      </c>
      <c r="D1824" s="15" t="s">
        <v>8</v>
      </c>
      <c r="G1824" s="15" t="s">
        <v>8</v>
      </c>
      <c r="K1824" s="15" t="s">
        <v>8</v>
      </c>
      <c r="N1824" s="15" t="s">
        <v>8</v>
      </c>
      <c r="O1824" s="15" t="s">
        <v>8</v>
      </c>
      <c r="P1824" s="19" t="str">
        <f>HYPERLINK("http://yeinfo.com/family/I09010338.html", "MONTEGUE KEVINGTON III &lt;2&gt; 1575 EN-1600 EN ID:09010338")</f>
        <v>MONTEGUE KEVINGTON III &lt;2&gt; 1575 EN-1600 EN ID:09010338</v>
      </c>
      <c r="Q1824" s="9"/>
      <c r="R1824" s="9"/>
      <c r="S1824" s="9"/>
      <c r="T1824" s="9"/>
    </row>
    <row r="1825" spans="3:21" x14ac:dyDescent="0.35">
      <c r="C1825" s="15" t="s">
        <v>8</v>
      </c>
      <c r="D1825" s="15" t="s">
        <v>8</v>
      </c>
      <c r="G1825" s="15" t="s">
        <v>8</v>
      </c>
      <c r="K1825" s="15" t="s">
        <v>8</v>
      </c>
      <c r="N1825" s="15" t="s">
        <v>8</v>
      </c>
      <c r="O1825" s="15" t="s">
        <v>8</v>
      </c>
      <c r="P1825" s="8" t="s">
        <v>3</v>
      </c>
      <c r="Q1825" s="8" t="s">
        <v>6</v>
      </c>
    </row>
    <row r="1826" spans="3:21" x14ac:dyDescent="0.35">
      <c r="C1826" s="15" t="s">
        <v>8</v>
      </c>
      <c r="D1826" s="15" t="s">
        <v>8</v>
      </c>
      <c r="G1826" s="15" t="s">
        <v>8</v>
      </c>
      <c r="K1826" s="15" t="s">
        <v>8</v>
      </c>
      <c r="N1826" s="15" t="s">
        <v>8</v>
      </c>
      <c r="O1826" s="15" t="s">
        <v>8</v>
      </c>
      <c r="P1826" s="15" t="s">
        <v>8</v>
      </c>
      <c r="Q1826" s="20" t="str">
        <f>HYPERLINK("http://yeinfo.com/family/I09020677.html", "Mrs. {_?_} KEVINGTON &lt;2&gt; 1550 EN-1575 EN ID:09020677")</f>
        <v>Mrs. {_?_} KEVINGTON &lt;2&gt; 1550 EN-1575 EN ID:09020677</v>
      </c>
      <c r="R1826" s="17"/>
      <c r="S1826" s="17"/>
      <c r="T1826" s="17"/>
      <c r="U1826" s="17"/>
    </row>
    <row r="1827" spans="3:21" x14ac:dyDescent="0.35">
      <c r="C1827" s="15" t="s">
        <v>8</v>
      </c>
      <c r="D1827" s="15" t="s">
        <v>8</v>
      </c>
      <c r="G1827" s="15" t="s">
        <v>8</v>
      </c>
      <c r="K1827" s="15" t="s">
        <v>8</v>
      </c>
      <c r="N1827" s="15" t="s">
        <v>8</v>
      </c>
      <c r="O1827" s="8" t="s">
        <v>6</v>
      </c>
      <c r="P1827" s="15" t="s">
        <v>8</v>
      </c>
    </row>
    <row r="1828" spans="3:21" x14ac:dyDescent="0.35">
      <c r="C1828" s="15" t="s">
        <v>8</v>
      </c>
      <c r="D1828" s="15" t="s">
        <v>8</v>
      </c>
      <c r="G1828" s="15" t="s">
        <v>8</v>
      </c>
      <c r="K1828" s="15" t="s">
        <v>8</v>
      </c>
      <c r="N1828" s="15" t="s">
        <v>8</v>
      </c>
      <c r="O1828" s="22" t="str">
        <f>HYPERLINK("http://yeinfo.com/family/I09005169.html", "SARAH ALICE KEVINGTON &lt;2&gt; 1600 EN-1633 NY ID:09005169")</f>
        <v>SARAH ALICE KEVINGTON &lt;2&gt; 1600 EN-1633 NY ID:09005169</v>
      </c>
      <c r="P1828" s="13"/>
      <c r="Q1828" s="13"/>
      <c r="R1828" s="13"/>
      <c r="S1828" s="13"/>
    </row>
    <row r="1829" spans="3:21" x14ac:dyDescent="0.35">
      <c r="C1829" s="15" t="s">
        <v>8</v>
      </c>
      <c r="D1829" s="15" t="s">
        <v>8</v>
      </c>
      <c r="G1829" s="15" t="s">
        <v>8</v>
      </c>
      <c r="K1829" s="15" t="s">
        <v>8</v>
      </c>
      <c r="N1829" s="15" t="s">
        <v>8</v>
      </c>
      <c r="P1829" s="8" t="s">
        <v>6</v>
      </c>
    </row>
    <row r="1830" spans="3:21" x14ac:dyDescent="0.35">
      <c r="C1830" s="15" t="s">
        <v>8</v>
      </c>
      <c r="D1830" s="15" t="s">
        <v>8</v>
      </c>
      <c r="G1830" s="15" t="s">
        <v>8</v>
      </c>
      <c r="K1830" s="15" t="s">
        <v>8</v>
      </c>
      <c r="N1830" s="15" t="s">
        <v>8</v>
      </c>
      <c r="P1830" s="20" t="str">
        <f>HYPERLINK("http://yeinfo.com/family/I09010339.html", "DEIDRE BUCKINGHAM &lt;2&gt; 1576 EN-1600 EN ID:09010339")</f>
        <v>DEIDRE BUCKINGHAM &lt;2&gt; 1576 EN-1600 EN ID:09010339</v>
      </c>
      <c r="Q1830" s="17"/>
      <c r="R1830" s="17"/>
      <c r="S1830" s="17"/>
      <c r="T1830" s="17"/>
    </row>
    <row r="1831" spans="3:21" x14ac:dyDescent="0.35">
      <c r="C1831" s="15" t="s">
        <v>8</v>
      </c>
      <c r="D1831" s="15" t="s">
        <v>8</v>
      </c>
      <c r="G1831" s="15" t="s">
        <v>8</v>
      </c>
      <c r="K1831" s="15" t="s">
        <v>8</v>
      </c>
      <c r="N1831" s="15" t="s">
        <v>8</v>
      </c>
    </row>
    <row r="1832" spans="3:21" x14ac:dyDescent="0.35">
      <c r="C1832" s="15" t="s">
        <v>8</v>
      </c>
      <c r="D1832" s="15" t="s">
        <v>8</v>
      </c>
      <c r="G1832" s="15" t="s">
        <v>8</v>
      </c>
      <c r="K1832" s="15" t="s">
        <v>8</v>
      </c>
      <c r="M1832" s="5" t="str">
        <f>HYPERLINK("http://yeinfo.com/family/I09001292.html", "HENRY FOWLER &lt;2&gt; 1657 RI-1687 NY ID:09001292")</f>
        <v>HENRY FOWLER &lt;2&gt; 1657 RI-1687 NY ID:09001292</v>
      </c>
      <c r="N1832" s="3"/>
      <c r="O1832" s="3"/>
      <c r="P1832" s="3"/>
      <c r="Q1832" s="3"/>
    </row>
    <row r="1833" spans="3:21" x14ac:dyDescent="0.35">
      <c r="C1833" s="15" t="s">
        <v>8</v>
      </c>
      <c r="D1833" s="15" t="s">
        <v>8</v>
      </c>
      <c r="G1833" s="15" t="s">
        <v>8</v>
      </c>
      <c r="K1833" s="15" t="s">
        <v>8</v>
      </c>
      <c r="M1833" s="8" t="s">
        <v>3</v>
      </c>
      <c r="N1833" s="15" t="s">
        <v>8</v>
      </c>
    </row>
    <row r="1834" spans="3:21" x14ac:dyDescent="0.35">
      <c r="C1834" s="15" t="s">
        <v>8</v>
      </c>
      <c r="D1834" s="15" t="s">
        <v>8</v>
      </c>
      <c r="G1834" s="15" t="s">
        <v>8</v>
      </c>
      <c r="K1834" s="15" t="s">
        <v>8</v>
      </c>
      <c r="M1834" s="15" t="s">
        <v>8</v>
      </c>
      <c r="N1834" s="15" t="s">
        <v>8</v>
      </c>
      <c r="P1834" s="19" t="str">
        <f>HYPERLINK("http://yeinfo.com/family/I09010340.html", "ABRAHAM NEWELL Sr. &lt;2&gt; 1555 EN-1592 EN ID:09010340")</f>
        <v>ABRAHAM NEWELL Sr. &lt;2&gt; 1555 EN-1592 EN ID:09010340</v>
      </c>
      <c r="Q1834" s="9"/>
      <c r="R1834" s="9"/>
      <c r="S1834" s="9"/>
      <c r="T1834" s="9"/>
    </row>
    <row r="1835" spans="3:21" x14ac:dyDescent="0.35">
      <c r="C1835" s="15" t="s">
        <v>8</v>
      </c>
      <c r="D1835" s="15" t="s">
        <v>8</v>
      </c>
      <c r="G1835" s="15" t="s">
        <v>8</v>
      </c>
      <c r="K1835" s="15" t="s">
        <v>8</v>
      </c>
      <c r="M1835" s="15" t="s">
        <v>8</v>
      </c>
      <c r="N1835" s="15" t="s">
        <v>8</v>
      </c>
      <c r="P1835" s="8" t="s">
        <v>3</v>
      </c>
    </row>
    <row r="1836" spans="3:21" x14ac:dyDescent="0.35">
      <c r="C1836" s="15" t="s">
        <v>8</v>
      </c>
      <c r="D1836" s="15" t="s">
        <v>8</v>
      </c>
      <c r="G1836" s="15" t="s">
        <v>8</v>
      </c>
      <c r="K1836" s="15" t="s">
        <v>8</v>
      </c>
      <c r="M1836" s="15" t="s">
        <v>8</v>
      </c>
      <c r="N1836" s="15" t="s">
        <v>8</v>
      </c>
      <c r="O1836" s="21" t="str">
        <f>HYPERLINK("http://yeinfo.com/family/I09005170.html", "ABRAHAM NEWELL Jr. &lt;2&gt; 1583 EN-1683 MA ID:09005170")</f>
        <v>ABRAHAM NEWELL Jr. &lt;2&gt; 1583 EN-1683 MA ID:09005170</v>
      </c>
      <c r="P1836" s="6"/>
      <c r="Q1836" s="6"/>
      <c r="R1836" s="6"/>
      <c r="S1836" s="6"/>
    </row>
    <row r="1837" spans="3:21" x14ac:dyDescent="0.35">
      <c r="C1837" s="15" t="s">
        <v>8</v>
      </c>
      <c r="D1837" s="15" t="s">
        <v>8</v>
      </c>
      <c r="G1837" s="15" t="s">
        <v>8</v>
      </c>
      <c r="K1837" s="15" t="s">
        <v>8</v>
      </c>
      <c r="M1837" s="15" t="s">
        <v>8</v>
      </c>
      <c r="N1837" s="15" t="s">
        <v>8</v>
      </c>
      <c r="O1837" s="8" t="s">
        <v>3</v>
      </c>
      <c r="P1837" s="8" t="s">
        <v>6</v>
      </c>
    </row>
    <row r="1838" spans="3:21" x14ac:dyDescent="0.35">
      <c r="C1838" s="15" t="s">
        <v>8</v>
      </c>
      <c r="D1838" s="15" t="s">
        <v>8</v>
      </c>
      <c r="G1838" s="15" t="s">
        <v>8</v>
      </c>
      <c r="K1838" s="15" t="s">
        <v>8</v>
      </c>
      <c r="M1838" s="15" t="s">
        <v>8</v>
      </c>
      <c r="N1838" s="15" t="s">
        <v>8</v>
      </c>
      <c r="O1838" s="15" t="s">
        <v>8</v>
      </c>
      <c r="P1838" s="20" t="str">
        <f>HYPERLINK("http://yeinfo.com/family/I09010341.html", "FRANCES HYNDE &lt;2&gt; 1559 EN-1583 EN ID:09010341")</f>
        <v>FRANCES HYNDE &lt;2&gt; 1559 EN-1583 EN ID:09010341</v>
      </c>
      <c r="Q1838" s="17"/>
      <c r="R1838" s="17"/>
      <c r="S1838" s="17"/>
      <c r="T1838" s="17"/>
    </row>
    <row r="1839" spans="3:21" x14ac:dyDescent="0.35">
      <c r="C1839" s="15" t="s">
        <v>8</v>
      </c>
      <c r="D1839" s="15" t="s">
        <v>8</v>
      </c>
      <c r="G1839" s="15" t="s">
        <v>8</v>
      </c>
      <c r="K1839" s="15" t="s">
        <v>8</v>
      </c>
      <c r="M1839" s="15" t="s">
        <v>8</v>
      </c>
      <c r="N1839" s="8" t="s">
        <v>6</v>
      </c>
      <c r="O1839" s="15" t="s">
        <v>8</v>
      </c>
    </row>
    <row r="1840" spans="3:21" x14ac:dyDescent="0.35">
      <c r="C1840" s="15" t="s">
        <v>8</v>
      </c>
      <c r="D1840" s="15" t="s">
        <v>8</v>
      </c>
      <c r="G1840" s="15" t="s">
        <v>8</v>
      </c>
      <c r="K1840" s="15" t="s">
        <v>8</v>
      </c>
      <c r="M1840" s="15" t="s">
        <v>8</v>
      </c>
      <c r="N1840" s="16" t="str">
        <f>HYPERLINK("http://yeinfo.com/family/I09002585.html", "REBECCA NEWELL &lt;2&gt; 1637 MA-1730 MA ID:09002585")</f>
        <v>REBECCA NEWELL &lt;2&gt; 1637 MA-1730 MA ID:09002585</v>
      </c>
      <c r="O1840" s="11"/>
      <c r="P1840" s="11"/>
      <c r="Q1840" s="11"/>
      <c r="R1840" s="11"/>
    </row>
    <row r="1841" spans="3:24" x14ac:dyDescent="0.35">
      <c r="C1841" s="15" t="s">
        <v>8</v>
      </c>
      <c r="D1841" s="15" t="s">
        <v>8</v>
      </c>
      <c r="G1841" s="15" t="s">
        <v>8</v>
      </c>
      <c r="K1841" s="15" t="s">
        <v>8</v>
      </c>
      <c r="M1841" s="15" t="s">
        <v>8</v>
      </c>
      <c r="O1841" s="8" t="s">
        <v>6</v>
      </c>
    </row>
    <row r="1842" spans="3:24" x14ac:dyDescent="0.35">
      <c r="C1842" s="15" t="s">
        <v>8</v>
      </c>
      <c r="D1842" s="15" t="s">
        <v>8</v>
      </c>
      <c r="G1842" s="15" t="s">
        <v>8</v>
      </c>
      <c r="K1842" s="15" t="s">
        <v>8</v>
      </c>
      <c r="M1842" s="15" t="s">
        <v>8</v>
      </c>
      <c r="O1842" s="22" t="str">
        <f>HYPERLINK("http://yeinfo.com/family/I09005171.html", "FRANCES FOOTE &lt;2&gt; 1594 EN-1637 MA ID:09005171")</f>
        <v>FRANCES FOOTE &lt;2&gt; 1594 EN-1637 MA ID:09005171</v>
      </c>
      <c r="P1842" s="13"/>
      <c r="Q1842" s="13"/>
      <c r="R1842" s="13"/>
      <c r="S1842" s="13"/>
    </row>
    <row r="1843" spans="3:24" x14ac:dyDescent="0.35">
      <c r="C1843" s="15" t="s">
        <v>8</v>
      </c>
      <c r="D1843" s="15" t="s">
        <v>8</v>
      </c>
      <c r="G1843" s="15" t="s">
        <v>8</v>
      </c>
      <c r="K1843" s="15" t="s">
        <v>8</v>
      </c>
      <c r="M1843" s="15" t="s">
        <v>8</v>
      </c>
    </row>
    <row r="1844" spans="3:24" x14ac:dyDescent="0.35">
      <c r="C1844" s="15" t="s">
        <v>8</v>
      </c>
      <c r="D1844" s="15" t="s">
        <v>8</v>
      </c>
      <c r="G1844" s="15" t="s">
        <v>8</v>
      </c>
      <c r="K1844" s="15" t="s">
        <v>8</v>
      </c>
      <c r="L1844" s="5" t="str">
        <f>HYPERLINK("http://yeinfo.com/family/I09000646.html", "WILLIAM FOWLER &lt;2&gt; 1687 NY-1747 NY ID:09000646")</f>
        <v>WILLIAM FOWLER &lt;2&gt; 1687 NY-1747 NY ID:09000646</v>
      </c>
      <c r="M1844" s="3"/>
      <c r="N1844" s="3"/>
      <c r="O1844" s="3"/>
      <c r="P1844" s="3"/>
    </row>
    <row r="1845" spans="3:24" x14ac:dyDescent="0.35">
      <c r="C1845" s="15" t="s">
        <v>8</v>
      </c>
      <c r="D1845" s="15" t="s">
        <v>8</v>
      </c>
      <c r="G1845" s="15" t="s">
        <v>8</v>
      </c>
      <c r="K1845" s="15" t="s">
        <v>8</v>
      </c>
      <c r="L1845" s="8" t="s">
        <v>3</v>
      </c>
      <c r="M1845" s="15" t="s">
        <v>8</v>
      </c>
    </row>
    <row r="1846" spans="3:24" x14ac:dyDescent="0.35">
      <c r="C1846" s="15" t="s">
        <v>8</v>
      </c>
      <c r="D1846" s="15" t="s">
        <v>8</v>
      </c>
      <c r="G1846" s="15" t="s">
        <v>8</v>
      </c>
      <c r="K1846" s="15" t="s">
        <v>8</v>
      </c>
      <c r="L1846" s="15" t="s">
        <v>8</v>
      </c>
      <c r="M1846" s="15" t="s">
        <v>8</v>
      </c>
      <c r="O1846" s="5" t="str">
        <f>HYPERLINK("http://yeinfo.com/family/I09005172.html", "SIMON HOYT &lt;2&gt; 1593 EN-1637  ID:09005172")</f>
        <v>SIMON HOYT &lt;2&gt; 1593 EN-1637  ID:09005172</v>
      </c>
      <c r="P1846" s="3"/>
      <c r="Q1846" s="3"/>
      <c r="R1846" s="3"/>
      <c r="S1846" s="3"/>
    </row>
    <row r="1847" spans="3:24" x14ac:dyDescent="0.35">
      <c r="C1847" s="15" t="s">
        <v>8</v>
      </c>
      <c r="D1847" s="15" t="s">
        <v>8</v>
      </c>
      <c r="G1847" s="15" t="s">
        <v>8</v>
      </c>
      <c r="K1847" s="15" t="s">
        <v>8</v>
      </c>
      <c r="L1847" s="15" t="s">
        <v>8</v>
      </c>
      <c r="M1847" s="15" t="s">
        <v>8</v>
      </c>
      <c r="O1847" s="8" t="s">
        <v>3</v>
      </c>
    </row>
    <row r="1848" spans="3:24" x14ac:dyDescent="0.35">
      <c r="C1848" s="15" t="s">
        <v>8</v>
      </c>
      <c r="D1848" s="15" t="s">
        <v>8</v>
      </c>
      <c r="G1848" s="15" t="s">
        <v>8</v>
      </c>
      <c r="K1848" s="15" t="s">
        <v>8</v>
      </c>
      <c r="L1848" s="15" t="s">
        <v>8</v>
      </c>
      <c r="M1848" s="15" t="s">
        <v>8</v>
      </c>
      <c r="N1848" s="5" t="str">
        <f>HYPERLINK("http://yeinfo.com/family/I09002586.html", "MOSES HOYT Sr. &lt;2&gt; 1637 CT-1658 NY ID:09002586")</f>
        <v>MOSES HOYT Sr. &lt;2&gt; 1637 CT-1658 NY ID:09002586</v>
      </c>
      <c r="O1848" s="3"/>
      <c r="P1848" s="3"/>
      <c r="Q1848" s="3"/>
      <c r="R1848" s="3"/>
    </row>
    <row r="1849" spans="3:24" x14ac:dyDescent="0.35">
      <c r="C1849" s="15" t="s">
        <v>8</v>
      </c>
      <c r="D1849" s="15" t="s">
        <v>8</v>
      </c>
      <c r="G1849" s="15" t="s">
        <v>8</v>
      </c>
      <c r="K1849" s="15" t="s">
        <v>8</v>
      </c>
      <c r="L1849" s="15" t="s">
        <v>8</v>
      </c>
      <c r="M1849" s="15" t="s">
        <v>8</v>
      </c>
      <c r="N1849" s="8" t="s">
        <v>3</v>
      </c>
      <c r="O1849" s="8" t="s">
        <v>6</v>
      </c>
    </row>
    <row r="1850" spans="3:24" x14ac:dyDescent="0.35">
      <c r="C1850" s="15" t="s">
        <v>8</v>
      </c>
      <c r="D1850" s="15" t="s">
        <v>8</v>
      </c>
      <c r="G1850" s="15" t="s">
        <v>8</v>
      </c>
      <c r="K1850" s="15" t="s">
        <v>8</v>
      </c>
      <c r="L1850" s="15" t="s">
        <v>8</v>
      </c>
      <c r="M1850" s="15" t="s">
        <v>8</v>
      </c>
      <c r="N1850" s="15" t="s">
        <v>8</v>
      </c>
      <c r="O1850" s="22" t="str">
        <f>HYPERLINK("http://yeinfo.com/family/I09005173.html", "SUSANNAH SMITH &lt;2&gt; 1615 EN-1637 CT ID:09005173")</f>
        <v>SUSANNAH SMITH &lt;2&gt; 1615 EN-1637 CT ID:09005173</v>
      </c>
      <c r="P1850" s="13"/>
      <c r="Q1850" s="13"/>
      <c r="R1850" s="13"/>
      <c r="S1850" s="13"/>
    </row>
    <row r="1851" spans="3:24" x14ac:dyDescent="0.35">
      <c r="C1851" s="15" t="s">
        <v>8</v>
      </c>
      <c r="D1851" s="15" t="s">
        <v>8</v>
      </c>
      <c r="G1851" s="15" t="s">
        <v>8</v>
      </c>
      <c r="K1851" s="15" t="s">
        <v>8</v>
      </c>
      <c r="L1851" s="15" t="s">
        <v>8</v>
      </c>
      <c r="M1851" s="8" t="s">
        <v>6</v>
      </c>
      <c r="N1851" s="15" t="s">
        <v>8</v>
      </c>
    </row>
    <row r="1852" spans="3:24" x14ac:dyDescent="0.35">
      <c r="C1852" s="15" t="s">
        <v>8</v>
      </c>
      <c r="D1852" s="15" t="s">
        <v>8</v>
      </c>
      <c r="G1852" s="15" t="s">
        <v>8</v>
      </c>
      <c r="K1852" s="15" t="s">
        <v>8</v>
      </c>
      <c r="L1852" s="15" t="s">
        <v>8</v>
      </c>
      <c r="M1852" s="16" t="str">
        <f>HYPERLINK("http://yeinfo.com/family/I09001293.html", "ABIGAIL HOYT &lt;2&gt; 1658 -1738  ID:09001293")</f>
        <v>ABIGAIL HOYT &lt;2&gt; 1658 -1738  ID:09001293</v>
      </c>
      <c r="N1852" s="11"/>
      <c r="O1852" s="11"/>
      <c r="P1852" s="11"/>
      <c r="Q1852" s="11"/>
    </row>
    <row r="1853" spans="3:24" x14ac:dyDescent="0.35">
      <c r="C1853" s="15" t="s">
        <v>8</v>
      </c>
      <c r="D1853" s="15" t="s">
        <v>8</v>
      </c>
      <c r="G1853" s="15" t="s">
        <v>8</v>
      </c>
      <c r="K1853" s="15" t="s">
        <v>8</v>
      </c>
      <c r="L1853" s="15" t="s">
        <v>8</v>
      </c>
      <c r="N1853" s="15" t="s">
        <v>8</v>
      </c>
    </row>
    <row r="1854" spans="3:24" x14ac:dyDescent="0.35">
      <c r="C1854" s="15" t="s">
        <v>8</v>
      </c>
      <c r="D1854" s="15" t="s">
        <v>8</v>
      </c>
      <c r="G1854" s="15" t="s">
        <v>8</v>
      </c>
      <c r="K1854" s="15" t="s">
        <v>8</v>
      </c>
      <c r="L1854" s="15" t="s">
        <v>8</v>
      </c>
      <c r="N1854" s="15" t="s">
        <v>8</v>
      </c>
      <c r="T1854" s="19" t="str">
        <f>HYPERLINK("http://yeinfo.com/family/I09065773.html", "JOHN BUDD &lt;2&gt; 1450 EN-1520 EN ID:09065773")</f>
        <v>JOHN BUDD &lt;2&gt; 1450 EN-1520 EN ID:09065773</v>
      </c>
      <c r="U1854" s="9"/>
      <c r="V1854" s="9"/>
      <c r="W1854" s="9"/>
      <c r="X1854" s="9"/>
    </row>
    <row r="1855" spans="3:24" x14ac:dyDescent="0.35">
      <c r="C1855" s="15" t="s">
        <v>8</v>
      </c>
      <c r="D1855" s="15" t="s">
        <v>8</v>
      </c>
      <c r="G1855" s="15" t="s">
        <v>8</v>
      </c>
      <c r="K1855" s="15" t="s">
        <v>8</v>
      </c>
      <c r="L1855" s="15" t="s">
        <v>8</v>
      </c>
      <c r="N1855" s="15" t="s">
        <v>8</v>
      </c>
      <c r="T1855" s="8" t="s">
        <v>3</v>
      </c>
    </row>
    <row r="1856" spans="3:24" x14ac:dyDescent="0.35">
      <c r="C1856" s="15" t="s">
        <v>8</v>
      </c>
      <c r="D1856" s="15" t="s">
        <v>8</v>
      </c>
      <c r="G1856" s="15" t="s">
        <v>8</v>
      </c>
      <c r="K1856" s="15" t="s">
        <v>8</v>
      </c>
      <c r="L1856" s="15" t="s">
        <v>8</v>
      </c>
      <c r="N1856" s="15" t="s">
        <v>8</v>
      </c>
      <c r="S1856" s="19" t="str">
        <f>HYPERLINK("http://yeinfo.com/family/I09065639.html", "WILLIAM BUDD &lt;2&gt; 1479 EN-1557 EN ID:09065639")</f>
        <v>WILLIAM BUDD &lt;2&gt; 1479 EN-1557 EN ID:09065639</v>
      </c>
      <c r="T1856" s="9"/>
      <c r="U1856" s="9"/>
      <c r="V1856" s="9"/>
      <c r="W1856" s="9"/>
    </row>
    <row r="1857" spans="3:28" x14ac:dyDescent="0.35">
      <c r="C1857" s="15" t="s">
        <v>8</v>
      </c>
      <c r="D1857" s="15" t="s">
        <v>8</v>
      </c>
      <c r="G1857" s="15" t="s">
        <v>8</v>
      </c>
      <c r="K1857" s="15" t="s">
        <v>8</v>
      </c>
      <c r="L1857" s="15" t="s">
        <v>8</v>
      </c>
      <c r="N1857" s="15" t="s">
        <v>8</v>
      </c>
      <c r="S1857" s="8" t="s">
        <v>3</v>
      </c>
      <c r="T1857" s="8" t="s">
        <v>6</v>
      </c>
    </row>
    <row r="1858" spans="3:28" x14ac:dyDescent="0.35">
      <c r="C1858" s="15" t="s">
        <v>8</v>
      </c>
      <c r="D1858" s="15" t="s">
        <v>8</v>
      </c>
      <c r="G1858" s="15" t="s">
        <v>8</v>
      </c>
      <c r="K1858" s="15" t="s">
        <v>8</v>
      </c>
      <c r="L1858" s="15" t="s">
        <v>8</v>
      </c>
      <c r="N1858" s="15" t="s">
        <v>8</v>
      </c>
      <c r="S1858" s="15" t="s">
        <v>8</v>
      </c>
      <c r="T1858" s="20" t="str">
        <f>HYPERLINK("http://yeinfo.com/family/I09065771.html", "ELIZABETH BISHOPPE &lt;2&gt; 1454 EN-1525 EN ID:09065771")</f>
        <v>ELIZABETH BISHOPPE &lt;2&gt; 1454 EN-1525 EN ID:09065771</v>
      </c>
      <c r="U1858" s="17"/>
      <c r="V1858" s="17"/>
      <c r="W1858" s="17"/>
      <c r="X1858" s="17"/>
    </row>
    <row r="1859" spans="3:28" x14ac:dyDescent="0.35">
      <c r="C1859" s="15" t="s">
        <v>8</v>
      </c>
      <c r="D1859" s="15" t="s">
        <v>8</v>
      </c>
      <c r="G1859" s="15" t="s">
        <v>8</v>
      </c>
      <c r="K1859" s="15" t="s">
        <v>8</v>
      </c>
      <c r="L1859" s="15" t="s">
        <v>8</v>
      </c>
      <c r="N1859" s="15" t="s">
        <v>8</v>
      </c>
      <c r="S1859" s="15" t="s">
        <v>8</v>
      </c>
    </row>
    <row r="1860" spans="3:28" x14ac:dyDescent="0.35">
      <c r="C1860" s="15" t="s">
        <v>8</v>
      </c>
      <c r="D1860" s="15" t="s">
        <v>8</v>
      </c>
      <c r="G1860" s="15" t="s">
        <v>8</v>
      </c>
      <c r="K1860" s="15" t="s">
        <v>8</v>
      </c>
      <c r="L1860" s="15" t="s">
        <v>8</v>
      </c>
      <c r="N1860" s="15" t="s">
        <v>8</v>
      </c>
      <c r="R1860" s="19" t="str">
        <f>HYPERLINK("http://yeinfo.com/family/I09041392.html", "NICHOLAS BUDD &lt;2&gt; 1500 EN-1536 EN ID:09041392")</f>
        <v>NICHOLAS BUDD &lt;2&gt; 1500 EN-1536 EN ID:09041392</v>
      </c>
      <c r="S1860" s="9"/>
      <c r="T1860" s="9"/>
      <c r="U1860" s="9"/>
      <c r="V1860" s="9"/>
    </row>
    <row r="1861" spans="3:28" x14ac:dyDescent="0.35">
      <c r="C1861" s="15" t="s">
        <v>8</v>
      </c>
      <c r="D1861" s="15" t="s">
        <v>8</v>
      </c>
      <c r="G1861" s="15" t="s">
        <v>8</v>
      </c>
      <c r="K1861" s="15" t="s">
        <v>8</v>
      </c>
      <c r="L1861" s="15" t="s">
        <v>8</v>
      </c>
      <c r="N1861" s="15" t="s">
        <v>8</v>
      </c>
      <c r="R1861" s="8" t="s">
        <v>3</v>
      </c>
      <c r="S1861" s="15" t="s">
        <v>8</v>
      </c>
    </row>
    <row r="1862" spans="3:28" x14ac:dyDescent="0.35">
      <c r="C1862" s="15" t="s">
        <v>8</v>
      </c>
      <c r="D1862" s="15" t="s">
        <v>8</v>
      </c>
      <c r="G1862" s="15" t="s">
        <v>8</v>
      </c>
      <c r="K1862" s="15" t="s">
        <v>8</v>
      </c>
      <c r="L1862" s="15" t="s">
        <v>8</v>
      </c>
      <c r="N1862" s="15" t="s">
        <v>8</v>
      </c>
      <c r="R1862" s="15" t="s">
        <v>8</v>
      </c>
      <c r="S1862" s="15" t="s">
        <v>8</v>
      </c>
      <c r="V1862" s="19" t="str">
        <f>HYPERLINK("http://yeinfo.com/family/I09066110.html", "THOMAS SAUNDERS &lt;2&gt; 1405 EN-1425 EN ID:09066110")</f>
        <v>THOMAS SAUNDERS &lt;2&gt; 1405 EN-1425 EN ID:09066110</v>
      </c>
      <c r="W1862" s="9"/>
      <c r="X1862" s="9"/>
      <c r="Y1862" s="9"/>
      <c r="Z1862" s="9"/>
    </row>
    <row r="1863" spans="3:28" x14ac:dyDescent="0.35">
      <c r="C1863" s="15" t="s">
        <v>8</v>
      </c>
      <c r="D1863" s="15" t="s">
        <v>8</v>
      </c>
      <c r="G1863" s="15" t="s">
        <v>8</v>
      </c>
      <c r="K1863" s="15" t="s">
        <v>8</v>
      </c>
      <c r="L1863" s="15" t="s">
        <v>8</v>
      </c>
      <c r="N1863" s="15" t="s">
        <v>8</v>
      </c>
      <c r="R1863" s="15" t="s">
        <v>8</v>
      </c>
      <c r="S1863" s="15" t="s">
        <v>8</v>
      </c>
      <c r="V1863" s="8" t="s">
        <v>3</v>
      </c>
    </row>
    <row r="1864" spans="3:28" x14ac:dyDescent="0.35">
      <c r="C1864" s="15" t="s">
        <v>8</v>
      </c>
      <c r="D1864" s="15" t="s">
        <v>8</v>
      </c>
      <c r="G1864" s="15" t="s">
        <v>8</v>
      </c>
      <c r="K1864" s="15" t="s">
        <v>8</v>
      </c>
      <c r="L1864" s="15" t="s">
        <v>8</v>
      </c>
      <c r="N1864" s="15" t="s">
        <v>8</v>
      </c>
      <c r="R1864" s="15" t="s">
        <v>8</v>
      </c>
      <c r="S1864" s="15" t="s">
        <v>8</v>
      </c>
      <c r="U1864" s="19" t="str">
        <f>HYPERLINK("http://yeinfo.com/family/I09065940.html", "WILLIAM SAUNDERS &lt;2&gt; 1420 EN-1481 EN ID:09065940")</f>
        <v>WILLIAM SAUNDERS &lt;2&gt; 1420 EN-1481 EN ID:09065940</v>
      </c>
      <c r="V1864" s="9"/>
      <c r="W1864" s="9"/>
      <c r="X1864" s="9"/>
      <c r="Y1864" s="9"/>
    </row>
    <row r="1865" spans="3:28" x14ac:dyDescent="0.35">
      <c r="C1865" s="15" t="s">
        <v>8</v>
      </c>
      <c r="D1865" s="15" t="s">
        <v>8</v>
      </c>
      <c r="G1865" s="15" t="s">
        <v>8</v>
      </c>
      <c r="K1865" s="15" t="s">
        <v>8</v>
      </c>
      <c r="L1865" s="15" t="s">
        <v>8</v>
      </c>
      <c r="N1865" s="15" t="s">
        <v>8</v>
      </c>
      <c r="R1865" s="15" t="s">
        <v>8</v>
      </c>
      <c r="S1865" s="15" t="s">
        <v>8</v>
      </c>
      <c r="U1865" s="8" t="s">
        <v>3</v>
      </c>
      <c r="V1865" s="8" t="s">
        <v>6</v>
      </c>
    </row>
    <row r="1866" spans="3:28" x14ac:dyDescent="0.35">
      <c r="C1866" s="15" t="s">
        <v>8</v>
      </c>
      <c r="D1866" s="15" t="s">
        <v>8</v>
      </c>
      <c r="G1866" s="15" t="s">
        <v>8</v>
      </c>
      <c r="K1866" s="15" t="s">
        <v>8</v>
      </c>
      <c r="L1866" s="15" t="s">
        <v>8</v>
      </c>
      <c r="N1866" s="15" t="s">
        <v>8</v>
      </c>
      <c r="R1866" s="15" t="s">
        <v>8</v>
      </c>
      <c r="S1866" s="15" t="s">
        <v>8</v>
      </c>
      <c r="U1866" s="15" t="s">
        <v>8</v>
      </c>
      <c r="V1866" s="20" t="str">
        <f>HYPERLINK("http://yeinfo.com/family/I09066107.html", "JOANNA POLLARD &lt;2&gt; 1405 EN-1425 EN ID:09066107")</f>
        <v>JOANNA POLLARD &lt;2&gt; 1405 EN-1425 EN ID:09066107</v>
      </c>
      <c r="W1866" s="17"/>
      <c r="X1866" s="17"/>
      <c r="Y1866" s="17"/>
      <c r="Z1866" s="17"/>
    </row>
    <row r="1867" spans="3:28" x14ac:dyDescent="0.35">
      <c r="C1867" s="15" t="s">
        <v>8</v>
      </c>
      <c r="D1867" s="15" t="s">
        <v>8</v>
      </c>
      <c r="G1867" s="15" t="s">
        <v>8</v>
      </c>
      <c r="K1867" s="15" t="s">
        <v>8</v>
      </c>
      <c r="L1867" s="15" t="s">
        <v>8</v>
      </c>
      <c r="N1867" s="15" t="s">
        <v>8</v>
      </c>
      <c r="R1867" s="15" t="s">
        <v>8</v>
      </c>
      <c r="S1867" s="15" t="s">
        <v>8</v>
      </c>
      <c r="U1867" s="15" t="s">
        <v>8</v>
      </c>
    </row>
    <row r="1868" spans="3:28" x14ac:dyDescent="0.35">
      <c r="C1868" s="15" t="s">
        <v>8</v>
      </c>
      <c r="D1868" s="15" t="s">
        <v>8</v>
      </c>
      <c r="G1868" s="15" t="s">
        <v>8</v>
      </c>
      <c r="K1868" s="15" t="s">
        <v>8</v>
      </c>
      <c r="L1868" s="15" t="s">
        <v>8</v>
      </c>
      <c r="N1868" s="15" t="s">
        <v>8</v>
      </c>
      <c r="R1868" s="15" t="s">
        <v>8</v>
      </c>
      <c r="S1868" s="15" t="s">
        <v>8</v>
      </c>
      <c r="T1868" s="19" t="str">
        <f>HYPERLINK("http://yeinfo.com/family/I09065792.html", "RICHARD OSWELL SAUNDERS &lt;2&gt; 1452 EN-1480 EN ID:09065792")</f>
        <v>RICHARD OSWELL SAUNDERS &lt;2&gt; 1452 EN-1480 EN ID:09065792</v>
      </c>
      <c r="U1868" s="9"/>
      <c r="V1868" s="9"/>
      <c r="W1868" s="9"/>
      <c r="X1868" s="9"/>
    </row>
    <row r="1869" spans="3:28" x14ac:dyDescent="0.35">
      <c r="C1869" s="15" t="s">
        <v>8</v>
      </c>
      <c r="D1869" s="15" t="s">
        <v>8</v>
      </c>
      <c r="G1869" s="15" t="s">
        <v>8</v>
      </c>
      <c r="K1869" s="15" t="s">
        <v>8</v>
      </c>
      <c r="L1869" s="15" t="s">
        <v>8</v>
      </c>
      <c r="N1869" s="15" t="s">
        <v>8</v>
      </c>
      <c r="R1869" s="15" t="s">
        <v>8</v>
      </c>
      <c r="S1869" s="15" t="s">
        <v>8</v>
      </c>
      <c r="T1869" s="8" t="s">
        <v>3</v>
      </c>
      <c r="U1869" s="15" t="s">
        <v>8</v>
      </c>
    </row>
    <row r="1870" spans="3:28" x14ac:dyDescent="0.35">
      <c r="C1870" s="15" t="s">
        <v>8</v>
      </c>
      <c r="D1870" s="15" t="s">
        <v>8</v>
      </c>
      <c r="G1870" s="15" t="s">
        <v>8</v>
      </c>
      <c r="K1870" s="15" t="s">
        <v>8</v>
      </c>
      <c r="L1870" s="15" t="s">
        <v>8</v>
      </c>
      <c r="N1870" s="15" t="s">
        <v>8</v>
      </c>
      <c r="R1870" s="15" t="s">
        <v>8</v>
      </c>
      <c r="S1870" s="15" t="s">
        <v>8</v>
      </c>
      <c r="T1870" s="15" t="s">
        <v>8</v>
      </c>
      <c r="U1870" s="15" t="s">
        <v>8</v>
      </c>
      <c r="X1870" s="19" t="str">
        <f>HYPERLINK("http://yeinfo.com/family/I09066447.html", "NICHOLAS CAREW &lt;2&gt; 1322 EN-1390 EN ID:09066447")</f>
        <v>NICHOLAS CAREW &lt;2&gt; 1322 EN-1390 EN ID:09066447</v>
      </c>
      <c r="Y1870" s="9"/>
      <c r="Z1870" s="9"/>
      <c r="AA1870" s="9"/>
      <c r="AB1870" s="9"/>
    </row>
    <row r="1871" spans="3:28" x14ac:dyDescent="0.35">
      <c r="C1871" s="15" t="s">
        <v>8</v>
      </c>
      <c r="D1871" s="15" t="s">
        <v>8</v>
      </c>
      <c r="G1871" s="15" t="s">
        <v>8</v>
      </c>
      <c r="K1871" s="15" t="s">
        <v>8</v>
      </c>
      <c r="L1871" s="15" t="s">
        <v>8</v>
      </c>
      <c r="N1871" s="15" t="s">
        <v>8</v>
      </c>
      <c r="R1871" s="15" t="s">
        <v>8</v>
      </c>
      <c r="S1871" s="15" t="s">
        <v>8</v>
      </c>
      <c r="T1871" s="15" t="s">
        <v>8</v>
      </c>
      <c r="U1871" s="15" t="s">
        <v>8</v>
      </c>
      <c r="X1871" s="8" t="s">
        <v>3</v>
      </c>
    </row>
    <row r="1872" spans="3:28" x14ac:dyDescent="0.35">
      <c r="C1872" s="15" t="s">
        <v>8</v>
      </c>
      <c r="D1872" s="15" t="s">
        <v>8</v>
      </c>
      <c r="G1872" s="15" t="s">
        <v>8</v>
      </c>
      <c r="K1872" s="15" t="s">
        <v>8</v>
      </c>
      <c r="L1872" s="15" t="s">
        <v>8</v>
      </c>
      <c r="N1872" s="15" t="s">
        <v>8</v>
      </c>
      <c r="R1872" s="15" t="s">
        <v>8</v>
      </c>
      <c r="S1872" s="15" t="s">
        <v>8</v>
      </c>
      <c r="T1872" s="15" t="s">
        <v>8</v>
      </c>
      <c r="U1872" s="15" t="s">
        <v>8</v>
      </c>
      <c r="W1872" s="19" t="str">
        <f>HYPERLINK("http://yeinfo.com/family/I09066281.html", "NICHOLAS CAREW &lt;2&gt; 1356 EN-1432 EN ID:09066281")</f>
        <v>NICHOLAS CAREW &lt;2&gt; 1356 EN-1432 EN ID:09066281</v>
      </c>
      <c r="X1872" s="9"/>
      <c r="Y1872" s="9"/>
      <c r="Z1872" s="9"/>
      <c r="AA1872" s="9"/>
    </row>
    <row r="1873" spans="3:28" x14ac:dyDescent="0.35">
      <c r="C1873" s="15" t="s">
        <v>8</v>
      </c>
      <c r="D1873" s="15" t="s">
        <v>8</v>
      </c>
      <c r="G1873" s="15" t="s">
        <v>8</v>
      </c>
      <c r="K1873" s="15" t="s">
        <v>8</v>
      </c>
      <c r="L1873" s="15" t="s">
        <v>8</v>
      </c>
      <c r="N1873" s="15" t="s">
        <v>8</v>
      </c>
      <c r="R1873" s="15" t="s">
        <v>8</v>
      </c>
      <c r="S1873" s="15" t="s">
        <v>8</v>
      </c>
      <c r="T1873" s="15" t="s">
        <v>8</v>
      </c>
      <c r="U1873" s="15" t="s">
        <v>8</v>
      </c>
      <c r="W1873" s="8" t="s">
        <v>3</v>
      </c>
      <c r="X1873" s="8" t="s">
        <v>6</v>
      </c>
    </row>
    <row r="1874" spans="3:28" x14ac:dyDescent="0.35">
      <c r="C1874" s="15" t="s">
        <v>8</v>
      </c>
      <c r="D1874" s="15" t="s">
        <v>8</v>
      </c>
      <c r="G1874" s="15" t="s">
        <v>8</v>
      </c>
      <c r="K1874" s="15" t="s">
        <v>8</v>
      </c>
      <c r="L1874" s="15" t="s">
        <v>8</v>
      </c>
      <c r="N1874" s="15" t="s">
        <v>8</v>
      </c>
      <c r="R1874" s="15" t="s">
        <v>8</v>
      </c>
      <c r="S1874" s="15" t="s">
        <v>8</v>
      </c>
      <c r="T1874" s="15" t="s">
        <v>8</v>
      </c>
      <c r="U1874" s="15" t="s">
        <v>8</v>
      </c>
      <c r="W1874" s="15" t="s">
        <v>8</v>
      </c>
      <c r="X1874" s="20" t="str">
        <f>HYPERLINK("http://yeinfo.com/family/I09066489.html", "LUCY WILLOUGHBY &lt;2&gt; 1330 EN-1390 EN ID:09066489")</f>
        <v>LUCY WILLOUGHBY &lt;2&gt; 1330 EN-1390 EN ID:09066489</v>
      </c>
      <c r="Y1874" s="17"/>
      <c r="Z1874" s="17"/>
      <c r="AA1874" s="17"/>
      <c r="AB1874" s="17"/>
    </row>
    <row r="1875" spans="3:28" x14ac:dyDescent="0.35">
      <c r="C1875" s="15" t="s">
        <v>8</v>
      </c>
      <c r="D1875" s="15" t="s">
        <v>8</v>
      </c>
      <c r="G1875" s="15" t="s">
        <v>8</v>
      </c>
      <c r="K1875" s="15" t="s">
        <v>8</v>
      </c>
      <c r="L1875" s="15" t="s">
        <v>8</v>
      </c>
      <c r="N1875" s="15" t="s">
        <v>8</v>
      </c>
      <c r="R1875" s="15" t="s">
        <v>8</v>
      </c>
      <c r="S1875" s="15" t="s">
        <v>8</v>
      </c>
      <c r="T1875" s="15" t="s">
        <v>8</v>
      </c>
      <c r="U1875" s="15" t="s">
        <v>8</v>
      </c>
      <c r="W1875" s="15" t="s">
        <v>8</v>
      </c>
    </row>
    <row r="1876" spans="3:28" x14ac:dyDescent="0.35">
      <c r="C1876" s="15" t="s">
        <v>8</v>
      </c>
      <c r="D1876" s="15" t="s">
        <v>8</v>
      </c>
      <c r="G1876" s="15" t="s">
        <v>8</v>
      </c>
      <c r="K1876" s="15" t="s">
        <v>8</v>
      </c>
      <c r="L1876" s="15" t="s">
        <v>8</v>
      </c>
      <c r="N1876" s="15" t="s">
        <v>8</v>
      </c>
      <c r="R1876" s="15" t="s">
        <v>8</v>
      </c>
      <c r="S1876" s="15" t="s">
        <v>8</v>
      </c>
      <c r="T1876" s="15" t="s">
        <v>8</v>
      </c>
      <c r="U1876" s="15" t="s">
        <v>8</v>
      </c>
      <c r="V1876" s="19" t="str">
        <f>HYPERLINK("http://yeinfo.com/family/I09066080.html", "THOMAS CAREW &lt;2&gt; 1398 EN-1430 EN ID:09066080")</f>
        <v>THOMAS CAREW &lt;2&gt; 1398 EN-1430 EN ID:09066080</v>
      </c>
      <c r="W1876" s="9"/>
      <c r="X1876" s="9"/>
      <c r="Y1876" s="9"/>
      <c r="Z1876" s="9"/>
    </row>
    <row r="1877" spans="3:28" x14ac:dyDescent="0.35">
      <c r="C1877" s="15" t="s">
        <v>8</v>
      </c>
      <c r="D1877" s="15" t="s">
        <v>8</v>
      </c>
      <c r="G1877" s="15" t="s">
        <v>8</v>
      </c>
      <c r="K1877" s="15" t="s">
        <v>8</v>
      </c>
      <c r="L1877" s="15" t="s">
        <v>8</v>
      </c>
      <c r="N1877" s="15" t="s">
        <v>8</v>
      </c>
      <c r="R1877" s="15" t="s">
        <v>8</v>
      </c>
      <c r="S1877" s="15" t="s">
        <v>8</v>
      </c>
      <c r="T1877" s="15" t="s">
        <v>8</v>
      </c>
      <c r="U1877" s="15" t="s">
        <v>8</v>
      </c>
      <c r="V1877" s="8" t="s">
        <v>3</v>
      </c>
      <c r="W1877" s="15" t="s">
        <v>8</v>
      </c>
    </row>
    <row r="1878" spans="3:28" x14ac:dyDescent="0.35">
      <c r="C1878" s="15" t="s">
        <v>8</v>
      </c>
      <c r="D1878" s="15" t="s">
        <v>8</v>
      </c>
      <c r="G1878" s="15" t="s">
        <v>8</v>
      </c>
      <c r="K1878" s="15" t="s">
        <v>8</v>
      </c>
      <c r="L1878" s="15" t="s">
        <v>8</v>
      </c>
      <c r="N1878" s="15" t="s">
        <v>8</v>
      </c>
      <c r="R1878" s="15" t="s">
        <v>8</v>
      </c>
      <c r="S1878" s="15" t="s">
        <v>8</v>
      </c>
      <c r="T1878" s="15" t="s">
        <v>8</v>
      </c>
      <c r="U1878" s="15" t="s">
        <v>8</v>
      </c>
      <c r="V1878" s="15" t="s">
        <v>8</v>
      </c>
      <c r="W1878" s="15" t="s">
        <v>8</v>
      </c>
      <c r="X1878" s="19" t="str">
        <f>HYPERLINK("http://yeinfo.com/family/I09066472.html", "STEPHEN MARE &lt;2&gt; 1330 EN-1362 EN ID:09066472")</f>
        <v>STEPHEN MARE &lt;2&gt; 1330 EN-1362 EN ID:09066472</v>
      </c>
      <c r="Y1878" s="9"/>
      <c r="Z1878" s="9"/>
      <c r="AA1878" s="9"/>
      <c r="AB1878" s="9"/>
    </row>
    <row r="1879" spans="3:28" x14ac:dyDescent="0.35">
      <c r="C1879" s="15" t="s">
        <v>8</v>
      </c>
      <c r="D1879" s="15" t="s">
        <v>8</v>
      </c>
      <c r="G1879" s="15" t="s">
        <v>8</v>
      </c>
      <c r="K1879" s="15" t="s">
        <v>8</v>
      </c>
      <c r="L1879" s="15" t="s">
        <v>8</v>
      </c>
      <c r="N1879" s="15" t="s">
        <v>8</v>
      </c>
      <c r="R1879" s="15" t="s">
        <v>8</v>
      </c>
      <c r="S1879" s="15" t="s">
        <v>8</v>
      </c>
      <c r="T1879" s="15" t="s">
        <v>8</v>
      </c>
      <c r="U1879" s="15" t="s">
        <v>8</v>
      </c>
      <c r="V1879" s="15" t="s">
        <v>8</v>
      </c>
      <c r="W1879" s="8" t="s">
        <v>6</v>
      </c>
      <c r="X1879" s="8" t="s">
        <v>3</v>
      </c>
    </row>
    <row r="1880" spans="3:28" x14ac:dyDescent="0.35">
      <c r="C1880" s="15" t="s">
        <v>8</v>
      </c>
      <c r="D1880" s="15" t="s">
        <v>8</v>
      </c>
      <c r="G1880" s="15" t="s">
        <v>8</v>
      </c>
      <c r="K1880" s="15" t="s">
        <v>8</v>
      </c>
      <c r="L1880" s="15" t="s">
        <v>8</v>
      </c>
      <c r="N1880" s="15" t="s">
        <v>8</v>
      </c>
      <c r="R1880" s="15" t="s">
        <v>8</v>
      </c>
      <c r="S1880" s="15" t="s">
        <v>8</v>
      </c>
      <c r="T1880" s="15" t="s">
        <v>8</v>
      </c>
      <c r="U1880" s="15" t="s">
        <v>8</v>
      </c>
      <c r="V1880" s="15" t="s">
        <v>8</v>
      </c>
      <c r="W1880" s="20" t="str">
        <f>HYPERLINK("http://yeinfo.com/family/I09066299.html", "ISABELLA MARE &lt;2&gt; 1362 EN-1421 EN ID:09066299")</f>
        <v>ISABELLA MARE &lt;2&gt; 1362 EN-1421 EN ID:09066299</v>
      </c>
      <c r="X1880" s="17"/>
      <c r="Y1880" s="17"/>
      <c r="Z1880" s="17"/>
      <c r="AA1880" s="17"/>
    </row>
    <row r="1881" spans="3:28" x14ac:dyDescent="0.35">
      <c r="C1881" s="15" t="s">
        <v>8</v>
      </c>
      <c r="D1881" s="15" t="s">
        <v>8</v>
      </c>
      <c r="G1881" s="15" t="s">
        <v>8</v>
      </c>
      <c r="K1881" s="15" t="s">
        <v>8</v>
      </c>
      <c r="L1881" s="15" t="s">
        <v>8</v>
      </c>
      <c r="N1881" s="15" t="s">
        <v>8</v>
      </c>
      <c r="R1881" s="15" t="s">
        <v>8</v>
      </c>
      <c r="S1881" s="15" t="s">
        <v>8</v>
      </c>
      <c r="T1881" s="15" t="s">
        <v>8</v>
      </c>
      <c r="U1881" s="15" t="s">
        <v>8</v>
      </c>
      <c r="V1881" s="15" t="s">
        <v>8</v>
      </c>
      <c r="X1881" s="8" t="s">
        <v>6</v>
      </c>
    </row>
    <row r="1882" spans="3:28" x14ac:dyDescent="0.35">
      <c r="C1882" s="15" t="s">
        <v>8</v>
      </c>
      <c r="D1882" s="15" t="s">
        <v>8</v>
      </c>
      <c r="G1882" s="15" t="s">
        <v>8</v>
      </c>
      <c r="K1882" s="15" t="s">
        <v>8</v>
      </c>
      <c r="L1882" s="15" t="s">
        <v>8</v>
      </c>
      <c r="N1882" s="15" t="s">
        <v>8</v>
      </c>
      <c r="R1882" s="15" t="s">
        <v>8</v>
      </c>
      <c r="S1882" s="15" t="s">
        <v>8</v>
      </c>
      <c r="T1882" s="15" t="s">
        <v>8</v>
      </c>
      <c r="U1882" s="15" t="s">
        <v>8</v>
      </c>
      <c r="V1882" s="15" t="s">
        <v>8</v>
      </c>
      <c r="X1882" s="20" t="str">
        <f>HYPERLINK("http://yeinfo.com/family/I09066471.html", "Mrs. ALICE MARE &lt;2&gt; 1335 EN-1362 EN ID:09066471")</f>
        <v>Mrs. ALICE MARE &lt;2&gt; 1335 EN-1362 EN ID:09066471</v>
      </c>
      <c r="Y1882" s="17"/>
      <c r="Z1882" s="17"/>
      <c r="AA1882" s="17"/>
      <c r="AB1882" s="17"/>
    </row>
    <row r="1883" spans="3:28" x14ac:dyDescent="0.35">
      <c r="C1883" s="15" t="s">
        <v>8</v>
      </c>
      <c r="D1883" s="15" t="s">
        <v>8</v>
      </c>
      <c r="G1883" s="15" t="s">
        <v>8</v>
      </c>
      <c r="K1883" s="15" t="s">
        <v>8</v>
      </c>
      <c r="L1883" s="15" t="s">
        <v>8</v>
      </c>
      <c r="N1883" s="15" t="s">
        <v>8</v>
      </c>
      <c r="R1883" s="15" t="s">
        <v>8</v>
      </c>
      <c r="S1883" s="15" t="s">
        <v>8</v>
      </c>
      <c r="T1883" s="15" t="s">
        <v>8</v>
      </c>
      <c r="U1883" s="8" t="s">
        <v>6</v>
      </c>
      <c r="V1883" s="15" t="s">
        <v>8</v>
      </c>
    </row>
    <row r="1884" spans="3:28" x14ac:dyDescent="0.35">
      <c r="C1884" s="15" t="s">
        <v>8</v>
      </c>
      <c r="D1884" s="15" t="s">
        <v>8</v>
      </c>
      <c r="G1884" s="15" t="s">
        <v>8</v>
      </c>
      <c r="K1884" s="15" t="s">
        <v>8</v>
      </c>
      <c r="L1884" s="15" t="s">
        <v>8</v>
      </c>
      <c r="N1884" s="15" t="s">
        <v>8</v>
      </c>
      <c r="R1884" s="15" t="s">
        <v>8</v>
      </c>
      <c r="S1884" s="15" t="s">
        <v>8</v>
      </c>
      <c r="T1884" s="15" t="s">
        <v>8</v>
      </c>
      <c r="U1884" s="20" t="str">
        <f>HYPERLINK("http://yeinfo.com/family/I09065918.html", "JOAN CAREW &lt;2&gt; 1430 EN-1470 EN ID:09065918")</f>
        <v>JOAN CAREW &lt;2&gt; 1430 EN-1470 EN ID:09065918</v>
      </c>
      <c r="V1884" s="17"/>
      <c r="W1884" s="17"/>
      <c r="X1884" s="17"/>
      <c r="Y1884" s="17"/>
    </row>
    <row r="1885" spans="3:28" x14ac:dyDescent="0.35">
      <c r="C1885" s="15" t="s">
        <v>8</v>
      </c>
      <c r="D1885" s="15" t="s">
        <v>8</v>
      </c>
      <c r="G1885" s="15" t="s">
        <v>8</v>
      </c>
      <c r="K1885" s="15" t="s">
        <v>8</v>
      </c>
      <c r="L1885" s="15" t="s">
        <v>8</v>
      </c>
      <c r="N1885" s="15" t="s">
        <v>8</v>
      </c>
      <c r="R1885" s="15" t="s">
        <v>8</v>
      </c>
      <c r="S1885" s="15" t="s">
        <v>8</v>
      </c>
      <c r="T1885" s="15" t="s">
        <v>8</v>
      </c>
      <c r="V1885" s="15" t="s">
        <v>8</v>
      </c>
    </row>
    <row r="1886" spans="3:28" x14ac:dyDescent="0.35">
      <c r="C1886" s="15" t="s">
        <v>8</v>
      </c>
      <c r="D1886" s="15" t="s">
        <v>8</v>
      </c>
      <c r="G1886" s="15" t="s">
        <v>8</v>
      </c>
      <c r="K1886" s="15" t="s">
        <v>8</v>
      </c>
      <c r="L1886" s="15" t="s">
        <v>8</v>
      </c>
      <c r="N1886" s="15" t="s">
        <v>8</v>
      </c>
      <c r="R1886" s="15" t="s">
        <v>8</v>
      </c>
      <c r="S1886" s="15" t="s">
        <v>8</v>
      </c>
      <c r="T1886" s="15" t="s">
        <v>8</v>
      </c>
      <c r="V1886" s="15" t="s">
        <v>8</v>
      </c>
      <c r="W1886" s="19" t="str">
        <f>HYPERLINK("http://yeinfo.com/family/I09066294.html", "THOMAS HAYTON &lt;2&gt; 1370 EN-1432 EN ID:09066294")</f>
        <v>THOMAS HAYTON &lt;2&gt; 1370 EN-1432 EN ID:09066294</v>
      </c>
      <c r="X1886" s="9"/>
      <c r="Y1886" s="9"/>
      <c r="Z1886" s="9"/>
      <c r="AA1886" s="9"/>
    </row>
    <row r="1887" spans="3:28" x14ac:dyDescent="0.35">
      <c r="C1887" s="15" t="s">
        <v>8</v>
      </c>
      <c r="D1887" s="15" t="s">
        <v>8</v>
      </c>
      <c r="G1887" s="15" t="s">
        <v>8</v>
      </c>
      <c r="K1887" s="15" t="s">
        <v>8</v>
      </c>
      <c r="L1887" s="15" t="s">
        <v>8</v>
      </c>
      <c r="N1887" s="15" t="s">
        <v>8</v>
      </c>
      <c r="R1887" s="15" t="s">
        <v>8</v>
      </c>
      <c r="S1887" s="15" t="s">
        <v>8</v>
      </c>
      <c r="T1887" s="15" t="s">
        <v>8</v>
      </c>
      <c r="V1887" s="8" t="s">
        <v>6</v>
      </c>
      <c r="W1887" s="8" t="s">
        <v>3</v>
      </c>
    </row>
    <row r="1888" spans="3:28" x14ac:dyDescent="0.35">
      <c r="C1888" s="15" t="s">
        <v>8</v>
      </c>
      <c r="D1888" s="15" t="s">
        <v>8</v>
      </c>
      <c r="G1888" s="15" t="s">
        <v>8</v>
      </c>
      <c r="K1888" s="15" t="s">
        <v>8</v>
      </c>
      <c r="L1888" s="15" t="s">
        <v>8</v>
      </c>
      <c r="N1888" s="15" t="s">
        <v>8</v>
      </c>
      <c r="R1888" s="15" t="s">
        <v>8</v>
      </c>
      <c r="S1888" s="15" t="s">
        <v>8</v>
      </c>
      <c r="T1888" s="15" t="s">
        <v>8</v>
      </c>
      <c r="V1888" s="20" t="str">
        <f>HYPERLINK("http://yeinfo.com/family/I09066093.html", "AGNES HAYTON &lt;2&gt; 1395 EN-1450 EN ID:09066093")</f>
        <v>AGNES HAYTON &lt;2&gt; 1395 EN-1450 EN ID:09066093</v>
      </c>
      <c r="W1888" s="17"/>
      <c r="X1888" s="17"/>
      <c r="Y1888" s="17"/>
      <c r="Z1888" s="17"/>
    </row>
    <row r="1889" spans="3:27" x14ac:dyDescent="0.35">
      <c r="C1889" s="15" t="s">
        <v>8</v>
      </c>
      <c r="D1889" s="15" t="s">
        <v>8</v>
      </c>
      <c r="G1889" s="15" t="s">
        <v>8</v>
      </c>
      <c r="K1889" s="15" t="s">
        <v>8</v>
      </c>
      <c r="L1889" s="15" t="s">
        <v>8</v>
      </c>
      <c r="N1889" s="15" t="s">
        <v>8</v>
      </c>
      <c r="R1889" s="15" t="s">
        <v>8</v>
      </c>
      <c r="S1889" s="15" t="s">
        <v>8</v>
      </c>
      <c r="T1889" s="15" t="s">
        <v>8</v>
      </c>
      <c r="W1889" s="8" t="s">
        <v>6</v>
      </c>
    </row>
    <row r="1890" spans="3:27" x14ac:dyDescent="0.35">
      <c r="C1890" s="15" t="s">
        <v>8</v>
      </c>
      <c r="D1890" s="15" t="s">
        <v>8</v>
      </c>
      <c r="G1890" s="15" t="s">
        <v>8</v>
      </c>
      <c r="K1890" s="15" t="s">
        <v>8</v>
      </c>
      <c r="L1890" s="15" t="s">
        <v>8</v>
      </c>
      <c r="N1890" s="15" t="s">
        <v>8</v>
      </c>
      <c r="R1890" s="15" t="s">
        <v>8</v>
      </c>
      <c r="S1890" s="15" t="s">
        <v>8</v>
      </c>
      <c r="T1890" s="15" t="s">
        <v>8</v>
      </c>
      <c r="W1890" s="20" t="str">
        <f>HYPERLINK("http://yeinfo.com/family/I09066293.html", "Mrs. BEATRICE HAYTON &lt;2&gt; 1370 EN-1395 EN ID:09066293")</f>
        <v>Mrs. BEATRICE HAYTON &lt;2&gt; 1370 EN-1395 EN ID:09066293</v>
      </c>
      <c r="X1890" s="17"/>
      <c r="Y1890" s="17"/>
      <c r="Z1890" s="17"/>
      <c r="AA1890" s="17"/>
    </row>
    <row r="1891" spans="3:27" x14ac:dyDescent="0.35">
      <c r="C1891" s="15" t="s">
        <v>8</v>
      </c>
      <c r="D1891" s="15" t="s">
        <v>8</v>
      </c>
      <c r="G1891" s="15" t="s">
        <v>8</v>
      </c>
      <c r="K1891" s="15" t="s">
        <v>8</v>
      </c>
      <c r="L1891" s="15" t="s">
        <v>8</v>
      </c>
      <c r="N1891" s="15" t="s">
        <v>8</v>
      </c>
      <c r="R1891" s="15" t="s">
        <v>8</v>
      </c>
      <c r="S1891" s="8" t="s">
        <v>6</v>
      </c>
      <c r="T1891" s="15" t="s">
        <v>8</v>
      </c>
    </row>
    <row r="1892" spans="3:27" x14ac:dyDescent="0.35">
      <c r="C1892" s="15" t="s">
        <v>8</v>
      </c>
      <c r="D1892" s="15" t="s">
        <v>8</v>
      </c>
      <c r="G1892" s="15" t="s">
        <v>8</v>
      </c>
      <c r="K1892" s="15" t="s">
        <v>8</v>
      </c>
      <c r="L1892" s="15" t="s">
        <v>8</v>
      </c>
      <c r="N1892" s="15" t="s">
        <v>8</v>
      </c>
      <c r="R1892" s="15" t="s">
        <v>8</v>
      </c>
      <c r="S1892" s="20" t="str">
        <f>HYPERLINK("http://yeinfo.com/family/I09065665.html", "KATHERINE SAUNDERS &lt;2&gt; 1480 EN-1550 EN ID:09065665")</f>
        <v>KATHERINE SAUNDERS &lt;2&gt; 1480 EN-1550 EN ID:09065665</v>
      </c>
      <c r="T1892" s="17"/>
      <c r="U1892" s="17"/>
      <c r="V1892" s="17"/>
      <c r="W1892" s="17"/>
    </row>
    <row r="1893" spans="3:27" x14ac:dyDescent="0.35">
      <c r="C1893" s="15" t="s">
        <v>8</v>
      </c>
      <c r="D1893" s="15" t="s">
        <v>8</v>
      </c>
      <c r="G1893" s="15" t="s">
        <v>8</v>
      </c>
      <c r="K1893" s="15" t="s">
        <v>8</v>
      </c>
      <c r="L1893" s="15" t="s">
        <v>8</v>
      </c>
      <c r="N1893" s="15" t="s">
        <v>8</v>
      </c>
      <c r="R1893" s="15" t="s">
        <v>8</v>
      </c>
      <c r="T1893" s="8" t="s">
        <v>6</v>
      </c>
    </row>
    <row r="1894" spans="3:27" x14ac:dyDescent="0.35">
      <c r="C1894" s="15" t="s">
        <v>8</v>
      </c>
      <c r="D1894" s="15" t="s">
        <v>8</v>
      </c>
      <c r="G1894" s="15" t="s">
        <v>8</v>
      </c>
      <c r="K1894" s="15" t="s">
        <v>8</v>
      </c>
      <c r="L1894" s="15" t="s">
        <v>8</v>
      </c>
      <c r="N1894" s="15" t="s">
        <v>8</v>
      </c>
      <c r="R1894" s="15" t="s">
        <v>8</v>
      </c>
      <c r="T1894" s="20" t="str">
        <f>HYPERLINK("http://yeinfo.com/family/I09065791.html", "Mrs. AGNES SAUNDERS &lt;2&gt; 1452 EN-1485 EN ID:09065791")</f>
        <v>Mrs. AGNES SAUNDERS &lt;2&gt; 1452 EN-1485 EN ID:09065791</v>
      </c>
      <c r="U1894" s="17"/>
      <c r="V1894" s="17"/>
      <c r="W1894" s="17"/>
      <c r="X1894" s="17"/>
    </row>
    <row r="1895" spans="3:27" x14ac:dyDescent="0.35">
      <c r="C1895" s="15" t="s">
        <v>8</v>
      </c>
      <c r="D1895" s="15" t="s">
        <v>8</v>
      </c>
      <c r="G1895" s="15" t="s">
        <v>8</v>
      </c>
      <c r="K1895" s="15" t="s">
        <v>8</v>
      </c>
      <c r="L1895" s="15" t="s">
        <v>8</v>
      </c>
      <c r="N1895" s="15" t="s">
        <v>8</v>
      </c>
      <c r="R1895" s="15" t="s">
        <v>8</v>
      </c>
    </row>
    <row r="1896" spans="3:27" x14ac:dyDescent="0.35">
      <c r="C1896" s="15" t="s">
        <v>8</v>
      </c>
      <c r="D1896" s="15" t="s">
        <v>8</v>
      </c>
      <c r="G1896" s="15" t="s">
        <v>8</v>
      </c>
      <c r="K1896" s="15" t="s">
        <v>8</v>
      </c>
      <c r="L1896" s="15" t="s">
        <v>8</v>
      </c>
      <c r="N1896" s="15" t="s">
        <v>8</v>
      </c>
      <c r="Q1896" s="19" t="str">
        <f>HYPERLINK("http://yeinfo.com/family/I09020696.html", "RICHARD WRIGHT BUDD Sr. &lt;2&gt; 1528 EN-1550 EN ID:09020696")</f>
        <v>RICHARD WRIGHT BUDD Sr. &lt;2&gt; 1528 EN-1550 EN ID:09020696</v>
      </c>
      <c r="R1896" s="9"/>
      <c r="S1896" s="9"/>
      <c r="T1896" s="9"/>
      <c r="U1896" s="9"/>
    </row>
    <row r="1897" spans="3:27" x14ac:dyDescent="0.35">
      <c r="C1897" s="15" t="s">
        <v>8</v>
      </c>
      <c r="D1897" s="15" t="s">
        <v>8</v>
      </c>
      <c r="G1897" s="15" t="s">
        <v>8</v>
      </c>
      <c r="K1897" s="15" t="s">
        <v>8</v>
      </c>
      <c r="L1897" s="15" t="s">
        <v>8</v>
      </c>
      <c r="N1897" s="15" t="s">
        <v>8</v>
      </c>
      <c r="Q1897" s="8" t="s">
        <v>3</v>
      </c>
      <c r="R1897" s="15" t="s">
        <v>8</v>
      </c>
    </row>
    <row r="1898" spans="3:27" x14ac:dyDescent="0.35">
      <c r="C1898" s="15" t="s">
        <v>8</v>
      </c>
      <c r="D1898" s="15" t="s">
        <v>8</v>
      </c>
      <c r="G1898" s="15" t="s">
        <v>8</v>
      </c>
      <c r="K1898" s="15" t="s">
        <v>8</v>
      </c>
      <c r="L1898" s="15" t="s">
        <v>8</v>
      </c>
      <c r="N1898" s="15" t="s">
        <v>8</v>
      </c>
      <c r="Q1898" s="15" t="s">
        <v>8</v>
      </c>
      <c r="R1898" s="15" t="s">
        <v>8</v>
      </c>
      <c r="S1898" s="19" t="str">
        <f>HYPERLINK("http://yeinfo.com/family/I09065674.html", "THOMAS WRIGHT &lt;2&gt; 1476 EN-1550 EN ID:09065674")</f>
        <v>THOMAS WRIGHT &lt;2&gt; 1476 EN-1550 EN ID:09065674</v>
      </c>
      <c r="T1898" s="9"/>
      <c r="U1898" s="9"/>
      <c r="V1898" s="9"/>
      <c r="W1898" s="9"/>
    </row>
    <row r="1899" spans="3:27" x14ac:dyDescent="0.35">
      <c r="C1899" s="15" t="s">
        <v>8</v>
      </c>
      <c r="D1899" s="15" t="s">
        <v>8</v>
      </c>
      <c r="G1899" s="15" t="s">
        <v>8</v>
      </c>
      <c r="K1899" s="15" t="s">
        <v>8</v>
      </c>
      <c r="L1899" s="15" t="s">
        <v>8</v>
      </c>
      <c r="N1899" s="15" t="s">
        <v>8</v>
      </c>
      <c r="Q1899" s="15" t="s">
        <v>8</v>
      </c>
      <c r="R1899" s="8" t="s">
        <v>6</v>
      </c>
      <c r="S1899" s="8" t="s">
        <v>3</v>
      </c>
    </row>
    <row r="1900" spans="3:27" x14ac:dyDescent="0.35">
      <c r="C1900" s="15" t="s">
        <v>8</v>
      </c>
      <c r="D1900" s="15" t="s">
        <v>8</v>
      </c>
      <c r="G1900" s="15" t="s">
        <v>8</v>
      </c>
      <c r="K1900" s="15" t="s">
        <v>8</v>
      </c>
      <c r="L1900" s="15" t="s">
        <v>8</v>
      </c>
      <c r="N1900" s="15" t="s">
        <v>8</v>
      </c>
      <c r="Q1900" s="15" t="s">
        <v>8</v>
      </c>
      <c r="R1900" s="20" t="str">
        <f>HYPERLINK("http://yeinfo.com/family/I09041393.html", "ELIZABETH WRIGHT &lt;2&gt; 1504 EN-1575 EN ID:09041393")</f>
        <v>ELIZABETH WRIGHT &lt;2&gt; 1504 EN-1575 EN ID:09041393</v>
      </c>
      <c r="S1900" s="17"/>
      <c r="T1900" s="17"/>
      <c r="U1900" s="17"/>
      <c r="V1900" s="17"/>
    </row>
    <row r="1901" spans="3:27" x14ac:dyDescent="0.35">
      <c r="C1901" s="15" t="s">
        <v>8</v>
      </c>
      <c r="D1901" s="15" t="s">
        <v>8</v>
      </c>
      <c r="G1901" s="15" t="s">
        <v>8</v>
      </c>
      <c r="K1901" s="15" t="s">
        <v>8</v>
      </c>
      <c r="L1901" s="15" t="s">
        <v>8</v>
      </c>
      <c r="N1901" s="15" t="s">
        <v>8</v>
      </c>
      <c r="Q1901" s="15" t="s">
        <v>8</v>
      </c>
      <c r="S1901" s="15" t="s">
        <v>8</v>
      </c>
    </row>
    <row r="1902" spans="3:27" x14ac:dyDescent="0.35">
      <c r="C1902" s="15" t="s">
        <v>8</v>
      </c>
      <c r="D1902" s="15" t="s">
        <v>8</v>
      </c>
      <c r="G1902" s="15" t="s">
        <v>8</v>
      </c>
      <c r="K1902" s="15" t="s">
        <v>8</v>
      </c>
      <c r="L1902" s="15" t="s">
        <v>8</v>
      </c>
      <c r="N1902" s="15" t="s">
        <v>8</v>
      </c>
      <c r="Q1902" s="15" t="s">
        <v>8</v>
      </c>
      <c r="S1902" s="15" t="s">
        <v>8</v>
      </c>
      <c r="T1902" s="19" t="str">
        <f>HYPERLINK("http://yeinfo.com/family/I09065784.html", "JOHN LECHE &lt;2&gt; 1449 EN-1475 EN ID:09065784")</f>
        <v>JOHN LECHE &lt;2&gt; 1449 EN-1475 EN ID:09065784</v>
      </c>
      <c r="U1902" s="9"/>
      <c r="V1902" s="9"/>
      <c r="W1902" s="9"/>
      <c r="X1902" s="9"/>
    </row>
    <row r="1903" spans="3:27" x14ac:dyDescent="0.35">
      <c r="C1903" s="15" t="s">
        <v>8</v>
      </c>
      <c r="D1903" s="15" t="s">
        <v>8</v>
      </c>
      <c r="G1903" s="15" t="s">
        <v>8</v>
      </c>
      <c r="K1903" s="15" t="s">
        <v>8</v>
      </c>
      <c r="L1903" s="15" t="s">
        <v>8</v>
      </c>
      <c r="N1903" s="15" t="s">
        <v>8</v>
      </c>
      <c r="Q1903" s="15" t="s">
        <v>8</v>
      </c>
      <c r="S1903" s="8" t="s">
        <v>6</v>
      </c>
      <c r="T1903" s="8" t="s">
        <v>3</v>
      </c>
    </row>
    <row r="1904" spans="3:27" x14ac:dyDescent="0.35">
      <c r="C1904" s="15" t="s">
        <v>8</v>
      </c>
      <c r="D1904" s="15" t="s">
        <v>8</v>
      </c>
      <c r="G1904" s="15" t="s">
        <v>8</v>
      </c>
      <c r="K1904" s="15" t="s">
        <v>8</v>
      </c>
      <c r="L1904" s="15" t="s">
        <v>8</v>
      </c>
      <c r="N1904" s="15" t="s">
        <v>8</v>
      </c>
      <c r="Q1904" s="15" t="s">
        <v>8</v>
      </c>
      <c r="S1904" s="20" t="str">
        <f>HYPERLINK("http://yeinfo.com/family/I09065656.html", "MARGARET LECHE &lt;2&gt; 1475 EN-1552 EN ID:09065656")</f>
        <v>MARGARET LECHE &lt;2&gt; 1475 EN-1552 EN ID:09065656</v>
      </c>
      <c r="T1904" s="17"/>
      <c r="U1904" s="17"/>
      <c r="V1904" s="17"/>
      <c r="W1904" s="17"/>
    </row>
    <row r="1905" spans="3:24" x14ac:dyDescent="0.35">
      <c r="C1905" s="15" t="s">
        <v>8</v>
      </c>
      <c r="D1905" s="15" t="s">
        <v>8</v>
      </c>
      <c r="G1905" s="15" t="s">
        <v>8</v>
      </c>
      <c r="K1905" s="15" t="s">
        <v>8</v>
      </c>
      <c r="L1905" s="15" t="s">
        <v>8</v>
      </c>
      <c r="N1905" s="15" t="s">
        <v>8</v>
      </c>
      <c r="Q1905" s="15" t="s">
        <v>8</v>
      </c>
      <c r="T1905" s="8" t="s">
        <v>6</v>
      </c>
    </row>
    <row r="1906" spans="3:24" x14ac:dyDescent="0.35">
      <c r="C1906" s="15" t="s">
        <v>8</v>
      </c>
      <c r="D1906" s="15" t="s">
        <v>8</v>
      </c>
      <c r="G1906" s="15" t="s">
        <v>8</v>
      </c>
      <c r="K1906" s="15" t="s">
        <v>8</v>
      </c>
      <c r="L1906" s="15" t="s">
        <v>8</v>
      </c>
      <c r="N1906" s="15" t="s">
        <v>8</v>
      </c>
      <c r="Q1906" s="15" t="s">
        <v>8</v>
      </c>
      <c r="T1906" s="20" t="str">
        <f>HYPERLINK("http://yeinfo.com/family/I09065788.html", "MARGARET MAINWARING &lt;2&gt; 1455 EN-1475 EN ID:09065788")</f>
        <v>MARGARET MAINWARING &lt;2&gt; 1455 EN-1475 EN ID:09065788</v>
      </c>
      <c r="U1906" s="17"/>
      <c r="V1906" s="17"/>
      <c r="W1906" s="17"/>
      <c r="X1906" s="17"/>
    </row>
    <row r="1907" spans="3:24" x14ac:dyDescent="0.35">
      <c r="C1907" s="15" t="s">
        <v>8</v>
      </c>
      <c r="D1907" s="15" t="s">
        <v>8</v>
      </c>
      <c r="G1907" s="15" t="s">
        <v>8</v>
      </c>
      <c r="K1907" s="15" t="s">
        <v>8</v>
      </c>
      <c r="L1907" s="15" t="s">
        <v>8</v>
      </c>
      <c r="N1907" s="15" t="s">
        <v>8</v>
      </c>
      <c r="Q1907" s="15" t="s">
        <v>8</v>
      </c>
    </row>
    <row r="1908" spans="3:24" x14ac:dyDescent="0.35">
      <c r="C1908" s="15" t="s">
        <v>8</v>
      </c>
      <c r="D1908" s="15" t="s">
        <v>8</v>
      </c>
      <c r="G1908" s="15" t="s">
        <v>8</v>
      </c>
      <c r="K1908" s="15" t="s">
        <v>8</v>
      </c>
      <c r="L1908" s="15" t="s">
        <v>8</v>
      </c>
      <c r="N1908" s="15" t="s">
        <v>8</v>
      </c>
      <c r="P1908" s="19" t="str">
        <f>HYPERLINK("http://yeinfo.com/family/I09010348.html", "THOMAS BUDD &lt;2&gt; 1550 EN-1609 EN ID:09010348")</f>
        <v>THOMAS BUDD &lt;2&gt; 1550 EN-1609 EN ID:09010348</v>
      </c>
      <c r="Q1908" s="9"/>
      <c r="R1908" s="9"/>
      <c r="S1908" s="9"/>
      <c r="T1908" s="9"/>
    </row>
    <row r="1909" spans="3:24" x14ac:dyDescent="0.35">
      <c r="C1909" s="15" t="s">
        <v>8</v>
      </c>
      <c r="D1909" s="15" t="s">
        <v>8</v>
      </c>
      <c r="G1909" s="15" t="s">
        <v>8</v>
      </c>
      <c r="K1909" s="15" t="s">
        <v>8</v>
      </c>
      <c r="L1909" s="15" t="s">
        <v>8</v>
      </c>
      <c r="N1909" s="15" t="s">
        <v>8</v>
      </c>
      <c r="P1909" s="8" t="s">
        <v>3</v>
      </c>
      <c r="Q1909" s="15" t="s">
        <v>8</v>
      </c>
    </row>
    <row r="1910" spans="3:24" x14ac:dyDescent="0.35">
      <c r="C1910" s="15" t="s">
        <v>8</v>
      </c>
      <c r="D1910" s="15" t="s">
        <v>8</v>
      </c>
      <c r="G1910" s="15" t="s">
        <v>8</v>
      </c>
      <c r="K1910" s="15" t="s">
        <v>8</v>
      </c>
      <c r="L1910" s="15" t="s">
        <v>8</v>
      </c>
      <c r="N1910" s="15" t="s">
        <v>8</v>
      </c>
      <c r="P1910" s="15" t="s">
        <v>8</v>
      </c>
      <c r="Q1910" s="15" t="s">
        <v>8</v>
      </c>
      <c r="R1910" s="19" t="str">
        <f>HYPERLINK("http://yeinfo.com/family/I09041394.html", "THOMAS SYMONDS &lt;2&gt; 1500 EN-1532 EN ID:09041394")</f>
        <v>THOMAS SYMONDS &lt;2&gt; 1500 EN-1532 EN ID:09041394</v>
      </c>
      <c r="S1910" s="9"/>
      <c r="T1910" s="9"/>
      <c r="U1910" s="9"/>
      <c r="V1910" s="9"/>
    </row>
    <row r="1911" spans="3:24" x14ac:dyDescent="0.35">
      <c r="C1911" s="15" t="s">
        <v>8</v>
      </c>
      <c r="D1911" s="15" t="s">
        <v>8</v>
      </c>
      <c r="G1911" s="15" t="s">
        <v>8</v>
      </c>
      <c r="K1911" s="15" t="s">
        <v>8</v>
      </c>
      <c r="L1911" s="15" t="s">
        <v>8</v>
      </c>
      <c r="N1911" s="15" t="s">
        <v>8</v>
      </c>
      <c r="P1911" s="15" t="s">
        <v>8</v>
      </c>
      <c r="Q1911" s="8" t="s">
        <v>6</v>
      </c>
      <c r="R1911" s="8" t="s">
        <v>3</v>
      </c>
    </row>
    <row r="1912" spans="3:24" x14ac:dyDescent="0.35">
      <c r="C1912" s="15" t="s">
        <v>8</v>
      </c>
      <c r="D1912" s="15" t="s">
        <v>8</v>
      </c>
      <c r="G1912" s="15" t="s">
        <v>8</v>
      </c>
      <c r="K1912" s="15" t="s">
        <v>8</v>
      </c>
      <c r="L1912" s="15" t="s">
        <v>8</v>
      </c>
      <c r="N1912" s="15" t="s">
        <v>8</v>
      </c>
      <c r="P1912" s="15" t="s">
        <v>8</v>
      </c>
      <c r="Q1912" s="20" t="str">
        <f>HYPERLINK("http://yeinfo.com/family/I09020697.html", "MARGARET SYMONDS &lt;2&gt; 1532 EN-1556 EN ID:09020697")</f>
        <v>MARGARET SYMONDS &lt;2&gt; 1532 EN-1556 EN ID:09020697</v>
      </c>
      <c r="R1912" s="17"/>
      <c r="S1912" s="17"/>
      <c r="T1912" s="17"/>
      <c r="U1912" s="17"/>
    </row>
    <row r="1913" spans="3:24" x14ac:dyDescent="0.35">
      <c r="C1913" s="15" t="s">
        <v>8</v>
      </c>
      <c r="D1913" s="15" t="s">
        <v>8</v>
      </c>
      <c r="G1913" s="15" t="s">
        <v>8</v>
      </c>
      <c r="K1913" s="15" t="s">
        <v>8</v>
      </c>
      <c r="L1913" s="15" t="s">
        <v>8</v>
      </c>
      <c r="N1913" s="15" t="s">
        <v>8</v>
      </c>
      <c r="P1913" s="15" t="s">
        <v>8</v>
      </c>
      <c r="R1913" s="8" t="s">
        <v>6</v>
      </c>
    </row>
    <row r="1914" spans="3:24" x14ac:dyDescent="0.35">
      <c r="C1914" s="15" t="s">
        <v>8</v>
      </c>
      <c r="D1914" s="15" t="s">
        <v>8</v>
      </c>
      <c r="G1914" s="15" t="s">
        <v>8</v>
      </c>
      <c r="K1914" s="15" t="s">
        <v>8</v>
      </c>
      <c r="L1914" s="15" t="s">
        <v>8</v>
      </c>
      <c r="N1914" s="15" t="s">
        <v>8</v>
      </c>
      <c r="P1914" s="15" t="s">
        <v>8</v>
      </c>
      <c r="R1914" s="20" t="str">
        <f>HYPERLINK("http://yeinfo.com/family/I09041395.html", "Mrs. {_?_} SYMONDS &lt;2&gt; 1500 EN-1532 EN ID:09041395")</f>
        <v>Mrs. {_?_} SYMONDS &lt;2&gt; 1500 EN-1532 EN ID:09041395</v>
      </c>
      <c r="S1914" s="17"/>
      <c r="T1914" s="17"/>
      <c r="U1914" s="17"/>
      <c r="V1914" s="17"/>
    </row>
    <row r="1915" spans="3:24" x14ac:dyDescent="0.35">
      <c r="C1915" s="15" t="s">
        <v>8</v>
      </c>
      <c r="D1915" s="15" t="s">
        <v>8</v>
      </c>
      <c r="G1915" s="15" t="s">
        <v>8</v>
      </c>
      <c r="K1915" s="15" t="s">
        <v>8</v>
      </c>
      <c r="L1915" s="15" t="s">
        <v>8</v>
      </c>
      <c r="N1915" s="15" t="s">
        <v>8</v>
      </c>
      <c r="P1915" s="15" t="s">
        <v>8</v>
      </c>
    </row>
    <row r="1916" spans="3:24" x14ac:dyDescent="0.35">
      <c r="C1916" s="15" t="s">
        <v>8</v>
      </c>
      <c r="D1916" s="15" t="s">
        <v>8</v>
      </c>
      <c r="G1916" s="15" t="s">
        <v>8</v>
      </c>
      <c r="K1916" s="15" t="s">
        <v>8</v>
      </c>
      <c r="L1916" s="15" t="s">
        <v>8</v>
      </c>
      <c r="N1916" s="15" t="s">
        <v>8</v>
      </c>
      <c r="O1916" s="5" t="str">
        <f>HYPERLINK("http://yeinfo.com/family/I09005174.html", "JOHN BUDD Sr. &lt;2&gt; 1599 -1670  ID:09005174")</f>
        <v>JOHN BUDD Sr. &lt;2&gt; 1599 -1670  ID:09005174</v>
      </c>
      <c r="P1916" s="3"/>
      <c r="Q1916" s="3"/>
      <c r="R1916" s="3"/>
      <c r="S1916" s="3"/>
    </row>
    <row r="1917" spans="3:24" x14ac:dyDescent="0.35">
      <c r="C1917" s="15" t="s">
        <v>8</v>
      </c>
      <c r="D1917" s="15" t="s">
        <v>8</v>
      </c>
      <c r="G1917" s="15" t="s">
        <v>8</v>
      </c>
      <c r="K1917" s="15" t="s">
        <v>8</v>
      </c>
      <c r="L1917" s="15" t="s">
        <v>8</v>
      </c>
      <c r="N1917" s="15" t="s">
        <v>8</v>
      </c>
      <c r="O1917" s="8" t="s">
        <v>3</v>
      </c>
      <c r="P1917" s="8" t="s">
        <v>6</v>
      </c>
    </row>
    <row r="1918" spans="3:24" x14ac:dyDescent="0.35">
      <c r="C1918" s="15" t="s">
        <v>8</v>
      </c>
      <c r="D1918" s="15" t="s">
        <v>8</v>
      </c>
      <c r="G1918" s="15" t="s">
        <v>8</v>
      </c>
      <c r="K1918" s="15" t="s">
        <v>8</v>
      </c>
      <c r="L1918" s="15" t="s">
        <v>8</v>
      </c>
      <c r="N1918" s="15" t="s">
        <v>8</v>
      </c>
      <c r="O1918" s="15" t="s">
        <v>8</v>
      </c>
      <c r="P1918" s="20" t="str">
        <f>HYPERLINK("http://yeinfo.com/family/I09010349.html", "MARGARET WEST &lt;2&gt; 1555 EN-1630 EN ID:09010349")</f>
        <v>MARGARET WEST &lt;2&gt; 1555 EN-1630 EN ID:09010349</v>
      </c>
      <c r="Q1918" s="17"/>
      <c r="R1918" s="17"/>
      <c r="S1918" s="17"/>
      <c r="T1918" s="17"/>
    </row>
    <row r="1919" spans="3:24" x14ac:dyDescent="0.35">
      <c r="C1919" s="15" t="s">
        <v>8</v>
      </c>
      <c r="D1919" s="15" t="s">
        <v>8</v>
      </c>
      <c r="G1919" s="15" t="s">
        <v>8</v>
      </c>
      <c r="K1919" s="15" t="s">
        <v>8</v>
      </c>
      <c r="L1919" s="15" t="s">
        <v>8</v>
      </c>
      <c r="N1919" s="8" t="s">
        <v>6</v>
      </c>
      <c r="O1919" s="15" t="s">
        <v>8</v>
      </c>
    </row>
    <row r="1920" spans="3:24" x14ac:dyDescent="0.35">
      <c r="C1920" s="15" t="s">
        <v>8</v>
      </c>
      <c r="D1920" s="15" t="s">
        <v>8</v>
      </c>
      <c r="G1920" s="15" t="s">
        <v>8</v>
      </c>
      <c r="K1920" s="15" t="s">
        <v>8</v>
      </c>
      <c r="L1920" s="15" t="s">
        <v>8</v>
      </c>
      <c r="N1920" s="16" t="str">
        <f>HYPERLINK("http://yeinfo.com/family/I09002587.html", "ELIZABETH BUDD &lt;2&gt; 1641 -1661 NY ID:09002587")</f>
        <v>ELIZABETH BUDD &lt;2&gt; 1641 -1661 NY ID:09002587</v>
      </c>
      <c r="O1920" s="11"/>
      <c r="P1920" s="11"/>
      <c r="Q1920" s="11"/>
      <c r="R1920" s="11"/>
    </row>
    <row r="1921" spans="3:21" x14ac:dyDescent="0.35">
      <c r="C1921" s="15" t="s">
        <v>8</v>
      </c>
      <c r="D1921" s="15" t="s">
        <v>8</v>
      </c>
      <c r="G1921" s="15" t="s">
        <v>8</v>
      </c>
      <c r="K1921" s="15" t="s">
        <v>8</v>
      </c>
      <c r="L1921" s="15" t="s">
        <v>8</v>
      </c>
      <c r="O1921" s="15" t="s">
        <v>8</v>
      </c>
    </row>
    <row r="1922" spans="3:21" x14ac:dyDescent="0.35">
      <c r="C1922" s="15" t="s">
        <v>8</v>
      </c>
      <c r="D1922" s="15" t="s">
        <v>8</v>
      </c>
      <c r="G1922" s="15" t="s">
        <v>8</v>
      </c>
      <c r="K1922" s="15" t="s">
        <v>8</v>
      </c>
      <c r="L1922" s="15" t="s">
        <v>8</v>
      </c>
      <c r="O1922" s="15" t="s">
        <v>8</v>
      </c>
      <c r="P1922" s="19" t="str">
        <f>HYPERLINK("http://yeinfo.com/family/I09010350.html", "RICHARD BUTCHER &lt;2&gt; 1550 EN-1601 EN ID:09010350")</f>
        <v>RICHARD BUTCHER &lt;2&gt; 1550 EN-1601 EN ID:09010350</v>
      </c>
      <c r="Q1922" s="9"/>
      <c r="R1922" s="9"/>
      <c r="S1922" s="9"/>
      <c r="T1922" s="9"/>
    </row>
    <row r="1923" spans="3:21" x14ac:dyDescent="0.35">
      <c r="C1923" s="15" t="s">
        <v>8</v>
      </c>
      <c r="D1923" s="15" t="s">
        <v>8</v>
      </c>
      <c r="G1923" s="15" t="s">
        <v>8</v>
      </c>
      <c r="K1923" s="15" t="s">
        <v>8</v>
      </c>
      <c r="L1923" s="15" t="s">
        <v>8</v>
      </c>
      <c r="O1923" s="8" t="s">
        <v>6</v>
      </c>
      <c r="P1923" s="8" t="s">
        <v>3</v>
      </c>
    </row>
    <row r="1924" spans="3:21" x14ac:dyDescent="0.35">
      <c r="C1924" s="15" t="s">
        <v>8</v>
      </c>
      <c r="D1924" s="15" t="s">
        <v>8</v>
      </c>
      <c r="G1924" s="15" t="s">
        <v>8</v>
      </c>
      <c r="K1924" s="15" t="s">
        <v>8</v>
      </c>
      <c r="L1924" s="15" t="s">
        <v>8</v>
      </c>
      <c r="O1924" s="22" t="str">
        <f>HYPERLINK("http://yeinfo.com/family/I09005175.html", "KATHERINE BUTCHER &lt;2&gt; 1598 EN-1674 NY ID:09005175")</f>
        <v>KATHERINE BUTCHER &lt;2&gt; 1598 EN-1674 NY ID:09005175</v>
      </c>
      <c r="P1924" s="13"/>
      <c r="Q1924" s="13"/>
      <c r="R1924" s="13"/>
      <c r="S1924" s="13"/>
    </row>
    <row r="1925" spans="3:21" x14ac:dyDescent="0.35">
      <c r="C1925" s="15" t="s">
        <v>8</v>
      </c>
      <c r="D1925" s="15" t="s">
        <v>8</v>
      </c>
      <c r="G1925" s="15" t="s">
        <v>8</v>
      </c>
      <c r="K1925" s="15" t="s">
        <v>8</v>
      </c>
      <c r="L1925" s="15" t="s">
        <v>8</v>
      </c>
      <c r="P1925" s="8" t="s">
        <v>6</v>
      </c>
    </row>
    <row r="1926" spans="3:21" x14ac:dyDescent="0.35">
      <c r="C1926" s="15" t="s">
        <v>8</v>
      </c>
      <c r="D1926" s="15" t="s">
        <v>8</v>
      </c>
      <c r="G1926" s="15" t="s">
        <v>8</v>
      </c>
      <c r="K1926" s="15" t="s">
        <v>8</v>
      </c>
      <c r="L1926" s="15" t="s">
        <v>8</v>
      </c>
      <c r="P1926" s="20" t="str">
        <f>HYPERLINK("http://yeinfo.com/family/I09010351.html", "KATHERINE HARGRAVE &lt;2&gt; 1561 EN-1601 EN ID:09010351")</f>
        <v>KATHERINE HARGRAVE &lt;2&gt; 1561 EN-1601 EN ID:09010351</v>
      </c>
      <c r="Q1926" s="17"/>
      <c r="R1926" s="17"/>
      <c r="S1926" s="17"/>
      <c r="T1926" s="17"/>
    </row>
    <row r="1927" spans="3:21" x14ac:dyDescent="0.35">
      <c r="C1927" s="15" t="s">
        <v>8</v>
      </c>
      <c r="D1927" s="15" t="s">
        <v>8</v>
      </c>
      <c r="G1927" s="15" t="s">
        <v>8</v>
      </c>
      <c r="K1927" s="8" t="s">
        <v>6</v>
      </c>
      <c r="L1927" s="15" t="s">
        <v>8</v>
      </c>
    </row>
    <row r="1928" spans="3:21" x14ac:dyDescent="0.35">
      <c r="C1928" s="15" t="s">
        <v>8</v>
      </c>
      <c r="D1928" s="15" t="s">
        <v>8</v>
      </c>
      <c r="G1928" s="15" t="s">
        <v>8</v>
      </c>
      <c r="K1928" s="16" t="str">
        <f>HYPERLINK("http://yeinfo.com/family/I09000323.html", "MARTHA FOWLER &lt;2&gt; 1704 NY-1737 NY ID:09000323")</f>
        <v>MARTHA FOWLER &lt;2&gt; 1704 NY-1737 NY ID:09000323</v>
      </c>
      <c r="L1928" s="11"/>
      <c r="M1928" s="11"/>
      <c r="N1928" s="11"/>
      <c r="O1928" s="11"/>
    </row>
    <row r="1929" spans="3:21" x14ac:dyDescent="0.35">
      <c r="C1929" s="15" t="s">
        <v>8</v>
      </c>
      <c r="D1929" s="15" t="s">
        <v>8</v>
      </c>
      <c r="G1929" s="15" t="s">
        <v>8</v>
      </c>
      <c r="L1929" s="15" t="s">
        <v>8</v>
      </c>
    </row>
    <row r="1930" spans="3:21" x14ac:dyDescent="0.35">
      <c r="C1930" s="15" t="s">
        <v>8</v>
      </c>
      <c r="D1930" s="15" t="s">
        <v>8</v>
      </c>
      <c r="G1930" s="15" t="s">
        <v>8</v>
      </c>
      <c r="L1930" s="15" t="s">
        <v>8</v>
      </c>
      <c r="Q1930" s="19" t="str">
        <f>HYPERLINK("http://yeinfo.com/family/I09020704.html", "ROBERT DRAKE &lt;2&gt; 1528 EN-1600 EN ID:09020704")</f>
        <v>ROBERT DRAKE &lt;2&gt; 1528 EN-1600 EN ID:09020704</v>
      </c>
      <c r="R1930" s="9"/>
      <c r="S1930" s="9"/>
      <c r="T1930" s="9"/>
      <c r="U1930" s="9"/>
    </row>
    <row r="1931" spans="3:21" x14ac:dyDescent="0.35">
      <c r="C1931" s="15" t="s">
        <v>8</v>
      </c>
      <c r="D1931" s="15" t="s">
        <v>8</v>
      </c>
      <c r="G1931" s="15" t="s">
        <v>8</v>
      </c>
      <c r="L1931" s="15" t="s">
        <v>8</v>
      </c>
      <c r="Q1931" s="8" t="s">
        <v>3</v>
      </c>
    </row>
    <row r="1932" spans="3:21" x14ac:dyDescent="0.35">
      <c r="C1932" s="15" t="s">
        <v>8</v>
      </c>
      <c r="D1932" s="15" t="s">
        <v>8</v>
      </c>
      <c r="G1932" s="15" t="s">
        <v>8</v>
      </c>
      <c r="L1932" s="15" t="s">
        <v>8</v>
      </c>
      <c r="P1932" s="19" t="str">
        <f>HYPERLINK("http://yeinfo.com/family/I09010352.html", "WILLIAM DRAKE &lt;2&gt; 1564 EN-1625 EN ID:09010352")</f>
        <v>WILLIAM DRAKE &lt;2&gt; 1564 EN-1625 EN ID:09010352</v>
      </c>
      <c r="Q1932" s="9"/>
      <c r="R1932" s="9"/>
      <c r="S1932" s="9"/>
      <c r="T1932" s="9"/>
    </row>
    <row r="1933" spans="3:21" x14ac:dyDescent="0.35">
      <c r="C1933" s="15" t="s">
        <v>8</v>
      </c>
      <c r="D1933" s="15" t="s">
        <v>8</v>
      </c>
      <c r="G1933" s="15" t="s">
        <v>8</v>
      </c>
      <c r="L1933" s="15" t="s">
        <v>8</v>
      </c>
      <c r="P1933" s="8" t="s">
        <v>3</v>
      </c>
      <c r="Q1933" s="8" t="s">
        <v>6</v>
      </c>
    </row>
    <row r="1934" spans="3:21" x14ac:dyDescent="0.35">
      <c r="C1934" s="15" t="s">
        <v>8</v>
      </c>
      <c r="D1934" s="15" t="s">
        <v>8</v>
      </c>
      <c r="G1934" s="15" t="s">
        <v>8</v>
      </c>
      <c r="L1934" s="15" t="s">
        <v>8</v>
      </c>
      <c r="P1934" s="15" t="s">
        <v>8</v>
      </c>
      <c r="Q1934" s="20" t="str">
        <f>HYPERLINK("http://yeinfo.com/family/I09020705.html", "ELIZABETH PRIDEAUX &lt;2&gt; 1523 EN-1572 EN ID:09020705")</f>
        <v>ELIZABETH PRIDEAUX &lt;2&gt; 1523 EN-1572 EN ID:09020705</v>
      </c>
      <c r="R1934" s="17"/>
      <c r="S1934" s="17"/>
      <c r="T1934" s="17"/>
      <c r="U1934" s="17"/>
    </row>
    <row r="1935" spans="3:21" x14ac:dyDescent="0.35">
      <c r="C1935" s="15" t="s">
        <v>8</v>
      </c>
      <c r="D1935" s="15" t="s">
        <v>8</v>
      </c>
      <c r="G1935" s="15" t="s">
        <v>8</v>
      </c>
      <c r="L1935" s="15" t="s">
        <v>8</v>
      </c>
      <c r="P1935" s="15" t="s">
        <v>8</v>
      </c>
    </row>
    <row r="1936" spans="3:21" x14ac:dyDescent="0.35">
      <c r="C1936" s="15" t="s">
        <v>8</v>
      </c>
      <c r="D1936" s="15" t="s">
        <v>8</v>
      </c>
      <c r="G1936" s="15" t="s">
        <v>8</v>
      </c>
      <c r="L1936" s="15" t="s">
        <v>8</v>
      </c>
      <c r="O1936" s="21" t="str">
        <f>HYPERLINK("http://yeinfo.com/family/I09005176.html", "JOHN DRAKE Sr. &lt;2&gt; 1585 EN-1659 CT ID:09005176")</f>
        <v>JOHN DRAKE Sr. &lt;2&gt; 1585 EN-1659 CT ID:09005176</v>
      </c>
      <c r="P1936" s="6"/>
      <c r="Q1936" s="6"/>
      <c r="R1936" s="6"/>
      <c r="S1936" s="6"/>
    </row>
    <row r="1937" spans="3:24" x14ac:dyDescent="0.35">
      <c r="C1937" s="15" t="s">
        <v>8</v>
      </c>
      <c r="D1937" s="15" t="s">
        <v>8</v>
      </c>
      <c r="G1937" s="15" t="s">
        <v>8</v>
      </c>
      <c r="L1937" s="15" t="s">
        <v>8</v>
      </c>
      <c r="O1937" s="8" t="s">
        <v>3</v>
      </c>
      <c r="P1937" s="15" t="s">
        <v>8</v>
      </c>
    </row>
    <row r="1938" spans="3:24" x14ac:dyDescent="0.35">
      <c r="C1938" s="15" t="s">
        <v>8</v>
      </c>
      <c r="D1938" s="15" t="s">
        <v>8</v>
      </c>
      <c r="G1938" s="15" t="s">
        <v>8</v>
      </c>
      <c r="L1938" s="15" t="s">
        <v>8</v>
      </c>
      <c r="O1938" s="15" t="s">
        <v>8</v>
      </c>
      <c r="P1938" s="15" t="s">
        <v>8</v>
      </c>
      <c r="Q1938" s="19" t="str">
        <f>HYPERLINK("http://yeinfo.com/family/I09020706.html", "ROBERT DENNIS &lt;2&gt; 1540 EN-1592 EN ID:09020706")</f>
        <v>ROBERT DENNIS &lt;2&gt; 1540 EN-1592 EN ID:09020706</v>
      </c>
      <c r="R1938" s="9"/>
      <c r="S1938" s="9"/>
      <c r="T1938" s="9"/>
      <c r="U1938" s="9"/>
    </row>
    <row r="1939" spans="3:24" x14ac:dyDescent="0.35">
      <c r="C1939" s="15" t="s">
        <v>8</v>
      </c>
      <c r="D1939" s="15" t="s">
        <v>8</v>
      </c>
      <c r="G1939" s="15" t="s">
        <v>8</v>
      </c>
      <c r="L1939" s="15" t="s">
        <v>8</v>
      </c>
      <c r="O1939" s="15" t="s">
        <v>8</v>
      </c>
      <c r="P1939" s="8" t="s">
        <v>6</v>
      </c>
      <c r="Q1939" s="8" t="s">
        <v>3</v>
      </c>
    </row>
    <row r="1940" spans="3:24" x14ac:dyDescent="0.35">
      <c r="C1940" s="15" t="s">
        <v>8</v>
      </c>
      <c r="D1940" s="15" t="s">
        <v>8</v>
      </c>
      <c r="G1940" s="15" t="s">
        <v>8</v>
      </c>
      <c r="L1940" s="15" t="s">
        <v>8</v>
      </c>
      <c r="O1940" s="15" t="s">
        <v>8</v>
      </c>
      <c r="P1940" s="20" t="str">
        <f>HYPERLINK("http://yeinfo.com/family/I09010353.html", "PHILLIPPA DENNIS &lt;2&gt; 1561 EN-1655 EN ID:09010353")</f>
        <v>PHILLIPPA DENNIS &lt;2&gt; 1561 EN-1655 EN ID:09010353</v>
      </c>
      <c r="Q1940" s="17"/>
      <c r="R1940" s="17"/>
      <c r="S1940" s="17"/>
      <c r="T1940" s="17"/>
    </row>
    <row r="1941" spans="3:24" x14ac:dyDescent="0.35">
      <c r="C1941" s="15" t="s">
        <v>8</v>
      </c>
      <c r="D1941" s="15" t="s">
        <v>8</v>
      </c>
      <c r="G1941" s="15" t="s">
        <v>8</v>
      </c>
      <c r="L1941" s="15" t="s">
        <v>8</v>
      </c>
      <c r="O1941" s="15" t="s">
        <v>8</v>
      </c>
      <c r="Q1941" s="8" t="s">
        <v>6</v>
      </c>
    </row>
    <row r="1942" spans="3:24" x14ac:dyDescent="0.35">
      <c r="C1942" s="15" t="s">
        <v>8</v>
      </c>
      <c r="D1942" s="15" t="s">
        <v>8</v>
      </c>
      <c r="G1942" s="15" t="s">
        <v>8</v>
      </c>
      <c r="L1942" s="15" t="s">
        <v>8</v>
      </c>
      <c r="O1942" s="15" t="s">
        <v>8</v>
      </c>
      <c r="Q1942" s="20" t="str">
        <f>HYPERLINK("http://yeinfo.com/family/I09020707.html", "Mrs. {_?_} DENNIS &lt;2&gt; 1540 EN-1561 EN ID:09020707")</f>
        <v>Mrs. {_?_} DENNIS &lt;2&gt; 1540 EN-1561 EN ID:09020707</v>
      </c>
      <c r="R1942" s="17"/>
      <c r="S1942" s="17"/>
      <c r="T1942" s="17"/>
      <c r="U1942" s="17"/>
    </row>
    <row r="1943" spans="3:24" x14ac:dyDescent="0.35">
      <c r="C1943" s="15" t="s">
        <v>8</v>
      </c>
      <c r="D1943" s="15" t="s">
        <v>8</v>
      </c>
      <c r="G1943" s="15" t="s">
        <v>8</v>
      </c>
      <c r="L1943" s="15" t="s">
        <v>8</v>
      </c>
      <c r="O1943" s="15" t="s">
        <v>8</v>
      </c>
    </row>
    <row r="1944" spans="3:24" x14ac:dyDescent="0.35">
      <c r="C1944" s="15" t="s">
        <v>8</v>
      </c>
      <c r="D1944" s="15" t="s">
        <v>8</v>
      </c>
      <c r="G1944" s="15" t="s">
        <v>8</v>
      </c>
      <c r="L1944" s="15" t="s">
        <v>8</v>
      </c>
      <c r="N1944" s="21" t="str">
        <f>HYPERLINK("http://yeinfo.com/family/I09002588.html", "SAMUEL DRAKE &lt;2&gt; 1623 EN-1686 NY ID:09002588")</f>
        <v>SAMUEL DRAKE &lt;2&gt; 1623 EN-1686 NY ID:09002588</v>
      </c>
      <c r="O1944" s="6"/>
      <c r="P1944" s="6"/>
      <c r="Q1944" s="6"/>
      <c r="R1944" s="6"/>
    </row>
    <row r="1945" spans="3:24" x14ac:dyDescent="0.35">
      <c r="C1945" s="15" t="s">
        <v>8</v>
      </c>
      <c r="D1945" s="15" t="s">
        <v>8</v>
      </c>
      <c r="G1945" s="15" t="s">
        <v>8</v>
      </c>
      <c r="L1945" s="15" t="s">
        <v>8</v>
      </c>
      <c r="N1945" s="8" t="s">
        <v>3</v>
      </c>
      <c r="O1945" s="8" t="s">
        <v>6</v>
      </c>
    </row>
    <row r="1946" spans="3:24" x14ac:dyDescent="0.35">
      <c r="C1946" s="15" t="s">
        <v>8</v>
      </c>
      <c r="D1946" s="15" t="s">
        <v>8</v>
      </c>
      <c r="G1946" s="15" t="s">
        <v>8</v>
      </c>
      <c r="L1946" s="15" t="s">
        <v>8</v>
      </c>
      <c r="N1946" s="15" t="s">
        <v>8</v>
      </c>
      <c r="O1946" s="22" t="str">
        <f>HYPERLINK("http://yeinfo.com/family/I09005177.html", "ELIZABETH ROGERS &lt;2&gt; 1600 EN-1681 CT ID:09005177")</f>
        <v>ELIZABETH ROGERS &lt;2&gt; 1600 EN-1681 CT ID:09005177</v>
      </c>
      <c r="P1946" s="13"/>
      <c r="Q1946" s="13"/>
      <c r="R1946" s="13"/>
      <c r="S1946" s="13"/>
    </row>
    <row r="1947" spans="3:24" x14ac:dyDescent="0.35">
      <c r="C1947" s="15" t="s">
        <v>8</v>
      </c>
      <c r="D1947" s="15" t="s">
        <v>8</v>
      </c>
      <c r="G1947" s="15" t="s">
        <v>8</v>
      </c>
      <c r="L1947" s="15" t="s">
        <v>8</v>
      </c>
      <c r="N1947" s="15" t="s">
        <v>8</v>
      </c>
    </row>
    <row r="1948" spans="3:24" x14ac:dyDescent="0.35">
      <c r="C1948" s="15" t="s">
        <v>8</v>
      </c>
      <c r="D1948" s="15" t="s">
        <v>8</v>
      </c>
      <c r="G1948" s="15" t="s">
        <v>8</v>
      </c>
      <c r="L1948" s="15" t="s">
        <v>8</v>
      </c>
      <c r="M1948" s="5" t="str">
        <f>HYPERLINK("http://yeinfo.com/family/I09001294.html", "JOSEPH DRAKE &lt;2&gt; 1663 NY-1731 NY ID:09001294")</f>
        <v>JOSEPH DRAKE &lt;2&gt; 1663 NY-1731 NY ID:09001294</v>
      </c>
      <c r="N1948" s="3"/>
      <c r="O1948" s="3"/>
      <c r="P1948" s="3"/>
      <c r="Q1948" s="3"/>
    </row>
    <row r="1949" spans="3:24" x14ac:dyDescent="0.35">
      <c r="C1949" s="15" t="s">
        <v>8</v>
      </c>
      <c r="D1949" s="15" t="s">
        <v>8</v>
      </c>
      <c r="G1949" s="15" t="s">
        <v>8</v>
      </c>
      <c r="L1949" s="15" t="s">
        <v>8</v>
      </c>
      <c r="M1949" s="8" t="s">
        <v>3</v>
      </c>
      <c r="N1949" s="15" t="s">
        <v>8</v>
      </c>
    </row>
    <row r="1950" spans="3:24" x14ac:dyDescent="0.35">
      <c r="C1950" s="15" t="s">
        <v>8</v>
      </c>
      <c r="D1950" s="15" t="s">
        <v>8</v>
      </c>
      <c r="G1950" s="15" t="s">
        <v>8</v>
      </c>
      <c r="L1950" s="15" t="s">
        <v>8</v>
      </c>
      <c r="M1950" s="15" t="s">
        <v>8</v>
      </c>
      <c r="N1950" s="15" t="s">
        <v>8</v>
      </c>
      <c r="T1950" s="19" t="str">
        <f>HYPERLINK("http://yeinfo.com/family/I09066778.html", "ALEXANDER BARLOW &lt;2&gt; 1414 EN-1466 EN ID:09066778")</f>
        <v>ALEXANDER BARLOW &lt;2&gt; 1414 EN-1466 EN ID:09066778</v>
      </c>
      <c r="U1950" s="9"/>
      <c r="V1950" s="9"/>
      <c r="W1950" s="9"/>
      <c r="X1950" s="9"/>
    </row>
    <row r="1951" spans="3:24" x14ac:dyDescent="0.35">
      <c r="C1951" s="15" t="s">
        <v>8</v>
      </c>
      <c r="D1951" s="15" t="s">
        <v>8</v>
      </c>
      <c r="G1951" s="15" t="s">
        <v>8</v>
      </c>
      <c r="L1951" s="15" t="s">
        <v>8</v>
      </c>
      <c r="M1951" s="15" t="s">
        <v>8</v>
      </c>
      <c r="N1951" s="15" t="s">
        <v>8</v>
      </c>
      <c r="T1951" s="8" t="s">
        <v>3</v>
      </c>
    </row>
    <row r="1952" spans="3:24" x14ac:dyDescent="0.35">
      <c r="C1952" s="15" t="s">
        <v>8</v>
      </c>
      <c r="D1952" s="15" t="s">
        <v>8</v>
      </c>
      <c r="G1952" s="15" t="s">
        <v>8</v>
      </c>
      <c r="L1952" s="15" t="s">
        <v>8</v>
      </c>
      <c r="M1952" s="15" t="s">
        <v>8</v>
      </c>
      <c r="N1952" s="15" t="s">
        <v>8</v>
      </c>
      <c r="S1952" s="19" t="str">
        <f>HYPERLINK("http://yeinfo.com/family/I09066779.html", "ROGER BARLOW &lt;2&gt; 1461 EN-1529 EN ID:09066779")</f>
        <v>ROGER BARLOW &lt;2&gt; 1461 EN-1529 EN ID:09066779</v>
      </c>
      <c r="T1952" s="9"/>
      <c r="U1952" s="9"/>
      <c r="V1952" s="9"/>
      <c r="W1952" s="9"/>
    </row>
    <row r="1953" spans="3:26" x14ac:dyDescent="0.35">
      <c r="C1953" s="15" t="s">
        <v>8</v>
      </c>
      <c r="D1953" s="15" t="s">
        <v>8</v>
      </c>
      <c r="G1953" s="15" t="s">
        <v>8</v>
      </c>
      <c r="L1953" s="15" t="s">
        <v>8</v>
      </c>
      <c r="M1953" s="15" t="s">
        <v>8</v>
      </c>
      <c r="N1953" s="15" t="s">
        <v>8</v>
      </c>
      <c r="S1953" s="8" t="s">
        <v>3</v>
      </c>
      <c r="T1953" s="8" t="s">
        <v>6</v>
      </c>
    </row>
    <row r="1954" spans="3:26" x14ac:dyDescent="0.35">
      <c r="C1954" s="15" t="s">
        <v>8</v>
      </c>
      <c r="D1954" s="15" t="s">
        <v>8</v>
      </c>
      <c r="G1954" s="15" t="s">
        <v>8</v>
      </c>
      <c r="L1954" s="15" t="s">
        <v>8</v>
      </c>
      <c r="M1954" s="15" t="s">
        <v>8</v>
      </c>
      <c r="N1954" s="15" t="s">
        <v>8</v>
      </c>
      <c r="S1954" s="15" t="s">
        <v>8</v>
      </c>
      <c r="T1954" s="20" t="str">
        <f>HYPERLINK("http://yeinfo.com/family/I09066772.html", "ELIZABETH ASHTON &lt;2&gt; 1428 EN-1465 EN ID:09066772")</f>
        <v>ELIZABETH ASHTON &lt;2&gt; 1428 EN-1465 EN ID:09066772</v>
      </c>
      <c r="U1954" s="17"/>
      <c r="V1954" s="17"/>
      <c r="W1954" s="17"/>
      <c r="X1954" s="17"/>
    </row>
    <row r="1955" spans="3:26" x14ac:dyDescent="0.35">
      <c r="C1955" s="15" t="s">
        <v>8</v>
      </c>
      <c r="D1955" s="15" t="s">
        <v>8</v>
      </c>
      <c r="G1955" s="15" t="s">
        <v>8</v>
      </c>
      <c r="L1955" s="15" t="s">
        <v>8</v>
      </c>
      <c r="M1955" s="15" t="s">
        <v>8</v>
      </c>
      <c r="N1955" s="15" t="s">
        <v>8</v>
      </c>
      <c r="S1955" s="15" t="s">
        <v>8</v>
      </c>
    </row>
    <row r="1956" spans="3:26" x14ac:dyDescent="0.35">
      <c r="C1956" s="15" t="s">
        <v>8</v>
      </c>
      <c r="D1956" s="15" t="s">
        <v>8</v>
      </c>
      <c r="G1956" s="15" t="s">
        <v>8</v>
      </c>
      <c r="L1956" s="15" t="s">
        <v>8</v>
      </c>
      <c r="M1956" s="15" t="s">
        <v>8</v>
      </c>
      <c r="N1956" s="15" t="s">
        <v>8</v>
      </c>
      <c r="R1956" s="19" t="str">
        <f>HYPERLINK("http://yeinfo.com/family/I09041424.html", "ELLIS BARLOW &lt;2&gt; 1501 -1521 EN ID:09041424")</f>
        <v>ELLIS BARLOW &lt;2&gt; 1501 -1521 EN ID:09041424</v>
      </c>
      <c r="S1956" s="9"/>
      <c r="T1956" s="9"/>
      <c r="U1956" s="9"/>
      <c r="V1956" s="9"/>
    </row>
    <row r="1957" spans="3:26" x14ac:dyDescent="0.35">
      <c r="C1957" s="15" t="s">
        <v>8</v>
      </c>
      <c r="D1957" s="15" t="s">
        <v>8</v>
      </c>
      <c r="G1957" s="15" t="s">
        <v>8</v>
      </c>
      <c r="L1957" s="15" t="s">
        <v>8</v>
      </c>
      <c r="M1957" s="15" t="s">
        <v>8</v>
      </c>
      <c r="N1957" s="15" t="s">
        <v>8</v>
      </c>
      <c r="R1957" s="8" t="s">
        <v>3</v>
      </c>
      <c r="S1957" s="15" t="s">
        <v>8</v>
      </c>
    </row>
    <row r="1958" spans="3:26" x14ac:dyDescent="0.35">
      <c r="C1958" s="15" t="s">
        <v>8</v>
      </c>
      <c r="D1958" s="15" t="s">
        <v>8</v>
      </c>
      <c r="G1958" s="15" t="s">
        <v>8</v>
      </c>
      <c r="L1958" s="15" t="s">
        <v>8</v>
      </c>
      <c r="M1958" s="15" t="s">
        <v>8</v>
      </c>
      <c r="N1958" s="15" t="s">
        <v>8</v>
      </c>
      <c r="R1958" s="15" t="s">
        <v>8</v>
      </c>
      <c r="S1958" s="15" t="s">
        <v>8</v>
      </c>
      <c r="T1958" s="19" t="str">
        <f>HYPERLINK("http://yeinfo.com/family/I09066826.html", "ELLIS PRESTWICH &lt;2&gt; 1437 EN-1501 EN ID:09066826")</f>
        <v>ELLIS PRESTWICH &lt;2&gt; 1437 EN-1501 EN ID:09066826</v>
      </c>
      <c r="U1958" s="9"/>
      <c r="V1958" s="9"/>
      <c r="W1958" s="9"/>
      <c r="X1958" s="9"/>
    </row>
    <row r="1959" spans="3:26" x14ac:dyDescent="0.35">
      <c r="C1959" s="15" t="s">
        <v>8</v>
      </c>
      <c r="D1959" s="15" t="s">
        <v>8</v>
      </c>
      <c r="G1959" s="15" t="s">
        <v>8</v>
      </c>
      <c r="L1959" s="15" t="s">
        <v>8</v>
      </c>
      <c r="M1959" s="15" t="s">
        <v>8</v>
      </c>
      <c r="N1959" s="15" t="s">
        <v>8</v>
      </c>
      <c r="R1959" s="15" t="s">
        <v>8</v>
      </c>
      <c r="S1959" s="8" t="s">
        <v>6</v>
      </c>
      <c r="T1959" s="8" t="s">
        <v>3</v>
      </c>
    </row>
    <row r="1960" spans="3:26" x14ac:dyDescent="0.35">
      <c r="C1960" s="15" t="s">
        <v>8</v>
      </c>
      <c r="D1960" s="15" t="s">
        <v>8</v>
      </c>
      <c r="G1960" s="15" t="s">
        <v>8</v>
      </c>
      <c r="L1960" s="15" t="s">
        <v>8</v>
      </c>
      <c r="M1960" s="15" t="s">
        <v>8</v>
      </c>
      <c r="N1960" s="15" t="s">
        <v>8</v>
      </c>
      <c r="R1960" s="15" t="s">
        <v>8</v>
      </c>
      <c r="S1960" s="20" t="str">
        <f>HYPERLINK("http://yeinfo.com/family/I09066827.html", "CATHERINE PRESTWICH &lt;2&gt; 1463 EN-1525 EN ID:09066827")</f>
        <v>CATHERINE PRESTWICH &lt;2&gt; 1463 EN-1525 EN ID:09066827</v>
      </c>
      <c r="T1960" s="17"/>
      <c r="U1960" s="17"/>
      <c r="V1960" s="17"/>
      <c r="W1960" s="17"/>
    </row>
    <row r="1961" spans="3:26" x14ac:dyDescent="0.35">
      <c r="C1961" s="15" t="s">
        <v>8</v>
      </c>
      <c r="D1961" s="15" t="s">
        <v>8</v>
      </c>
      <c r="G1961" s="15" t="s">
        <v>8</v>
      </c>
      <c r="L1961" s="15" t="s">
        <v>8</v>
      </c>
      <c r="M1961" s="15" t="s">
        <v>8</v>
      </c>
      <c r="N1961" s="15" t="s">
        <v>8</v>
      </c>
      <c r="R1961" s="15" t="s">
        <v>8</v>
      </c>
      <c r="T1961" s="15" t="s">
        <v>8</v>
      </c>
    </row>
    <row r="1962" spans="3:26" x14ac:dyDescent="0.35">
      <c r="C1962" s="15" t="s">
        <v>8</v>
      </c>
      <c r="D1962" s="15" t="s">
        <v>8</v>
      </c>
      <c r="G1962" s="15" t="s">
        <v>8</v>
      </c>
      <c r="L1962" s="15" t="s">
        <v>8</v>
      </c>
      <c r="M1962" s="15" t="s">
        <v>8</v>
      </c>
      <c r="N1962" s="15" t="s">
        <v>8</v>
      </c>
      <c r="R1962" s="15" t="s">
        <v>8</v>
      </c>
      <c r="T1962" s="15" t="s">
        <v>8</v>
      </c>
      <c r="V1962" s="19" t="str">
        <f>HYPERLINK("http://yeinfo.com/family/I09066839.html", "HUGH TYLDESLEY &lt;2&gt; 1370 EN-1434 EN ID:09066839")</f>
        <v>HUGH TYLDESLEY &lt;2&gt; 1370 EN-1434 EN ID:09066839</v>
      </c>
      <c r="W1962" s="9"/>
      <c r="X1962" s="9"/>
      <c r="Y1962" s="9"/>
      <c r="Z1962" s="9"/>
    </row>
    <row r="1963" spans="3:26" x14ac:dyDescent="0.35">
      <c r="C1963" s="15" t="s">
        <v>8</v>
      </c>
      <c r="D1963" s="15" t="s">
        <v>8</v>
      </c>
      <c r="G1963" s="15" t="s">
        <v>8</v>
      </c>
      <c r="L1963" s="15" t="s">
        <v>8</v>
      </c>
      <c r="M1963" s="15" t="s">
        <v>8</v>
      </c>
      <c r="N1963" s="15" t="s">
        <v>8</v>
      </c>
      <c r="R1963" s="15" t="s">
        <v>8</v>
      </c>
      <c r="T1963" s="15" t="s">
        <v>8</v>
      </c>
      <c r="V1963" s="8" t="s">
        <v>3</v>
      </c>
    </row>
    <row r="1964" spans="3:26" x14ac:dyDescent="0.35">
      <c r="C1964" s="15" t="s">
        <v>8</v>
      </c>
      <c r="D1964" s="15" t="s">
        <v>8</v>
      </c>
      <c r="G1964" s="15" t="s">
        <v>8</v>
      </c>
      <c r="L1964" s="15" t="s">
        <v>8</v>
      </c>
      <c r="M1964" s="15" t="s">
        <v>8</v>
      </c>
      <c r="N1964" s="15" t="s">
        <v>8</v>
      </c>
      <c r="R1964" s="15" t="s">
        <v>8</v>
      </c>
      <c r="T1964" s="15" t="s">
        <v>8</v>
      </c>
      <c r="U1964" s="19" t="str">
        <f>HYPERLINK("http://yeinfo.com/family/I09066840.html", "THURSTON TYLDESLEY &lt;2&gt; 1400 EN-1441 EN ID:09066840")</f>
        <v>THURSTON TYLDESLEY &lt;2&gt; 1400 EN-1441 EN ID:09066840</v>
      </c>
      <c r="V1964" s="9"/>
      <c r="W1964" s="9"/>
      <c r="X1964" s="9"/>
      <c r="Y1964" s="9"/>
    </row>
    <row r="1965" spans="3:26" x14ac:dyDescent="0.35">
      <c r="C1965" s="15" t="s">
        <v>8</v>
      </c>
      <c r="D1965" s="15" t="s">
        <v>8</v>
      </c>
      <c r="G1965" s="15" t="s">
        <v>8</v>
      </c>
      <c r="L1965" s="15" t="s">
        <v>8</v>
      </c>
      <c r="M1965" s="15" t="s">
        <v>8</v>
      </c>
      <c r="N1965" s="15" t="s">
        <v>8</v>
      </c>
      <c r="R1965" s="15" t="s">
        <v>8</v>
      </c>
      <c r="T1965" s="15" t="s">
        <v>8</v>
      </c>
      <c r="U1965" s="8" t="s">
        <v>3</v>
      </c>
      <c r="V1965" s="8" t="s">
        <v>6</v>
      </c>
    </row>
    <row r="1966" spans="3:26" x14ac:dyDescent="0.35">
      <c r="C1966" s="15" t="s">
        <v>8</v>
      </c>
      <c r="D1966" s="15" t="s">
        <v>8</v>
      </c>
      <c r="G1966" s="15" t="s">
        <v>8</v>
      </c>
      <c r="L1966" s="15" t="s">
        <v>8</v>
      </c>
      <c r="M1966" s="15" t="s">
        <v>8</v>
      </c>
      <c r="N1966" s="15" t="s">
        <v>8</v>
      </c>
      <c r="R1966" s="15" t="s">
        <v>8</v>
      </c>
      <c r="T1966" s="15" t="s">
        <v>8</v>
      </c>
      <c r="U1966" s="15" t="s">
        <v>8</v>
      </c>
      <c r="V1966" s="20" t="str">
        <f>HYPERLINK("http://yeinfo.com/family/I09066771.html", "CECILIA ASHTON &lt;2&gt; 1372 EN-1430 EN ID:09066771")</f>
        <v>CECILIA ASHTON &lt;2&gt; 1372 EN-1430 EN ID:09066771</v>
      </c>
      <c r="W1966" s="17"/>
      <c r="X1966" s="17"/>
      <c r="Y1966" s="17"/>
      <c r="Z1966" s="17"/>
    </row>
    <row r="1967" spans="3:26" x14ac:dyDescent="0.35">
      <c r="C1967" s="15" t="s">
        <v>8</v>
      </c>
      <c r="D1967" s="15" t="s">
        <v>8</v>
      </c>
      <c r="G1967" s="15" t="s">
        <v>8</v>
      </c>
      <c r="L1967" s="15" t="s">
        <v>8</v>
      </c>
      <c r="M1967" s="15" t="s">
        <v>8</v>
      </c>
      <c r="N1967" s="15" t="s">
        <v>8</v>
      </c>
      <c r="R1967" s="15" t="s">
        <v>8</v>
      </c>
      <c r="T1967" s="8" t="s">
        <v>6</v>
      </c>
      <c r="U1967" s="15" t="s">
        <v>8</v>
      </c>
    </row>
    <row r="1968" spans="3:26" x14ac:dyDescent="0.35">
      <c r="C1968" s="15" t="s">
        <v>8</v>
      </c>
      <c r="D1968" s="15" t="s">
        <v>8</v>
      </c>
      <c r="G1968" s="15" t="s">
        <v>8</v>
      </c>
      <c r="L1968" s="15" t="s">
        <v>8</v>
      </c>
      <c r="M1968" s="15" t="s">
        <v>8</v>
      </c>
      <c r="N1968" s="15" t="s">
        <v>8</v>
      </c>
      <c r="R1968" s="15" t="s">
        <v>8</v>
      </c>
      <c r="T1968" s="20" t="str">
        <f>HYPERLINK("http://yeinfo.com/family/I09066841.html", "ISABELLA TYLDESLEY &lt;2&gt; 1441 EN-1508 EN ID:09066841")</f>
        <v>ISABELLA TYLDESLEY &lt;2&gt; 1441 EN-1508 EN ID:09066841</v>
      </c>
      <c r="U1968" s="17"/>
      <c r="V1968" s="17"/>
      <c r="W1968" s="17"/>
      <c r="X1968" s="17"/>
    </row>
    <row r="1969" spans="3:25" x14ac:dyDescent="0.35">
      <c r="C1969" s="15" t="s">
        <v>8</v>
      </c>
      <c r="D1969" s="15" t="s">
        <v>8</v>
      </c>
      <c r="G1969" s="15" t="s">
        <v>8</v>
      </c>
      <c r="L1969" s="15" t="s">
        <v>8</v>
      </c>
      <c r="M1969" s="15" t="s">
        <v>8</v>
      </c>
      <c r="N1969" s="15" t="s">
        <v>8</v>
      </c>
      <c r="R1969" s="15" t="s">
        <v>8</v>
      </c>
      <c r="U1969" s="8" t="s">
        <v>6</v>
      </c>
    </row>
    <row r="1970" spans="3:25" x14ac:dyDescent="0.35">
      <c r="C1970" s="15" t="s">
        <v>8</v>
      </c>
      <c r="D1970" s="15" t="s">
        <v>8</v>
      </c>
      <c r="G1970" s="15" t="s">
        <v>8</v>
      </c>
      <c r="L1970" s="15" t="s">
        <v>8</v>
      </c>
      <c r="M1970" s="15" t="s">
        <v>8</v>
      </c>
      <c r="N1970" s="15" t="s">
        <v>8</v>
      </c>
      <c r="R1970" s="15" t="s">
        <v>8</v>
      </c>
      <c r="U1970" s="20" t="str">
        <f>HYPERLINK("http://yeinfo.com/family/I09066831.html", "MARY SAVAGE &lt;2&gt; 1419 EN-1460 EN ID:09066831")</f>
        <v>MARY SAVAGE &lt;2&gt; 1419 EN-1460 EN ID:09066831</v>
      </c>
      <c r="V1970" s="17"/>
      <c r="W1970" s="17"/>
      <c r="X1970" s="17"/>
      <c r="Y1970" s="17"/>
    </row>
    <row r="1971" spans="3:25" x14ac:dyDescent="0.35">
      <c r="C1971" s="15" t="s">
        <v>8</v>
      </c>
      <c r="D1971" s="15" t="s">
        <v>8</v>
      </c>
      <c r="G1971" s="15" t="s">
        <v>8</v>
      </c>
      <c r="L1971" s="15" t="s">
        <v>8</v>
      </c>
      <c r="M1971" s="15" t="s">
        <v>8</v>
      </c>
      <c r="N1971" s="15" t="s">
        <v>8</v>
      </c>
      <c r="R1971" s="15" t="s">
        <v>8</v>
      </c>
    </row>
    <row r="1972" spans="3:25" x14ac:dyDescent="0.35">
      <c r="C1972" s="15" t="s">
        <v>8</v>
      </c>
      <c r="D1972" s="15" t="s">
        <v>8</v>
      </c>
      <c r="G1972" s="15" t="s">
        <v>8</v>
      </c>
      <c r="L1972" s="15" t="s">
        <v>8</v>
      </c>
      <c r="M1972" s="15" t="s">
        <v>8</v>
      </c>
      <c r="N1972" s="15" t="s">
        <v>8</v>
      </c>
      <c r="Q1972" s="19" t="str">
        <f>HYPERLINK("http://yeinfo.com/family/I09020712.html", "ALEXANDER BARLOW &lt;2&gt; 1506 EN-1584 EN ID:09020712")</f>
        <v>ALEXANDER BARLOW &lt;2&gt; 1506 EN-1584 EN ID:09020712</v>
      </c>
      <c r="R1972" s="9"/>
      <c r="S1972" s="9"/>
      <c r="T1972" s="9"/>
      <c r="U1972" s="9"/>
    </row>
    <row r="1973" spans="3:25" x14ac:dyDescent="0.35">
      <c r="C1973" s="15" t="s">
        <v>8</v>
      </c>
      <c r="D1973" s="15" t="s">
        <v>8</v>
      </c>
      <c r="G1973" s="15" t="s">
        <v>8</v>
      </c>
      <c r="L1973" s="15" t="s">
        <v>8</v>
      </c>
      <c r="M1973" s="15" t="s">
        <v>8</v>
      </c>
      <c r="N1973" s="15" t="s">
        <v>8</v>
      </c>
      <c r="Q1973" s="8" t="s">
        <v>3</v>
      </c>
      <c r="R1973" s="15" t="s">
        <v>8</v>
      </c>
    </row>
    <row r="1974" spans="3:25" x14ac:dyDescent="0.35">
      <c r="C1974" s="15" t="s">
        <v>8</v>
      </c>
      <c r="D1974" s="15" t="s">
        <v>8</v>
      </c>
      <c r="G1974" s="15" t="s">
        <v>8</v>
      </c>
      <c r="L1974" s="15" t="s">
        <v>8</v>
      </c>
      <c r="M1974" s="15" t="s">
        <v>8</v>
      </c>
      <c r="N1974" s="15" t="s">
        <v>8</v>
      </c>
      <c r="Q1974" s="15" t="s">
        <v>8</v>
      </c>
      <c r="R1974" s="15" t="s">
        <v>8</v>
      </c>
      <c r="S1974" s="19" t="str">
        <f>HYPERLINK("http://yeinfo.com/family/I09066830.html", "JOHN REDDISH &lt;2&gt; 1477 EN-1559 EN ID:09066830")</f>
        <v>JOHN REDDISH &lt;2&gt; 1477 EN-1559 EN ID:09066830</v>
      </c>
      <c r="T1974" s="9"/>
      <c r="U1974" s="9"/>
      <c r="V1974" s="9"/>
      <c r="W1974" s="9"/>
    </row>
    <row r="1975" spans="3:25" x14ac:dyDescent="0.35">
      <c r="C1975" s="15" t="s">
        <v>8</v>
      </c>
      <c r="D1975" s="15" t="s">
        <v>8</v>
      </c>
      <c r="G1975" s="15" t="s">
        <v>8</v>
      </c>
      <c r="L1975" s="15" t="s">
        <v>8</v>
      </c>
      <c r="M1975" s="15" t="s">
        <v>8</v>
      </c>
      <c r="N1975" s="15" t="s">
        <v>8</v>
      </c>
      <c r="Q1975" s="15" t="s">
        <v>8</v>
      </c>
      <c r="R1975" s="8" t="s">
        <v>6</v>
      </c>
      <c r="S1975" s="8" t="s">
        <v>3</v>
      </c>
    </row>
    <row r="1976" spans="3:25" x14ac:dyDescent="0.35">
      <c r="C1976" s="15" t="s">
        <v>8</v>
      </c>
      <c r="D1976" s="15" t="s">
        <v>8</v>
      </c>
      <c r="G1976" s="15" t="s">
        <v>8</v>
      </c>
      <c r="L1976" s="15" t="s">
        <v>8</v>
      </c>
      <c r="M1976" s="15" t="s">
        <v>8</v>
      </c>
      <c r="N1976" s="15" t="s">
        <v>8</v>
      </c>
      <c r="Q1976" s="15" t="s">
        <v>8</v>
      </c>
      <c r="R1976" s="20" t="str">
        <f>HYPERLINK("http://yeinfo.com/family/I09041425.html", "ANNE REDDISH &lt;2&gt; 1464 EN-1521 EN ID:09041425")</f>
        <v>ANNE REDDISH &lt;2&gt; 1464 EN-1521 EN ID:09041425</v>
      </c>
      <c r="S1976" s="17"/>
      <c r="T1976" s="17"/>
      <c r="U1976" s="17"/>
      <c r="V1976" s="17"/>
    </row>
    <row r="1977" spans="3:25" x14ac:dyDescent="0.35">
      <c r="C1977" s="15" t="s">
        <v>8</v>
      </c>
      <c r="D1977" s="15" t="s">
        <v>8</v>
      </c>
      <c r="G1977" s="15" t="s">
        <v>8</v>
      </c>
      <c r="L1977" s="15" t="s">
        <v>8</v>
      </c>
      <c r="M1977" s="15" t="s">
        <v>8</v>
      </c>
      <c r="N1977" s="15" t="s">
        <v>8</v>
      </c>
      <c r="Q1977" s="15" t="s">
        <v>8</v>
      </c>
      <c r="S1977" s="8" t="s">
        <v>6</v>
      </c>
    </row>
    <row r="1978" spans="3:25" x14ac:dyDescent="0.35">
      <c r="C1978" s="15" t="s">
        <v>8</v>
      </c>
      <c r="D1978" s="15" t="s">
        <v>8</v>
      </c>
      <c r="G1978" s="15" t="s">
        <v>8</v>
      </c>
      <c r="L1978" s="15" t="s">
        <v>8</v>
      </c>
      <c r="M1978" s="15" t="s">
        <v>8</v>
      </c>
      <c r="N1978" s="15" t="s">
        <v>8</v>
      </c>
      <c r="Q1978" s="15" t="s">
        <v>8</v>
      </c>
      <c r="S1978" s="20" t="str">
        <f>HYPERLINK("http://yeinfo.com/family/I09066829.html", "Mrs. {_?_} REDDISH &lt;2&gt; 1480 EN-1479 EN ID:09066829")</f>
        <v>Mrs. {_?_} REDDISH &lt;2&gt; 1480 EN-1479 EN ID:09066829</v>
      </c>
      <c r="T1978" s="17"/>
      <c r="U1978" s="17"/>
      <c r="V1978" s="17"/>
      <c r="W1978" s="17"/>
    </row>
    <row r="1979" spans="3:25" x14ac:dyDescent="0.35">
      <c r="C1979" s="15" t="s">
        <v>8</v>
      </c>
      <c r="D1979" s="15" t="s">
        <v>8</v>
      </c>
      <c r="G1979" s="15" t="s">
        <v>8</v>
      </c>
      <c r="L1979" s="15" t="s">
        <v>8</v>
      </c>
      <c r="M1979" s="15" t="s">
        <v>8</v>
      </c>
      <c r="N1979" s="15" t="s">
        <v>8</v>
      </c>
      <c r="Q1979" s="15" t="s">
        <v>8</v>
      </c>
    </row>
    <row r="1980" spans="3:25" x14ac:dyDescent="0.35">
      <c r="C1980" s="15" t="s">
        <v>8</v>
      </c>
      <c r="D1980" s="15" t="s">
        <v>8</v>
      </c>
      <c r="G1980" s="15" t="s">
        <v>8</v>
      </c>
      <c r="L1980" s="15" t="s">
        <v>8</v>
      </c>
      <c r="M1980" s="15" t="s">
        <v>8</v>
      </c>
      <c r="N1980" s="15" t="s">
        <v>8</v>
      </c>
      <c r="P1980" s="19" t="str">
        <f>HYPERLINK("http://yeinfo.com/family/I09010356.html", "ALEXANDER BARLOW &lt;2&gt; 1557 EN-1620 EN ID:09010356")</f>
        <v>ALEXANDER BARLOW &lt;2&gt; 1557 EN-1620 EN ID:09010356</v>
      </c>
      <c r="Q1980" s="9"/>
      <c r="R1980" s="9"/>
      <c r="S1980" s="9"/>
      <c r="T1980" s="9"/>
    </row>
    <row r="1981" spans="3:25" x14ac:dyDescent="0.35">
      <c r="C1981" s="15" t="s">
        <v>8</v>
      </c>
      <c r="D1981" s="15" t="s">
        <v>8</v>
      </c>
      <c r="G1981" s="15" t="s">
        <v>8</v>
      </c>
      <c r="L1981" s="15" t="s">
        <v>8</v>
      </c>
      <c r="M1981" s="15" t="s">
        <v>8</v>
      </c>
      <c r="N1981" s="15" t="s">
        <v>8</v>
      </c>
      <c r="P1981" s="8" t="s">
        <v>3</v>
      </c>
      <c r="Q1981" s="15" t="s">
        <v>8</v>
      </c>
    </row>
    <row r="1982" spans="3:25" x14ac:dyDescent="0.35">
      <c r="C1982" s="15" t="s">
        <v>8</v>
      </c>
      <c r="D1982" s="15" t="s">
        <v>8</v>
      </c>
      <c r="G1982" s="15" t="s">
        <v>8</v>
      </c>
      <c r="L1982" s="15" t="s">
        <v>8</v>
      </c>
      <c r="M1982" s="15" t="s">
        <v>8</v>
      </c>
      <c r="N1982" s="15" t="s">
        <v>8</v>
      </c>
      <c r="P1982" s="15" t="s">
        <v>8</v>
      </c>
      <c r="Q1982" s="15" t="s">
        <v>8</v>
      </c>
      <c r="S1982" s="19" t="str">
        <f>HYPERLINK("http://yeinfo.com/family/I09066812.html", "THOMAS LEIGH &lt;2&gt; 1451 EN-1499 EN ID:09066812")</f>
        <v>THOMAS LEIGH &lt;2&gt; 1451 EN-1499 EN ID:09066812</v>
      </c>
      <c r="T1982" s="9"/>
      <c r="U1982" s="9"/>
      <c r="V1982" s="9"/>
      <c r="W1982" s="9"/>
    </row>
    <row r="1983" spans="3:25" x14ac:dyDescent="0.35">
      <c r="C1983" s="15" t="s">
        <v>8</v>
      </c>
      <c r="D1983" s="15" t="s">
        <v>8</v>
      </c>
      <c r="G1983" s="15" t="s">
        <v>8</v>
      </c>
      <c r="L1983" s="15" t="s">
        <v>8</v>
      </c>
      <c r="M1983" s="15" t="s">
        <v>8</v>
      </c>
      <c r="N1983" s="15" t="s">
        <v>8</v>
      </c>
      <c r="P1983" s="15" t="s">
        <v>8</v>
      </c>
      <c r="Q1983" s="15" t="s">
        <v>8</v>
      </c>
      <c r="S1983" s="8" t="s">
        <v>3</v>
      </c>
    </row>
    <row r="1984" spans="3:25" x14ac:dyDescent="0.35">
      <c r="C1984" s="15" t="s">
        <v>8</v>
      </c>
      <c r="D1984" s="15" t="s">
        <v>8</v>
      </c>
      <c r="G1984" s="15" t="s">
        <v>8</v>
      </c>
      <c r="L1984" s="15" t="s">
        <v>8</v>
      </c>
      <c r="M1984" s="15" t="s">
        <v>8</v>
      </c>
      <c r="N1984" s="15" t="s">
        <v>8</v>
      </c>
      <c r="P1984" s="15" t="s">
        <v>8</v>
      </c>
      <c r="Q1984" s="15" t="s">
        <v>8</v>
      </c>
      <c r="R1984" s="19" t="str">
        <f>HYPERLINK("http://yeinfo.com/family/I09041426.html", "GEORGE LEIGH &lt;2&gt; 1499 EN-1530 EN ID:09041426")</f>
        <v>GEORGE LEIGH &lt;2&gt; 1499 EN-1530 EN ID:09041426</v>
      </c>
      <c r="S1984" s="9"/>
      <c r="T1984" s="9"/>
      <c r="U1984" s="9"/>
      <c r="V1984" s="9"/>
    </row>
    <row r="1985" spans="3:30" x14ac:dyDescent="0.35">
      <c r="C1985" s="15" t="s">
        <v>8</v>
      </c>
      <c r="D1985" s="15" t="s">
        <v>8</v>
      </c>
      <c r="G1985" s="15" t="s">
        <v>8</v>
      </c>
      <c r="L1985" s="15" t="s">
        <v>8</v>
      </c>
      <c r="M1985" s="15" t="s">
        <v>8</v>
      </c>
      <c r="N1985" s="15" t="s">
        <v>8</v>
      </c>
      <c r="P1985" s="15" t="s">
        <v>8</v>
      </c>
      <c r="Q1985" s="15" t="s">
        <v>8</v>
      </c>
      <c r="R1985" s="8" t="s">
        <v>3</v>
      </c>
      <c r="S1985" s="8" t="s">
        <v>6</v>
      </c>
    </row>
    <row r="1986" spans="3:30" x14ac:dyDescent="0.35">
      <c r="C1986" s="15" t="s">
        <v>8</v>
      </c>
      <c r="D1986" s="15" t="s">
        <v>8</v>
      </c>
      <c r="G1986" s="15" t="s">
        <v>8</v>
      </c>
      <c r="L1986" s="15" t="s">
        <v>8</v>
      </c>
      <c r="M1986" s="15" t="s">
        <v>8</v>
      </c>
      <c r="N1986" s="15" t="s">
        <v>8</v>
      </c>
      <c r="P1986" s="15" t="s">
        <v>8</v>
      </c>
      <c r="Q1986" s="15" t="s">
        <v>8</v>
      </c>
      <c r="R1986" s="15" t="s">
        <v>8</v>
      </c>
      <c r="S1986" s="20" t="str">
        <f>HYPERLINK("http://yeinfo.com/family/I09066781.html", "DULCIA BOOTH &lt;2&gt; 1460 EN-1499 EN ID:09066781")</f>
        <v>DULCIA BOOTH &lt;2&gt; 1460 EN-1499 EN ID:09066781</v>
      </c>
      <c r="T1986" s="17"/>
      <c r="U1986" s="17"/>
      <c r="V1986" s="17"/>
      <c r="W1986" s="17"/>
    </row>
    <row r="1987" spans="3:30" x14ac:dyDescent="0.35">
      <c r="C1987" s="15" t="s">
        <v>8</v>
      </c>
      <c r="D1987" s="15" t="s">
        <v>8</v>
      </c>
      <c r="G1987" s="15" t="s">
        <v>8</v>
      </c>
      <c r="L1987" s="15" t="s">
        <v>8</v>
      </c>
      <c r="M1987" s="15" t="s">
        <v>8</v>
      </c>
      <c r="N1987" s="15" t="s">
        <v>8</v>
      </c>
      <c r="P1987" s="15" t="s">
        <v>8</v>
      </c>
      <c r="Q1987" s="8" t="s">
        <v>6</v>
      </c>
      <c r="R1987" s="15" t="s">
        <v>8</v>
      </c>
    </row>
    <row r="1988" spans="3:30" x14ac:dyDescent="0.35">
      <c r="C1988" s="15" t="s">
        <v>8</v>
      </c>
      <c r="D1988" s="15" t="s">
        <v>8</v>
      </c>
      <c r="G1988" s="15" t="s">
        <v>8</v>
      </c>
      <c r="L1988" s="15" t="s">
        <v>8</v>
      </c>
      <c r="M1988" s="15" t="s">
        <v>8</v>
      </c>
      <c r="N1988" s="15" t="s">
        <v>8</v>
      </c>
      <c r="P1988" s="15" t="s">
        <v>8</v>
      </c>
      <c r="Q1988" s="20" t="str">
        <f>HYPERLINK("http://yeinfo.com/family/I09020713.html", "ELIZABETH LEIGH &lt;2&gt; 1530 EN-1563 EN ID:09020713")</f>
        <v>ELIZABETH LEIGH &lt;2&gt; 1530 EN-1563 EN ID:09020713</v>
      </c>
      <c r="R1988" s="17"/>
      <c r="S1988" s="17"/>
      <c r="T1988" s="17"/>
      <c r="U1988" s="17"/>
    </row>
    <row r="1989" spans="3:30" x14ac:dyDescent="0.35">
      <c r="C1989" s="15" t="s">
        <v>8</v>
      </c>
      <c r="D1989" s="15" t="s">
        <v>8</v>
      </c>
      <c r="G1989" s="15" t="s">
        <v>8</v>
      </c>
      <c r="L1989" s="15" t="s">
        <v>8</v>
      </c>
      <c r="M1989" s="15" t="s">
        <v>8</v>
      </c>
      <c r="N1989" s="15" t="s">
        <v>8</v>
      </c>
      <c r="P1989" s="15" t="s">
        <v>8</v>
      </c>
      <c r="R1989" s="8" t="s">
        <v>6</v>
      </c>
    </row>
    <row r="1990" spans="3:30" x14ac:dyDescent="0.35">
      <c r="C1990" s="15" t="s">
        <v>8</v>
      </c>
      <c r="D1990" s="15" t="s">
        <v>8</v>
      </c>
      <c r="G1990" s="15" t="s">
        <v>8</v>
      </c>
      <c r="L1990" s="15" t="s">
        <v>8</v>
      </c>
      <c r="M1990" s="15" t="s">
        <v>8</v>
      </c>
      <c r="N1990" s="15" t="s">
        <v>8</v>
      </c>
      <c r="P1990" s="15" t="s">
        <v>8</v>
      </c>
      <c r="R1990" s="20" t="str">
        <f>HYPERLINK("http://yeinfo.com/family/I09041427.html", "Mrs. {_?_} LEIGH &lt;2&gt; 1484 EN-1530 EN ID:09041427")</f>
        <v>Mrs. {_?_} LEIGH &lt;2&gt; 1484 EN-1530 EN ID:09041427</v>
      </c>
      <c r="S1990" s="17"/>
      <c r="T1990" s="17"/>
      <c r="U1990" s="17"/>
      <c r="V1990" s="17"/>
    </row>
    <row r="1991" spans="3:30" x14ac:dyDescent="0.35">
      <c r="C1991" s="15" t="s">
        <v>8</v>
      </c>
      <c r="D1991" s="15" t="s">
        <v>8</v>
      </c>
      <c r="G1991" s="15" t="s">
        <v>8</v>
      </c>
      <c r="L1991" s="15" t="s">
        <v>8</v>
      </c>
      <c r="M1991" s="15" t="s">
        <v>8</v>
      </c>
      <c r="N1991" s="15" t="s">
        <v>8</v>
      </c>
      <c r="P1991" s="15" t="s">
        <v>8</v>
      </c>
    </row>
    <row r="1992" spans="3:30" x14ac:dyDescent="0.35">
      <c r="C1992" s="15" t="s">
        <v>8</v>
      </c>
      <c r="D1992" s="15" t="s">
        <v>8</v>
      </c>
      <c r="G1992" s="15" t="s">
        <v>8</v>
      </c>
      <c r="L1992" s="15" t="s">
        <v>8</v>
      </c>
      <c r="M1992" s="15" t="s">
        <v>8</v>
      </c>
      <c r="N1992" s="15" t="s">
        <v>8</v>
      </c>
      <c r="O1992" s="21" t="str">
        <f>HYPERLINK("http://yeinfo.com/family/I09005178.html", "JOHN BARLOW Jr. &lt;2&gt; 1594 EN-1674 CT ID:09005178")</f>
        <v>JOHN BARLOW Jr. &lt;2&gt; 1594 EN-1674 CT ID:09005178</v>
      </c>
      <c r="P1992" s="6"/>
      <c r="Q1992" s="6"/>
      <c r="R1992" s="6"/>
      <c r="S1992" s="6"/>
    </row>
    <row r="1993" spans="3:30" x14ac:dyDescent="0.35">
      <c r="C1993" s="15" t="s">
        <v>8</v>
      </c>
      <c r="D1993" s="15" t="s">
        <v>8</v>
      </c>
      <c r="G1993" s="15" t="s">
        <v>8</v>
      </c>
      <c r="L1993" s="15" t="s">
        <v>8</v>
      </c>
      <c r="M1993" s="15" t="s">
        <v>8</v>
      </c>
      <c r="N1993" s="15" t="s">
        <v>8</v>
      </c>
      <c r="O1993" s="8" t="s">
        <v>3</v>
      </c>
      <c r="P1993" s="15" t="s">
        <v>8</v>
      </c>
    </row>
    <row r="1994" spans="3:30" x14ac:dyDescent="0.35">
      <c r="C1994" s="15" t="s">
        <v>8</v>
      </c>
      <c r="D1994" s="15" t="s">
        <v>8</v>
      </c>
      <c r="G1994" s="15" t="s">
        <v>8</v>
      </c>
      <c r="L1994" s="15" t="s">
        <v>8</v>
      </c>
      <c r="M1994" s="15" t="s">
        <v>8</v>
      </c>
      <c r="N1994" s="15" t="s">
        <v>8</v>
      </c>
      <c r="O1994" s="15" t="s">
        <v>8</v>
      </c>
      <c r="P1994" s="15" t="s">
        <v>8</v>
      </c>
      <c r="Q1994" s="19" t="str">
        <f>HYPERLINK("http://yeinfo.com/family/I09020714.html", "URIAN BRERETON &lt;2&gt; 1522 EN-1577 EN ID:09020714")</f>
        <v>URIAN BRERETON &lt;2&gt; 1522 EN-1577 EN ID:09020714</v>
      </c>
      <c r="R1994" s="9"/>
      <c r="S1994" s="9"/>
      <c r="T1994" s="9"/>
      <c r="U1994" s="9"/>
    </row>
    <row r="1995" spans="3:30" x14ac:dyDescent="0.35">
      <c r="C1995" s="15" t="s">
        <v>8</v>
      </c>
      <c r="D1995" s="15" t="s">
        <v>8</v>
      </c>
      <c r="G1995" s="15" t="s">
        <v>8</v>
      </c>
      <c r="L1995" s="15" t="s">
        <v>8</v>
      </c>
      <c r="M1995" s="15" t="s">
        <v>8</v>
      </c>
      <c r="N1995" s="15" t="s">
        <v>8</v>
      </c>
      <c r="O1995" s="15" t="s">
        <v>8</v>
      </c>
      <c r="P1995" s="8" t="s">
        <v>6</v>
      </c>
      <c r="Q1995" s="8" t="s">
        <v>3</v>
      </c>
    </row>
    <row r="1996" spans="3:30" x14ac:dyDescent="0.35">
      <c r="C1996" s="15" t="s">
        <v>8</v>
      </c>
      <c r="D1996" s="15" t="s">
        <v>8</v>
      </c>
      <c r="G1996" s="15" t="s">
        <v>8</v>
      </c>
      <c r="L1996" s="15" t="s">
        <v>8</v>
      </c>
      <c r="M1996" s="15" t="s">
        <v>8</v>
      </c>
      <c r="N1996" s="15" t="s">
        <v>8</v>
      </c>
      <c r="O1996" s="15" t="s">
        <v>8</v>
      </c>
      <c r="P1996" s="20" t="str">
        <f>HYPERLINK("http://yeinfo.com/family/I09010357.html", "MARY BRERETON &lt;2&gt; 1552 EN-1627 EN ID:09010357")</f>
        <v>MARY BRERETON &lt;2&gt; 1552 EN-1627 EN ID:09010357</v>
      </c>
      <c r="Q1996" s="17"/>
      <c r="R1996" s="17"/>
      <c r="S1996" s="17"/>
      <c r="T1996" s="17"/>
    </row>
    <row r="1997" spans="3:30" x14ac:dyDescent="0.35">
      <c r="C1997" s="15" t="s">
        <v>8</v>
      </c>
      <c r="D1997" s="15" t="s">
        <v>8</v>
      </c>
      <c r="G1997" s="15" t="s">
        <v>8</v>
      </c>
      <c r="L1997" s="15" t="s">
        <v>8</v>
      </c>
      <c r="M1997" s="15" t="s">
        <v>8</v>
      </c>
      <c r="N1997" s="15" t="s">
        <v>8</v>
      </c>
      <c r="O1997" s="15" t="s">
        <v>8</v>
      </c>
      <c r="Q1997" s="15" t="s">
        <v>8</v>
      </c>
    </row>
    <row r="1998" spans="3:30" x14ac:dyDescent="0.35">
      <c r="C1998" s="15" t="s">
        <v>8</v>
      </c>
      <c r="D1998" s="15" t="s">
        <v>8</v>
      </c>
      <c r="G1998" s="15" t="s">
        <v>8</v>
      </c>
      <c r="L1998" s="15" t="s">
        <v>8</v>
      </c>
      <c r="M1998" s="15" t="s">
        <v>8</v>
      </c>
      <c r="N1998" s="15" t="s">
        <v>8</v>
      </c>
      <c r="O1998" s="15" t="s">
        <v>8</v>
      </c>
      <c r="Q1998" s="15" t="s">
        <v>8</v>
      </c>
      <c r="Z1998" s="19" t="str">
        <f>HYPERLINK("http://yeinfo.com/family/I09066981.html", "HENRY TRAFFORD &lt;9&gt; 1225 EN-1264 EN ID:09066981")</f>
        <v>HENRY TRAFFORD &lt;9&gt; 1225 EN-1264 EN ID:09066981</v>
      </c>
      <c r="AA1998" s="9"/>
      <c r="AB1998" s="9"/>
      <c r="AC1998" s="9"/>
      <c r="AD1998" s="9"/>
    </row>
    <row r="1999" spans="3:30" x14ac:dyDescent="0.35">
      <c r="C1999" s="15" t="s">
        <v>8</v>
      </c>
      <c r="D1999" s="15" t="s">
        <v>8</v>
      </c>
      <c r="G1999" s="15" t="s">
        <v>8</v>
      </c>
      <c r="L1999" s="15" t="s">
        <v>8</v>
      </c>
      <c r="M1999" s="15" t="s">
        <v>8</v>
      </c>
      <c r="N1999" s="15" t="s">
        <v>8</v>
      </c>
      <c r="O1999" s="15" t="s">
        <v>8</v>
      </c>
      <c r="Q1999" s="15" t="s">
        <v>8</v>
      </c>
      <c r="Z1999" s="8" t="s">
        <v>3</v>
      </c>
    </row>
    <row r="2000" spans="3:30" x14ac:dyDescent="0.35">
      <c r="C2000" s="15" t="s">
        <v>8</v>
      </c>
      <c r="D2000" s="15" t="s">
        <v>8</v>
      </c>
      <c r="G2000" s="15" t="s">
        <v>8</v>
      </c>
      <c r="L2000" s="15" t="s">
        <v>8</v>
      </c>
      <c r="M2000" s="15" t="s">
        <v>8</v>
      </c>
      <c r="N2000" s="15" t="s">
        <v>8</v>
      </c>
      <c r="O2000" s="15" t="s">
        <v>8</v>
      </c>
      <c r="Q2000" s="15" t="s">
        <v>8</v>
      </c>
      <c r="Y2000" s="19" t="str">
        <f>HYPERLINK("http://yeinfo.com/family/I09066434.html", "JOHN TRAFFORD &lt;9&gt; 1264 EN-1340 EN ID:09066434")</f>
        <v>JOHN TRAFFORD &lt;9&gt; 1264 EN-1340 EN ID:09066434</v>
      </c>
      <c r="Z2000" s="9"/>
      <c r="AA2000" s="9"/>
      <c r="AB2000" s="9"/>
      <c r="AC2000" s="9"/>
    </row>
    <row r="2001" spans="3:30" x14ac:dyDescent="0.35">
      <c r="C2001" s="15" t="s">
        <v>8</v>
      </c>
      <c r="D2001" s="15" t="s">
        <v>8</v>
      </c>
      <c r="G2001" s="15" t="s">
        <v>8</v>
      </c>
      <c r="L2001" s="15" t="s">
        <v>8</v>
      </c>
      <c r="M2001" s="15" t="s">
        <v>8</v>
      </c>
      <c r="N2001" s="15" t="s">
        <v>8</v>
      </c>
      <c r="O2001" s="15" t="s">
        <v>8</v>
      </c>
      <c r="Q2001" s="15" t="s">
        <v>8</v>
      </c>
      <c r="Y2001" s="8" t="s">
        <v>3</v>
      </c>
      <c r="Z2001" s="8" t="s">
        <v>6</v>
      </c>
    </row>
    <row r="2002" spans="3:30" x14ac:dyDescent="0.35">
      <c r="C2002" s="15" t="s">
        <v>8</v>
      </c>
      <c r="D2002" s="15" t="s">
        <v>8</v>
      </c>
      <c r="G2002" s="15" t="s">
        <v>8</v>
      </c>
      <c r="L2002" s="15" t="s">
        <v>8</v>
      </c>
      <c r="M2002" s="15" t="s">
        <v>8</v>
      </c>
      <c r="N2002" s="15" t="s">
        <v>8</v>
      </c>
      <c r="O2002" s="15" t="s">
        <v>8</v>
      </c>
      <c r="Q2002" s="15" t="s">
        <v>8</v>
      </c>
      <c r="Y2002" s="15" t="s">
        <v>8</v>
      </c>
      <c r="Z2002" s="20" t="str">
        <f>HYPERLINK("http://yeinfo.com/family/I09066980.html", "Mrs. MARGARET TRAFFORD &lt;9&gt; 1236 EN-1334 EN ID:09066980")</f>
        <v>Mrs. MARGARET TRAFFORD &lt;9&gt; 1236 EN-1334 EN ID:09066980</v>
      </c>
      <c r="AA2002" s="17"/>
      <c r="AB2002" s="17"/>
      <c r="AC2002" s="17"/>
      <c r="AD2002" s="17"/>
    </row>
    <row r="2003" spans="3:30" x14ac:dyDescent="0.35">
      <c r="C2003" s="15" t="s">
        <v>8</v>
      </c>
      <c r="D2003" s="15" t="s">
        <v>8</v>
      </c>
      <c r="G2003" s="15" t="s">
        <v>8</v>
      </c>
      <c r="L2003" s="15" t="s">
        <v>8</v>
      </c>
      <c r="M2003" s="15" t="s">
        <v>8</v>
      </c>
      <c r="N2003" s="15" t="s">
        <v>8</v>
      </c>
      <c r="O2003" s="15" t="s">
        <v>8</v>
      </c>
      <c r="Q2003" s="15" t="s">
        <v>8</v>
      </c>
      <c r="Y2003" s="15" t="s">
        <v>8</v>
      </c>
    </row>
    <row r="2004" spans="3:30" x14ac:dyDescent="0.35">
      <c r="C2004" s="15" t="s">
        <v>8</v>
      </c>
      <c r="D2004" s="15" t="s">
        <v>8</v>
      </c>
      <c r="G2004" s="15" t="s">
        <v>8</v>
      </c>
      <c r="L2004" s="15" t="s">
        <v>8</v>
      </c>
      <c r="M2004" s="15" t="s">
        <v>8</v>
      </c>
      <c r="N2004" s="15" t="s">
        <v>8</v>
      </c>
      <c r="O2004" s="15" t="s">
        <v>8</v>
      </c>
      <c r="Q2004" s="15" t="s">
        <v>8</v>
      </c>
      <c r="X2004" s="19" t="str">
        <f>HYPERLINK("http://yeinfo.com/family/I09066317.html", "HENRY TRAFFORD &lt;9&gt; 1292 EN-1370 EN ID:09066317")</f>
        <v>HENRY TRAFFORD &lt;9&gt; 1292 EN-1370 EN ID:09066317</v>
      </c>
      <c r="Y2004" s="9"/>
      <c r="Z2004" s="9"/>
      <c r="AA2004" s="9"/>
      <c r="AB2004" s="9"/>
    </row>
    <row r="2005" spans="3:30" x14ac:dyDescent="0.35">
      <c r="C2005" s="15" t="s">
        <v>8</v>
      </c>
      <c r="D2005" s="15" t="s">
        <v>8</v>
      </c>
      <c r="G2005" s="15" t="s">
        <v>8</v>
      </c>
      <c r="L2005" s="15" t="s">
        <v>8</v>
      </c>
      <c r="M2005" s="15" t="s">
        <v>8</v>
      </c>
      <c r="N2005" s="15" t="s">
        <v>8</v>
      </c>
      <c r="O2005" s="15" t="s">
        <v>8</v>
      </c>
      <c r="Q2005" s="15" t="s">
        <v>8</v>
      </c>
      <c r="X2005" s="8" t="s">
        <v>3</v>
      </c>
      <c r="Y2005" s="8" t="s">
        <v>6</v>
      </c>
    </row>
    <row r="2006" spans="3:30" x14ac:dyDescent="0.35">
      <c r="C2006" s="15" t="s">
        <v>8</v>
      </c>
      <c r="D2006" s="15" t="s">
        <v>8</v>
      </c>
      <c r="G2006" s="15" t="s">
        <v>8</v>
      </c>
      <c r="L2006" s="15" t="s">
        <v>8</v>
      </c>
      <c r="M2006" s="15" t="s">
        <v>8</v>
      </c>
      <c r="N2006" s="15" t="s">
        <v>8</v>
      </c>
      <c r="O2006" s="15" t="s">
        <v>8</v>
      </c>
      <c r="Q2006" s="15" t="s">
        <v>8</v>
      </c>
      <c r="X2006" s="15" t="s">
        <v>8</v>
      </c>
      <c r="Y2006" s="20" t="str">
        <f>HYPERLINK("http://yeinfo.com/family/I09066433.html", "ELIZABETH ASHTON &lt;9&gt; 1268 EN-1340 EN ID:09066433")</f>
        <v>ELIZABETH ASHTON &lt;9&gt; 1268 EN-1340 EN ID:09066433</v>
      </c>
      <c r="Z2006" s="17"/>
      <c r="AA2006" s="17"/>
      <c r="AB2006" s="17"/>
      <c r="AC2006" s="17"/>
    </row>
    <row r="2007" spans="3:30" x14ac:dyDescent="0.35">
      <c r="C2007" s="15" t="s">
        <v>8</v>
      </c>
      <c r="D2007" s="15" t="s">
        <v>8</v>
      </c>
      <c r="G2007" s="15" t="s">
        <v>8</v>
      </c>
      <c r="L2007" s="15" t="s">
        <v>8</v>
      </c>
      <c r="M2007" s="15" t="s">
        <v>8</v>
      </c>
      <c r="N2007" s="15" t="s">
        <v>8</v>
      </c>
      <c r="O2007" s="15" t="s">
        <v>8</v>
      </c>
      <c r="Q2007" s="15" t="s">
        <v>8</v>
      </c>
      <c r="X2007" s="15" t="s">
        <v>8</v>
      </c>
    </row>
    <row r="2008" spans="3:30" x14ac:dyDescent="0.35">
      <c r="C2008" s="15" t="s">
        <v>8</v>
      </c>
      <c r="D2008" s="15" t="s">
        <v>8</v>
      </c>
      <c r="G2008" s="15" t="s">
        <v>8</v>
      </c>
      <c r="L2008" s="15" t="s">
        <v>8</v>
      </c>
      <c r="M2008" s="15" t="s">
        <v>8</v>
      </c>
      <c r="N2008" s="15" t="s">
        <v>8</v>
      </c>
      <c r="O2008" s="15" t="s">
        <v>8</v>
      </c>
      <c r="Q2008" s="15" t="s">
        <v>8</v>
      </c>
      <c r="W2008" s="19" t="str">
        <f>HYPERLINK("http://yeinfo.com/family/I09066982.html", "HENRY TRAFFORD &lt;6&gt; 1335 EN-1386 EN ID:09066982")</f>
        <v>HENRY TRAFFORD &lt;6&gt; 1335 EN-1386 EN ID:09066982</v>
      </c>
      <c r="X2008" s="9"/>
      <c r="Y2008" s="9"/>
      <c r="Z2008" s="9"/>
      <c r="AA2008" s="9"/>
    </row>
    <row r="2009" spans="3:30" x14ac:dyDescent="0.35">
      <c r="C2009" s="15" t="s">
        <v>8</v>
      </c>
      <c r="D2009" s="15" t="s">
        <v>8</v>
      </c>
      <c r="G2009" s="15" t="s">
        <v>8</v>
      </c>
      <c r="L2009" s="15" t="s">
        <v>8</v>
      </c>
      <c r="M2009" s="15" t="s">
        <v>8</v>
      </c>
      <c r="N2009" s="15" t="s">
        <v>8</v>
      </c>
      <c r="O2009" s="15" t="s">
        <v>8</v>
      </c>
      <c r="Q2009" s="15" t="s">
        <v>8</v>
      </c>
      <c r="W2009" s="8" t="s">
        <v>3</v>
      </c>
      <c r="X2009" s="15" t="s">
        <v>8</v>
      </c>
    </row>
    <row r="2010" spans="3:30" x14ac:dyDescent="0.35">
      <c r="C2010" s="15" t="s">
        <v>8</v>
      </c>
      <c r="D2010" s="15" t="s">
        <v>8</v>
      </c>
      <c r="G2010" s="15" t="s">
        <v>8</v>
      </c>
      <c r="L2010" s="15" t="s">
        <v>8</v>
      </c>
      <c r="M2010" s="15" t="s">
        <v>8</v>
      </c>
      <c r="N2010" s="15" t="s">
        <v>8</v>
      </c>
      <c r="O2010" s="15" t="s">
        <v>8</v>
      </c>
      <c r="Q2010" s="15" t="s">
        <v>8</v>
      </c>
      <c r="W2010" s="15" t="s">
        <v>8</v>
      </c>
      <c r="X2010" s="15" t="s">
        <v>8</v>
      </c>
      <c r="Y2010" s="19" t="str">
        <f>HYPERLINK("http://yeinfo.com/family/I09066492.html", "RICHARD DOTERINDE &lt;9&gt; 1280 EN-1345 EN ID:09066492")</f>
        <v>RICHARD DOTERINDE &lt;9&gt; 1280 EN-1345 EN ID:09066492</v>
      </c>
      <c r="Z2010" s="9"/>
      <c r="AA2010" s="9"/>
      <c r="AB2010" s="9"/>
      <c r="AC2010" s="9"/>
    </row>
    <row r="2011" spans="3:30" x14ac:dyDescent="0.35">
      <c r="C2011" s="15" t="s">
        <v>8</v>
      </c>
      <c r="D2011" s="15" t="s">
        <v>8</v>
      </c>
      <c r="G2011" s="15" t="s">
        <v>8</v>
      </c>
      <c r="L2011" s="15" t="s">
        <v>8</v>
      </c>
      <c r="M2011" s="15" t="s">
        <v>8</v>
      </c>
      <c r="N2011" s="15" t="s">
        <v>8</v>
      </c>
      <c r="O2011" s="15" t="s">
        <v>8</v>
      </c>
      <c r="Q2011" s="15" t="s">
        <v>8</v>
      </c>
      <c r="W2011" s="15" t="s">
        <v>8</v>
      </c>
      <c r="X2011" s="8" t="s">
        <v>6</v>
      </c>
      <c r="Y2011" s="8" t="s">
        <v>3</v>
      </c>
    </row>
    <row r="2012" spans="3:30" x14ac:dyDescent="0.35">
      <c r="C2012" s="15" t="s">
        <v>8</v>
      </c>
      <c r="D2012" s="15" t="s">
        <v>8</v>
      </c>
      <c r="G2012" s="15" t="s">
        <v>8</v>
      </c>
      <c r="L2012" s="15" t="s">
        <v>8</v>
      </c>
      <c r="M2012" s="15" t="s">
        <v>8</v>
      </c>
      <c r="N2012" s="15" t="s">
        <v>8</v>
      </c>
      <c r="O2012" s="15" t="s">
        <v>8</v>
      </c>
      <c r="Q2012" s="15" t="s">
        <v>8</v>
      </c>
      <c r="W2012" s="15" t="s">
        <v>8</v>
      </c>
      <c r="X2012" s="20" t="str">
        <f>HYPERLINK("http://yeinfo.com/family/I09066318.html", "AGNES DOTERINDE &lt;9&gt; 1302 EN-1360 EN ID:09066318")</f>
        <v>AGNES DOTERINDE &lt;9&gt; 1302 EN-1360 EN ID:09066318</v>
      </c>
      <c r="Y2012" s="17"/>
      <c r="Z2012" s="17"/>
      <c r="AA2012" s="17"/>
      <c r="AB2012" s="17"/>
    </row>
    <row r="2013" spans="3:30" x14ac:dyDescent="0.35">
      <c r="C2013" s="15" t="s">
        <v>8</v>
      </c>
      <c r="D2013" s="15" t="s">
        <v>8</v>
      </c>
      <c r="G2013" s="15" t="s">
        <v>8</v>
      </c>
      <c r="L2013" s="15" t="s">
        <v>8</v>
      </c>
      <c r="M2013" s="15" t="s">
        <v>8</v>
      </c>
      <c r="N2013" s="15" t="s">
        <v>8</v>
      </c>
      <c r="O2013" s="15" t="s">
        <v>8</v>
      </c>
      <c r="Q2013" s="15" t="s">
        <v>8</v>
      </c>
      <c r="W2013" s="15" t="s">
        <v>8</v>
      </c>
      <c r="Y2013" s="8" t="s">
        <v>6</v>
      </c>
    </row>
    <row r="2014" spans="3:30" x14ac:dyDescent="0.35">
      <c r="C2014" s="15" t="s">
        <v>8</v>
      </c>
      <c r="D2014" s="15" t="s">
        <v>8</v>
      </c>
      <c r="G2014" s="15" t="s">
        <v>8</v>
      </c>
      <c r="L2014" s="15" t="s">
        <v>8</v>
      </c>
      <c r="M2014" s="15" t="s">
        <v>8</v>
      </c>
      <c r="N2014" s="15" t="s">
        <v>8</v>
      </c>
      <c r="O2014" s="15" t="s">
        <v>8</v>
      </c>
      <c r="Q2014" s="15" t="s">
        <v>8</v>
      </c>
      <c r="W2014" s="15" t="s">
        <v>8</v>
      </c>
      <c r="Y2014" s="20" t="str">
        <f>HYPERLINK("http://yeinfo.com/family/I09066493.html", "Mrs. {_?_} DOTERINDE &lt;9&gt; 1280 EN-1302 EN ID:09066493")</f>
        <v>Mrs. {_?_} DOTERINDE &lt;9&gt; 1280 EN-1302 EN ID:09066493</v>
      </c>
      <c r="Z2014" s="17"/>
      <c r="AA2014" s="17"/>
      <c r="AB2014" s="17"/>
      <c r="AC2014" s="17"/>
    </row>
    <row r="2015" spans="3:30" x14ac:dyDescent="0.35">
      <c r="C2015" s="15" t="s">
        <v>8</v>
      </c>
      <c r="D2015" s="15" t="s">
        <v>8</v>
      </c>
      <c r="G2015" s="15" t="s">
        <v>8</v>
      </c>
      <c r="L2015" s="15" t="s">
        <v>8</v>
      </c>
      <c r="M2015" s="15" t="s">
        <v>8</v>
      </c>
      <c r="N2015" s="15" t="s">
        <v>8</v>
      </c>
      <c r="O2015" s="15" t="s">
        <v>8</v>
      </c>
      <c r="Q2015" s="15" t="s">
        <v>8</v>
      </c>
      <c r="W2015" s="15" t="s">
        <v>8</v>
      </c>
    </row>
    <row r="2016" spans="3:30" x14ac:dyDescent="0.35">
      <c r="C2016" s="15" t="s">
        <v>8</v>
      </c>
      <c r="D2016" s="15" t="s">
        <v>8</v>
      </c>
      <c r="G2016" s="15" t="s">
        <v>8</v>
      </c>
      <c r="L2016" s="15" t="s">
        <v>8</v>
      </c>
      <c r="M2016" s="15" t="s">
        <v>8</v>
      </c>
      <c r="N2016" s="15" t="s">
        <v>8</v>
      </c>
      <c r="O2016" s="15" t="s">
        <v>8</v>
      </c>
      <c r="Q2016" s="15" t="s">
        <v>8</v>
      </c>
      <c r="V2016" s="19" t="str">
        <f>HYPERLINK("http://yeinfo.com/family/I09066984.html", "HENRY TRAFFORD &lt;2&gt; 1362 EN-1418 EN ID:09066984")</f>
        <v>HENRY TRAFFORD &lt;2&gt; 1362 EN-1418 EN ID:09066984</v>
      </c>
      <c r="W2016" s="9"/>
      <c r="X2016" s="9"/>
      <c r="Y2016" s="9"/>
      <c r="Z2016" s="9"/>
    </row>
    <row r="2017" spans="3:33" x14ac:dyDescent="0.35">
      <c r="C2017" s="15" t="s">
        <v>8</v>
      </c>
      <c r="D2017" s="15" t="s">
        <v>8</v>
      </c>
      <c r="G2017" s="15" t="s">
        <v>8</v>
      </c>
      <c r="L2017" s="15" t="s">
        <v>8</v>
      </c>
      <c r="M2017" s="15" t="s">
        <v>8</v>
      </c>
      <c r="N2017" s="15" t="s">
        <v>8</v>
      </c>
      <c r="O2017" s="15" t="s">
        <v>8</v>
      </c>
      <c r="Q2017" s="15" t="s">
        <v>8</v>
      </c>
      <c r="V2017" s="8" t="s">
        <v>3</v>
      </c>
      <c r="W2017" s="15" t="s">
        <v>8</v>
      </c>
    </row>
    <row r="2018" spans="3:33" x14ac:dyDescent="0.35">
      <c r="C2018" s="15" t="s">
        <v>8</v>
      </c>
      <c r="D2018" s="15" t="s">
        <v>8</v>
      </c>
      <c r="G2018" s="15" t="s">
        <v>8</v>
      </c>
      <c r="L2018" s="15" t="s">
        <v>8</v>
      </c>
      <c r="M2018" s="15" t="s">
        <v>8</v>
      </c>
      <c r="N2018" s="15" t="s">
        <v>8</v>
      </c>
      <c r="O2018" s="15" t="s">
        <v>8</v>
      </c>
      <c r="Q2018" s="15" t="s">
        <v>8</v>
      </c>
      <c r="V2018" s="15" t="s">
        <v>8</v>
      </c>
      <c r="W2018" s="15" t="s">
        <v>8</v>
      </c>
      <c r="Z2018" s="19" t="str">
        <f>HYPERLINK("http://yeinfo.com/family/I09066930.html", "ALFREDUS INCE I &lt;6&gt; 1265 EN-1290 EN ID:09066930")</f>
        <v>ALFREDUS INCE I &lt;6&gt; 1265 EN-1290 EN ID:09066930</v>
      </c>
      <c r="AA2018" s="9"/>
      <c r="AB2018" s="9"/>
      <c r="AC2018" s="9"/>
      <c r="AD2018" s="9"/>
    </row>
    <row r="2019" spans="3:33" x14ac:dyDescent="0.35">
      <c r="C2019" s="15" t="s">
        <v>8</v>
      </c>
      <c r="D2019" s="15" t="s">
        <v>8</v>
      </c>
      <c r="G2019" s="15" t="s">
        <v>8</v>
      </c>
      <c r="L2019" s="15" t="s">
        <v>8</v>
      </c>
      <c r="M2019" s="15" t="s">
        <v>8</v>
      </c>
      <c r="N2019" s="15" t="s">
        <v>8</v>
      </c>
      <c r="O2019" s="15" t="s">
        <v>8</v>
      </c>
      <c r="Q2019" s="15" t="s">
        <v>8</v>
      </c>
      <c r="V2019" s="15" t="s">
        <v>8</v>
      </c>
      <c r="W2019" s="15" t="s">
        <v>8</v>
      </c>
      <c r="Z2019" s="8" t="s">
        <v>3</v>
      </c>
    </row>
    <row r="2020" spans="3:33" x14ac:dyDescent="0.35">
      <c r="C2020" s="15" t="s">
        <v>8</v>
      </c>
      <c r="D2020" s="15" t="s">
        <v>8</v>
      </c>
      <c r="G2020" s="15" t="s">
        <v>8</v>
      </c>
      <c r="L2020" s="15" t="s">
        <v>8</v>
      </c>
      <c r="M2020" s="15" t="s">
        <v>8</v>
      </c>
      <c r="N2020" s="15" t="s">
        <v>8</v>
      </c>
      <c r="O2020" s="15" t="s">
        <v>8</v>
      </c>
      <c r="Q2020" s="15" t="s">
        <v>8</v>
      </c>
      <c r="V2020" s="15" t="s">
        <v>8</v>
      </c>
      <c r="W2020" s="15" t="s">
        <v>8</v>
      </c>
      <c r="Y2020" s="19" t="str">
        <f>HYPERLINK("http://yeinfo.com/family/I09066931.html", "RICHARD INCE I &lt;6&gt; 1290 EN-1333 EN ID:09066931")</f>
        <v>RICHARD INCE I &lt;6&gt; 1290 EN-1333 EN ID:09066931</v>
      </c>
      <c r="Z2020" s="9"/>
      <c r="AA2020" s="9"/>
      <c r="AB2020" s="9"/>
      <c r="AC2020" s="9"/>
    </row>
    <row r="2021" spans="3:33" x14ac:dyDescent="0.35">
      <c r="C2021" s="15" t="s">
        <v>8</v>
      </c>
      <c r="D2021" s="15" t="s">
        <v>8</v>
      </c>
      <c r="G2021" s="15" t="s">
        <v>8</v>
      </c>
      <c r="L2021" s="15" t="s">
        <v>8</v>
      </c>
      <c r="M2021" s="15" t="s">
        <v>8</v>
      </c>
      <c r="N2021" s="15" t="s">
        <v>8</v>
      </c>
      <c r="O2021" s="15" t="s">
        <v>8</v>
      </c>
      <c r="Q2021" s="15" t="s">
        <v>8</v>
      </c>
      <c r="V2021" s="15" t="s">
        <v>8</v>
      </c>
      <c r="W2021" s="15" t="s">
        <v>8</v>
      </c>
      <c r="Y2021" s="8" t="s">
        <v>3</v>
      </c>
      <c r="Z2021" s="8" t="s">
        <v>6</v>
      </c>
    </row>
    <row r="2022" spans="3:33" x14ac:dyDescent="0.35">
      <c r="C2022" s="15" t="s">
        <v>8</v>
      </c>
      <c r="D2022" s="15" t="s">
        <v>8</v>
      </c>
      <c r="G2022" s="15" t="s">
        <v>8</v>
      </c>
      <c r="L2022" s="15" t="s">
        <v>8</v>
      </c>
      <c r="M2022" s="15" t="s">
        <v>8</v>
      </c>
      <c r="N2022" s="15" t="s">
        <v>8</v>
      </c>
      <c r="O2022" s="15" t="s">
        <v>8</v>
      </c>
      <c r="Q2022" s="15" t="s">
        <v>8</v>
      </c>
      <c r="V2022" s="15" t="s">
        <v>8</v>
      </c>
      <c r="W2022" s="15" t="s">
        <v>8</v>
      </c>
      <c r="Y2022" s="15" t="s">
        <v>8</v>
      </c>
      <c r="Z2022" s="20" t="str">
        <f>HYPERLINK("http://yeinfo.com/family/I09066976.html", "ALICE\ALESIA STANDISH &lt;6&gt; 1262 EN-1290 EN ID:09066976")</f>
        <v>ALICE\ALESIA STANDISH &lt;6&gt; 1262 EN-1290 EN ID:09066976</v>
      </c>
      <c r="AA2022" s="17"/>
      <c r="AB2022" s="17"/>
      <c r="AC2022" s="17"/>
      <c r="AD2022" s="17"/>
      <c r="AE2022" s="17"/>
    </row>
    <row r="2023" spans="3:33" x14ac:dyDescent="0.35">
      <c r="C2023" s="15" t="s">
        <v>8</v>
      </c>
      <c r="D2023" s="15" t="s">
        <v>8</v>
      </c>
      <c r="G2023" s="15" t="s">
        <v>8</v>
      </c>
      <c r="L2023" s="15" t="s">
        <v>8</v>
      </c>
      <c r="M2023" s="15" t="s">
        <v>8</v>
      </c>
      <c r="N2023" s="15" t="s">
        <v>8</v>
      </c>
      <c r="O2023" s="15" t="s">
        <v>8</v>
      </c>
      <c r="Q2023" s="15" t="s">
        <v>8</v>
      </c>
      <c r="V2023" s="15" t="s">
        <v>8</v>
      </c>
      <c r="W2023" s="15" t="s">
        <v>8</v>
      </c>
      <c r="Y2023" s="15" t="s">
        <v>8</v>
      </c>
    </row>
    <row r="2024" spans="3:33" x14ac:dyDescent="0.35">
      <c r="C2024" s="15" t="s">
        <v>8</v>
      </c>
      <c r="D2024" s="15" t="s">
        <v>8</v>
      </c>
      <c r="G2024" s="15" t="s">
        <v>8</v>
      </c>
      <c r="L2024" s="15" t="s">
        <v>8</v>
      </c>
      <c r="M2024" s="15" t="s">
        <v>8</v>
      </c>
      <c r="N2024" s="15" t="s">
        <v>8</v>
      </c>
      <c r="O2024" s="15" t="s">
        <v>8</v>
      </c>
      <c r="Q2024" s="15" t="s">
        <v>8</v>
      </c>
      <c r="V2024" s="15" t="s">
        <v>8</v>
      </c>
      <c r="W2024" s="15" t="s">
        <v>8</v>
      </c>
      <c r="X2024" s="19" t="str">
        <f>HYPERLINK("http://yeinfo.com/family/I09066933.html", "ROBERT INCE &lt;6&gt; 1304 EN-1335 EN ID:09066933")</f>
        <v>ROBERT INCE &lt;6&gt; 1304 EN-1335 EN ID:09066933</v>
      </c>
      <c r="Y2024" s="9"/>
      <c r="Z2024" s="9"/>
      <c r="AA2024" s="9"/>
      <c r="AB2024" s="9"/>
    </row>
    <row r="2025" spans="3:33" x14ac:dyDescent="0.35">
      <c r="C2025" s="15" t="s">
        <v>8</v>
      </c>
      <c r="D2025" s="15" t="s">
        <v>8</v>
      </c>
      <c r="G2025" s="15" t="s">
        <v>8</v>
      </c>
      <c r="L2025" s="15" t="s">
        <v>8</v>
      </c>
      <c r="M2025" s="15" t="s">
        <v>8</v>
      </c>
      <c r="N2025" s="15" t="s">
        <v>8</v>
      </c>
      <c r="O2025" s="15" t="s">
        <v>8</v>
      </c>
      <c r="Q2025" s="15" t="s">
        <v>8</v>
      </c>
      <c r="V2025" s="15" t="s">
        <v>8</v>
      </c>
      <c r="W2025" s="15" t="s">
        <v>8</v>
      </c>
      <c r="X2025" s="8" t="s">
        <v>3</v>
      </c>
      <c r="Y2025" s="15" t="s">
        <v>8</v>
      </c>
    </row>
    <row r="2026" spans="3:33" x14ac:dyDescent="0.35">
      <c r="C2026" s="15" t="s">
        <v>8</v>
      </c>
      <c r="D2026" s="15" t="s">
        <v>8</v>
      </c>
      <c r="G2026" s="15" t="s">
        <v>8</v>
      </c>
      <c r="L2026" s="15" t="s">
        <v>8</v>
      </c>
      <c r="M2026" s="15" t="s">
        <v>8</v>
      </c>
      <c r="N2026" s="15" t="s">
        <v>8</v>
      </c>
      <c r="O2026" s="15" t="s">
        <v>8</v>
      </c>
      <c r="Q2026" s="15" t="s">
        <v>8</v>
      </c>
      <c r="V2026" s="15" t="s">
        <v>8</v>
      </c>
      <c r="W2026" s="15" t="s">
        <v>8</v>
      </c>
      <c r="X2026" s="15" t="s">
        <v>8</v>
      </c>
      <c r="Y2026" s="15" t="s">
        <v>8</v>
      </c>
      <c r="AB2026" s="19" t="str">
        <f>HYPERLINK("http://yeinfo.com/family/I09066959.html", "ROBERT RADCLIFFE &lt;A&gt; 1208 EN-1239 EN ID:09066959")</f>
        <v>ROBERT RADCLIFFE &lt;A&gt; 1208 EN-1239 EN ID:09066959</v>
      </c>
      <c r="AC2026" s="9"/>
      <c r="AD2026" s="9"/>
      <c r="AE2026" s="9"/>
      <c r="AF2026" s="9"/>
    </row>
    <row r="2027" spans="3:33" x14ac:dyDescent="0.35">
      <c r="C2027" s="15" t="s">
        <v>8</v>
      </c>
      <c r="D2027" s="15" t="s">
        <v>8</v>
      </c>
      <c r="G2027" s="15" t="s">
        <v>8</v>
      </c>
      <c r="L2027" s="15" t="s">
        <v>8</v>
      </c>
      <c r="M2027" s="15" t="s">
        <v>8</v>
      </c>
      <c r="N2027" s="15" t="s">
        <v>8</v>
      </c>
      <c r="O2027" s="15" t="s">
        <v>8</v>
      </c>
      <c r="Q2027" s="15" t="s">
        <v>8</v>
      </c>
      <c r="V2027" s="15" t="s">
        <v>8</v>
      </c>
      <c r="W2027" s="15" t="s">
        <v>8</v>
      </c>
      <c r="X2027" s="15" t="s">
        <v>8</v>
      </c>
      <c r="Y2027" s="15" t="s">
        <v>8</v>
      </c>
      <c r="AB2027" s="8" t="s">
        <v>3</v>
      </c>
    </row>
    <row r="2028" spans="3:33" x14ac:dyDescent="0.35">
      <c r="C2028" s="15" t="s">
        <v>8</v>
      </c>
      <c r="D2028" s="15" t="s">
        <v>8</v>
      </c>
      <c r="G2028" s="15" t="s">
        <v>8</v>
      </c>
      <c r="L2028" s="15" t="s">
        <v>8</v>
      </c>
      <c r="M2028" s="15" t="s">
        <v>8</v>
      </c>
      <c r="N2028" s="15" t="s">
        <v>8</v>
      </c>
      <c r="O2028" s="15" t="s">
        <v>8</v>
      </c>
      <c r="Q2028" s="15" t="s">
        <v>8</v>
      </c>
      <c r="V2028" s="15" t="s">
        <v>8</v>
      </c>
      <c r="W2028" s="15" t="s">
        <v>8</v>
      </c>
      <c r="X2028" s="15" t="s">
        <v>8</v>
      </c>
      <c r="Y2028" s="15" t="s">
        <v>8</v>
      </c>
      <c r="AA2028" s="19" t="str">
        <f>HYPERLINK("http://yeinfo.com/family/I09066960.html", "RICHARD RADCLIFFE &lt;A&gt; 1224 EN-1326 EN ID:09066960")</f>
        <v>RICHARD RADCLIFFE &lt;A&gt; 1224 EN-1326 EN ID:09066960</v>
      </c>
      <c r="AB2028" s="9"/>
      <c r="AC2028" s="9"/>
      <c r="AD2028" s="9"/>
      <c r="AE2028" s="9"/>
    </row>
    <row r="2029" spans="3:33" x14ac:dyDescent="0.35">
      <c r="C2029" s="15" t="s">
        <v>8</v>
      </c>
      <c r="D2029" s="15" t="s">
        <v>8</v>
      </c>
      <c r="G2029" s="15" t="s">
        <v>8</v>
      </c>
      <c r="L2029" s="15" t="s">
        <v>8</v>
      </c>
      <c r="M2029" s="15" t="s">
        <v>8</v>
      </c>
      <c r="N2029" s="15" t="s">
        <v>8</v>
      </c>
      <c r="O2029" s="15" t="s">
        <v>8</v>
      </c>
      <c r="Q2029" s="15" t="s">
        <v>8</v>
      </c>
      <c r="V2029" s="15" t="s">
        <v>8</v>
      </c>
      <c r="W2029" s="15" t="s">
        <v>8</v>
      </c>
      <c r="X2029" s="15" t="s">
        <v>8</v>
      </c>
      <c r="Y2029" s="15" t="s">
        <v>8</v>
      </c>
      <c r="AA2029" s="8" t="s">
        <v>3</v>
      </c>
      <c r="AB2029" s="8" t="s">
        <v>6</v>
      </c>
    </row>
    <row r="2030" spans="3:33" x14ac:dyDescent="0.35">
      <c r="C2030" s="15" t="s">
        <v>8</v>
      </c>
      <c r="D2030" s="15" t="s">
        <v>8</v>
      </c>
      <c r="G2030" s="15" t="s">
        <v>8</v>
      </c>
      <c r="L2030" s="15" t="s">
        <v>8</v>
      </c>
      <c r="M2030" s="15" t="s">
        <v>8</v>
      </c>
      <c r="N2030" s="15" t="s">
        <v>8</v>
      </c>
      <c r="O2030" s="15" t="s">
        <v>8</v>
      </c>
      <c r="Q2030" s="15" t="s">
        <v>8</v>
      </c>
      <c r="V2030" s="15" t="s">
        <v>8</v>
      </c>
      <c r="W2030" s="15" t="s">
        <v>8</v>
      </c>
      <c r="X2030" s="15" t="s">
        <v>8</v>
      </c>
      <c r="Y2030" s="15" t="s">
        <v>8</v>
      </c>
      <c r="AA2030" s="15" t="s">
        <v>8</v>
      </c>
      <c r="AB2030" s="20" t="str">
        <f>HYPERLINK("http://yeinfo.com/family/I09066988.html", "AMBIL\AMABIL TRAFFORD &lt;A&gt; 1222 EN-1239 EN ID:09066988")</f>
        <v>AMBIL\AMABIL TRAFFORD &lt;A&gt; 1222 EN-1239 EN ID:09066988</v>
      </c>
      <c r="AC2030" s="17"/>
      <c r="AD2030" s="17"/>
      <c r="AE2030" s="17"/>
      <c r="AF2030" s="17"/>
      <c r="AG2030" s="17"/>
    </row>
    <row r="2031" spans="3:33" x14ac:dyDescent="0.35">
      <c r="C2031" s="15" t="s">
        <v>8</v>
      </c>
      <c r="D2031" s="15" t="s">
        <v>8</v>
      </c>
      <c r="G2031" s="15" t="s">
        <v>8</v>
      </c>
      <c r="L2031" s="15" t="s">
        <v>8</v>
      </c>
      <c r="M2031" s="15" t="s">
        <v>8</v>
      </c>
      <c r="N2031" s="15" t="s">
        <v>8</v>
      </c>
      <c r="O2031" s="15" t="s">
        <v>8</v>
      </c>
      <c r="Q2031" s="15" t="s">
        <v>8</v>
      </c>
      <c r="V2031" s="15" t="s">
        <v>8</v>
      </c>
      <c r="W2031" s="15" t="s">
        <v>8</v>
      </c>
      <c r="X2031" s="15" t="s">
        <v>8</v>
      </c>
      <c r="Y2031" s="15" t="s">
        <v>8</v>
      </c>
      <c r="AA2031" s="15" t="s">
        <v>8</v>
      </c>
    </row>
    <row r="2032" spans="3:33" x14ac:dyDescent="0.35">
      <c r="C2032" s="15" t="s">
        <v>8</v>
      </c>
      <c r="D2032" s="15" t="s">
        <v>8</v>
      </c>
      <c r="G2032" s="15" t="s">
        <v>8</v>
      </c>
      <c r="L2032" s="15" t="s">
        <v>8</v>
      </c>
      <c r="M2032" s="15" t="s">
        <v>8</v>
      </c>
      <c r="N2032" s="15" t="s">
        <v>8</v>
      </c>
      <c r="O2032" s="15" t="s">
        <v>8</v>
      </c>
      <c r="Q2032" s="15" t="s">
        <v>8</v>
      </c>
      <c r="V2032" s="15" t="s">
        <v>8</v>
      </c>
      <c r="W2032" s="15" t="s">
        <v>8</v>
      </c>
      <c r="X2032" s="15" t="s">
        <v>8</v>
      </c>
      <c r="Y2032" s="15" t="s">
        <v>8</v>
      </c>
      <c r="Z2032" s="19" t="str">
        <f>HYPERLINK("http://yeinfo.com/family/I09066961.html", "WILLIAM RADCLIFFE &lt;8&gt; 1267 EN-1333 EN ID:09066961")</f>
        <v>WILLIAM RADCLIFFE &lt;8&gt; 1267 EN-1333 EN ID:09066961</v>
      </c>
      <c r="AA2032" s="9"/>
      <c r="AB2032" s="9"/>
      <c r="AC2032" s="9"/>
      <c r="AD2032" s="9"/>
    </row>
    <row r="2033" spans="3:33" x14ac:dyDescent="0.35">
      <c r="C2033" s="15" t="s">
        <v>8</v>
      </c>
      <c r="D2033" s="15" t="s">
        <v>8</v>
      </c>
      <c r="G2033" s="15" t="s">
        <v>8</v>
      </c>
      <c r="L2033" s="15" t="s">
        <v>8</v>
      </c>
      <c r="M2033" s="15" t="s">
        <v>8</v>
      </c>
      <c r="N2033" s="15" t="s">
        <v>8</v>
      </c>
      <c r="O2033" s="15" t="s">
        <v>8</v>
      </c>
      <c r="Q2033" s="15" t="s">
        <v>8</v>
      </c>
      <c r="V2033" s="15" t="s">
        <v>8</v>
      </c>
      <c r="W2033" s="15" t="s">
        <v>8</v>
      </c>
      <c r="X2033" s="15" t="s">
        <v>8</v>
      </c>
      <c r="Y2033" s="15" t="s">
        <v>8</v>
      </c>
      <c r="Z2033" s="8" t="s">
        <v>3</v>
      </c>
      <c r="AA2033" s="15" t="s">
        <v>8</v>
      </c>
    </row>
    <row r="2034" spans="3:33" x14ac:dyDescent="0.35">
      <c r="C2034" s="15" t="s">
        <v>8</v>
      </c>
      <c r="D2034" s="15" t="s">
        <v>8</v>
      </c>
      <c r="G2034" s="15" t="s">
        <v>8</v>
      </c>
      <c r="L2034" s="15" t="s">
        <v>8</v>
      </c>
      <c r="M2034" s="15" t="s">
        <v>8</v>
      </c>
      <c r="N2034" s="15" t="s">
        <v>8</v>
      </c>
      <c r="O2034" s="15" t="s">
        <v>8</v>
      </c>
      <c r="Q2034" s="15" t="s">
        <v>8</v>
      </c>
      <c r="V2034" s="15" t="s">
        <v>8</v>
      </c>
      <c r="W2034" s="15" t="s">
        <v>8</v>
      </c>
      <c r="X2034" s="15" t="s">
        <v>8</v>
      </c>
      <c r="Y2034" s="15" t="s">
        <v>8</v>
      </c>
      <c r="Z2034" s="15" t="s">
        <v>8</v>
      </c>
      <c r="AA2034" s="15" t="s">
        <v>8</v>
      </c>
      <c r="AB2034" s="19" t="str">
        <f>HYPERLINK("http://yeinfo.com/family/I09066877.html", "HENRY\WILLIAM\ROBERT BOTELER &lt;A&gt; 1230 EN-1247 EN ID:09066877")</f>
        <v>HENRY\WILLIAM\ROBERT BOTELER &lt;A&gt; 1230 EN-1247 EN ID:09066877</v>
      </c>
      <c r="AC2034" s="9"/>
      <c r="AD2034" s="9"/>
      <c r="AE2034" s="9"/>
      <c r="AF2034" s="9"/>
      <c r="AG2034" s="9"/>
    </row>
    <row r="2035" spans="3:33" x14ac:dyDescent="0.35">
      <c r="C2035" s="15" t="s">
        <v>8</v>
      </c>
      <c r="D2035" s="15" t="s">
        <v>8</v>
      </c>
      <c r="G2035" s="15" t="s">
        <v>8</v>
      </c>
      <c r="L2035" s="15" t="s">
        <v>8</v>
      </c>
      <c r="M2035" s="15" t="s">
        <v>8</v>
      </c>
      <c r="N2035" s="15" t="s">
        <v>8</v>
      </c>
      <c r="O2035" s="15" t="s">
        <v>8</v>
      </c>
      <c r="Q2035" s="15" t="s">
        <v>8</v>
      </c>
      <c r="V2035" s="15" t="s">
        <v>8</v>
      </c>
      <c r="W2035" s="15" t="s">
        <v>8</v>
      </c>
      <c r="X2035" s="15" t="s">
        <v>8</v>
      </c>
      <c r="Y2035" s="15" t="s">
        <v>8</v>
      </c>
      <c r="Z2035" s="15" t="s">
        <v>8</v>
      </c>
      <c r="AA2035" s="8" t="s">
        <v>6</v>
      </c>
      <c r="AB2035" s="8" t="s">
        <v>3</v>
      </c>
    </row>
    <row r="2036" spans="3:33" x14ac:dyDescent="0.35">
      <c r="C2036" s="15" t="s">
        <v>8</v>
      </c>
      <c r="D2036" s="15" t="s">
        <v>8</v>
      </c>
      <c r="G2036" s="15" t="s">
        <v>8</v>
      </c>
      <c r="L2036" s="15" t="s">
        <v>8</v>
      </c>
      <c r="M2036" s="15" t="s">
        <v>8</v>
      </c>
      <c r="N2036" s="15" t="s">
        <v>8</v>
      </c>
      <c r="O2036" s="15" t="s">
        <v>8</v>
      </c>
      <c r="Q2036" s="15" t="s">
        <v>8</v>
      </c>
      <c r="V2036" s="15" t="s">
        <v>8</v>
      </c>
      <c r="W2036" s="15" t="s">
        <v>8</v>
      </c>
      <c r="X2036" s="15" t="s">
        <v>8</v>
      </c>
      <c r="Y2036" s="15" t="s">
        <v>8</v>
      </c>
      <c r="Z2036" s="15" t="s">
        <v>8</v>
      </c>
      <c r="AA2036" s="20" t="str">
        <f>HYPERLINK("http://yeinfo.com/family/I09066878.html", "JOAN\MARGARET BOTELER &lt;A&gt; 1232 EN-1267 EN ID:09066878")</f>
        <v>JOAN\MARGARET BOTELER &lt;A&gt; 1232 EN-1267 EN ID:09066878</v>
      </c>
      <c r="AB2036" s="17"/>
      <c r="AC2036" s="17"/>
      <c r="AD2036" s="17"/>
      <c r="AE2036" s="17"/>
      <c r="AF2036" s="17"/>
    </row>
    <row r="2037" spans="3:33" x14ac:dyDescent="0.35">
      <c r="C2037" s="15" t="s">
        <v>8</v>
      </c>
      <c r="D2037" s="15" t="s">
        <v>8</v>
      </c>
      <c r="G2037" s="15" t="s">
        <v>8</v>
      </c>
      <c r="L2037" s="15" t="s">
        <v>8</v>
      </c>
      <c r="M2037" s="15" t="s">
        <v>8</v>
      </c>
      <c r="N2037" s="15" t="s">
        <v>8</v>
      </c>
      <c r="O2037" s="15" t="s">
        <v>8</v>
      </c>
      <c r="Q2037" s="15" t="s">
        <v>8</v>
      </c>
      <c r="V2037" s="15" t="s">
        <v>8</v>
      </c>
      <c r="W2037" s="15" t="s">
        <v>8</v>
      </c>
      <c r="X2037" s="15" t="s">
        <v>8</v>
      </c>
      <c r="Y2037" s="15" t="s">
        <v>8</v>
      </c>
      <c r="Z2037" s="15" t="s">
        <v>8</v>
      </c>
      <c r="AB2037" s="8" t="s">
        <v>6</v>
      </c>
    </row>
    <row r="2038" spans="3:33" x14ac:dyDescent="0.35">
      <c r="C2038" s="15" t="s">
        <v>8</v>
      </c>
      <c r="D2038" s="15" t="s">
        <v>8</v>
      </c>
      <c r="G2038" s="15" t="s">
        <v>8</v>
      </c>
      <c r="L2038" s="15" t="s">
        <v>8</v>
      </c>
      <c r="M2038" s="15" t="s">
        <v>8</v>
      </c>
      <c r="N2038" s="15" t="s">
        <v>8</v>
      </c>
      <c r="O2038" s="15" t="s">
        <v>8</v>
      </c>
      <c r="Q2038" s="15" t="s">
        <v>8</v>
      </c>
      <c r="V2038" s="15" t="s">
        <v>8</v>
      </c>
      <c r="W2038" s="15" t="s">
        <v>8</v>
      </c>
      <c r="X2038" s="15" t="s">
        <v>8</v>
      </c>
      <c r="Y2038" s="15" t="s">
        <v>8</v>
      </c>
      <c r="Z2038" s="15" t="s">
        <v>8</v>
      </c>
      <c r="AB2038" s="20" t="str">
        <f>HYPERLINK("http://yeinfo.com/family/I09066876.html", "Mrs. ISABELLA BOTELER &lt;A&gt; 1227 EN-1247 EN ID:09066876")</f>
        <v>Mrs. ISABELLA BOTELER &lt;A&gt; 1227 EN-1247 EN ID:09066876</v>
      </c>
      <c r="AC2038" s="17"/>
      <c r="AD2038" s="17"/>
      <c r="AE2038" s="17"/>
      <c r="AF2038" s="17"/>
    </row>
    <row r="2039" spans="3:33" x14ac:dyDescent="0.35">
      <c r="C2039" s="15" t="s">
        <v>8</v>
      </c>
      <c r="D2039" s="15" t="s">
        <v>8</v>
      </c>
      <c r="G2039" s="15" t="s">
        <v>8</v>
      </c>
      <c r="L2039" s="15" t="s">
        <v>8</v>
      </c>
      <c r="M2039" s="15" t="s">
        <v>8</v>
      </c>
      <c r="N2039" s="15" t="s">
        <v>8</v>
      </c>
      <c r="O2039" s="15" t="s">
        <v>8</v>
      </c>
      <c r="Q2039" s="15" t="s">
        <v>8</v>
      </c>
      <c r="V2039" s="15" t="s">
        <v>8</v>
      </c>
      <c r="W2039" s="15" t="s">
        <v>8</v>
      </c>
      <c r="X2039" s="15" t="s">
        <v>8</v>
      </c>
      <c r="Y2039" s="8" t="s">
        <v>6</v>
      </c>
      <c r="Z2039" s="15" t="s">
        <v>8</v>
      </c>
    </row>
    <row r="2040" spans="3:33" x14ac:dyDescent="0.35">
      <c r="C2040" s="15" t="s">
        <v>8</v>
      </c>
      <c r="D2040" s="15" t="s">
        <v>8</v>
      </c>
      <c r="G2040" s="15" t="s">
        <v>8</v>
      </c>
      <c r="L2040" s="15" t="s">
        <v>8</v>
      </c>
      <c r="M2040" s="15" t="s">
        <v>8</v>
      </c>
      <c r="N2040" s="15" t="s">
        <v>8</v>
      </c>
      <c r="O2040" s="15" t="s">
        <v>8</v>
      </c>
      <c r="Q2040" s="15" t="s">
        <v>8</v>
      </c>
      <c r="V2040" s="15" t="s">
        <v>8</v>
      </c>
      <c r="W2040" s="15" t="s">
        <v>8</v>
      </c>
      <c r="X2040" s="15" t="s">
        <v>8</v>
      </c>
      <c r="Y2040" s="20" t="str">
        <f>HYPERLINK("http://yeinfo.com/family/I09066963.html", "ELIZABETH RADCLIFFE &lt;6&gt; 1290 EN-1310 EN ID:09066963")</f>
        <v>ELIZABETH RADCLIFFE &lt;6&gt; 1290 EN-1310 EN ID:09066963</v>
      </c>
      <c r="Z2040" s="17"/>
      <c r="AA2040" s="17"/>
      <c r="AB2040" s="17"/>
      <c r="AC2040" s="17"/>
    </row>
    <row r="2041" spans="3:33" x14ac:dyDescent="0.35">
      <c r="C2041" s="15" t="s">
        <v>8</v>
      </c>
      <c r="D2041" s="15" t="s">
        <v>8</v>
      </c>
      <c r="G2041" s="15" t="s">
        <v>8</v>
      </c>
      <c r="L2041" s="15" t="s">
        <v>8</v>
      </c>
      <c r="M2041" s="15" t="s">
        <v>8</v>
      </c>
      <c r="N2041" s="15" t="s">
        <v>8</v>
      </c>
      <c r="O2041" s="15" t="s">
        <v>8</v>
      </c>
      <c r="Q2041" s="15" t="s">
        <v>8</v>
      </c>
      <c r="V2041" s="15" t="s">
        <v>8</v>
      </c>
      <c r="W2041" s="15" t="s">
        <v>8</v>
      </c>
      <c r="X2041" s="15" t="s">
        <v>8</v>
      </c>
      <c r="Z2041" s="15" t="s">
        <v>8</v>
      </c>
    </row>
    <row r="2042" spans="3:33" x14ac:dyDescent="0.35">
      <c r="C2042" s="15" t="s">
        <v>8</v>
      </c>
      <c r="D2042" s="15" t="s">
        <v>8</v>
      </c>
      <c r="G2042" s="15" t="s">
        <v>8</v>
      </c>
      <c r="L2042" s="15" t="s">
        <v>8</v>
      </c>
      <c r="M2042" s="15" t="s">
        <v>8</v>
      </c>
      <c r="N2042" s="15" t="s">
        <v>8</v>
      </c>
      <c r="O2042" s="15" t="s">
        <v>8</v>
      </c>
      <c r="Q2042" s="15" t="s">
        <v>8</v>
      </c>
      <c r="V2042" s="15" t="s">
        <v>8</v>
      </c>
      <c r="W2042" s="15" t="s">
        <v>8</v>
      </c>
      <c r="X2042" s="15" t="s">
        <v>8</v>
      </c>
      <c r="Z2042" s="15" t="s">
        <v>8</v>
      </c>
      <c r="AA2042" s="19" t="str">
        <f>HYPERLINK("http://yeinfo.com/family/I09066956.html", "ADAM PEASFURLONG &lt;8&gt; 1242 EN-1274 EN ID:09066956")</f>
        <v>ADAM PEASFURLONG &lt;8&gt; 1242 EN-1274 EN ID:09066956</v>
      </c>
      <c r="AB2042" s="9"/>
      <c r="AC2042" s="9"/>
      <c r="AD2042" s="9"/>
      <c r="AE2042" s="9"/>
    </row>
    <row r="2043" spans="3:33" x14ac:dyDescent="0.35">
      <c r="C2043" s="15" t="s">
        <v>8</v>
      </c>
      <c r="D2043" s="15" t="s">
        <v>8</v>
      </c>
      <c r="G2043" s="15" t="s">
        <v>8</v>
      </c>
      <c r="L2043" s="15" t="s">
        <v>8</v>
      </c>
      <c r="M2043" s="15" t="s">
        <v>8</v>
      </c>
      <c r="N2043" s="15" t="s">
        <v>8</v>
      </c>
      <c r="O2043" s="15" t="s">
        <v>8</v>
      </c>
      <c r="Q2043" s="15" t="s">
        <v>8</v>
      </c>
      <c r="V2043" s="15" t="s">
        <v>8</v>
      </c>
      <c r="W2043" s="15" t="s">
        <v>8</v>
      </c>
      <c r="X2043" s="15" t="s">
        <v>8</v>
      </c>
      <c r="Z2043" s="8" t="s">
        <v>6</v>
      </c>
      <c r="AA2043" s="8" t="s">
        <v>3</v>
      </c>
    </row>
    <row r="2044" spans="3:33" x14ac:dyDescent="0.35">
      <c r="C2044" s="15" t="s">
        <v>8</v>
      </c>
      <c r="D2044" s="15" t="s">
        <v>8</v>
      </c>
      <c r="G2044" s="15" t="s">
        <v>8</v>
      </c>
      <c r="L2044" s="15" t="s">
        <v>8</v>
      </c>
      <c r="M2044" s="15" t="s">
        <v>8</v>
      </c>
      <c r="N2044" s="15" t="s">
        <v>8</v>
      </c>
      <c r="O2044" s="15" t="s">
        <v>8</v>
      </c>
      <c r="Q2044" s="15" t="s">
        <v>8</v>
      </c>
      <c r="V2044" s="15" t="s">
        <v>8</v>
      </c>
      <c r="W2044" s="15" t="s">
        <v>8</v>
      </c>
      <c r="X2044" s="15" t="s">
        <v>8</v>
      </c>
      <c r="Z2044" s="20" t="str">
        <f>HYPERLINK("http://yeinfo.com/family/I09066957.html", "MARGARET PEASFURLONG &lt;8&gt; 1244 EN-1290 EN ID:09066957")</f>
        <v>MARGARET PEASFURLONG &lt;8&gt; 1244 EN-1290 EN ID:09066957</v>
      </c>
      <c r="AA2044" s="17"/>
      <c r="AB2044" s="17"/>
      <c r="AC2044" s="17"/>
      <c r="AD2044" s="17"/>
    </row>
    <row r="2045" spans="3:33" x14ac:dyDescent="0.35">
      <c r="C2045" s="15" t="s">
        <v>8</v>
      </c>
      <c r="D2045" s="15" t="s">
        <v>8</v>
      </c>
      <c r="G2045" s="15" t="s">
        <v>8</v>
      </c>
      <c r="L2045" s="15" t="s">
        <v>8</v>
      </c>
      <c r="M2045" s="15" t="s">
        <v>8</v>
      </c>
      <c r="N2045" s="15" t="s">
        <v>8</v>
      </c>
      <c r="O2045" s="15" t="s">
        <v>8</v>
      </c>
      <c r="Q2045" s="15" t="s">
        <v>8</v>
      </c>
      <c r="V2045" s="15" t="s">
        <v>8</v>
      </c>
      <c r="W2045" s="15" t="s">
        <v>8</v>
      </c>
      <c r="X2045" s="15" t="s">
        <v>8</v>
      </c>
      <c r="AA2045" s="15" t="s">
        <v>8</v>
      </c>
    </row>
    <row r="2046" spans="3:33" x14ac:dyDescent="0.35">
      <c r="C2046" s="15" t="s">
        <v>8</v>
      </c>
      <c r="D2046" s="15" t="s">
        <v>8</v>
      </c>
      <c r="G2046" s="15" t="s">
        <v>8</v>
      </c>
      <c r="L2046" s="15" t="s">
        <v>8</v>
      </c>
      <c r="M2046" s="15" t="s">
        <v>8</v>
      </c>
      <c r="N2046" s="15" t="s">
        <v>8</v>
      </c>
      <c r="O2046" s="15" t="s">
        <v>8</v>
      </c>
      <c r="Q2046" s="15" t="s">
        <v>8</v>
      </c>
      <c r="V2046" s="15" t="s">
        <v>8</v>
      </c>
      <c r="W2046" s="15" t="s">
        <v>8</v>
      </c>
      <c r="X2046" s="15" t="s">
        <v>8</v>
      </c>
      <c r="AA2046" s="15" t="s">
        <v>8</v>
      </c>
      <c r="AB2046" s="19" t="str">
        <f>HYPERLINK("http://yeinfo.com/family/I09066895.html", "GILBERT CULCHETH &lt;8&gt; 1205 EN-1246 EN ID:09066895")</f>
        <v>GILBERT CULCHETH &lt;8&gt; 1205 EN-1246 EN ID:09066895</v>
      </c>
      <c r="AC2046" s="9"/>
      <c r="AD2046" s="9"/>
      <c r="AE2046" s="9"/>
      <c r="AF2046" s="9"/>
    </row>
    <row r="2047" spans="3:33" x14ac:dyDescent="0.35">
      <c r="C2047" s="15" t="s">
        <v>8</v>
      </c>
      <c r="D2047" s="15" t="s">
        <v>8</v>
      </c>
      <c r="G2047" s="15" t="s">
        <v>8</v>
      </c>
      <c r="L2047" s="15" t="s">
        <v>8</v>
      </c>
      <c r="M2047" s="15" t="s">
        <v>8</v>
      </c>
      <c r="N2047" s="15" t="s">
        <v>8</v>
      </c>
      <c r="O2047" s="15" t="s">
        <v>8</v>
      </c>
      <c r="Q2047" s="15" t="s">
        <v>8</v>
      </c>
      <c r="V2047" s="15" t="s">
        <v>8</v>
      </c>
      <c r="W2047" s="15" t="s">
        <v>8</v>
      </c>
      <c r="X2047" s="15" t="s">
        <v>8</v>
      </c>
      <c r="AA2047" s="8" t="s">
        <v>6</v>
      </c>
      <c r="AB2047" s="8" t="s">
        <v>3</v>
      </c>
    </row>
    <row r="2048" spans="3:33" x14ac:dyDescent="0.35">
      <c r="C2048" s="15" t="s">
        <v>8</v>
      </c>
      <c r="D2048" s="15" t="s">
        <v>8</v>
      </c>
      <c r="G2048" s="15" t="s">
        <v>8</v>
      </c>
      <c r="L2048" s="15" t="s">
        <v>8</v>
      </c>
      <c r="M2048" s="15" t="s">
        <v>8</v>
      </c>
      <c r="N2048" s="15" t="s">
        <v>8</v>
      </c>
      <c r="O2048" s="15" t="s">
        <v>8</v>
      </c>
      <c r="Q2048" s="15" t="s">
        <v>8</v>
      </c>
      <c r="V2048" s="15" t="s">
        <v>8</v>
      </c>
      <c r="W2048" s="15" t="s">
        <v>8</v>
      </c>
      <c r="X2048" s="15" t="s">
        <v>8</v>
      </c>
      <c r="AA2048" s="20" t="str">
        <f>HYPERLINK("http://yeinfo.com/family/I09066896.html", "ELIZABETH CULCHETH &lt;8&gt; 1215 EN-1274 EN ID:09066896")</f>
        <v>ELIZABETH CULCHETH &lt;8&gt; 1215 EN-1274 EN ID:09066896</v>
      </c>
      <c r="AB2048" s="17"/>
      <c r="AC2048" s="17"/>
      <c r="AD2048" s="17"/>
      <c r="AE2048" s="17"/>
    </row>
    <row r="2049" spans="3:32" x14ac:dyDescent="0.35">
      <c r="C2049" s="15" t="s">
        <v>8</v>
      </c>
      <c r="D2049" s="15" t="s">
        <v>8</v>
      </c>
      <c r="G2049" s="15" t="s">
        <v>8</v>
      </c>
      <c r="L2049" s="15" t="s">
        <v>8</v>
      </c>
      <c r="M2049" s="15" t="s">
        <v>8</v>
      </c>
      <c r="N2049" s="15" t="s">
        <v>8</v>
      </c>
      <c r="O2049" s="15" t="s">
        <v>8</v>
      </c>
      <c r="Q2049" s="15" t="s">
        <v>8</v>
      </c>
      <c r="V2049" s="15" t="s">
        <v>8</v>
      </c>
      <c r="W2049" s="15" t="s">
        <v>8</v>
      </c>
      <c r="X2049" s="15" t="s">
        <v>8</v>
      </c>
      <c r="AB2049" s="8" t="s">
        <v>6</v>
      </c>
    </row>
    <row r="2050" spans="3:32" x14ac:dyDescent="0.35">
      <c r="C2050" s="15" t="s">
        <v>8</v>
      </c>
      <c r="D2050" s="15" t="s">
        <v>8</v>
      </c>
      <c r="G2050" s="15" t="s">
        <v>8</v>
      </c>
      <c r="L2050" s="15" t="s">
        <v>8</v>
      </c>
      <c r="M2050" s="15" t="s">
        <v>8</v>
      </c>
      <c r="N2050" s="15" t="s">
        <v>8</v>
      </c>
      <c r="O2050" s="15" t="s">
        <v>8</v>
      </c>
      <c r="Q2050" s="15" t="s">
        <v>8</v>
      </c>
      <c r="V2050" s="15" t="s">
        <v>8</v>
      </c>
      <c r="W2050" s="15" t="s">
        <v>8</v>
      </c>
      <c r="X2050" s="15" t="s">
        <v>8</v>
      </c>
      <c r="AB2050" s="20" t="str">
        <f>HYPERLINK("http://yeinfo.com/family/I09066935.html", "CECILIA LATHOM &lt;8&gt; 1222 EN-1245 EN ID:09066935")</f>
        <v>CECILIA LATHOM &lt;8&gt; 1222 EN-1245 EN ID:09066935</v>
      </c>
      <c r="AC2050" s="17"/>
      <c r="AD2050" s="17"/>
      <c r="AE2050" s="17"/>
      <c r="AF2050" s="17"/>
    </row>
    <row r="2051" spans="3:32" x14ac:dyDescent="0.35">
      <c r="C2051" s="15" t="s">
        <v>8</v>
      </c>
      <c r="D2051" s="15" t="s">
        <v>8</v>
      </c>
      <c r="G2051" s="15" t="s">
        <v>8</v>
      </c>
      <c r="L2051" s="15" t="s">
        <v>8</v>
      </c>
      <c r="M2051" s="15" t="s">
        <v>8</v>
      </c>
      <c r="N2051" s="15" t="s">
        <v>8</v>
      </c>
      <c r="O2051" s="15" t="s">
        <v>8</v>
      </c>
      <c r="Q2051" s="15" t="s">
        <v>8</v>
      </c>
      <c r="V2051" s="15" t="s">
        <v>8</v>
      </c>
      <c r="W2051" s="8" t="s">
        <v>6</v>
      </c>
      <c r="X2051" s="15" t="s">
        <v>8</v>
      </c>
    </row>
    <row r="2052" spans="3:32" x14ac:dyDescent="0.35">
      <c r="C2052" s="15" t="s">
        <v>8</v>
      </c>
      <c r="D2052" s="15" t="s">
        <v>8</v>
      </c>
      <c r="G2052" s="15" t="s">
        <v>8</v>
      </c>
      <c r="L2052" s="15" t="s">
        <v>8</v>
      </c>
      <c r="M2052" s="15" t="s">
        <v>8</v>
      </c>
      <c r="N2052" s="15" t="s">
        <v>8</v>
      </c>
      <c r="O2052" s="15" t="s">
        <v>8</v>
      </c>
      <c r="Q2052" s="15" t="s">
        <v>8</v>
      </c>
      <c r="V2052" s="15" t="s">
        <v>8</v>
      </c>
      <c r="W2052" s="20" t="str">
        <f>HYPERLINK("http://yeinfo.com/family/I09066934.html", "MARGARET INCE &lt;6&gt; 1330 EN-1417 EN ID:09066934")</f>
        <v>MARGARET INCE &lt;6&gt; 1330 EN-1417 EN ID:09066934</v>
      </c>
      <c r="X2052" s="17"/>
      <c r="Y2052" s="17"/>
      <c r="Z2052" s="17"/>
      <c r="AA2052" s="17"/>
    </row>
    <row r="2053" spans="3:32" x14ac:dyDescent="0.35">
      <c r="C2053" s="15" t="s">
        <v>8</v>
      </c>
      <c r="D2053" s="15" t="s">
        <v>8</v>
      </c>
      <c r="G2053" s="15" t="s">
        <v>8</v>
      </c>
      <c r="L2053" s="15" t="s">
        <v>8</v>
      </c>
      <c r="M2053" s="15" t="s">
        <v>8</v>
      </c>
      <c r="N2053" s="15" t="s">
        <v>8</v>
      </c>
      <c r="O2053" s="15" t="s">
        <v>8</v>
      </c>
      <c r="Q2053" s="15" t="s">
        <v>8</v>
      </c>
      <c r="V2053" s="15" t="s">
        <v>8</v>
      </c>
      <c r="X2053" s="8" t="s">
        <v>6</v>
      </c>
    </row>
    <row r="2054" spans="3:32" x14ac:dyDescent="0.35">
      <c r="C2054" s="15" t="s">
        <v>8</v>
      </c>
      <c r="D2054" s="15" t="s">
        <v>8</v>
      </c>
      <c r="G2054" s="15" t="s">
        <v>8</v>
      </c>
      <c r="L2054" s="15" t="s">
        <v>8</v>
      </c>
      <c r="M2054" s="15" t="s">
        <v>8</v>
      </c>
      <c r="N2054" s="15" t="s">
        <v>8</v>
      </c>
      <c r="O2054" s="15" t="s">
        <v>8</v>
      </c>
      <c r="Q2054" s="15" t="s">
        <v>8</v>
      </c>
      <c r="V2054" s="15" t="s">
        <v>8</v>
      </c>
      <c r="X2054" s="20" t="str">
        <f>HYPERLINK("http://yeinfo.com/family/I09066932.html", "Mrs. {_?_} INCE &lt;6&gt; 1310 -1335 EN ID:09066932")</f>
        <v>Mrs. {_?_} INCE &lt;6&gt; 1310 -1335 EN ID:09066932</v>
      </c>
      <c r="Y2054" s="17"/>
      <c r="Z2054" s="17"/>
      <c r="AA2054" s="17"/>
      <c r="AB2054" s="17"/>
    </row>
    <row r="2055" spans="3:32" x14ac:dyDescent="0.35">
      <c r="C2055" s="15" t="s">
        <v>8</v>
      </c>
      <c r="D2055" s="15" t="s">
        <v>8</v>
      </c>
      <c r="G2055" s="15" t="s">
        <v>8</v>
      </c>
      <c r="L2055" s="15" t="s">
        <v>8</v>
      </c>
      <c r="M2055" s="15" t="s">
        <v>8</v>
      </c>
      <c r="N2055" s="15" t="s">
        <v>8</v>
      </c>
      <c r="O2055" s="15" t="s">
        <v>8</v>
      </c>
      <c r="Q2055" s="15" t="s">
        <v>8</v>
      </c>
      <c r="V2055" s="15" t="s">
        <v>8</v>
      </c>
    </row>
    <row r="2056" spans="3:32" x14ac:dyDescent="0.35">
      <c r="C2056" s="15" t="s">
        <v>8</v>
      </c>
      <c r="D2056" s="15" t="s">
        <v>8</v>
      </c>
      <c r="G2056" s="15" t="s">
        <v>8</v>
      </c>
      <c r="L2056" s="15" t="s">
        <v>8</v>
      </c>
      <c r="M2056" s="15" t="s">
        <v>8</v>
      </c>
      <c r="N2056" s="15" t="s">
        <v>8</v>
      </c>
      <c r="O2056" s="15" t="s">
        <v>8</v>
      </c>
      <c r="Q2056" s="15" t="s">
        <v>8</v>
      </c>
      <c r="U2056" s="19" t="str">
        <f>HYPERLINK("http://yeinfo.com/family/I09066985.html", "EDMUND TRAFFORD &lt;2&gt; 1390 EN-1457 EN ID:09066985")</f>
        <v>EDMUND TRAFFORD &lt;2&gt; 1390 EN-1457 EN ID:09066985</v>
      </c>
      <c r="V2056" s="9"/>
      <c r="W2056" s="9"/>
      <c r="X2056" s="9"/>
      <c r="Y2056" s="9"/>
    </row>
    <row r="2057" spans="3:32" x14ac:dyDescent="0.35">
      <c r="C2057" s="15" t="s">
        <v>8</v>
      </c>
      <c r="D2057" s="15" t="s">
        <v>8</v>
      </c>
      <c r="G2057" s="15" t="s">
        <v>8</v>
      </c>
      <c r="L2057" s="15" t="s">
        <v>8</v>
      </c>
      <c r="M2057" s="15" t="s">
        <v>8</v>
      </c>
      <c r="N2057" s="15" t="s">
        <v>8</v>
      </c>
      <c r="O2057" s="15" t="s">
        <v>8</v>
      </c>
      <c r="Q2057" s="15" t="s">
        <v>8</v>
      </c>
      <c r="U2057" s="8" t="s">
        <v>3</v>
      </c>
      <c r="V2057" s="15" t="s">
        <v>8</v>
      </c>
    </row>
    <row r="2058" spans="3:32" x14ac:dyDescent="0.35">
      <c r="C2058" s="15" t="s">
        <v>8</v>
      </c>
      <c r="D2058" s="15" t="s">
        <v>8</v>
      </c>
      <c r="G2058" s="15" t="s">
        <v>8</v>
      </c>
      <c r="L2058" s="15" t="s">
        <v>8</v>
      </c>
      <c r="M2058" s="15" t="s">
        <v>8</v>
      </c>
      <c r="N2058" s="15" t="s">
        <v>8</v>
      </c>
      <c r="O2058" s="15" t="s">
        <v>8</v>
      </c>
      <c r="Q2058" s="15" t="s">
        <v>8</v>
      </c>
      <c r="U2058" s="15" t="s">
        <v>8</v>
      </c>
      <c r="V2058" s="15" t="s">
        <v>8</v>
      </c>
      <c r="X2058" s="19" t="str">
        <f>HYPERLINK("http://yeinfo.com/family/I09066966.html", "RALPH RADCLIFFE &lt;2&gt; 1355 EN-1406 EN ID:09066966")</f>
        <v>RALPH RADCLIFFE &lt;2&gt; 1355 EN-1406 EN ID:09066966</v>
      </c>
      <c r="Y2058" s="9"/>
      <c r="Z2058" s="9"/>
      <c r="AA2058" s="9"/>
      <c r="AB2058" s="9"/>
    </row>
    <row r="2059" spans="3:32" x14ac:dyDescent="0.35">
      <c r="C2059" s="15" t="s">
        <v>8</v>
      </c>
      <c r="D2059" s="15" t="s">
        <v>8</v>
      </c>
      <c r="G2059" s="15" t="s">
        <v>8</v>
      </c>
      <c r="L2059" s="15" t="s">
        <v>8</v>
      </c>
      <c r="M2059" s="15" t="s">
        <v>8</v>
      </c>
      <c r="N2059" s="15" t="s">
        <v>8</v>
      </c>
      <c r="O2059" s="15" t="s">
        <v>8</v>
      </c>
      <c r="Q2059" s="15" t="s">
        <v>8</v>
      </c>
      <c r="U2059" s="15" t="s">
        <v>8</v>
      </c>
      <c r="V2059" s="15" t="s">
        <v>8</v>
      </c>
      <c r="X2059" s="8" t="s">
        <v>3</v>
      </c>
    </row>
    <row r="2060" spans="3:32" x14ac:dyDescent="0.35">
      <c r="C2060" s="15" t="s">
        <v>8</v>
      </c>
      <c r="D2060" s="15" t="s">
        <v>8</v>
      </c>
      <c r="G2060" s="15" t="s">
        <v>8</v>
      </c>
      <c r="L2060" s="15" t="s">
        <v>8</v>
      </c>
      <c r="M2060" s="15" t="s">
        <v>8</v>
      </c>
      <c r="N2060" s="15" t="s">
        <v>8</v>
      </c>
      <c r="O2060" s="15" t="s">
        <v>8</v>
      </c>
      <c r="Q2060" s="15" t="s">
        <v>8</v>
      </c>
      <c r="U2060" s="15" t="s">
        <v>8</v>
      </c>
      <c r="V2060" s="15" t="s">
        <v>8</v>
      </c>
      <c r="W2060" s="19" t="str">
        <f>HYPERLINK("http://yeinfo.com/family/I09066968.html", "RALPH RADCLIFFE &lt;2&gt; 1355 EN-1406 EN ID:09066968")</f>
        <v>RALPH RADCLIFFE &lt;2&gt; 1355 EN-1406 EN ID:09066968</v>
      </c>
      <c r="X2060" s="9"/>
      <c r="Y2060" s="9"/>
      <c r="Z2060" s="9"/>
      <c r="AA2060" s="9"/>
    </row>
    <row r="2061" spans="3:32" x14ac:dyDescent="0.35">
      <c r="C2061" s="15" t="s">
        <v>8</v>
      </c>
      <c r="D2061" s="15" t="s">
        <v>8</v>
      </c>
      <c r="G2061" s="15" t="s">
        <v>8</v>
      </c>
      <c r="L2061" s="15" t="s">
        <v>8</v>
      </c>
      <c r="M2061" s="15" t="s">
        <v>8</v>
      </c>
      <c r="N2061" s="15" t="s">
        <v>8</v>
      </c>
      <c r="O2061" s="15" t="s">
        <v>8</v>
      </c>
      <c r="Q2061" s="15" t="s">
        <v>8</v>
      </c>
      <c r="U2061" s="15" t="s">
        <v>8</v>
      </c>
      <c r="V2061" s="15" t="s">
        <v>8</v>
      </c>
      <c r="W2061" s="8" t="s">
        <v>3</v>
      </c>
      <c r="X2061" s="15" t="s">
        <v>8</v>
      </c>
    </row>
    <row r="2062" spans="3:32" x14ac:dyDescent="0.35">
      <c r="C2062" s="15" t="s">
        <v>8</v>
      </c>
      <c r="D2062" s="15" t="s">
        <v>8</v>
      </c>
      <c r="G2062" s="15" t="s">
        <v>8</v>
      </c>
      <c r="L2062" s="15" t="s">
        <v>8</v>
      </c>
      <c r="M2062" s="15" t="s">
        <v>8</v>
      </c>
      <c r="N2062" s="15" t="s">
        <v>8</v>
      </c>
      <c r="O2062" s="15" t="s">
        <v>8</v>
      </c>
      <c r="Q2062" s="15" t="s">
        <v>8</v>
      </c>
      <c r="U2062" s="15" t="s">
        <v>8</v>
      </c>
      <c r="V2062" s="15" t="s">
        <v>8</v>
      </c>
      <c r="W2062" s="15" t="s">
        <v>8</v>
      </c>
      <c r="X2062" s="15" t="s">
        <v>8</v>
      </c>
      <c r="AB2062" s="19" t="str">
        <f>HYPERLINK("http://yeinfo.com/family/I09066946.html", "WILLIAM MASSEY &lt;4&gt; 1190 EN-1272 IS ID:09066946")</f>
        <v>WILLIAM MASSEY &lt;4&gt; 1190 EN-1272 IS ID:09066946</v>
      </c>
      <c r="AC2062" s="9"/>
      <c r="AD2062" s="9"/>
      <c r="AE2062" s="9"/>
      <c r="AF2062" s="9"/>
    </row>
    <row r="2063" spans="3:32" x14ac:dyDescent="0.35">
      <c r="C2063" s="15" t="s">
        <v>8</v>
      </c>
      <c r="D2063" s="15" t="s">
        <v>8</v>
      </c>
      <c r="G2063" s="15" t="s">
        <v>8</v>
      </c>
      <c r="L2063" s="15" t="s">
        <v>8</v>
      </c>
      <c r="M2063" s="15" t="s">
        <v>8</v>
      </c>
      <c r="N2063" s="15" t="s">
        <v>8</v>
      </c>
      <c r="O2063" s="15" t="s">
        <v>8</v>
      </c>
      <c r="Q2063" s="15" t="s">
        <v>8</v>
      </c>
      <c r="U2063" s="15" t="s">
        <v>8</v>
      </c>
      <c r="V2063" s="15" t="s">
        <v>8</v>
      </c>
      <c r="W2063" s="15" t="s">
        <v>8</v>
      </c>
      <c r="X2063" s="15" t="s">
        <v>8</v>
      </c>
      <c r="AB2063" s="8" t="s">
        <v>3</v>
      </c>
    </row>
    <row r="2064" spans="3:32" x14ac:dyDescent="0.35">
      <c r="C2064" s="15" t="s">
        <v>8</v>
      </c>
      <c r="D2064" s="15" t="s">
        <v>8</v>
      </c>
      <c r="G2064" s="15" t="s">
        <v>8</v>
      </c>
      <c r="L2064" s="15" t="s">
        <v>8</v>
      </c>
      <c r="M2064" s="15" t="s">
        <v>8</v>
      </c>
      <c r="N2064" s="15" t="s">
        <v>8</v>
      </c>
      <c r="O2064" s="15" t="s">
        <v>8</v>
      </c>
      <c r="Q2064" s="15" t="s">
        <v>8</v>
      </c>
      <c r="U2064" s="15" t="s">
        <v>8</v>
      </c>
      <c r="V2064" s="15" t="s">
        <v>8</v>
      </c>
      <c r="W2064" s="15" t="s">
        <v>8</v>
      </c>
      <c r="X2064" s="15" t="s">
        <v>8</v>
      </c>
      <c r="AA2064" s="19" t="str">
        <f>HYPERLINK("http://yeinfo.com/family/I09066947.html", "ROBERT ROSTHERNE MASSEY &lt;4&gt; 1228 EN-1328 EN ID:09066947")</f>
        <v>ROBERT ROSTHERNE MASSEY &lt;4&gt; 1228 EN-1328 EN ID:09066947</v>
      </c>
      <c r="AB2064" s="9"/>
      <c r="AC2064" s="9"/>
      <c r="AD2064" s="9"/>
      <c r="AE2064" s="9"/>
    </row>
    <row r="2065" spans="3:33" x14ac:dyDescent="0.35">
      <c r="C2065" s="15" t="s">
        <v>8</v>
      </c>
      <c r="D2065" s="15" t="s">
        <v>8</v>
      </c>
      <c r="G2065" s="15" t="s">
        <v>8</v>
      </c>
      <c r="L2065" s="15" t="s">
        <v>8</v>
      </c>
      <c r="M2065" s="15" t="s">
        <v>8</v>
      </c>
      <c r="N2065" s="15" t="s">
        <v>8</v>
      </c>
      <c r="O2065" s="15" t="s">
        <v>8</v>
      </c>
      <c r="Q2065" s="15" t="s">
        <v>8</v>
      </c>
      <c r="U2065" s="15" t="s">
        <v>8</v>
      </c>
      <c r="V2065" s="15" t="s">
        <v>8</v>
      </c>
      <c r="W2065" s="15" t="s">
        <v>8</v>
      </c>
      <c r="X2065" s="15" t="s">
        <v>8</v>
      </c>
      <c r="AA2065" s="8" t="s">
        <v>3</v>
      </c>
      <c r="AB2065" s="8" t="s">
        <v>6</v>
      </c>
    </row>
    <row r="2066" spans="3:33" x14ac:dyDescent="0.35">
      <c r="C2066" s="15" t="s">
        <v>8</v>
      </c>
      <c r="D2066" s="15" t="s">
        <v>8</v>
      </c>
      <c r="G2066" s="15" t="s">
        <v>8</v>
      </c>
      <c r="L2066" s="15" t="s">
        <v>8</v>
      </c>
      <c r="M2066" s="15" t="s">
        <v>8</v>
      </c>
      <c r="N2066" s="15" t="s">
        <v>8</v>
      </c>
      <c r="O2066" s="15" t="s">
        <v>8</v>
      </c>
      <c r="Q2066" s="15" t="s">
        <v>8</v>
      </c>
      <c r="U2066" s="15" t="s">
        <v>8</v>
      </c>
      <c r="V2066" s="15" t="s">
        <v>8</v>
      </c>
      <c r="W2066" s="15" t="s">
        <v>8</v>
      </c>
      <c r="X2066" s="15" t="s">
        <v>8</v>
      </c>
      <c r="AA2066" s="15" t="s">
        <v>8</v>
      </c>
      <c r="AB2066" s="20" t="str">
        <f>HYPERLINK("http://yeinfo.com/family/I09066970.html", "MARGERY ROSTHERNE &lt;4&gt; 1190 EN-1228 EN ID:09066970")</f>
        <v>MARGERY ROSTHERNE &lt;4&gt; 1190 EN-1228 EN ID:09066970</v>
      </c>
      <c r="AC2066" s="17"/>
      <c r="AD2066" s="17"/>
      <c r="AE2066" s="17"/>
      <c r="AF2066" s="17"/>
    </row>
    <row r="2067" spans="3:33" x14ac:dyDescent="0.35">
      <c r="C2067" s="15" t="s">
        <v>8</v>
      </c>
      <c r="D2067" s="15" t="s">
        <v>8</v>
      </c>
      <c r="G2067" s="15" t="s">
        <v>8</v>
      </c>
      <c r="L2067" s="15" t="s">
        <v>8</v>
      </c>
      <c r="M2067" s="15" t="s">
        <v>8</v>
      </c>
      <c r="N2067" s="15" t="s">
        <v>8</v>
      </c>
      <c r="O2067" s="15" t="s">
        <v>8</v>
      </c>
      <c r="Q2067" s="15" t="s">
        <v>8</v>
      </c>
      <c r="U2067" s="15" t="s">
        <v>8</v>
      </c>
      <c r="V2067" s="15" t="s">
        <v>8</v>
      </c>
      <c r="W2067" s="15" t="s">
        <v>8</v>
      </c>
      <c r="X2067" s="15" t="s">
        <v>8</v>
      </c>
      <c r="AA2067" s="15" t="s">
        <v>8</v>
      </c>
    </row>
    <row r="2068" spans="3:33" x14ac:dyDescent="0.35">
      <c r="C2068" s="15" t="s">
        <v>8</v>
      </c>
      <c r="D2068" s="15" t="s">
        <v>8</v>
      </c>
      <c r="G2068" s="15" t="s">
        <v>8</v>
      </c>
      <c r="L2068" s="15" t="s">
        <v>8</v>
      </c>
      <c r="M2068" s="15" t="s">
        <v>8</v>
      </c>
      <c r="N2068" s="15" t="s">
        <v>8</v>
      </c>
      <c r="O2068" s="15" t="s">
        <v>8</v>
      </c>
      <c r="Q2068" s="15" t="s">
        <v>8</v>
      </c>
      <c r="U2068" s="15" t="s">
        <v>8</v>
      </c>
      <c r="V2068" s="15" t="s">
        <v>8</v>
      </c>
      <c r="W2068" s="15" t="s">
        <v>8</v>
      </c>
      <c r="X2068" s="15" t="s">
        <v>8</v>
      </c>
      <c r="Z2068" s="19" t="str">
        <f>HYPERLINK("http://yeinfo.com/family/I09066948.html", "WILLIAM MASSEY &lt;4&gt; 1290 EN-1338 EN ID:09066948")</f>
        <v>WILLIAM MASSEY &lt;4&gt; 1290 EN-1338 EN ID:09066948</v>
      </c>
      <c r="AA2068" s="9"/>
      <c r="AB2068" s="9"/>
      <c r="AC2068" s="9"/>
      <c r="AD2068" s="9"/>
    </row>
    <row r="2069" spans="3:33" x14ac:dyDescent="0.35">
      <c r="C2069" s="15" t="s">
        <v>8</v>
      </c>
      <c r="D2069" s="15" t="s">
        <v>8</v>
      </c>
      <c r="G2069" s="15" t="s">
        <v>8</v>
      </c>
      <c r="L2069" s="15" t="s">
        <v>8</v>
      </c>
      <c r="M2069" s="15" t="s">
        <v>8</v>
      </c>
      <c r="N2069" s="15" t="s">
        <v>8</v>
      </c>
      <c r="O2069" s="15" t="s">
        <v>8</v>
      </c>
      <c r="Q2069" s="15" t="s">
        <v>8</v>
      </c>
      <c r="U2069" s="15" t="s">
        <v>8</v>
      </c>
      <c r="V2069" s="15" t="s">
        <v>8</v>
      </c>
      <c r="W2069" s="15" t="s">
        <v>8</v>
      </c>
      <c r="X2069" s="15" t="s">
        <v>8</v>
      </c>
      <c r="Z2069" s="8" t="s">
        <v>3</v>
      </c>
      <c r="AA2069" s="8" t="s">
        <v>6</v>
      </c>
    </row>
    <row r="2070" spans="3:33" x14ac:dyDescent="0.35">
      <c r="C2070" s="15" t="s">
        <v>8</v>
      </c>
      <c r="D2070" s="15" t="s">
        <v>8</v>
      </c>
      <c r="G2070" s="15" t="s">
        <v>8</v>
      </c>
      <c r="L2070" s="15" t="s">
        <v>8</v>
      </c>
      <c r="M2070" s="15" t="s">
        <v>8</v>
      </c>
      <c r="N2070" s="15" t="s">
        <v>8</v>
      </c>
      <c r="O2070" s="15" t="s">
        <v>8</v>
      </c>
      <c r="Q2070" s="15" t="s">
        <v>8</v>
      </c>
      <c r="U2070" s="15" t="s">
        <v>8</v>
      </c>
      <c r="V2070" s="15" t="s">
        <v>8</v>
      </c>
      <c r="W2070" s="15" t="s">
        <v>8</v>
      </c>
      <c r="X2070" s="15" t="s">
        <v>8</v>
      </c>
      <c r="Z2070" s="15" t="s">
        <v>8</v>
      </c>
      <c r="AA2070" s="20" t="str">
        <f>HYPERLINK("http://yeinfo.com/family/I09066971.html", "MARGARET ROSTHERNE &lt;4&gt; 1242 EN-1340 EN ID:09066971")</f>
        <v>MARGARET ROSTHERNE &lt;4&gt; 1242 EN-1340 EN ID:09066971</v>
      </c>
      <c r="AB2070" s="17"/>
      <c r="AC2070" s="17"/>
      <c r="AD2070" s="17"/>
      <c r="AE2070" s="17"/>
    </row>
    <row r="2071" spans="3:33" x14ac:dyDescent="0.35">
      <c r="C2071" s="15" t="s">
        <v>8</v>
      </c>
      <c r="D2071" s="15" t="s">
        <v>8</v>
      </c>
      <c r="G2071" s="15" t="s">
        <v>8</v>
      </c>
      <c r="L2071" s="15" t="s">
        <v>8</v>
      </c>
      <c r="M2071" s="15" t="s">
        <v>8</v>
      </c>
      <c r="N2071" s="15" t="s">
        <v>8</v>
      </c>
      <c r="O2071" s="15" t="s">
        <v>8</v>
      </c>
      <c r="Q2071" s="15" t="s">
        <v>8</v>
      </c>
      <c r="U2071" s="15" t="s">
        <v>8</v>
      </c>
      <c r="V2071" s="15" t="s">
        <v>8</v>
      </c>
      <c r="W2071" s="15" t="s">
        <v>8</v>
      </c>
      <c r="X2071" s="15" t="s">
        <v>8</v>
      </c>
      <c r="Z2071" s="15" t="s">
        <v>8</v>
      </c>
    </row>
    <row r="2072" spans="3:33" x14ac:dyDescent="0.35">
      <c r="C2072" s="15" t="s">
        <v>8</v>
      </c>
      <c r="D2072" s="15" t="s">
        <v>8</v>
      </c>
      <c r="G2072" s="15" t="s">
        <v>8</v>
      </c>
      <c r="L2072" s="15" t="s">
        <v>8</v>
      </c>
      <c r="M2072" s="15" t="s">
        <v>8</v>
      </c>
      <c r="N2072" s="15" t="s">
        <v>8</v>
      </c>
      <c r="O2072" s="15" t="s">
        <v>8</v>
      </c>
      <c r="Q2072" s="15" t="s">
        <v>8</v>
      </c>
      <c r="U2072" s="15" t="s">
        <v>8</v>
      </c>
      <c r="V2072" s="15" t="s">
        <v>8</v>
      </c>
      <c r="W2072" s="15" t="s">
        <v>8</v>
      </c>
      <c r="X2072" s="15" t="s">
        <v>8</v>
      </c>
      <c r="Y2072" s="19" t="str">
        <f>HYPERLINK("http://yeinfo.com/family/I09066949.html", "HUGH MASSEY &lt;4&gt; 1320 EN-1371 EN ID:09066949")</f>
        <v>HUGH MASSEY &lt;4&gt; 1320 EN-1371 EN ID:09066949</v>
      </c>
      <c r="Z2072" s="9"/>
      <c r="AA2072" s="9"/>
      <c r="AB2072" s="9"/>
      <c r="AC2072" s="9"/>
    </row>
    <row r="2073" spans="3:33" x14ac:dyDescent="0.35">
      <c r="C2073" s="15" t="s">
        <v>8</v>
      </c>
      <c r="D2073" s="15" t="s">
        <v>8</v>
      </c>
      <c r="G2073" s="15" t="s">
        <v>8</v>
      </c>
      <c r="L2073" s="15" t="s">
        <v>8</v>
      </c>
      <c r="M2073" s="15" t="s">
        <v>8</v>
      </c>
      <c r="N2073" s="15" t="s">
        <v>8</v>
      </c>
      <c r="O2073" s="15" t="s">
        <v>8</v>
      </c>
      <c r="Q2073" s="15" t="s">
        <v>8</v>
      </c>
      <c r="U2073" s="15" t="s">
        <v>8</v>
      </c>
      <c r="V2073" s="15" t="s">
        <v>8</v>
      </c>
      <c r="W2073" s="15" t="s">
        <v>8</v>
      </c>
      <c r="X2073" s="15" t="s">
        <v>8</v>
      </c>
      <c r="Y2073" s="8" t="s">
        <v>3</v>
      </c>
      <c r="Z2073" s="15" t="s">
        <v>8</v>
      </c>
    </row>
    <row r="2074" spans="3:33" x14ac:dyDescent="0.35">
      <c r="C2074" s="15" t="s">
        <v>8</v>
      </c>
      <c r="D2074" s="15" t="s">
        <v>8</v>
      </c>
      <c r="G2074" s="15" t="s">
        <v>8</v>
      </c>
      <c r="L2074" s="15" t="s">
        <v>8</v>
      </c>
      <c r="M2074" s="15" t="s">
        <v>8</v>
      </c>
      <c r="N2074" s="15" t="s">
        <v>8</v>
      </c>
      <c r="O2074" s="15" t="s">
        <v>8</v>
      </c>
      <c r="Q2074" s="15" t="s">
        <v>8</v>
      </c>
      <c r="U2074" s="15" t="s">
        <v>8</v>
      </c>
      <c r="V2074" s="15" t="s">
        <v>8</v>
      </c>
      <c r="W2074" s="15" t="s">
        <v>8</v>
      </c>
      <c r="X2074" s="15" t="s">
        <v>8</v>
      </c>
      <c r="Y2074" s="15" t="s">
        <v>8</v>
      </c>
      <c r="Z2074" s="15" t="s">
        <v>8</v>
      </c>
      <c r="AA2074" s="19" t="str">
        <f>HYPERLINK("http://yeinfo.com/family/I09066941.html", "THOMAS LYMM LEIGH &lt;4&gt; 1263 EN-1317 EN ID:09066941")</f>
        <v>THOMAS LYMM LEIGH &lt;4&gt; 1263 EN-1317 EN ID:09066941</v>
      </c>
      <c r="AB2074" s="9"/>
      <c r="AC2074" s="9"/>
      <c r="AD2074" s="9"/>
      <c r="AE2074" s="9"/>
    </row>
    <row r="2075" spans="3:33" x14ac:dyDescent="0.35">
      <c r="C2075" s="15" t="s">
        <v>8</v>
      </c>
      <c r="D2075" s="15" t="s">
        <v>8</v>
      </c>
      <c r="G2075" s="15" t="s">
        <v>8</v>
      </c>
      <c r="L2075" s="15" t="s">
        <v>8</v>
      </c>
      <c r="M2075" s="15" t="s">
        <v>8</v>
      </c>
      <c r="N2075" s="15" t="s">
        <v>8</v>
      </c>
      <c r="O2075" s="15" t="s">
        <v>8</v>
      </c>
      <c r="Q2075" s="15" t="s">
        <v>8</v>
      </c>
      <c r="U2075" s="15" t="s">
        <v>8</v>
      </c>
      <c r="V2075" s="15" t="s">
        <v>8</v>
      </c>
      <c r="W2075" s="15" t="s">
        <v>8</v>
      </c>
      <c r="X2075" s="15" t="s">
        <v>8</v>
      </c>
      <c r="Y2075" s="15" t="s">
        <v>8</v>
      </c>
      <c r="Z2075" s="8" t="s">
        <v>6</v>
      </c>
      <c r="AA2075" s="8" t="s">
        <v>3</v>
      </c>
    </row>
    <row r="2076" spans="3:33" x14ac:dyDescent="0.35">
      <c r="C2076" s="15" t="s">
        <v>8</v>
      </c>
      <c r="D2076" s="15" t="s">
        <v>8</v>
      </c>
      <c r="G2076" s="15" t="s">
        <v>8</v>
      </c>
      <c r="L2076" s="15" t="s">
        <v>8</v>
      </c>
      <c r="M2076" s="15" t="s">
        <v>8</v>
      </c>
      <c r="N2076" s="15" t="s">
        <v>8</v>
      </c>
      <c r="O2076" s="15" t="s">
        <v>8</v>
      </c>
      <c r="Q2076" s="15" t="s">
        <v>8</v>
      </c>
      <c r="U2076" s="15" t="s">
        <v>8</v>
      </c>
      <c r="V2076" s="15" t="s">
        <v>8</v>
      </c>
      <c r="W2076" s="15" t="s">
        <v>8</v>
      </c>
      <c r="X2076" s="15" t="s">
        <v>8</v>
      </c>
      <c r="Y2076" s="15" t="s">
        <v>8</v>
      </c>
      <c r="Z2076" s="20" t="str">
        <f>HYPERLINK("http://yeinfo.com/family/I09066942.html", "MARGERY LEIGH &lt;4&gt; 1280 EN-1338 EN ID:09066942")</f>
        <v>MARGERY LEIGH &lt;4&gt; 1280 EN-1338 EN ID:09066942</v>
      </c>
      <c r="AA2076" s="17"/>
      <c r="AB2076" s="17"/>
      <c r="AC2076" s="17"/>
      <c r="AD2076" s="17"/>
    </row>
    <row r="2077" spans="3:33" x14ac:dyDescent="0.35">
      <c r="C2077" s="15" t="s">
        <v>8</v>
      </c>
      <c r="D2077" s="15" t="s">
        <v>8</v>
      </c>
      <c r="G2077" s="15" t="s">
        <v>8</v>
      </c>
      <c r="L2077" s="15" t="s">
        <v>8</v>
      </c>
      <c r="M2077" s="15" t="s">
        <v>8</v>
      </c>
      <c r="N2077" s="15" t="s">
        <v>8</v>
      </c>
      <c r="O2077" s="15" t="s">
        <v>8</v>
      </c>
      <c r="Q2077" s="15" t="s">
        <v>8</v>
      </c>
      <c r="U2077" s="15" t="s">
        <v>8</v>
      </c>
      <c r="V2077" s="15" t="s">
        <v>8</v>
      </c>
      <c r="W2077" s="15" t="s">
        <v>8</v>
      </c>
      <c r="X2077" s="15" t="s">
        <v>8</v>
      </c>
      <c r="Y2077" s="15" t="s">
        <v>8</v>
      </c>
      <c r="AA2077" s="8" t="s">
        <v>6</v>
      </c>
    </row>
    <row r="2078" spans="3:33" x14ac:dyDescent="0.35">
      <c r="C2078" s="15" t="s">
        <v>8</v>
      </c>
      <c r="D2078" s="15" t="s">
        <v>8</v>
      </c>
      <c r="G2078" s="15" t="s">
        <v>8</v>
      </c>
      <c r="L2078" s="15" t="s">
        <v>8</v>
      </c>
      <c r="M2078" s="15" t="s">
        <v>8</v>
      </c>
      <c r="N2078" s="15" t="s">
        <v>8</v>
      </c>
      <c r="O2078" s="15" t="s">
        <v>8</v>
      </c>
      <c r="Q2078" s="15" t="s">
        <v>8</v>
      </c>
      <c r="U2078" s="15" t="s">
        <v>8</v>
      </c>
      <c r="V2078" s="15" t="s">
        <v>8</v>
      </c>
      <c r="W2078" s="15" t="s">
        <v>8</v>
      </c>
      <c r="X2078" s="15" t="s">
        <v>8</v>
      </c>
      <c r="Y2078" s="15" t="s">
        <v>8</v>
      </c>
      <c r="AA2078" s="20" t="str">
        <f>HYPERLINK("http://yeinfo.com/family/I09066940.html", "Mrs. CECILY\SYBIL LEIGH &lt;4&gt; 1250 EN-1305 EN ID:09066940")</f>
        <v>Mrs. CECILY\SYBIL LEIGH &lt;4&gt; 1250 EN-1305 EN ID:09066940</v>
      </c>
      <c r="AB2078" s="17"/>
      <c r="AC2078" s="17"/>
      <c r="AD2078" s="17"/>
      <c r="AE2078" s="17"/>
      <c r="AF2078" s="17"/>
      <c r="AG2078" s="17"/>
    </row>
    <row r="2079" spans="3:33" x14ac:dyDescent="0.35">
      <c r="C2079" s="15" t="s">
        <v>8</v>
      </c>
      <c r="D2079" s="15" t="s">
        <v>8</v>
      </c>
      <c r="G2079" s="15" t="s">
        <v>8</v>
      </c>
      <c r="L2079" s="15" t="s">
        <v>8</v>
      </c>
      <c r="M2079" s="15" t="s">
        <v>8</v>
      </c>
      <c r="N2079" s="15" t="s">
        <v>8</v>
      </c>
      <c r="O2079" s="15" t="s">
        <v>8</v>
      </c>
      <c r="Q2079" s="15" t="s">
        <v>8</v>
      </c>
      <c r="U2079" s="15" t="s">
        <v>8</v>
      </c>
      <c r="V2079" s="15" t="s">
        <v>8</v>
      </c>
      <c r="W2079" s="15" t="s">
        <v>8</v>
      </c>
      <c r="X2079" s="8" t="s">
        <v>6</v>
      </c>
      <c r="Y2079" s="15" t="s">
        <v>8</v>
      </c>
    </row>
    <row r="2080" spans="3:33" x14ac:dyDescent="0.35">
      <c r="C2080" s="15" t="s">
        <v>8</v>
      </c>
      <c r="D2080" s="15" t="s">
        <v>8</v>
      </c>
      <c r="G2080" s="15" t="s">
        <v>8</v>
      </c>
      <c r="L2080" s="15" t="s">
        <v>8</v>
      </c>
      <c r="M2080" s="15" t="s">
        <v>8</v>
      </c>
      <c r="N2080" s="15" t="s">
        <v>8</v>
      </c>
      <c r="O2080" s="15" t="s">
        <v>8</v>
      </c>
      <c r="Q2080" s="15" t="s">
        <v>8</v>
      </c>
      <c r="U2080" s="15" t="s">
        <v>8</v>
      </c>
      <c r="V2080" s="15" t="s">
        <v>8</v>
      </c>
      <c r="W2080" s="15" t="s">
        <v>8</v>
      </c>
      <c r="X2080" s="20" t="str">
        <f>HYPERLINK("http://yeinfo.com/family/I09066950.html", "ELENA MASSEY &lt;2&gt; 1358 EN-1416 EN ID:09066950")</f>
        <v>ELENA MASSEY &lt;2&gt; 1358 EN-1416 EN ID:09066950</v>
      </c>
      <c r="Y2080" s="17"/>
      <c r="Z2080" s="17"/>
      <c r="AA2080" s="17"/>
      <c r="AB2080" s="17"/>
    </row>
    <row r="2081" spans="3:31" x14ac:dyDescent="0.35">
      <c r="C2081" s="15" t="s">
        <v>8</v>
      </c>
      <c r="D2081" s="15" t="s">
        <v>8</v>
      </c>
      <c r="G2081" s="15" t="s">
        <v>8</v>
      </c>
      <c r="L2081" s="15" t="s">
        <v>8</v>
      </c>
      <c r="M2081" s="15" t="s">
        <v>8</v>
      </c>
      <c r="N2081" s="15" t="s">
        <v>8</v>
      </c>
      <c r="O2081" s="15" t="s">
        <v>8</v>
      </c>
      <c r="Q2081" s="15" t="s">
        <v>8</v>
      </c>
      <c r="U2081" s="15" t="s">
        <v>8</v>
      </c>
      <c r="V2081" s="15" t="s">
        <v>8</v>
      </c>
      <c r="W2081" s="15" t="s">
        <v>8</v>
      </c>
      <c r="Y2081" s="15" t="s">
        <v>8</v>
      </c>
    </row>
    <row r="2082" spans="3:31" x14ac:dyDescent="0.35">
      <c r="C2082" s="15" t="s">
        <v>8</v>
      </c>
      <c r="D2082" s="15" t="s">
        <v>8</v>
      </c>
      <c r="G2082" s="15" t="s">
        <v>8</v>
      </c>
      <c r="L2082" s="15" t="s">
        <v>8</v>
      </c>
      <c r="M2082" s="15" t="s">
        <v>8</v>
      </c>
      <c r="N2082" s="15" t="s">
        <v>8</v>
      </c>
      <c r="O2082" s="15" t="s">
        <v>8</v>
      </c>
      <c r="Q2082" s="15" t="s">
        <v>8</v>
      </c>
      <c r="U2082" s="15" t="s">
        <v>8</v>
      </c>
      <c r="V2082" s="15" t="s">
        <v>8</v>
      </c>
      <c r="W2082" s="15" t="s">
        <v>8</v>
      </c>
      <c r="Y2082" s="15" t="s">
        <v>8</v>
      </c>
      <c r="Z2082" s="19" t="str">
        <f>HYPERLINK("http://yeinfo.com/family/I09067009.html", "JOHN WRENBURY &lt;4&gt; 1292 EN-1349 EN ID:09067009")</f>
        <v>JOHN WRENBURY &lt;4&gt; 1292 EN-1349 EN ID:09067009</v>
      </c>
      <c r="AA2082" s="9"/>
      <c r="AB2082" s="9"/>
      <c r="AC2082" s="9"/>
      <c r="AD2082" s="9"/>
    </row>
    <row r="2083" spans="3:31" x14ac:dyDescent="0.35">
      <c r="C2083" s="15" t="s">
        <v>8</v>
      </c>
      <c r="D2083" s="15" t="s">
        <v>8</v>
      </c>
      <c r="G2083" s="15" t="s">
        <v>8</v>
      </c>
      <c r="L2083" s="15" t="s">
        <v>8</v>
      </c>
      <c r="M2083" s="15" t="s">
        <v>8</v>
      </c>
      <c r="N2083" s="15" t="s">
        <v>8</v>
      </c>
      <c r="O2083" s="15" t="s">
        <v>8</v>
      </c>
      <c r="Q2083" s="15" t="s">
        <v>8</v>
      </c>
      <c r="U2083" s="15" t="s">
        <v>8</v>
      </c>
      <c r="V2083" s="15" t="s">
        <v>8</v>
      </c>
      <c r="W2083" s="15" t="s">
        <v>8</v>
      </c>
      <c r="Y2083" s="8" t="s">
        <v>6</v>
      </c>
      <c r="Z2083" s="8" t="s">
        <v>3</v>
      </c>
    </row>
    <row r="2084" spans="3:31" x14ac:dyDescent="0.35">
      <c r="C2084" s="15" t="s">
        <v>8</v>
      </c>
      <c r="D2084" s="15" t="s">
        <v>8</v>
      </c>
      <c r="G2084" s="15" t="s">
        <v>8</v>
      </c>
      <c r="L2084" s="15" t="s">
        <v>8</v>
      </c>
      <c r="M2084" s="15" t="s">
        <v>8</v>
      </c>
      <c r="N2084" s="15" t="s">
        <v>8</v>
      </c>
      <c r="O2084" s="15" t="s">
        <v>8</v>
      </c>
      <c r="Q2084" s="15" t="s">
        <v>8</v>
      </c>
      <c r="U2084" s="15" t="s">
        <v>8</v>
      </c>
      <c r="V2084" s="15" t="s">
        <v>8</v>
      </c>
      <c r="W2084" s="15" t="s">
        <v>8</v>
      </c>
      <c r="Y2084" s="20" t="str">
        <f>HYPERLINK("http://yeinfo.com/family/I09067010.html", "ALICE WRENBURY &lt;4&gt; 1320 EN-1370 EN ID:09067010")</f>
        <v>ALICE WRENBURY &lt;4&gt; 1320 EN-1370 EN ID:09067010</v>
      </c>
      <c r="Z2084" s="17"/>
      <c r="AA2084" s="17"/>
      <c r="AB2084" s="17"/>
      <c r="AC2084" s="17"/>
    </row>
    <row r="2085" spans="3:31" x14ac:dyDescent="0.35">
      <c r="C2085" s="15" t="s">
        <v>8</v>
      </c>
      <c r="D2085" s="15" t="s">
        <v>8</v>
      </c>
      <c r="G2085" s="15" t="s">
        <v>8</v>
      </c>
      <c r="L2085" s="15" t="s">
        <v>8</v>
      </c>
      <c r="M2085" s="15" t="s">
        <v>8</v>
      </c>
      <c r="N2085" s="15" t="s">
        <v>8</v>
      </c>
      <c r="O2085" s="15" t="s">
        <v>8</v>
      </c>
      <c r="Q2085" s="15" t="s">
        <v>8</v>
      </c>
      <c r="U2085" s="15" t="s">
        <v>8</v>
      </c>
      <c r="V2085" s="15" t="s">
        <v>8</v>
      </c>
      <c r="W2085" s="15" t="s">
        <v>8</v>
      </c>
      <c r="Z2085" s="8" t="s">
        <v>6</v>
      </c>
    </row>
    <row r="2086" spans="3:31" x14ac:dyDescent="0.35">
      <c r="C2086" s="15" t="s">
        <v>8</v>
      </c>
      <c r="D2086" s="15" t="s">
        <v>8</v>
      </c>
      <c r="G2086" s="15" t="s">
        <v>8</v>
      </c>
      <c r="L2086" s="15" t="s">
        <v>8</v>
      </c>
      <c r="M2086" s="15" t="s">
        <v>8</v>
      </c>
      <c r="N2086" s="15" t="s">
        <v>8</v>
      </c>
      <c r="O2086" s="15" t="s">
        <v>8</v>
      </c>
      <c r="Q2086" s="15" t="s">
        <v>8</v>
      </c>
      <c r="U2086" s="15" t="s">
        <v>8</v>
      </c>
      <c r="V2086" s="15" t="s">
        <v>8</v>
      </c>
      <c r="W2086" s="15" t="s">
        <v>8</v>
      </c>
      <c r="Z2086" s="20" t="str">
        <f>HYPERLINK("http://yeinfo.com/family/I09066863.html", "ALICE AUDLEM &lt;4&gt; 1290 EN-1320 EN ID:09066863")</f>
        <v>ALICE AUDLEM &lt;4&gt; 1290 EN-1320 EN ID:09066863</v>
      </c>
      <c r="AA2086" s="17"/>
      <c r="AB2086" s="17"/>
      <c r="AC2086" s="17"/>
      <c r="AD2086" s="17"/>
    </row>
    <row r="2087" spans="3:31" x14ac:dyDescent="0.35">
      <c r="C2087" s="15" t="s">
        <v>8</v>
      </c>
      <c r="D2087" s="15" t="s">
        <v>8</v>
      </c>
      <c r="G2087" s="15" t="s">
        <v>8</v>
      </c>
      <c r="L2087" s="15" t="s">
        <v>8</v>
      </c>
      <c r="M2087" s="15" t="s">
        <v>8</v>
      </c>
      <c r="N2087" s="15" t="s">
        <v>8</v>
      </c>
      <c r="O2087" s="15" t="s">
        <v>8</v>
      </c>
      <c r="Q2087" s="15" t="s">
        <v>8</v>
      </c>
      <c r="U2087" s="15" t="s">
        <v>8</v>
      </c>
      <c r="V2087" s="8" t="s">
        <v>6</v>
      </c>
      <c r="W2087" s="15" t="s">
        <v>8</v>
      </c>
    </row>
    <row r="2088" spans="3:31" x14ac:dyDescent="0.35">
      <c r="C2088" s="15" t="s">
        <v>8</v>
      </c>
      <c r="D2088" s="15" t="s">
        <v>8</v>
      </c>
      <c r="G2088" s="15" t="s">
        <v>8</v>
      </c>
      <c r="L2088" s="15" t="s">
        <v>8</v>
      </c>
      <c r="M2088" s="15" t="s">
        <v>8</v>
      </c>
      <c r="N2088" s="15" t="s">
        <v>8</v>
      </c>
      <c r="O2088" s="15" t="s">
        <v>8</v>
      </c>
      <c r="Q2088" s="15" t="s">
        <v>8</v>
      </c>
      <c r="U2088" s="15" t="s">
        <v>8</v>
      </c>
      <c r="V2088" s="20" t="str">
        <f>HYPERLINK("http://yeinfo.com/family/I09066969.html", "ELIZABETH RADCLIFFE &lt;2&gt; 1370 EN-1432 EN ID:09066969")</f>
        <v>ELIZABETH RADCLIFFE &lt;2&gt; 1370 EN-1432 EN ID:09066969</v>
      </c>
      <c r="W2088" s="17"/>
      <c r="X2088" s="17"/>
      <c r="Y2088" s="17"/>
      <c r="Z2088" s="17"/>
    </row>
    <row r="2089" spans="3:31" x14ac:dyDescent="0.35">
      <c r="C2089" s="15" t="s">
        <v>8</v>
      </c>
      <c r="D2089" s="15" t="s">
        <v>8</v>
      </c>
      <c r="G2089" s="15" t="s">
        <v>8</v>
      </c>
      <c r="L2089" s="15" t="s">
        <v>8</v>
      </c>
      <c r="M2089" s="15" t="s">
        <v>8</v>
      </c>
      <c r="N2089" s="15" t="s">
        <v>8</v>
      </c>
      <c r="O2089" s="15" t="s">
        <v>8</v>
      </c>
      <c r="Q2089" s="15" t="s">
        <v>8</v>
      </c>
      <c r="U2089" s="15" t="s">
        <v>8</v>
      </c>
      <c r="W2089" s="8" t="s">
        <v>6</v>
      </c>
    </row>
    <row r="2090" spans="3:31" x14ac:dyDescent="0.35">
      <c r="C2090" s="15" t="s">
        <v>8</v>
      </c>
      <c r="D2090" s="15" t="s">
        <v>8</v>
      </c>
      <c r="G2090" s="15" t="s">
        <v>8</v>
      </c>
      <c r="L2090" s="15" t="s">
        <v>8</v>
      </c>
      <c r="M2090" s="15" t="s">
        <v>8</v>
      </c>
      <c r="N2090" s="15" t="s">
        <v>8</v>
      </c>
      <c r="O2090" s="15" t="s">
        <v>8</v>
      </c>
      <c r="Q2090" s="15" t="s">
        <v>8</v>
      </c>
      <c r="U2090" s="15" t="s">
        <v>8</v>
      </c>
      <c r="W2090" s="20" t="str">
        <f>HYPERLINK("http://yeinfo.com/family/I09066967.html", "Mrs. {_?_} RADCLIFFE &lt;2&gt; 1350 EN-1370 EN ID:09066967")</f>
        <v>Mrs. {_?_} RADCLIFFE &lt;2&gt; 1350 EN-1370 EN ID:09066967</v>
      </c>
      <c r="X2090" s="17"/>
      <c r="Y2090" s="17"/>
      <c r="Z2090" s="17"/>
      <c r="AA2090" s="17"/>
    </row>
    <row r="2091" spans="3:31" x14ac:dyDescent="0.35">
      <c r="C2091" s="15" t="s">
        <v>8</v>
      </c>
      <c r="D2091" s="15" t="s">
        <v>8</v>
      </c>
      <c r="G2091" s="15" t="s">
        <v>8</v>
      </c>
      <c r="L2091" s="15" t="s">
        <v>8</v>
      </c>
      <c r="M2091" s="15" t="s">
        <v>8</v>
      </c>
      <c r="N2091" s="15" t="s">
        <v>8</v>
      </c>
      <c r="O2091" s="15" t="s">
        <v>8</v>
      </c>
      <c r="Q2091" s="15" t="s">
        <v>8</v>
      </c>
      <c r="U2091" s="15" t="s">
        <v>8</v>
      </c>
    </row>
    <row r="2092" spans="3:31" x14ac:dyDescent="0.35">
      <c r="C2092" s="15" t="s">
        <v>8</v>
      </c>
      <c r="D2092" s="15" t="s">
        <v>8</v>
      </c>
      <c r="G2092" s="15" t="s">
        <v>8</v>
      </c>
      <c r="L2092" s="15" t="s">
        <v>8</v>
      </c>
      <c r="M2092" s="15" t="s">
        <v>8</v>
      </c>
      <c r="N2092" s="15" t="s">
        <v>8</v>
      </c>
      <c r="O2092" s="15" t="s">
        <v>8</v>
      </c>
      <c r="Q2092" s="15" t="s">
        <v>8</v>
      </c>
      <c r="T2092" s="19" t="str">
        <f>HYPERLINK("http://yeinfo.com/family/I09066986.html", "JOHN TRAFFORD &lt;2&gt; 1420 EN-1445 EN ID:09066986")</f>
        <v>JOHN TRAFFORD &lt;2&gt; 1420 EN-1445 EN ID:09066986</v>
      </c>
      <c r="U2092" s="9"/>
      <c r="V2092" s="9"/>
      <c r="W2092" s="9"/>
      <c r="X2092" s="9"/>
    </row>
    <row r="2093" spans="3:31" x14ac:dyDescent="0.35">
      <c r="C2093" s="15" t="s">
        <v>8</v>
      </c>
      <c r="D2093" s="15" t="s">
        <v>8</v>
      </c>
      <c r="G2093" s="15" t="s">
        <v>8</v>
      </c>
      <c r="L2093" s="15" t="s">
        <v>8</v>
      </c>
      <c r="M2093" s="15" t="s">
        <v>8</v>
      </c>
      <c r="N2093" s="15" t="s">
        <v>8</v>
      </c>
      <c r="O2093" s="15" t="s">
        <v>8</v>
      </c>
      <c r="Q2093" s="15" t="s">
        <v>8</v>
      </c>
      <c r="T2093" s="8" t="s">
        <v>3</v>
      </c>
      <c r="U2093" s="15" t="s">
        <v>8</v>
      </c>
    </row>
    <row r="2094" spans="3:31" x14ac:dyDescent="0.35">
      <c r="C2094" s="15" t="s">
        <v>8</v>
      </c>
      <c r="D2094" s="15" t="s">
        <v>8</v>
      </c>
      <c r="G2094" s="15" t="s">
        <v>8</v>
      </c>
      <c r="L2094" s="15" t="s">
        <v>8</v>
      </c>
      <c r="M2094" s="15" t="s">
        <v>8</v>
      </c>
      <c r="N2094" s="15" t="s">
        <v>8</v>
      </c>
      <c r="O2094" s="15" t="s">
        <v>8</v>
      </c>
      <c r="Q2094" s="15" t="s">
        <v>8</v>
      </c>
      <c r="T2094" s="15" t="s">
        <v>8</v>
      </c>
      <c r="U2094" s="15" t="s">
        <v>8</v>
      </c>
      <c r="AA2094" s="19" t="str">
        <f>HYPERLINK("http://yeinfo.com/family/I09066989.html", "ROGER VENABLES &lt;2&gt; 1211 EN-1260 EN ID:09066989")</f>
        <v>ROGER VENABLES &lt;2&gt; 1211 EN-1260 EN ID:09066989</v>
      </c>
      <c r="AB2094" s="9"/>
      <c r="AC2094" s="9"/>
      <c r="AD2094" s="9"/>
      <c r="AE2094" s="9"/>
    </row>
    <row r="2095" spans="3:31" x14ac:dyDescent="0.35">
      <c r="C2095" s="15" t="s">
        <v>8</v>
      </c>
      <c r="D2095" s="15" t="s">
        <v>8</v>
      </c>
      <c r="G2095" s="15" t="s">
        <v>8</v>
      </c>
      <c r="L2095" s="15" t="s">
        <v>8</v>
      </c>
      <c r="M2095" s="15" t="s">
        <v>8</v>
      </c>
      <c r="N2095" s="15" t="s">
        <v>8</v>
      </c>
      <c r="O2095" s="15" t="s">
        <v>8</v>
      </c>
      <c r="Q2095" s="15" t="s">
        <v>8</v>
      </c>
      <c r="T2095" s="15" t="s">
        <v>8</v>
      </c>
      <c r="U2095" s="15" t="s">
        <v>8</v>
      </c>
      <c r="AA2095" s="8" t="s">
        <v>3</v>
      </c>
    </row>
    <row r="2096" spans="3:31" x14ac:dyDescent="0.35">
      <c r="C2096" s="15" t="s">
        <v>8</v>
      </c>
      <c r="D2096" s="15" t="s">
        <v>8</v>
      </c>
      <c r="G2096" s="15" t="s">
        <v>8</v>
      </c>
      <c r="L2096" s="15" t="s">
        <v>8</v>
      </c>
      <c r="M2096" s="15" t="s">
        <v>8</v>
      </c>
      <c r="N2096" s="15" t="s">
        <v>8</v>
      </c>
      <c r="O2096" s="15" t="s">
        <v>8</v>
      </c>
      <c r="Q2096" s="15" t="s">
        <v>8</v>
      </c>
      <c r="T2096" s="15" t="s">
        <v>8</v>
      </c>
      <c r="U2096" s="15" t="s">
        <v>8</v>
      </c>
      <c r="Z2096" s="19" t="str">
        <f>HYPERLINK("http://yeinfo.com/family/I09066990.html", "WILLIAM VENABLES &lt;2&gt; 1233 EN-1292 EN ID:09066990")</f>
        <v>WILLIAM VENABLES &lt;2&gt; 1233 EN-1292 EN ID:09066990</v>
      </c>
      <c r="AA2096" s="9"/>
      <c r="AB2096" s="9"/>
      <c r="AC2096" s="9"/>
      <c r="AD2096" s="9"/>
    </row>
    <row r="2097" spans="3:31" x14ac:dyDescent="0.35">
      <c r="C2097" s="15" t="s">
        <v>8</v>
      </c>
      <c r="D2097" s="15" t="s">
        <v>8</v>
      </c>
      <c r="G2097" s="15" t="s">
        <v>8</v>
      </c>
      <c r="L2097" s="15" t="s">
        <v>8</v>
      </c>
      <c r="M2097" s="15" t="s">
        <v>8</v>
      </c>
      <c r="N2097" s="15" t="s">
        <v>8</v>
      </c>
      <c r="O2097" s="15" t="s">
        <v>8</v>
      </c>
      <c r="Q2097" s="15" t="s">
        <v>8</v>
      </c>
      <c r="T2097" s="15" t="s">
        <v>8</v>
      </c>
      <c r="U2097" s="15" t="s">
        <v>8</v>
      </c>
      <c r="Z2097" s="8" t="s">
        <v>3</v>
      </c>
      <c r="AA2097" s="8" t="s">
        <v>6</v>
      </c>
    </row>
    <row r="2098" spans="3:31" x14ac:dyDescent="0.35">
      <c r="C2098" s="15" t="s">
        <v>8</v>
      </c>
      <c r="D2098" s="15" t="s">
        <v>8</v>
      </c>
      <c r="G2098" s="15" t="s">
        <v>8</v>
      </c>
      <c r="L2098" s="15" t="s">
        <v>8</v>
      </c>
      <c r="M2098" s="15" t="s">
        <v>8</v>
      </c>
      <c r="N2098" s="15" t="s">
        <v>8</v>
      </c>
      <c r="O2098" s="15" t="s">
        <v>8</v>
      </c>
      <c r="Q2098" s="15" t="s">
        <v>8</v>
      </c>
      <c r="T2098" s="15" t="s">
        <v>8</v>
      </c>
      <c r="U2098" s="15" t="s">
        <v>8</v>
      </c>
      <c r="Z2098" s="15" t="s">
        <v>8</v>
      </c>
      <c r="AA2098" s="20" t="str">
        <f>HYPERLINK("http://yeinfo.com/family/I09066958.html", "ALICEA PENNINGTON &lt;2&gt; 1212 EN-1306 EN ID:09066958")</f>
        <v>ALICEA PENNINGTON &lt;2&gt; 1212 EN-1306 EN ID:09066958</v>
      </c>
      <c r="AB2098" s="17"/>
      <c r="AC2098" s="17"/>
      <c r="AD2098" s="17"/>
      <c r="AE2098" s="17"/>
    </row>
    <row r="2099" spans="3:31" x14ac:dyDescent="0.35">
      <c r="C2099" s="15" t="s">
        <v>8</v>
      </c>
      <c r="D2099" s="15" t="s">
        <v>8</v>
      </c>
      <c r="G2099" s="15" t="s">
        <v>8</v>
      </c>
      <c r="L2099" s="15" t="s">
        <v>8</v>
      </c>
      <c r="M2099" s="15" t="s">
        <v>8</v>
      </c>
      <c r="N2099" s="15" t="s">
        <v>8</v>
      </c>
      <c r="O2099" s="15" t="s">
        <v>8</v>
      </c>
      <c r="Q2099" s="15" t="s">
        <v>8</v>
      </c>
      <c r="T2099" s="15" t="s">
        <v>8</v>
      </c>
      <c r="U2099" s="15" t="s">
        <v>8</v>
      </c>
      <c r="Z2099" s="15" t="s">
        <v>8</v>
      </c>
    </row>
    <row r="2100" spans="3:31" x14ac:dyDescent="0.35">
      <c r="C2100" s="15" t="s">
        <v>8</v>
      </c>
      <c r="D2100" s="15" t="s">
        <v>8</v>
      </c>
      <c r="G2100" s="15" t="s">
        <v>8</v>
      </c>
      <c r="L2100" s="15" t="s">
        <v>8</v>
      </c>
      <c r="M2100" s="15" t="s">
        <v>8</v>
      </c>
      <c r="N2100" s="15" t="s">
        <v>8</v>
      </c>
      <c r="O2100" s="15" t="s">
        <v>8</v>
      </c>
      <c r="Q2100" s="15" t="s">
        <v>8</v>
      </c>
      <c r="T2100" s="15" t="s">
        <v>8</v>
      </c>
      <c r="U2100" s="15" t="s">
        <v>8</v>
      </c>
      <c r="Y2100" s="19" t="str">
        <f>HYPERLINK("http://yeinfo.com/family/I09066991.html", "HUGH VENABLES &lt;2&gt; 1256 EN-1311 EN ID:09066991")</f>
        <v>HUGH VENABLES &lt;2&gt; 1256 EN-1311 EN ID:09066991</v>
      </c>
      <c r="Z2100" s="9"/>
      <c r="AA2100" s="9"/>
      <c r="AB2100" s="9"/>
      <c r="AC2100" s="9"/>
    </row>
    <row r="2101" spans="3:31" x14ac:dyDescent="0.35">
      <c r="C2101" s="15" t="s">
        <v>8</v>
      </c>
      <c r="D2101" s="15" t="s">
        <v>8</v>
      </c>
      <c r="G2101" s="15" t="s">
        <v>8</v>
      </c>
      <c r="L2101" s="15" t="s">
        <v>8</v>
      </c>
      <c r="M2101" s="15" t="s">
        <v>8</v>
      </c>
      <c r="N2101" s="15" t="s">
        <v>8</v>
      </c>
      <c r="O2101" s="15" t="s">
        <v>8</v>
      </c>
      <c r="Q2101" s="15" t="s">
        <v>8</v>
      </c>
      <c r="T2101" s="15" t="s">
        <v>8</v>
      </c>
      <c r="U2101" s="15" t="s">
        <v>8</v>
      </c>
      <c r="Y2101" s="8" t="s">
        <v>3</v>
      </c>
      <c r="Z2101" s="15" t="s">
        <v>8</v>
      </c>
    </row>
    <row r="2102" spans="3:31" x14ac:dyDescent="0.35">
      <c r="C2102" s="15" t="s">
        <v>8</v>
      </c>
      <c r="D2102" s="15" t="s">
        <v>8</v>
      </c>
      <c r="G2102" s="15" t="s">
        <v>8</v>
      </c>
      <c r="L2102" s="15" t="s">
        <v>8</v>
      </c>
      <c r="M2102" s="15" t="s">
        <v>8</v>
      </c>
      <c r="N2102" s="15" t="s">
        <v>8</v>
      </c>
      <c r="O2102" s="15" t="s">
        <v>8</v>
      </c>
      <c r="Q2102" s="15" t="s">
        <v>8</v>
      </c>
      <c r="T2102" s="15" t="s">
        <v>8</v>
      </c>
      <c r="U2102" s="15" t="s">
        <v>8</v>
      </c>
      <c r="Y2102" s="15" t="s">
        <v>8</v>
      </c>
      <c r="Z2102" s="15" t="s">
        <v>8</v>
      </c>
      <c r="AA2102" s="19" t="str">
        <f>HYPERLINK("http://yeinfo.com/family/I09066902.html", "THOMAS DUTTON &lt;2&gt; 1214 EN-1272 EN ID:09066902")</f>
        <v>THOMAS DUTTON &lt;2&gt; 1214 EN-1272 EN ID:09066902</v>
      </c>
      <c r="AB2102" s="9"/>
      <c r="AC2102" s="9"/>
      <c r="AD2102" s="9"/>
      <c r="AE2102" s="9"/>
    </row>
    <row r="2103" spans="3:31" x14ac:dyDescent="0.35">
      <c r="C2103" s="15" t="s">
        <v>8</v>
      </c>
      <c r="D2103" s="15" t="s">
        <v>8</v>
      </c>
      <c r="G2103" s="15" t="s">
        <v>8</v>
      </c>
      <c r="L2103" s="15" t="s">
        <v>8</v>
      </c>
      <c r="M2103" s="15" t="s">
        <v>8</v>
      </c>
      <c r="N2103" s="15" t="s">
        <v>8</v>
      </c>
      <c r="O2103" s="15" t="s">
        <v>8</v>
      </c>
      <c r="Q2103" s="15" t="s">
        <v>8</v>
      </c>
      <c r="T2103" s="15" t="s">
        <v>8</v>
      </c>
      <c r="U2103" s="15" t="s">
        <v>8</v>
      </c>
      <c r="Y2103" s="15" t="s">
        <v>8</v>
      </c>
      <c r="Z2103" s="8" t="s">
        <v>6</v>
      </c>
      <c r="AA2103" s="8" t="s">
        <v>3</v>
      </c>
    </row>
    <row r="2104" spans="3:31" x14ac:dyDescent="0.35">
      <c r="C2104" s="15" t="s">
        <v>8</v>
      </c>
      <c r="D2104" s="15" t="s">
        <v>8</v>
      </c>
      <c r="G2104" s="15" t="s">
        <v>8</v>
      </c>
      <c r="L2104" s="15" t="s">
        <v>8</v>
      </c>
      <c r="M2104" s="15" t="s">
        <v>8</v>
      </c>
      <c r="N2104" s="15" t="s">
        <v>8</v>
      </c>
      <c r="O2104" s="15" t="s">
        <v>8</v>
      </c>
      <c r="Q2104" s="15" t="s">
        <v>8</v>
      </c>
      <c r="T2104" s="15" t="s">
        <v>8</v>
      </c>
      <c r="U2104" s="15" t="s">
        <v>8</v>
      </c>
      <c r="Y2104" s="15" t="s">
        <v>8</v>
      </c>
      <c r="Z2104" s="20" t="str">
        <f>HYPERLINK("http://yeinfo.com/family/I09066903.html", "MARGARET DUTTON &lt;2&gt; 1235 EN-1293 EN ID:09066903")</f>
        <v>MARGARET DUTTON &lt;2&gt; 1235 EN-1293 EN ID:09066903</v>
      </c>
      <c r="AA2104" s="17"/>
      <c r="AB2104" s="17"/>
      <c r="AC2104" s="17"/>
      <c r="AD2104" s="17"/>
    </row>
    <row r="2105" spans="3:31" x14ac:dyDescent="0.35">
      <c r="C2105" s="15" t="s">
        <v>8</v>
      </c>
      <c r="D2105" s="15" t="s">
        <v>8</v>
      </c>
      <c r="G2105" s="15" t="s">
        <v>8</v>
      </c>
      <c r="L2105" s="15" t="s">
        <v>8</v>
      </c>
      <c r="M2105" s="15" t="s">
        <v>8</v>
      </c>
      <c r="N2105" s="15" t="s">
        <v>8</v>
      </c>
      <c r="O2105" s="15" t="s">
        <v>8</v>
      </c>
      <c r="Q2105" s="15" t="s">
        <v>8</v>
      </c>
      <c r="T2105" s="15" t="s">
        <v>8</v>
      </c>
      <c r="U2105" s="15" t="s">
        <v>8</v>
      </c>
      <c r="Y2105" s="15" t="s">
        <v>8</v>
      </c>
      <c r="AA2105" s="8" t="s">
        <v>6</v>
      </c>
    </row>
    <row r="2106" spans="3:31" x14ac:dyDescent="0.35">
      <c r="C2106" s="15" t="s">
        <v>8</v>
      </c>
      <c r="D2106" s="15" t="s">
        <v>8</v>
      </c>
      <c r="G2106" s="15" t="s">
        <v>8</v>
      </c>
      <c r="L2106" s="15" t="s">
        <v>8</v>
      </c>
      <c r="M2106" s="15" t="s">
        <v>8</v>
      </c>
      <c r="N2106" s="15" t="s">
        <v>8</v>
      </c>
      <c r="O2106" s="15" t="s">
        <v>8</v>
      </c>
      <c r="Q2106" s="15" t="s">
        <v>8</v>
      </c>
      <c r="T2106" s="15" t="s">
        <v>8</v>
      </c>
      <c r="U2106" s="15" t="s">
        <v>8</v>
      </c>
      <c r="Y2106" s="15" t="s">
        <v>8</v>
      </c>
      <c r="AA2106" s="20" t="str">
        <f>HYPERLINK("http://yeinfo.com/family/I09066977.html", "PHILIPPA STANDON &lt;2&gt; 1220 EN-1294 EN ID:09066977")</f>
        <v>PHILIPPA STANDON &lt;2&gt; 1220 EN-1294 EN ID:09066977</v>
      </c>
      <c r="AB2106" s="17"/>
      <c r="AC2106" s="17"/>
      <c r="AD2106" s="17"/>
      <c r="AE2106" s="17"/>
    </row>
    <row r="2107" spans="3:31" x14ac:dyDescent="0.35">
      <c r="C2107" s="15" t="s">
        <v>8</v>
      </c>
      <c r="D2107" s="15" t="s">
        <v>8</v>
      </c>
      <c r="G2107" s="15" t="s">
        <v>8</v>
      </c>
      <c r="L2107" s="15" t="s">
        <v>8</v>
      </c>
      <c r="M2107" s="15" t="s">
        <v>8</v>
      </c>
      <c r="N2107" s="15" t="s">
        <v>8</v>
      </c>
      <c r="O2107" s="15" t="s">
        <v>8</v>
      </c>
      <c r="Q2107" s="15" t="s">
        <v>8</v>
      </c>
      <c r="T2107" s="15" t="s">
        <v>8</v>
      </c>
      <c r="U2107" s="15" t="s">
        <v>8</v>
      </c>
      <c r="Y2107" s="15" t="s">
        <v>8</v>
      </c>
    </row>
    <row r="2108" spans="3:31" x14ac:dyDescent="0.35">
      <c r="C2108" s="15" t="s">
        <v>8</v>
      </c>
      <c r="D2108" s="15" t="s">
        <v>8</v>
      </c>
      <c r="G2108" s="15" t="s">
        <v>8</v>
      </c>
      <c r="L2108" s="15" t="s">
        <v>8</v>
      </c>
      <c r="M2108" s="15" t="s">
        <v>8</v>
      </c>
      <c r="N2108" s="15" t="s">
        <v>8</v>
      </c>
      <c r="O2108" s="15" t="s">
        <v>8</v>
      </c>
      <c r="Q2108" s="15" t="s">
        <v>8</v>
      </c>
      <c r="T2108" s="15" t="s">
        <v>8</v>
      </c>
      <c r="U2108" s="15" t="s">
        <v>8</v>
      </c>
      <c r="X2108" s="19" t="str">
        <f>HYPERLINK("http://yeinfo.com/family/I09066992.html", "HUGH VENABLES &lt;2&gt; 1296 EN-1368 EN ID:09066992")</f>
        <v>HUGH VENABLES &lt;2&gt; 1296 EN-1368 EN ID:09066992</v>
      </c>
      <c r="Y2108" s="9"/>
      <c r="Z2108" s="9"/>
      <c r="AA2108" s="9"/>
      <c r="AB2108" s="9"/>
    </row>
    <row r="2109" spans="3:31" x14ac:dyDescent="0.35">
      <c r="C2109" s="15" t="s">
        <v>8</v>
      </c>
      <c r="D2109" s="15" t="s">
        <v>8</v>
      </c>
      <c r="G2109" s="15" t="s">
        <v>8</v>
      </c>
      <c r="L2109" s="15" t="s">
        <v>8</v>
      </c>
      <c r="M2109" s="15" t="s">
        <v>8</v>
      </c>
      <c r="N2109" s="15" t="s">
        <v>8</v>
      </c>
      <c r="O2109" s="15" t="s">
        <v>8</v>
      </c>
      <c r="Q2109" s="15" t="s">
        <v>8</v>
      </c>
      <c r="T2109" s="15" t="s">
        <v>8</v>
      </c>
      <c r="U2109" s="15" t="s">
        <v>8</v>
      </c>
      <c r="X2109" s="8" t="s">
        <v>3</v>
      </c>
      <c r="Y2109" s="15" t="s">
        <v>8</v>
      </c>
    </row>
    <row r="2110" spans="3:31" x14ac:dyDescent="0.35">
      <c r="C2110" s="15" t="s">
        <v>8</v>
      </c>
      <c r="D2110" s="15" t="s">
        <v>8</v>
      </c>
      <c r="G2110" s="15" t="s">
        <v>8</v>
      </c>
      <c r="L2110" s="15" t="s">
        <v>8</v>
      </c>
      <c r="M2110" s="15" t="s">
        <v>8</v>
      </c>
      <c r="N2110" s="15" t="s">
        <v>8</v>
      </c>
      <c r="O2110" s="15" t="s">
        <v>8</v>
      </c>
      <c r="Q2110" s="15" t="s">
        <v>8</v>
      </c>
      <c r="T2110" s="15" t="s">
        <v>8</v>
      </c>
      <c r="U2110" s="15" t="s">
        <v>8</v>
      </c>
      <c r="X2110" s="15" t="s">
        <v>8</v>
      </c>
      <c r="Y2110" s="15" t="s">
        <v>8</v>
      </c>
      <c r="AA2110" s="19" t="str">
        <f>HYPERLINK("http://yeinfo.com/family/I09066995.html", "RALPH VERNON &lt;2&gt; 1190 EN-1270 EN ID:09066995")</f>
        <v>RALPH VERNON &lt;2&gt; 1190 EN-1270 EN ID:09066995</v>
      </c>
      <c r="AB2110" s="9"/>
      <c r="AC2110" s="9"/>
      <c r="AD2110" s="9"/>
      <c r="AE2110" s="9"/>
    </row>
    <row r="2111" spans="3:31" x14ac:dyDescent="0.35">
      <c r="C2111" s="15" t="s">
        <v>8</v>
      </c>
      <c r="D2111" s="15" t="s">
        <v>8</v>
      </c>
      <c r="G2111" s="15" t="s">
        <v>8</v>
      </c>
      <c r="L2111" s="15" t="s">
        <v>8</v>
      </c>
      <c r="M2111" s="15" t="s">
        <v>8</v>
      </c>
      <c r="N2111" s="15" t="s">
        <v>8</v>
      </c>
      <c r="O2111" s="15" t="s">
        <v>8</v>
      </c>
      <c r="Q2111" s="15" t="s">
        <v>8</v>
      </c>
      <c r="T2111" s="15" t="s">
        <v>8</v>
      </c>
      <c r="U2111" s="15" t="s">
        <v>8</v>
      </c>
      <c r="X2111" s="15" t="s">
        <v>8</v>
      </c>
      <c r="Y2111" s="15" t="s">
        <v>8</v>
      </c>
      <c r="AA2111" s="8" t="s">
        <v>3</v>
      </c>
    </row>
    <row r="2112" spans="3:31" x14ac:dyDescent="0.35">
      <c r="C2112" s="15" t="s">
        <v>8</v>
      </c>
      <c r="D2112" s="15" t="s">
        <v>8</v>
      </c>
      <c r="G2112" s="15" t="s">
        <v>8</v>
      </c>
      <c r="L2112" s="15" t="s">
        <v>8</v>
      </c>
      <c r="M2112" s="15" t="s">
        <v>8</v>
      </c>
      <c r="N2112" s="15" t="s">
        <v>8</v>
      </c>
      <c r="O2112" s="15" t="s">
        <v>8</v>
      </c>
      <c r="Q2112" s="15" t="s">
        <v>8</v>
      </c>
      <c r="T2112" s="15" t="s">
        <v>8</v>
      </c>
      <c r="U2112" s="15" t="s">
        <v>8</v>
      </c>
      <c r="X2112" s="15" t="s">
        <v>8</v>
      </c>
      <c r="Y2112" s="15" t="s">
        <v>8</v>
      </c>
      <c r="Z2112" s="19" t="str">
        <f>HYPERLINK("http://yeinfo.com/family/I09066996.html", "RALPH VERNON &lt;2&gt; 1241 EN-1325 EN ID:09066996")</f>
        <v>RALPH VERNON &lt;2&gt; 1241 EN-1325 EN ID:09066996</v>
      </c>
      <c r="AA2112" s="9"/>
      <c r="AB2112" s="9"/>
      <c r="AC2112" s="9"/>
      <c r="AD2112" s="9"/>
    </row>
    <row r="2113" spans="3:31" x14ac:dyDescent="0.35">
      <c r="C2113" s="15" t="s">
        <v>8</v>
      </c>
      <c r="D2113" s="15" t="s">
        <v>8</v>
      </c>
      <c r="G2113" s="15" t="s">
        <v>8</v>
      </c>
      <c r="L2113" s="15" t="s">
        <v>8</v>
      </c>
      <c r="M2113" s="15" t="s">
        <v>8</v>
      </c>
      <c r="N2113" s="15" t="s">
        <v>8</v>
      </c>
      <c r="O2113" s="15" t="s">
        <v>8</v>
      </c>
      <c r="Q2113" s="15" t="s">
        <v>8</v>
      </c>
      <c r="T2113" s="15" t="s">
        <v>8</v>
      </c>
      <c r="U2113" s="15" t="s">
        <v>8</v>
      </c>
      <c r="X2113" s="15" t="s">
        <v>8</v>
      </c>
      <c r="Y2113" s="15" t="s">
        <v>8</v>
      </c>
      <c r="Z2113" s="8" t="s">
        <v>3</v>
      </c>
      <c r="AA2113" s="8" t="s">
        <v>6</v>
      </c>
    </row>
    <row r="2114" spans="3:31" x14ac:dyDescent="0.35">
      <c r="C2114" s="15" t="s">
        <v>8</v>
      </c>
      <c r="D2114" s="15" t="s">
        <v>8</v>
      </c>
      <c r="G2114" s="15" t="s">
        <v>8</v>
      </c>
      <c r="L2114" s="15" t="s">
        <v>8</v>
      </c>
      <c r="M2114" s="15" t="s">
        <v>8</v>
      </c>
      <c r="N2114" s="15" t="s">
        <v>8</v>
      </c>
      <c r="O2114" s="15" t="s">
        <v>8</v>
      </c>
      <c r="Q2114" s="15" t="s">
        <v>8</v>
      </c>
      <c r="T2114" s="15" t="s">
        <v>8</v>
      </c>
      <c r="U2114" s="15" t="s">
        <v>8</v>
      </c>
      <c r="X2114" s="15" t="s">
        <v>8</v>
      </c>
      <c r="Y2114" s="15" t="s">
        <v>8</v>
      </c>
      <c r="Z2114" s="15" t="s">
        <v>8</v>
      </c>
      <c r="AA2114" s="20" t="str">
        <f>HYPERLINK("http://yeinfo.com/family/I09066894.html", "CECILIA CREW &lt;2&gt; 1220 EN-1260 EN ID:09066894")</f>
        <v>CECILIA CREW &lt;2&gt; 1220 EN-1260 EN ID:09066894</v>
      </c>
      <c r="AB2114" s="17"/>
      <c r="AC2114" s="17"/>
      <c r="AD2114" s="17"/>
      <c r="AE2114" s="17"/>
    </row>
    <row r="2115" spans="3:31" x14ac:dyDescent="0.35">
      <c r="C2115" s="15" t="s">
        <v>8</v>
      </c>
      <c r="D2115" s="15" t="s">
        <v>8</v>
      </c>
      <c r="G2115" s="15" t="s">
        <v>8</v>
      </c>
      <c r="L2115" s="15" t="s">
        <v>8</v>
      </c>
      <c r="M2115" s="15" t="s">
        <v>8</v>
      </c>
      <c r="N2115" s="15" t="s">
        <v>8</v>
      </c>
      <c r="O2115" s="15" t="s">
        <v>8</v>
      </c>
      <c r="Q2115" s="15" t="s">
        <v>8</v>
      </c>
      <c r="T2115" s="15" t="s">
        <v>8</v>
      </c>
      <c r="U2115" s="15" t="s">
        <v>8</v>
      </c>
      <c r="X2115" s="15" t="s">
        <v>8</v>
      </c>
      <c r="Y2115" s="8" t="s">
        <v>6</v>
      </c>
      <c r="Z2115" s="15" t="s">
        <v>8</v>
      </c>
    </row>
    <row r="2116" spans="3:31" x14ac:dyDescent="0.35">
      <c r="C2116" s="15" t="s">
        <v>8</v>
      </c>
      <c r="D2116" s="15" t="s">
        <v>8</v>
      </c>
      <c r="G2116" s="15" t="s">
        <v>8</v>
      </c>
      <c r="L2116" s="15" t="s">
        <v>8</v>
      </c>
      <c r="M2116" s="15" t="s">
        <v>8</v>
      </c>
      <c r="N2116" s="15" t="s">
        <v>8</v>
      </c>
      <c r="O2116" s="15" t="s">
        <v>8</v>
      </c>
      <c r="Q2116" s="15" t="s">
        <v>8</v>
      </c>
      <c r="T2116" s="15" t="s">
        <v>8</v>
      </c>
      <c r="U2116" s="15" t="s">
        <v>8</v>
      </c>
      <c r="X2116" s="15" t="s">
        <v>8</v>
      </c>
      <c r="Y2116" s="20" t="str">
        <f>HYPERLINK("http://yeinfo.com/family/I09066997.html", "AGATHA VERNON &lt;2&gt; 1270 EN-1350 EN ID:09066997")</f>
        <v>AGATHA VERNON &lt;2&gt; 1270 EN-1350 EN ID:09066997</v>
      </c>
      <c r="Z2116" s="17"/>
      <c r="AA2116" s="17"/>
      <c r="AB2116" s="17"/>
      <c r="AC2116" s="17"/>
    </row>
    <row r="2117" spans="3:31" x14ac:dyDescent="0.35">
      <c r="C2117" s="15" t="s">
        <v>8</v>
      </c>
      <c r="D2117" s="15" t="s">
        <v>8</v>
      </c>
      <c r="G2117" s="15" t="s">
        <v>8</v>
      </c>
      <c r="L2117" s="15" t="s">
        <v>8</v>
      </c>
      <c r="M2117" s="15" t="s">
        <v>8</v>
      </c>
      <c r="N2117" s="15" t="s">
        <v>8</v>
      </c>
      <c r="O2117" s="15" t="s">
        <v>8</v>
      </c>
      <c r="Q2117" s="15" t="s">
        <v>8</v>
      </c>
      <c r="T2117" s="15" t="s">
        <v>8</v>
      </c>
      <c r="U2117" s="15" t="s">
        <v>8</v>
      </c>
      <c r="X2117" s="15" t="s">
        <v>8</v>
      </c>
      <c r="Z2117" s="15" t="s">
        <v>8</v>
      </c>
    </row>
    <row r="2118" spans="3:31" x14ac:dyDescent="0.35">
      <c r="C2118" s="15" t="s">
        <v>8</v>
      </c>
      <c r="D2118" s="15" t="s">
        <v>8</v>
      </c>
      <c r="G2118" s="15" t="s">
        <v>8</v>
      </c>
      <c r="L2118" s="15" t="s">
        <v>8</v>
      </c>
      <c r="M2118" s="15" t="s">
        <v>8</v>
      </c>
      <c r="N2118" s="15" t="s">
        <v>8</v>
      </c>
      <c r="O2118" s="15" t="s">
        <v>8</v>
      </c>
      <c r="Q2118" s="15" t="s">
        <v>8</v>
      </c>
      <c r="T2118" s="15" t="s">
        <v>8</v>
      </c>
      <c r="U2118" s="15" t="s">
        <v>8</v>
      </c>
      <c r="X2118" s="15" t="s">
        <v>8</v>
      </c>
      <c r="Z2118" s="15" t="s">
        <v>8</v>
      </c>
      <c r="AA2118" s="19" t="str">
        <f>HYPERLINK("http://yeinfo.com/family/I09066897.html", "RANDULPH DACRE &lt;2&gt; 1236 EN-1285 EN ID:09066897")</f>
        <v>RANDULPH DACRE &lt;2&gt; 1236 EN-1285 EN ID:09066897</v>
      </c>
      <c r="AB2118" s="9"/>
      <c r="AC2118" s="9"/>
      <c r="AD2118" s="9"/>
      <c r="AE2118" s="9"/>
    </row>
    <row r="2119" spans="3:31" x14ac:dyDescent="0.35">
      <c r="C2119" s="15" t="s">
        <v>8</v>
      </c>
      <c r="D2119" s="15" t="s">
        <v>8</v>
      </c>
      <c r="G2119" s="15" t="s">
        <v>8</v>
      </c>
      <c r="L2119" s="15" t="s">
        <v>8</v>
      </c>
      <c r="M2119" s="15" t="s">
        <v>8</v>
      </c>
      <c r="N2119" s="15" t="s">
        <v>8</v>
      </c>
      <c r="O2119" s="15" t="s">
        <v>8</v>
      </c>
      <c r="Q2119" s="15" t="s">
        <v>8</v>
      </c>
      <c r="T2119" s="15" t="s">
        <v>8</v>
      </c>
      <c r="U2119" s="15" t="s">
        <v>8</v>
      </c>
      <c r="X2119" s="15" t="s">
        <v>8</v>
      </c>
      <c r="Z2119" s="8" t="s">
        <v>6</v>
      </c>
      <c r="AA2119" s="8" t="s">
        <v>3</v>
      </c>
    </row>
    <row r="2120" spans="3:31" x14ac:dyDescent="0.35">
      <c r="C2120" s="15" t="s">
        <v>8</v>
      </c>
      <c r="D2120" s="15" t="s">
        <v>8</v>
      </c>
      <c r="G2120" s="15" t="s">
        <v>8</v>
      </c>
      <c r="L2120" s="15" t="s">
        <v>8</v>
      </c>
      <c r="M2120" s="15" t="s">
        <v>8</v>
      </c>
      <c r="N2120" s="15" t="s">
        <v>8</v>
      </c>
      <c r="O2120" s="15" t="s">
        <v>8</v>
      </c>
      <c r="Q2120" s="15" t="s">
        <v>8</v>
      </c>
      <c r="T2120" s="15" t="s">
        <v>8</v>
      </c>
      <c r="U2120" s="15" t="s">
        <v>8</v>
      </c>
      <c r="X2120" s="15" t="s">
        <v>8</v>
      </c>
      <c r="Z2120" s="20" t="str">
        <f>HYPERLINK("http://yeinfo.com/family/I09066898.html", "MARY DACRE &lt;2&gt; 1250 EN-1319 EN ID:09066898")</f>
        <v>MARY DACRE &lt;2&gt; 1250 EN-1319 EN ID:09066898</v>
      </c>
      <c r="AA2120" s="17"/>
      <c r="AB2120" s="17"/>
      <c r="AC2120" s="17"/>
      <c r="AD2120" s="17"/>
    </row>
    <row r="2121" spans="3:31" x14ac:dyDescent="0.35">
      <c r="C2121" s="15" t="s">
        <v>8</v>
      </c>
      <c r="D2121" s="15" t="s">
        <v>8</v>
      </c>
      <c r="G2121" s="15" t="s">
        <v>8</v>
      </c>
      <c r="L2121" s="15" t="s">
        <v>8</v>
      </c>
      <c r="M2121" s="15" t="s">
        <v>8</v>
      </c>
      <c r="N2121" s="15" t="s">
        <v>8</v>
      </c>
      <c r="O2121" s="15" t="s">
        <v>8</v>
      </c>
      <c r="Q2121" s="15" t="s">
        <v>8</v>
      </c>
      <c r="T2121" s="15" t="s">
        <v>8</v>
      </c>
      <c r="U2121" s="15" t="s">
        <v>8</v>
      </c>
      <c r="X2121" s="15" t="s">
        <v>8</v>
      </c>
      <c r="AA2121" s="8" t="s">
        <v>6</v>
      </c>
    </row>
    <row r="2122" spans="3:31" x14ac:dyDescent="0.35">
      <c r="C2122" s="15" t="s">
        <v>8</v>
      </c>
      <c r="D2122" s="15" t="s">
        <v>8</v>
      </c>
      <c r="G2122" s="15" t="s">
        <v>8</v>
      </c>
      <c r="L2122" s="15" t="s">
        <v>8</v>
      </c>
      <c r="M2122" s="15" t="s">
        <v>8</v>
      </c>
      <c r="N2122" s="15" t="s">
        <v>8</v>
      </c>
      <c r="O2122" s="15" t="s">
        <v>8</v>
      </c>
      <c r="Q2122" s="15" t="s">
        <v>8</v>
      </c>
      <c r="T2122" s="15" t="s">
        <v>8</v>
      </c>
      <c r="U2122" s="15" t="s">
        <v>8</v>
      </c>
      <c r="X2122" s="15" t="s">
        <v>8</v>
      </c>
      <c r="AA2122" s="20" t="str">
        <f>HYPERLINK("http://yeinfo.com/family/I09066945.html", "JOAN LUCY &lt;2&gt; 1236 EN-1288 EN ID:09066945")</f>
        <v>JOAN LUCY &lt;2&gt; 1236 EN-1288 EN ID:09066945</v>
      </c>
      <c r="AB2122" s="17"/>
      <c r="AC2122" s="17"/>
      <c r="AD2122" s="17"/>
      <c r="AE2122" s="17"/>
    </row>
    <row r="2123" spans="3:31" x14ac:dyDescent="0.35">
      <c r="C2123" s="15" t="s">
        <v>8</v>
      </c>
      <c r="D2123" s="15" t="s">
        <v>8</v>
      </c>
      <c r="G2123" s="15" t="s">
        <v>8</v>
      </c>
      <c r="L2123" s="15" t="s">
        <v>8</v>
      </c>
      <c r="M2123" s="15" t="s">
        <v>8</v>
      </c>
      <c r="N2123" s="15" t="s">
        <v>8</v>
      </c>
      <c r="O2123" s="15" t="s">
        <v>8</v>
      </c>
      <c r="Q2123" s="15" t="s">
        <v>8</v>
      </c>
      <c r="T2123" s="15" t="s">
        <v>8</v>
      </c>
      <c r="U2123" s="15" t="s">
        <v>8</v>
      </c>
      <c r="X2123" s="15" t="s">
        <v>8</v>
      </c>
    </row>
    <row r="2124" spans="3:31" x14ac:dyDescent="0.35">
      <c r="C2124" s="15" t="s">
        <v>8</v>
      </c>
      <c r="D2124" s="15" t="s">
        <v>8</v>
      </c>
      <c r="G2124" s="15" t="s">
        <v>8</v>
      </c>
      <c r="L2124" s="15" t="s">
        <v>8</v>
      </c>
      <c r="M2124" s="15" t="s">
        <v>8</v>
      </c>
      <c r="N2124" s="15" t="s">
        <v>8</v>
      </c>
      <c r="O2124" s="15" t="s">
        <v>8</v>
      </c>
      <c r="Q2124" s="15" t="s">
        <v>8</v>
      </c>
      <c r="T2124" s="15" t="s">
        <v>8</v>
      </c>
      <c r="U2124" s="15" t="s">
        <v>8</v>
      </c>
      <c r="W2124" s="19" t="str">
        <f>HYPERLINK("http://yeinfo.com/family/I09066993.html", "HUGH VENABLES &lt;2&gt; 1330 EN-1382 EN ID:09066993")</f>
        <v>HUGH VENABLES &lt;2&gt; 1330 EN-1382 EN ID:09066993</v>
      </c>
      <c r="X2124" s="9"/>
      <c r="Y2124" s="9"/>
      <c r="Z2124" s="9"/>
      <c r="AA2124" s="9"/>
    </row>
    <row r="2125" spans="3:31" x14ac:dyDescent="0.35">
      <c r="C2125" s="15" t="s">
        <v>8</v>
      </c>
      <c r="D2125" s="15" t="s">
        <v>8</v>
      </c>
      <c r="G2125" s="15" t="s">
        <v>8</v>
      </c>
      <c r="L2125" s="15" t="s">
        <v>8</v>
      </c>
      <c r="M2125" s="15" t="s">
        <v>8</v>
      </c>
      <c r="N2125" s="15" t="s">
        <v>8</v>
      </c>
      <c r="O2125" s="15" t="s">
        <v>8</v>
      </c>
      <c r="Q2125" s="15" t="s">
        <v>8</v>
      </c>
      <c r="T2125" s="15" t="s">
        <v>8</v>
      </c>
      <c r="U2125" s="15" t="s">
        <v>8</v>
      </c>
      <c r="W2125" s="8" t="s">
        <v>3</v>
      </c>
      <c r="X2125" s="15" t="s">
        <v>8</v>
      </c>
    </row>
    <row r="2126" spans="3:31" x14ac:dyDescent="0.35">
      <c r="C2126" s="15" t="s">
        <v>8</v>
      </c>
      <c r="D2126" s="15" t="s">
        <v>8</v>
      </c>
      <c r="G2126" s="15" t="s">
        <v>8</v>
      </c>
      <c r="L2126" s="15" t="s">
        <v>8</v>
      </c>
      <c r="M2126" s="15" t="s">
        <v>8</v>
      </c>
      <c r="N2126" s="15" t="s">
        <v>8</v>
      </c>
      <c r="O2126" s="15" t="s">
        <v>8</v>
      </c>
      <c r="Q2126" s="15" t="s">
        <v>8</v>
      </c>
      <c r="T2126" s="15" t="s">
        <v>8</v>
      </c>
      <c r="U2126" s="15" t="s">
        <v>8</v>
      </c>
      <c r="W2126" s="15" t="s">
        <v>8</v>
      </c>
      <c r="X2126" s="15" t="s">
        <v>8</v>
      </c>
      <c r="AA2126" s="19" t="str">
        <f>HYPERLINK("http://yeinfo.com/family/I09066925.html", "ADAM HOUGHTON I &lt;2&gt; 1192 EN-1283 EN ID:09066925")</f>
        <v>ADAM HOUGHTON I &lt;2&gt; 1192 EN-1283 EN ID:09066925</v>
      </c>
      <c r="AB2126" s="9"/>
      <c r="AC2126" s="9"/>
      <c r="AD2126" s="9"/>
      <c r="AE2126" s="9"/>
    </row>
    <row r="2127" spans="3:31" x14ac:dyDescent="0.35">
      <c r="C2127" s="15" t="s">
        <v>8</v>
      </c>
      <c r="D2127" s="15" t="s">
        <v>8</v>
      </c>
      <c r="G2127" s="15" t="s">
        <v>8</v>
      </c>
      <c r="L2127" s="15" t="s">
        <v>8</v>
      </c>
      <c r="M2127" s="15" t="s">
        <v>8</v>
      </c>
      <c r="N2127" s="15" t="s">
        <v>8</v>
      </c>
      <c r="O2127" s="15" t="s">
        <v>8</v>
      </c>
      <c r="Q2127" s="15" t="s">
        <v>8</v>
      </c>
      <c r="T2127" s="15" t="s">
        <v>8</v>
      </c>
      <c r="U2127" s="15" t="s">
        <v>8</v>
      </c>
      <c r="W2127" s="15" t="s">
        <v>8</v>
      </c>
      <c r="X2127" s="15" t="s">
        <v>8</v>
      </c>
      <c r="AA2127" s="8" t="s">
        <v>3</v>
      </c>
    </row>
    <row r="2128" spans="3:31" x14ac:dyDescent="0.35">
      <c r="C2128" s="15" t="s">
        <v>8</v>
      </c>
      <c r="D2128" s="15" t="s">
        <v>8</v>
      </c>
      <c r="G2128" s="15" t="s">
        <v>8</v>
      </c>
      <c r="L2128" s="15" t="s">
        <v>8</v>
      </c>
      <c r="M2128" s="15" t="s">
        <v>8</v>
      </c>
      <c r="N2128" s="15" t="s">
        <v>8</v>
      </c>
      <c r="O2128" s="15" t="s">
        <v>8</v>
      </c>
      <c r="Q2128" s="15" t="s">
        <v>8</v>
      </c>
      <c r="T2128" s="15" t="s">
        <v>8</v>
      </c>
      <c r="U2128" s="15" t="s">
        <v>8</v>
      </c>
      <c r="W2128" s="15" t="s">
        <v>8</v>
      </c>
      <c r="X2128" s="15" t="s">
        <v>8</v>
      </c>
      <c r="Z2128" s="19" t="str">
        <f>HYPERLINK("http://yeinfo.com/family/I09066926.html", "ADAM HOUGHTON IV &lt;2&gt; 1225 EN-1280 EN ID:09066926")</f>
        <v>ADAM HOUGHTON IV &lt;2&gt; 1225 EN-1280 EN ID:09066926</v>
      </c>
      <c r="AA2128" s="9"/>
      <c r="AB2128" s="9"/>
      <c r="AC2128" s="9"/>
      <c r="AD2128" s="9"/>
    </row>
    <row r="2129" spans="3:31" x14ac:dyDescent="0.35">
      <c r="C2129" s="15" t="s">
        <v>8</v>
      </c>
      <c r="D2129" s="15" t="s">
        <v>8</v>
      </c>
      <c r="G2129" s="15" t="s">
        <v>8</v>
      </c>
      <c r="L2129" s="15" t="s">
        <v>8</v>
      </c>
      <c r="M2129" s="15" t="s">
        <v>8</v>
      </c>
      <c r="N2129" s="15" t="s">
        <v>8</v>
      </c>
      <c r="O2129" s="15" t="s">
        <v>8</v>
      </c>
      <c r="Q2129" s="15" t="s">
        <v>8</v>
      </c>
      <c r="T2129" s="15" t="s">
        <v>8</v>
      </c>
      <c r="U2129" s="15" t="s">
        <v>8</v>
      </c>
      <c r="W2129" s="15" t="s">
        <v>8</v>
      </c>
      <c r="X2129" s="15" t="s">
        <v>8</v>
      </c>
      <c r="Z2129" s="8" t="s">
        <v>3</v>
      </c>
      <c r="AA2129" s="8" t="s">
        <v>6</v>
      </c>
    </row>
    <row r="2130" spans="3:31" x14ac:dyDescent="0.35">
      <c r="C2130" s="15" t="s">
        <v>8</v>
      </c>
      <c r="D2130" s="15" t="s">
        <v>8</v>
      </c>
      <c r="G2130" s="15" t="s">
        <v>8</v>
      </c>
      <c r="L2130" s="15" t="s">
        <v>8</v>
      </c>
      <c r="M2130" s="15" t="s">
        <v>8</v>
      </c>
      <c r="N2130" s="15" t="s">
        <v>8</v>
      </c>
      <c r="O2130" s="15" t="s">
        <v>8</v>
      </c>
      <c r="Q2130" s="15" t="s">
        <v>8</v>
      </c>
      <c r="T2130" s="15" t="s">
        <v>8</v>
      </c>
      <c r="U2130" s="15" t="s">
        <v>8</v>
      </c>
      <c r="W2130" s="15" t="s">
        <v>8</v>
      </c>
      <c r="X2130" s="15" t="s">
        <v>8</v>
      </c>
      <c r="Z2130" s="15" t="s">
        <v>8</v>
      </c>
      <c r="AA2130" s="20" t="str">
        <f>HYPERLINK("http://yeinfo.com/family/I09066921.html", "AGNES HOCTON &lt;2&gt; 1196 EN-1283 EN ID:09066921")</f>
        <v>AGNES HOCTON &lt;2&gt; 1196 EN-1283 EN ID:09066921</v>
      </c>
      <c r="AB2130" s="17"/>
      <c r="AC2130" s="17"/>
      <c r="AD2130" s="17"/>
      <c r="AE2130" s="17"/>
    </row>
    <row r="2131" spans="3:31" x14ac:dyDescent="0.35">
      <c r="C2131" s="15" t="s">
        <v>8</v>
      </c>
      <c r="D2131" s="15" t="s">
        <v>8</v>
      </c>
      <c r="G2131" s="15" t="s">
        <v>8</v>
      </c>
      <c r="L2131" s="15" t="s">
        <v>8</v>
      </c>
      <c r="M2131" s="15" t="s">
        <v>8</v>
      </c>
      <c r="N2131" s="15" t="s">
        <v>8</v>
      </c>
      <c r="O2131" s="15" t="s">
        <v>8</v>
      </c>
      <c r="Q2131" s="15" t="s">
        <v>8</v>
      </c>
      <c r="T2131" s="15" t="s">
        <v>8</v>
      </c>
      <c r="U2131" s="15" t="s">
        <v>8</v>
      </c>
      <c r="W2131" s="15" t="s">
        <v>8</v>
      </c>
      <c r="X2131" s="15" t="s">
        <v>8</v>
      </c>
      <c r="Z2131" s="15" t="s">
        <v>8</v>
      </c>
    </row>
    <row r="2132" spans="3:31" x14ac:dyDescent="0.35">
      <c r="C2132" s="15" t="s">
        <v>8</v>
      </c>
      <c r="D2132" s="15" t="s">
        <v>8</v>
      </c>
      <c r="G2132" s="15" t="s">
        <v>8</v>
      </c>
      <c r="L2132" s="15" t="s">
        <v>8</v>
      </c>
      <c r="M2132" s="15" t="s">
        <v>8</v>
      </c>
      <c r="N2132" s="15" t="s">
        <v>8</v>
      </c>
      <c r="O2132" s="15" t="s">
        <v>8</v>
      </c>
      <c r="Q2132" s="15" t="s">
        <v>8</v>
      </c>
      <c r="T2132" s="15" t="s">
        <v>8</v>
      </c>
      <c r="U2132" s="15" t="s">
        <v>8</v>
      </c>
      <c r="W2132" s="15" t="s">
        <v>8</v>
      </c>
      <c r="X2132" s="15" t="s">
        <v>8</v>
      </c>
      <c r="Y2132" s="19" t="str">
        <f>HYPERLINK("http://yeinfo.com/family/I09066927.html", "RICHARD HOUGHTON &lt;2&gt; 1268 EN-1341 EN ID:09066927")</f>
        <v>RICHARD HOUGHTON &lt;2&gt; 1268 EN-1341 EN ID:09066927</v>
      </c>
      <c r="Z2132" s="9"/>
      <c r="AA2132" s="9"/>
      <c r="AB2132" s="9"/>
      <c r="AC2132" s="9"/>
    </row>
    <row r="2133" spans="3:31" x14ac:dyDescent="0.35">
      <c r="C2133" s="15" t="s">
        <v>8</v>
      </c>
      <c r="D2133" s="15" t="s">
        <v>8</v>
      </c>
      <c r="G2133" s="15" t="s">
        <v>8</v>
      </c>
      <c r="L2133" s="15" t="s">
        <v>8</v>
      </c>
      <c r="M2133" s="15" t="s">
        <v>8</v>
      </c>
      <c r="N2133" s="15" t="s">
        <v>8</v>
      </c>
      <c r="O2133" s="15" t="s">
        <v>8</v>
      </c>
      <c r="Q2133" s="15" t="s">
        <v>8</v>
      </c>
      <c r="T2133" s="15" t="s">
        <v>8</v>
      </c>
      <c r="U2133" s="15" t="s">
        <v>8</v>
      </c>
      <c r="W2133" s="15" t="s">
        <v>8</v>
      </c>
      <c r="X2133" s="15" t="s">
        <v>8</v>
      </c>
      <c r="Y2133" s="8" t="s">
        <v>3</v>
      </c>
      <c r="Z2133" s="8" t="s">
        <v>6</v>
      </c>
    </row>
    <row r="2134" spans="3:31" x14ac:dyDescent="0.35">
      <c r="C2134" s="15" t="s">
        <v>8</v>
      </c>
      <c r="D2134" s="15" t="s">
        <v>8</v>
      </c>
      <c r="G2134" s="15" t="s">
        <v>8</v>
      </c>
      <c r="L2134" s="15" t="s">
        <v>8</v>
      </c>
      <c r="M2134" s="15" t="s">
        <v>8</v>
      </c>
      <c r="N2134" s="15" t="s">
        <v>8</v>
      </c>
      <c r="O2134" s="15" t="s">
        <v>8</v>
      </c>
      <c r="Q2134" s="15" t="s">
        <v>8</v>
      </c>
      <c r="T2134" s="15" t="s">
        <v>8</v>
      </c>
      <c r="U2134" s="15" t="s">
        <v>8</v>
      </c>
      <c r="W2134" s="15" t="s">
        <v>8</v>
      </c>
      <c r="X2134" s="15" t="s">
        <v>8</v>
      </c>
      <c r="Y2134" s="15" t="s">
        <v>8</v>
      </c>
      <c r="Z2134" s="20" t="str">
        <f>HYPERLINK("http://yeinfo.com/family/I09066929.html", "AVICIA HOWICK &lt;2&gt; 1233 EN-1293 EN ID:09066929")</f>
        <v>AVICIA HOWICK &lt;2&gt; 1233 EN-1293 EN ID:09066929</v>
      </c>
      <c r="AA2134" s="17"/>
      <c r="AB2134" s="17"/>
      <c r="AC2134" s="17"/>
      <c r="AD2134" s="17"/>
    </row>
    <row r="2135" spans="3:31" x14ac:dyDescent="0.35">
      <c r="C2135" s="15" t="s">
        <v>8</v>
      </c>
      <c r="D2135" s="15" t="s">
        <v>8</v>
      </c>
      <c r="G2135" s="15" t="s">
        <v>8</v>
      </c>
      <c r="L2135" s="15" t="s">
        <v>8</v>
      </c>
      <c r="M2135" s="15" t="s">
        <v>8</v>
      </c>
      <c r="N2135" s="15" t="s">
        <v>8</v>
      </c>
      <c r="O2135" s="15" t="s">
        <v>8</v>
      </c>
      <c r="Q2135" s="15" t="s">
        <v>8</v>
      </c>
      <c r="T2135" s="15" t="s">
        <v>8</v>
      </c>
      <c r="U2135" s="15" t="s">
        <v>8</v>
      </c>
      <c r="W2135" s="15" t="s">
        <v>8</v>
      </c>
      <c r="X2135" s="8" t="s">
        <v>6</v>
      </c>
      <c r="Y2135" s="15" t="s">
        <v>8</v>
      </c>
    </row>
    <row r="2136" spans="3:31" x14ac:dyDescent="0.35">
      <c r="C2136" s="15" t="s">
        <v>8</v>
      </c>
      <c r="D2136" s="15" t="s">
        <v>8</v>
      </c>
      <c r="G2136" s="15" t="s">
        <v>8</v>
      </c>
      <c r="L2136" s="15" t="s">
        <v>8</v>
      </c>
      <c r="M2136" s="15" t="s">
        <v>8</v>
      </c>
      <c r="N2136" s="15" t="s">
        <v>8</v>
      </c>
      <c r="O2136" s="15" t="s">
        <v>8</v>
      </c>
      <c r="Q2136" s="15" t="s">
        <v>8</v>
      </c>
      <c r="T2136" s="15" t="s">
        <v>8</v>
      </c>
      <c r="U2136" s="15" t="s">
        <v>8</v>
      </c>
      <c r="W2136" s="15" t="s">
        <v>8</v>
      </c>
      <c r="X2136" s="20" t="str">
        <f>HYPERLINK("http://yeinfo.com/family/I09066928.html", "KATHERINE HOUGHTON &lt;2&gt; 1308 EN-1368 EN ID:09066928")</f>
        <v>KATHERINE HOUGHTON &lt;2&gt; 1308 EN-1368 EN ID:09066928</v>
      </c>
      <c r="Y2136" s="17"/>
      <c r="Z2136" s="17"/>
      <c r="AA2136" s="17"/>
      <c r="AB2136" s="17"/>
    </row>
    <row r="2137" spans="3:31" x14ac:dyDescent="0.35">
      <c r="C2137" s="15" t="s">
        <v>8</v>
      </c>
      <c r="D2137" s="15" t="s">
        <v>8</v>
      </c>
      <c r="G2137" s="15" t="s">
        <v>8</v>
      </c>
      <c r="L2137" s="15" t="s">
        <v>8</v>
      </c>
      <c r="M2137" s="15" t="s">
        <v>8</v>
      </c>
      <c r="N2137" s="15" t="s">
        <v>8</v>
      </c>
      <c r="O2137" s="15" t="s">
        <v>8</v>
      </c>
      <c r="Q2137" s="15" t="s">
        <v>8</v>
      </c>
      <c r="T2137" s="15" t="s">
        <v>8</v>
      </c>
      <c r="U2137" s="15" t="s">
        <v>8</v>
      </c>
      <c r="W2137" s="15" t="s">
        <v>8</v>
      </c>
      <c r="Y2137" s="15" t="s">
        <v>8</v>
      </c>
    </row>
    <row r="2138" spans="3:31" x14ac:dyDescent="0.35">
      <c r="C2138" s="15" t="s">
        <v>8</v>
      </c>
      <c r="D2138" s="15" t="s">
        <v>8</v>
      </c>
      <c r="G2138" s="15" t="s">
        <v>8</v>
      </c>
      <c r="L2138" s="15" t="s">
        <v>8</v>
      </c>
      <c r="M2138" s="15" t="s">
        <v>8</v>
      </c>
      <c r="N2138" s="15" t="s">
        <v>8</v>
      </c>
      <c r="O2138" s="15" t="s">
        <v>8</v>
      </c>
      <c r="Q2138" s="15" t="s">
        <v>8</v>
      </c>
      <c r="T2138" s="15" t="s">
        <v>8</v>
      </c>
      <c r="U2138" s="15" t="s">
        <v>8</v>
      </c>
      <c r="W2138" s="15" t="s">
        <v>8</v>
      </c>
      <c r="Y2138" s="15" t="s">
        <v>8</v>
      </c>
      <c r="Z2138" s="19" t="str">
        <f>HYPERLINK("http://yeinfo.com/family/I09066938.html", "WILLIAM LEA &lt;2&gt; 1237 EN-1302 EN ID:09066938")</f>
        <v>WILLIAM LEA &lt;2&gt; 1237 EN-1302 EN ID:09066938</v>
      </c>
      <c r="AA2138" s="9"/>
      <c r="AB2138" s="9"/>
      <c r="AC2138" s="9"/>
      <c r="AD2138" s="9"/>
    </row>
    <row r="2139" spans="3:31" x14ac:dyDescent="0.35">
      <c r="C2139" s="15" t="s">
        <v>8</v>
      </c>
      <c r="D2139" s="15" t="s">
        <v>8</v>
      </c>
      <c r="G2139" s="15" t="s">
        <v>8</v>
      </c>
      <c r="L2139" s="15" t="s">
        <v>8</v>
      </c>
      <c r="M2139" s="15" t="s">
        <v>8</v>
      </c>
      <c r="N2139" s="15" t="s">
        <v>8</v>
      </c>
      <c r="O2139" s="15" t="s">
        <v>8</v>
      </c>
      <c r="Q2139" s="15" t="s">
        <v>8</v>
      </c>
      <c r="T2139" s="15" t="s">
        <v>8</v>
      </c>
      <c r="U2139" s="15" t="s">
        <v>8</v>
      </c>
      <c r="W2139" s="15" t="s">
        <v>8</v>
      </c>
      <c r="Y2139" s="8" t="s">
        <v>6</v>
      </c>
      <c r="Z2139" s="8" t="s">
        <v>3</v>
      </c>
    </row>
    <row r="2140" spans="3:31" x14ac:dyDescent="0.35">
      <c r="C2140" s="15" t="s">
        <v>8</v>
      </c>
      <c r="D2140" s="15" t="s">
        <v>8</v>
      </c>
      <c r="G2140" s="15" t="s">
        <v>8</v>
      </c>
      <c r="L2140" s="15" t="s">
        <v>8</v>
      </c>
      <c r="M2140" s="15" t="s">
        <v>8</v>
      </c>
      <c r="N2140" s="15" t="s">
        <v>8</v>
      </c>
      <c r="O2140" s="15" t="s">
        <v>8</v>
      </c>
      <c r="Q2140" s="15" t="s">
        <v>8</v>
      </c>
      <c r="T2140" s="15" t="s">
        <v>8</v>
      </c>
      <c r="U2140" s="15" t="s">
        <v>8</v>
      </c>
      <c r="W2140" s="15" t="s">
        <v>8</v>
      </c>
      <c r="Y2140" s="20" t="str">
        <f>HYPERLINK("http://yeinfo.com/family/I09066939.html", "SYBIL LEA &lt;2&gt; 1283 EN-1330 EN ID:09066939")</f>
        <v>SYBIL LEA &lt;2&gt; 1283 EN-1330 EN ID:09066939</v>
      </c>
      <c r="Z2140" s="17"/>
      <c r="AA2140" s="17"/>
      <c r="AB2140" s="17"/>
      <c r="AC2140" s="17"/>
    </row>
    <row r="2141" spans="3:31" x14ac:dyDescent="0.35">
      <c r="C2141" s="15" t="s">
        <v>8</v>
      </c>
      <c r="D2141" s="15" t="s">
        <v>8</v>
      </c>
      <c r="G2141" s="15" t="s">
        <v>8</v>
      </c>
      <c r="L2141" s="15" t="s">
        <v>8</v>
      </c>
      <c r="M2141" s="15" t="s">
        <v>8</v>
      </c>
      <c r="N2141" s="15" t="s">
        <v>8</v>
      </c>
      <c r="O2141" s="15" t="s">
        <v>8</v>
      </c>
      <c r="Q2141" s="15" t="s">
        <v>8</v>
      </c>
      <c r="T2141" s="15" t="s">
        <v>8</v>
      </c>
      <c r="U2141" s="15" t="s">
        <v>8</v>
      </c>
      <c r="W2141" s="15" t="s">
        <v>8</v>
      </c>
      <c r="Z2141" s="8" t="s">
        <v>6</v>
      </c>
    </row>
    <row r="2142" spans="3:31" x14ac:dyDescent="0.35">
      <c r="C2142" s="15" t="s">
        <v>8</v>
      </c>
      <c r="D2142" s="15" t="s">
        <v>8</v>
      </c>
      <c r="G2142" s="15" t="s">
        <v>8</v>
      </c>
      <c r="L2142" s="15" t="s">
        <v>8</v>
      </c>
      <c r="M2142" s="15" t="s">
        <v>8</v>
      </c>
      <c r="N2142" s="15" t="s">
        <v>8</v>
      </c>
      <c r="O2142" s="15" t="s">
        <v>8</v>
      </c>
      <c r="Q2142" s="15" t="s">
        <v>8</v>
      </c>
      <c r="T2142" s="15" t="s">
        <v>8</v>
      </c>
      <c r="U2142" s="15" t="s">
        <v>8</v>
      </c>
      <c r="W2142" s="15" t="s">
        <v>8</v>
      </c>
      <c r="Z2142" s="20" t="str">
        <f>HYPERLINK("http://yeinfo.com/family/I09066867.html", "CLEMENCE BANASTRE &lt;2&gt; 1240 EN-1298 EN ID:09066867")</f>
        <v>CLEMENCE BANASTRE &lt;2&gt; 1240 EN-1298 EN ID:09066867</v>
      </c>
      <c r="AA2142" s="17"/>
      <c r="AB2142" s="17"/>
      <c r="AC2142" s="17"/>
      <c r="AD2142" s="17"/>
    </row>
    <row r="2143" spans="3:31" x14ac:dyDescent="0.35">
      <c r="C2143" s="15" t="s">
        <v>8</v>
      </c>
      <c r="D2143" s="15" t="s">
        <v>8</v>
      </c>
      <c r="G2143" s="15" t="s">
        <v>8</v>
      </c>
      <c r="L2143" s="15" t="s">
        <v>8</v>
      </c>
      <c r="M2143" s="15" t="s">
        <v>8</v>
      </c>
      <c r="N2143" s="15" t="s">
        <v>8</v>
      </c>
      <c r="O2143" s="15" t="s">
        <v>8</v>
      </c>
      <c r="Q2143" s="15" t="s">
        <v>8</v>
      </c>
      <c r="T2143" s="15" t="s">
        <v>8</v>
      </c>
      <c r="U2143" s="15" t="s">
        <v>8</v>
      </c>
      <c r="W2143" s="15" t="s">
        <v>8</v>
      </c>
    </row>
    <row r="2144" spans="3:31" x14ac:dyDescent="0.35">
      <c r="C2144" s="15" t="s">
        <v>8</v>
      </c>
      <c r="D2144" s="15" t="s">
        <v>8</v>
      </c>
      <c r="G2144" s="15" t="s">
        <v>8</v>
      </c>
      <c r="L2144" s="15" t="s">
        <v>8</v>
      </c>
      <c r="M2144" s="15" t="s">
        <v>8</v>
      </c>
      <c r="N2144" s="15" t="s">
        <v>8</v>
      </c>
      <c r="O2144" s="15" t="s">
        <v>8</v>
      </c>
      <c r="Q2144" s="15" t="s">
        <v>8</v>
      </c>
      <c r="T2144" s="15" t="s">
        <v>8</v>
      </c>
      <c r="U2144" s="15" t="s">
        <v>8</v>
      </c>
      <c r="V2144" s="19" t="str">
        <f>HYPERLINK("http://yeinfo.com/family/I09066994.html", "WILLIAM RICHARD VENABLES &lt;2&gt; 1376 EN-1459 EN ID:09066994")</f>
        <v>WILLIAM RICHARD VENABLES &lt;2&gt; 1376 EN-1459 EN ID:09066994</v>
      </c>
      <c r="W2144" s="9"/>
      <c r="X2144" s="9"/>
      <c r="Y2144" s="9"/>
      <c r="Z2144" s="9"/>
    </row>
    <row r="2145" spans="3:31" x14ac:dyDescent="0.35">
      <c r="C2145" s="15" t="s">
        <v>8</v>
      </c>
      <c r="D2145" s="15" t="s">
        <v>8</v>
      </c>
      <c r="G2145" s="15" t="s">
        <v>8</v>
      </c>
      <c r="L2145" s="15" t="s">
        <v>8</v>
      </c>
      <c r="M2145" s="15" t="s">
        <v>8</v>
      </c>
      <c r="N2145" s="15" t="s">
        <v>8</v>
      </c>
      <c r="O2145" s="15" t="s">
        <v>8</v>
      </c>
      <c r="Q2145" s="15" t="s">
        <v>8</v>
      </c>
      <c r="T2145" s="15" t="s">
        <v>8</v>
      </c>
      <c r="U2145" s="15" t="s">
        <v>8</v>
      </c>
      <c r="V2145" s="8" t="s">
        <v>3</v>
      </c>
      <c r="W2145" s="15" t="s">
        <v>8</v>
      </c>
    </row>
    <row r="2146" spans="3:31" x14ac:dyDescent="0.35">
      <c r="C2146" s="15" t="s">
        <v>8</v>
      </c>
      <c r="D2146" s="15" t="s">
        <v>8</v>
      </c>
      <c r="G2146" s="15" t="s">
        <v>8</v>
      </c>
      <c r="L2146" s="15" t="s">
        <v>8</v>
      </c>
      <c r="M2146" s="15" t="s">
        <v>8</v>
      </c>
      <c r="N2146" s="15" t="s">
        <v>8</v>
      </c>
      <c r="O2146" s="15" t="s">
        <v>8</v>
      </c>
      <c r="Q2146" s="15" t="s">
        <v>8</v>
      </c>
      <c r="T2146" s="15" t="s">
        <v>8</v>
      </c>
      <c r="U2146" s="15" t="s">
        <v>8</v>
      </c>
      <c r="V2146" s="15" t="s">
        <v>8</v>
      </c>
      <c r="W2146" s="15" t="s">
        <v>8</v>
      </c>
      <c r="AA2146" s="19" t="str">
        <f>HYPERLINK("http://yeinfo.com/family/I09066889.html", "WILLIAM COTTON &lt;2&gt; 1235 EN-1290 EN ID:09066889")</f>
        <v>WILLIAM COTTON &lt;2&gt; 1235 EN-1290 EN ID:09066889</v>
      </c>
      <c r="AB2146" s="9"/>
      <c r="AC2146" s="9"/>
      <c r="AD2146" s="9"/>
      <c r="AE2146" s="9"/>
    </row>
    <row r="2147" spans="3:31" x14ac:dyDescent="0.35">
      <c r="C2147" s="15" t="s">
        <v>8</v>
      </c>
      <c r="D2147" s="15" t="s">
        <v>8</v>
      </c>
      <c r="G2147" s="15" t="s">
        <v>8</v>
      </c>
      <c r="L2147" s="15" t="s">
        <v>8</v>
      </c>
      <c r="M2147" s="15" t="s">
        <v>8</v>
      </c>
      <c r="N2147" s="15" t="s">
        <v>8</v>
      </c>
      <c r="O2147" s="15" t="s">
        <v>8</v>
      </c>
      <c r="Q2147" s="15" t="s">
        <v>8</v>
      </c>
      <c r="T2147" s="15" t="s">
        <v>8</v>
      </c>
      <c r="U2147" s="15" t="s">
        <v>8</v>
      </c>
      <c r="V2147" s="15" t="s">
        <v>8</v>
      </c>
      <c r="W2147" s="15" t="s">
        <v>8</v>
      </c>
      <c r="AA2147" s="8" t="s">
        <v>3</v>
      </c>
    </row>
    <row r="2148" spans="3:31" x14ac:dyDescent="0.35">
      <c r="C2148" s="15" t="s">
        <v>8</v>
      </c>
      <c r="D2148" s="15" t="s">
        <v>8</v>
      </c>
      <c r="G2148" s="15" t="s">
        <v>8</v>
      </c>
      <c r="L2148" s="15" t="s">
        <v>8</v>
      </c>
      <c r="M2148" s="15" t="s">
        <v>8</v>
      </c>
      <c r="N2148" s="15" t="s">
        <v>8</v>
      </c>
      <c r="O2148" s="15" t="s">
        <v>8</v>
      </c>
      <c r="Q2148" s="15" t="s">
        <v>8</v>
      </c>
      <c r="T2148" s="15" t="s">
        <v>8</v>
      </c>
      <c r="U2148" s="15" t="s">
        <v>8</v>
      </c>
      <c r="V2148" s="15" t="s">
        <v>8</v>
      </c>
      <c r="W2148" s="15" t="s">
        <v>8</v>
      </c>
      <c r="Z2148" s="19" t="str">
        <f>HYPERLINK("http://yeinfo.com/family/I09066890.html", "HUGH COTTON &lt;2&gt; 1265 EN-1288 EN ID:09066890")</f>
        <v>HUGH COTTON &lt;2&gt; 1265 EN-1288 EN ID:09066890</v>
      </c>
      <c r="AA2148" s="9"/>
      <c r="AB2148" s="9"/>
      <c r="AC2148" s="9"/>
      <c r="AD2148" s="9"/>
    </row>
    <row r="2149" spans="3:31" x14ac:dyDescent="0.35">
      <c r="C2149" s="15" t="s">
        <v>8</v>
      </c>
      <c r="D2149" s="15" t="s">
        <v>8</v>
      </c>
      <c r="G2149" s="15" t="s">
        <v>8</v>
      </c>
      <c r="L2149" s="15" t="s">
        <v>8</v>
      </c>
      <c r="M2149" s="15" t="s">
        <v>8</v>
      </c>
      <c r="N2149" s="15" t="s">
        <v>8</v>
      </c>
      <c r="O2149" s="15" t="s">
        <v>8</v>
      </c>
      <c r="Q2149" s="15" t="s">
        <v>8</v>
      </c>
      <c r="T2149" s="15" t="s">
        <v>8</v>
      </c>
      <c r="U2149" s="15" t="s">
        <v>8</v>
      </c>
      <c r="V2149" s="15" t="s">
        <v>8</v>
      </c>
      <c r="W2149" s="15" t="s">
        <v>8</v>
      </c>
      <c r="Z2149" s="8" t="s">
        <v>3</v>
      </c>
      <c r="AA2149" s="8" t="s">
        <v>6</v>
      </c>
    </row>
    <row r="2150" spans="3:31" x14ac:dyDescent="0.35">
      <c r="C2150" s="15" t="s">
        <v>8</v>
      </c>
      <c r="D2150" s="15" t="s">
        <v>8</v>
      </c>
      <c r="G2150" s="15" t="s">
        <v>8</v>
      </c>
      <c r="L2150" s="15" t="s">
        <v>8</v>
      </c>
      <c r="M2150" s="15" t="s">
        <v>8</v>
      </c>
      <c r="N2150" s="15" t="s">
        <v>8</v>
      </c>
      <c r="O2150" s="15" t="s">
        <v>8</v>
      </c>
      <c r="Q2150" s="15" t="s">
        <v>8</v>
      </c>
      <c r="T2150" s="15" t="s">
        <v>8</v>
      </c>
      <c r="U2150" s="15" t="s">
        <v>8</v>
      </c>
      <c r="V2150" s="15" t="s">
        <v>8</v>
      </c>
      <c r="W2150" s="15" t="s">
        <v>8</v>
      </c>
      <c r="Z2150" s="15" t="s">
        <v>8</v>
      </c>
      <c r="AA2150" s="20" t="str">
        <f>HYPERLINK("http://yeinfo.com/family/I09066943.html", "ISABELLA LEON &lt;2&gt; 1234 EN-1302 EN ID:09066943")</f>
        <v>ISABELLA LEON &lt;2&gt; 1234 EN-1302 EN ID:09066943</v>
      </c>
      <c r="AB2150" s="17"/>
      <c r="AC2150" s="17"/>
      <c r="AD2150" s="17"/>
      <c r="AE2150" s="17"/>
    </row>
    <row r="2151" spans="3:31" x14ac:dyDescent="0.35">
      <c r="C2151" s="15" t="s">
        <v>8</v>
      </c>
      <c r="D2151" s="15" t="s">
        <v>8</v>
      </c>
      <c r="G2151" s="15" t="s">
        <v>8</v>
      </c>
      <c r="L2151" s="15" t="s">
        <v>8</v>
      </c>
      <c r="M2151" s="15" t="s">
        <v>8</v>
      </c>
      <c r="N2151" s="15" t="s">
        <v>8</v>
      </c>
      <c r="O2151" s="15" t="s">
        <v>8</v>
      </c>
      <c r="Q2151" s="15" t="s">
        <v>8</v>
      </c>
      <c r="T2151" s="15" t="s">
        <v>8</v>
      </c>
      <c r="U2151" s="15" t="s">
        <v>8</v>
      </c>
      <c r="V2151" s="15" t="s">
        <v>8</v>
      </c>
      <c r="W2151" s="15" t="s">
        <v>8</v>
      </c>
      <c r="Z2151" s="15" t="s">
        <v>8</v>
      </c>
    </row>
    <row r="2152" spans="3:31" x14ac:dyDescent="0.35">
      <c r="C2152" s="15" t="s">
        <v>8</v>
      </c>
      <c r="D2152" s="15" t="s">
        <v>8</v>
      </c>
      <c r="G2152" s="15" t="s">
        <v>8</v>
      </c>
      <c r="L2152" s="15" t="s">
        <v>8</v>
      </c>
      <c r="M2152" s="15" t="s">
        <v>8</v>
      </c>
      <c r="N2152" s="15" t="s">
        <v>8</v>
      </c>
      <c r="O2152" s="15" t="s">
        <v>8</v>
      </c>
      <c r="Q2152" s="15" t="s">
        <v>8</v>
      </c>
      <c r="T2152" s="15" t="s">
        <v>8</v>
      </c>
      <c r="U2152" s="15" t="s">
        <v>8</v>
      </c>
      <c r="V2152" s="15" t="s">
        <v>8</v>
      </c>
      <c r="W2152" s="15" t="s">
        <v>8</v>
      </c>
      <c r="Y2152" s="19" t="str">
        <f>HYPERLINK("http://yeinfo.com/family/I09066891.html", "ALAN COTTON &lt;2&gt; 1290 EN-1322 EN ID:09066891")</f>
        <v>ALAN COTTON &lt;2&gt; 1290 EN-1322 EN ID:09066891</v>
      </c>
      <c r="Z2152" s="9"/>
      <c r="AA2152" s="9"/>
      <c r="AB2152" s="9"/>
      <c r="AC2152" s="9"/>
    </row>
    <row r="2153" spans="3:31" x14ac:dyDescent="0.35">
      <c r="C2153" s="15" t="s">
        <v>8</v>
      </c>
      <c r="D2153" s="15" t="s">
        <v>8</v>
      </c>
      <c r="G2153" s="15" t="s">
        <v>8</v>
      </c>
      <c r="L2153" s="15" t="s">
        <v>8</v>
      </c>
      <c r="M2153" s="15" t="s">
        <v>8</v>
      </c>
      <c r="N2153" s="15" t="s">
        <v>8</v>
      </c>
      <c r="O2153" s="15" t="s">
        <v>8</v>
      </c>
      <c r="Q2153" s="15" t="s">
        <v>8</v>
      </c>
      <c r="T2153" s="15" t="s">
        <v>8</v>
      </c>
      <c r="U2153" s="15" t="s">
        <v>8</v>
      </c>
      <c r="V2153" s="15" t="s">
        <v>8</v>
      </c>
      <c r="W2153" s="15" t="s">
        <v>8</v>
      </c>
      <c r="Y2153" s="8" t="s">
        <v>3</v>
      </c>
      <c r="Z2153" s="15" t="s">
        <v>8</v>
      </c>
    </row>
    <row r="2154" spans="3:31" x14ac:dyDescent="0.35">
      <c r="C2154" s="15" t="s">
        <v>8</v>
      </c>
      <c r="D2154" s="15" t="s">
        <v>8</v>
      </c>
      <c r="G2154" s="15" t="s">
        <v>8</v>
      </c>
      <c r="L2154" s="15" t="s">
        <v>8</v>
      </c>
      <c r="M2154" s="15" t="s">
        <v>8</v>
      </c>
      <c r="N2154" s="15" t="s">
        <v>8</v>
      </c>
      <c r="O2154" s="15" t="s">
        <v>8</v>
      </c>
      <c r="Q2154" s="15" t="s">
        <v>8</v>
      </c>
      <c r="T2154" s="15" t="s">
        <v>8</v>
      </c>
      <c r="U2154" s="15" t="s">
        <v>8</v>
      </c>
      <c r="V2154" s="15" t="s">
        <v>8</v>
      </c>
      <c r="W2154" s="15" t="s">
        <v>8</v>
      </c>
      <c r="Y2154" s="15" t="s">
        <v>8</v>
      </c>
      <c r="Z2154" s="15" t="s">
        <v>8</v>
      </c>
      <c r="AA2154" s="19" t="str">
        <f>HYPERLINK("http://yeinfo.com/family/I09066978.html", "HAMON TITTENLEGH &lt;2&gt; 1209 EN-1295 EN ID:09066978")</f>
        <v>HAMON TITTENLEGH &lt;2&gt; 1209 EN-1295 EN ID:09066978</v>
      </c>
      <c r="AB2154" s="9"/>
      <c r="AC2154" s="9"/>
      <c r="AD2154" s="9"/>
      <c r="AE2154" s="9"/>
    </row>
    <row r="2155" spans="3:31" x14ac:dyDescent="0.35">
      <c r="C2155" s="15" t="s">
        <v>8</v>
      </c>
      <c r="D2155" s="15" t="s">
        <v>8</v>
      </c>
      <c r="G2155" s="15" t="s">
        <v>8</v>
      </c>
      <c r="L2155" s="15" t="s">
        <v>8</v>
      </c>
      <c r="M2155" s="15" t="s">
        <v>8</v>
      </c>
      <c r="N2155" s="15" t="s">
        <v>8</v>
      </c>
      <c r="O2155" s="15" t="s">
        <v>8</v>
      </c>
      <c r="Q2155" s="15" t="s">
        <v>8</v>
      </c>
      <c r="T2155" s="15" t="s">
        <v>8</v>
      </c>
      <c r="U2155" s="15" t="s">
        <v>8</v>
      </c>
      <c r="V2155" s="15" t="s">
        <v>8</v>
      </c>
      <c r="W2155" s="15" t="s">
        <v>8</v>
      </c>
      <c r="Y2155" s="15" t="s">
        <v>8</v>
      </c>
      <c r="Z2155" s="8" t="s">
        <v>6</v>
      </c>
      <c r="AA2155" s="8" t="s">
        <v>3</v>
      </c>
    </row>
    <row r="2156" spans="3:31" x14ac:dyDescent="0.35">
      <c r="C2156" s="15" t="s">
        <v>8</v>
      </c>
      <c r="D2156" s="15" t="s">
        <v>8</v>
      </c>
      <c r="G2156" s="15" t="s">
        <v>8</v>
      </c>
      <c r="L2156" s="15" t="s">
        <v>8</v>
      </c>
      <c r="M2156" s="15" t="s">
        <v>8</v>
      </c>
      <c r="N2156" s="15" t="s">
        <v>8</v>
      </c>
      <c r="O2156" s="15" t="s">
        <v>8</v>
      </c>
      <c r="Q2156" s="15" t="s">
        <v>8</v>
      </c>
      <c r="T2156" s="15" t="s">
        <v>8</v>
      </c>
      <c r="U2156" s="15" t="s">
        <v>8</v>
      </c>
      <c r="V2156" s="15" t="s">
        <v>8</v>
      </c>
      <c r="W2156" s="15" t="s">
        <v>8</v>
      </c>
      <c r="Y2156" s="15" t="s">
        <v>8</v>
      </c>
      <c r="Z2156" s="20" t="str">
        <f>HYPERLINK("http://yeinfo.com/family/I09066979.html", "ELIZABETH TITTENLEGH &lt;2&gt; 1265 EN-1319 EN ID:09066979")</f>
        <v>ELIZABETH TITTENLEGH &lt;2&gt; 1265 EN-1319 EN ID:09066979</v>
      </c>
      <c r="AA2156" s="17"/>
      <c r="AB2156" s="17"/>
      <c r="AC2156" s="17"/>
      <c r="AD2156" s="17"/>
    </row>
    <row r="2157" spans="3:31" x14ac:dyDescent="0.35">
      <c r="C2157" s="15" t="s">
        <v>8</v>
      </c>
      <c r="D2157" s="15" t="s">
        <v>8</v>
      </c>
      <c r="G2157" s="15" t="s">
        <v>8</v>
      </c>
      <c r="L2157" s="15" t="s">
        <v>8</v>
      </c>
      <c r="M2157" s="15" t="s">
        <v>8</v>
      </c>
      <c r="N2157" s="15" t="s">
        <v>8</v>
      </c>
      <c r="O2157" s="15" t="s">
        <v>8</v>
      </c>
      <c r="Q2157" s="15" t="s">
        <v>8</v>
      </c>
      <c r="T2157" s="15" t="s">
        <v>8</v>
      </c>
      <c r="U2157" s="15" t="s">
        <v>8</v>
      </c>
      <c r="V2157" s="15" t="s">
        <v>8</v>
      </c>
      <c r="W2157" s="15" t="s">
        <v>8</v>
      </c>
      <c r="Y2157" s="15" t="s">
        <v>8</v>
      </c>
      <c r="AA2157" s="8" t="s">
        <v>6</v>
      </c>
    </row>
    <row r="2158" spans="3:31" x14ac:dyDescent="0.35">
      <c r="C2158" s="15" t="s">
        <v>8</v>
      </c>
      <c r="D2158" s="15" t="s">
        <v>8</v>
      </c>
      <c r="G2158" s="15" t="s">
        <v>8</v>
      </c>
      <c r="L2158" s="15" t="s">
        <v>8</v>
      </c>
      <c r="M2158" s="15" t="s">
        <v>8</v>
      </c>
      <c r="N2158" s="15" t="s">
        <v>8</v>
      </c>
      <c r="O2158" s="15" t="s">
        <v>8</v>
      </c>
      <c r="Q2158" s="15" t="s">
        <v>8</v>
      </c>
      <c r="T2158" s="15" t="s">
        <v>8</v>
      </c>
      <c r="U2158" s="15" t="s">
        <v>8</v>
      </c>
      <c r="V2158" s="15" t="s">
        <v>8</v>
      </c>
      <c r="W2158" s="15" t="s">
        <v>8</v>
      </c>
      <c r="Y2158" s="15" t="s">
        <v>8</v>
      </c>
      <c r="AA2158" s="20" t="str">
        <f>HYPERLINK("http://yeinfo.com/family/I09066856.html", "HAWISE ACTON &lt;2&gt; 1215 EN-1265 EN ID:09066856")</f>
        <v>HAWISE ACTON &lt;2&gt; 1215 EN-1265 EN ID:09066856</v>
      </c>
      <c r="AB2158" s="17"/>
      <c r="AC2158" s="17"/>
      <c r="AD2158" s="17"/>
      <c r="AE2158" s="17"/>
    </row>
    <row r="2159" spans="3:31" x14ac:dyDescent="0.35">
      <c r="C2159" s="15" t="s">
        <v>8</v>
      </c>
      <c r="D2159" s="15" t="s">
        <v>8</v>
      </c>
      <c r="G2159" s="15" t="s">
        <v>8</v>
      </c>
      <c r="L2159" s="15" t="s">
        <v>8</v>
      </c>
      <c r="M2159" s="15" t="s">
        <v>8</v>
      </c>
      <c r="N2159" s="15" t="s">
        <v>8</v>
      </c>
      <c r="O2159" s="15" t="s">
        <v>8</v>
      </c>
      <c r="Q2159" s="15" t="s">
        <v>8</v>
      </c>
      <c r="T2159" s="15" t="s">
        <v>8</v>
      </c>
      <c r="U2159" s="15" t="s">
        <v>8</v>
      </c>
      <c r="V2159" s="15" t="s">
        <v>8</v>
      </c>
      <c r="W2159" s="15" t="s">
        <v>8</v>
      </c>
      <c r="Y2159" s="15" t="s">
        <v>8</v>
      </c>
    </row>
    <row r="2160" spans="3:31" x14ac:dyDescent="0.35">
      <c r="C2160" s="15" t="s">
        <v>8</v>
      </c>
      <c r="D2160" s="15" t="s">
        <v>8</v>
      </c>
      <c r="G2160" s="15" t="s">
        <v>8</v>
      </c>
      <c r="L2160" s="15" t="s">
        <v>8</v>
      </c>
      <c r="M2160" s="15" t="s">
        <v>8</v>
      </c>
      <c r="N2160" s="15" t="s">
        <v>8</v>
      </c>
      <c r="O2160" s="15" t="s">
        <v>8</v>
      </c>
      <c r="Q2160" s="15" t="s">
        <v>8</v>
      </c>
      <c r="T2160" s="15" t="s">
        <v>8</v>
      </c>
      <c r="U2160" s="15" t="s">
        <v>8</v>
      </c>
      <c r="V2160" s="15" t="s">
        <v>8</v>
      </c>
      <c r="W2160" s="15" t="s">
        <v>8</v>
      </c>
      <c r="X2160" s="19" t="str">
        <f>HYPERLINK("http://yeinfo.com/family/I09066892.html", "HUGH COTTON &lt;2&gt; 1315 -1360 EN ID:09066892")</f>
        <v>HUGH COTTON &lt;2&gt; 1315 -1360 EN ID:09066892</v>
      </c>
      <c r="Y2160" s="9"/>
      <c r="Z2160" s="9"/>
      <c r="AA2160" s="9"/>
      <c r="AB2160" s="9"/>
    </row>
    <row r="2161" spans="3:30" x14ac:dyDescent="0.35">
      <c r="C2161" s="15" t="s">
        <v>8</v>
      </c>
      <c r="D2161" s="15" t="s">
        <v>8</v>
      </c>
      <c r="G2161" s="15" t="s">
        <v>8</v>
      </c>
      <c r="L2161" s="15" t="s">
        <v>8</v>
      </c>
      <c r="M2161" s="15" t="s">
        <v>8</v>
      </c>
      <c r="N2161" s="15" t="s">
        <v>8</v>
      </c>
      <c r="O2161" s="15" t="s">
        <v>8</v>
      </c>
      <c r="Q2161" s="15" t="s">
        <v>8</v>
      </c>
      <c r="T2161" s="15" t="s">
        <v>8</v>
      </c>
      <c r="U2161" s="15" t="s">
        <v>8</v>
      </c>
      <c r="V2161" s="15" t="s">
        <v>8</v>
      </c>
      <c r="W2161" s="15" t="s">
        <v>8</v>
      </c>
      <c r="X2161" s="8" t="s">
        <v>3</v>
      </c>
      <c r="Y2161" s="15" t="s">
        <v>8</v>
      </c>
    </row>
    <row r="2162" spans="3:30" x14ac:dyDescent="0.35">
      <c r="C2162" s="15" t="s">
        <v>8</v>
      </c>
      <c r="D2162" s="15" t="s">
        <v>8</v>
      </c>
      <c r="G2162" s="15" t="s">
        <v>8</v>
      </c>
      <c r="L2162" s="15" t="s">
        <v>8</v>
      </c>
      <c r="M2162" s="15" t="s">
        <v>8</v>
      </c>
      <c r="N2162" s="15" t="s">
        <v>8</v>
      </c>
      <c r="O2162" s="15" t="s">
        <v>8</v>
      </c>
      <c r="Q2162" s="15" t="s">
        <v>8</v>
      </c>
      <c r="T2162" s="15" t="s">
        <v>8</v>
      </c>
      <c r="U2162" s="15" t="s">
        <v>8</v>
      </c>
      <c r="V2162" s="15" t="s">
        <v>8</v>
      </c>
      <c r="W2162" s="15" t="s">
        <v>8</v>
      </c>
      <c r="X2162" s="15" t="s">
        <v>8</v>
      </c>
      <c r="Y2162" s="15" t="s">
        <v>8</v>
      </c>
      <c r="Z2162" s="19" t="str">
        <f>HYPERLINK("http://yeinfo.com/family/I09066854.html", "ROGER ACTON &lt;2&gt; 1273 EN-1343 EN ID:09066854")</f>
        <v>ROGER ACTON &lt;2&gt; 1273 EN-1343 EN ID:09066854</v>
      </c>
      <c r="AA2162" s="9"/>
      <c r="AB2162" s="9"/>
      <c r="AC2162" s="9"/>
      <c r="AD2162" s="9"/>
    </row>
    <row r="2163" spans="3:30" x14ac:dyDescent="0.35">
      <c r="C2163" s="15" t="s">
        <v>8</v>
      </c>
      <c r="D2163" s="15" t="s">
        <v>8</v>
      </c>
      <c r="G2163" s="15" t="s">
        <v>8</v>
      </c>
      <c r="L2163" s="15" t="s">
        <v>8</v>
      </c>
      <c r="M2163" s="15" t="s">
        <v>8</v>
      </c>
      <c r="N2163" s="15" t="s">
        <v>8</v>
      </c>
      <c r="O2163" s="15" t="s">
        <v>8</v>
      </c>
      <c r="Q2163" s="15" t="s">
        <v>8</v>
      </c>
      <c r="T2163" s="15" t="s">
        <v>8</v>
      </c>
      <c r="U2163" s="15" t="s">
        <v>8</v>
      </c>
      <c r="V2163" s="15" t="s">
        <v>8</v>
      </c>
      <c r="W2163" s="15" t="s">
        <v>8</v>
      </c>
      <c r="X2163" s="15" t="s">
        <v>8</v>
      </c>
      <c r="Y2163" s="8" t="s">
        <v>6</v>
      </c>
      <c r="Z2163" s="8" t="s">
        <v>3</v>
      </c>
    </row>
    <row r="2164" spans="3:30" x14ac:dyDescent="0.35">
      <c r="C2164" s="15" t="s">
        <v>8</v>
      </c>
      <c r="D2164" s="15" t="s">
        <v>8</v>
      </c>
      <c r="G2164" s="15" t="s">
        <v>8</v>
      </c>
      <c r="L2164" s="15" t="s">
        <v>8</v>
      </c>
      <c r="M2164" s="15" t="s">
        <v>8</v>
      </c>
      <c r="N2164" s="15" t="s">
        <v>8</v>
      </c>
      <c r="O2164" s="15" t="s">
        <v>8</v>
      </c>
      <c r="Q2164" s="15" t="s">
        <v>8</v>
      </c>
      <c r="T2164" s="15" t="s">
        <v>8</v>
      </c>
      <c r="U2164" s="15" t="s">
        <v>8</v>
      </c>
      <c r="V2164" s="15" t="s">
        <v>8</v>
      </c>
      <c r="W2164" s="15" t="s">
        <v>8</v>
      </c>
      <c r="X2164" s="15" t="s">
        <v>8</v>
      </c>
      <c r="Y2164" s="20" t="str">
        <f>HYPERLINK("http://yeinfo.com/family/I09066855.html", "MARGARET ACTON &lt;2&gt; 1295 EN-1320 EN ID:09066855")</f>
        <v>MARGARET ACTON &lt;2&gt; 1295 EN-1320 EN ID:09066855</v>
      </c>
      <c r="Z2164" s="17"/>
      <c r="AA2164" s="17"/>
      <c r="AB2164" s="17"/>
      <c r="AC2164" s="17"/>
    </row>
    <row r="2165" spans="3:30" x14ac:dyDescent="0.35">
      <c r="C2165" s="15" t="s">
        <v>8</v>
      </c>
      <c r="D2165" s="15" t="s">
        <v>8</v>
      </c>
      <c r="G2165" s="15" t="s">
        <v>8</v>
      </c>
      <c r="L2165" s="15" t="s">
        <v>8</v>
      </c>
      <c r="M2165" s="15" t="s">
        <v>8</v>
      </c>
      <c r="N2165" s="15" t="s">
        <v>8</v>
      </c>
      <c r="O2165" s="15" t="s">
        <v>8</v>
      </c>
      <c r="Q2165" s="15" t="s">
        <v>8</v>
      </c>
      <c r="T2165" s="15" t="s">
        <v>8</v>
      </c>
      <c r="U2165" s="15" t="s">
        <v>8</v>
      </c>
      <c r="V2165" s="15" t="s">
        <v>8</v>
      </c>
      <c r="W2165" s="15" t="s">
        <v>8</v>
      </c>
      <c r="X2165" s="15" t="s">
        <v>8</v>
      </c>
      <c r="Z2165" s="8" t="s">
        <v>6</v>
      </c>
    </row>
    <row r="2166" spans="3:30" x14ac:dyDescent="0.35">
      <c r="C2166" s="15" t="s">
        <v>8</v>
      </c>
      <c r="D2166" s="15" t="s">
        <v>8</v>
      </c>
      <c r="G2166" s="15" t="s">
        <v>8</v>
      </c>
      <c r="L2166" s="15" t="s">
        <v>8</v>
      </c>
      <c r="M2166" s="15" t="s">
        <v>8</v>
      </c>
      <c r="N2166" s="15" t="s">
        <v>8</v>
      </c>
      <c r="O2166" s="15" t="s">
        <v>8</v>
      </c>
      <c r="Q2166" s="15" t="s">
        <v>8</v>
      </c>
      <c r="T2166" s="15" t="s">
        <v>8</v>
      </c>
      <c r="U2166" s="15" t="s">
        <v>8</v>
      </c>
      <c r="V2166" s="15" t="s">
        <v>8</v>
      </c>
      <c r="W2166" s="15" t="s">
        <v>8</v>
      </c>
      <c r="X2166" s="15" t="s">
        <v>8</v>
      </c>
      <c r="Z2166" s="20" t="str">
        <f>HYPERLINK("http://yeinfo.com/family/I09066899.html", "MATILDA MAUD D'AGILOFINGES &lt;2&gt; 1275 EN-1304 EN ID:09066899")</f>
        <v>MATILDA MAUD D'AGILOFINGES &lt;2&gt; 1275 EN-1304 EN ID:09066899</v>
      </c>
      <c r="AA2166" s="17"/>
      <c r="AB2166" s="17"/>
      <c r="AC2166" s="17"/>
      <c r="AD2166" s="17"/>
    </row>
    <row r="2167" spans="3:30" x14ac:dyDescent="0.35">
      <c r="C2167" s="15" t="s">
        <v>8</v>
      </c>
      <c r="D2167" s="15" t="s">
        <v>8</v>
      </c>
      <c r="G2167" s="15" t="s">
        <v>8</v>
      </c>
      <c r="L2167" s="15" t="s">
        <v>8</v>
      </c>
      <c r="M2167" s="15" t="s">
        <v>8</v>
      </c>
      <c r="N2167" s="15" t="s">
        <v>8</v>
      </c>
      <c r="O2167" s="15" t="s">
        <v>8</v>
      </c>
      <c r="Q2167" s="15" t="s">
        <v>8</v>
      </c>
      <c r="T2167" s="15" t="s">
        <v>8</v>
      </c>
      <c r="U2167" s="15" t="s">
        <v>8</v>
      </c>
      <c r="V2167" s="15" t="s">
        <v>8</v>
      </c>
      <c r="W2167" s="8" t="s">
        <v>6</v>
      </c>
      <c r="X2167" s="15" t="s">
        <v>8</v>
      </c>
    </row>
    <row r="2168" spans="3:30" x14ac:dyDescent="0.35">
      <c r="C2168" s="15" t="s">
        <v>8</v>
      </c>
      <c r="D2168" s="15" t="s">
        <v>8</v>
      </c>
      <c r="G2168" s="15" t="s">
        <v>8</v>
      </c>
      <c r="L2168" s="15" t="s">
        <v>8</v>
      </c>
      <c r="M2168" s="15" t="s">
        <v>8</v>
      </c>
      <c r="N2168" s="15" t="s">
        <v>8</v>
      </c>
      <c r="O2168" s="15" t="s">
        <v>8</v>
      </c>
      <c r="Q2168" s="15" t="s">
        <v>8</v>
      </c>
      <c r="T2168" s="15" t="s">
        <v>8</v>
      </c>
      <c r="U2168" s="15" t="s">
        <v>8</v>
      </c>
      <c r="V2168" s="15" t="s">
        <v>8</v>
      </c>
      <c r="W2168" s="20" t="str">
        <f>HYPERLINK("http://yeinfo.com/family/I09066893.html", "MARGERY COTTON &lt;2&gt; 1335 EN-1398 EN ID:09066893")</f>
        <v>MARGERY COTTON &lt;2&gt; 1335 EN-1398 EN ID:09066893</v>
      </c>
      <c r="X2168" s="17"/>
      <c r="Y2168" s="17"/>
      <c r="Z2168" s="17"/>
      <c r="AA2168" s="17"/>
    </row>
    <row r="2169" spans="3:30" x14ac:dyDescent="0.35">
      <c r="C2169" s="15" t="s">
        <v>8</v>
      </c>
      <c r="D2169" s="15" t="s">
        <v>8</v>
      </c>
      <c r="G2169" s="15" t="s">
        <v>8</v>
      </c>
      <c r="L2169" s="15" t="s">
        <v>8</v>
      </c>
      <c r="M2169" s="15" t="s">
        <v>8</v>
      </c>
      <c r="N2169" s="15" t="s">
        <v>8</v>
      </c>
      <c r="O2169" s="15" t="s">
        <v>8</v>
      </c>
      <c r="Q2169" s="15" t="s">
        <v>8</v>
      </c>
      <c r="T2169" s="15" t="s">
        <v>8</v>
      </c>
      <c r="U2169" s="15" t="s">
        <v>8</v>
      </c>
      <c r="V2169" s="15" t="s">
        <v>8</v>
      </c>
      <c r="X2169" s="15" t="s">
        <v>8</v>
      </c>
    </row>
    <row r="2170" spans="3:30" x14ac:dyDescent="0.35">
      <c r="C2170" s="15" t="s">
        <v>8</v>
      </c>
      <c r="D2170" s="15" t="s">
        <v>8</v>
      </c>
      <c r="G2170" s="15" t="s">
        <v>8</v>
      </c>
      <c r="L2170" s="15" t="s">
        <v>8</v>
      </c>
      <c r="M2170" s="15" t="s">
        <v>8</v>
      </c>
      <c r="N2170" s="15" t="s">
        <v>8</v>
      </c>
      <c r="O2170" s="15" t="s">
        <v>8</v>
      </c>
      <c r="Q2170" s="15" t="s">
        <v>8</v>
      </c>
      <c r="T2170" s="15" t="s">
        <v>8</v>
      </c>
      <c r="U2170" s="15" t="s">
        <v>8</v>
      </c>
      <c r="V2170" s="15" t="s">
        <v>8</v>
      </c>
      <c r="X2170" s="15" t="s">
        <v>8</v>
      </c>
      <c r="Z2170" s="19" t="str">
        <f>HYPERLINK("http://yeinfo.com/family/I09066916.html", "THOMAS HEATON &lt;2&gt; 1257 EN-1292 EN ID:09066916")</f>
        <v>THOMAS HEATON &lt;2&gt; 1257 EN-1292 EN ID:09066916</v>
      </c>
      <c r="AA2170" s="9"/>
      <c r="AB2170" s="9"/>
      <c r="AC2170" s="9"/>
      <c r="AD2170" s="9"/>
    </row>
    <row r="2171" spans="3:30" x14ac:dyDescent="0.35">
      <c r="C2171" s="15" t="s">
        <v>8</v>
      </c>
      <c r="D2171" s="15" t="s">
        <v>8</v>
      </c>
      <c r="G2171" s="15" t="s">
        <v>8</v>
      </c>
      <c r="L2171" s="15" t="s">
        <v>8</v>
      </c>
      <c r="M2171" s="15" t="s">
        <v>8</v>
      </c>
      <c r="N2171" s="15" t="s">
        <v>8</v>
      </c>
      <c r="O2171" s="15" t="s">
        <v>8</v>
      </c>
      <c r="Q2171" s="15" t="s">
        <v>8</v>
      </c>
      <c r="T2171" s="15" t="s">
        <v>8</v>
      </c>
      <c r="U2171" s="15" t="s">
        <v>8</v>
      </c>
      <c r="V2171" s="15" t="s">
        <v>8</v>
      </c>
      <c r="X2171" s="15" t="s">
        <v>8</v>
      </c>
      <c r="Z2171" s="8" t="s">
        <v>3</v>
      </c>
    </row>
    <row r="2172" spans="3:30" x14ac:dyDescent="0.35">
      <c r="C2172" s="15" t="s">
        <v>8</v>
      </c>
      <c r="D2172" s="15" t="s">
        <v>8</v>
      </c>
      <c r="G2172" s="15" t="s">
        <v>8</v>
      </c>
      <c r="L2172" s="15" t="s">
        <v>8</v>
      </c>
      <c r="M2172" s="15" t="s">
        <v>8</v>
      </c>
      <c r="N2172" s="15" t="s">
        <v>8</v>
      </c>
      <c r="O2172" s="15" t="s">
        <v>8</v>
      </c>
      <c r="Q2172" s="15" t="s">
        <v>8</v>
      </c>
      <c r="T2172" s="15" t="s">
        <v>8</v>
      </c>
      <c r="U2172" s="15" t="s">
        <v>8</v>
      </c>
      <c r="V2172" s="15" t="s">
        <v>8</v>
      </c>
      <c r="X2172" s="15" t="s">
        <v>8</v>
      </c>
      <c r="Y2172" s="19" t="str">
        <f>HYPERLINK("http://yeinfo.com/family/I09066917.html", "THOMAS HEATON &lt;2&gt; 1288 EN-1353 EN ID:09066917")</f>
        <v>THOMAS HEATON &lt;2&gt; 1288 EN-1353 EN ID:09066917</v>
      </c>
      <c r="Z2172" s="9"/>
      <c r="AA2172" s="9"/>
      <c r="AB2172" s="9"/>
      <c r="AC2172" s="9"/>
    </row>
    <row r="2173" spans="3:30" x14ac:dyDescent="0.35">
      <c r="C2173" s="15" t="s">
        <v>8</v>
      </c>
      <c r="D2173" s="15" t="s">
        <v>8</v>
      </c>
      <c r="G2173" s="15" t="s">
        <v>8</v>
      </c>
      <c r="L2173" s="15" t="s">
        <v>8</v>
      </c>
      <c r="M2173" s="15" t="s">
        <v>8</v>
      </c>
      <c r="N2173" s="15" t="s">
        <v>8</v>
      </c>
      <c r="O2173" s="15" t="s">
        <v>8</v>
      </c>
      <c r="Q2173" s="15" t="s">
        <v>8</v>
      </c>
      <c r="T2173" s="15" t="s">
        <v>8</v>
      </c>
      <c r="U2173" s="15" t="s">
        <v>8</v>
      </c>
      <c r="V2173" s="15" t="s">
        <v>8</v>
      </c>
      <c r="X2173" s="15" t="s">
        <v>8</v>
      </c>
      <c r="Y2173" s="8" t="s">
        <v>3</v>
      </c>
      <c r="Z2173" s="8" t="s">
        <v>6</v>
      </c>
    </row>
    <row r="2174" spans="3:30" x14ac:dyDescent="0.35">
      <c r="C2174" s="15" t="s">
        <v>8</v>
      </c>
      <c r="D2174" s="15" t="s">
        <v>8</v>
      </c>
      <c r="G2174" s="15" t="s">
        <v>8</v>
      </c>
      <c r="L2174" s="15" t="s">
        <v>8</v>
      </c>
      <c r="M2174" s="15" t="s">
        <v>8</v>
      </c>
      <c r="N2174" s="15" t="s">
        <v>8</v>
      </c>
      <c r="O2174" s="15" t="s">
        <v>8</v>
      </c>
      <c r="Q2174" s="15" t="s">
        <v>8</v>
      </c>
      <c r="T2174" s="15" t="s">
        <v>8</v>
      </c>
      <c r="U2174" s="15" t="s">
        <v>8</v>
      </c>
      <c r="V2174" s="15" t="s">
        <v>8</v>
      </c>
      <c r="X2174" s="15" t="s">
        <v>8</v>
      </c>
      <c r="Y2174" s="15" t="s">
        <v>8</v>
      </c>
      <c r="Z2174" s="20" t="str">
        <f>HYPERLINK("http://yeinfo.com/family/I09066953.html", "JOAN NEVILLE &lt;2&gt; 1267 EN-1326 EN ID:09066953")</f>
        <v>JOAN NEVILLE &lt;2&gt; 1267 EN-1326 EN ID:09066953</v>
      </c>
      <c r="AA2174" s="17"/>
      <c r="AB2174" s="17"/>
      <c r="AC2174" s="17"/>
      <c r="AD2174" s="17"/>
    </row>
    <row r="2175" spans="3:30" x14ac:dyDescent="0.35">
      <c r="C2175" s="15" t="s">
        <v>8</v>
      </c>
      <c r="D2175" s="15" t="s">
        <v>8</v>
      </c>
      <c r="G2175" s="15" t="s">
        <v>8</v>
      </c>
      <c r="L2175" s="15" t="s">
        <v>8</v>
      </c>
      <c r="M2175" s="15" t="s">
        <v>8</v>
      </c>
      <c r="N2175" s="15" t="s">
        <v>8</v>
      </c>
      <c r="O2175" s="15" t="s">
        <v>8</v>
      </c>
      <c r="Q2175" s="15" t="s">
        <v>8</v>
      </c>
      <c r="T2175" s="15" t="s">
        <v>8</v>
      </c>
      <c r="U2175" s="15" t="s">
        <v>8</v>
      </c>
      <c r="V2175" s="15" t="s">
        <v>8</v>
      </c>
      <c r="X2175" s="8" t="s">
        <v>6</v>
      </c>
      <c r="Y2175" s="15" t="s">
        <v>8</v>
      </c>
    </row>
    <row r="2176" spans="3:30" x14ac:dyDescent="0.35">
      <c r="C2176" s="15" t="s">
        <v>8</v>
      </c>
      <c r="D2176" s="15" t="s">
        <v>8</v>
      </c>
      <c r="G2176" s="15" t="s">
        <v>8</v>
      </c>
      <c r="L2176" s="15" t="s">
        <v>8</v>
      </c>
      <c r="M2176" s="15" t="s">
        <v>8</v>
      </c>
      <c r="N2176" s="15" t="s">
        <v>8</v>
      </c>
      <c r="O2176" s="15" t="s">
        <v>8</v>
      </c>
      <c r="Q2176" s="15" t="s">
        <v>8</v>
      </c>
      <c r="T2176" s="15" t="s">
        <v>8</v>
      </c>
      <c r="U2176" s="15" t="s">
        <v>8</v>
      </c>
      <c r="V2176" s="15" t="s">
        <v>8</v>
      </c>
      <c r="X2176" s="20" t="str">
        <f>HYPERLINK("http://yeinfo.com/family/I09066918.html", "ISABEL HEATON &lt;2&gt; 1317 EN-1335 EN ID:09066918")</f>
        <v>ISABEL HEATON &lt;2&gt; 1317 EN-1335 EN ID:09066918</v>
      </c>
      <c r="Y2176" s="17"/>
      <c r="Z2176" s="17"/>
      <c r="AA2176" s="17"/>
      <c r="AB2176" s="17"/>
    </row>
    <row r="2177" spans="3:31" x14ac:dyDescent="0.35">
      <c r="C2177" s="15" t="s">
        <v>8</v>
      </c>
      <c r="D2177" s="15" t="s">
        <v>8</v>
      </c>
      <c r="G2177" s="15" t="s">
        <v>8</v>
      </c>
      <c r="L2177" s="15" t="s">
        <v>8</v>
      </c>
      <c r="M2177" s="15" t="s">
        <v>8</v>
      </c>
      <c r="N2177" s="15" t="s">
        <v>8</v>
      </c>
      <c r="O2177" s="15" t="s">
        <v>8</v>
      </c>
      <c r="Q2177" s="15" t="s">
        <v>8</v>
      </c>
      <c r="T2177" s="15" t="s">
        <v>8</v>
      </c>
      <c r="U2177" s="15" t="s">
        <v>8</v>
      </c>
      <c r="V2177" s="15" t="s">
        <v>8</v>
      </c>
      <c r="Y2177" s="15" t="s">
        <v>8</v>
      </c>
    </row>
    <row r="2178" spans="3:31" x14ac:dyDescent="0.35">
      <c r="C2178" s="15" t="s">
        <v>8</v>
      </c>
      <c r="D2178" s="15" t="s">
        <v>8</v>
      </c>
      <c r="G2178" s="15" t="s">
        <v>8</v>
      </c>
      <c r="L2178" s="15" t="s">
        <v>8</v>
      </c>
      <c r="M2178" s="15" t="s">
        <v>8</v>
      </c>
      <c r="N2178" s="15" t="s">
        <v>8</v>
      </c>
      <c r="O2178" s="15" t="s">
        <v>8</v>
      </c>
      <c r="Q2178" s="15" t="s">
        <v>8</v>
      </c>
      <c r="T2178" s="15" t="s">
        <v>8</v>
      </c>
      <c r="U2178" s="15" t="s">
        <v>8</v>
      </c>
      <c r="V2178" s="15" t="s">
        <v>8</v>
      </c>
      <c r="Y2178" s="15" t="s">
        <v>8</v>
      </c>
      <c r="Z2178" s="19" t="str">
        <f>HYPERLINK("http://yeinfo.com/family/I09066919.html", "ELLIS HEYTON &lt;2&gt; 1238 EN-1292 EN ID:09066919")</f>
        <v>ELLIS HEYTON &lt;2&gt; 1238 EN-1292 EN ID:09066919</v>
      </c>
      <c r="AA2178" s="9"/>
      <c r="AB2178" s="9"/>
      <c r="AC2178" s="9"/>
      <c r="AD2178" s="9"/>
    </row>
    <row r="2179" spans="3:31" x14ac:dyDescent="0.35">
      <c r="C2179" s="15" t="s">
        <v>8</v>
      </c>
      <c r="D2179" s="15" t="s">
        <v>8</v>
      </c>
      <c r="G2179" s="15" t="s">
        <v>8</v>
      </c>
      <c r="L2179" s="15" t="s">
        <v>8</v>
      </c>
      <c r="M2179" s="15" t="s">
        <v>8</v>
      </c>
      <c r="N2179" s="15" t="s">
        <v>8</v>
      </c>
      <c r="O2179" s="15" t="s">
        <v>8</v>
      </c>
      <c r="Q2179" s="15" t="s">
        <v>8</v>
      </c>
      <c r="T2179" s="15" t="s">
        <v>8</v>
      </c>
      <c r="U2179" s="15" t="s">
        <v>8</v>
      </c>
      <c r="V2179" s="15" t="s">
        <v>8</v>
      </c>
      <c r="Y2179" s="8" t="s">
        <v>6</v>
      </c>
      <c r="Z2179" s="8" t="s">
        <v>3</v>
      </c>
    </row>
    <row r="2180" spans="3:31" x14ac:dyDescent="0.35">
      <c r="C2180" s="15" t="s">
        <v>8</v>
      </c>
      <c r="D2180" s="15" t="s">
        <v>8</v>
      </c>
      <c r="G2180" s="15" t="s">
        <v>8</v>
      </c>
      <c r="L2180" s="15" t="s">
        <v>8</v>
      </c>
      <c r="M2180" s="15" t="s">
        <v>8</v>
      </c>
      <c r="N2180" s="15" t="s">
        <v>8</v>
      </c>
      <c r="O2180" s="15" t="s">
        <v>8</v>
      </c>
      <c r="Q2180" s="15" t="s">
        <v>8</v>
      </c>
      <c r="T2180" s="15" t="s">
        <v>8</v>
      </c>
      <c r="U2180" s="15" t="s">
        <v>8</v>
      </c>
      <c r="V2180" s="15" t="s">
        <v>8</v>
      </c>
      <c r="Y2180" s="20" t="str">
        <f>HYPERLINK("http://yeinfo.com/family/I09066920.html", "AGNES HEYTON &lt;2&gt; 1292 EN-1336 EN ID:09066920")</f>
        <v>AGNES HEYTON &lt;2&gt; 1292 EN-1336 EN ID:09066920</v>
      </c>
      <c r="Z2180" s="17"/>
      <c r="AA2180" s="17"/>
      <c r="AB2180" s="17"/>
      <c r="AC2180" s="17"/>
    </row>
    <row r="2181" spans="3:31" x14ac:dyDescent="0.35">
      <c r="C2181" s="15" t="s">
        <v>8</v>
      </c>
      <c r="D2181" s="15" t="s">
        <v>8</v>
      </c>
      <c r="G2181" s="15" t="s">
        <v>8</v>
      </c>
      <c r="L2181" s="15" t="s">
        <v>8</v>
      </c>
      <c r="M2181" s="15" t="s">
        <v>8</v>
      </c>
      <c r="N2181" s="15" t="s">
        <v>8</v>
      </c>
      <c r="O2181" s="15" t="s">
        <v>8</v>
      </c>
      <c r="Q2181" s="15" t="s">
        <v>8</v>
      </c>
      <c r="T2181" s="15" t="s">
        <v>8</v>
      </c>
      <c r="U2181" s="15" t="s">
        <v>8</v>
      </c>
      <c r="V2181" s="15" t="s">
        <v>8</v>
      </c>
      <c r="Z2181" s="8" t="s">
        <v>6</v>
      </c>
    </row>
    <row r="2182" spans="3:31" x14ac:dyDescent="0.35">
      <c r="C2182" s="15" t="s">
        <v>8</v>
      </c>
      <c r="D2182" s="15" t="s">
        <v>8</v>
      </c>
      <c r="G2182" s="15" t="s">
        <v>8</v>
      </c>
      <c r="L2182" s="15" t="s">
        <v>8</v>
      </c>
      <c r="M2182" s="15" t="s">
        <v>8</v>
      </c>
      <c r="N2182" s="15" t="s">
        <v>8</v>
      </c>
      <c r="O2182" s="15" t="s">
        <v>8</v>
      </c>
      <c r="Q2182" s="15" t="s">
        <v>8</v>
      </c>
      <c r="T2182" s="15" t="s">
        <v>8</v>
      </c>
      <c r="U2182" s="15" t="s">
        <v>8</v>
      </c>
      <c r="V2182" s="15" t="s">
        <v>8</v>
      </c>
      <c r="Z2182" s="20" t="str">
        <f>HYPERLINK("http://yeinfo.com/family/I09066954.html", "JOAN NEVILLE &lt;2&gt; 1242 EN-1326 EN ID:09066954")</f>
        <v>JOAN NEVILLE &lt;2&gt; 1242 EN-1326 EN ID:09066954</v>
      </c>
      <c r="AA2182" s="17"/>
      <c r="AB2182" s="17"/>
      <c r="AC2182" s="17"/>
      <c r="AD2182" s="17"/>
    </row>
    <row r="2183" spans="3:31" x14ac:dyDescent="0.35">
      <c r="C2183" s="15" t="s">
        <v>8</v>
      </c>
      <c r="D2183" s="15" t="s">
        <v>8</v>
      </c>
      <c r="G2183" s="15" t="s">
        <v>8</v>
      </c>
      <c r="L2183" s="15" t="s">
        <v>8</v>
      </c>
      <c r="M2183" s="15" t="s">
        <v>8</v>
      </c>
      <c r="N2183" s="15" t="s">
        <v>8</v>
      </c>
      <c r="O2183" s="15" t="s">
        <v>8</v>
      </c>
      <c r="Q2183" s="15" t="s">
        <v>8</v>
      </c>
      <c r="T2183" s="15" t="s">
        <v>8</v>
      </c>
      <c r="U2183" s="8" t="s">
        <v>6</v>
      </c>
      <c r="V2183" s="15" t="s">
        <v>8</v>
      </c>
    </row>
    <row r="2184" spans="3:31" x14ac:dyDescent="0.35">
      <c r="C2184" s="15" t="s">
        <v>8</v>
      </c>
      <c r="D2184" s="15" t="s">
        <v>8</v>
      </c>
      <c r="G2184" s="15" t="s">
        <v>8</v>
      </c>
      <c r="L2184" s="15" t="s">
        <v>8</v>
      </c>
      <c r="M2184" s="15" t="s">
        <v>8</v>
      </c>
      <c r="N2184" s="15" t="s">
        <v>8</v>
      </c>
      <c r="O2184" s="15" t="s">
        <v>8</v>
      </c>
      <c r="Q2184" s="15" t="s">
        <v>8</v>
      </c>
      <c r="T2184" s="15" t="s">
        <v>8</v>
      </c>
      <c r="U2184" s="20" t="str">
        <f>HYPERLINK("http://yeinfo.com/family/I09066853.html", "ALICE VENABLES &lt;2&gt; 1398 EN-1463 EN ID:09066853")</f>
        <v>ALICE VENABLES &lt;2&gt; 1398 EN-1463 EN ID:09066853</v>
      </c>
      <c r="V2184" s="17"/>
      <c r="W2184" s="17"/>
      <c r="X2184" s="17"/>
      <c r="Y2184" s="17"/>
    </row>
    <row r="2185" spans="3:31" x14ac:dyDescent="0.35">
      <c r="C2185" s="15" t="s">
        <v>8</v>
      </c>
      <c r="D2185" s="15" t="s">
        <v>8</v>
      </c>
      <c r="G2185" s="15" t="s">
        <v>8</v>
      </c>
      <c r="L2185" s="15" t="s">
        <v>8</v>
      </c>
      <c r="M2185" s="15" t="s">
        <v>8</v>
      </c>
      <c r="N2185" s="15" t="s">
        <v>8</v>
      </c>
      <c r="O2185" s="15" t="s">
        <v>8</v>
      </c>
      <c r="Q2185" s="15" t="s">
        <v>8</v>
      </c>
      <c r="T2185" s="15" t="s">
        <v>8</v>
      </c>
      <c r="V2185" s="15" t="s">
        <v>8</v>
      </c>
    </row>
    <row r="2186" spans="3:31" x14ac:dyDescent="0.35">
      <c r="C2186" s="15" t="s">
        <v>8</v>
      </c>
      <c r="D2186" s="15" t="s">
        <v>8</v>
      </c>
      <c r="G2186" s="15" t="s">
        <v>8</v>
      </c>
      <c r="L2186" s="15" t="s">
        <v>8</v>
      </c>
      <c r="M2186" s="15" t="s">
        <v>8</v>
      </c>
      <c r="N2186" s="15" t="s">
        <v>8</v>
      </c>
      <c r="O2186" s="15" t="s">
        <v>8</v>
      </c>
      <c r="Q2186" s="15" t="s">
        <v>8</v>
      </c>
      <c r="T2186" s="15" t="s">
        <v>8</v>
      </c>
      <c r="V2186" s="15" t="s">
        <v>8</v>
      </c>
      <c r="AA2186" s="19" t="str">
        <f>HYPERLINK("http://yeinfo.com/family/I09066946.html", "WILLIAM MASSEY &lt;4&gt; 1190 EN-1272 IS ID:09066946")</f>
        <v>WILLIAM MASSEY &lt;4&gt; 1190 EN-1272 IS ID:09066946</v>
      </c>
      <c r="AB2186" s="9"/>
      <c r="AC2186" s="9"/>
      <c r="AD2186" s="9"/>
      <c r="AE2186" s="9"/>
    </row>
    <row r="2187" spans="3:31" x14ac:dyDescent="0.35">
      <c r="C2187" s="15" t="s">
        <v>8</v>
      </c>
      <c r="D2187" s="15" t="s">
        <v>8</v>
      </c>
      <c r="G2187" s="15" t="s">
        <v>8</v>
      </c>
      <c r="L2187" s="15" t="s">
        <v>8</v>
      </c>
      <c r="M2187" s="15" t="s">
        <v>8</v>
      </c>
      <c r="N2187" s="15" t="s">
        <v>8</v>
      </c>
      <c r="O2187" s="15" t="s">
        <v>8</v>
      </c>
      <c r="Q2187" s="15" t="s">
        <v>8</v>
      </c>
      <c r="T2187" s="15" t="s">
        <v>8</v>
      </c>
      <c r="V2187" s="15" t="s">
        <v>8</v>
      </c>
      <c r="AA2187" s="8" t="s">
        <v>3</v>
      </c>
    </row>
    <row r="2188" spans="3:31" x14ac:dyDescent="0.35">
      <c r="C2188" s="15" t="s">
        <v>8</v>
      </c>
      <c r="D2188" s="15" t="s">
        <v>8</v>
      </c>
      <c r="G2188" s="15" t="s">
        <v>8</v>
      </c>
      <c r="L2188" s="15" t="s">
        <v>8</v>
      </c>
      <c r="M2188" s="15" t="s">
        <v>8</v>
      </c>
      <c r="N2188" s="15" t="s">
        <v>8</v>
      </c>
      <c r="O2188" s="15" t="s">
        <v>8</v>
      </c>
      <c r="Q2188" s="15" t="s">
        <v>8</v>
      </c>
      <c r="T2188" s="15" t="s">
        <v>8</v>
      </c>
      <c r="V2188" s="15" t="s">
        <v>8</v>
      </c>
      <c r="Z2188" s="19" t="str">
        <f>HYPERLINK("http://yeinfo.com/family/I09066947.html", "ROBERT ROSTHERNE MASSEY &lt;4&gt; 1228 EN-1328 EN ID:09066947")</f>
        <v>ROBERT ROSTHERNE MASSEY &lt;4&gt; 1228 EN-1328 EN ID:09066947</v>
      </c>
      <c r="AA2188" s="9"/>
      <c r="AB2188" s="9"/>
      <c r="AC2188" s="9"/>
      <c r="AD2188" s="9"/>
    </row>
    <row r="2189" spans="3:31" x14ac:dyDescent="0.35">
      <c r="C2189" s="15" t="s">
        <v>8</v>
      </c>
      <c r="D2189" s="15" t="s">
        <v>8</v>
      </c>
      <c r="G2189" s="15" t="s">
        <v>8</v>
      </c>
      <c r="L2189" s="15" t="s">
        <v>8</v>
      </c>
      <c r="M2189" s="15" t="s">
        <v>8</v>
      </c>
      <c r="N2189" s="15" t="s">
        <v>8</v>
      </c>
      <c r="O2189" s="15" t="s">
        <v>8</v>
      </c>
      <c r="Q2189" s="15" t="s">
        <v>8</v>
      </c>
      <c r="T2189" s="15" t="s">
        <v>8</v>
      </c>
      <c r="V2189" s="15" t="s">
        <v>8</v>
      </c>
      <c r="Z2189" s="8" t="s">
        <v>3</v>
      </c>
      <c r="AA2189" s="8" t="s">
        <v>6</v>
      </c>
    </row>
    <row r="2190" spans="3:31" x14ac:dyDescent="0.35">
      <c r="C2190" s="15" t="s">
        <v>8</v>
      </c>
      <c r="D2190" s="15" t="s">
        <v>8</v>
      </c>
      <c r="G2190" s="15" t="s">
        <v>8</v>
      </c>
      <c r="L2190" s="15" t="s">
        <v>8</v>
      </c>
      <c r="M2190" s="15" t="s">
        <v>8</v>
      </c>
      <c r="N2190" s="15" t="s">
        <v>8</v>
      </c>
      <c r="O2190" s="15" t="s">
        <v>8</v>
      </c>
      <c r="Q2190" s="15" t="s">
        <v>8</v>
      </c>
      <c r="T2190" s="15" t="s">
        <v>8</v>
      </c>
      <c r="V2190" s="15" t="s">
        <v>8</v>
      </c>
      <c r="Z2190" s="15" t="s">
        <v>8</v>
      </c>
      <c r="AA2190" s="20" t="str">
        <f>HYPERLINK("http://yeinfo.com/family/I09066970.html", "MARGERY ROSTHERNE &lt;4&gt; 1190 EN-1228 EN ID:09066970")</f>
        <v>MARGERY ROSTHERNE &lt;4&gt; 1190 EN-1228 EN ID:09066970</v>
      </c>
      <c r="AB2190" s="17"/>
      <c r="AC2190" s="17"/>
      <c r="AD2190" s="17"/>
      <c r="AE2190" s="17"/>
    </row>
    <row r="2191" spans="3:31" x14ac:dyDescent="0.35">
      <c r="C2191" s="15" t="s">
        <v>8</v>
      </c>
      <c r="D2191" s="15" t="s">
        <v>8</v>
      </c>
      <c r="G2191" s="15" t="s">
        <v>8</v>
      </c>
      <c r="L2191" s="15" t="s">
        <v>8</v>
      </c>
      <c r="M2191" s="15" t="s">
        <v>8</v>
      </c>
      <c r="N2191" s="15" t="s">
        <v>8</v>
      </c>
      <c r="O2191" s="15" t="s">
        <v>8</v>
      </c>
      <c r="Q2191" s="15" t="s">
        <v>8</v>
      </c>
      <c r="T2191" s="15" t="s">
        <v>8</v>
      </c>
      <c r="V2191" s="15" t="s">
        <v>8</v>
      </c>
      <c r="Z2191" s="15" t="s">
        <v>8</v>
      </c>
    </row>
    <row r="2192" spans="3:31" x14ac:dyDescent="0.35">
      <c r="C2192" s="15" t="s">
        <v>8</v>
      </c>
      <c r="D2192" s="15" t="s">
        <v>8</v>
      </c>
      <c r="G2192" s="15" t="s">
        <v>8</v>
      </c>
      <c r="L2192" s="15" t="s">
        <v>8</v>
      </c>
      <c r="M2192" s="15" t="s">
        <v>8</v>
      </c>
      <c r="N2192" s="15" t="s">
        <v>8</v>
      </c>
      <c r="O2192" s="15" t="s">
        <v>8</v>
      </c>
      <c r="Q2192" s="15" t="s">
        <v>8</v>
      </c>
      <c r="T2192" s="15" t="s">
        <v>8</v>
      </c>
      <c r="V2192" s="15" t="s">
        <v>8</v>
      </c>
      <c r="Y2192" s="19" t="str">
        <f>HYPERLINK("http://yeinfo.com/family/I09066948.html", "WILLIAM MASSEY &lt;4&gt; 1290 EN-1338 EN ID:09066948")</f>
        <v>WILLIAM MASSEY &lt;4&gt; 1290 EN-1338 EN ID:09066948</v>
      </c>
      <c r="Z2192" s="9"/>
      <c r="AA2192" s="9"/>
      <c r="AB2192" s="9"/>
      <c r="AC2192" s="9"/>
    </row>
    <row r="2193" spans="3:32" x14ac:dyDescent="0.35">
      <c r="C2193" s="15" t="s">
        <v>8</v>
      </c>
      <c r="D2193" s="15" t="s">
        <v>8</v>
      </c>
      <c r="G2193" s="15" t="s">
        <v>8</v>
      </c>
      <c r="L2193" s="15" t="s">
        <v>8</v>
      </c>
      <c r="M2193" s="15" t="s">
        <v>8</v>
      </c>
      <c r="N2193" s="15" t="s">
        <v>8</v>
      </c>
      <c r="O2193" s="15" t="s">
        <v>8</v>
      </c>
      <c r="Q2193" s="15" t="s">
        <v>8</v>
      </c>
      <c r="T2193" s="15" t="s">
        <v>8</v>
      </c>
      <c r="V2193" s="15" t="s">
        <v>8</v>
      </c>
      <c r="Y2193" s="8" t="s">
        <v>3</v>
      </c>
      <c r="Z2193" s="8" t="s">
        <v>6</v>
      </c>
    </row>
    <row r="2194" spans="3:32" x14ac:dyDescent="0.35">
      <c r="C2194" s="15" t="s">
        <v>8</v>
      </c>
      <c r="D2194" s="15" t="s">
        <v>8</v>
      </c>
      <c r="G2194" s="15" t="s">
        <v>8</v>
      </c>
      <c r="L2194" s="15" t="s">
        <v>8</v>
      </c>
      <c r="M2194" s="15" t="s">
        <v>8</v>
      </c>
      <c r="N2194" s="15" t="s">
        <v>8</v>
      </c>
      <c r="O2194" s="15" t="s">
        <v>8</v>
      </c>
      <c r="Q2194" s="15" t="s">
        <v>8</v>
      </c>
      <c r="T2194" s="15" t="s">
        <v>8</v>
      </c>
      <c r="V2194" s="15" t="s">
        <v>8</v>
      </c>
      <c r="Y2194" s="15" t="s">
        <v>8</v>
      </c>
      <c r="Z2194" s="20" t="str">
        <f>HYPERLINK("http://yeinfo.com/family/I09066971.html", "MARGARET ROSTHERNE &lt;4&gt; 1242 EN-1340 EN ID:09066971")</f>
        <v>MARGARET ROSTHERNE &lt;4&gt; 1242 EN-1340 EN ID:09066971</v>
      </c>
      <c r="AA2194" s="17"/>
      <c r="AB2194" s="17"/>
      <c r="AC2194" s="17"/>
      <c r="AD2194" s="17"/>
    </row>
    <row r="2195" spans="3:32" x14ac:dyDescent="0.35">
      <c r="C2195" s="15" t="s">
        <v>8</v>
      </c>
      <c r="D2195" s="15" t="s">
        <v>8</v>
      </c>
      <c r="G2195" s="15" t="s">
        <v>8</v>
      </c>
      <c r="L2195" s="15" t="s">
        <v>8</v>
      </c>
      <c r="M2195" s="15" t="s">
        <v>8</v>
      </c>
      <c r="N2195" s="15" t="s">
        <v>8</v>
      </c>
      <c r="O2195" s="15" t="s">
        <v>8</v>
      </c>
      <c r="Q2195" s="15" t="s">
        <v>8</v>
      </c>
      <c r="T2195" s="15" t="s">
        <v>8</v>
      </c>
      <c r="V2195" s="15" t="s">
        <v>8</v>
      </c>
      <c r="Y2195" s="15" t="s">
        <v>8</v>
      </c>
    </row>
    <row r="2196" spans="3:32" x14ac:dyDescent="0.35">
      <c r="C2196" s="15" t="s">
        <v>8</v>
      </c>
      <c r="D2196" s="15" t="s">
        <v>8</v>
      </c>
      <c r="G2196" s="15" t="s">
        <v>8</v>
      </c>
      <c r="L2196" s="15" t="s">
        <v>8</v>
      </c>
      <c r="M2196" s="15" t="s">
        <v>8</v>
      </c>
      <c r="N2196" s="15" t="s">
        <v>8</v>
      </c>
      <c r="O2196" s="15" t="s">
        <v>8</v>
      </c>
      <c r="Q2196" s="15" t="s">
        <v>8</v>
      </c>
      <c r="T2196" s="15" t="s">
        <v>8</v>
      </c>
      <c r="V2196" s="15" t="s">
        <v>8</v>
      </c>
      <c r="X2196" s="19" t="str">
        <f>HYPERLINK("http://yeinfo.com/family/I09066949.html", "HUGH MASSEY &lt;4&gt; 1320 EN-1371 EN ID:09066949")</f>
        <v>HUGH MASSEY &lt;4&gt; 1320 EN-1371 EN ID:09066949</v>
      </c>
      <c r="Y2196" s="9"/>
      <c r="Z2196" s="9"/>
      <c r="AA2196" s="9"/>
      <c r="AB2196" s="9"/>
    </row>
    <row r="2197" spans="3:32" x14ac:dyDescent="0.35">
      <c r="C2197" s="15" t="s">
        <v>8</v>
      </c>
      <c r="D2197" s="15" t="s">
        <v>8</v>
      </c>
      <c r="G2197" s="15" t="s">
        <v>8</v>
      </c>
      <c r="L2197" s="15" t="s">
        <v>8</v>
      </c>
      <c r="M2197" s="15" t="s">
        <v>8</v>
      </c>
      <c r="N2197" s="15" t="s">
        <v>8</v>
      </c>
      <c r="O2197" s="15" t="s">
        <v>8</v>
      </c>
      <c r="Q2197" s="15" t="s">
        <v>8</v>
      </c>
      <c r="T2197" s="15" t="s">
        <v>8</v>
      </c>
      <c r="V2197" s="15" t="s">
        <v>8</v>
      </c>
      <c r="X2197" s="8" t="s">
        <v>3</v>
      </c>
      <c r="Y2197" s="15" t="s">
        <v>8</v>
      </c>
    </row>
    <row r="2198" spans="3:32" x14ac:dyDescent="0.35">
      <c r="C2198" s="15" t="s">
        <v>8</v>
      </c>
      <c r="D2198" s="15" t="s">
        <v>8</v>
      </c>
      <c r="G2198" s="15" t="s">
        <v>8</v>
      </c>
      <c r="L2198" s="15" t="s">
        <v>8</v>
      </c>
      <c r="M2198" s="15" t="s">
        <v>8</v>
      </c>
      <c r="N2198" s="15" t="s">
        <v>8</v>
      </c>
      <c r="O2198" s="15" t="s">
        <v>8</v>
      </c>
      <c r="Q2198" s="15" t="s">
        <v>8</v>
      </c>
      <c r="T2198" s="15" t="s">
        <v>8</v>
      </c>
      <c r="V2198" s="15" t="s">
        <v>8</v>
      </c>
      <c r="X2198" s="15" t="s">
        <v>8</v>
      </c>
      <c r="Y2198" s="15" t="s">
        <v>8</v>
      </c>
      <c r="Z2198" s="19" t="str">
        <f>HYPERLINK("http://yeinfo.com/family/I09066941.html", "THOMAS LYMM LEIGH &lt;4&gt; 1263 EN-1317 EN ID:09066941")</f>
        <v>THOMAS LYMM LEIGH &lt;4&gt; 1263 EN-1317 EN ID:09066941</v>
      </c>
      <c r="AA2198" s="9"/>
      <c r="AB2198" s="9"/>
      <c r="AC2198" s="9"/>
      <c r="AD2198" s="9"/>
    </row>
    <row r="2199" spans="3:32" x14ac:dyDescent="0.35">
      <c r="C2199" s="15" t="s">
        <v>8</v>
      </c>
      <c r="D2199" s="15" t="s">
        <v>8</v>
      </c>
      <c r="G2199" s="15" t="s">
        <v>8</v>
      </c>
      <c r="L2199" s="15" t="s">
        <v>8</v>
      </c>
      <c r="M2199" s="15" t="s">
        <v>8</v>
      </c>
      <c r="N2199" s="15" t="s">
        <v>8</v>
      </c>
      <c r="O2199" s="15" t="s">
        <v>8</v>
      </c>
      <c r="Q2199" s="15" t="s">
        <v>8</v>
      </c>
      <c r="T2199" s="15" t="s">
        <v>8</v>
      </c>
      <c r="V2199" s="15" t="s">
        <v>8</v>
      </c>
      <c r="X2199" s="15" t="s">
        <v>8</v>
      </c>
      <c r="Y2199" s="8" t="s">
        <v>6</v>
      </c>
      <c r="Z2199" s="8" t="s">
        <v>3</v>
      </c>
    </row>
    <row r="2200" spans="3:32" x14ac:dyDescent="0.35">
      <c r="C2200" s="15" t="s">
        <v>8</v>
      </c>
      <c r="D2200" s="15" t="s">
        <v>8</v>
      </c>
      <c r="G2200" s="15" t="s">
        <v>8</v>
      </c>
      <c r="L2200" s="15" t="s">
        <v>8</v>
      </c>
      <c r="M2200" s="15" t="s">
        <v>8</v>
      </c>
      <c r="N2200" s="15" t="s">
        <v>8</v>
      </c>
      <c r="O2200" s="15" t="s">
        <v>8</v>
      </c>
      <c r="Q2200" s="15" t="s">
        <v>8</v>
      </c>
      <c r="T2200" s="15" t="s">
        <v>8</v>
      </c>
      <c r="V2200" s="15" t="s">
        <v>8</v>
      </c>
      <c r="X2200" s="15" t="s">
        <v>8</v>
      </c>
      <c r="Y2200" s="20" t="str">
        <f>HYPERLINK("http://yeinfo.com/family/I09066942.html", "MARGERY LEIGH &lt;4&gt; 1280 EN-1338 EN ID:09066942")</f>
        <v>MARGERY LEIGH &lt;4&gt; 1280 EN-1338 EN ID:09066942</v>
      </c>
      <c r="Z2200" s="17"/>
      <c r="AA2200" s="17"/>
      <c r="AB2200" s="17"/>
      <c r="AC2200" s="17"/>
    </row>
    <row r="2201" spans="3:32" x14ac:dyDescent="0.35">
      <c r="C2201" s="15" t="s">
        <v>8</v>
      </c>
      <c r="D2201" s="15" t="s">
        <v>8</v>
      </c>
      <c r="G2201" s="15" t="s">
        <v>8</v>
      </c>
      <c r="L2201" s="15" t="s">
        <v>8</v>
      </c>
      <c r="M2201" s="15" t="s">
        <v>8</v>
      </c>
      <c r="N2201" s="15" t="s">
        <v>8</v>
      </c>
      <c r="O2201" s="15" t="s">
        <v>8</v>
      </c>
      <c r="Q2201" s="15" t="s">
        <v>8</v>
      </c>
      <c r="T2201" s="15" t="s">
        <v>8</v>
      </c>
      <c r="V2201" s="15" t="s">
        <v>8</v>
      </c>
      <c r="X2201" s="15" t="s">
        <v>8</v>
      </c>
      <c r="Z2201" s="8" t="s">
        <v>6</v>
      </c>
    </row>
    <row r="2202" spans="3:32" x14ac:dyDescent="0.35">
      <c r="C2202" s="15" t="s">
        <v>8</v>
      </c>
      <c r="D2202" s="15" t="s">
        <v>8</v>
      </c>
      <c r="G2202" s="15" t="s">
        <v>8</v>
      </c>
      <c r="L2202" s="15" t="s">
        <v>8</v>
      </c>
      <c r="M2202" s="15" t="s">
        <v>8</v>
      </c>
      <c r="N2202" s="15" t="s">
        <v>8</v>
      </c>
      <c r="O2202" s="15" t="s">
        <v>8</v>
      </c>
      <c r="Q2202" s="15" t="s">
        <v>8</v>
      </c>
      <c r="T2202" s="15" t="s">
        <v>8</v>
      </c>
      <c r="V2202" s="15" t="s">
        <v>8</v>
      </c>
      <c r="X2202" s="15" t="s">
        <v>8</v>
      </c>
      <c r="Z2202" s="20" t="str">
        <f>HYPERLINK("http://yeinfo.com/family/I09066940.html", "Mrs. CECILY\SYBIL LEIGH &lt;4&gt; 1250 EN-1305 EN ID:09066940")</f>
        <v>Mrs. CECILY\SYBIL LEIGH &lt;4&gt; 1250 EN-1305 EN ID:09066940</v>
      </c>
      <c r="AA2202" s="17"/>
      <c r="AB2202" s="17"/>
      <c r="AC2202" s="17"/>
      <c r="AD2202" s="17"/>
      <c r="AE2202" s="17"/>
      <c r="AF2202" s="17"/>
    </row>
    <row r="2203" spans="3:32" x14ac:dyDescent="0.35">
      <c r="C2203" s="15" t="s">
        <v>8</v>
      </c>
      <c r="D2203" s="15" t="s">
        <v>8</v>
      </c>
      <c r="G2203" s="15" t="s">
        <v>8</v>
      </c>
      <c r="L2203" s="15" t="s">
        <v>8</v>
      </c>
      <c r="M2203" s="15" t="s">
        <v>8</v>
      </c>
      <c r="N2203" s="15" t="s">
        <v>8</v>
      </c>
      <c r="O2203" s="15" t="s">
        <v>8</v>
      </c>
      <c r="Q2203" s="15" t="s">
        <v>8</v>
      </c>
      <c r="T2203" s="15" t="s">
        <v>8</v>
      </c>
      <c r="V2203" s="15" t="s">
        <v>8</v>
      </c>
      <c r="X2203" s="15" t="s">
        <v>8</v>
      </c>
    </row>
    <row r="2204" spans="3:32" x14ac:dyDescent="0.35">
      <c r="C2204" s="15" t="s">
        <v>8</v>
      </c>
      <c r="D2204" s="15" t="s">
        <v>8</v>
      </c>
      <c r="G2204" s="15" t="s">
        <v>8</v>
      </c>
      <c r="L2204" s="15" t="s">
        <v>8</v>
      </c>
      <c r="M2204" s="15" t="s">
        <v>8</v>
      </c>
      <c r="N2204" s="15" t="s">
        <v>8</v>
      </c>
      <c r="O2204" s="15" t="s">
        <v>8</v>
      </c>
      <c r="Q2204" s="15" t="s">
        <v>8</v>
      </c>
      <c r="T2204" s="15" t="s">
        <v>8</v>
      </c>
      <c r="V2204" s="15" t="s">
        <v>8</v>
      </c>
      <c r="W2204" s="19" t="str">
        <f>HYPERLINK("http://yeinfo.com/family/I09066951.html", "JOHN MASSEY &lt;2&gt; 1344 EN-1403 EN ID:09066951")</f>
        <v>JOHN MASSEY &lt;2&gt; 1344 EN-1403 EN ID:09066951</v>
      </c>
      <c r="X2204" s="9"/>
      <c r="Y2204" s="9"/>
      <c r="Z2204" s="9"/>
      <c r="AA2204" s="9"/>
    </row>
    <row r="2205" spans="3:32" x14ac:dyDescent="0.35">
      <c r="C2205" s="15" t="s">
        <v>8</v>
      </c>
      <c r="D2205" s="15" t="s">
        <v>8</v>
      </c>
      <c r="G2205" s="15" t="s">
        <v>8</v>
      </c>
      <c r="L2205" s="15" t="s">
        <v>8</v>
      </c>
      <c r="M2205" s="15" t="s">
        <v>8</v>
      </c>
      <c r="N2205" s="15" t="s">
        <v>8</v>
      </c>
      <c r="O2205" s="15" t="s">
        <v>8</v>
      </c>
      <c r="Q2205" s="15" t="s">
        <v>8</v>
      </c>
      <c r="T2205" s="15" t="s">
        <v>8</v>
      </c>
      <c r="V2205" s="15" t="s">
        <v>8</v>
      </c>
      <c r="W2205" s="8" t="s">
        <v>3</v>
      </c>
      <c r="X2205" s="15" t="s">
        <v>8</v>
      </c>
    </row>
    <row r="2206" spans="3:32" x14ac:dyDescent="0.35">
      <c r="C2206" s="15" t="s">
        <v>8</v>
      </c>
      <c r="D2206" s="15" t="s">
        <v>8</v>
      </c>
      <c r="G2206" s="15" t="s">
        <v>8</v>
      </c>
      <c r="L2206" s="15" t="s">
        <v>8</v>
      </c>
      <c r="M2206" s="15" t="s">
        <v>8</v>
      </c>
      <c r="N2206" s="15" t="s">
        <v>8</v>
      </c>
      <c r="O2206" s="15" t="s">
        <v>8</v>
      </c>
      <c r="Q2206" s="15" t="s">
        <v>8</v>
      </c>
      <c r="T2206" s="15" t="s">
        <v>8</v>
      </c>
      <c r="V2206" s="15" t="s">
        <v>8</v>
      </c>
      <c r="W2206" s="15" t="s">
        <v>8</v>
      </c>
      <c r="X2206" s="15" t="s">
        <v>8</v>
      </c>
      <c r="Y2206" s="19" t="str">
        <f>HYPERLINK("http://yeinfo.com/family/I09067009.html", "JOHN WRENBURY &lt;4&gt; 1292 EN-1349 EN ID:09067009")</f>
        <v>JOHN WRENBURY &lt;4&gt; 1292 EN-1349 EN ID:09067009</v>
      </c>
      <c r="Z2206" s="9"/>
      <c r="AA2206" s="9"/>
      <c r="AB2206" s="9"/>
      <c r="AC2206" s="9"/>
    </row>
    <row r="2207" spans="3:32" x14ac:dyDescent="0.35">
      <c r="C2207" s="15" t="s">
        <v>8</v>
      </c>
      <c r="D2207" s="15" t="s">
        <v>8</v>
      </c>
      <c r="G2207" s="15" t="s">
        <v>8</v>
      </c>
      <c r="L2207" s="15" t="s">
        <v>8</v>
      </c>
      <c r="M2207" s="15" t="s">
        <v>8</v>
      </c>
      <c r="N2207" s="15" t="s">
        <v>8</v>
      </c>
      <c r="O2207" s="15" t="s">
        <v>8</v>
      </c>
      <c r="Q2207" s="15" t="s">
        <v>8</v>
      </c>
      <c r="T2207" s="15" t="s">
        <v>8</v>
      </c>
      <c r="V2207" s="15" t="s">
        <v>8</v>
      </c>
      <c r="W2207" s="15" t="s">
        <v>8</v>
      </c>
      <c r="X2207" s="8" t="s">
        <v>6</v>
      </c>
      <c r="Y2207" s="8" t="s">
        <v>3</v>
      </c>
    </row>
    <row r="2208" spans="3:32" x14ac:dyDescent="0.35">
      <c r="C2208" s="15" t="s">
        <v>8</v>
      </c>
      <c r="D2208" s="15" t="s">
        <v>8</v>
      </c>
      <c r="G2208" s="15" t="s">
        <v>8</v>
      </c>
      <c r="L2208" s="15" t="s">
        <v>8</v>
      </c>
      <c r="M2208" s="15" t="s">
        <v>8</v>
      </c>
      <c r="N2208" s="15" t="s">
        <v>8</v>
      </c>
      <c r="O2208" s="15" t="s">
        <v>8</v>
      </c>
      <c r="Q2208" s="15" t="s">
        <v>8</v>
      </c>
      <c r="T2208" s="15" t="s">
        <v>8</v>
      </c>
      <c r="V2208" s="15" t="s">
        <v>8</v>
      </c>
      <c r="W2208" s="15" t="s">
        <v>8</v>
      </c>
      <c r="X2208" s="20" t="str">
        <f>HYPERLINK("http://yeinfo.com/family/I09067010.html", "ALICE WRENBURY &lt;4&gt; 1320 EN-1370 EN ID:09067010")</f>
        <v>ALICE WRENBURY &lt;4&gt; 1320 EN-1370 EN ID:09067010</v>
      </c>
      <c r="Y2208" s="17"/>
      <c r="Z2208" s="17"/>
      <c r="AA2208" s="17"/>
      <c r="AB2208" s="17"/>
    </row>
    <row r="2209" spans="3:32" x14ac:dyDescent="0.35">
      <c r="C2209" s="15" t="s">
        <v>8</v>
      </c>
      <c r="D2209" s="15" t="s">
        <v>8</v>
      </c>
      <c r="G2209" s="15" t="s">
        <v>8</v>
      </c>
      <c r="L2209" s="15" t="s">
        <v>8</v>
      </c>
      <c r="M2209" s="15" t="s">
        <v>8</v>
      </c>
      <c r="N2209" s="15" t="s">
        <v>8</v>
      </c>
      <c r="O2209" s="15" t="s">
        <v>8</v>
      </c>
      <c r="Q2209" s="15" t="s">
        <v>8</v>
      </c>
      <c r="T2209" s="15" t="s">
        <v>8</v>
      </c>
      <c r="V2209" s="15" t="s">
        <v>8</v>
      </c>
      <c r="W2209" s="15" t="s">
        <v>8</v>
      </c>
      <c r="Y2209" s="8" t="s">
        <v>6</v>
      </c>
    </row>
    <row r="2210" spans="3:32" x14ac:dyDescent="0.35">
      <c r="C2210" s="15" t="s">
        <v>8</v>
      </c>
      <c r="D2210" s="15" t="s">
        <v>8</v>
      </c>
      <c r="G2210" s="15" t="s">
        <v>8</v>
      </c>
      <c r="L2210" s="15" t="s">
        <v>8</v>
      </c>
      <c r="M2210" s="15" t="s">
        <v>8</v>
      </c>
      <c r="N2210" s="15" t="s">
        <v>8</v>
      </c>
      <c r="O2210" s="15" t="s">
        <v>8</v>
      </c>
      <c r="Q2210" s="15" t="s">
        <v>8</v>
      </c>
      <c r="T2210" s="15" t="s">
        <v>8</v>
      </c>
      <c r="V2210" s="15" t="s">
        <v>8</v>
      </c>
      <c r="W2210" s="15" t="s">
        <v>8</v>
      </c>
      <c r="Y2210" s="20" t="str">
        <f>HYPERLINK("http://yeinfo.com/family/I09066863.html", "ALICE AUDLEM &lt;4&gt; 1290 EN-1320 EN ID:09066863")</f>
        <v>ALICE AUDLEM &lt;4&gt; 1290 EN-1320 EN ID:09066863</v>
      </c>
      <c r="Z2210" s="17"/>
      <c r="AA2210" s="17"/>
      <c r="AB2210" s="17"/>
      <c r="AC2210" s="17"/>
    </row>
    <row r="2211" spans="3:32" x14ac:dyDescent="0.35">
      <c r="C2211" s="15" t="s">
        <v>8</v>
      </c>
      <c r="D2211" s="15" t="s">
        <v>8</v>
      </c>
      <c r="G2211" s="15" t="s">
        <v>8</v>
      </c>
      <c r="L2211" s="15" t="s">
        <v>8</v>
      </c>
      <c r="M2211" s="15" t="s">
        <v>8</v>
      </c>
      <c r="N2211" s="15" t="s">
        <v>8</v>
      </c>
      <c r="O2211" s="15" t="s">
        <v>8</v>
      </c>
      <c r="Q2211" s="15" t="s">
        <v>8</v>
      </c>
      <c r="T2211" s="15" t="s">
        <v>8</v>
      </c>
      <c r="V2211" s="8" t="s">
        <v>6</v>
      </c>
      <c r="W2211" s="15" t="s">
        <v>8</v>
      </c>
    </row>
    <row r="2212" spans="3:32" x14ac:dyDescent="0.35">
      <c r="C2212" s="15" t="s">
        <v>8</v>
      </c>
      <c r="D2212" s="15" t="s">
        <v>8</v>
      </c>
      <c r="G2212" s="15" t="s">
        <v>8</v>
      </c>
      <c r="L2212" s="15" t="s">
        <v>8</v>
      </c>
      <c r="M2212" s="15" t="s">
        <v>8</v>
      </c>
      <c r="N2212" s="15" t="s">
        <v>8</v>
      </c>
      <c r="O2212" s="15" t="s">
        <v>8</v>
      </c>
      <c r="Q2212" s="15" t="s">
        <v>8</v>
      </c>
      <c r="T2212" s="15" t="s">
        <v>8</v>
      </c>
      <c r="V2212" s="20" t="str">
        <f>HYPERLINK("http://yeinfo.com/family/I09066952.html", "JOHANNA JOAN MASSEY &lt;2&gt; 1375 EN-1420 EN ID:09066952")</f>
        <v>JOHANNA JOAN MASSEY &lt;2&gt; 1375 EN-1420 EN ID:09066952</v>
      </c>
      <c r="W2212" s="17"/>
      <c r="X2212" s="17"/>
      <c r="Y2212" s="17"/>
      <c r="Z2212" s="17"/>
    </row>
    <row r="2213" spans="3:32" x14ac:dyDescent="0.35">
      <c r="C2213" s="15" t="s">
        <v>8</v>
      </c>
      <c r="D2213" s="15" t="s">
        <v>8</v>
      </c>
      <c r="G2213" s="15" t="s">
        <v>8</v>
      </c>
      <c r="L2213" s="15" t="s">
        <v>8</v>
      </c>
      <c r="M2213" s="15" t="s">
        <v>8</v>
      </c>
      <c r="N2213" s="15" t="s">
        <v>8</v>
      </c>
      <c r="O2213" s="15" t="s">
        <v>8</v>
      </c>
      <c r="Q2213" s="15" t="s">
        <v>8</v>
      </c>
      <c r="T2213" s="15" t="s">
        <v>8</v>
      </c>
      <c r="W2213" s="15" t="s">
        <v>8</v>
      </c>
    </row>
    <row r="2214" spans="3:32" x14ac:dyDescent="0.35">
      <c r="C2214" s="15" t="s">
        <v>8</v>
      </c>
      <c r="D2214" s="15" t="s">
        <v>8</v>
      </c>
      <c r="G2214" s="15" t="s">
        <v>8</v>
      </c>
      <c r="L2214" s="15" t="s">
        <v>8</v>
      </c>
      <c r="M2214" s="15" t="s">
        <v>8</v>
      </c>
      <c r="N2214" s="15" t="s">
        <v>8</v>
      </c>
      <c r="O2214" s="15" t="s">
        <v>8</v>
      </c>
      <c r="Q2214" s="15" t="s">
        <v>8</v>
      </c>
      <c r="T2214" s="15" t="s">
        <v>8</v>
      </c>
      <c r="W2214" s="15" t="s">
        <v>8</v>
      </c>
      <c r="AB2214" s="19" t="str">
        <f>HYPERLINK("http://yeinfo.com/family/I09066999.html", "RICHARD WORSLEY &lt;4&gt; 1218 EN-1292 NO ID:09066999")</f>
        <v>RICHARD WORSLEY &lt;4&gt; 1218 EN-1292 NO ID:09066999</v>
      </c>
      <c r="AC2214" s="9"/>
      <c r="AD2214" s="9"/>
      <c r="AE2214" s="9"/>
      <c r="AF2214" s="9"/>
    </row>
    <row r="2215" spans="3:32" x14ac:dyDescent="0.35">
      <c r="C2215" s="15" t="s">
        <v>8</v>
      </c>
      <c r="D2215" s="15" t="s">
        <v>8</v>
      </c>
      <c r="G2215" s="15" t="s">
        <v>8</v>
      </c>
      <c r="L2215" s="15" t="s">
        <v>8</v>
      </c>
      <c r="M2215" s="15" t="s">
        <v>8</v>
      </c>
      <c r="N2215" s="15" t="s">
        <v>8</v>
      </c>
      <c r="O2215" s="15" t="s">
        <v>8</v>
      </c>
      <c r="Q2215" s="15" t="s">
        <v>8</v>
      </c>
      <c r="T2215" s="15" t="s">
        <v>8</v>
      </c>
      <c r="W2215" s="15" t="s">
        <v>8</v>
      </c>
      <c r="AB2215" s="8" t="s">
        <v>3</v>
      </c>
    </row>
    <row r="2216" spans="3:32" x14ac:dyDescent="0.35">
      <c r="C2216" s="15" t="s">
        <v>8</v>
      </c>
      <c r="D2216" s="15" t="s">
        <v>8</v>
      </c>
      <c r="G2216" s="15" t="s">
        <v>8</v>
      </c>
      <c r="L2216" s="15" t="s">
        <v>8</v>
      </c>
      <c r="M2216" s="15" t="s">
        <v>8</v>
      </c>
      <c r="N2216" s="15" t="s">
        <v>8</v>
      </c>
      <c r="O2216" s="15" t="s">
        <v>8</v>
      </c>
      <c r="Q2216" s="15" t="s">
        <v>8</v>
      </c>
      <c r="T2216" s="15" t="s">
        <v>8</v>
      </c>
      <c r="W2216" s="15" t="s">
        <v>8</v>
      </c>
      <c r="AA2216" s="19" t="str">
        <f>HYPERLINK("http://yeinfo.com/family/I09067001.html", "HENRY WORSLEY &lt;4&gt; 1240 EN-1303 EN ID:09067001")</f>
        <v>HENRY WORSLEY &lt;4&gt; 1240 EN-1303 EN ID:09067001</v>
      </c>
      <c r="AB2216" s="9"/>
      <c r="AC2216" s="9"/>
      <c r="AD2216" s="9"/>
      <c r="AE2216" s="9"/>
    </row>
    <row r="2217" spans="3:32" x14ac:dyDescent="0.35">
      <c r="C2217" s="15" t="s">
        <v>8</v>
      </c>
      <c r="D2217" s="15" t="s">
        <v>8</v>
      </c>
      <c r="G2217" s="15" t="s">
        <v>8</v>
      </c>
      <c r="L2217" s="15" t="s">
        <v>8</v>
      </c>
      <c r="M2217" s="15" t="s">
        <v>8</v>
      </c>
      <c r="N2217" s="15" t="s">
        <v>8</v>
      </c>
      <c r="O2217" s="15" t="s">
        <v>8</v>
      </c>
      <c r="Q2217" s="15" t="s">
        <v>8</v>
      </c>
      <c r="T2217" s="15" t="s">
        <v>8</v>
      </c>
      <c r="W2217" s="15" t="s">
        <v>8</v>
      </c>
      <c r="AA2217" s="8" t="s">
        <v>3</v>
      </c>
      <c r="AB2217" s="8" t="s">
        <v>6</v>
      </c>
    </row>
    <row r="2218" spans="3:32" x14ac:dyDescent="0.35">
      <c r="C2218" s="15" t="s">
        <v>8</v>
      </c>
      <c r="D2218" s="15" t="s">
        <v>8</v>
      </c>
      <c r="G2218" s="15" t="s">
        <v>8</v>
      </c>
      <c r="L2218" s="15" t="s">
        <v>8</v>
      </c>
      <c r="M2218" s="15" t="s">
        <v>8</v>
      </c>
      <c r="N2218" s="15" t="s">
        <v>8</v>
      </c>
      <c r="O2218" s="15" t="s">
        <v>8</v>
      </c>
      <c r="Q2218" s="15" t="s">
        <v>8</v>
      </c>
      <c r="T2218" s="15" t="s">
        <v>8</v>
      </c>
      <c r="W2218" s="15" t="s">
        <v>8</v>
      </c>
      <c r="AA2218" s="15" t="s">
        <v>8</v>
      </c>
      <c r="AB2218" s="20" t="str">
        <f>HYPERLINK("http://yeinfo.com/family/I09066998.html", "MAUD WARDLEY &lt;4&gt; 1240 EN-1277 EN ID:09066998")</f>
        <v>MAUD WARDLEY &lt;4&gt; 1240 EN-1277 EN ID:09066998</v>
      </c>
      <c r="AC2218" s="17"/>
      <c r="AD2218" s="17"/>
      <c r="AE2218" s="17"/>
      <c r="AF2218" s="17"/>
    </row>
    <row r="2219" spans="3:32" x14ac:dyDescent="0.35">
      <c r="C2219" s="15" t="s">
        <v>8</v>
      </c>
      <c r="D2219" s="15" t="s">
        <v>8</v>
      </c>
      <c r="G2219" s="15" t="s">
        <v>8</v>
      </c>
      <c r="L2219" s="15" t="s">
        <v>8</v>
      </c>
      <c r="M2219" s="15" t="s">
        <v>8</v>
      </c>
      <c r="N2219" s="15" t="s">
        <v>8</v>
      </c>
      <c r="O2219" s="15" t="s">
        <v>8</v>
      </c>
      <c r="Q2219" s="15" t="s">
        <v>8</v>
      </c>
      <c r="T2219" s="15" t="s">
        <v>8</v>
      </c>
      <c r="W2219" s="15" t="s">
        <v>8</v>
      </c>
      <c r="AA2219" s="15" t="s">
        <v>8</v>
      </c>
    </row>
    <row r="2220" spans="3:32" x14ac:dyDescent="0.35">
      <c r="C2220" s="15" t="s">
        <v>8</v>
      </c>
      <c r="D2220" s="15" t="s">
        <v>8</v>
      </c>
      <c r="G2220" s="15" t="s">
        <v>8</v>
      </c>
      <c r="L2220" s="15" t="s">
        <v>8</v>
      </c>
      <c r="M2220" s="15" t="s">
        <v>8</v>
      </c>
      <c r="N2220" s="15" t="s">
        <v>8</v>
      </c>
      <c r="O2220" s="15" t="s">
        <v>8</v>
      </c>
      <c r="Q2220" s="15" t="s">
        <v>8</v>
      </c>
      <c r="T2220" s="15" t="s">
        <v>8</v>
      </c>
      <c r="W2220" s="15" t="s">
        <v>8</v>
      </c>
      <c r="Z2220" s="19" t="str">
        <f>HYPERLINK("http://yeinfo.com/family/I09067003.html", "RICHARD WORSLEY &lt;2&gt; 1265 EN-1334 EN ID:09067003")</f>
        <v>RICHARD WORSLEY &lt;2&gt; 1265 EN-1334 EN ID:09067003</v>
      </c>
      <c r="AA2220" s="9"/>
      <c r="AB2220" s="9"/>
      <c r="AC2220" s="9"/>
      <c r="AD2220" s="9"/>
    </row>
    <row r="2221" spans="3:32" x14ac:dyDescent="0.35">
      <c r="C2221" s="15" t="s">
        <v>8</v>
      </c>
      <c r="D2221" s="15" t="s">
        <v>8</v>
      </c>
      <c r="G2221" s="15" t="s">
        <v>8</v>
      </c>
      <c r="L2221" s="15" t="s">
        <v>8</v>
      </c>
      <c r="M2221" s="15" t="s">
        <v>8</v>
      </c>
      <c r="N2221" s="15" t="s">
        <v>8</v>
      </c>
      <c r="O2221" s="15" t="s">
        <v>8</v>
      </c>
      <c r="Q2221" s="15" t="s">
        <v>8</v>
      </c>
      <c r="T2221" s="15" t="s">
        <v>8</v>
      </c>
      <c r="W2221" s="15" t="s">
        <v>8</v>
      </c>
      <c r="Z2221" s="8" t="s">
        <v>3</v>
      </c>
      <c r="AA2221" s="8" t="s">
        <v>6</v>
      </c>
    </row>
    <row r="2222" spans="3:32" x14ac:dyDescent="0.35">
      <c r="C2222" s="15" t="s">
        <v>8</v>
      </c>
      <c r="D2222" s="15" t="s">
        <v>8</v>
      </c>
      <c r="G2222" s="15" t="s">
        <v>8</v>
      </c>
      <c r="L2222" s="15" t="s">
        <v>8</v>
      </c>
      <c r="M2222" s="15" t="s">
        <v>8</v>
      </c>
      <c r="N2222" s="15" t="s">
        <v>8</v>
      </c>
      <c r="O2222" s="15" t="s">
        <v>8</v>
      </c>
      <c r="Q2222" s="15" t="s">
        <v>8</v>
      </c>
      <c r="T2222" s="15" t="s">
        <v>8</v>
      </c>
      <c r="W2222" s="15" t="s">
        <v>8</v>
      </c>
      <c r="Z2222" s="15" t="s">
        <v>8</v>
      </c>
      <c r="AA2222" s="20" t="str">
        <f>HYPERLINK("http://yeinfo.com/family/I09067000.html", "Mrs. JOAN WORSLEY &lt;2&gt; 1240 EN-1293 EN ID:09067000")</f>
        <v>Mrs. JOAN WORSLEY &lt;2&gt; 1240 EN-1293 EN ID:09067000</v>
      </c>
      <c r="AB2222" s="17"/>
      <c r="AC2222" s="17"/>
      <c r="AD2222" s="17"/>
      <c r="AE2222" s="17"/>
    </row>
    <row r="2223" spans="3:32" x14ac:dyDescent="0.35">
      <c r="C2223" s="15" t="s">
        <v>8</v>
      </c>
      <c r="D2223" s="15" t="s">
        <v>8</v>
      </c>
      <c r="G2223" s="15" t="s">
        <v>8</v>
      </c>
      <c r="L2223" s="15" t="s">
        <v>8</v>
      </c>
      <c r="M2223" s="15" t="s">
        <v>8</v>
      </c>
      <c r="N2223" s="15" t="s">
        <v>8</v>
      </c>
      <c r="O2223" s="15" t="s">
        <v>8</v>
      </c>
      <c r="Q2223" s="15" t="s">
        <v>8</v>
      </c>
      <c r="T2223" s="15" t="s">
        <v>8</v>
      </c>
      <c r="W2223" s="15" t="s">
        <v>8</v>
      </c>
      <c r="Z2223" s="15" t="s">
        <v>8</v>
      </c>
    </row>
    <row r="2224" spans="3:32" x14ac:dyDescent="0.35">
      <c r="C2224" s="15" t="s">
        <v>8</v>
      </c>
      <c r="D2224" s="15" t="s">
        <v>8</v>
      </c>
      <c r="G2224" s="15" t="s">
        <v>8</v>
      </c>
      <c r="L2224" s="15" t="s">
        <v>8</v>
      </c>
      <c r="M2224" s="15" t="s">
        <v>8</v>
      </c>
      <c r="N2224" s="15" t="s">
        <v>8</v>
      </c>
      <c r="O2224" s="15" t="s">
        <v>8</v>
      </c>
      <c r="Q2224" s="15" t="s">
        <v>8</v>
      </c>
      <c r="T2224" s="15" t="s">
        <v>8</v>
      </c>
      <c r="W2224" s="15" t="s">
        <v>8</v>
      </c>
      <c r="Y2224" s="19" t="str">
        <f>HYPERLINK("http://yeinfo.com/family/I09067005.html", "HENRY WORSLEY II &lt;2&gt; 1295 EN-1318 EN ID:09067005")</f>
        <v>HENRY WORSLEY II &lt;2&gt; 1295 EN-1318 EN ID:09067005</v>
      </c>
      <c r="Z2224" s="9"/>
      <c r="AA2224" s="9"/>
      <c r="AB2224" s="9"/>
      <c r="AC2224" s="9"/>
    </row>
    <row r="2225" spans="3:33" x14ac:dyDescent="0.35">
      <c r="C2225" s="15" t="s">
        <v>8</v>
      </c>
      <c r="D2225" s="15" t="s">
        <v>8</v>
      </c>
      <c r="G2225" s="15" t="s">
        <v>8</v>
      </c>
      <c r="L2225" s="15" t="s">
        <v>8</v>
      </c>
      <c r="M2225" s="15" t="s">
        <v>8</v>
      </c>
      <c r="N2225" s="15" t="s">
        <v>8</v>
      </c>
      <c r="O2225" s="15" t="s">
        <v>8</v>
      </c>
      <c r="Q2225" s="15" t="s">
        <v>8</v>
      </c>
      <c r="T2225" s="15" t="s">
        <v>8</v>
      </c>
      <c r="W2225" s="15" t="s">
        <v>8</v>
      </c>
      <c r="Y2225" s="8" t="s">
        <v>3</v>
      </c>
      <c r="Z2225" s="8" t="s">
        <v>6</v>
      </c>
    </row>
    <row r="2226" spans="3:33" x14ac:dyDescent="0.35">
      <c r="C2226" s="15" t="s">
        <v>8</v>
      </c>
      <c r="D2226" s="15" t="s">
        <v>8</v>
      </c>
      <c r="G2226" s="15" t="s">
        <v>8</v>
      </c>
      <c r="L2226" s="15" t="s">
        <v>8</v>
      </c>
      <c r="M2226" s="15" t="s">
        <v>8</v>
      </c>
      <c r="N2226" s="15" t="s">
        <v>8</v>
      </c>
      <c r="O2226" s="15" t="s">
        <v>8</v>
      </c>
      <c r="Q2226" s="15" t="s">
        <v>8</v>
      </c>
      <c r="T2226" s="15" t="s">
        <v>8</v>
      </c>
      <c r="W2226" s="15" t="s">
        <v>8</v>
      </c>
      <c r="Y2226" s="15" t="s">
        <v>8</v>
      </c>
      <c r="Z2226" s="20" t="str">
        <f>HYPERLINK("http://yeinfo.com/family/I09067002.html", "Mrs. MARGARET WORSLEY &lt;2&gt; 1275 EN-1295 EN ID:09067002")</f>
        <v>Mrs. MARGARET WORSLEY &lt;2&gt; 1275 EN-1295 EN ID:09067002</v>
      </c>
      <c r="AA2226" s="17"/>
      <c r="AB2226" s="17"/>
      <c r="AC2226" s="17"/>
      <c r="AD2226" s="17"/>
    </row>
    <row r="2227" spans="3:33" x14ac:dyDescent="0.35">
      <c r="C2227" s="15" t="s">
        <v>8</v>
      </c>
      <c r="D2227" s="15" t="s">
        <v>8</v>
      </c>
      <c r="G2227" s="15" t="s">
        <v>8</v>
      </c>
      <c r="L2227" s="15" t="s">
        <v>8</v>
      </c>
      <c r="M2227" s="15" t="s">
        <v>8</v>
      </c>
      <c r="N2227" s="15" t="s">
        <v>8</v>
      </c>
      <c r="O2227" s="15" t="s">
        <v>8</v>
      </c>
      <c r="Q2227" s="15" t="s">
        <v>8</v>
      </c>
      <c r="T2227" s="15" t="s">
        <v>8</v>
      </c>
      <c r="W2227" s="15" t="s">
        <v>8</v>
      </c>
      <c r="Y2227" s="15" t="s">
        <v>8</v>
      </c>
    </row>
    <row r="2228" spans="3:33" x14ac:dyDescent="0.35">
      <c r="C2228" s="15" t="s">
        <v>8</v>
      </c>
      <c r="D2228" s="15" t="s">
        <v>8</v>
      </c>
      <c r="G2228" s="15" t="s">
        <v>8</v>
      </c>
      <c r="L2228" s="15" t="s">
        <v>8</v>
      </c>
      <c r="M2228" s="15" t="s">
        <v>8</v>
      </c>
      <c r="N2228" s="15" t="s">
        <v>8</v>
      </c>
      <c r="O2228" s="15" t="s">
        <v>8</v>
      </c>
      <c r="Q2228" s="15" t="s">
        <v>8</v>
      </c>
      <c r="T2228" s="15" t="s">
        <v>8</v>
      </c>
      <c r="W2228" s="15" t="s">
        <v>8</v>
      </c>
      <c r="X2228" s="19" t="str">
        <f>HYPERLINK("http://yeinfo.com/family/I09067006.html", "GEOFFREY WORSLEY &lt;2&gt; 1318 EN-1352 EN ID:09067006")</f>
        <v>GEOFFREY WORSLEY &lt;2&gt; 1318 EN-1352 EN ID:09067006</v>
      </c>
      <c r="Y2228" s="9"/>
      <c r="Z2228" s="9"/>
      <c r="AA2228" s="9"/>
      <c r="AB2228" s="9"/>
    </row>
    <row r="2229" spans="3:33" x14ac:dyDescent="0.35">
      <c r="C2229" s="15" t="s">
        <v>8</v>
      </c>
      <c r="D2229" s="15" t="s">
        <v>8</v>
      </c>
      <c r="G2229" s="15" t="s">
        <v>8</v>
      </c>
      <c r="L2229" s="15" t="s">
        <v>8</v>
      </c>
      <c r="M2229" s="15" t="s">
        <v>8</v>
      </c>
      <c r="N2229" s="15" t="s">
        <v>8</v>
      </c>
      <c r="O2229" s="15" t="s">
        <v>8</v>
      </c>
      <c r="Q2229" s="15" t="s">
        <v>8</v>
      </c>
      <c r="T2229" s="15" t="s">
        <v>8</v>
      </c>
      <c r="W2229" s="15" t="s">
        <v>8</v>
      </c>
      <c r="X2229" s="8" t="s">
        <v>3</v>
      </c>
      <c r="Y2229" s="15" t="s">
        <v>8</v>
      </c>
    </row>
    <row r="2230" spans="3:33" x14ac:dyDescent="0.35">
      <c r="C2230" s="15" t="s">
        <v>8</v>
      </c>
      <c r="D2230" s="15" t="s">
        <v>8</v>
      </c>
      <c r="G2230" s="15" t="s">
        <v>8</v>
      </c>
      <c r="L2230" s="15" t="s">
        <v>8</v>
      </c>
      <c r="M2230" s="15" t="s">
        <v>8</v>
      </c>
      <c r="N2230" s="15" t="s">
        <v>8</v>
      </c>
      <c r="O2230" s="15" t="s">
        <v>8</v>
      </c>
      <c r="Q2230" s="15" t="s">
        <v>8</v>
      </c>
      <c r="T2230" s="15" t="s">
        <v>8</v>
      </c>
      <c r="W2230" s="15" t="s">
        <v>8</v>
      </c>
      <c r="X2230" s="15" t="s">
        <v>8</v>
      </c>
      <c r="Y2230" s="15" t="s">
        <v>8</v>
      </c>
      <c r="AB2230" s="19" t="str">
        <f>HYPERLINK("http://yeinfo.com/family/I09066959.html", "ROBERT RADCLIFFE &lt;A&gt; 1208 EN-1239 EN ID:09066959")</f>
        <v>ROBERT RADCLIFFE &lt;A&gt; 1208 EN-1239 EN ID:09066959</v>
      </c>
      <c r="AC2230" s="9"/>
      <c r="AD2230" s="9"/>
      <c r="AE2230" s="9"/>
      <c r="AF2230" s="9"/>
    </row>
    <row r="2231" spans="3:33" x14ac:dyDescent="0.35">
      <c r="C2231" s="15" t="s">
        <v>8</v>
      </c>
      <c r="D2231" s="15" t="s">
        <v>8</v>
      </c>
      <c r="G2231" s="15" t="s">
        <v>8</v>
      </c>
      <c r="L2231" s="15" t="s">
        <v>8</v>
      </c>
      <c r="M2231" s="15" t="s">
        <v>8</v>
      </c>
      <c r="N2231" s="15" t="s">
        <v>8</v>
      </c>
      <c r="O2231" s="15" t="s">
        <v>8</v>
      </c>
      <c r="Q2231" s="15" t="s">
        <v>8</v>
      </c>
      <c r="T2231" s="15" t="s">
        <v>8</v>
      </c>
      <c r="W2231" s="15" t="s">
        <v>8</v>
      </c>
      <c r="X2231" s="15" t="s">
        <v>8</v>
      </c>
      <c r="Y2231" s="15" t="s">
        <v>8</v>
      </c>
      <c r="AB2231" s="8" t="s">
        <v>3</v>
      </c>
    </row>
    <row r="2232" spans="3:33" x14ac:dyDescent="0.35">
      <c r="C2232" s="15" t="s">
        <v>8</v>
      </c>
      <c r="D2232" s="15" t="s">
        <v>8</v>
      </c>
      <c r="G2232" s="15" t="s">
        <v>8</v>
      </c>
      <c r="L2232" s="15" t="s">
        <v>8</v>
      </c>
      <c r="M2232" s="15" t="s">
        <v>8</v>
      </c>
      <c r="N2232" s="15" t="s">
        <v>8</v>
      </c>
      <c r="O2232" s="15" t="s">
        <v>8</v>
      </c>
      <c r="Q2232" s="15" t="s">
        <v>8</v>
      </c>
      <c r="T2232" s="15" t="s">
        <v>8</v>
      </c>
      <c r="W2232" s="15" t="s">
        <v>8</v>
      </c>
      <c r="X2232" s="15" t="s">
        <v>8</v>
      </c>
      <c r="Y2232" s="15" t="s">
        <v>8</v>
      </c>
      <c r="AA2232" s="19" t="str">
        <f>HYPERLINK("http://yeinfo.com/family/I09066960.html", "RICHARD RADCLIFFE &lt;A&gt; 1224 EN-1326 EN ID:09066960")</f>
        <v>RICHARD RADCLIFFE &lt;A&gt; 1224 EN-1326 EN ID:09066960</v>
      </c>
      <c r="AB2232" s="9"/>
      <c r="AC2232" s="9"/>
      <c r="AD2232" s="9"/>
      <c r="AE2232" s="9"/>
    </row>
    <row r="2233" spans="3:33" x14ac:dyDescent="0.35">
      <c r="C2233" s="15" t="s">
        <v>8</v>
      </c>
      <c r="D2233" s="15" t="s">
        <v>8</v>
      </c>
      <c r="G2233" s="15" t="s">
        <v>8</v>
      </c>
      <c r="L2233" s="15" t="s">
        <v>8</v>
      </c>
      <c r="M2233" s="15" t="s">
        <v>8</v>
      </c>
      <c r="N2233" s="15" t="s">
        <v>8</v>
      </c>
      <c r="O2233" s="15" t="s">
        <v>8</v>
      </c>
      <c r="Q2233" s="15" t="s">
        <v>8</v>
      </c>
      <c r="T2233" s="15" t="s">
        <v>8</v>
      </c>
      <c r="W2233" s="15" t="s">
        <v>8</v>
      </c>
      <c r="X2233" s="15" t="s">
        <v>8</v>
      </c>
      <c r="Y2233" s="15" t="s">
        <v>8</v>
      </c>
      <c r="AA2233" s="8" t="s">
        <v>3</v>
      </c>
      <c r="AB2233" s="8" t="s">
        <v>6</v>
      </c>
    </row>
    <row r="2234" spans="3:33" x14ac:dyDescent="0.35">
      <c r="C2234" s="15" t="s">
        <v>8</v>
      </c>
      <c r="D2234" s="15" t="s">
        <v>8</v>
      </c>
      <c r="G2234" s="15" t="s">
        <v>8</v>
      </c>
      <c r="L2234" s="15" t="s">
        <v>8</v>
      </c>
      <c r="M2234" s="15" t="s">
        <v>8</v>
      </c>
      <c r="N2234" s="15" t="s">
        <v>8</v>
      </c>
      <c r="O2234" s="15" t="s">
        <v>8</v>
      </c>
      <c r="Q2234" s="15" t="s">
        <v>8</v>
      </c>
      <c r="T2234" s="15" t="s">
        <v>8</v>
      </c>
      <c r="W2234" s="15" t="s">
        <v>8</v>
      </c>
      <c r="X2234" s="15" t="s">
        <v>8</v>
      </c>
      <c r="Y2234" s="15" t="s">
        <v>8</v>
      </c>
      <c r="AA2234" s="15" t="s">
        <v>8</v>
      </c>
      <c r="AB2234" s="20" t="str">
        <f>HYPERLINK("http://yeinfo.com/family/I09066988.html", "AMBIL\AMABIL TRAFFORD &lt;A&gt; 1222 EN-1239 EN ID:09066988")</f>
        <v>AMBIL\AMABIL TRAFFORD &lt;A&gt; 1222 EN-1239 EN ID:09066988</v>
      </c>
      <c r="AC2234" s="17"/>
      <c r="AD2234" s="17"/>
      <c r="AE2234" s="17"/>
      <c r="AF2234" s="17"/>
      <c r="AG2234" s="17"/>
    </row>
    <row r="2235" spans="3:33" x14ac:dyDescent="0.35">
      <c r="C2235" s="15" t="s">
        <v>8</v>
      </c>
      <c r="D2235" s="15" t="s">
        <v>8</v>
      </c>
      <c r="G2235" s="15" t="s">
        <v>8</v>
      </c>
      <c r="L2235" s="15" t="s">
        <v>8</v>
      </c>
      <c r="M2235" s="15" t="s">
        <v>8</v>
      </c>
      <c r="N2235" s="15" t="s">
        <v>8</v>
      </c>
      <c r="O2235" s="15" t="s">
        <v>8</v>
      </c>
      <c r="Q2235" s="15" t="s">
        <v>8</v>
      </c>
      <c r="T2235" s="15" t="s">
        <v>8</v>
      </c>
      <c r="W2235" s="15" t="s">
        <v>8</v>
      </c>
      <c r="X2235" s="15" t="s">
        <v>8</v>
      </c>
      <c r="Y2235" s="15" t="s">
        <v>8</v>
      </c>
      <c r="AA2235" s="15" t="s">
        <v>8</v>
      </c>
    </row>
    <row r="2236" spans="3:33" x14ac:dyDescent="0.35">
      <c r="C2236" s="15" t="s">
        <v>8</v>
      </c>
      <c r="D2236" s="15" t="s">
        <v>8</v>
      </c>
      <c r="G2236" s="15" t="s">
        <v>8</v>
      </c>
      <c r="L2236" s="15" t="s">
        <v>8</v>
      </c>
      <c r="M2236" s="15" t="s">
        <v>8</v>
      </c>
      <c r="N2236" s="15" t="s">
        <v>8</v>
      </c>
      <c r="O2236" s="15" t="s">
        <v>8</v>
      </c>
      <c r="Q2236" s="15" t="s">
        <v>8</v>
      </c>
      <c r="T2236" s="15" t="s">
        <v>8</v>
      </c>
      <c r="W2236" s="15" t="s">
        <v>8</v>
      </c>
      <c r="X2236" s="15" t="s">
        <v>8</v>
      </c>
      <c r="Y2236" s="15" t="s">
        <v>8</v>
      </c>
      <c r="Z2236" s="19" t="str">
        <f>HYPERLINK("http://yeinfo.com/family/I09066961.html", "WILLIAM RADCLIFFE &lt;8&gt; 1267 EN-1333 EN ID:09066961")</f>
        <v>WILLIAM RADCLIFFE &lt;8&gt; 1267 EN-1333 EN ID:09066961</v>
      </c>
      <c r="AA2236" s="9"/>
      <c r="AB2236" s="9"/>
      <c r="AC2236" s="9"/>
      <c r="AD2236" s="9"/>
    </row>
    <row r="2237" spans="3:33" x14ac:dyDescent="0.35">
      <c r="C2237" s="15" t="s">
        <v>8</v>
      </c>
      <c r="D2237" s="15" t="s">
        <v>8</v>
      </c>
      <c r="G2237" s="15" t="s">
        <v>8</v>
      </c>
      <c r="L2237" s="15" t="s">
        <v>8</v>
      </c>
      <c r="M2237" s="15" t="s">
        <v>8</v>
      </c>
      <c r="N2237" s="15" t="s">
        <v>8</v>
      </c>
      <c r="O2237" s="15" t="s">
        <v>8</v>
      </c>
      <c r="Q2237" s="15" t="s">
        <v>8</v>
      </c>
      <c r="T2237" s="15" t="s">
        <v>8</v>
      </c>
      <c r="W2237" s="15" t="s">
        <v>8</v>
      </c>
      <c r="X2237" s="15" t="s">
        <v>8</v>
      </c>
      <c r="Y2237" s="15" t="s">
        <v>8</v>
      </c>
      <c r="Z2237" s="8" t="s">
        <v>3</v>
      </c>
      <c r="AA2237" s="15" t="s">
        <v>8</v>
      </c>
    </row>
    <row r="2238" spans="3:33" x14ac:dyDescent="0.35">
      <c r="C2238" s="15" t="s">
        <v>8</v>
      </c>
      <c r="D2238" s="15" t="s">
        <v>8</v>
      </c>
      <c r="G2238" s="15" t="s">
        <v>8</v>
      </c>
      <c r="L2238" s="15" t="s">
        <v>8</v>
      </c>
      <c r="M2238" s="15" t="s">
        <v>8</v>
      </c>
      <c r="N2238" s="15" t="s">
        <v>8</v>
      </c>
      <c r="O2238" s="15" t="s">
        <v>8</v>
      </c>
      <c r="Q2238" s="15" t="s">
        <v>8</v>
      </c>
      <c r="T2238" s="15" t="s">
        <v>8</v>
      </c>
      <c r="W2238" s="15" t="s">
        <v>8</v>
      </c>
      <c r="X2238" s="15" t="s">
        <v>8</v>
      </c>
      <c r="Y2238" s="15" t="s">
        <v>8</v>
      </c>
      <c r="Z2238" s="15" t="s">
        <v>8</v>
      </c>
      <c r="AA2238" s="15" t="s">
        <v>8</v>
      </c>
      <c r="AB2238" s="19" t="str">
        <f>HYPERLINK("http://yeinfo.com/family/I09066877.html", "HENRY\WILLIAM\ROBERT BOTELER &lt;A&gt; 1230 EN-1247 EN ID:09066877")</f>
        <v>HENRY\WILLIAM\ROBERT BOTELER &lt;A&gt; 1230 EN-1247 EN ID:09066877</v>
      </c>
      <c r="AC2238" s="9"/>
      <c r="AD2238" s="9"/>
      <c r="AE2238" s="9"/>
      <c r="AF2238" s="9"/>
      <c r="AG2238" s="9"/>
    </row>
    <row r="2239" spans="3:33" x14ac:dyDescent="0.35">
      <c r="C2239" s="15" t="s">
        <v>8</v>
      </c>
      <c r="D2239" s="15" t="s">
        <v>8</v>
      </c>
      <c r="G2239" s="15" t="s">
        <v>8</v>
      </c>
      <c r="L2239" s="15" t="s">
        <v>8</v>
      </c>
      <c r="M2239" s="15" t="s">
        <v>8</v>
      </c>
      <c r="N2239" s="15" t="s">
        <v>8</v>
      </c>
      <c r="O2239" s="15" t="s">
        <v>8</v>
      </c>
      <c r="Q2239" s="15" t="s">
        <v>8</v>
      </c>
      <c r="T2239" s="15" t="s">
        <v>8</v>
      </c>
      <c r="W2239" s="15" t="s">
        <v>8</v>
      </c>
      <c r="X2239" s="15" t="s">
        <v>8</v>
      </c>
      <c r="Y2239" s="15" t="s">
        <v>8</v>
      </c>
      <c r="Z2239" s="15" t="s">
        <v>8</v>
      </c>
      <c r="AA2239" s="8" t="s">
        <v>6</v>
      </c>
      <c r="AB2239" s="8" t="s">
        <v>3</v>
      </c>
    </row>
    <row r="2240" spans="3:33" x14ac:dyDescent="0.35">
      <c r="C2240" s="15" t="s">
        <v>8</v>
      </c>
      <c r="D2240" s="15" t="s">
        <v>8</v>
      </c>
      <c r="G2240" s="15" t="s">
        <v>8</v>
      </c>
      <c r="L2240" s="15" t="s">
        <v>8</v>
      </c>
      <c r="M2240" s="15" t="s">
        <v>8</v>
      </c>
      <c r="N2240" s="15" t="s">
        <v>8</v>
      </c>
      <c r="O2240" s="15" t="s">
        <v>8</v>
      </c>
      <c r="Q2240" s="15" t="s">
        <v>8</v>
      </c>
      <c r="T2240" s="15" t="s">
        <v>8</v>
      </c>
      <c r="W2240" s="15" t="s">
        <v>8</v>
      </c>
      <c r="X2240" s="15" t="s">
        <v>8</v>
      </c>
      <c r="Y2240" s="15" t="s">
        <v>8</v>
      </c>
      <c r="Z2240" s="15" t="s">
        <v>8</v>
      </c>
      <c r="AA2240" s="20" t="str">
        <f>HYPERLINK("http://yeinfo.com/family/I09066878.html", "JOAN\MARGARET BOTELER &lt;A&gt; 1232 EN-1267 EN ID:09066878")</f>
        <v>JOAN\MARGARET BOTELER &lt;A&gt; 1232 EN-1267 EN ID:09066878</v>
      </c>
      <c r="AB2240" s="17"/>
      <c r="AC2240" s="17"/>
      <c r="AD2240" s="17"/>
      <c r="AE2240" s="17"/>
      <c r="AF2240" s="17"/>
    </row>
    <row r="2241" spans="3:32" x14ac:dyDescent="0.35">
      <c r="C2241" s="15" t="s">
        <v>8</v>
      </c>
      <c r="D2241" s="15" t="s">
        <v>8</v>
      </c>
      <c r="G2241" s="15" t="s">
        <v>8</v>
      </c>
      <c r="L2241" s="15" t="s">
        <v>8</v>
      </c>
      <c r="M2241" s="15" t="s">
        <v>8</v>
      </c>
      <c r="N2241" s="15" t="s">
        <v>8</v>
      </c>
      <c r="O2241" s="15" t="s">
        <v>8</v>
      </c>
      <c r="Q2241" s="15" t="s">
        <v>8</v>
      </c>
      <c r="T2241" s="15" t="s">
        <v>8</v>
      </c>
      <c r="W2241" s="15" t="s">
        <v>8</v>
      </c>
      <c r="X2241" s="15" t="s">
        <v>8</v>
      </c>
      <c r="Y2241" s="15" t="s">
        <v>8</v>
      </c>
      <c r="Z2241" s="15" t="s">
        <v>8</v>
      </c>
      <c r="AB2241" s="8" t="s">
        <v>6</v>
      </c>
    </row>
    <row r="2242" spans="3:32" x14ac:dyDescent="0.35">
      <c r="C2242" s="15" t="s">
        <v>8</v>
      </c>
      <c r="D2242" s="15" t="s">
        <v>8</v>
      </c>
      <c r="G2242" s="15" t="s">
        <v>8</v>
      </c>
      <c r="L2242" s="15" t="s">
        <v>8</v>
      </c>
      <c r="M2242" s="15" t="s">
        <v>8</v>
      </c>
      <c r="N2242" s="15" t="s">
        <v>8</v>
      </c>
      <c r="O2242" s="15" t="s">
        <v>8</v>
      </c>
      <c r="Q2242" s="15" t="s">
        <v>8</v>
      </c>
      <c r="T2242" s="15" t="s">
        <v>8</v>
      </c>
      <c r="W2242" s="15" t="s">
        <v>8</v>
      </c>
      <c r="X2242" s="15" t="s">
        <v>8</v>
      </c>
      <c r="Y2242" s="15" t="s">
        <v>8</v>
      </c>
      <c r="Z2242" s="15" t="s">
        <v>8</v>
      </c>
      <c r="AB2242" s="20" t="str">
        <f>HYPERLINK("http://yeinfo.com/family/I09066876.html", "Mrs. ISABELLA BOTELER &lt;A&gt; 1227 EN-1247 EN ID:09066876")</f>
        <v>Mrs. ISABELLA BOTELER &lt;A&gt; 1227 EN-1247 EN ID:09066876</v>
      </c>
      <c r="AC2242" s="17"/>
      <c r="AD2242" s="17"/>
      <c r="AE2242" s="17"/>
      <c r="AF2242" s="17"/>
    </row>
    <row r="2243" spans="3:32" x14ac:dyDescent="0.35">
      <c r="C2243" s="15" t="s">
        <v>8</v>
      </c>
      <c r="D2243" s="15" t="s">
        <v>8</v>
      </c>
      <c r="G2243" s="15" t="s">
        <v>8</v>
      </c>
      <c r="L2243" s="15" t="s">
        <v>8</v>
      </c>
      <c r="M2243" s="15" t="s">
        <v>8</v>
      </c>
      <c r="N2243" s="15" t="s">
        <v>8</v>
      </c>
      <c r="O2243" s="15" t="s">
        <v>8</v>
      </c>
      <c r="Q2243" s="15" t="s">
        <v>8</v>
      </c>
      <c r="T2243" s="15" t="s">
        <v>8</v>
      </c>
      <c r="W2243" s="15" t="s">
        <v>8</v>
      </c>
      <c r="X2243" s="15" t="s">
        <v>8</v>
      </c>
      <c r="Y2243" s="8" t="s">
        <v>6</v>
      </c>
      <c r="Z2243" s="15" t="s">
        <v>8</v>
      </c>
    </row>
    <row r="2244" spans="3:32" x14ac:dyDescent="0.35">
      <c r="C2244" s="15" t="s">
        <v>8</v>
      </c>
      <c r="D2244" s="15" t="s">
        <v>8</v>
      </c>
      <c r="G2244" s="15" t="s">
        <v>8</v>
      </c>
      <c r="L2244" s="15" t="s">
        <v>8</v>
      </c>
      <c r="M2244" s="15" t="s">
        <v>8</v>
      </c>
      <c r="N2244" s="15" t="s">
        <v>8</v>
      </c>
      <c r="O2244" s="15" t="s">
        <v>8</v>
      </c>
      <c r="Q2244" s="15" t="s">
        <v>8</v>
      </c>
      <c r="T2244" s="15" t="s">
        <v>8</v>
      </c>
      <c r="W2244" s="15" t="s">
        <v>8</v>
      </c>
      <c r="X2244" s="15" t="s">
        <v>8</v>
      </c>
      <c r="Y2244" s="20" t="str">
        <f>HYPERLINK("http://yeinfo.com/family/I09066962.html", "ALICE RADCLIFFE &lt;2&gt; 1298 EN-1354 EN ID:09066962")</f>
        <v>ALICE RADCLIFFE &lt;2&gt; 1298 EN-1354 EN ID:09066962</v>
      </c>
      <c r="Z2244" s="17"/>
      <c r="AA2244" s="17"/>
      <c r="AB2244" s="17"/>
      <c r="AC2244" s="17"/>
    </row>
    <row r="2245" spans="3:32" x14ac:dyDescent="0.35">
      <c r="C2245" s="15" t="s">
        <v>8</v>
      </c>
      <c r="D2245" s="15" t="s">
        <v>8</v>
      </c>
      <c r="G2245" s="15" t="s">
        <v>8</v>
      </c>
      <c r="L2245" s="15" t="s">
        <v>8</v>
      </c>
      <c r="M2245" s="15" t="s">
        <v>8</v>
      </c>
      <c r="N2245" s="15" t="s">
        <v>8</v>
      </c>
      <c r="O2245" s="15" t="s">
        <v>8</v>
      </c>
      <c r="Q2245" s="15" t="s">
        <v>8</v>
      </c>
      <c r="T2245" s="15" t="s">
        <v>8</v>
      </c>
      <c r="W2245" s="15" t="s">
        <v>8</v>
      </c>
      <c r="X2245" s="15" t="s">
        <v>8</v>
      </c>
      <c r="Z2245" s="15" t="s">
        <v>8</v>
      </c>
    </row>
    <row r="2246" spans="3:32" x14ac:dyDescent="0.35">
      <c r="C2246" s="15" t="s">
        <v>8</v>
      </c>
      <c r="D2246" s="15" t="s">
        <v>8</v>
      </c>
      <c r="G2246" s="15" t="s">
        <v>8</v>
      </c>
      <c r="L2246" s="15" t="s">
        <v>8</v>
      </c>
      <c r="M2246" s="15" t="s">
        <v>8</v>
      </c>
      <c r="N2246" s="15" t="s">
        <v>8</v>
      </c>
      <c r="O2246" s="15" t="s">
        <v>8</v>
      </c>
      <c r="Q2246" s="15" t="s">
        <v>8</v>
      </c>
      <c r="T2246" s="15" t="s">
        <v>8</v>
      </c>
      <c r="W2246" s="15" t="s">
        <v>8</v>
      </c>
      <c r="X2246" s="15" t="s">
        <v>8</v>
      </c>
      <c r="Z2246" s="15" t="s">
        <v>8</v>
      </c>
      <c r="AA2246" s="19" t="str">
        <f>HYPERLINK("http://yeinfo.com/family/I09066956.html", "ADAM PEASFURLONG &lt;8&gt; 1242 EN-1274 EN ID:09066956")</f>
        <v>ADAM PEASFURLONG &lt;8&gt; 1242 EN-1274 EN ID:09066956</v>
      </c>
      <c r="AB2246" s="9"/>
      <c r="AC2246" s="9"/>
      <c r="AD2246" s="9"/>
      <c r="AE2246" s="9"/>
    </row>
    <row r="2247" spans="3:32" x14ac:dyDescent="0.35">
      <c r="C2247" s="15" t="s">
        <v>8</v>
      </c>
      <c r="D2247" s="15" t="s">
        <v>8</v>
      </c>
      <c r="G2247" s="15" t="s">
        <v>8</v>
      </c>
      <c r="L2247" s="15" t="s">
        <v>8</v>
      </c>
      <c r="M2247" s="15" t="s">
        <v>8</v>
      </c>
      <c r="N2247" s="15" t="s">
        <v>8</v>
      </c>
      <c r="O2247" s="15" t="s">
        <v>8</v>
      </c>
      <c r="Q2247" s="15" t="s">
        <v>8</v>
      </c>
      <c r="T2247" s="15" t="s">
        <v>8</v>
      </c>
      <c r="W2247" s="15" t="s">
        <v>8</v>
      </c>
      <c r="X2247" s="15" t="s">
        <v>8</v>
      </c>
      <c r="Z2247" s="8" t="s">
        <v>6</v>
      </c>
      <c r="AA2247" s="8" t="s">
        <v>3</v>
      </c>
    </row>
    <row r="2248" spans="3:32" x14ac:dyDescent="0.35">
      <c r="C2248" s="15" t="s">
        <v>8</v>
      </c>
      <c r="D2248" s="15" t="s">
        <v>8</v>
      </c>
      <c r="G2248" s="15" t="s">
        <v>8</v>
      </c>
      <c r="L2248" s="15" t="s">
        <v>8</v>
      </c>
      <c r="M2248" s="15" t="s">
        <v>8</v>
      </c>
      <c r="N2248" s="15" t="s">
        <v>8</v>
      </c>
      <c r="O2248" s="15" t="s">
        <v>8</v>
      </c>
      <c r="Q2248" s="15" t="s">
        <v>8</v>
      </c>
      <c r="T2248" s="15" t="s">
        <v>8</v>
      </c>
      <c r="W2248" s="15" t="s">
        <v>8</v>
      </c>
      <c r="X2248" s="15" t="s">
        <v>8</v>
      </c>
      <c r="Z2248" s="20" t="str">
        <f>HYPERLINK("http://yeinfo.com/family/I09066957.html", "MARGARET PEASFURLONG &lt;8&gt; 1244 EN-1290 EN ID:09066957")</f>
        <v>MARGARET PEASFURLONG &lt;8&gt; 1244 EN-1290 EN ID:09066957</v>
      </c>
      <c r="AA2248" s="17"/>
      <c r="AB2248" s="17"/>
      <c r="AC2248" s="17"/>
      <c r="AD2248" s="17"/>
    </row>
    <row r="2249" spans="3:32" x14ac:dyDescent="0.35">
      <c r="C2249" s="15" t="s">
        <v>8</v>
      </c>
      <c r="D2249" s="15" t="s">
        <v>8</v>
      </c>
      <c r="G2249" s="15" t="s">
        <v>8</v>
      </c>
      <c r="L2249" s="15" t="s">
        <v>8</v>
      </c>
      <c r="M2249" s="15" t="s">
        <v>8</v>
      </c>
      <c r="N2249" s="15" t="s">
        <v>8</v>
      </c>
      <c r="O2249" s="15" t="s">
        <v>8</v>
      </c>
      <c r="Q2249" s="15" t="s">
        <v>8</v>
      </c>
      <c r="T2249" s="15" t="s">
        <v>8</v>
      </c>
      <c r="W2249" s="15" t="s">
        <v>8</v>
      </c>
      <c r="X2249" s="15" t="s">
        <v>8</v>
      </c>
      <c r="AA2249" s="15" t="s">
        <v>8</v>
      </c>
    </row>
    <row r="2250" spans="3:32" x14ac:dyDescent="0.35">
      <c r="C2250" s="15" t="s">
        <v>8</v>
      </c>
      <c r="D2250" s="15" t="s">
        <v>8</v>
      </c>
      <c r="G2250" s="15" t="s">
        <v>8</v>
      </c>
      <c r="L2250" s="15" t="s">
        <v>8</v>
      </c>
      <c r="M2250" s="15" t="s">
        <v>8</v>
      </c>
      <c r="N2250" s="15" t="s">
        <v>8</v>
      </c>
      <c r="O2250" s="15" t="s">
        <v>8</v>
      </c>
      <c r="Q2250" s="15" t="s">
        <v>8</v>
      </c>
      <c r="T2250" s="15" t="s">
        <v>8</v>
      </c>
      <c r="W2250" s="15" t="s">
        <v>8</v>
      </c>
      <c r="X2250" s="15" t="s">
        <v>8</v>
      </c>
      <c r="AA2250" s="15" t="s">
        <v>8</v>
      </c>
      <c r="AB2250" s="19" t="str">
        <f>HYPERLINK("http://yeinfo.com/family/I09066895.html", "GILBERT CULCHETH &lt;8&gt; 1205 EN-1246 EN ID:09066895")</f>
        <v>GILBERT CULCHETH &lt;8&gt; 1205 EN-1246 EN ID:09066895</v>
      </c>
      <c r="AC2250" s="9"/>
      <c r="AD2250" s="9"/>
      <c r="AE2250" s="9"/>
      <c r="AF2250" s="9"/>
    </row>
    <row r="2251" spans="3:32" x14ac:dyDescent="0.35">
      <c r="C2251" s="15" t="s">
        <v>8</v>
      </c>
      <c r="D2251" s="15" t="s">
        <v>8</v>
      </c>
      <c r="G2251" s="15" t="s">
        <v>8</v>
      </c>
      <c r="L2251" s="15" t="s">
        <v>8</v>
      </c>
      <c r="M2251" s="15" t="s">
        <v>8</v>
      </c>
      <c r="N2251" s="15" t="s">
        <v>8</v>
      </c>
      <c r="O2251" s="15" t="s">
        <v>8</v>
      </c>
      <c r="Q2251" s="15" t="s">
        <v>8</v>
      </c>
      <c r="T2251" s="15" t="s">
        <v>8</v>
      </c>
      <c r="W2251" s="15" t="s">
        <v>8</v>
      </c>
      <c r="X2251" s="15" t="s">
        <v>8</v>
      </c>
      <c r="AA2251" s="8" t="s">
        <v>6</v>
      </c>
      <c r="AB2251" s="8" t="s">
        <v>3</v>
      </c>
    </row>
    <row r="2252" spans="3:32" x14ac:dyDescent="0.35">
      <c r="C2252" s="15" t="s">
        <v>8</v>
      </c>
      <c r="D2252" s="15" t="s">
        <v>8</v>
      </c>
      <c r="G2252" s="15" t="s">
        <v>8</v>
      </c>
      <c r="L2252" s="15" t="s">
        <v>8</v>
      </c>
      <c r="M2252" s="15" t="s">
        <v>8</v>
      </c>
      <c r="N2252" s="15" t="s">
        <v>8</v>
      </c>
      <c r="O2252" s="15" t="s">
        <v>8</v>
      </c>
      <c r="Q2252" s="15" t="s">
        <v>8</v>
      </c>
      <c r="T2252" s="15" t="s">
        <v>8</v>
      </c>
      <c r="W2252" s="15" t="s">
        <v>8</v>
      </c>
      <c r="X2252" s="15" t="s">
        <v>8</v>
      </c>
      <c r="AA2252" s="20" t="str">
        <f>HYPERLINK("http://yeinfo.com/family/I09066896.html", "ELIZABETH CULCHETH &lt;8&gt; 1215 EN-1274 EN ID:09066896")</f>
        <v>ELIZABETH CULCHETH &lt;8&gt; 1215 EN-1274 EN ID:09066896</v>
      </c>
      <c r="AB2252" s="17"/>
      <c r="AC2252" s="17"/>
      <c r="AD2252" s="17"/>
      <c r="AE2252" s="17"/>
    </row>
    <row r="2253" spans="3:32" x14ac:dyDescent="0.35">
      <c r="C2253" s="15" t="s">
        <v>8</v>
      </c>
      <c r="D2253" s="15" t="s">
        <v>8</v>
      </c>
      <c r="G2253" s="15" t="s">
        <v>8</v>
      </c>
      <c r="L2253" s="15" t="s">
        <v>8</v>
      </c>
      <c r="M2253" s="15" t="s">
        <v>8</v>
      </c>
      <c r="N2253" s="15" t="s">
        <v>8</v>
      </c>
      <c r="O2253" s="15" t="s">
        <v>8</v>
      </c>
      <c r="Q2253" s="15" t="s">
        <v>8</v>
      </c>
      <c r="T2253" s="15" t="s">
        <v>8</v>
      </c>
      <c r="W2253" s="15" t="s">
        <v>8</v>
      </c>
      <c r="X2253" s="15" t="s">
        <v>8</v>
      </c>
      <c r="AB2253" s="8" t="s">
        <v>6</v>
      </c>
    </row>
    <row r="2254" spans="3:32" x14ac:dyDescent="0.35">
      <c r="C2254" s="15" t="s">
        <v>8</v>
      </c>
      <c r="D2254" s="15" t="s">
        <v>8</v>
      </c>
      <c r="G2254" s="15" t="s">
        <v>8</v>
      </c>
      <c r="L2254" s="15" t="s">
        <v>8</v>
      </c>
      <c r="M2254" s="15" t="s">
        <v>8</v>
      </c>
      <c r="N2254" s="15" t="s">
        <v>8</v>
      </c>
      <c r="O2254" s="15" t="s">
        <v>8</v>
      </c>
      <c r="Q2254" s="15" t="s">
        <v>8</v>
      </c>
      <c r="T2254" s="15" t="s">
        <v>8</v>
      </c>
      <c r="W2254" s="15" t="s">
        <v>8</v>
      </c>
      <c r="X2254" s="15" t="s">
        <v>8</v>
      </c>
      <c r="AB2254" s="20" t="str">
        <f>HYPERLINK("http://yeinfo.com/family/I09066935.html", "CECILIA LATHOM &lt;8&gt; 1222 EN-1245 EN ID:09066935")</f>
        <v>CECILIA LATHOM &lt;8&gt; 1222 EN-1245 EN ID:09066935</v>
      </c>
      <c r="AC2254" s="17"/>
      <c r="AD2254" s="17"/>
      <c r="AE2254" s="17"/>
      <c r="AF2254" s="17"/>
    </row>
    <row r="2255" spans="3:32" x14ac:dyDescent="0.35">
      <c r="C2255" s="15" t="s">
        <v>8</v>
      </c>
      <c r="D2255" s="15" t="s">
        <v>8</v>
      </c>
      <c r="G2255" s="15" t="s">
        <v>8</v>
      </c>
      <c r="L2255" s="15" t="s">
        <v>8</v>
      </c>
      <c r="M2255" s="15" t="s">
        <v>8</v>
      </c>
      <c r="N2255" s="15" t="s">
        <v>8</v>
      </c>
      <c r="O2255" s="15" t="s">
        <v>8</v>
      </c>
      <c r="Q2255" s="15" t="s">
        <v>8</v>
      </c>
      <c r="T2255" s="15" t="s">
        <v>8</v>
      </c>
      <c r="W2255" s="8" t="s">
        <v>6</v>
      </c>
      <c r="X2255" s="15" t="s">
        <v>8</v>
      </c>
    </row>
    <row r="2256" spans="3:32" x14ac:dyDescent="0.35">
      <c r="C2256" s="15" t="s">
        <v>8</v>
      </c>
      <c r="D2256" s="15" t="s">
        <v>8</v>
      </c>
      <c r="G2256" s="15" t="s">
        <v>8</v>
      </c>
      <c r="L2256" s="15" t="s">
        <v>8</v>
      </c>
      <c r="M2256" s="15" t="s">
        <v>8</v>
      </c>
      <c r="N2256" s="15" t="s">
        <v>8</v>
      </c>
      <c r="O2256" s="15" t="s">
        <v>8</v>
      </c>
      <c r="Q2256" s="15" t="s">
        <v>8</v>
      </c>
      <c r="T2256" s="15" t="s">
        <v>8</v>
      </c>
      <c r="W2256" s="20" t="str">
        <f>HYPERLINK("http://yeinfo.com/family/I09067008.html", "ALICE WORSLEY &lt;2&gt; 1352 EN-1427 EN ID:09067008")</f>
        <v>ALICE WORSLEY &lt;2&gt; 1352 EN-1427 EN ID:09067008</v>
      </c>
      <c r="X2256" s="17"/>
      <c r="Y2256" s="17"/>
      <c r="Z2256" s="17"/>
      <c r="AA2256" s="17"/>
    </row>
    <row r="2257" spans="3:32" x14ac:dyDescent="0.35">
      <c r="C2257" s="15" t="s">
        <v>8</v>
      </c>
      <c r="D2257" s="15" t="s">
        <v>8</v>
      </c>
      <c r="G2257" s="15" t="s">
        <v>8</v>
      </c>
      <c r="L2257" s="15" t="s">
        <v>8</v>
      </c>
      <c r="M2257" s="15" t="s">
        <v>8</v>
      </c>
      <c r="N2257" s="15" t="s">
        <v>8</v>
      </c>
      <c r="O2257" s="15" t="s">
        <v>8</v>
      </c>
      <c r="Q2257" s="15" t="s">
        <v>8</v>
      </c>
      <c r="T2257" s="15" t="s">
        <v>8</v>
      </c>
      <c r="X2257" s="15" t="s">
        <v>8</v>
      </c>
    </row>
    <row r="2258" spans="3:32" x14ac:dyDescent="0.35">
      <c r="C2258" s="15" t="s">
        <v>8</v>
      </c>
      <c r="D2258" s="15" t="s">
        <v>8</v>
      </c>
      <c r="G2258" s="15" t="s">
        <v>8</v>
      </c>
      <c r="L2258" s="15" t="s">
        <v>8</v>
      </c>
      <c r="M2258" s="15" t="s">
        <v>8</v>
      </c>
      <c r="N2258" s="15" t="s">
        <v>8</v>
      </c>
      <c r="O2258" s="15" t="s">
        <v>8</v>
      </c>
      <c r="Q2258" s="15" t="s">
        <v>8</v>
      </c>
      <c r="T2258" s="15" t="s">
        <v>8</v>
      </c>
      <c r="X2258" s="15" t="s">
        <v>8</v>
      </c>
      <c r="AB2258" s="19" t="str">
        <f>HYPERLINK("http://yeinfo.com/family/I09066910.html", "HUGH HAYDOCK &lt;2&gt; 1190 EN-1270 EN ID:09066910")</f>
        <v>HUGH HAYDOCK &lt;2&gt; 1190 EN-1270 EN ID:09066910</v>
      </c>
      <c r="AC2258" s="9"/>
      <c r="AD2258" s="9"/>
      <c r="AE2258" s="9"/>
      <c r="AF2258" s="9"/>
    </row>
    <row r="2259" spans="3:32" x14ac:dyDescent="0.35">
      <c r="C2259" s="15" t="s">
        <v>8</v>
      </c>
      <c r="D2259" s="15" t="s">
        <v>8</v>
      </c>
      <c r="G2259" s="15" t="s">
        <v>8</v>
      </c>
      <c r="L2259" s="15" t="s">
        <v>8</v>
      </c>
      <c r="M2259" s="15" t="s">
        <v>8</v>
      </c>
      <c r="N2259" s="15" t="s">
        <v>8</v>
      </c>
      <c r="O2259" s="15" t="s">
        <v>8</v>
      </c>
      <c r="Q2259" s="15" t="s">
        <v>8</v>
      </c>
      <c r="T2259" s="15" t="s">
        <v>8</v>
      </c>
      <c r="X2259" s="15" t="s">
        <v>8</v>
      </c>
      <c r="AB2259" s="8" t="s">
        <v>3</v>
      </c>
    </row>
    <row r="2260" spans="3:32" x14ac:dyDescent="0.35">
      <c r="C2260" s="15" t="s">
        <v>8</v>
      </c>
      <c r="D2260" s="15" t="s">
        <v>8</v>
      </c>
      <c r="G2260" s="15" t="s">
        <v>8</v>
      </c>
      <c r="L2260" s="15" t="s">
        <v>8</v>
      </c>
      <c r="M2260" s="15" t="s">
        <v>8</v>
      </c>
      <c r="N2260" s="15" t="s">
        <v>8</v>
      </c>
      <c r="O2260" s="15" t="s">
        <v>8</v>
      </c>
      <c r="Q2260" s="15" t="s">
        <v>8</v>
      </c>
      <c r="T2260" s="15" t="s">
        <v>8</v>
      </c>
      <c r="X2260" s="15" t="s">
        <v>8</v>
      </c>
      <c r="AA2260" s="19" t="str">
        <f>HYPERLINK("http://yeinfo.com/family/I09066911.html", "GILBERT HAYDOCK &lt;2&gt; 1210 EN-1299 EN ID:09066911")</f>
        <v>GILBERT HAYDOCK &lt;2&gt; 1210 EN-1299 EN ID:09066911</v>
      </c>
      <c r="AB2260" s="9"/>
      <c r="AC2260" s="9"/>
      <c r="AD2260" s="9"/>
      <c r="AE2260" s="9"/>
    </row>
    <row r="2261" spans="3:32" x14ac:dyDescent="0.35">
      <c r="C2261" s="15" t="s">
        <v>8</v>
      </c>
      <c r="D2261" s="15" t="s">
        <v>8</v>
      </c>
      <c r="G2261" s="15" t="s">
        <v>8</v>
      </c>
      <c r="L2261" s="15" t="s">
        <v>8</v>
      </c>
      <c r="M2261" s="15" t="s">
        <v>8</v>
      </c>
      <c r="N2261" s="15" t="s">
        <v>8</v>
      </c>
      <c r="O2261" s="15" t="s">
        <v>8</v>
      </c>
      <c r="Q2261" s="15" t="s">
        <v>8</v>
      </c>
      <c r="T2261" s="15" t="s">
        <v>8</v>
      </c>
      <c r="X2261" s="15" t="s">
        <v>8</v>
      </c>
      <c r="AA2261" s="8" t="s">
        <v>3</v>
      </c>
      <c r="AB2261" s="8" t="s">
        <v>6</v>
      </c>
    </row>
    <row r="2262" spans="3:32" x14ac:dyDescent="0.35">
      <c r="C2262" s="15" t="s">
        <v>8</v>
      </c>
      <c r="D2262" s="15" t="s">
        <v>8</v>
      </c>
      <c r="G2262" s="15" t="s">
        <v>8</v>
      </c>
      <c r="L2262" s="15" t="s">
        <v>8</v>
      </c>
      <c r="M2262" s="15" t="s">
        <v>8</v>
      </c>
      <c r="N2262" s="15" t="s">
        <v>8</v>
      </c>
      <c r="O2262" s="15" t="s">
        <v>8</v>
      </c>
      <c r="Q2262" s="15" t="s">
        <v>8</v>
      </c>
      <c r="T2262" s="15" t="s">
        <v>8</v>
      </c>
      <c r="X2262" s="15" t="s">
        <v>8</v>
      </c>
      <c r="AA2262" s="15" t="s">
        <v>8</v>
      </c>
      <c r="AB2262" s="20" t="str">
        <f>HYPERLINK("http://yeinfo.com/family/I09066937.html", "CECELIA LAUTON &lt;2&gt; 1195 EN-1225 EN ID:09066937")</f>
        <v>CECELIA LAUTON &lt;2&gt; 1195 EN-1225 EN ID:09066937</v>
      </c>
      <c r="AC2262" s="17"/>
      <c r="AD2262" s="17"/>
      <c r="AE2262" s="17"/>
      <c r="AF2262" s="17"/>
    </row>
    <row r="2263" spans="3:32" x14ac:dyDescent="0.35">
      <c r="C2263" s="15" t="s">
        <v>8</v>
      </c>
      <c r="D2263" s="15" t="s">
        <v>8</v>
      </c>
      <c r="G2263" s="15" t="s">
        <v>8</v>
      </c>
      <c r="L2263" s="15" t="s">
        <v>8</v>
      </c>
      <c r="M2263" s="15" t="s">
        <v>8</v>
      </c>
      <c r="N2263" s="15" t="s">
        <v>8</v>
      </c>
      <c r="O2263" s="15" t="s">
        <v>8</v>
      </c>
      <c r="Q2263" s="15" t="s">
        <v>8</v>
      </c>
      <c r="T2263" s="15" t="s">
        <v>8</v>
      </c>
      <c r="X2263" s="15" t="s">
        <v>8</v>
      </c>
      <c r="AA2263" s="15" t="s">
        <v>8</v>
      </c>
    </row>
    <row r="2264" spans="3:32" x14ac:dyDescent="0.35">
      <c r="C2264" s="15" t="s">
        <v>8</v>
      </c>
      <c r="D2264" s="15" t="s">
        <v>8</v>
      </c>
      <c r="G2264" s="15" t="s">
        <v>8</v>
      </c>
      <c r="L2264" s="15" t="s">
        <v>8</v>
      </c>
      <c r="M2264" s="15" t="s">
        <v>8</v>
      </c>
      <c r="N2264" s="15" t="s">
        <v>8</v>
      </c>
      <c r="O2264" s="15" t="s">
        <v>8</v>
      </c>
      <c r="Q2264" s="15" t="s">
        <v>8</v>
      </c>
      <c r="T2264" s="15" t="s">
        <v>8</v>
      </c>
      <c r="X2264" s="15" t="s">
        <v>8</v>
      </c>
      <c r="Z2264" s="19" t="str">
        <f>HYPERLINK("http://yeinfo.com/family/I09066913.html", "GILBERT HAYDOCK II &lt;2&gt; 1250 EN-1290 EN ID:09066913")</f>
        <v>GILBERT HAYDOCK II &lt;2&gt; 1250 EN-1290 EN ID:09066913</v>
      </c>
      <c r="AA2264" s="9"/>
      <c r="AB2264" s="9"/>
      <c r="AC2264" s="9"/>
      <c r="AD2264" s="9"/>
    </row>
    <row r="2265" spans="3:32" x14ac:dyDescent="0.35">
      <c r="C2265" s="15" t="s">
        <v>8</v>
      </c>
      <c r="D2265" s="15" t="s">
        <v>8</v>
      </c>
      <c r="G2265" s="15" t="s">
        <v>8</v>
      </c>
      <c r="L2265" s="15" t="s">
        <v>8</v>
      </c>
      <c r="M2265" s="15" t="s">
        <v>8</v>
      </c>
      <c r="N2265" s="15" t="s">
        <v>8</v>
      </c>
      <c r="O2265" s="15" t="s">
        <v>8</v>
      </c>
      <c r="Q2265" s="15" t="s">
        <v>8</v>
      </c>
      <c r="T2265" s="15" t="s">
        <v>8</v>
      </c>
      <c r="X2265" s="15" t="s">
        <v>8</v>
      </c>
      <c r="Z2265" s="8" t="s">
        <v>3</v>
      </c>
      <c r="AA2265" s="15" t="s">
        <v>8</v>
      </c>
    </row>
    <row r="2266" spans="3:32" x14ac:dyDescent="0.35">
      <c r="C2266" s="15" t="s">
        <v>8</v>
      </c>
      <c r="D2266" s="15" t="s">
        <v>8</v>
      </c>
      <c r="G2266" s="15" t="s">
        <v>8</v>
      </c>
      <c r="L2266" s="15" t="s">
        <v>8</v>
      </c>
      <c r="M2266" s="15" t="s">
        <v>8</v>
      </c>
      <c r="N2266" s="15" t="s">
        <v>8</v>
      </c>
      <c r="O2266" s="15" t="s">
        <v>8</v>
      </c>
      <c r="Q2266" s="15" t="s">
        <v>8</v>
      </c>
      <c r="T2266" s="15" t="s">
        <v>8</v>
      </c>
      <c r="X2266" s="15" t="s">
        <v>8</v>
      </c>
      <c r="Z2266" s="15" t="s">
        <v>8</v>
      </c>
      <c r="AA2266" s="15" t="s">
        <v>8</v>
      </c>
      <c r="AB2266" s="19" t="str">
        <f>HYPERLINK("http://yeinfo.com/family/I09066870.html", "MATTHEW BOLD &lt;2&gt; 1190 EN-1242 EN ID:09066870")</f>
        <v>MATTHEW BOLD &lt;2&gt; 1190 EN-1242 EN ID:09066870</v>
      </c>
      <c r="AC2266" s="9"/>
      <c r="AD2266" s="9"/>
      <c r="AE2266" s="9"/>
      <c r="AF2266" s="9"/>
    </row>
    <row r="2267" spans="3:32" x14ac:dyDescent="0.35">
      <c r="C2267" s="15" t="s">
        <v>8</v>
      </c>
      <c r="D2267" s="15" t="s">
        <v>8</v>
      </c>
      <c r="G2267" s="15" t="s">
        <v>8</v>
      </c>
      <c r="L2267" s="15" t="s">
        <v>8</v>
      </c>
      <c r="M2267" s="15" t="s">
        <v>8</v>
      </c>
      <c r="N2267" s="15" t="s">
        <v>8</v>
      </c>
      <c r="O2267" s="15" t="s">
        <v>8</v>
      </c>
      <c r="Q2267" s="15" t="s">
        <v>8</v>
      </c>
      <c r="T2267" s="15" t="s">
        <v>8</v>
      </c>
      <c r="X2267" s="15" t="s">
        <v>8</v>
      </c>
      <c r="Z2267" s="15" t="s">
        <v>8</v>
      </c>
      <c r="AA2267" s="8" t="s">
        <v>6</v>
      </c>
      <c r="AB2267" s="8" t="s">
        <v>3</v>
      </c>
    </row>
    <row r="2268" spans="3:32" x14ac:dyDescent="0.35">
      <c r="C2268" s="15" t="s">
        <v>8</v>
      </c>
      <c r="D2268" s="15" t="s">
        <v>8</v>
      </c>
      <c r="G2268" s="15" t="s">
        <v>8</v>
      </c>
      <c r="L2268" s="15" t="s">
        <v>8</v>
      </c>
      <c r="M2268" s="15" t="s">
        <v>8</v>
      </c>
      <c r="N2268" s="15" t="s">
        <v>8</v>
      </c>
      <c r="O2268" s="15" t="s">
        <v>8</v>
      </c>
      <c r="Q2268" s="15" t="s">
        <v>8</v>
      </c>
      <c r="T2268" s="15" t="s">
        <v>8</v>
      </c>
      <c r="X2268" s="15" t="s">
        <v>8</v>
      </c>
      <c r="Z2268" s="15" t="s">
        <v>8</v>
      </c>
      <c r="AA2268" s="20" t="str">
        <f>HYPERLINK("http://yeinfo.com/family/I09066871.html", "ALICIA BOLD &lt;2&gt; 1225 EN-1312 EN ID:09066871")</f>
        <v>ALICIA BOLD &lt;2&gt; 1225 EN-1312 EN ID:09066871</v>
      </c>
      <c r="AB2268" s="17"/>
      <c r="AC2268" s="17"/>
      <c r="AD2268" s="17"/>
      <c r="AE2268" s="17"/>
    </row>
    <row r="2269" spans="3:32" x14ac:dyDescent="0.35">
      <c r="C2269" s="15" t="s">
        <v>8</v>
      </c>
      <c r="D2269" s="15" t="s">
        <v>8</v>
      </c>
      <c r="G2269" s="15" t="s">
        <v>8</v>
      </c>
      <c r="L2269" s="15" t="s">
        <v>8</v>
      </c>
      <c r="M2269" s="15" t="s">
        <v>8</v>
      </c>
      <c r="N2269" s="15" t="s">
        <v>8</v>
      </c>
      <c r="O2269" s="15" t="s">
        <v>8</v>
      </c>
      <c r="Q2269" s="15" t="s">
        <v>8</v>
      </c>
      <c r="T2269" s="15" t="s">
        <v>8</v>
      </c>
      <c r="X2269" s="15" t="s">
        <v>8</v>
      </c>
      <c r="Z2269" s="15" t="s">
        <v>8</v>
      </c>
      <c r="AB2269" s="8" t="s">
        <v>6</v>
      </c>
    </row>
    <row r="2270" spans="3:32" x14ac:dyDescent="0.35">
      <c r="C2270" s="15" t="s">
        <v>8</v>
      </c>
      <c r="D2270" s="15" t="s">
        <v>8</v>
      </c>
      <c r="G2270" s="15" t="s">
        <v>8</v>
      </c>
      <c r="L2270" s="15" t="s">
        <v>8</v>
      </c>
      <c r="M2270" s="15" t="s">
        <v>8</v>
      </c>
      <c r="N2270" s="15" t="s">
        <v>8</v>
      </c>
      <c r="O2270" s="15" t="s">
        <v>8</v>
      </c>
      <c r="Q2270" s="15" t="s">
        <v>8</v>
      </c>
      <c r="T2270" s="15" t="s">
        <v>8</v>
      </c>
      <c r="X2270" s="15" t="s">
        <v>8</v>
      </c>
      <c r="Z2270" s="15" t="s">
        <v>8</v>
      </c>
      <c r="AB2270" s="20" t="str">
        <f>HYPERLINK("http://yeinfo.com/family/I09066869.html", "Mrs. AGNES BOLD &lt;2&gt; 1200 EN-1290 EN ID:09066869")</f>
        <v>Mrs. AGNES BOLD &lt;2&gt; 1200 EN-1290 EN ID:09066869</v>
      </c>
      <c r="AC2270" s="17"/>
      <c r="AD2270" s="17"/>
      <c r="AE2270" s="17"/>
      <c r="AF2270" s="17"/>
    </row>
    <row r="2271" spans="3:32" x14ac:dyDescent="0.35">
      <c r="C2271" s="15" t="s">
        <v>8</v>
      </c>
      <c r="D2271" s="15" t="s">
        <v>8</v>
      </c>
      <c r="G2271" s="15" t="s">
        <v>8</v>
      </c>
      <c r="L2271" s="15" t="s">
        <v>8</v>
      </c>
      <c r="M2271" s="15" t="s">
        <v>8</v>
      </c>
      <c r="N2271" s="15" t="s">
        <v>8</v>
      </c>
      <c r="O2271" s="15" t="s">
        <v>8</v>
      </c>
      <c r="Q2271" s="15" t="s">
        <v>8</v>
      </c>
      <c r="T2271" s="15" t="s">
        <v>8</v>
      </c>
      <c r="X2271" s="15" t="s">
        <v>8</v>
      </c>
      <c r="Z2271" s="15" t="s">
        <v>8</v>
      </c>
    </row>
    <row r="2272" spans="3:32" x14ac:dyDescent="0.35">
      <c r="C2272" s="15" t="s">
        <v>8</v>
      </c>
      <c r="D2272" s="15" t="s">
        <v>8</v>
      </c>
      <c r="G2272" s="15" t="s">
        <v>8</v>
      </c>
      <c r="L2272" s="15" t="s">
        <v>8</v>
      </c>
      <c r="M2272" s="15" t="s">
        <v>8</v>
      </c>
      <c r="N2272" s="15" t="s">
        <v>8</v>
      </c>
      <c r="O2272" s="15" t="s">
        <v>8</v>
      </c>
      <c r="Q2272" s="15" t="s">
        <v>8</v>
      </c>
      <c r="T2272" s="15" t="s">
        <v>8</v>
      </c>
      <c r="X2272" s="15" t="s">
        <v>8</v>
      </c>
      <c r="Y2272" s="19" t="str">
        <f>HYPERLINK("http://yeinfo.com/family/I09066914.html", "GILBERT HAYDOCK III &lt;2&gt; 1290 EN-1322 EN ID:09066914")</f>
        <v>GILBERT HAYDOCK III &lt;2&gt; 1290 EN-1322 EN ID:09066914</v>
      </c>
      <c r="Z2272" s="9"/>
      <c r="AA2272" s="9"/>
      <c r="AB2272" s="9"/>
      <c r="AC2272" s="9"/>
    </row>
    <row r="2273" spans="3:30" x14ac:dyDescent="0.35">
      <c r="C2273" s="15" t="s">
        <v>8</v>
      </c>
      <c r="D2273" s="15" t="s">
        <v>8</v>
      </c>
      <c r="G2273" s="15" t="s">
        <v>8</v>
      </c>
      <c r="L2273" s="15" t="s">
        <v>8</v>
      </c>
      <c r="M2273" s="15" t="s">
        <v>8</v>
      </c>
      <c r="N2273" s="15" t="s">
        <v>8</v>
      </c>
      <c r="O2273" s="15" t="s">
        <v>8</v>
      </c>
      <c r="Q2273" s="15" t="s">
        <v>8</v>
      </c>
      <c r="T2273" s="15" t="s">
        <v>8</v>
      </c>
      <c r="X2273" s="15" t="s">
        <v>8</v>
      </c>
      <c r="Y2273" s="8" t="s">
        <v>3</v>
      </c>
      <c r="Z2273" s="8" t="s">
        <v>6</v>
      </c>
    </row>
    <row r="2274" spans="3:30" x14ac:dyDescent="0.35">
      <c r="C2274" s="15" t="s">
        <v>8</v>
      </c>
      <c r="D2274" s="15" t="s">
        <v>8</v>
      </c>
      <c r="G2274" s="15" t="s">
        <v>8</v>
      </c>
      <c r="L2274" s="15" t="s">
        <v>8</v>
      </c>
      <c r="M2274" s="15" t="s">
        <v>8</v>
      </c>
      <c r="N2274" s="15" t="s">
        <v>8</v>
      </c>
      <c r="O2274" s="15" t="s">
        <v>8</v>
      </c>
      <c r="Q2274" s="15" t="s">
        <v>8</v>
      </c>
      <c r="T2274" s="15" t="s">
        <v>8</v>
      </c>
      <c r="X2274" s="15" t="s">
        <v>8</v>
      </c>
      <c r="Y2274" s="15" t="s">
        <v>8</v>
      </c>
      <c r="Z2274" s="20" t="str">
        <f>HYPERLINK("http://yeinfo.com/family/I09066912.html", "Mrs. {_?_} HAYDOCK &lt;2&gt; 1265 EN-1290 EN ID:09066912")</f>
        <v>Mrs. {_?_} HAYDOCK &lt;2&gt; 1265 EN-1290 EN ID:09066912</v>
      </c>
      <c r="AA2274" s="17"/>
      <c r="AB2274" s="17"/>
      <c r="AC2274" s="17"/>
      <c r="AD2274" s="17"/>
    </row>
    <row r="2275" spans="3:30" x14ac:dyDescent="0.35">
      <c r="C2275" s="15" t="s">
        <v>8</v>
      </c>
      <c r="D2275" s="15" t="s">
        <v>8</v>
      </c>
      <c r="G2275" s="15" t="s">
        <v>8</v>
      </c>
      <c r="L2275" s="15" t="s">
        <v>8</v>
      </c>
      <c r="M2275" s="15" t="s">
        <v>8</v>
      </c>
      <c r="N2275" s="15" t="s">
        <v>8</v>
      </c>
      <c r="O2275" s="15" t="s">
        <v>8</v>
      </c>
      <c r="Q2275" s="15" t="s">
        <v>8</v>
      </c>
      <c r="T2275" s="15" t="s">
        <v>8</v>
      </c>
      <c r="X2275" s="8" t="s">
        <v>6</v>
      </c>
      <c r="Y2275" s="15" t="s">
        <v>8</v>
      </c>
    </row>
    <row r="2276" spans="3:30" x14ac:dyDescent="0.35">
      <c r="C2276" s="15" t="s">
        <v>8</v>
      </c>
      <c r="D2276" s="15" t="s">
        <v>8</v>
      </c>
      <c r="G2276" s="15" t="s">
        <v>8</v>
      </c>
      <c r="L2276" s="15" t="s">
        <v>8</v>
      </c>
      <c r="M2276" s="15" t="s">
        <v>8</v>
      </c>
      <c r="N2276" s="15" t="s">
        <v>8</v>
      </c>
      <c r="O2276" s="15" t="s">
        <v>8</v>
      </c>
      <c r="Q2276" s="15" t="s">
        <v>8</v>
      </c>
      <c r="T2276" s="15" t="s">
        <v>8</v>
      </c>
      <c r="X2276" s="20" t="str">
        <f>HYPERLINK("http://yeinfo.com/family/I09066915.html", "ANABEL HAYDOCK &lt;2&gt; 1322 EN-1390 EN ID:09066915")</f>
        <v>ANABEL HAYDOCK &lt;2&gt; 1322 EN-1390 EN ID:09066915</v>
      </c>
      <c r="Y2276" s="17"/>
      <c r="Z2276" s="17"/>
      <c r="AA2276" s="17"/>
      <c r="AB2276" s="17"/>
    </row>
    <row r="2277" spans="3:30" x14ac:dyDescent="0.35">
      <c r="C2277" s="15" t="s">
        <v>8</v>
      </c>
      <c r="D2277" s="15" t="s">
        <v>8</v>
      </c>
      <c r="G2277" s="15" t="s">
        <v>8</v>
      </c>
      <c r="L2277" s="15" t="s">
        <v>8</v>
      </c>
      <c r="M2277" s="15" t="s">
        <v>8</v>
      </c>
      <c r="N2277" s="15" t="s">
        <v>8</v>
      </c>
      <c r="O2277" s="15" t="s">
        <v>8</v>
      </c>
      <c r="Q2277" s="15" t="s">
        <v>8</v>
      </c>
      <c r="T2277" s="15" t="s">
        <v>8</v>
      </c>
      <c r="Y2277" s="15" t="s">
        <v>8</v>
      </c>
    </row>
    <row r="2278" spans="3:30" x14ac:dyDescent="0.35">
      <c r="C2278" s="15" t="s">
        <v>8</v>
      </c>
      <c r="D2278" s="15" t="s">
        <v>8</v>
      </c>
      <c r="G2278" s="15" t="s">
        <v>8</v>
      </c>
      <c r="L2278" s="15" t="s">
        <v>8</v>
      </c>
      <c r="M2278" s="15" t="s">
        <v>8</v>
      </c>
      <c r="N2278" s="15" t="s">
        <v>8</v>
      </c>
      <c r="O2278" s="15" t="s">
        <v>8</v>
      </c>
      <c r="Q2278" s="15" t="s">
        <v>8</v>
      </c>
      <c r="T2278" s="15" t="s">
        <v>8</v>
      </c>
      <c r="Y2278" s="15" t="s">
        <v>8</v>
      </c>
      <c r="Z2278" s="19" t="str">
        <f>HYPERLINK("http://yeinfo.com/family/I09066923.html", "WILLIAM HOUGHTON &lt;2&gt; 1277 EN-1320 EN ID:09066923")</f>
        <v>WILLIAM HOUGHTON &lt;2&gt; 1277 EN-1320 EN ID:09066923</v>
      </c>
      <c r="AA2278" s="9"/>
      <c r="AB2278" s="9"/>
      <c r="AC2278" s="9"/>
      <c r="AD2278" s="9"/>
    </row>
    <row r="2279" spans="3:30" x14ac:dyDescent="0.35">
      <c r="C2279" s="15" t="s">
        <v>8</v>
      </c>
      <c r="D2279" s="15" t="s">
        <v>8</v>
      </c>
      <c r="G2279" s="15" t="s">
        <v>8</v>
      </c>
      <c r="L2279" s="15" t="s">
        <v>8</v>
      </c>
      <c r="M2279" s="15" t="s">
        <v>8</v>
      </c>
      <c r="N2279" s="15" t="s">
        <v>8</v>
      </c>
      <c r="O2279" s="15" t="s">
        <v>8</v>
      </c>
      <c r="Q2279" s="15" t="s">
        <v>8</v>
      </c>
      <c r="T2279" s="15" t="s">
        <v>8</v>
      </c>
      <c r="Y2279" s="8" t="s">
        <v>6</v>
      </c>
      <c r="Z2279" s="8" t="s">
        <v>3</v>
      </c>
    </row>
    <row r="2280" spans="3:30" x14ac:dyDescent="0.35">
      <c r="C2280" s="15" t="s">
        <v>8</v>
      </c>
      <c r="D2280" s="15" t="s">
        <v>8</v>
      </c>
      <c r="G2280" s="15" t="s">
        <v>8</v>
      </c>
      <c r="L2280" s="15" t="s">
        <v>8</v>
      </c>
      <c r="M2280" s="15" t="s">
        <v>8</v>
      </c>
      <c r="N2280" s="15" t="s">
        <v>8</v>
      </c>
      <c r="O2280" s="15" t="s">
        <v>8</v>
      </c>
      <c r="Q2280" s="15" t="s">
        <v>8</v>
      </c>
      <c r="T2280" s="15" t="s">
        <v>8</v>
      </c>
      <c r="Y2280" s="20" t="str">
        <f>HYPERLINK("http://yeinfo.com/family/I09066924.html", "EMMA HOUGHTON &lt;2&gt; 1303 EN-1332 EN ID:09066924")</f>
        <v>EMMA HOUGHTON &lt;2&gt; 1303 EN-1332 EN ID:09066924</v>
      </c>
      <c r="Z2280" s="17"/>
      <c r="AA2280" s="17"/>
      <c r="AB2280" s="17"/>
      <c r="AC2280" s="17"/>
    </row>
    <row r="2281" spans="3:30" x14ac:dyDescent="0.35">
      <c r="C2281" s="15" t="s">
        <v>8</v>
      </c>
      <c r="D2281" s="15" t="s">
        <v>8</v>
      </c>
      <c r="G2281" s="15" t="s">
        <v>8</v>
      </c>
      <c r="L2281" s="15" t="s">
        <v>8</v>
      </c>
      <c r="M2281" s="15" t="s">
        <v>8</v>
      </c>
      <c r="N2281" s="15" t="s">
        <v>8</v>
      </c>
      <c r="O2281" s="15" t="s">
        <v>8</v>
      </c>
      <c r="Q2281" s="15" t="s">
        <v>8</v>
      </c>
      <c r="T2281" s="15" t="s">
        <v>8</v>
      </c>
      <c r="Z2281" s="8" t="s">
        <v>6</v>
      </c>
    </row>
    <row r="2282" spans="3:30" x14ac:dyDescent="0.35">
      <c r="C2282" s="15" t="s">
        <v>8</v>
      </c>
      <c r="D2282" s="15" t="s">
        <v>8</v>
      </c>
      <c r="G2282" s="15" t="s">
        <v>8</v>
      </c>
      <c r="L2282" s="15" t="s">
        <v>8</v>
      </c>
      <c r="M2282" s="15" t="s">
        <v>8</v>
      </c>
      <c r="N2282" s="15" t="s">
        <v>8</v>
      </c>
      <c r="O2282" s="15" t="s">
        <v>8</v>
      </c>
      <c r="Q2282" s="15" t="s">
        <v>8</v>
      </c>
      <c r="T2282" s="15" t="s">
        <v>8</v>
      </c>
      <c r="Z2282" s="20" t="str">
        <f>HYPERLINK("http://yeinfo.com/family/I09066922.html", "Mrs. {_?_} HOUGHTON &lt;2&gt; 1280 EN-1303 EN ID:09066922")</f>
        <v>Mrs. {_?_} HOUGHTON &lt;2&gt; 1280 EN-1303 EN ID:09066922</v>
      </c>
      <c r="AA2282" s="17"/>
      <c r="AB2282" s="17"/>
      <c r="AC2282" s="17"/>
      <c r="AD2282" s="17"/>
    </row>
    <row r="2283" spans="3:30" x14ac:dyDescent="0.35">
      <c r="C2283" s="15" t="s">
        <v>8</v>
      </c>
      <c r="D2283" s="15" t="s">
        <v>8</v>
      </c>
      <c r="G2283" s="15" t="s">
        <v>8</v>
      </c>
      <c r="L2283" s="15" t="s">
        <v>8</v>
      </c>
      <c r="M2283" s="15" t="s">
        <v>8</v>
      </c>
      <c r="N2283" s="15" t="s">
        <v>8</v>
      </c>
      <c r="O2283" s="15" t="s">
        <v>8</v>
      </c>
      <c r="Q2283" s="15" t="s">
        <v>8</v>
      </c>
      <c r="T2283" s="15" t="s">
        <v>8</v>
      </c>
    </row>
    <row r="2284" spans="3:30" x14ac:dyDescent="0.35">
      <c r="C2284" s="15" t="s">
        <v>8</v>
      </c>
      <c r="D2284" s="15" t="s">
        <v>8</v>
      </c>
      <c r="G2284" s="15" t="s">
        <v>8</v>
      </c>
      <c r="L2284" s="15" t="s">
        <v>8</v>
      </c>
      <c r="M2284" s="15" t="s">
        <v>8</v>
      </c>
      <c r="N2284" s="15" t="s">
        <v>8</v>
      </c>
      <c r="O2284" s="15" t="s">
        <v>8</v>
      </c>
      <c r="Q2284" s="15" t="s">
        <v>8</v>
      </c>
      <c r="S2284" s="19" t="str">
        <f>HYPERLINK("http://yeinfo.com/family/I09066987.html", "EDMUND TRAFFORD &lt;2&gt; 1445 EN-1513 EN ID:09066987")</f>
        <v>EDMUND TRAFFORD &lt;2&gt; 1445 EN-1513 EN ID:09066987</v>
      </c>
      <c r="T2284" s="9"/>
      <c r="U2284" s="9"/>
      <c r="V2284" s="9"/>
      <c r="W2284" s="9"/>
    </row>
    <row r="2285" spans="3:30" x14ac:dyDescent="0.35">
      <c r="C2285" s="15" t="s">
        <v>8</v>
      </c>
      <c r="D2285" s="15" t="s">
        <v>8</v>
      </c>
      <c r="G2285" s="15" t="s">
        <v>8</v>
      </c>
      <c r="L2285" s="15" t="s">
        <v>8</v>
      </c>
      <c r="M2285" s="15" t="s">
        <v>8</v>
      </c>
      <c r="N2285" s="15" t="s">
        <v>8</v>
      </c>
      <c r="O2285" s="15" t="s">
        <v>8</v>
      </c>
      <c r="Q2285" s="15" t="s">
        <v>8</v>
      </c>
      <c r="S2285" s="8" t="s">
        <v>3</v>
      </c>
      <c r="T2285" s="15" t="s">
        <v>8</v>
      </c>
    </row>
    <row r="2286" spans="3:30" x14ac:dyDescent="0.35">
      <c r="C2286" s="15" t="s">
        <v>8</v>
      </c>
      <c r="D2286" s="15" t="s">
        <v>8</v>
      </c>
      <c r="G2286" s="15" t="s">
        <v>8</v>
      </c>
      <c r="L2286" s="15" t="s">
        <v>8</v>
      </c>
      <c r="M2286" s="15" t="s">
        <v>8</v>
      </c>
      <c r="N2286" s="15" t="s">
        <v>8</v>
      </c>
      <c r="O2286" s="15" t="s">
        <v>8</v>
      </c>
      <c r="Q2286" s="15" t="s">
        <v>8</v>
      </c>
      <c r="S2286" s="15" t="s">
        <v>8</v>
      </c>
      <c r="T2286" s="15" t="s">
        <v>8</v>
      </c>
      <c r="Y2286" s="19" t="str">
        <f>HYPERLINK("http://yeinfo.com/family/I09066857.html", "ROBERT ASHTON &lt;2&gt; 1303 EN-1321 EN ID:09066857")</f>
        <v>ROBERT ASHTON &lt;2&gt; 1303 EN-1321 EN ID:09066857</v>
      </c>
      <c r="Z2286" s="9"/>
      <c r="AA2286" s="9"/>
      <c r="AB2286" s="9"/>
      <c r="AC2286" s="9"/>
    </row>
    <row r="2287" spans="3:30" x14ac:dyDescent="0.35">
      <c r="C2287" s="15" t="s">
        <v>8</v>
      </c>
      <c r="D2287" s="15" t="s">
        <v>8</v>
      </c>
      <c r="G2287" s="15" t="s">
        <v>8</v>
      </c>
      <c r="L2287" s="15" t="s">
        <v>8</v>
      </c>
      <c r="M2287" s="15" t="s">
        <v>8</v>
      </c>
      <c r="N2287" s="15" t="s">
        <v>8</v>
      </c>
      <c r="O2287" s="15" t="s">
        <v>8</v>
      </c>
      <c r="Q2287" s="15" t="s">
        <v>8</v>
      </c>
      <c r="S2287" s="15" t="s">
        <v>8</v>
      </c>
      <c r="T2287" s="15" t="s">
        <v>8</v>
      </c>
      <c r="Y2287" s="8" t="s">
        <v>3</v>
      </c>
    </row>
    <row r="2288" spans="3:30" x14ac:dyDescent="0.35">
      <c r="C2288" s="15" t="s">
        <v>8</v>
      </c>
      <c r="D2288" s="15" t="s">
        <v>8</v>
      </c>
      <c r="G2288" s="15" t="s">
        <v>8</v>
      </c>
      <c r="L2288" s="15" t="s">
        <v>8</v>
      </c>
      <c r="M2288" s="15" t="s">
        <v>8</v>
      </c>
      <c r="N2288" s="15" t="s">
        <v>8</v>
      </c>
      <c r="O2288" s="15" t="s">
        <v>8</v>
      </c>
      <c r="Q2288" s="15" t="s">
        <v>8</v>
      </c>
      <c r="S2288" s="15" t="s">
        <v>8</v>
      </c>
      <c r="T2288" s="15" t="s">
        <v>8</v>
      </c>
      <c r="X2288" s="19" t="str">
        <f>HYPERLINK("http://yeinfo.com/family/I09066858.html", "THOMAS ASHTON II &lt;2&gt; 1306 EN-1354 EN ID:09066858")</f>
        <v>THOMAS ASHTON II &lt;2&gt; 1306 EN-1354 EN ID:09066858</v>
      </c>
      <c r="Y2288" s="9"/>
      <c r="Z2288" s="9"/>
      <c r="AA2288" s="9"/>
      <c r="AB2288" s="9"/>
    </row>
    <row r="2289" spans="3:31" x14ac:dyDescent="0.35">
      <c r="C2289" s="15" t="s">
        <v>8</v>
      </c>
      <c r="D2289" s="15" t="s">
        <v>8</v>
      </c>
      <c r="G2289" s="15" t="s">
        <v>8</v>
      </c>
      <c r="L2289" s="15" t="s">
        <v>8</v>
      </c>
      <c r="M2289" s="15" t="s">
        <v>8</v>
      </c>
      <c r="N2289" s="15" t="s">
        <v>8</v>
      </c>
      <c r="O2289" s="15" t="s">
        <v>8</v>
      </c>
      <c r="Q2289" s="15" t="s">
        <v>8</v>
      </c>
      <c r="S2289" s="15" t="s">
        <v>8</v>
      </c>
      <c r="T2289" s="15" t="s">
        <v>8</v>
      </c>
      <c r="X2289" s="8" t="s">
        <v>3</v>
      </c>
      <c r="Y2289" s="15" t="s">
        <v>8</v>
      </c>
    </row>
    <row r="2290" spans="3:31" x14ac:dyDescent="0.35">
      <c r="C2290" s="15" t="s">
        <v>8</v>
      </c>
      <c r="D2290" s="15" t="s">
        <v>8</v>
      </c>
      <c r="G2290" s="15" t="s">
        <v>8</v>
      </c>
      <c r="L2290" s="15" t="s">
        <v>8</v>
      </c>
      <c r="M2290" s="15" t="s">
        <v>8</v>
      </c>
      <c r="N2290" s="15" t="s">
        <v>8</v>
      </c>
      <c r="O2290" s="15" t="s">
        <v>8</v>
      </c>
      <c r="Q2290" s="15" t="s">
        <v>8</v>
      </c>
      <c r="S2290" s="15" t="s">
        <v>8</v>
      </c>
      <c r="T2290" s="15" t="s">
        <v>8</v>
      </c>
      <c r="X2290" s="15" t="s">
        <v>8</v>
      </c>
      <c r="Y2290" s="15" t="s">
        <v>8</v>
      </c>
      <c r="AA2290" s="19" t="str">
        <f>HYPERLINK("http://yeinfo.com/family/I09066907.html", "RALPH GORGES II &lt;2&gt; 1254 EN-1297 FR ID:09066907")</f>
        <v>RALPH GORGES II &lt;2&gt; 1254 EN-1297 FR ID:09066907</v>
      </c>
      <c r="AB2290" s="9"/>
      <c r="AC2290" s="9"/>
      <c r="AD2290" s="9"/>
      <c r="AE2290" s="9"/>
    </row>
    <row r="2291" spans="3:31" x14ac:dyDescent="0.35">
      <c r="C2291" s="15" t="s">
        <v>8</v>
      </c>
      <c r="D2291" s="15" t="s">
        <v>8</v>
      </c>
      <c r="G2291" s="15" t="s">
        <v>8</v>
      </c>
      <c r="L2291" s="15" t="s">
        <v>8</v>
      </c>
      <c r="M2291" s="15" t="s">
        <v>8</v>
      </c>
      <c r="N2291" s="15" t="s">
        <v>8</v>
      </c>
      <c r="O2291" s="15" t="s">
        <v>8</v>
      </c>
      <c r="Q2291" s="15" t="s">
        <v>8</v>
      </c>
      <c r="S2291" s="15" t="s">
        <v>8</v>
      </c>
      <c r="T2291" s="15" t="s">
        <v>8</v>
      </c>
      <c r="X2291" s="15" t="s">
        <v>8</v>
      </c>
      <c r="Y2291" s="15" t="s">
        <v>8</v>
      </c>
      <c r="AA2291" s="8" t="s">
        <v>3</v>
      </c>
    </row>
    <row r="2292" spans="3:31" x14ac:dyDescent="0.35">
      <c r="C2292" s="15" t="s">
        <v>8</v>
      </c>
      <c r="D2292" s="15" t="s">
        <v>8</v>
      </c>
      <c r="G2292" s="15" t="s">
        <v>8</v>
      </c>
      <c r="L2292" s="15" t="s">
        <v>8</v>
      </c>
      <c r="M2292" s="15" t="s">
        <v>8</v>
      </c>
      <c r="N2292" s="15" t="s">
        <v>8</v>
      </c>
      <c r="O2292" s="15" t="s">
        <v>8</v>
      </c>
      <c r="Q2292" s="15" t="s">
        <v>8</v>
      </c>
      <c r="S2292" s="15" t="s">
        <v>8</v>
      </c>
      <c r="T2292" s="15" t="s">
        <v>8</v>
      </c>
      <c r="X2292" s="15" t="s">
        <v>8</v>
      </c>
      <c r="Y2292" s="15" t="s">
        <v>8</v>
      </c>
      <c r="Z2292" s="19" t="str">
        <f>HYPERLINK("http://yeinfo.com/family/I09066908.html", "RALPH GORGES III &lt;2&gt; 1280 EN-1333 EN ID:09066908")</f>
        <v>RALPH GORGES III &lt;2&gt; 1280 EN-1333 EN ID:09066908</v>
      </c>
      <c r="AA2292" s="9"/>
      <c r="AB2292" s="9"/>
      <c r="AC2292" s="9"/>
      <c r="AD2292" s="9"/>
    </row>
    <row r="2293" spans="3:31" x14ac:dyDescent="0.35">
      <c r="C2293" s="15" t="s">
        <v>8</v>
      </c>
      <c r="D2293" s="15" t="s">
        <v>8</v>
      </c>
      <c r="G2293" s="15" t="s">
        <v>8</v>
      </c>
      <c r="L2293" s="15" t="s">
        <v>8</v>
      </c>
      <c r="M2293" s="15" t="s">
        <v>8</v>
      </c>
      <c r="N2293" s="15" t="s">
        <v>8</v>
      </c>
      <c r="O2293" s="15" t="s">
        <v>8</v>
      </c>
      <c r="Q2293" s="15" t="s">
        <v>8</v>
      </c>
      <c r="S2293" s="15" t="s">
        <v>8</v>
      </c>
      <c r="T2293" s="15" t="s">
        <v>8</v>
      </c>
      <c r="X2293" s="15" t="s">
        <v>8</v>
      </c>
      <c r="Y2293" s="15" t="s">
        <v>8</v>
      </c>
      <c r="Z2293" s="8" t="s">
        <v>3</v>
      </c>
      <c r="AA2293" s="8" t="s">
        <v>6</v>
      </c>
    </row>
    <row r="2294" spans="3:31" x14ac:dyDescent="0.35">
      <c r="C2294" s="15" t="s">
        <v>8</v>
      </c>
      <c r="D2294" s="15" t="s">
        <v>8</v>
      </c>
      <c r="G2294" s="15" t="s">
        <v>8</v>
      </c>
      <c r="L2294" s="15" t="s">
        <v>8</v>
      </c>
      <c r="M2294" s="15" t="s">
        <v>8</v>
      </c>
      <c r="N2294" s="15" t="s">
        <v>8</v>
      </c>
      <c r="O2294" s="15" t="s">
        <v>8</v>
      </c>
      <c r="Q2294" s="15" t="s">
        <v>8</v>
      </c>
      <c r="S2294" s="15" t="s">
        <v>8</v>
      </c>
      <c r="T2294" s="15" t="s">
        <v>8</v>
      </c>
      <c r="X2294" s="15" t="s">
        <v>8</v>
      </c>
      <c r="Y2294" s="15" t="s">
        <v>8</v>
      </c>
      <c r="Z2294" s="15" t="s">
        <v>8</v>
      </c>
      <c r="AA2294" s="20" t="str">
        <f>HYPERLINK("http://yeinfo.com/family/I09066944.html", "MAUD LOVELL &lt;2&gt; 1260 EN-1297 EN ID:09066944")</f>
        <v>MAUD LOVELL &lt;2&gt; 1260 EN-1297 EN ID:09066944</v>
      </c>
      <c r="AB2294" s="17"/>
      <c r="AC2294" s="17"/>
      <c r="AD2294" s="17"/>
      <c r="AE2294" s="17"/>
    </row>
    <row r="2295" spans="3:31" x14ac:dyDescent="0.35">
      <c r="C2295" s="15" t="s">
        <v>8</v>
      </c>
      <c r="D2295" s="15" t="s">
        <v>8</v>
      </c>
      <c r="G2295" s="15" t="s">
        <v>8</v>
      </c>
      <c r="L2295" s="15" t="s">
        <v>8</v>
      </c>
      <c r="M2295" s="15" t="s">
        <v>8</v>
      </c>
      <c r="N2295" s="15" t="s">
        <v>8</v>
      </c>
      <c r="O2295" s="15" t="s">
        <v>8</v>
      </c>
      <c r="Q2295" s="15" t="s">
        <v>8</v>
      </c>
      <c r="S2295" s="15" t="s">
        <v>8</v>
      </c>
      <c r="T2295" s="15" t="s">
        <v>8</v>
      </c>
      <c r="X2295" s="15" t="s">
        <v>8</v>
      </c>
      <c r="Y2295" s="8" t="s">
        <v>6</v>
      </c>
      <c r="Z2295" s="15" t="s">
        <v>8</v>
      </c>
    </row>
    <row r="2296" spans="3:31" x14ac:dyDescent="0.35">
      <c r="C2296" s="15" t="s">
        <v>8</v>
      </c>
      <c r="D2296" s="15" t="s">
        <v>8</v>
      </c>
      <c r="G2296" s="15" t="s">
        <v>8</v>
      </c>
      <c r="L2296" s="15" t="s">
        <v>8</v>
      </c>
      <c r="M2296" s="15" t="s">
        <v>8</v>
      </c>
      <c r="N2296" s="15" t="s">
        <v>8</v>
      </c>
      <c r="O2296" s="15" t="s">
        <v>8</v>
      </c>
      <c r="Q2296" s="15" t="s">
        <v>8</v>
      </c>
      <c r="S2296" s="15" t="s">
        <v>8</v>
      </c>
      <c r="T2296" s="15" t="s">
        <v>8</v>
      </c>
      <c r="X2296" s="15" t="s">
        <v>8</v>
      </c>
      <c r="Y2296" s="20" t="str">
        <f>HYPERLINK("http://yeinfo.com/family/I09066909.html", "ELIZABETH GORGES &lt;2&gt; 1305 EN-1348 EN ID:09066909")</f>
        <v>ELIZABETH GORGES &lt;2&gt; 1305 EN-1348 EN ID:09066909</v>
      </c>
      <c r="Z2296" s="17"/>
      <c r="AA2296" s="17"/>
      <c r="AB2296" s="17"/>
      <c r="AC2296" s="17"/>
    </row>
    <row r="2297" spans="3:31" x14ac:dyDescent="0.35">
      <c r="C2297" s="15" t="s">
        <v>8</v>
      </c>
      <c r="D2297" s="15" t="s">
        <v>8</v>
      </c>
      <c r="G2297" s="15" t="s">
        <v>8</v>
      </c>
      <c r="L2297" s="15" t="s">
        <v>8</v>
      </c>
      <c r="M2297" s="15" t="s">
        <v>8</v>
      </c>
      <c r="N2297" s="15" t="s">
        <v>8</v>
      </c>
      <c r="O2297" s="15" t="s">
        <v>8</v>
      </c>
      <c r="Q2297" s="15" t="s">
        <v>8</v>
      </c>
      <c r="S2297" s="15" t="s">
        <v>8</v>
      </c>
      <c r="T2297" s="15" t="s">
        <v>8</v>
      </c>
      <c r="X2297" s="15" t="s">
        <v>8</v>
      </c>
      <c r="Z2297" s="15" t="s">
        <v>8</v>
      </c>
    </row>
    <row r="2298" spans="3:31" x14ac:dyDescent="0.35">
      <c r="C2298" s="15" t="s">
        <v>8</v>
      </c>
      <c r="D2298" s="15" t="s">
        <v>8</v>
      </c>
      <c r="G2298" s="15" t="s">
        <v>8</v>
      </c>
      <c r="L2298" s="15" t="s">
        <v>8</v>
      </c>
      <c r="M2298" s="15" t="s">
        <v>8</v>
      </c>
      <c r="N2298" s="15" t="s">
        <v>8</v>
      </c>
      <c r="O2298" s="15" t="s">
        <v>8</v>
      </c>
      <c r="Q2298" s="15" t="s">
        <v>8</v>
      </c>
      <c r="S2298" s="15" t="s">
        <v>8</v>
      </c>
      <c r="T2298" s="15" t="s">
        <v>8</v>
      </c>
      <c r="X2298" s="15" t="s">
        <v>8</v>
      </c>
      <c r="Z2298" s="15" t="s">
        <v>8</v>
      </c>
      <c r="AA2298" s="19" t="str">
        <f>HYPERLINK("http://yeinfo.com/family/I09066905.html", "JOHN FERRERS &lt;2&gt; 1260 EN-1280 EN ID:09066905")</f>
        <v>JOHN FERRERS &lt;2&gt; 1260 EN-1280 EN ID:09066905</v>
      </c>
      <c r="AB2298" s="9"/>
      <c r="AC2298" s="9"/>
      <c r="AD2298" s="9"/>
      <c r="AE2298" s="9"/>
    </row>
    <row r="2299" spans="3:31" x14ac:dyDescent="0.35">
      <c r="C2299" s="15" t="s">
        <v>8</v>
      </c>
      <c r="D2299" s="15" t="s">
        <v>8</v>
      </c>
      <c r="G2299" s="15" t="s">
        <v>8</v>
      </c>
      <c r="L2299" s="15" t="s">
        <v>8</v>
      </c>
      <c r="M2299" s="15" t="s">
        <v>8</v>
      </c>
      <c r="N2299" s="15" t="s">
        <v>8</v>
      </c>
      <c r="O2299" s="15" t="s">
        <v>8</v>
      </c>
      <c r="Q2299" s="15" t="s">
        <v>8</v>
      </c>
      <c r="S2299" s="15" t="s">
        <v>8</v>
      </c>
      <c r="T2299" s="15" t="s">
        <v>8</v>
      </c>
      <c r="X2299" s="15" t="s">
        <v>8</v>
      </c>
      <c r="Z2299" s="8" t="s">
        <v>6</v>
      </c>
      <c r="AA2299" s="8" t="s">
        <v>3</v>
      </c>
    </row>
    <row r="2300" spans="3:31" x14ac:dyDescent="0.35">
      <c r="C2300" s="15" t="s">
        <v>8</v>
      </c>
      <c r="D2300" s="15" t="s">
        <v>8</v>
      </c>
      <c r="G2300" s="15" t="s">
        <v>8</v>
      </c>
      <c r="L2300" s="15" t="s">
        <v>8</v>
      </c>
      <c r="M2300" s="15" t="s">
        <v>8</v>
      </c>
      <c r="N2300" s="15" t="s">
        <v>8</v>
      </c>
      <c r="O2300" s="15" t="s">
        <v>8</v>
      </c>
      <c r="Q2300" s="15" t="s">
        <v>8</v>
      </c>
      <c r="S2300" s="15" t="s">
        <v>8</v>
      </c>
      <c r="T2300" s="15" t="s">
        <v>8</v>
      </c>
      <c r="X2300" s="15" t="s">
        <v>8</v>
      </c>
      <c r="Z2300" s="20" t="str">
        <f>HYPERLINK("http://yeinfo.com/family/I09066906.html", "ELEANOR FERRERS &lt;2&gt; 1280 EN-1343 EN ID:09066906")</f>
        <v>ELEANOR FERRERS &lt;2&gt; 1280 EN-1343 EN ID:09066906</v>
      </c>
      <c r="AA2300" s="17"/>
      <c r="AB2300" s="17"/>
      <c r="AC2300" s="17"/>
      <c r="AD2300" s="17"/>
    </row>
    <row r="2301" spans="3:31" x14ac:dyDescent="0.35">
      <c r="C2301" s="15" t="s">
        <v>8</v>
      </c>
      <c r="D2301" s="15" t="s">
        <v>8</v>
      </c>
      <c r="G2301" s="15" t="s">
        <v>8</v>
      </c>
      <c r="L2301" s="15" t="s">
        <v>8</v>
      </c>
      <c r="M2301" s="15" t="s">
        <v>8</v>
      </c>
      <c r="N2301" s="15" t="s">
        <v>8</v>
      </c>
      <c r="O2301" s="15" t="s">
        <v>8</v>
      </c>
      <c r="Q2301" s="15" t="s">
        <v>8</v>
      </c>
      <c r="S2301" s="15" t="s">
        <v>8</v>
      </c>
      <c r="T2301" s="15" t="s">
        <v>8</v>
      </c>
      <c r="X2301" s="15" t="s">
        <v>8</v>
      </c>
      <c r="AA2301" s="8" t="s">
        <v>6</v>
      </c>
    </row>
    <row r="2302" spans="3:31" x14ac:dyDescent="0.35">
      <c r="C2302" s="15" t="s">
        <v>8</v>
      </c>
      <c r="D2302" s="15" t="s">
        <v>8</v>
      </c>
      <c r="G2302" s="15" t="s">
        <v>8</v>
      </c>
      <c r="L2302" s="15" t="s">
        <v>8</v>
      </c>
      <c r="M2302" s="15" t="s">
        <v>8</v>
      </c>
      <c r="N2302" s="15" t="s">
        <v>8</v>
      </c>
      <c r="O2302" s="15" t="s">
        <v>8</v>
      </c>
      <c r="Q2302" s="15" t="s">
        <v>8</v>
      </c>
      <c r="S2302" s="15" t="s">
        <v>8</v>
      </c>
      <c r="T2302" s="15" t="s">
        <v>8</v>
      </c>
      <c r="X2302" s="15" t="s">
        <v>8</v>
      </c>
      <c r="AA2302" s="20" t="str">
        <f>HYPERLINK("http://yeinfo.com/family/I09066904.html", "Mrs. {_?_} FERRERS &lt;2&gt; 1260 EN-1280 EN ID:09066904")</f>
        <v>Mrs. {_?_} FERRERS &lt;2&gt; 1260 EN-1280 EN ID:09066904</v>
      </c>
      <c r="AB2302" s="17"/>
      <c r="AC2302" s="17"/>
      <c r="AD2302" s="17"/>
      <c r="AE2302" s="17"/>
    </row>
    <row r="2303" spans="3:31" x14ac:dyDescent="0.35">
      <c r="C2303" s="15" t="s">
        <v>8</v>
      </c>
      <c r="D2303" s="15" t="s">
        <v>8</v>
      </c>
      <c r="G2303" s="15" t="s">
        <v>8</v>
      </c>
      <c r="L2303" s="15" t="s">
        <v>8</v>
      </c>
      <c r="M2303" s="15" t="s">
        <v>8</v>
      </c>
      <c r="N2303" s="15" t="s">
        <v>8</v>
      </c>
      <c r="O2303" s="15" t="s">
        <v>8</v>
      </c>
      <c r="Q2303" s="15" t="s">
        <v>8</v>
      </c>
      <c r="S2303" s="15" t="s">
        <v>8</v>
      </c>
      <c r="T2303" s="15" t="s">
        <v>8</v>
      </c>
      <c r="X2303" s="15" t="s">
        <v>8</v>
      </c>
    </row>
    <row r="2304" spans="3:31" x14ac:dyDescent="0.35">
      <c r="C2304" s="15" t="s">
        <v>8</v>
      </c>
      <c r="D2304" s="15" t="s">
        <v>8</v>
      </c>
      <c r="G2304" s="15" t="s">
        <v>8</v>
      </c>
      <c r="L2304" s="15" t="s">
        <v>8</v>
      </c>
      <c r="M2304" s="15" t="s">
        <v>8</v>
      </c>
      <c r="N2304" s="15" t="s">
        <v>8</v>
      </c>
      <c r="O2304" s="15" t="s">
        <v>8</v>
      </c>
      <c r="Q2304" s="15" t="s">
        <v>8</v>
      </c>
      <c r="S2304" s="15" t="s">
        <v>8</v>
      </c>
      <c r="T2304" s="15" t="s">
        <v>8</v>
      </c>
      <c r="W2304" s="19" t="str">
        <f>HYPERLINK("http://yeinfo.com/family/I09066859.html", "JOHN ASHTON &lt;2&gt; 1339 EN-1375 EN ID:09066859")</f>
        <v>JOHN ASHTON &lt;2&gt; 1339 EN-1375 EN ID:09066859</v>
      </c>
      <c r="X2304" s="9"/>
      <c r="Y2304" s="9"/>
      <c r="Z2304" s="9"/>
      <c r="AA2304" s="9"/>
    </row>
    <row r="2305" spans="3:32" x14ac:dyDescent="0.35">
      <c r="C2305" s="15" t="s">
        <v>8</v>
      </c>
      <c r="D2305" s="15" t="s">
        <v>8</v>
      </c>
      <c r="G2305" s="15" t="s">
        <v>8</v>
      </c>
      <c r="L2305" s="15" t="s">
        <v>8</v>
      </c>
      <c r="M2305" s="15" t="s">
        <v>8</v>
      </c>
      <c r="N2305" s="15" t="s">
        <v>8</v>
      </c>
      <c r="O2305" s="15" t="s">
        <v>8</v>
      </c>
      <c r="Q2305" s="15" t="s">
        <v>8</v>
      </c>
      <c r="S2305" s="15" t="s">
        <v>8</v>
      </c>
      <c r="T2305" s="15" t="s">
        <v>8</v>
      </c>
      <c r="W2305" s="8" t="s">
        <v>3</v>
      </c>
      <c r="X2305" s="15" t="s">
        <v>8</v>
      </c>
    </row>
    <row r="2306" spans="3:32" x14ac:dyDescent="0.35">
      <c r="C2306" s="15" t="s">
        <v>8</v>
      </c>
      <c r="D2306" s="15" t="s">
        <v>8</v>
      </c>
      <c r="G2306" s="15" t="s">
        <v>8</v>
      </c>
      <c r="L2306" s="15" t="s">
        <v>8</v>
      </c>
      <c r="M2306" s="15" t="s">
        <v>8</v>
      </c>
      <c r="N2306" s="15" t="s">
        <v>8</v>
      </c>
      <c r="O2306" s="15" t="s">
        <v>8</v>
      </c>
      <c r="Q2306" s="15" t="s">
        <v>8</v>
      </c>
      <c r="S2306" s="15" t="s">
        <v>8</v>
      </c>
      <c r="T2306" s="15" t="s">
        <v>8</v>
      </c>
      <c r="W2306" s="15" t="s">
        <v>8</v>
      </c>
      <c r="X2306" s="15" t="s">
        <v>8</v>
      </c>
      <c r="Y2306" s="19" t="str">
        <f>HYPERLINK("http://yeinfo.com/family/I09066883.html", "JOHN BUMBLEY &lt;2&gt; 1270 EN-1336 EN ID:09066883")</f>
        <v>JOHN BUMBLEY &lt;2&gt; 1270 EN-1336 EN ID:09066883</v>
      </c>
      <c r="Z2306" s="9"/>
      <c r="AA2306" s="9"/>
      <c r="AB2306" s="9"/>
      <c r="AC2306" s="9"/>
    </row>
    <row r="2307" spans="3:32" x14ac:dyDescent="0.35">
      <c r="C2307" s="15" t="s">
        <v>8</v>
      </c>
      <c r="D2307" s="15" t="s">
        <v>8</v>
      </c>
      <c r="G2307" s="15" t="s">
        <v>8</v>
      </c>
      <c r="L2307" s="15" t="s">
        <v>8</v>
      </c>
      <c r="M2307" s="15" t="s">
        <v>8</v>
      </c>
      <c r="N2307" s="15" t="s">
        <v>8</v>
      </c>
      <c r="O2307" s="15" t="s">
        <v>8</v>
      </c>
      <c r="Q2307" s="15" t="s">
        <v>8</v>
      </c>
      <c r="S2307" s="15" t="s">
        <v>8</v>
      </c>
      <c r="T2307" s="15" t="s">
        <v>8</v>
      </c>
      <c r="W2307" s="15" t="s">
        <v>8</v>
      </c>
      <c r="X2307" s="8" t="s">
        <v>6</v>
      </c>
      <c r="Y2307" s="8" t="s">
        <v>3</v>
      </c>
    </row>
    <row r="2308" spans="3:32" x14ac:dyDescent="0.35">
      <c r="C2308" s="15" t="s">
        <v>8</v>
      </c>
      <c r="D2308" s="15" t="s">
        <v>8</v>
      </c>
      <c r="G2308" s="15" t="s">
        <v>8</v>
      </c>
      <c r="L2308" s="15" t="s">
        <v>8</v>
      </c>
      <c r="M2308" s="15" t="s">
        <v>8</v>
      </c>
      <c r="N2308" s="15" t="s">
        <v>8</v>
      </c>
      <c r="O2308" s="15" t="s">
        <v>8</v>
      </c>
      <c r="Q2308" s="15" t="s">
        <v>8</v>
      </c>
      <c r="S2308" s="15" t="s">
        <v>8</v>
      </c>
      <c r="T2308" s="15" t="s">
        <v>8</v>
      </c>
      <c r="W2308" s="15" t="s">
        <v>8</v>
      </c>
      <c r="X2308" s="20" t="str">
        <f>HYPERLINK("http://yeinfo.com/family/I09066884.html", "ELEANOR BUMBLEY &lt;2&gt; 1300 EN-1360 EN ID:09066884")</f>
        <v>ELEANOR BUMBLEY &lt;2&gt; 1300 EN-1360 EN ID:09066884</v>
      </c>
      <c r="Y2308" s="17"/>
      <c r="Z2308" s="17"/>
      <c r="AA2308" s="17"/>
      <c r="AB2308" s="17"/>
    </row>
    <row r="2309" spans="3:32" x14ac:dyDescent="0.35">
      <c r="C2309" s="15" t="s">
        <v>8</v>
      </c>
      <c r="D2309" s="15" t="s">
        <v>8</v>
      </c>
      <c r="G2309" s="15" t="s">
        <v>8</v>
      </c>
      <c r="L2309" s="15" t="s">
        <v>8</v>
      </c>
      <c r="M2309" s="15" t="s">
        <v>8</v>
      </c>
      <c r="N2309" s="15" t="s">
        <v>8</v>
      </c>
      <c r="O2309" s="15" t="s">
        <v>8</v>
      </c>
      <c r="Q2309" s="15" t="s">
        <v>8</v>
      </c>
      <c r="S2309" s="15" t="s">
        <v>8</v>
      </c>
      <c r="T2309" s="15" t="s">
        <v>8</v>
      </c>
      <c r="W2309" s="15" t="s">
        <v>8</v>
      </c>
      <c r="Y2309" s="8" t="s">
        <v>6</v>
      </c>
    </row>
    <row r="2310" spans="3:32" x14ac:dyDescent="0.35">
      <c r="C2310" s="15" t="s">
        <v>8</v>
      </c>
      <c r="D2310" s="15" t="s">
        <v>8</v>
      </c>
      <c r="G2310" s="15" t="s">
        <v>8</v>
      </c>
      <c r="L2310" s="15" t="s">
        <v>8</v>
      </c>
      <c r="M2310" s="15" t="s">
        <v>8</v>
      </c>
      <c r="N2310" s="15" t="s">
        <v>8</v>
      </c>
      <c r="O2310" s="15" t="s">
        <v>8</v>
      </c>
      <c r="Q2310" s="15" t="s">
        <v>8</v>
      </c>
      <c r="S2310" s="15" t="s">
        <v>8</v>
      </c>
      <c r="T2310" s="15" t="s">
        <v>8</v>
      </c>
      <c r="W2310" s="15" t="s">
        <v>8</v>
      </c>
      <c r="Y2310" s="20" t="str">
        <f>HYPERLINK("http://yeinfo.com/family/I09066882.html", "Mrs. {_?_} BUMBLEY &lt;2&gt; 1275 EN-1300 EN ID:09066882")</f>
        <v>Mrs. {_?_} BUMBLEY &lt;2&gt; 1275 EN-1300 EN ID:09066882</v>
      </c>
      <c r="Z2310" s="17"/>
      <c r="AA2310" s="17"/>
      <c r="AB2310" s="17"/>
      <c r="AC2310" s="17"/>
    </row>
    <row r="2311" spans="3:32" x14ac:dyDescent="0.35">
      <c r="C2311" s="15" t="s">
        <v>8</v>
      </c>
      <c r="D2311" s="15" t="s">
        <v>8</v>
      </c>
      <c r="G2311" s="15" t="s">
        <v>8</v>
      </c>
      <c r="L2311" s="15" t="s">
        <v>8</v>
      </c>
      <c r="M2311" s="15" t="s">
        <v>8</v>
      </c>
      <c r="N2311" s="15" t="s">
        <v>8</v>
      </c>
      <c r="O2311" s="15" t="s">
        <v>8</v>
      </c>
      <c r="Q2311" s="15" t="s">
        <v>8</v>
      </c>
      <c r="S2311" s="15" t="s">
        <v>8</v>
      </c>
      <c r="T2311" s="15" t="s">
        <v>8</v>
      </c>
      <c r="W2311" s="15" t="s">
        <v>8</v>
      </c>
    </row>
    <row r="2312" spans="3:32" x14ac:dyDescent="0.35">
      <c r="C2312" s="15" t="s">
        <v>8</v>
      </c>
      <c r="D2312" s="15" t="s">
        <v>8</v>
      </c>
      <c r="G2312" s="15" t="s">
        <v>8</v>
      </c>
      <c r="L2312" s="15" t="s">
        <v>8</v>
      </c>
      <c r="M2312" s="15" t="s">
        <v>8</v>
      </c>
      <c r="N2312" s="15" t="s">
        <v>8</v>
      </c>
      <c r="O2312" s="15" t="s">
        <v>8</v>
      </c>
      <c r="Q2312" s="15" t="s">
        <v>8</v>
      </c>
      <c r="S2312" s="15" t="s">
        <v>8</v>
      </c>
      <c r="T2312" s="15" t="s">
        <v>8</v>
      </c>
      <c r="V2312" s="19" t="str">
        <f>HYPERLINK("http://yeinfo.com/family/I09066860.html", "JOHN ASHTON II &lt;2&gt; 1360 EN-1428 EN ID:09066860")</f>
        <v>JOHN ASHTON II &lt;2&gt; 1360 EN-1428 EN ID:09066860</v>
      </c>
      <c r="W2312" s="9"/>
      <c r="X2312" s="9"/>
      <c r="Y2312" s="9"/>
      <c r="Z2312" s="9"/>
    </row>
    <row r="2313" spans="3:32" x14ac:dyDescent="0.35">
      <c r="C2313" s="15" t="s">
        <v>8</v>
      </c>
      <c r="D2313" s="15" t="s">
        <v>8</v>
      </c>
      <c r="G2313" s="15" t="s">
        <v>8</v>
      </c>
      <c r="L2313" s="15" t="s">
        <v>8</v>
      </c>
      <c r="M2313" s="15" t="s">
        <v>8</v>
      </c>
      <c r="N2313" s="15" t="s">
        <v>8</v>
      </c>
      <c r="O2313" s="15" t="s">
        <v>8</v>
      </c>
      <c r="Q2313" s="15" t="s">
        <v>8</v>
      </c>
      <c r="S2313" s="15" t="s">
        <v>8</v>
      </c>
      <c r="T2313" s="15" t="s">
        <v>8</v>
      </c>
      <c r="V2313" s="8" t="s">
        <v>3</v>
      </c>
      <c r="W2313" s="15" t="s">
        <v>8</v>
      </c>
    </row>
    <row r="2314" spans="3:32" x14ac:dyDescent="0.35">
      <c r="C2314" s="15" t="s">
        <v>8</v>
      </c>
      <c r="D2314" s="15" t="s">
        <v>8</v>
      </c>
      <c r="G2314" s="15" t="s">
        <v>8</v>
      </c>
      <c r="L2314" s="15" t="s">
        <v>8</v>
      </c>
      <c r="M2314" s="15" t="s">
        <v>8</v>
      </c>
      <c r="N2314" s="15" t="s">
        <v>8</v>
      </c>
      <c r="O2314" s="15" t="s">
        <v>8</v>
      </c>
      <c r="Q2314" s="15" t="s">
        <v>8</v>
      </c>
      <c r="S2314" s="15" t="s">
        <v>8</v>
      </c>
      <c r="T2314" s="15" t="s">
        <v>8</v>
      </c>
      <c r="V2314" s="15" t="s">
        <v>8</v>
      </c>
      <c r="W2314" s="15" t="s">
        <v>8</v>
      </c>
      <c r="AA2314" s="19" t="str">
        <f>HYPERLINK("http://yeinfo.com/family/I09066959.html", "ROBERT RADCLIFFE &lt;A&gt; 1208 EN-1239 EN ID:09066959")</f>
        <v>ROBERT RADCLIFFE &lt;A&gt; 1208 EN-1239 EN ID:09066959</v>
      </c>
      <c r="AB2314" s="9"/>
      <c r="AC2314" s="9"/>
      <c r="AD2314" s="9"/>
      <c r="AE2314" s="9"/>
    </row>
    <row r="2315" spans="3:32" x14ac:dyDescent="0.35">
      <c r="C2315" s="15" t="s">
        <v>8</v>
      </c>
      <c r="D2315" s="15" t="s">
        <v>8</v>
      </c>
      <c r="G2315" s="15" t="s">
        <v>8</v>
      </c>
      <c r="L2315" s="15" t="s">
        <v>8</v>
      </c>
      <c r="M2315" s="15" t="s">
        <v>8</v>
      </c>
      <c r="N2315" s="15" t="s">
        <v>8</v>
      </c>
      <c r="O2315" s="15" t="s">
        <v>8</v>
      </c>
      <c r="Q2315" s="15" t="s">
        <v>8</v>
      </c>
      <c r="S2315" s="15" t="s">
        <v>8</v>
      </c>
      <c r="T2315" s="15" t="s">
        <v>8</v>
      </c>
      <c r="V2315" s="15" t="s">
        <v>8</v>
      </c>
      <c r="W2315" s="15" t="s">
        <v>8</v>
      </c>
      <c r="AA2315" s="8" t="s">
        <v>3</v>
      </c>
    </row>
    <row r="2316" spans="3:32" x14ac:dyDescent="0.35">
      <c r="C2316" s="15" t="s">
        <v>8</v>
      </c>
      <c r="D2316" s="15" t="s">
        <v>8</v>
      </c>
      <c r="G2316" s="15" t="s">
        <v>8</v>
      </c>
      <c r="L2316" s="15" t="s">
        <v>8</v>
      </c>
      <c r="M2316" s="15" t="s">
        <v>8</v>
      </c>
      <c r="N2316" s="15" t="s">
        <v>8</v>
      </c>
      <c r="O2316" s="15" t="s">
        <v>8</v>
      </c>
      <c r="Q2316" s="15" t="s">
        <v>8</v>
      </c>
      <c r="S2316" s="15" t="s">
        <v>8</v>
      </c>
      <c r="T2316" s="15" t="s">
        <v>8</v>
      </c>
      <c r="V2316" s="15" t="s">
        <v>8</v>
      </c>
      <c r="W2316" s="15" t="s">
        <v>8</v>
      </c>
      <c r="Z2316" s="19" t="str">
        <f>HYPERLINK("http://yeinfo.com/family/I09066960.html", "RICHARD RADCLIFFE &lt;A&gt; 1224 EN-1326 EN ID:09066960")</f>
        <v>RICHARD RADCLIFFE &lt;A&gt; 1224 EN-1326 EN ID:09066960</v>
      </c>
      <c r="AA2316" s="9"/>
      <c r="AB2316" s="9"/>
      <c r="AC2316" s="9"/>
      <c r="AD2316" s="9"/>
    </row>
    <row r="2317" spans="3:32" x14ac:dyDescent="0.35">
      <c r="C2317" s="15" t="s">
        <v>8</v>
      </c>
      <c r="D2317" s="15" t="s">
        <v>8</v>
      </c>
      <c r="G2317" s="15" t="s">
        <v>8</v>
      </c>
      <c r="L2317" s="15" t="s">
        <v>8</v>
      </c>
      <c r="M2317" s="15" t="s">
        <v>8</v>
      </c>
      <c r="N2317" s="15" t="s">
        <v>8</v>
      </c>
      <c r="O2317" s="15" t="s">
        <v>8</v>
      </c>
      <c r="Q2317" s="15" t="s">
        <v>8</v>
      </c>
      <c r="S2317" s="15" t="s">
        <v>8</v>
      </c>
      <c r="T2317" s="15" t="s">
        <v>8</v>
      </c>
      <c r="V2317" s="15" t="s">
        <v>8</v>
      </c>
      <c r="W2317" s="15" t="s">
        <v>8</v>
      </c>
      <c r="Z2317" s="8" t="s">
        <v>3</v>
      </c>
      <c r="AA2317" s="8" t="s">
        <v>6</v>
      </c>
    </row>
    <row r="2318" spans="3:32" x14ac:dyDescent="0.35">
      <c r="C2318" s="15" t="s">
        <v>8</v>
      </c>
      <c r="D2318" s="15" t="s">
        <v>8</v>
      </c>
      <c r="G2318" s="15" t="s">
        <v>8</v>
      </c>
      <c r="L2318" s="15" t="s">
        <v>8</v>
      </c>
      <c r="M2318" s="15" t="s">
        <v>8</v>
      </c>
      <c r="N2318" s="15" t="s">
        <v>8</v>
      </c>
      <c r="O2318" s="15" t="s">
        <v>8</v>
      </c>
      <c r="Q2318" s="15" t="s">
        <v>8</v>
      </c>
      <c r="S2318" s="15" t="s">
        <v>8</v>
      </c>
      <c r="T2318" s="15" t="s">
        <v>8</v>
      </c>
      <c r="V2318" s="15" t="s">
        <v>8</v>
      </c>
      <c r="W2318" s="15" t="s">
        <v>8</v>
      </c>
      <c r="Z2318" s="15" t="s">
        <v>8</v>
      </c>
      <c r="AA2318" s="20" t="str">
        <f>HYPERLINK("http://yeinfo.com/family/I09066988.html", "AMBIL\AMABIL TRAFFORD &lt;A&gt; 1222 EN-1239 EN ID:09066988")</f>
        <v>AMBIL\AMABIL TRAFFORD &lt;A&gt; 1222 EN-1239 EN ID:09066988</v>
      </c>
      <c r="AB2318" s="17"/>
      <c r="AC2318" s="17"/>
      <c r="AD2318" s="17"/>
      <c r="AE2318" s="17"/>
      <c r="AF2318" s="17"/>
    </row>
    <row r="2319" spans="3:32" x14ac:dyDescent="0.35">
      <c r="C2319" s="15" t="s">
        <v>8</v>
      </c>
      <c r="D2319" s="15" t="s">
        <v>8</v>
      </c>
      <c r="G2319" s="15" t="s">
        <v>8</v>
      </c>
      <c r="L2319" s="15" t="s">
        <v>8</v>
      </c>
      <c r="M2319" s="15" t="s">
        <v>8</v>
      </c>
      <c r="N2319" s="15" t="s">
        <v>8</v>
      </c>
      <c r="O2319" s="15" t="s">
        <v>8</v>
      </c>
      <c r="Q2319" s="15" t="s">
        <v>8</v>
      </c>
      <c r="S2319" s="15" t="s">
        <v>8</v>
      </c>
      <c r="T2319" s="15" t="s">
        <v>8</v>
      </c>
      <c r="V2319" s="15" t="s">
        <v>8</v>
      </c>
      <c r="W2319" s="15" t="s">
        <v>8</v>
      </c>
      <c r="Z2319" s="15" t="s">
        <v>8</v>
      </c>
    </row>
    <row r="2320" spans="3:32" x14ac:dyDescent="0.35">
      <c r="C2320" s="15" t="s">
        <v>8</v>
      </c>
      <c r="D2320" s="15" t="s">
        <v>8</v>
      </c>
      <c r="G2320" s="15" t="s">
        <v>8</v>
      </c>
      <c r="L2320" s="15" t="s">
        <v>8</v>
      </c>
      <c r="M2320" s="15" t="s">
        <v>8</v>
      </c>
      <c r="N2320" s="15" t="s">
        <v>8</v>
      </c>
      <c r="O2320" s="15" t="s">
        <v>8</v>
      </c>
      <c r="Q2320" s="15" t="s">
        <v>8</v>
      </c>
      <c r="S2320" s="15" t="s">
        <v>8</v>
      </c>
      <c r="T2320" s="15" t="s">
        <v>8</v>
      </c>
      <c r="V2320" s="15" t="s">
        <v>8</v>
      </c>
      <c r="W2320" s="15" t="s">
        <v>8</v>
      </c>
      <c r="Y2320" s="19" t="str">
        <f>HYPERLINK("http://yeinfo.com/family/I09067011.html", "ROBERT RADCLIFFE &lt;2&gt; 1267 EN-1333 EN ID:09067011")</f>
        <v>ROBERT RADCLIFFE &lt;2&gt; 1267 EN-1333 EN ID:09067011</v>
      </c>
      <c r="Z2320" s="9"/>
      <c r="AA2320" s="9"/>
      <c r="AB2320" s="9"/>
      <c r="AC2320" s="9"/>
    </row>
    <row r="2321" spans="3:32" x14ac:dyDescent="0.35">
      <c r="C2321" s="15" t="s">
        <v>8</v>
      </c>
      <c r="D2321" s="15" t="s">
        <v>8</v>
      </c>
      <c r="G2321" s="15" t="s">
        <v>8</v>
      </c>
      <c r="L2321" s="15" t="s">
        <v>8</v>
      </c>
      <c r="M2321" s="15" t="s">
        <v>8</v>
      </c>
      <c r="N2321" s="15" t="s">
        <v>8</v>
      </c>
      <c r="O2321" s="15" t="s">
        <v>8</v>
      </c>
      <c r="Q2321" s="15" t="s">
        <v>8</v>
      </c>
      <c r="S2321" s="15" t="s">
        <v>8</v>
      </c>
      <c r="T2321" s="15" t="s">
        <v>8</v>
      </c>
      <c r="V2321" s="15" t="s">
        <v>8</v>
      </c>
      <c r="W2321" s="15" t="s">
        <v>8</v>
      </c>
      <c r="Y2321" s="8" t="s">
        <v>3</v>
      </c>
      <c r="Z2321" s="15" t="s">
        <v>8</v>
      </c>
    </row>
    <row r="2322" spans="3:32" x14ac:dyDescent="0.35">
      <c r="C2322" s="15" t="s">
        <v>8</v>
      </c>
      <c r="D2322" s="15" t="s">
        <v>8</v>
      </c>
      <c r="G2322" s="15" t="s">
        <v>8</v>
      </c>
      <c r="L2322" s="15" t="s">
        <v>8</v>
      </c>
      <c r="M2322" s="15" t="s">
        <v>8</v>
      </c>
      <c r="N2322" s="15" t="s">
        <v>8</v>
      </c>
      <c r="O2322" s="15" t="s">
        <v>8</v>
      </c>
      <c r="Q2322" s="15" t="s">
        <v>8</v>
      </c>
      <c r="S2322" s="15" t="s">
        <v>8</v>
      </c>
      <c r="T2322" s="15" t="s">
        <v>8</v>
      </c>
      <c r="V2322" s="15" t="s">
        <v>8</v>
      </c>
      <c r="W2322" s="15" t="s">
        <v>8</v>
      </c>
      <c r="Y2322" s="15" t="s">
        <v>8</v>
      </c>
      <c r="Z2322" s="15" t="s">
        <v>8</v>
      </c>
      <c r="AA2322" s="19" t="str">
        <f>HYPERLINK("http://yeinfo.com/family/I09066877.html", "HENRY\WILLIAM\ROBERT BOTELER &lt;A&gt; 1230 EN-1247 EN ID:09066877")</f>
        <v>HENRY\WILLIAM\ROBERT BOTELER &lt;A&gt; 1230 EN-1247 EN ID:09066877</v>
      </c>
      <c r="AB2322" s="9"/>
      <c r="AC2322" s="9"/>
      <c r="AD2322" s="9"/>
      <c r="AE2322" s="9"/>
      <c r="AF2322" s="9"/>
    </row>
    <row r="2323" spans="3:32" x14ac:dyDescent="0.35">
      <c r="C2323" s="15" t="s">
        <v>8</v>
      </c>
      <c r="D2323" s="15" t="s">
        <v>8</v>
      </c>
      <c r="G2323" s="15" t="s">
        <v>8</v>
      </c>
      <c r="L2323" s="15" t="s">
        <v>8</v>
      </c>
      <c r="M2323" s="15" t="s">
        <v>8</v>
      </c>
      <c r="N2323" s="15" t="s">
        <v>8</v>
      </c>
      <c r="O2323" s="15" t="s">
        <v>8</v>
      </c>
      <c r="Q2323" s="15" t="s">
        <v>8</v>
      </c>
      <c r="S2323" s="15" t="s">
        <v>8</v>
      </c>
      <c r="T2323" s="15" t="s">
        <v>8</v>
      </c>
      <c r="V2323" s="15" t="s">
        <v>8</v>
      </c>
      <c r="W2323" s="15" t="s">
        <v>8</v>
      </c>
      <c r="Y2323" s="15" t="s">
        <v>8</v>
      </c>
      <c r="Z2323" s="8" t="s">
        <v>6</v>
      </c>
      <c r="AA2323" s="8" t="s">
        <v>3</v>
      </c>
    </row>
    <row r="2324" spans="3:32" x14ac:dyDescent="0.35">
      <c r="C2324" s="15" t="s">
        <v>8</v>
      </c>
      <c r="D2324" s="15" t="s">
        <v>8</v>
      </c>
      <c r="G2324" s="15" t="s">
        <v>8</v>
      </c>
      <c r="L2324" s="15" t="s">
        <v>8</v>
      </c>
      <c r="M2324" s="15" t="s">
        <v>8</v>
      </c>
      <c r="N2324" s="15" t="s">
        <v>8</v>
      </c>
      <c r="O2324" s="15" t="s">
        <v>8</v>
      </c>
      <c r="Q2324" s="15" t="s">
        <v>8</v>
      </c>
      <c r="S2324" s="15" t="s">
        <v>8</v>
      </c>
      <c r="T2324" s="15" t="s">
        <v>8</v>
      </c>
      <c r="V2324" s="15" t="s">
        <v>8</v>
      </c>
      <c r="W2324" s="15" t="s">
        <v>8</v>
      </c>
      <c r="Y2324" s="15" t="s">
        <v>8</v>
      </c>
      <c r="Z2324" s="20" t="str">
        <f>HYPERLINK("http://yeinfo.com/family/I09066878.html", "JOAN\MARGARET BOTELER &lt;A&gt; 1232 EN-1267 EN ID:09066878")</f>
        <v>JOAN\MARGARET BOTELER &lt;A&gt; 1232 EN-1267 EN ID:09066878</v>
      </c>
      <c r="AA2324" s="17"/>
      <c r="AB2324" s="17"/>
      <c r="AC2324" s="17"/>
      <c r="AD2324" s="17"/>
      <c r="AE2324" s="17"/>
    </row>
    <row r="2325" spans="3:32" x14ac:dyDescent="0.35">
      <c r="C2325" s="15" t="s">
        <v>8</v>
      </c>
      <c r="D2325" s="15" t="s">
        <v>8</v>
      </c>
      <c r="G2325" s="15" t="s">
        <v>8</v>
      </c>
      <c r="L2325" s="15" t="s">
        <v>8</v>
      </c>
      <c r="M2325" s="15" t="s">
        <v>8</v>
      </c>
      <c r="N2325" s="15" t="s">
        <v>8</v>
      </c>
      <c r="O2325" s="15" t="s">
        <v>8</v>
      </c>
      <c r="Q2325" s="15" t="s">
        <v>8</v>
      </c>
      <c r="S2325" s="15" t="s">
        <v>8</v>
      </c>
      <c r="T2325" s="15" t="s">
        <v>8</v>
      </c>
      <c r="V2325" s="15" t="s">
        <v>8</v>
      </c>
      <c r="W2325" s="15" t="s">
        <v>8</v>
      </c>
      <c r="Y2325" s="15" t="s">
        <v>8</v>
      </c>
      <c r="AA2325" s="8" t="s">
        <v>6</v>
      </c>
    </row>
    <row r="2326" spans="3:32" x14ac:dyDescent="0.35">
      <c r="C2326" s="15" t="s">
        <v>8</v>
      </c>
      <c r="D2326" s="15" t="s">
        <v>8</v>
      </c>
      <c r="G2326" s="15" t="s">
        <v>8</v>
      </c>
      <c r="L2326" s="15" t="s">
        <v>8</v>
      </c>
      <c r="M2326" s="15" t="s">
        <v>8</v>
      </c>
      <c r="N2326" s="15" t="s">
        <v>8</v>
      </c>
      <c r="O2326" s="15" t="s">
        <v>8</v>
      </c>
      <c r="Q2326" s="15" t="s">
        <v>8</v>
      </c>
      <c r="S2326" s="15" t="s">
        <v>8</v>
      </c>
      <c r="T2326" s="15" t="s">
        <v>8</v>
      </c>
      <c r="V2326" s="15" t="s">
        <v>8</v>
      </c>
      <c r="W2326" s="15" t="s">
        <v>8</v>
      </c>
      <c r="Y2326" s="15" t="s">
        <v>8</v>
      </c>
      <c r="AA2326" s="20" t="str">
        <f>HYPERLINK("http://yeinfo.com/family/I09066876.html", "Mrs. ISABELLA BOTELER &lt;A&gt; 1227 EN-1247 EN ID:09066876")</f>
        <v>Mrs. ISABELLA BOTELER &lt;A&gt; 1227 EN-1247 EN ID:09066876</v>
      </c>
      <c r="AB2326" s="17"/>
      <c r="AC2326" s="17"/>
      <c r="AD2326" s="17"/>
      <c r="AE2326" s="17"/>
    </row>
    <row r="2327" spans="3:32" x14ac:dyDescent="0.35">
      <c r="C2327" s="15" t="s">
        <v>8</v>
      </c>
      <c r="D2327" s="15" t="s">
        <v>8</v>
      </c>
      <c r="G2327" s="15" t="s">
        <v>8</v>
      </c>
      <c r="L2327" s="15" t="s">
        <v>8</v>
      </c>
      <c r="M2327" s="15" t="s">
        <v>8</v>
      </c>
      <c r="N2327" s="15" t="s">
        <v>8</v>
      </c>
      <c r="O2327" s="15" t="s">
        <v>8</v>
      </c>
      <c r="Q2327" s="15" t="s">
        <v>8</v>
      </c>
      <c r="S2327" s="15" t="s">
        <v>8</v>
      </c>
      <c r="T2327" s="15" t="s">
        <v>8</v>
      </c>
      <c r="V2327" s="15" t="s">
        <v>8</v>
      </c>
      <c r="W2327" s="15" t="s">
        <v>8</v>
      </c>
      <c r="Y2327" s="15" t="s">
        <v>8</v>
      </c>
    </row>
    <row r="2328" spans="3:32" x14ac:dyDescent="0.35">
      <c r="C2328" s="15" t="s">
        <v>8</v>
      </c>
      <c r="D2328" s="15" t="s">
        <v>8</v>
      </c>
      <c r="G2328" s="15" t="s">
        <v>8</v>
      </c>
      <c r="L2328" s="15" t="s">
        <v>8</v>
      </c>
      <c r="M2328" s="15" t="s">
        <v>8</v>
      </c>
      <c r="N2328" s="15" t="s">
        <v>8</v>
      </c>
      <c r="O2328" s="15" t="s">
        <v>8</v>
      </c>
      <c r="Q2328" s="15" t="s">
        <v>8</v>
      </c>
      <c r="S2328" s="15" t="s">
        <v>8</v>
      </c>
      <c r="T2328" s="15" t="s">
        <v>8</v>
      </c>
      <c r="V2328" s="15" t="s">
        <v>8</v>
      </c>
      <c r="W2328" s="15" t="s">
        <v>8</v>
      </c>
      <c r="X2328" s="19" t="str">
        <f>HYPERLINK("http://yeinfo.com/family/I09066964.html", "WILLIAM RADCLIFFE &lt;2&gt; 1304 EN-1330 EN ID:09066964")</f>
        <v>WILLIAM RADCLIFFE &lt;2&gt; 1304 EN-1330 EN ID:09066964</v>
      </c>
      <c r="Y2328" s="9"/>
      <c r="Z2328" s="9"/>
      <c r="AA2328" s="9"/>
      <c r="AB2328" s="9"/>
    </row>
    <row r="2329" spans="3:32" x14ac:dyDescent="0.35">
      <c r="C2329" s="15" t="s">
        <v>8</v>
      </c>
      <c r="D2329" s="15" t="s">
        <v>8</v>
      </c>
      <c r="G2329" s="15" t="s">
        <v>8</v>
      </c>
      <c r="L2329" s="15" t="s">
        <v>8</v>
      </c>
      <c r="M2329" s="15" t="s">
        <v>8</v>
      </c>
      <c r="N2329" s="15" t="s">
        <v>8</v>
      </c>
      <c r="O2329" s="15" t="s">
        <v>8</v>
      </c>
      <c r="Q2329" s="15" t="s">
        <v>8</v>
      </c>
      <c r="S2329" s="15" t="s">
        <v>8</v>
      </c>
      <c r="T2329" s="15" t="s">
        <v>8</v>
      </c>
      <c r="V2329" s="15" t="s">
        <v>8</v>
      </c>
      <c r="W2329" s="15" t="s">
        <v>8</v>
      </c>
      <c r="X2329" s="8" t="s">
        <v>3</v>
      </c>
      <c r="Y2329" s="15" t="s">
        <v>8</v>
      </c>
    </row>
    <row r="2330" spans="3:32" x14ac:dyDescent="0.35">
      <c r="C2330" s="15" t="s">
        <v>8</v>
      </c>
      <c r="D2330" s="15" t="s">
        <v>8</v>
      </c>
      <c r="G2330" s="15" t="s">
        <v>8</v>
      </c>
      <c r="L2330" s="15" t="s">
        <v>8</v>
      </c>
      <c r="M2330" s="15" t="s">
        <v>8</v>
      </c>
      <c r="N2330" s="15" t="s">
        <v>8</v>
      </c>
      <c r="O2330" s="15" t="s">
        <v>8</v>
      </c>
      <c r="Q2330" s="15" t="s">
        <v>8</v>
      </c>
      <c r="S2330" s="15" t="s">
        <v>8</v>
      </c>
      <c r="T2330" s="15" t="s">
        <v>8</v>
      </c>
      <c r="V2330" s="15" t="s">
        <v>8</v>
      </c>
      <c r="W2330" s="15" t="s">
        <v>8</v>
      </c>
      <c r="X2330" s="15" t="s">
        <v>8</v>
      </c>
      <c r="Y2330" s="15" t="s">
        <v>8</v>
      </c>
      <c r="Z2330" s="19" t="str">
        <f>HYPERLINK("http://yeinfo.com/family/I09066974.html", "ROBERT SHORESWORTH &lt;4&gt; 1235 EN-1300 EN ID:09066974")</f>
        <v>ROBERT SHORESWORTH &lt;4&gt; 1235 EN-1300 EN ID:09066974</v>
      </c>
      <c r="AA2330" s="9"/>
      <c r="AB2330" s="9"/>
      <c r="AC2330" s="9"/>
      <c r="AD2330" s="9"/>
    </row>
    <row r="2331" spans="3:32" x14ac:dyDescent="0.35">
      <c r="C2331" s="15" t="s">
        <v>8</v>
      </c>
      <c r="D2331" s="15" t="s">
        <v>8</v>
      </c>
      <c r="G2331" s="15" t="s">
        <v>8</v>
      </c>
      <c r="L2331" s="15" t="s">
        <v>8</v>
      </c>
      <c r="M2331" s="15" t="s">
        <v>8</v>
      </c>
      <c r="N2331" s="15" t="s">
        <v>8</v>
      </c>
      <c r="O2331" s="15" t="s">
        <v>8</v>
      </c>
      <c r="Q2331" s="15" t="s">
        <v>8</v>
      </c>
      <c r="S2331" s="15" t="s">
        <v>8</v>
      </c>
      <c r="T2331" s="15" t="s">
        <v>8</v>
      </c>
      <c r="V2331" s="15" t="s">
        <v>8</v>
      </c>
      <c r="W2331" s="15" t="s">
        <v>8</v>
      </c>
      <c r="X2331" s="15" t="s">
        <v>8</v>
      </c>
      <c r="Y2331" s="8" t="s">
        <v>6</v>
      </c>
      <c r="Z2331" s="8" t="s">
        <v>3</v>
      </c>
    </row>
    <row r="2332" spans="3:32" x14ac:dyDescent="0.35">
      <c r="C2332" s="15" t="s">
        <v>8</v>
      </c>
      <c r="D2332" s="15" t="s">
        <v>8</v>
      </c>
      <c r="G2332" s="15" t="s">
        <v>8</v>
      </c>
      <c r="L2332" s="15" t="s">
        <v>8</v>
      </c>
      <c r="M2332" s="15" t="s">
        <v>8</v>
      </c>
      <c r="N2332" s="15" t="s">
        <v>8</v>
      </c>
      <c r="O2332" s="15" t="s">
        <v>8</v>
      </c>
      <c r="Q2332" s="15" t="s">
        <v>8</v>
      </c>
      <c r="S2332" s="15" t="s">
        <v>8</v>
      </c>
      <c r="T2332" s="15" t="s">
        <v>8</v>
      </c>
      <c r="V2332" s="15" t="s">
        <v>8</v>
      </c>
      <c r="W2332" s="15" t="s">
        <v>8</v>
      </c>
      <c r="X2332" s="15" t="s">
        <v>8</v>
      </c>
      <c r="Y2332" s="20" t="str">
        <f>HYPERLINK("http://yeinfo.com/family/I09066975.html", "MARGARET SHORESWORTH &lt;4&gt; 1265 EN-1343 EN ID:09066975")</f>
        <v>MARGARET SHORESWORTH &lt;4&gt; 1265 EN-1343 EN ID:09066975</v>
      </c>
      <c r="Z2332" s="17"/>
      <c r="AA2332" s="17"/>
      <c r="AB2332" s="17"/>
      <c r="AC2332" s="17"/>
    </row>
    <row r="2333" spans="3:32" x14ac:dyDescent="0.35">
      <c r="C2333" s="15" t="s">
        <v>8</v>
      </c>
      <c r="D2333" s="15" t="s">
        <v>8</v>
      </c>
      <c r="G2333" s="15" t="s">
        <v>8</v>
      </c>
      <c r="L2333" s="15" t="s">
        <v>8</v>
      </c>
      <c r="M2333" s="15" t="s">
        <v>8</v>
      </c>
      <c r="N2333" s="15" t="s">
        <v>8</v>
      </c>
      <c r="O2333" s="15" t="s">
        <v>8</v>
      </c>
      <c r="Q2333" s="15" t="s">
        <v>8</v>
      </c>
      <c r="S2333" s="15" t="s">
        <v>8</v>
      </c>
      <c r="T2333" s="15" t="s">
        <v>8</v>
      </c>
      <c r="V2333" s="15" t="s">
        <v>8</v>
      </c>
      <c r="W2333" s="15" t="s">
        <v>8</v>
      </c>
      <c r="X2333" s="15" t="s">
        <v>8</v>
      </c>
      <c r="Z2333" s="8" t="s">
        <v>6</v>
      </c>
    </row>
    <row r="2334" spans="3:32" x14ac:dyDescent="0.35">
      <c r="C2334" s="15" t="s">
        <v>8</v>
      </c>
      <c r="D2334" s="15" t="s">
        <v>8</v>
      </c>
      <c r="G2334" s="15" t="s">
        <v>8</v>
      </c>
      <c r="L2334" s="15" t="s">
        <v>8</v>
      </c>
      <c r="M2334" s="15" t="s">
        <v>8</v>
      </c>
      <c r="N2334" s="15" t="s">
        <v>8</v>
      </c>
      <c r="O2334" s="15" t="s">
        <v>8</v>
      </c>
      <c r="Q2334" s="15" t="s">
        <v>8</v>
      </c>
      <c r="S2334" s="15" t="s">
        <v>8</v>
      </c>
      <c r="T2334" s="15" t="s">
        <v>8</v>
      </c>
      <c r="V2334" s="15" t="s">
        <v>8</v>
      </c>
      <c r="W2334" s="15" t="s">
        <v>8</v>
      </c>
      <c r="X2334" s="15" t="s">
        <v>8</v>
      </c>
      <c r="Z2334" s="20" t="str">
        <f>HYPERLINK("http://yeinfo.com/family/I09066900.html", "CECILY DENTON &lt;4&gt; 1242 EN-1299 EN ID:09066900")</f>
        <v>CECILY DENTON &lt;4&gt; 1242 EN-1299 EN ID:09066900</v>
      </c>
      <c r="AA2334" s="17"/>
      <c r="AB2334" s="17"/>
      <c r="AC2334" s="17"/>
      <c r="AD2334" s="17"/>
    </row>
    <row r="2335" spans="3:32" x14ac:dyDescent="0.35">
      <c r="C2335" s="15" t="s">
        <v>8</v>
      </c>
      <c r="D2335" s="15" t="s">
        <v>8</v>
      </c>
      <c r="G2335" s="15" t="s">
        <v>8</v>
      </c>
      <c r="L2335" s="15" t="s">
        <v>8</v>
      </c>
      <c r="M2335" s="15" t="s">
        <v>8</v>
      </c>
      <c r="N2335" s="15" t="s">
        <v>8</v>
      </c>
      <c r="O2335" s="15" t="s">
        <v>8</v>
      </c>
      <c r="Q2335" s="15" t="s">
        <v>8</v>
      </c>
      <c r="S2335" s="15" t="s">
        <v>8</v>
      </c>
      <c r="T2335" s="15" t="s">
        <v>8</v>
      </c>
      <c r="V2335" s="15" t="s">
        <v>8</v>
      </c>
      <c r="W2335" s="8" t="s">
        <v>6</v>
      </c>
      <c r="X2335" s="15" t="s">
        <v>8</v>
      </c>
    </row>
    <row r="2336" spans="3:32" x14ac:dyDescent="0.35">
      <c r="C2336" s="15" t="s">
        <v>8</v>
      </c>
      <c r="D2336" s="15" t="s">
        <v>8</v>
      </c>
      <c r="G2336" s="15" t="s">
        <v>8</v>
      </c>
      <c r="L2336" s="15" t="s">
        <v>8</v>
      </c>
      <c r="M2336" s="15" t="s">
        <v>8</v>
      </c>
      <c r="N2336" s="15" t="s">
        <v>8</v>
      </c>
      <c r="O2336" s="15" t="s">
        <v>8</v>
      </c>
      <c r="Q2336" s="15" t="s">
        <v>8</v>
      </c>
      <c r="S2336" s="15" t="s">
        <v>8</v>
      </c>
      <c r="T2336" s="15" t="s">
        <v>8</v>
      </c>
      <c r="V2336" s="15" t="s">
        <v>8</v>
      </c>
      <c r="W2336" s="20" t="str">
        <f>HYPERLINK("http://yeinfo.com/family/I09066965.html", "JOAN RADCLIFFE &lt;2&gt; 1324 EN-1375 EN ID:09066965")</f>
        <v>JOAN RADCLIFFE &lt;2&gt; 1324 EN-1375 EN ID:09066965</v>
      </c>
      <c r="X2336" s="17"/>
      <c r="Y2336" s="17"/>
      <c r="Z2336" s="17"/>
      <c r="AA2336" s="17"/>
    </row>
    <row r="2337" spans="3:28" x14ac:dyDescent="0.35">
      <c r="C2337" s="15" t="s">
        <v>8</v>
      </c>
      <c r="D2337" s="15" t="s">
        <v>8</v>
      </c>
      <c r="G2337" s="15" t="s">
        <v>8</v>
      </c>
      <c r="L2337" s="15" t="s">
        <v>8</v>
      </c>
      <c r="M2337" s="15" t="s">
        <v>8</v>
      </c>
      <c r="N2337" s="15" t="s">
        <v>8</v>
      </c>
      <c r="O2337" s="15" t="s">
        <v>8</v>
      </c>
      <c r="Q2337" s="15" t="s">
        <v>8</v>
      </c>
      <c r="S2337" s="15" t="s">
        <v>8</v>
      </c>
      <c r="T2337" s="15" t="s">
        <v>8</v>
      </c>
      <c r="V2337" s="15" t="s">
        <v>8</v>
      </c>
      <c r="X2337" s="8" t="s">
        <v>6</v>
      </c>
    </row>
    <row r="2338" spans="3:28" x14ac:dyDescent="0.35">
      <c r="C2338" s="15" t="s">
        <v>8</v>
      </c>
      <c r="D2338" s="15" t="s">
        <v>8</v>
      </c>
      <c r="G2338" s="15" t="s">
        <v>8</v>
      </c>
      <c r="L2338" s="15" t="s">
        <v>8</v>
      </c>
      <c r="M2338" s="15" t="s">
        <v>8</v>
      </c>
      <c r="N2338" s="15" t="s">
        <v>8</v>
      </c>
      <c r="O2338" s="15" t="s">
        <v>8</v>
      </c>
      <c r="Q2338" s="15" t="s">
        <v>8</v>
      </c>
      <c r="S2338" s="15" t="s">
        <v>8</v>
      </c>
      <c r="T2338" s="15" t="s">
        <v>8</v>
      </c>
      <c r="V2338" s="15" t="s">
        <v>8</v>
      </c>
      <c r="X2338" s="20" t="str">
        <f>HYPERLINK("http://yeinfo.com/family/I09066955.html", "KATHERINE NORLEY &lt;2&gt; 1305 EN-1333 EN ID:09066955")</f>
        <v>KATHERINE NORLEY &lt;2&gt; 1305 EN-1333 EN ID:09066955</v>
      </c>
      <c r="Y2338" s="17"/>
      <c r="Z2338" s="17"/>
      <c r="AA2338" s="17"/>
      <c r="AB2338" s="17"/>
    </row>
    <row r="2339" spans="3:28" x14ac:dyDescent="0.35">
      <c r="C2339" s="15" t="s">
        <v>8</v>
      </c>
      <c r="D2339" s="15" t="s">
        <v>8</v>
      </c>
      <c r="G2339" s="15" t="s">
        <v>8</v>
      </c>
      <c r="L2339" s="15" t="s">
        <v>8</v>
      </c>
      <c r="M2339" s="15" t="s">
        <v>8</v>
      </c>
      <c r="N2339" s="15" t="s">
        <v>8</v>
      </c>
      <c r="O2339" s="15" t="s">
        <v>8</v>
      </c>
      <c r="Q2339" s="15" t="s">
        <v>8</v>
      </c>
      <c r="S2339" s="15" t="s">
        <v>8</v>
      </c>
      <c r="T2339" s="15" t="s">
        <v>8</v>
      </c>
      <c r="V2339" s="15" t="s">
        <v>8</v>
      </c>
    </row>
    <row r="2340" spans="3:28" x14ac:dyDescent="0.35">
      <c r="C2340" s="15" t="s">
        <v>8</v>
      </c>
      <c r="D2340" s="15" t="s">
        <v>8</v>
      </c>
      <c r="G2340" s="15" t="s">
        <v>8</v>
      </c>
      <c r="L2340" s="15" t="s">
        <v>8</v>
      </c>
      <c r="M2340" s="15" t="s">
        <v>8</v>
      </c>
      <c r="N2340" s="15" t="s">
        <v>8</v>
      </c>
      <c r="O2340" s="15" t="s">
        <v>8</v>
      </c>
      <c r="Q2340" s="15" t="s">
        <v>8</v>
      </c>
      <c r="S2340" s="15" t="s">
        <v>8</v>
      </c>
      <c r="T2340" s="15" t="s">
        <v>8</v>
      </c>
      <c r="U2340" s="19" t="str">
        <f>HYPERLINK("http://yeinfo.com/family/I09066861.html", "THOMAS ASHTON &lt;2&gt; 1403 EN-1446 EN ID:09066861")</f>
        <v>THOMAS ASHTON &lt;2&gt; 1403 EN-1446 EN ID:09066861</v>
      </c>
      <c r="V2340" s="9"/>
      <c r="W2340" s="9"/>
      <c r="X2340" s="9"/>
      <c r="Y2340" s="9"/>
    </row>
    <row r="2341" spans="3:28" x14ac:dyDescent="0.35">
      <c r="C2341" s="15" t="s">
        <v>8</v>
      </c>
      <c r="D2341" s="15" t="s">
        <v>8</v>
      </c>
      <c r="G2341" s="15" t="s">
        <v>8</v>
      </c>
      <c r="L2341" s="15" t="s">
        <v>8</v>
      </c>
      <c r="M2341" s="15" t="s">
        <v>8</v>
      </c>
      <c r="N2341" s="15" t="s">
        <v>8</v>
      </c>
      <c r="O2341" s="15" t="s">
        <v>8</v>
      </c>
      <c r="Q2341" s="15" t="s">
        <v>8</v>
      </c>
      <c r="S2341" s="15" t="s">
        <v>8</v>
      </c>
      <c r="T2341" s="15" t="s">
        <v>8</v>
      </c>
      <c r="U2341" s="8" t="s">
        <v>3</v>
      </c>
      <c r="V2341" s="15" t="s">
        <v>8</v>
      </c>
    </row>
    <row r="2342" spans="3:28" x14ac:dyDescent="0.35">
      <c r="C2342" s="15" t="s">
        <v>8</v>
      </c>
      <c r="D2342" s="15" t="s">
        <v>8</v>
      </c>
      <c r="G2342" s="15" t="s">
        <v>8</v>
      </c>
      <c r="L2342" s="15" t="s">
        <v>8</v>
      </c>
      <c r="M2342" s="15" t="s">
        <v>8</v>
      </c>
      <c r="N2342" s="15" t="s">
        <v>8</v>
      </c>
      <c r="O2342" s="15" t="s">
        <v>8</v>
      </c>
      <c r="Q2342" s="15" t="s">
        <v>8</v>
      </c>
      <c r="S2342" s="15" t="s">
        <v>8</v>
      </c>
      <c r="T2342" s="15" t="s">
        <v>8</v>
      </c>
      <c r="U2342" s="15" t="s">
        <v>8</v>
      </c>
      <c r="V2342" s="15" t="s">
        <v>8</v>
      </c>
      <c r="W2342" s="19" t="str">
        <f>HYPERLINK("http://yeinfo.com/family/I09066972.html", "JOHN SAVILLE &lt;2&gt; 1332 EN-1399 EN ID:09066972")</f>
        <v>JOHN SAVILLE &lt;2&gt; 1332 EN-1399 EN ID:09066972</v>
      </c>
      <c r="X2342" s="9"/>
      <c r="Y2342" s="9"/>
      <c r="Z2342" s="9"/>
      <c r="AA2342" s="9"/>
    </row>
    <row r="2343" spans="3:28" x14ac:dyDescent="0.35">
      <c r="C2343" s="15" t="s">
        <v>8</v>
      </c>
      <c r="D2343" s="15" t="s">
        <v>8</v>
      </c>
      <c r="G2343" s="15" t="s">
        <v>8</v>
      </c>
      <c r="L2343" s="15" t="s">
        <v>8</v>
      </c>
      <c r="M2343" s="15" t="s">
        <v>8</v>
      </c>
      <c r="N2343" s="15" t="s">
        <v>8</v>
      </c>
      <c r="O2343" s="15" t="s">
        <v>8</v>
      </c>
      <c r="Q2343" s="15" t="s">
        <v>8</v>
      </c>
      <c r="S2343" s="15" t="s">
        <v>8</v>
      </c>
      <c r="T2343" s="15" t="s">
        <v>8</v>
      </c>
      <c r="U2343" s="15" t="s">
        <v>8</v>
      </c>
      <c r="V2343" s="8" t="s">
        <v>6</v>
      </c>
      <c r="W2343" s="8" t="s">
        <v>3</v>
      </c>
    </row>
    <row r="2344" spans="3:28" x14ac:dyDescent="0.35">
      <c r="C2344" s="15" t="s">
        <v>8</v>
      </c>
      <c r="D2344" s="15" t="s">
        <v>8</v>
      </c>
      <c r="G2344" s="15" t="s">
        <v>8</v>
      </c>
      <c r="L2344" s="15" t="s">
        <v>8</v>
      </c>
      <c r="M2344" s="15" t="s">
        <v>8</v>
      </c>
      <c r="N2344" s="15" t="s">
        <v>8</v>
      </c>
      <c r="O2344" s="15" t="s">
        <v>8</v>
      </c>
      <c r="Q2344" s="15" t="s">
        <v>8</v>
      </c>
      <c r="S2344" s="15" t="s">
        <v>8</v>
      </c>
      <c r="T2344" s="15" t="s">
        <v>8</v>
      </c>
      <c r="U2344" s="15" t="s">
        <v>8</v>
      </c>
      <c r="V2344" s="20" t="str">
        <f>HYPERLINK("http://yeinfo.com/family/I09066973.html", "JANE SAVILLE &lt;2&gt; 1372 EN-1410 EN ID:09066973")</f>
        <v>JANE SAVILLE &lt;2&gt; 1372 EN-1410 EN ID:09066973</v>
      </c>
      <c r="W2344" s="17"/>
      <c r="X2344" s="17"/>
      <c r="Y2344" s="17"/>
      <c r="Z2344" s="17"/>
    </row>
    <row r="2345" spans="3:28" x14ac:dyDescent="0.35">
      <c r="C2345" s="15" t="s">
        <v>8</v>
      </c>
      <c r="D2345" s="15" t="s">
        <v>8</v>
      </c>
      <c r="G2345" s="15" t="s">
        <v>8</v>
      </c>
      <c r="L2345" s="15" t="s">
        <v>8</v>
      </c>
      <c r="M2345" s="15" t="s">
        <v>8</v>
      </c>
      <c r="N2345" s="15" t="s">
        <v>8</v>
      </c>
      <c r="O2345" s="15" t="s">
        <v>8</v>
      </c>
      <c r="Q2345" s="15" t="s">
        <v>8</v>
      </c>
      <c r="S2345" s="15" t="s">
        <v>8</v>
      </c>
      <c r="T2345" s="15" t="s">
        <v>8</v>
      </c>
      <c r="U2345" s="15" t="s">
        <v>8</v>
      </c>
      <c r="W2345" s="8" t="s">
        <v>6</v>
      </c>
    </row>
    <row r="2346" spans="3:28" x14ac:dyDescent="0.35">
      <c r="C2346" s="15" t="s">
        <v>8</v>
      </c>
      <c r="D2346" s="15" t="s">
        <v>8</v>
      </c>
      <c r="G2346" s="15" t="s">
        <v>8</v>
      </c>
      <c r="L2346" s="15" t="s">
        <v>8</v>
      </c>
      <c r="M2346" s="15" t="s">
        <v>8</v>
      </c>
      <c r="N2346" s="15" t="s">
        <v>8</v>
      </c>
      <c r="O2346" s="15" t="s">
        <v>8</v>
      </c>
      <c r="Q2346" s="15" t="s">
        <v>8</v>
      </c>
      <c r="S2346" s="15" t="s">
        <v>8</v>
      </c>
      <c r="T2346" s="15" t="s">
        <v>8</v>
      </c>
      <c r="U2346" s="15" t="s">
        <v>8</v>
      </c>
      <c r="W2346" s="20" t="str">
        <f>HYPERLINK("http://yeinfo.com/family/I09066936.html", "ISABEL LATHOM &lt;2&gt; 1339 EN-1424 EN ID:09066936")</f>
        <v>ISABEL LATHOM &lt;2&gt; 1339 EN-1424 EN ID:09066936</v>
      </c>
      <c r="X2346" s="17"/>
      <c r="Y2346" s="17"/>
      <c r="Z2346" s="17"/>
      <c r="AA2346" s="17"/>
    </row>
    <row r="2347" spans="3:28" x14ac:dyDescent="0.35">
      <c r="C2347" s="15" t="s">
        <v>8</v>
      </c>
      <c r="D2347" s="15" t="s">
        <v>8</v>
      </c>
      <c r="G2347" s="15" t="s">
        <v>8</v>
      </c>
      <c r="L2347" s="15" t="s">
        <v>8</v>
      </c>
      <c r="M2347" s="15" t="s">
        <v>8</v>
      </c>
      <c r="N2347" s="15" t="s">
        <v>8</v>
      </c>
      <c r="O2347" s="15" t="s">
        <v>8</v>
      </c>
      <c r="Q2347" s="15" t="s">
        <v>8</v>
      </c>
      <c r="S2347" s="15" t="s">
        <v>8</v>
      </c>
      <c r="T2347" s="8" t="s">
        <v>6</v>
      </c>
      <c r="U2347" s="15" t="s">
        <v>8</v>
      </c>
    </row>
    <row r="2348" spans="3:28" x14ac:dyDescent="0.35">
      <c r="C2348" s="15" t="s">
        <v>8</v>
      </c>
      <c r="D2348" s="15" t="s">
        <v>8</v>
      </c>
      <c r="G2348" s="15" t="s">
        <v>8</v>
      </c>
      <c r="L2348" s="15" t="s">
        <v>8</v>
      </c>
      <c r="M2348" s="15" t="s">
        <v>8</v>
      </c>
      <c r="N2348" s="15" t="s">
        <v>8</v>
      </c>
      <c r="O2348" s="15" t="s">
        <v>8</v>
      </c>
      <c r="Q2348" s="15" t="s">
        <v>8</v>
      </c>
      <c r="S2348" s="15" t="s">
        <v>8</v>
      </c>
      <c r="T2348" s="20" t="str">
        <f>HYPERLINK("http://yeinfo.com/family/I09066862.html", "ELIZABETH ASHTON &lt;2&gt; 1431 EN-1490 EN ID:09066862")</f>
        <v>ELIZABETH ASHTON &lt;2&gt; 1431 EN-1490 EN ID:09066862</v>
      </c>
      <c r="U2348" s="17"/>
      <c r="V2348" s="17"/>
      <c r="W2348" s="17"/>
      <c r="X2348" s="17"/>
    </row>
    <row r="2349" spans="3:28" x14ac:dyDescent="0.35">
      <c r="C2349" s="15" t="s">
        <v>8</v>
      </c>
      <c r="D2349" s="15" t="s">
        <v>8</v>
      </c>
      <c r="G2349" s="15" t="s">
        <v>8</v>
      </c>
      <c r="L2349" s="15" t="s">
        <v>8</v>
      </c>
      <c r="M2349" s="15" t="s">
        <v>8</v>
      </c>
      <c r="N2349" s="15" t="s">
        <v>8</v>
      </c>
      <c r="O2349" s="15" t="s">
        <v>8</v>
      </c>
      <c r="Q2349" s="15" t="s">
        <v>8</v>
      </c>
      <c r="S2349" s="15" t="s">
        <v>8</v>
      </c>
      <c r="U2349" s="15" t="s">
        <v>8</v>
      </c>
    </row>
    <row r="2350" spans="3:28" x14ac:dyDescent="0.35">
      <c r="C2350" s="15" t="s">
        <v>8</v>
      </c>
      <c r="D2350" s="15" t="s">
        <v>8</v>
      </c>
      <c r="G2350" s="15" t="s">
        <v>8</v>
      </c>
      <c r="L2350" s="15" t="s">
        <v>8</v>
      </c>
      <c r="M2350" s="15" t="s">
        <v>8</v>
      </c>
      <c r="N2350" s="15" t="s">
        <v>8</v>
      </c>
      <c r="O2350" s="15" t="s">
        <v>8</v>
      </c>
      <c r="Q2350" s="15" t="s">
        <v>8</v>
      </c>
      <c r="S2350" s="15" t="s">
        <v>8</v>
      </c>
      <c r="U2350" s="15" t="s">
        <v>8</v>
      </c>
      <c r="W2350" s="19" t="str">
        <f>HYPERLINK("http://yeinfo.com/family/I09066885.html", "RICHARD BYRON &lt;2&gt; 1329 EN-1397 EN ID:09066885")</f>
        <v>RICHARD BYRON &lt;2&gt; 1329 EN-1397 EN ID:09066885</v>
      </c>
      <c r="X2350" s="9"/>
      <c r="Y2350" s="9"/>
      <c r="Z2350" s="9"/>
      <c r="AA2350" s="9"/>
    </row>
    <row r="2351" spans="3:28" x14ac:dyDescent="0.35">
      <c r="C2351" s="15" t="s">
        <v>8</v>
      </c>
      <c r="D2351" s="15" t="s">
        <v>8</v>
      </c>
      <c r="G2351" s="15" t="s">
        <v>8</v>
      </c>
      <c r="L2351" s="15" t="s">
        <v>8</v>
      </c>
      <c r="M2351" s="15" t="s">
        <v>8</v>
      </c>
      <c r="N2351" s="15" t="s">
        <v>8</v>
      </c>
      <c r="O2351" s="15" t="s">
        <v>8</v>
      </c>
      <c r="Q2351" s="15" t="s">
        <v>8</v>
      </c>
      <c r="S2351" s="15" t="s">
        <v>8</v>
      </c>
      <c r="U2351" s="15" t="s">
        <v>8</v>
      </c>
      <c r="W2351" s="8" t="s">
        <v>3</v>
      </c>
    </row>
    <row r="2352" spans="3:28" x14ac:dyDescent="0.35">
      <c r="C2352" s="15" t="s">
        <v>8</v>
      </c>
      <c r="D2352" s="15" t="s">
        <v>8</v>
      </c>
      <c r="G2352" s="15" t="s">
        <v>8</v>
      </c>
      <c r="L2352" s="15" t="s">
        <v>8</v>
      </c>
      <c r="M2352" s="15" t="s">
        <v>8</v>
      </c>
      <c r="N2352" s="15" t="s">
        <v>8</v>
      </c>
      <c r="O2352" s="15" t="s">
        <v>8</v>
      </c>
      <c r="Q2352" s="15" t="s">
        <v>8</v>
      </c>
      <c r="S2352" s="15" t="s">
        <v>8</v>
      </c>
      <c r="U2352" s="15" t="s">
        <v>8</v>
      </c>
      <c r="V2352" s="19" t="str">
        <f>HYPERLINK("http://yeinfo.com/family/I09066886.html", "JOHN BYRON &lt;2&gt; 1362 EN-1445 EN ID:09066886")</f>
        <v>JOHN BYRON &lt;2&gt; 1362 EN-1445 EN ID:09066886</v>
      </c>
      <c r="W2352" s="9"/>
      <c r="X2352" s="9"/>
      <c r="Y2352" s="9"/>
      <c r="Z2352" s="9"/>
    </row>
    <row r="2353" spans="3:31" x14ac:dyDescent="0.35">
      <c r="C2353" s="15" t="s">
        <v>8</v>
      </c>
      <c r="D2353" s="15" t="s">
        <v>8</v>
      </c>
      <c r="G2353" s="15" t="s">
        <v>8</v>
      </c>
      <c r="L2353" s="15" t="s">
        <v>8</v>
      </c>
      <c r="M2353" s="15" t="s">
        <v>8</v>
      </c>
      <c r="N2353" s="15" t="s">
        <v>8</v>
      </c>
      <c r="O2353" s="15" t="s">
        <v>8</v>
      </c>
      <c r="Q2353" s="15" t="s">
        <v>8</v>
      </c>
      <c r="S2353" s="15" t="s">
        <v>8</v>
      </c>
      <c r="U2353" s="15" t="s">
        <v>8</v>
      </c>
      <c r="V2353" s="8" t="s">
        <v>3</v>
      </c>
      <c r="W2353" s="8" t="s">
        <v>6</v>
      </c>
    </row>
    <row r="2354" spans="3:31" x14ac:dyDescent="0.35">
      <c r="C2354" s="15" t="s">
        <v>8</v>
      </c>
      <c r="D2354" s="15" t="s">
        <v>8</v>
      </c>
      <c r="G2354" s="15" t="s">
        <v>8</v>
      </c>
      <c r="L2354" s="15" t="s">
        <v>8</v>
      </c>
      <c r="M2354" s="15" t="s">
        <v>8</v>
      </c>
      <c r="N2354" s="15" t="s">
        <v>8</v>
      </c>
      <c r="O2354" s="15" t="s">
        <v>8</v>
      </c>
      <c r="Q2354" s="15" t="s">
        <v>8</v>
      </c>
      <c r="S2354" s="15" t="s">
        <v>8</v>
      </c>
      <c r="U2354" s="15" t="s">
        <v>8</v>
      </c>
      <c r="V2354" s="15" t="s">
        <v>8</v>
      </c>
      <c r="W2354" s="20" t="str">
        <f>HYPERLINK("http://yeinfo.com/family/I09066888.html", "JOAN COLWICK &lt;2&gt; 1342 EN-1426 EN ID:09066888")</f>
        <v>JOAN COLWICK &lt;2&gt; 1342 EN-1426 EN ID:09066888</v>
      </c>
      <c r="X2354" s="17"/>
      <c r="Y2354" s="17"/>
      <c r="Z2354" s="17"/>
      <c r="AA2354" s="17"/>
    </row>
    <row r="2355" spans="3:31" x14ac:dyDescent="0.35">
      <c r="C2355" s="15" t="s">
        <v>8</v>
      </c>
      <c r="D2355" s="15" t="s">
        <v>8</v>
      </c>
      <c r="G2355" s="15" t="s">
        <v>8</v>
      </c>
      <c r="L2355" s="15" t="s">
        <v>8</v>
      </c>
      <c r="M2355" s="15" t="s">
        <v>8</v>
      </c>
      <c r="N2355" s="15" t="s">
        <v>8</v>
      </c>
      <c r="O2355" s="15" t="s">
        <v>8</v>
      </c>
      <c r="Q2355" s="15" t="s">
        <v>8</v>
      </c>
      <c r="S2355" s="15" t="s">
        <v>8</v>
      </c>
      <c r="U2355" s="8" t="s">
        <v>6</v>
      </c>
      <c r="V2355" s="15" t="s">
        <v>8</v>
      </c>
    </row>
    <row r="2356" spans="3:31" x14ac:dyDescent="0.35">
      <c r="C2356" s="15" t="s">
        <v>8</v>
      </c>
      <c r="D2356" s="15" t="s">
        <v>8</v>
      </c>
      <c r="G2356" s="15" t="s">
        <v>8</v>
      </c>
      <c r="L2356" s="15" t="s">
        <v>8</v>
      </c>
      <c r="M2356" s="15" t="s">
        <v>8</v>
      </c>
      <c r="N2356" s="15" t="s">
        <v>8</v>
      </c>
      <c r="O2356" s="15" t="s">
        <v>8</v>
      </c>
      <c r="Q2356" s="15" t="s">
        <v>8</v>
      </c>
      <c r="S2356" s="15" t="s">
        <v>8</v>
      </c>
      <c r="U2356" s="20" t="str">
        <f>HYPERLINK("http://yeinfo.com/family/I09066887.html", "ELIZABETH BYRON &lt;2&gt; 1393 EN-1460 EN ID:09066887")</f>
        <v>ELIZABETH BYRON &lt;2&gt; 1393 EN-1460 EN ID:09066887</v>
      </c>
      <c r="V2356" s="17"/>
      <c r="W2356" s="17"/>
      <c r="X2356" s="17"/>
      <c r="Y2356" s="17"/>
    </row>
    <row r="2357" spans="3:31" x14ac:dyDescent="0.35">
      <c r="C2357" s="15" t="s">
        <v>8</v>
      </c>
      <c r="D2357" s="15" t="s">
        <v>8</v>
      </c>
      <c r="G2357" s="15" t="s">
        <v>8</v>
      </c>
      <c r="L2357" s="15" t="s">
        <v>8</v>
      </c>
      <c r="M2357" s="15" t="s">
        <v>8</v>
      </c>
      <c r="N2357" s="15" t="s">
        <v>8</v>
      </c>
      <c r="O2357" s="15" t="s">
        <v>8</v>
      </c>
      <c r="Q2357" s="15" t="s">
        <v>8</v>
      </c>
      <c r="S2357" s="15" t="s">
        <v>8</v>
      </c>
      <c r="V2357" s="15" t="s">
        <v>8</v>
      </c>
    </row>
    <row r="2358" spans="3:31" x14ac:dyDescent="0.35">
      <c r="C2358" s="15" t="s">
        <v>8</v>
      </c>
      <c r="D2358" s="15" t="s">
        <v>8</v>
      </c>
      <c r="G2358" s="15" t="s">
        <v>8</v>
      </c>
      <c r="L2358" s="15" t="s">
        <v>8</v>
      </c>
      <c r="M2358" s="15" t="s">
        <v>8</v>
      </c>
      <c r="N2358" s="15" t="s">
        <v>8</v>
      </c>
      <c r="O2358" s="15" t="s">
        <v>8</v>
      </c>
      <c r="Q2358" s="15" t="s">
        <v>8</v>
      </c>
      <c r="S2358" s="15" t="s">
        <v>8</v>
      </c>
      <c r="V2358" s="15" t="s">
        <v>8</v>
      </c>
      <c r="Y2358" s="19" t="str">
        <f>HYPERLINK("http://yeinfo.com/family/I09066872.html", "JOHN BOOTH &lt;2&gt; 1280 EN-1370 EN ID:09066872")</f>
        <v>JOHN BOOTH &lt;2&gt; 1280 EN-1370 EN ID:09066872</v>
      </c>
      <c r="Z2358" s="9"/>
      <c r="AA2358" s="9"/>
      <c r="AB2358" s="9"/>
      <c r="AC2358" s="9"/>
    </row>
    <row r="2359" spans="3:31" x14ac:dyDescent="0.35">
      <c r="C2359" s="15" t="s">
        <v>8</v>
      </c>
      <c r="D2359" s="15" t="s">
        <v>8</v>
      </c>
      <c r="G2359" s="15" t="s">
        <v>8</v>
      </c>
      <c r="L2359" s="15" t="s">
        <v>8</v>
      </c>
      <c r="M2359" s="15" t="s">
        <v>8</v>
      </c>
      <c r="N2359" s="15" t="s">
        <v>8</v>
      </c>
      <c r="O2359" s="15" t="s">
        <v>8</v>
      </c>
      <c r="Q2359" s="15" t="s">
        <v>8</v>
      </c>
      <c r="S2359" s="15" t="s">
        <v>8</v>
      </c>
      <c r="V2359" s="15" t="s">
        <v>8</v>
      </c>
      <c r="Y2359" s="8" t="s">
        <v>3</v>
      </c>
    </row>
    <row r="2360" spans="3:31" x14ac:dyDescent="0.35">
      <c r="C2360" s="15" t="s">
        <v>8</v>
      </c>
      <c r="D2360" s="15" t="s">
        <v>8</v>
      </c>
      <c r="G2360" s="15" t="s">
        <v>8</v>
      </c>
      <c r="L2360" s="15" t="s">
        <v>8</v>
      </c>
      <c r="M2360" s="15" t="s">
        <v>8</v>
      </c>
      <c r="N2360" s="15" t="s">
        <v>8</v>
      </c>
      <c r="O2360" s="15" t="s">
        <v>8</v>
      </c>
      <c r="Q2360" s="15" t="s">
        <v>8</v>
      </c>
      <c r="S2360" s="15" t="s">
        <v>8</v>
      </c>
      <c r="V2360" s="15" t="s">
        <v>8</v>
      </c>
      <c r="X2360" s="19" t="str">
        <f>HYPERLINK("http://yeinfo.com/family/I09066873.html", "JOHN THOMAS BOOTH &lt;2&gt; 1320 EN-1368 EN ID:09066873")</f>
        <v>JOHN THOMAS BOOTH &lt;2&gt; 1320 EN-1368 EN ID:09066873</v>
      </c>
      <c r="Y2360" s="9"/>
      <c r="Z2360" s="9"/>
      <c r="AA2360" s="9"/>
      <c r="AB2360" s="9"/>
    </row>
    <row r="2361" spans="3:31" x14ac:dyDescent="0.35">
      <c r="C2361" s="15" t="s">
        <v>8</v>
      </c>
      <c r="D2361" s="15" t="s">
        <v>8</v>
      </c>
      <c r="G2361" s="15" t="s">
        <v>8</v>
      </c>
      <c r="L2361" s="15" t="s">
        <v>8</v>
      </c>
      <c r="M2361" s="15" t="s">
        <v>8</v>
      </c>
      <c r="N2361" s="15" t="s">
        <v>8</v>
      </c>
      <c r="O2361" s="15" t="s">
        <v>8</v>
      </c>
      <c r="Q2361" s="15" t="s">
        <v>8</v>
      </c>
      <c r="S2361" s="15" t="s">
        <v>8</v>
      </c>
      <c r="V2361" s="15" t="s">
        <v>8</v>
      </c>
      <c r="X2361" s="8" t="s">
        <v>3</v>
      </c>
      <c r="Y2361" s="8" t="s">
        <v>6</v>
      </c>
    </row>
    <row r="2362" spans="3:31" x14ac:dyDescent="0.35">
      <c r="C2362" s="15" t="s">
        <v>8</v>
      </c>
      <c r="D2362" s="15" t="s">
        <v>8</v>
      </c>
      <c r="G2362" s="15" t="s">
        <v>8</v>
      </c>
      <c r="L2362" s="15" t="s">
        <v>8</v>
      </c>
      <c r="M2362" s="15" t="s">
        <v>8</v>
      </c>
      <c r="N2362" s="15" t="s">
        <v>8</v>
      </c>
      <c r="O2362" s="15" t="s">
        <v>8</v>
      </c>
      <c r="Q2362" s="15" t="s">
        <v>8</v>
      </c>
      <c r="S2362" s="15" t="s">
        <v>8</v>
      </c>
      <c r="V2362" s="15" t="s">
        <v>8</v>
      </c>
      <c r="X2362" s="15" t="s">
        <v>8</v>
      </c>
      <c r="Y2362" s="20" t="str">
        <f>HYPERLINK("http://yeinfo.com/family/I09066868.html", "AGNES BARTON &lt;2&gt; 1276 EN-1350 EN ID:09066868")</f>
        <v>AGNES BARTON &lt;2&gt; 1276 EN-1350 EN ID:09066868</v>
      </c>
      <c r="Z2362" s="17"/>
      <c r="AA2362" s="17"/>
      <c r="AB2362" s="17"/>
      <c r="AC2362" s="17"/>
    </row>
    <row r="2363" spans="3:31" x14ac:dyDescent="0.35">
      <c r="C2363" s="15" t="s">
        <v>8</v>
      </c>
      <c r="D2363" s="15" t="s">
        <v>8</v>
      </c>
      <c r="G2363" s="15" t="s">
        <v>8</v>
      </c>
      <c r="L2363" s="15" t="s">
        <v>8</v>
      </c>
      <c r="M2363" s="15" t="s">
        <v>8</v>
      </c>
      <c r="N2363" s="15" t="s">
        <v>8</v>
      </c>
      <c r="O2363" s="15" t="s">
        <v>8</v>
      </c>
      <c r="Q2363" s="15" t="s">
        <v>8</v>
      </c>
      <c r="S2363" s="15" t="s">
        <v>8</v>
      </c>
      <c r="V2363" s="15" t="s">
        <v>8</v>
      </c>
      <c r="X2363" s="15" t="s">
        <v>8</v>
      </c>
    </row>
    <row r="2364" spans="3:31" x14ac:dyDescent="0.35">
      <c r="C2364" s="15" t="s">
        <v>8</v>
      </c>
      <c r="D2364" s="15" t="s">
        <v>8</v>
      </c>
      <c r="G2364" s="15" t="s">
        <v>8</v>
      </c>
      <c r="L2364" s="15" t="s">
        <v>8</v>
      </c>
      <c r="M2364" s="15" t="s">
        <v>8</v>
      </c>
      <c r="N2364" s="15" t="s">
        <v>8</v>
      </c>
      <c r="O2364" s="15" t="s">
        <v>8</v>
      </c>
      <c r="Q2364" s="15" t="s">
        <v>8</v>
      </c>
      <c r="S2364" s="15" t="s">
        <v>8</v>
      </c>
      <c r="V2364" s="15" t="s">
        <v>8</v>
      </c>
      <c r="W2364" s="19" t="str">
        <f>HYPERLINK("http://yeinfo.com/family/I09066874.html", "JOHN BOOTH &lt;2&gt; 1324 EN-1422 EN ID:09066874")</f>
        <v>JOHN BOOTH &lt;2&gt; 1324 EN-1422 EN ID:09066874</v>
      </c>
      <c r="X2364" s="9"/>
      <c r="Y2364" s="9"/>
      <c r="Z2364" s="9"/>
      <c r="AA2364" s="9"/>
    </row>
    <row r="2365" spans="3:31" x14ac:dyDescent="0.35">
      <c r="C2365" s="15" t="s">
        <v>8</v>
      </c>
      <c r="D2365" s="15" t="s">
        <v>8</v>
      </c>
      <c r="G2365" s="15" t="s">
        <v>8</v>
      </c>
      <c r="L2365" s="15" t="s">
        <v>8</v>
      </c>
      <c r="M2365" s="15" t="s">
        <v>8</v>
      </c>
      <c r="N2365" s="15" t="s">
        <v>8</v>
      </c>
      <c r="O2365" s="15" t="s">
        <v>8</v>
      </c>
      <c r="Q2365" s="15" t="s">
        <v>8</v>
      </c>
      <c r="S2365" s="15" t="s">
        <v>8</v>
      </c>
      <c r="V2365" s="15" t="s">
        <v>8</v>
      </c>
      <c r="W2365" s="8" t="s">
        <v>3</v>
      </c>
      <c r="X2365" s="15" t="s">
        <v>8</v>
      </c>
    </row>
    <row r="2366" spans="3:31" x14ac:dyDescent="0.35">
      <c r="C2366" s="15" t="s">
        <v>8</v>
      </c>
      <c r="D2366" s="15" t="s">
        <v>8</v>
      </c>
      <c r="G2366" s="15" t="s">
        <v>8</v>
      </c>
      <c r="L2366" s="15" t="s">
        <v>8</v>
      </c>
      <c r="M2366" s="15" t="s">
        <v>8</v>
      </c>
      <c r="N2366" s="15" t="s">
        <v>8</v>
      </c>
      <c r="O2366" s="15" t="s">
        <v>8</v>
      </c>
      <c r="Q2366" s="15" t="s">
        <v>8</v>
      </c>
      <c r="S2366" s="15" t="s">
        <v>8</v>
      </c>
      <c r="V2366" s="15" t="s">
        <v>8</v>
      </c>
      <c r="W2366" s="15" t="s">
        <v>8</v>
      </c>
      <c r="X2366" s="15" t="s">
        <v>8</v>
      </c>
      <c r="AA2366" s="19" t="str">
        <f>HYPERLINK("http://yeinfo.com/family/I09066999.html", "RICHARD WORSLEY &lt;4&gt; 1218 EN-1292 NO ID:09066999")</f>
        <v>RICHARD WORSLEY &lt;4&gt; 1218 EN-1292 NO ID:09066999</v>
      </c>
      <c r="AB2366" s="9"/>
      <c r="AC2366" s="9"/>
      <c r="AD2366" s="9"/>
      <c r="AE2366" s="9"/>
    </row>
    <row r="2367" spans="3:31" x14ac:dyDescent="0.35">
      <c r="C2367" s="15" t="s">
        <v>8</v>
      </c>
      <c r="D2367" s="15" t="s">
        <v>8</v>
      </c>
      <c r="G2367" s="15" t="s">
        <v>8</v>
      </c>
      <c r="L2367" s="15" t="s">
        <v>8</v>
      </c>
      <c r="M2367" s="15" t="s">
        <v>8</v>
      </c>
      <c r="N2367" s="15" t="s">
        <v>8</v>
      </c>
      <c r="O2367" s="15" t="s">
        <v>8</v>
      </c>
      <c r="Q2367" s="15" t="s">
        <v>8</v>
      </c>
      <c r="S2367" s="15" t="s">
        <v>8</v>
      </c>
      <c r="V2367" s="15" t="s">
        <v>8</v>
      </c>
      <c r="W2367" s="15" t="s">
        <v>8</v>
      </c>
      <c r="X2367" s="15" t="s">
        <v>8</v>
      </c>
      <c r="AA2367" s="8" t="s">
        <v>3</v>
      </c>
    </row>
    <row r="2368" spans="3:31" x14ac:dyDescent="0.35">
      <c r="C2368" s="15" t="s">
        <v>8</v>
      </c>
      <c r="D2368" s="15" t="s">
        <v>8</v>
      </c>
      <c r="G2368" s="15" t="s">
        <v>8</v>
      </c>
      <c r="L2368" s="15" t="s">
        <v>8</v>
      </c>
      <c r="M2368" s="15" t="s">
        <v>8</v>
      </c>
      <c r="N2368" s="15" t="s">
        <v>8</v>
      </c>
      <c r="O2368" s="15" t="s">
        <v>8</v>
      </c>
      <c r="Q2368" s="15" t="s">
        <v>8</v>
      </c>
      <c r="S2368" s="15" t="s">
        <v>8</v>
      </c>
      <c r="V2368" s="15" t="s">
        <v>8</v>
      </c>
      <c r="W2368" s="15" t="s">
        <v>8</v>
      </c>
      <c r="X2368" s="15" t="s">
        <v>8</v>
      </c>
      <c r="Z2368" s="19" t="str">
        <f>HYPERLINK("http://yeinfo.com/family/I09067001.html", "HENRY WORSLEY &lt;4&gt; 1240 EN-1303 EN ID:09067001")</f>
        <v>HENRY WORSLEY &lt;4&gt; 1240 EN-1303 EN ID:09067001</v>
      </c>
      <c r="AA2368" s="9"/>
      <c r="AB2368" s="9"/>
      <c r="AC2368" s="9"/>
      <c r="AD2368" s="9"/>
    </row>
    <row r="2369" spans="3:31" x14ac:dyDescent="0.35">
      <c r="C2369" s="15" t="s">
        <v>8</v>
      </c>
      <c r="D2369" s="15" t="s">
        <v>8</v>
      </c>
      <c r="G2369" s="15" t="s">
        <v>8</v>
      </c>
      <c r="L2369" s="15" t="s">
        <v>8</v>
      </c>
      <c r="M2369" s="15" t="s">
        <v>8</v>
      </c>
      <c r="N2369" s="15" t="s">
        <v>8</v>
      </c>
      <c r="O2369" s="15" t="s">
        <v>8</v>
      </c>
      <c r="Q2369" s="15" t="s">
        <v>8</v>
      </c>
      <c r="S2369" s="15" t="s">
        <v>8</v>
      </c>
      <c r="V2369" s="15" t="s">
        <v>8</v>
      </c>
      <c r="W2369" s="15" t="s">
        <v>8</v>
      </c>
      <c r="X2369" s="15" t="s">
        <v>8</v>
      </c>
      <c r="Z2369" s="8" t="s">
        <v>3</v>
      </c>
      <c r="AA2369" s="8" t="s">
        <v>6</v>
      </c>
    </row>
    <row r="2370" spans="3:31" x14ac:dyDescent="0.35">
      <c r="C2370" s="15" t="s">
        <v>8</v>
      </c>
      <c r="D2370" s="15" t="s">
        <v>8</v>
      </c>
      <c r="G2370" s="15" t="s">
        <v>8</v>
      </c>
      <c r="L2370" s="15" t="s">
        <v>8</v>
      </c>
      <c r="M2370" s="15" t="s">
        <v>8</v>
      </c>
      <c r="N2370" s="15" t="s">
        <v>8</v>
      </c>
      <c r="O2370" s="15" t="s">
        <v>8</v>
      </c>
      <c r="Q2370" s="15" t="s">
        <v>8</v>
      </c>
      <c r="S2370" s="15" t="s">
        <v>8</v>
      </c>
      <c r="V2370" s="15" t="s">
        <v>8</v>
      </c>
      <c r="W2370" s="15" t="s">
        <v>8</v>
      </c>
      <c r="X2370" s="15" t="s">
        <v>8</v>
      </c>
      <c r="Z2370" s="15" t="s">
        <v>8</v>
      </c>
      <c r="AA2370" s="20" t="str">
        <f>HYPERLINK("http://yeinfo.com/family/I09066998.html", "MAUD WARDLEY &lt;4&gt; 1240 EN-1277 EN ID:09066998")</f>
        <v>MAUD WARDLEY &lt;4&gt; 1240 EN-1277 EN ID:09066998</v>
      </c>
      <c r="AB2370" s="17"/>
      <c r="AC2370" s="17"/>
      <c r="AD2370" s="17"/>
      <c r="AE2370" s="17"/>
    </row>
    <row r="2371" spans="3:31" x14ac:dyDescent="0.35">
      <c r="C2371" s="15" t="s">
        <v>8</v>
      </c>
      <c r="D2371" s="15" t="s">
        <v>8</v>
      </c>
      <c r="G2371" s="15" t="s">
        <v>8</v>
      </c>
      <c r="L2371" s="15" t="s">
        <v>8</v>
      </c>
      <c r="M2371" s="15" t="s">
        <v>8</v>
      </c>
      <c r="N2371" s="15" t="s">
        <v>8</v>
      </c>
      <c r="O2371" s="15" t="s">
        <v>8</v>
      </c>
      <c r="Q2371" s="15" t="s">
        <v>8</v>
      </c>
      <c r="S2371" s="15" t="s">
        <v>8</v>
      </c>
      <c r="V2371" s="15" t="s">
        <v>8</v>
      </c>
      <c r="W2371" s="15" t="s">
        <v>8</v>
      </c>
      <c r="X2371" s="15" t="s">
        <v>8</v>
      </c>
      <c r="Z2371" s="15" t="s">
        <v>8</v>
      </c>
    </row>
    <row r="2372" spans="3:31" x14ac:dyDescent="0.35">
      <c r="C2372" s="15" t="s">
        <v>8</v>
      </c>
      <c r="D2372" s="15" t="s">
        <v>8</v>
      </c>
      <c r="G2372" s="15" t="s">
        <v>8</v>
      </c>
      <c r="L2372" s="15" t="s">
        <v>8</v>
      </c>
      <c r="M2372" s="15" t="s">
        <v>8</v>
      </c>
      <c r="N2372" s="15" t="s">
        <v>8</v>
      </c>
      <c r="O2372" s="15" t="s">
        <v>8</v>
      </c>
      <c r="Q2372" s="15" t="s">
        <v>8</v>
      </c>
      <c r="S2372" s="15" t="s">
        <v>8</v>
      </c>
      <c r="V2372" s="15" t="s">
        <v>8</v>
      </c>
      <c r="W2372" s="15" t="s">
        <v>8</v>
      </c>
      <c r="X2372" s="15" t="s">
        <v>8</v>
      </c>
      <c r="Y2372" s="19" t="str">
        <f>HYPERLINK("http://yeinfo.com/family/I09067004.html", "ROBERT WORSLEY &lt;2&gt; 1294 EN-1325 EN ID:09067004")</f>
        <v>ROBERT WORSLEY &lt;2&gt; 1294 EN-1325 EN ID:09067004</v>
      </c>
      <c r="Z2372" s="9"/>
      <c r="AA2372" s="9"/>
      <c r="AB2372" s="9"/>
      <c r="AC2372" s="9"/>
    </row>
    <row r="2373" spans="3:31" x14ac:dyDescent="0.35">
      <c r="C2373" s="15" t="s">
        <v>8</v>
      </c>
      <c r="D2373" s="15" t="s">
        <v>8</v>
      </c>
      <c r="G2373" s="15" t="s">
        <v>8</v>
      </c>
      <c r="L2373" s="15" t="s">
        <v>8</v>
      </c>
      <c r="M2373" s="15" t="s">
        <v>8</v>
      </c>
      <c r="N2373" s="15" t="s">
        <v>8</v>
      </c>
      <c r="O2373" s="15" t="s">
        <v>8</v>
      </c>
      <c r="Q2373" s="15" t="s">
        <v>8</v>
      </c>
      <c r="S2373" s="15" t="s">
        <v>8</v>
      </c>
      <c r="V2373" s="15" t="s">
        <v>8</v>
      </c>
      <c r="W2373" s="15" t="s">
        <v>8</v>
      </c>
      <c r="X2373" s="15" t="s">
        <v>8</v>
      </c>
      <c r="Y2373" s="8" t="s">
        <v>3</v>
      </c>
      <c r="Z2373" s="15" t="s">
        <v>8</v>
      </c>
    </row>
    <row r="2374" spans="3:31" x14ac:dyDescent="0.35">
      <c r="C2374" s="15" t="s">
        <v>8</v>
      </c>
      <c r="D2374" s="15" t="s">
        <v>8</v>
      </c>
      <c r="G2374" s="15" t="s">
        <v>8</v>
      </c>
      <c r="L2374" s="15" t="s">
        <v>8</v>
      </c>
      <c r="M2374" s="15" t="s">
        <v>8</v>
      </c>
      <c r="N2374" s="15" t="s">
        <v>8</v>
      </c>
      <c r="O2374" s="15" t="s">
        <v>8</v>
      </c>
      <c r="Q2374" s="15" t="s">
        <v>8</v>
      </c>
      <c r="S2374" s="15" t="s">
        <v>8</v>
      </c>
      <c r="V2374" s="15" t="s">
        <v>8</v>
      </c>
      <c r="W2374" s="15" t="s">
        <v>8</v>
      </c>
      <c r="X2374" s="15" t="s">
        <v>8</v>
      </c>
      <c r="Y2374" s="15" t="s">
        <v>8</v>
      </c>
      <c r="Z2374" s="15" t="s">
        <v>8</v>
      </c>
      <c r="AA2374" s="19" t="str">
        <f>HYPERLINK("http://yeinfo.com/family/I09066974.html", "ROBERT SHORESWORTH &lt;4&gt; 1235 EN-1300 EN ID:09066974")</f>
        <v>ROBERT SHORESWORTH &lt;4&gt; 1235 EN-1300 EN ID:09066974</v>
      </c>
      <c r="AB2374" s="9"/>
      <c r="AC2374" s="9"/>
      <c r="AD2374" s="9"/>
      <c r="AE2374" s="9"/>
    </row>
    <row r="2375" spans="3:31" x14ac:dyDescent="0.35">
      <c r="C2375" s="15" t="s">
        <v>8</v>
      </c>
      <c r="D2375" s="15" t="s">
        <v>8</v>
      </c>
      <c r="G2375" s="15" t="s">
        <v>8</v>
      </c>
      <c r="L2375" s="15" t="s">
        <v>8</v>
      </c>
      <c r="M2375" s="15" t="s">
        <v>8</v>
      </c>
      <c r="N2375" s="15" t="s">
        <v>8</v>
      </c>
      <c r="O2375" s="15" t="s">
        <v>8</v>
      </c>
      <c r="Q2375" s="15" t="s">
        <v>8</v>
      </c>
      <c r="S2375" s="15" t="s">
        <v>8</v>
      </c>
      <c r="V2375" s="15" t="s">
        <v>8</v>
      </c>
      <c r="W2375" s="15" t="s">
        <v>8</v>
      </c>
      <c r="X2375" s="15" t="s">
        <v>8</v>
      </c>
      <c r="Y2375" s="15" t="s">
        <v>8</v>
      </c>
      <c r="Z2375" s="8" t="s">
        <v>6</v>
      </c>
      <c r="AA2375" s="8" t="s">
        <v>3</v>
      </c>
    </row>
    <row r="2376" spans="3:31" x14ac:dyDescent="0.35">
      <c r="C2376" s="15" t="s">
        <v>8</v>
      </c>
      <c r="D2376" s="15" t="s">
        <v>8</v>
      </c>
      <c r="G2376" s="15" t="s">
        <v>8</v>
      </c>
      <c r="L2376" s="15" t="s">
        <v>8</v>
      </c>
      <c r="M2376" s="15" t="s">
        <v>8</v>
      </c>
      <c r="N2376" s="15" t="s">
        <v>8</v>
      </c>
      <c r="O2376" s="15" t="s">
        <v>8</v>
      </c>
      <c r="Q2376" s="15" t="s">
        <v>8</v>
      </c>
      <c r="S2376" s="15" t="s">
        <v>8</v>
      </c>
      <c r="V2376" s="15" t="s">
        <v>8</v>
      </c>
      <c r="W2376" s="15" t="s">
        <v>8</v>
      </c>
      <c r="X2376" s="15" t="s">
        <v>8</v>
      </c>
      <c r="Y2376" s="15" t="s">
        <v>8</v>
      </c>
      <c r="Z2376" s="20" t="str">
        <f>HYPERLINK("http://yeinfo.com/family/I09066975.html", "MARGARET SHORESWORTH &lt;4&gt; 1265 EN-1343 EN ID:09066975")</f>
        <v>MARGARET SHORESWORTH &lt;4&gt; 1265 EN-1343 EN ID:09066975</v>
      </c>
      <c r="AA2376" s="17"/>
      <c r="AB2376" s="17"/>
      <c r="AC2376" s="17"/>
      <c r="AD2376" s="17"/>
    </row>
    <row r="2377" spans="3:31" x14ac:dyDescent="0.35">
      <c r="C2377" s="15" t="s">
        <v>8</v>
      </c>
      <c r="D2377" s="15" t="s">
        <v>8</v>
      </c>
      <c r="G2377" s="15" t="s">
        <v>8</v>
      </c>
      <c r="L2377" s="15" t="s">
        <v>8</v>
      </c>
      <c r="M2377" s="15" t="s">
        <v>8</v>
      </c>
      <c r="N2377" s="15" t="s">
        <v>8</v>
      </c>
      <c r="O2377" s="15" t="s">
        <v>8</v>
      </c>
      <c r="Q2377" s="15" t="s">
        <v>8</v>
      </c>
      <c r="S2377" s="15" t="s">
        <v>8</v>
      </c>
      <c r="V2377" s="15" t="s">
        <v>8</v>
      </c>
      <c r="W2377" s="15" t="s">
        <v>8</v>
      </c>
      <c r="X2377" s="15" t="s">
        <v>8</v>
      </c>
      <c r="Y2377" s="15" t="s">
        <v>8</v>
      </c>
      <c r="AA2377" s="8" t="s">
        <v>6</v>
      </c>
    </row>
    <row r="2378" spans="3:31" x14ac:dyDescent="0.35">
      <c r="C2378" s="15" t="s">
        <v>8</v>
      </c>
      <c r="D2378" s="15" t="s">
        <v>8</v>
      </c>
      <c r="G2378" s="15" t="s">
        <v>8</v>
      </c>
      <c r="L2378" s="15" t="s">
        <v>8</v>
      </c>
      <c r="M2378" s="15" t="s">
        <v>8</v>
      </c>
      <c r="N2378" s="15" t="s">
        <v>8</v>
      </c>
      <c r="O2378" s="15" t="s">
        <v>8</v>
      </c>
      <c r="Q2378" s="15" t="s">
        <v>8</v>
      </c>
      <c r="S2378" s="15" t="s">
        <v>8</v>
      </c>
      <c r="V2378" s="15" t="s">
        <v>8</v>
      </c>
      <c r="W2378" s="15" t="s">
        <v>8</v>
      </c>
      <c r="X2378" s="15" t="s">
        <v>8</v>
      </c>
      <c r="Y2378" s="15" t="s">
        <v>8</v>
      </c>
      <c r="AA2378" s="20" t="str">
        <f>HYPERLINK("http://yeinfo.com/family/I09066900.html", "CECILY DENTON &lt;4&gt; 1242 EN-1299 EN ID:09066900")</f>
        <v>CECILY DENTON &lt;4&gt; 1242 EN-1299 EN ID:09066900</v>
      </c>
      <c r="AB2378" s="17"/>
      <c r="AC2378" s="17"/>
      <c r="AD2378" s="17"/>
      <c r="AE2378" s="17"/>
    </row>
    <row r="2379" spans="3:31" x14ac:dyDescent="0.35">
      <c r="C2379" s="15" t="s">
        <v>8</v>
      </c>
      <c r="D2379" s="15" t="s">
        <v>8</v>
      </c>
      <c r="G2379" s="15" t="s">
        <v>8</v>
      </c>
      <c r="L2379" s="15" t="s">
        <v>8</v>
      </c>
      <c r="M2379" s="15" t="s">
        <v>8</v>
      </c>
      <c r="N2379" s="15" t="s">
        <v>8</v>
      </c>
      <c r="O2379" s="15" t="s">
        <v>8</v>
      </c>
      <c r="Q2379" s="15" t="s">
        <v>8</v>
      </c>
      <c r="S2379" s="15" t="s">
        <v>8</v>
      </c>
      <c r="V2379" s="15" t="s">
        <v>8</v>
      </c>
      <c r="W2379" s="15" t="s">
        <v>8</v>
      </c>
      <c r="X2379" s="8" t="s">
        <v>6</v>
      </c>
      <c r="Y2379" s="15" t="s">
        <v>8</v>
      </c>
    </row>
    <row r="2380" spans="3:31" x14ac:dyDescent="0.35">
      <c r="C2380" s="15" t="s">
        <v>8</v>
      </c>
      <c r="D2380" s="15" t="s">
        <v>8</v>
      </c>
      <c r="G2380" s="15" t="s">
        <v>8</v>
      </c>
      <c r="L2380" s="15" t="s">
        <v>8</v>
      </c>
      <c r="M2380" s="15" t="s">
        <v>8</v>
      </c>
      <c r="N2380" s="15" t="s">
        <v>8</v>
      </c>
      <c r="O2380" s="15" t="s">
        <v>8</v>
      </c>
      <c r="Q2380" s="15" t="s">
        <v>8</v>
      </c>
      <c r="S2380" s="15" t="s">
        <v>8</v>
      </c>
      <c r="V2380" s="15" t="s">
        <v>8</v>
      </c>
      <c r="W2380" s="15" t="s">
        <v>8</v>
      </c>
      <c r="X2380" s="20" t="str">
        <f>HYPERLINK("http://yeinfo.com/family/I09067007.html", "ELENA WORSLEY &lt;2&gt; 1325 EN-1360 EN ID:09067007")</f>
        <v>ELENA WORSLEY &lt;2&gt; 1325 EN-1360 EN ID:09067007</v>
      </c>
      <c r="Y2380" s="17"/>
      <c r="Z2380" s="17"/>
      <c r="AA2380" s="17"/>
      <c r="AB2380" s="17"/>
    </row>
    <row r="2381" spans="3:31" x14ac:dyDescent="0.35">
      <c r="C2381" s="15" t="s">
        <v>8</v>
      </c>
      <c r="D2381" s="15" t="s">
        <v>8</v>
      </c>
      <c r="G2381" s="15" t="s">
        <v>8</v>
      </c>
      <c r="L2381" s="15" t="s">
        <v>8</v>
      </c>
      <c r="M2381" s="15" t="s">
        <v>8</v>
      </c>
      <c r="N2381" s="15" t="s">
        <v>8</v>
      </c>
      <c r="O2381" s="15" t="s">
        <v>8</v>
      </c>
      <c r="Q2381" s="15" t="s">
        <v>8</v>
      </c>
      <c r="S2381" s="15" t="s">
        <v>8</v>
      </c>
      <c r="V2381" s="15" t="s">
        <v>8</v>
      </c>
      <c r="W2381" s="15" t="s">
        <v>8</v>
      </c>
      <c r="Y2381" s="15" t="s">
        <v>8</v>
      </c>
    </row>
    <row r="2382" spans="3:31" x14ac:dyDescent="0.35">
      <c r="C2382" s="15" t="s">
        <v>8</v>
      </c>
      <c r="D2382" s="15" t="s">
        <v>8</v>
      </c>
      <c r="G2382" s="15" t="s">
        <v>8</v>
      </c>
      <c r="L2382" s="15" t="s">
        <v>8</v>
      </c>
      <c r="M2382" s="15" t="s">
        <v>8</v>
      </c>
      <c r="N2382" s="15" t="s">
        <v>8</v>
      </c>
      <c r="O2382" s="15" t="s">
        <v>8</v>
      </c>
      <c r="Q2382" s="15" t="s">
        <v>8</v>
      </c>
      <c r="S2382" s="15" t="s">
        <v>8</v>
      </c>
      <c r="V2382" s="15" t="s">
        <v>8</v>
      </c>
      <c r="W2382" s="15" t="s">
        <v>8</v>
      </c>
      <c r="Y2382" s="15" t="s">
        <v>8</v>
      </c>
      <c r="AA2382" s="19" t="str">
        <f>HYPERLINK("http://yeinfo.com/family/I09066879.html", "RANULPH BROMLEY II &lt;2&gt; 1270 EN-1330 EN ID:09066879")</f>
        <v>RANULPH BROMLEY II &lt;2&gt; 1270 EN-1330 EN ID:09066879</v>
      </c>
      <c r="AB2382" s="9"/>
      <c r="AC2382" s="9"/>
      <c r="AD2382" s="9"/>
      <c r="AE2382" s="9"/>
    </row>
    <row r="2383" spans="3:31" x14ac:dyDescent="0.35">
      <c r="C2383" s="15" t="s">
        <v>8</v>
      </c>
      <c r="D2383" s="15" t="s">
        <v>8</v>
      </c>
      <c r="G2383" s="15" t="s">
        <v>8</v>
      </c>
      <c r="L2383" s="15" t="s">
        <v>8</v>
      </c>
      <c r="M2383" s="15" t="s">
        <v>8</v>
      </c>
      <c r="N2383" s="15" t="s">
        <v>8</v>
      </c>
      <c r="O2383" s="15" t="s">
        <v>8</v>
      </c>
      <c r="Q2383" s="15" t="s">
        <v>8</v>
      </c>
      <c r="S2383" s="15" t="s">
        <v>8</v>
      </c>
      <c r="V2383" s="15" t="s">
        <v>8</v>
      </c>
      <c r="W2383" s="15" t="s">
        <v>8</v>
      </c>
      <c r="Y2383" s="15" t="s">
        <v>8</v>
      </c>
      <c r="AA2383" s="8" t="s">
        <v>3</v>
      </c>
    </row>
    <row r="2384" spans="3:31" x14ac:dyDescent="0.35">
      <c r="C2384" s="15" t="s">
        <v>8</v>
      </c>
      <c r="D2384" s="15" t="s">
        <v>8</v>
      </c>
      <c r="G2384" s="15" t="s">
        <v>8</v>
      </c>
      <c r="L2384" s="15" t="s">
        <v>8</v>
      </c>
      <c r="M2384" s="15" t="s">
        <v>8</v>
      </c>
      <c r="N2384" s="15" t="s">
        <v>8</v>
      </c>
      <c r="O2384" s="15" t="s">
        <v>8</v>
      </c>
      <c r="Q2384" s="15" t="s">
        <v>8</v>
      </c>
      <c r="S2384" s="15" t="s">
        <v>8</v>
      </c>
      <c r="V2384" s="15" t="s">
        <v>8</v>
      </c>
      <c r="W2384" s="15" t="s">
        <v>8</v>
      </c>
      <c r="Y2384" s="15" t="s">
        <v>8</v>
      </c>
      <c r="Z2384" s="19" t="str">
        <f>HYPERLINK("http://yeinfo.com/family/I09066880.html", "JOHN BROMLEY &lt;2&gt; 1292 EN-1359 EN ID:09066880")</f>
        <v>JOHN BROMLEY &lt;2&gt; 1292 EN-1359 EN ID:09066880</v>
      </c>
      <c r="AA2384" s="9"/>
      <c r="AB2384" s="9"/>
      <c r="AC2384" s="9"/>
      <c r="AD2384" s="9"/>
    </row>
    <row r="2385" spans="3:31" x14ac:dyDescent="0.35">
      <c r="C2385" s="15" t="s">
        <v>8</v>
      </c>
      <c r="D2385" s="15" t="s">
        <v>8</v>
      </c>
      <c r="G2385" s="15" t="s">
        <v>8</v>
      </c>
      <c r="L2385" s="15" t="s">
        <v>8</v>
      </c>
      <c r="M2385" s="15" t="s">
        <v>8</v>
      </c>
      <c r="N2385" s="15" t="s">
        <v>8</v>
      </c>
      <c r="O2385" s="15" t="s">
        <v>8</v>
      </c>
      <c r="Q2385" s="15" t="s">
        <v>8</v>
      </c>
      <c r="S2385" s="15" t="s">
        <v>8</v>
      </c>
      <c r="V2385" s="15" t="s">
        <v>8</v>
      </c>
      <c r="W2385" s="15" t="s">
        <v>8</v>
      </c>
      <c r="Y2385" s="15" t="s">
        <v>8</v>
      </c>
      <c r="Z2385" s="8" t="s">
        <v>3</v>
      </c>
      <c r="AA2385" s="8" t="s">
        <v>6</v>
      </c>
    </row>
    <row r="2386" spans="3:31" x14ac:dyDescent="0.35">
      <c r="C2386" s="15" t="s">
        <v>8</v>
      </c>
      <c r="D2386" s="15" t="s">
        <v>8</v>
      </c>
      <c r="G2386" s="15" t="s">
        <v>8</v>
      </c>
      <c r="L2386" s="15" t="s">
        <v>8</v>
      </c>
      <c r="M2386" s="15" t="s">
        <v>8</v>
      </c>
      <c r="N2386" s="15" t="s">
        <v>8</v>
      </c>
      <c r="O2386" s="15" t="s">
        <v>8</v>
      </c>
      <c r="Q2386" s="15" t="s">
        <v>8</v>
      </c>
      <c r="S2386" s="15" t="s">
        <v>8</v>
      </c>
      <c r="V2386" s="15" t="s">
        <v>8</v>
      </c>
      <c r="W2386" s="15" t="s">
        <v>8</v>
      </c>
      <c r="Y2386" s="15" t="s">
        <v>8</v>
      </c>
      <c r="Z2386" s="15" t="s">
        <v>8</v>
      </c>
      <c r="AA2386" s="20" t="str">
        <f>HYPERLINK("http://yeinfo.com/family/I09066901.html", "AGNES DIMSDALE &lt;2&gt; 1277 EN-1330 EN ID:09066901")</f>
        <v>AGNES DIMSDALE &lt;2&gt; 1277 EN-1330 EN ID:09066901</v>
      </c>
      <c r="AB2386" s="17"/>
      <c r="AC2386" s="17"/>
      <c r="AD2386" s="17"/>
      <c r="AE2386" s="17"/>
    </row>
    <row r="2387" spans="3:31" x14ac:dyDescent="0.35">
      <c r="C2387" s="15" t="s">
        <v>8</v>
      </c>
      <c r="D2387" s="15" t="s">
        <v>8</v>
      </c>
      <c r="G2387" s="15" t="s">
        <v>8</v>
      </c>
      <c r="L2387" s="15" t="s">
        <v>8</v>
      </c>
      <c r="M2387" s="15" t="s">
        <v>8</v>
      </c>
      <c r="N2387" s="15" t="s">
        <v>8</v>
      </c>
      <c r="O2387" s="15" t="s">
        <v>8</v>
      </c>
      <c r="Q2387" s="15" t="s">
        <v>8</v>
      </c>
      <c r="S2387" s="15" t="s">
        <v>8</v>
      </c>
      <c r="V2387" s="15" t="s">
        <v>8</v>
      </c>
      <c r="W2387" s="15" t="s">
        <v>8</v>
      </c>
      <c r="Y2387" s="8" t="s">
        <v>6</v>
      </c>
      <c r="Z2387" s="15" t="s">
        <v>8</v>
      </c>
    </row>
    <row r="2388" spans="3:31" x14ac:dyDescent="0.35">
      <c r="C2388" s="15" t="s">
        <v>8</v>
      </c>
      <c r="D2388" s="15" t="s">
        <v>8</v>
      </c>
      <c r="G2388" s="15" t="s">
        <v>8</v>
      </c>
      <c r="L2388" s="15" t="s">
        <v>8</v>
      </c>
      <c r="M2388" s="15" t="s">
        <v>8</v>
      </c>
      <c r="N2388" s="15" t="s">
        <v>8</v>
      </c>
      <c r="O2388" s="15" t="s">
        <v>8</v>
      </c>
      <c r="Q2388" s="15" t="s">
        <v>8</v>
      </c>
      <c r="S2388" s="15" t="s">
        <v>8</v>
      </c>
      <c r="V2388" s="15" t="s">
        <v>8</v>
      </c>
      <c r="W2388" s="15" t="s">
        <v>8</v>
      </c>
      <c r="Y2388" s="20" t="str">
        <f>HYPERLINK("http://yeinfo.com/family/I09066881.html", "CECILY BROMLEY &lt;2&gt; 1300 EN-1346 EN ID:09066881")</f>
        <v>CECILY BROMLEY &lt;2&gt; 1300 EN-1346 EN ID:09066881</v>
      </c>
      <c r="Z2388" s="17"/>
      <c r="AA2388" s="17"/>
      <c r="AB2388" s="17"/>
      <c r="AC2388" s="17"/>
    </row>
    <row r="2389" spans="3:31" x14ac:dyDescent="0.35">
      <c r="C2389" s="15" t="s">
        <v>8</v>
      </c>
      <c r="D2389" s="15" t="s">
        <v>8</v>
      </c>
      <c r="G2389" s="15" t="s">
        <v>8</v>
      </c>
      <c r="L2389" s="15" t="s">
        <v>8</v>
      </c>
      <c r="M2389" s="15" t="s">
        <v>8</v>
      </c>
      <c r="N2389" s="15" t="s">
        <v>8</v>
      </c>
      <c r="O2389" s="15" t="s">
        <v>8</v>
      </c>
      <c r="Q2389" s="15" t="s">
        <v>8</v>
      </c>
      <c r="S2389" s="15" t="s">
        <v>8</v>
      </c>
      <c r="V2389" s="15" t="s">
        <v>8</v>
      </c>
      <c r="W2389" s="15" t="s">
        <v>8</v>
      </c>
      <c r="Z2389" s="15" t="s">
        <v>8</v>
      </c>
    </row>
    <row r="2390" spans="3:31" x14ac:dyDescent="0.35">
      <c r="C2390" s="15" t="s">
        <v>8</v>
      </c>
      <c r="D2390" s="15" t="s">
        <v>8</v>
      </c>
      <c r="G2390" s="15" t="s">
        <v>8</v>
      </c>
      <c r="L2390" s="15" t="s">
        <v>8</v>
      </c>
      <c r="M2390" s="15" t="s">
        <v>8</v>
      </c>
      <c r="N2390" s="15" t="s">
        <v>8</v>
      </c>
      <c r="O2390" s="15" t="s">
        <v>8</v>
      </c>
      <c r="Q2390" s="15" t="s">
        <v>8</v>
      </c>
      <c r="S2390" s="15" t="s">
        <v>8</v>
      </c>
      <c r="V2390" s="15" t="s">
        <v>8</v>
      </c>
      <c r="W2390" s="15" t="s">
        <v>8</v>
      </c>
      <c r="Z2390" s="15" t="s">
        <v>8</v>
      </c>
      <c r="AA2390" s="19" t="str">
        <f>HYPERLINK("http://yeinfo.com/family/I09066865.html", "GEOFFREY BADDINGTON &lt;2&gt; 1270 EN-1295 EN ID:09066865")</f>
        <v>GEOFFREY BADDINGTON &lt;2&gt; 1270 EN-1295 EN ID:09066865</v>
      </c>
      <c r="AB2390" s="9"/>
      <c r="AC2390" s="9"/>
      <c r="AD2390" s="9"/>
      <c r="AE2390" s="9"/>
    </row>
    <row r="2391" spans="3:31" x14ac:dyDescent="0.35">
      <c r="C2391" s="15" t="s">
        <v>8</v>
      </c>
      <c r="D2391" s="15" t="s">
        <v>8</v>
      </c>
      <c r="G2391" s="15" t="s">
        <v>8</v>
      </c>
      <c r="L2391" s="15" t="s">
        <v>8</v>
      </c>
      <c r="M2391" s="15" t="s">
        <v>8</v>
      </c>
      <c r="N2391" s="15" t="s">
        <v>8</v>
      </c>
      <c r="O2391" s="15" t="s">
        <v>8</v>
      </c>
      <c r="Q2391" s="15" t="s">
        <v>8</v>
      </c>
      <c r="S2391" s="15" t="s">
        <v>8</v>
      </c>
      <c r="V2391" s="15" t="s">
        <v>8</v>
      </c>
      <c r="W2391" s="15" t="s">
        <v>8</v>
      </c>
      <c r="Z2391" s="8" t="s">
        <v>6</v>
      </c>
      <c r="AA2391" s="8" t="s">
        <v>3</v>
      </c>
    </row>
    <row r="2392" spans="3:31" x14ac:dyDescent="0.35">
      <c r="C2392" s="15" t="s">
        <v>8</v>
      </c>
      <c r="D2392" s="15" t="s">
        <v>8</v>
      </c>
      <c r="G2392" s="15" t="s">
        <v>8</v>
      </c>
      <c r="L2392" s="15" t="s">
        <v>8</v>
      </c>
      <c r="M2392" s="15" t="s">
        <v>8</v>
      </c>
      <c r="N2392" s="15" t="s">
        <v>8</v>
      </c>
      <c r="O2392" s="15" t="s">
        <v>8</v>
      </c>
      <c r="Q2392" s="15" t="s">
        <v>8</v>
      </c>
      <c r="S2392" s="15" t="s">
        <v>8</v>
      </c>
      <c r="V2392" s="15" t="s">
        <v>8</v>
      </c>
      <c r="W2392" s="15" t="s">
        <v>8</v>
      </c>
      <c r="Z2392" s="20" t="str">
        <f>HYPERLINK("http://yeinfo.com/family/I09066866.html", "JOAN BADDINGTON &lt;2&gt; 1287 EN-1320 EN ID:09066866")</f>
        <v>JOAN BADDINGTON &lt;2&gt; 1287 EN-1320 EN ID:09066866</v>
      </c>
      <c r="AA2392" s="17"/>
      <c r="AB2392" s="17"/>
      <c r="AC2392" s="17"/>
      <c r="AD2392" s="17"/>
    </row>
    <row r="2393" spans="3:31" x14ac:dyDescent="0.35">
      <c r="C2393" s="15" t="s">
        <v>8</v>
      </c>
      <c r="D2393" s="15" t="s">
        <v>8</v>
      </c>
      <c r="G2393" s="15" t="s">
        <v>8</v>
      </c>
      <c r="L2393" s="15" t="s">
        <v>8</v>
      </c>
      <c r="M2393" s="15" t="s">
        <v>8</v>
      </c>
      <c r="N2393" s="15" t="s">
        <v>8</v>
      </c>
      <c r="O2393" s="15" t="s">
        <v>8</v>
      </c>
      <c r="Q2393" s="15" t="s">
        <v>8</v>
      </c>
      <c r="S2393" s="15" t="s">
        <v>8</v>
      </c>
      <c r="V2393" s="15" t="s">
        <v>8</v>
      </c>
      <c r="W2393" s="15" t="s">
        <v>8</v>
      </c>
      <c r="AA2393" s="8" t="s">
        <v>6</v>
      </c>
    </row>
    <row r="2394" spans="3:31" x14ac:dyDescent="0.35">
      <c r="C2394" s="15" t="s">
        <v>8</v>
      </c>
      <c r="D2394" s="15" t="s">
        <v>8</v>
      </c>
      <c r="G2394" s="15" t="s">
        <v>8</v>
      </c>
      <c r="L2394" s="15" t="s">
        <v>8</v>
      </c>
      <c r="M2394" s="15" t="s">
        <v>8</v>
      </c>
      <c r="N2394" s="15" t="s">
        <v>8</v>
      </c>
      <c r="O2394" s="15" t="s">
        <v>8</v>
      </c>
      <c r="Q2394" s="15" t="s">
        <v>8</v>
      </c>
      <c r="S2394" s="15" t="s">
        <v>8</v>
      </c>
      <c r="V2394" s="15" t="s">
        <v>8</v>
      </c>
      <c r="W2394" s="15" t="s">
        <v>8</v>
      </c>
      <c r="AA2394" s="20" t="str">
        <f>HYPERLINK("http://yeinfo.com/family/I09066864.html", "Mrs. {_?_} BADDINGTON &lt;2&gt; 1270 EN-1295 EN ID:09066864")</f>
        <v>Mrs. {_?_} BADDINGTON &lt;2&gt; 1270 EN-1295 EN ID:09066864</v>
      </c>
      <c r="AB2394" s="17"/>
      <c r="AC2394" s="17"/>
      <c r="AD2394" s="17"/>
      <c r="AE2394" s="17"/>
    </row>
    <row r="2395" spans="3:31" x14ac:dyDescent="0.35">
      <c r="C2395" s="15" t="s">
        <v>8</v>
      </c>
      <c r="D2395" s="15" t="s">
        <v>8</v>
      </c>
      <c r="G2395" s="15" t="s">
        <v>8</v>
      </c>
      <c r="L2395" s="15" t="s">
        <v>8</v>
      </c>
      <c r="M2395" s="15" t="s">
        <v>8</v>
      </c>
      <c r="N2395" s="15" t="s">
        <v>8</v>
      </c>
      <c r="O2395" s="15" t="s">
        <v>8</v>
      </c>
      <c r="Q2395" s="15" t="s">
        <v>8</v>
      </c>
      <c r="S2395" s="15" t="s">
        <v>8</v>
      </c>
      <c r="V2395" s="8" t="s">
        <v>6</v>
      </c>
      <c r="W2395" s="15" t="s">
        <v>8</v>
      </c>
    </row>
    <row r="2396" spans="3:31" x14ac:dyDescent="0.35">
      <c r="C2396" s="15" t="s">
        <v>8</v>
      </c>
      <c r="D2396" s="15" t="s">
        <v>8</v>
      </c>
      <c r="G2396" s="15" t="s">
        <v>8</v>
      </c>
      <c r="L2396" s="15" t="s">
        <v>8</v>
      </c>
      <c r="M2396" s="15" t="s">
        <v>8</v>
      </c>
      <c r="N2396" s="15" t="s">
        <v>8</v>
      </c>
      <c r="O2396" s="15" t="s">
        <v>8</v>
      </c>
      <c r="Q2396" s="15" t="s">
        <v>8</v>
      </c>
      <c r="S2396" s="15" t="s">
        <v>8</v>
      </c>
      <c r="V2396" s="20" t="str">
        <f>HYPERLINK("http://yeinfo.com/family/I09066875.html", "MARGERY BOOTH &lt;2&gt; 1386 EN-1461 EN ID:09066875")</f>
        <v>MARGERY BOOTH &lt;2&gt; 1386 EN-1461 EN ID:09066875</v>
      </c>
      <c r="W2396" s="17"/>
      <c r="X2396" s="17"/>
      <c r="Y2396" s="17"/>
      <c r="Z2396" s="17"/>
    </row>
    <row r="2397" spans="3:31" x14ac:dyDescent="0.35">
      <c r="C2397" s="15" t="s">
        <v>8</v>
      </c>
      <c r="D2397" s="15" t="s">
        <v>8</v>
      </c>
      <c r="G2397" s="15" t="s">
        <v>8</v>
      </c>
      <c r="L2397" s="15" t="s">
        <v>8</v>
      </c>
      <c r="M2397" s="15" t="s">
        <v>8</v>
      </c>
      <c r="N2397" s="15" t="s">
        <v>8</v>
      </c>
      <c r="O2397" s="15" t="s">
        <v>8</v>
      </c>
      <c r="Q2397" s="15" t="s">
        <v>8</v>
      </c>
      <c r="S2397" s="15" t="s">
        <v>8</v>
      </c>
      <c r="W2397" s="15" t="s">
        <v>8</v>
      </c>
    </row>
    <row r="2398" spans="3:31" x14ac:dyDescent="0.35">
      <c r="C2398" s="15" t="s">
        <v>8</v>
      </c>
      <c r="D2398" s="15" t="s">
        <v>8</v>
      </c>
      <c r="G2398" s="15" t="s">
        <v>8</v>
      </c>
      <c r="L2398" s="15" t="s">
        <v>8</v>
      </c>
      <c r="M2398" s="15" t="s">
        <v>8</v>
      </c>
      <c r="N2398" s="15" t="s">
        <v>8</v>
      </c>
      <c r="O2398" s="15" t="s">
        <v>8</v>
      </c>
      <c r="Q2398" s="15" t="s">
        <v>8</v>
      </c>
      <c r="S2398" s="15" t="s">
        <v>8</v>
      </c>
      <c r="W2398" s="15" t="s">
        <v>8</v>
      </c>
      <c r="AA2398" s="19" t="str">
        <f>HYPERLINK("http://yeinfo.com/family/I09066981.html", "HENRY TRAFFORD &lt;9&gt; 1225 EN-1264 EN ID:09066981")</f>
        <v>HENRY TRAFFORD &lt;9&gt; 1225 EN-1264 EN ID:09066981</v>
      </c>
      <c r="AB2398" s="9"/>
      <c r="AC2398" s="9"/>
      <c r="AD2398" s="9"/>
      <c r="AE2398" s="9"/>
    </row>
    <row r="2399" spans="3:31" x14ac:dyDescent="0.35">
      <c r="C2399" s="15" t="s">
        <v>8</v>
      </c>
      <c r="D2399" s="15" t="s">
        <v>8</v>
      </c>
      <c r="G2399" s="15" t="s">
        <v>8</v>
      </c>
      <c r="L2399" s="15" t="s">
        <v>8</v>
      </c>
      <c r="M2399" s="15" t="s">
        <v>8</v>
      </c>
      <c r="N2399" s="15" t="s">
        <v>8</v>
      </c>
      <c r="O2399" s="15" t="s">
        <v>8</v>
      </c>
      <c r="Q2399" s="15" t="s">
        <v>8</v>
      </c>
      <c r="S2399" s="15" t="s">
        <v>8</v>
      </c>
      <c r="W2399" s="15" t="s">
        <v>8</v>
      </c>
      <c r="AA2399" s="8" t="s">
        <v>3</v>
      </c>
    </row>
    <row r="2400" spans="3:31" x14ac:dyDescent="0.35">
      <c r="C2400" s="15" t="s">
        <v>8</v>
      </c>
      <c r="D2400" s="15" t="s">
        <v>8</v>
      </c>
      <c r="G2400" s="15" t="s">
        <v>8</v>
      </c>
      <c r="L2400" s="15" t="s">
        <v>8</v>
      </c>
      <c r="M2400" s="15" t="s">
        <v>8</v>
      </c>
      <c r="N2400" s="15" t="s">
        <v>8</v>
      </c>
      <c r="O2400" s="15" t="s">
        <v>8</v>
      </c>
      <c r="Q2400" s="15" t="s">
        <v>8</v>
      </c>
      <c r="S2400" s="15" t="s">
        <v>8</v>
      </c>
      <c r="W2400" s="15" t="s">
        <v>8</v>
      </c>
      <c r="Z2400" s="19" t="str">
        <f>HYPERLINK("http://yeinfo.com/family/I09066434.html", "JOHN TRAFFORD &lt;9&gt; 1264 EN-1340 EN ID:09066434")</f>
        <v>JOHN TRAFFORD &lt;9&gt; 1264 EN-1340 EN ID:09066434</v>
      </c>
      <c r="AA2400" s="9"/>
      <c r="AB2400" s="9"/>
      <c r="AC2400" s="9"/>
      <c r="AD2400" s="9"/>
    </row>
    <row r="2401" spans="3:31" x14ac:dyDescent="0.35">
      <c r="C2401" s="15" t="s">
        <v>8</v>
      </c>
      <c r="D2401" s="15" t="s">
        <v>8</v>
      </c>
      <c r="G2401" s="15" t="s">
        <v>8</v>
      </c>
      <c r="L2401" s="15" t="s">
        <v>8</v>
      </c>
      <c r="M2401" s="15" t="s">
        <v>8</v>
      </c>
      <c r="N2401" s="15" t="s">
        <v>8</v>
      </c>
      <c r="O2401" s="15" t="s">
        <v>8</v>
      </c>
      <c r="Q2401" s="15" t="s">
        <v>8</v>
      </c>
      <c r="S2401" s="15" t="s">
        <v>8</v>
      </c>
      <c r="W2401" s="15" t="s">
        <v>8</v>
      </c>
      <c r="Z2401" s="8" t="s">
        <v>3</v>
      </c>
      <c r="AA2401" s="8" t="s">
        <v>6</v>
      </c>
    </row>
    <row r="2402" spans="3:31" x14ac:dyDescent="0.35">
      <c r="C2402" s="15" t="s">
        <v>8</v>
      </c>
      <c r="D2402" s="15" t="s">
        <v>8</v>
      </c>
      <c r="G2402" s="15" t="s">
        <v>8</v>
      </c>
      <c r="L2402" s="15" t="s">
        <v>8</v>
      </c>
      <c r="M2402" s="15" t="s">
        <v>8</v>
      </c>
      <c r="N2402" s="15" t="s">
        <v>8</v>
      </c>
      <c r="O2402" s="15" t="s">
        <v>8</v>
      </c>
      <c r="Q2402" s="15" t="s">
        <v>8</v>
      </c>
      <c r="S2402" s="15" t="s">
        <v>8</v>
      </c>
      <c r="W2402" s="15" t="s">
        <v>8</v>
      </c>
      <c r="Z2402" s="15" t="s">
        <v>8</v>
      </c>
      <c r="AA2402" s="20" t="str">
        <f>HYPERLINK("http://yeinfo.com/family/I09066980.html", "Mrs. MARGARET TRAFFORD &lt;9&gt; 1236 EN-1334 EN ID:09066980")</f>
        <v>Mrs. MARGARET TRAFFORD &lt;9&gt; 1236 EN-1334 EN ID:09066980</v>
      </c>
      <c r="AB2402" s="17"/>
      <c r="AC2402" s="17"/>
      <c r="AD2402" s="17"/>
      <c r="AE2402" s="17"/>
    </row>
    <row r="2403" spans="3:31" x14ac:dyDescent="0.35">
      <c r="C2403" s="15" t="s">
        <v>8</v>
      </c>
      <c r="D2403" s="15" t="s">
        <v>8</v>
      </c>
      <c r="G2403" s="15" t="s">
        <v>8</v>
      </c>
      <c r="L2403" s="15" t="s">
        <v>8</v>
      </c>
      <c r="M2403" s="15" t="s">
        <v>8</v>
      </c>
      <c r="N2403" s="15" t="s">
        <v>8</v>
      </c>
      <c r="O2403" s="15" t="s">
        <v>8</v>
      </c>
      <c r="Q2403" s="15" t="s">
        <v>8</v>
      </c>
      <c r="S2403" s="15" t="s">
        <v>8</v>
      </c>
      <c r="W2403" s="15" t="s">
        <v>8</v>
      </c>
      <c r="Z2403" s="15" t="s">
        <v>8</v>
      </c>
    </row>
    <row r="2404" spans="3:31" x14ac:dyDescent="0.35">
      <c r="C2404" s="15" t="s">
        <v>8</v>
      </c>
      <c r="D2404" s="15" t="s">
        <v>8</v>
      </c>
      <c r="G2404" s="15" t="s">
        <v>8</v>
      </c>
      <c r="L2404" s="15" t="s">
        <v>8</v>
      </c>
      <c r="M2404" s="15" t="s">
        <v>8</v>
      </c>
      <c r="N2404" s="15" t="s">
        <v>8</v>
      </c>
      <c r="O2404" s="15" t="s">
        <v>8</v>
      </c>
      <c r="Q2404" s="15" t="s">
        <v>8</v>
      </c>
      <c r="S2404" s="15" t="s">
        <v>8</v>
      </c>
      <c r="W2404" s="15" t="s">
        <v>8</v>
      </c>
      <c r="Y2404" s="19" t="str">
        <f>HYPERLINK("http://yeinfo.com/family/I09066317.html", "HENRY TRAFFORD &lt;9&gt; 1292 EN-1370 EN ID:09066317")</f>
        <v>HENRY TRAFFORD &lt;9&gt; 1292 EN-1370 EN ID:09066317</v>
      </c>
      <c r="Z2404" s="9"/>
      <c r="AA2404" s="9"/>
      <c r="AB2404" s="9"/>
      <c r="AC2404" s="9"/>
    </row>
    <row r="2405" spans="3:31" x14ac:dyDescent="0.35">
      <c r="C2405" s="15" t="s">
        <v>8</v>
      </c>
      <c r="D2405" s="15" t="s">
        <v>8</v>
      </c>
      <c r="G2405" s="15" t="s">
        <v>8</v>
      </c>
      <c r="L2405" s="15" t="s">
        <v>8</v>
      </c>
      <c r="M2405" s="15" t="s">
        <v>8</v>
      </c>
      <c r="N2405" s="15" t="s">
        <v>8</v>
      </c>
      <c r="O2405" s="15" t="s">
        <v>8</v>
      </c>
      <c r="Q2405" s="15" t="s">
        <v>8</v>
      </c>
      <c r="S2405" s="15" t="s">
        <v>8</v>
      </c>
      <c r="W2405" s="15" t="s">
        <v>8</v>
      </c>
      <c r="Y2405" s="8" t="s">
        <v>3</v>
      </c>
      <c r="Z2405" s="8" t="s">
        <v>6</v>
      </c>
    </row>
    <row r="2406" spans="3:31" x14ac:dyDescent="0.35">
      <c r="C2406" s="15" t="s">
        <v>8</v>
      </c>
      <c r="D2406" s="15" t="s">
        <v>8</v>
      </c>
      <c r="G2406" s="15" t="s">
        <v>8</v>
      </c>
      <c r="L2406" s="15" t="s">
        <v>8</v>
      </c>
      <c r="M2406" s="15" t="s">
        <v>8</v>
      </c>
      <c r="N2406" s="15" t="s">
        <v>8</v>
      </c>
      <c r="O2406" s="15" t="s">
        <v>8</v>
      </c>
      <c r="Q2406" s="15" t="s">
        <v>8</v>
      </c>
      <c r="S2406" s="15" t="s">
        <v>8</v>
      </c>
      <c r="W2406" s="15" t="s">
        <v>8</v>
      </c>
      <c r="Y2406" s="15" t="s">
        <v>8</v>
      </c>
      <c r="Z2406" s="20" t="str">
        <f>HYPERLINK("http://yeinfo.com/family/I09066433.html", "ELIZABETH ASHTON &lt;9&gt; 1268 EN-1340 EN ID:09066433")</f>
        <v>ELIZABETH ASHTON &lt;9&gt; 1268 EN-1340 EN ID:09066433</v>
      </c>
      <c r="AA2406" s="17"/>
      <c r="AB2406" s="17"/>
      <c r="AC2406" s="17"/>
      <c r="AD2406" s="17"/>
    </row>
    <row r="2407" spans="3:31" x14ac:dyDescent="0.35">
      <c r="C2407" s="15" t="s">
        <v>8</v>
      </c>
      <c r="D2407" s="15" t="s">
        <v>8</v>
      </c>
      <c r="G2407" s="15" t="s">
        <v>8</v>
      </c>
      <c r="L2407" s="15" t="s">
        <v>8</v>
      </c>
      <c r="M2407" s="15" t="s">
        <v>8</v>
      </c>
      <c r="N2407" s="15" t="s">
        <v>8</v>
      </c>
      <c r="O2407" s="15" t="s">
        <v>8</v>
      </c>
      <c r="Q2407" s="15" t="s">
        <v>8</v>
      </c>
      <c r="S2407" s="15" t="s">
        <v>8</v>
      </c>
      <c r="W2407" s="15" t="s">
        <v>8</v>
      </c>
      <c r="Y2407" s="15" t="s">
        <v>8</v>
      </c>
    </row>
    <row r="2408" spans="3:31" x14ac:dyDescent="0.35">
      <c r="C2408" s="15" t="s">
        <v>8</v>
      </c>
      <c r="D2408" s="15" t="s">
        <v>8</v>
      </c>
      <c r="G2408" s="15" t="s">
        <v>8</v>
      </c>
      <c r="L2408" s="15" t="s">
        <v>8</v>
      </c>
      <c r="M2408" s="15" t="s">
        <v>8</v>
      </c>
      <c r="N2408" s="15" t="s">
        <v>8</v>
      </c>
      <c r="O2408" s="15" t="s">
        <v>8</v>
      </c>
      <c r="Q2408" s="15" t="s">
        <v>8</v>
      </c>
      <c r="S2408" s="15" t="s">
        <v>8</v>
      </c>
      <c r="W2408" s="15" t="s">
        <v>8</v>
      </c>
      <c r="X2408" s="19" t="str">
        <f>HYPERLINK("http://yeinfo.com/family/I09066982.html", "HENRY TRAFFORD &lt;6&gt; 1335 EN-1386 EN ID:09066982")</f>
        <v>HENRY TRAFFORD &lt;6&gt; 1335 EN-1386 EN ID:09066982</v>
      </c>
      <c r="Y2408" s="9"/>
      <c r="Z2408" s="9"/>
      <c r="AA2408" s="9"/>
      <c r="AB2408" s="9"/>
    </row>
    <row r="2409" spans="3:31" x14ac:dyDescent="0.35">
      <c r="C2409" s="15" t="s">
        <v>8</v>
      </c>
      <c r="D2409" s="15" t="s">
        <v>8</v>
      </c>
      <c r="G2409" s="15" t="s">
        <v>8</v>
      </c>
      <c r="L2409" s="15" t="s">
        <v>8</v>
      </c>
      <c r="M2409" s="15" t="s">
        <v>8</v>
      </c>
      <c r="N2409" s="15" t="s">
        <v>8</v>
      </c>
      <c r="O2409" s="15" t="s">
        <v>8</v>
      </c>
      <c r="Q2409" s="15" t="s">
        <v>8</v>
      </c>
      <c r="S2409" s="15" t="s">
        <v>8</v>
      </c>
      <c r="W2409" s="15" t="s">
        <v>8</v>
      </c>
      <c r="X2409" s="8" t="s">
        <v>3</v>
      </c>
      <c r="Y2409" s="15" t="s">
        <v>8</v>
      </c>
    </row>
    <row r="2410" spans="3:31" x14ac:dyDescent="0.35">
      <c r="C2410" s="15" t="s">
        <v>8</v>
      </c>
      <c r="D2410" s="15" t="s">
        <v>8</v>
      </c>
      <c r="G2410" s="15" t="s">
        <v>8</v>
      </c>
      <c r="L2410" s="15" t="s">
        <v>8</v>
      </c>
      <c r="M2410" s="15" t="s">
        <v>8</v>
      </c>
      <c r="N2410" s="15" t="s">
        <v>8</v>
      </c>
      <c r="O2410" s="15" t="s">
        <v>8</v>
      </c>
      <c r="Q2410" s="15" t="s">
        <v>8</v>
      </c>
      <c r="S2410" s="15" t="s">
        <v>8</v>
      </c>
      <c r="W2410" s="15" t="s">
        <v>8</v>
      </c>
      <c r="X2410" s="15" t="s">
        <v>8</v>
      </c>
      <c r="Y2410" s="15" t="s">
        <v>8</v>
      </c>
      <c r="Z2410" s="19" t="str">
        <f>HYPERLINK("http://yeinfo.com/family/I09066492.html", "RICHARD DOTERINDE &lt;9&gt; 1280 EN-1345 EN ID:09066492")</f>
        <v>RICHARD DOTERINDE &lt;9&gt; 1280 EN-1345 EN ID:09066492</v>
      </c>
      <c r="AA2410" s="9"/>
      <c r="AB2410" s="9"/>
      <c r="AC2410" s="9"/>
      <c r="AD2410" s="9"/>
    </row>
    <row r="2411" spans="3:31" x14ac:dyDescent="0.35">
      <c r="C2411" s="15" t="s">
        <v>8</v>
      </c>
      <c r="D2411" s="15" t="s">
        <v>8</v>
      </c>
      <c r="G2411" s="15" t="s">
        <v>8</v>
      </c>
      <c r="L2411" s="15" t="s">
        <v>8</v>
      </c>
      <c r="M2411" s="15" t="s">
        <v>8</v>
      </c>
      <c r="N2411" s="15" t="s">
        <v>8</v>
      </c>
      <c r="O2411" s="15" t="s">
        <v>8</v>
      </c>
      <c r="Q2411" s="15" t="s">
        <v>8</v>
      </c>
      <c r="S2411" s="15" t="s">
        <v>8</v>
      </c>
      <c r="W2411" s="15" t="s">
        <v>8</v>
      </c>
      <c r="X2411" s="15" t="s">
        <v>8</v>
      </c>
      <c r="Y2411" s="8" t="s">
        <v>6</v>
      </c>
      <c r="Z2411" s="8" t="s">
        <v>3</v>
      </c>
    </row>
    <row r="2412" spans="3:31" x14ac:dyDescent="0.35">
      <c r="C2412" s="15" t="s">
        <v>8</v>
      </c>
      <c r="D2412" s="15" t="s">
        <v>8</v>
      </c>
      <c r="G2412" s="15" t="s">
        <v>8</v>
      </c>
      <c r="L2412" s="15" t="s">
        <v>8</v>
      </c>
      <c r="M2412" s="15" t="s">
        <v>8</v>
      </c>
      <c r="N2412" s="15" t="s">
        <v>8</v>
      </c>
      <c r="O2412" s="15" t="s">
        <v>8</v>
      </c>
      <c r="Q2412" s="15" t="s">
        <v>8</v>
      </c>
      <c r="S2412" s="15" t="s">
        <v>8</v>
      </c>
      <c r="W2412" s="15" t="s">
        <v>8</v>
      </c>
      <c r="X2412" s="15" t="s">
        <v>8</v>
      </c>
      <c r="Y2412" s="20" t="str">
        <f>HYPERLINK("http://yeinfo.com/family/I09066318.html", "AGNES DOTERINDE &lt;9&gt; 1302 EN-1360 EN ID:09066318")</f>
        <v>AGNES DOTERINDE &lt;9&gt; 1302 EN-1360 EN ID:09066318</v>
      </c>
      <c r="Z2412" s="17"/>
      <c r="AA2412" s="17"/>
      <c r="AB2412" s="17"/>
      <c r="AC2412" s="17"/>
    </row>
    <row r="2413" spans="3:31" x14ac:dyDescent="0.35">
      <c r="C2413" s="15" t="s">
        <v>8</v>
      </c>
      <c r="D2413" s="15" t="s">
        <v>8</v>
      </c>
      <c r="G2413" s="15" t="s">
        <v>8</v>
      </c>
      <c r="L2413" s="15" t="s">
        <v>8</v>
      </c>
      <c r="M2413" s="15" t="s">
        <v>8</v>
      </c>
      <c r="N2413" s="15" t="s">
        <v>8</v>
      </c>
      <c r="O2413" s="15" t="s">
        <v>8</v>
      </c>
      <c r="Q2413" s="15" t="s">
        <v>8</v>
      </c>
      <c r="S2413" s="15" t="s">
        <v>8</v>
      </c>
      <c r="W2413" s="15" t="s">
        <v>8</v>
      </c>
      <c r="X2413" s="15" t="s">
        <v>8</v>
      </c>
      <c r="Z2413" s="8" t="s">
        <v>6</v>
      </c>
    </row>
    <row r="2414" spans="3:31" x14ac:dyDescent="0.35">
      <c r="C2414" s="15" t="s">
        <v>8</v>
      </c>
      <c r="D2414" s="15" t="s">
        <v>8</v>
      </c>
      <c r="G2414" s="15" t="s">
        <v>8</v>
      </c>
      <c r="L2414" s="15" t="s">
        <v>8</v>
      </c>
      <c r="M2414" s="15" t="s">
        <v>8</v>
      </c>
      <c r="N2414" s="15" t="s">
        <v>8</v>
      </c>
      <c r="O2414" s="15" t="s">
        <v>8</v>
      </c>
      <c r="Q2414" s="15" t="s">
        <v>8</v>
      </c>
      <c r="S2414" s="15" t="s">
        <v>8</v>
      </c>
      <c r="W2414" s="15" t="s">
        <v>8</v>
      </c>
      <c r="X2414" s="15" t="s">
        <v>8</v>
      </c>
      <c r="Z2414" s="20" t="str">
        <f>HYPERLINK("http://yeinfo.com/family/I09066493.html", "Mrs. {_?_} DOTERINDE &lt;9&gt; 1280 EN-1302 EN ID:09066493")</f>
        <v>Mrs. {_?_} DOTERINDE &lt;9&gt; 1280 EN-1302 EN ID:09066493</v>
      </c>
      <c r="AA2414" s="17"/>
      <c r="AB2414" s="17"/>
      <c r="AC2414" s="17"/>
      <c r="AD2414" s="17"/>
    </row>
    <row r="2415" spans="3:31" x14ac:dyDescent="0.35">
      <c r="C2415" s="15" t="s">
        <v>8</v>
      </c>
      <c r="D2415" s="15" t="s">
        <v>8</v>
      </c>
      <c r="G2415" s="15" t="s">
        <v>8</v>
      </c>
      <c r="L2415" s="15" t="s">
        <v>8</v>
      </c>
      <c r="M2415" s="15" t="s">
        <v>8</v>
      </c>
      <c r="N2415" s="15" t="s">
        <v>8</v>
      </c>
      <c r="O2415" s="15" t="s">
        <v>8</v>
      </c>
      <c r="Q2415" s="15" t="s">
        <v>8</v>
      </c>
      <c r="S2415" s="15" t="s">
        <v>8</v>
      </c>
      <c r="W2415" s="8" t="s">
        <v>6</v>
      </c>
      <c r="X2415" s="15" t="s">
        <v>8</v>
      </c>
    </row>
    <row r="2416" spans="3:31" x14ac:dyDescent="0.35">
      <c r="C2416" s="15" t="s">
        <v>8</v>
      </c>
      <c r="D2416" s="15" t="s">
        <v>8</v>
      </c>
      <c r="G2416" s="15" t="s">
        <v>8</v>
      </c>
      <c r="L2416" s="15" t="s">
        <v>8</v>
      </c>
      <c r="M2416" s="15" t="s">
        <v>8</v>
      </c>
      <c r="N2416" s="15" t="s">
        <v>8</v>
      </c>
      <c r="O2416" s="15" t="s">
        <v>8</v>
      </c>
      <c r="Q2416" s="15" t="s">
        <v>8</v>
      </c>
      <c r="S2416" s="15" t="s">
        <v>8</v>
      </c>
      <c r="W2416" s="20" t="str">
        <f>HYPERLINK("http://yeinfo.com/family/I09066983.html", "JOANNA TRAFFORD &lt;2&gt; 1358 EN-1405 EN ID:09066983")</f>
        <v>JOANNA TRAFFORD &lt;2&gt; 1358 EN-1405 EN ID:09066983</v>
      </c>
      <c r="X2416" s="17"/>
      <c r="Y2416" s="17"/>
      <c r="Z2416" s="17"/>
      <c r="AA2416" s="17"/>
    </row>
    <row r="2417" spans="3:34" x14ac:dyDescent="0.35">
      <c r="C2417" s="15" t="s">
        <v>8</v>
      </c>
      <c r="D2417" s="15" t="s">
        <v>8</v>
      </c>
      <c r="G2417" s="15" t="s">
        <v>8</v>
      </c>
      <c r="L2417" s="15" t="s">
        <v>8</v>
      </c>
      <c r="M2417" s="15" t="s">
        <v>8</v>
      </c>
      <c r="N2417" s="15" t="s">
        <v>8</v>
      </c>
      <c r="O2417" s="15" t="s">
        <v>8</v>
      </c>
      <c r="Q2417" s="15" t="s">
        <v>8</v>
      </c>
      <c r="S2417" s="15" t="s">
        <v>8</v>
      </c>
      <c r="X2417" s="15" t="s">
        <v>8</v>
      </c>
    </row>
    <row r="2418" spans="3:34" x14ac:dyDescent="0.35">
      <c r="C2418" s="15" t="s">
        <v>8</v>
      </c>
      <c r="D2418" s="15" t="s">
        <v>8</v>
      </c>
      <c r="G2418" s="15" t="s">
        <v>8</v>
      </c>
      <c r="L2418" s="15" t="s">
        <v>8</v>
      </c>
      <c r="M2418" s="15" t="s">
        <v>8</v>
      </c>
      <c r="N2418" s="15" t="s">
        <v>8</v>
      </c>
      <c r="O2418" s="15" t="s">
        <v>8</v>
      </c>
      <c r="Q2418" s="15" t="s">
        <v>8</v>
      </c>
      <c r="S2418" s="15" t="s">
        <v>8</v>
      </c>
      <c r="X2418" s="15" t="s">
        <v>8</v>
      </c>
      <c r="AA2418" s="19" t="str">
        <f>HYPERLINK("http://yeinfo.com/family/I09066930.html", "ALFREDUS INCE I &lt;6&gt; 1265 EN-1290 EN ID:09066930")</f>
        <v>ALFREDUS INCE I &lt;6&gt; 1265 EN-1290 EN ID:09066930</v>
      </c>
      <c r="AB2418" s="9"/>
      <c r="AC2418" s="9"/>
      <c r="AD2418" s="9"/>
      <c r="AE2418" s="9"/>
    </row>
    <row r="2419" spans="3:34" x14ac:dyDescent="0.35">
      <c r="C2419" s="15" t="s">
        <v>8</v>
      </c>
      <c r="D2419" s="15" t="s">
        <v>8</v>
      </c>
      <c r="G2419" s="15" t="s">
        <v>8</v>
      </c>
      <c r="L2419" s="15" t="s">
        <v>8</v>
      </c>
      <c r="M2419" s="15" t="s">
        <v>8</v>
      </c>
      <c r="N2419" s="15" t="s">
        <v>8</v>
      </c>
      <c r="O2419" s="15" t="s">
        <v>8</v>
      </c>
      <c r="Q2419" s="15" t="s">
        <v>8</v>
      </c>
      <c r="S2419" s="15" t="s">
        <v>8</v>
      </c>
      <c r="X2419" s="15" t="s">
        <v>8</v>
      </c>
      <c r="AA2419" s="8" t="s">
        <v>3</v>
      </c>
    </row>
    <row r="2420" spans="3:34" x14ac:dyDescent="0.35">
      <c r="C2420" s="15" t="s">
        <v>8</v>
      </c>
      <c r="D2420" s="15" t="s">
        <v>8</v>
      </c>
      <c r="G2420" s="15" t="s">
        <v>8</v>
      </c>
      <c r="L2420" s="15" t="s">
        <v>8</v>
      </c>
      <c r="M2420" s="15" t="s">
        <v>8</v>
      </c>
      <c r="N2420" s="15" t="s">
        <v>8</v>
      </c>
      <c r="O2420" s="15" t="s">
        <v>8</v>
      </c>
      <c r="Q2420" s="15" t="s">
        <v>8</v>
      </c>
      <c r="S2420" s="15" t="s">
        <v>8</v>
      </c>
      <c r="X2420" s="15" t="s">
        <v>8</v>
      </c>
      <c r="Z2420" s="19" t="str">
        <f>HYPERLINK("http://yeinfo.com/family/I09066931.html", "RICHARD INCE I &lt;6&gt; 1290 EN-1333 EN ID:09066931")</f>
        <v>RICHARD INCE I &lt;6&gt; 1290 EN-1333 EN ID:09066931</v>
      </c>
      <c r="AA2420" s="9"/>
      <c r="AB2420" s="9"/>
      <c r="AC2420" s="9"/>
      <c r="AD2420" s="9"/>
    </row>
    <row r="2421" spans="3:34" x14ac:dyDescent="0.35">
      <c r="C2421" s="15" t="s">
        <v>8</v>
      </c>
      <c r="D2421" s="15" t="s">
        <v>8</v>
      </c>
      <c r="G2421" s="15" t="s">
        <v>8</v>
      </c>
      <c r="L2421" s="15" t="s">
        <v>8</v>
      </c>
      <c r="M2421" s="15" t="s">
        <v>8</v>
      </c>
      <c r="N2421" s="15" t="s">
        <v>8</v>
      </c>
      <c r="O2421" s="15" t="s">
        <v>8</v>
      </c>
      <c r="Q2421" s="15" t="s">
        <v>8</v>
      </c>
      <c r="S2421" s="15" t="s">
        <v>8</v>
      </c>
      <c r="X2421" s="15" t="s">
        <v>8</v>
      </c>
      <c r="Z2421" s="8" t="s">
        <v>3</v>
      </c>
      <c r="AA2421" s="8" t="s">
        <v>6</v>
      </c>
    </row>
    <row r="2422" spans="3:34" x14ac:dyDescent="0.35">
      <c r="C2422" s="15" t="s">
        <v>8</v>
      </c>
      <c r="D2422" s="15" t="s">
        <v>8</v>
      </c>
      <c r="G2422" s="15" t="s">
        <v>8</v>
      </c>
      <c r="L2422" s="15" t="s">
        <v>8</v>
      </c>
      <c r="M2422" s="15" t="s">
        <v>8</v>
      </c>
      <c r="N2422" s="15" t="s">
        <v>8</v>
      </c>
      <c r="O2422" s="15" t="s">
        <v>8</v>
      </c>
      <c r="Q2422" s="15" t="s">
        <v>8</v>
      </c>
      <c r="S2422" s="15" t="s">
        <v>8</v>
      </c>
      <c r="X2422" s="15" t="s">
        <v>8</v>
      </c>
      <c r="Z2422" s="15" t="s">
        <v>8</v>
      </c>
      <c r="AA2422" s="20" t="str">
        <f>HYPERLINK("http://yeinfo.com/family/I09066976.html", "ALICE\ALESIA STANDISH &lt;6&gt; 1262 EN-1290 EN ID:09066976")</f>
        <v>ALICE\ALESIA STANDISH &lt;6&gt; 1262 EN-1290 EN ID:09066976</v>
      </c>
      <c r="AB2422" s="17"/>
      <c r="AC2422" s="17"/>
      <c r="AD2422" s="17"/>
      <c r="AE2422" s="17"/>
      <c r="AF2422" s="17"/>
    </row>
    <row r="2423" spans="3:34" x14ac:dyDescent="0.35">
      <c r="C2423" s="15" t="s">
        <v>8</v>
      </c>
      <c r="D2423" s="15" t="s">
        <v>8</v>
      </c>
      <c r="G2423" s="15" t="s">
        <v>8</v>
      </c>
      <c r="L2423" s="15" t="s">
        <v>8</v>
      </c>
      <c r="M2423" s="15" t="s">
        <v>8</v>
      </c>
      <c r="N2423" s="15" t="s">
        <v>8</v>
      </c>
      <c r="O2423" s="15" t="s">
        <v>8</v>
      </c>
      <c r="Q2423" s="15" t="s">
        <v>8</v>
      </c>
      <c r="S2423" s="15" t="s">
        <v>8</v>
      </c>
      <c r="X2423" s="15" t="s">
        <v>8</v>
      </c>
      <c r="Z2423" s="15" t="s">
        <v>8</v>
      </c>
    </row>
    <row r="2424" spans="3:34" x14ac:dyDescent="0.35">
      <c r="C2424" s="15" t="s">
        <v>8</v>
      </c>
      <c r="D2424" s="15" t="s">
        <v>8</v>
      </c>
      <c r="G2424" s="15" t="s">
        <v>8</v>
      </c>
      <c r="L2424" s="15" t="s">
        <v>8</v>
      </c>
      <c r="M2424" s="15" t="s">
        <v>8</v>
      </c>
      <c r="N2424" s="15" t="s">
        <v>8</v>
      </c>
      <c r="O2424" s="15" t="s">
        <v>8</v>
      </c>
      <c r="Q2424" s="15" t="s">
        <v>8</v>
      </c>
      <c r="S2424" s="15" t="s">
        <v>8</v>
      </c>
      <c r="X2424" s="15" t="s">
        <v>8</v>
      </c>
      <c r="Y2424" s="19" t="str">
        <f>HYPERLINK("http://yeinfo.com/family/I09066933.html", "ROBERT INCE &lt;6&gt; 1304 EN-1335 EN ID:09066933")</f>
        <v>ROBERT INCE &lt;6&gt; 1304 EN-1335 EN ID:09066933</v>
      </c>
      <c r="Z2424" s="9"/>
      <c r="AA2424" s="9"/>
      <c r="AB2424" s="9"/>
      <c r="AC2424" s="9"/>
    </row>
    <row r="2425" spans="3:34" x14ac:dyDescent="0.35">
      <c r="C2425" s="15" t="s">
        <v>8</v>
      </c>
      <c r="D2425" s="15" t="s">
        <v>8</v>
      </c>
      <c r="G2425" s="15" t="s">
        <v>8</v>
      </c>
      <c r="L2425" s="15" t="s">
        <v>8</v>
      </c>
      <c r="M2425" s="15" t="s">
        <v>8</v>
      </c>
      <c r="N2425" s="15" t="s">
        <v>8</v>
      </c>
      <c r="O2425" s="15" t="s">
        <v>8</v>
      </c>
      <c r="Q2425" s="15" t="s">
        <v>8</v>
      </c>
      <c r="S2425" s="15" t="s">
        <v>8</v>
      </c>
      <c r="X2425" s="15" t="s">
        <v>8</v>
      </c>
      <c r="Y2425" s="8" t="s">
        <v>3</v>
      </c>
      <c r="Z2425" s="15" t="s">
        <v>8</v>
      </c>
    </row>
    <row r="2426" spans="3:34" x14ac:dyDescent="0.35">
      <c r="C2426" s="15" t="s">
        <v>8</v>
      </c>
      <c r="D2426" s="15" t="s">
        <v>8</v>
      </c>
      <c r="G2426" s="15" t="s">
        <v>8</v>
      </c>
      <c r="L2426" s="15" t="s">
        <v>8</v>
      </c>
      <c r="M2426" s="15" t="s">
        <v>8</v>
      </c>
      <c r="N2426" s="15" t="s">
        <v>8</v>
      </c>
      <c r="O2426" s="15" t="s">
        <v>8</v>
      </c>
      <c r="Q2426" s="15" t="s">
        <v>8</v>
      </c>
      <c r="S2426" s="15" t="s">
        <v>8</v>
      </c>
      <c r="X2426" s="15" t="s">
        <v>8</v>
      </c>
      <c r="Y2426" s="15" t="s">
        <v>8</v>
      </c>
      <c r="Z2426" s="15" t="s">
        <v>8</v>
      </c>
      <c r="AC2426" s="19" t="str">
        <f>HYPERLINK("http://yeinfo.com/family/I09066959.html", "ROBERT RADCLIFFE &lt;A&gt; 1208 EN-1239 EN ID:09066959")</f>
        <v>ROBERT RADCLIFFE &lt;A&gt; 1208 EN-1239 EN ID:09066959</v>
      </c>
      <c r="AD2426" s="9"/>
      <c r="AE2426" s="9"/>
      <c r="AF2426" s="9"/>
      <c r="AG2426" s="9"/>
    </row>
    <row r="2427" spans="3:34" x14ac:dyDescent="0.35">
      <c r="C2427" s="15" t="s">
        <v>8</v>
      </c>
      <c r="D2427" s="15" t="s">
        <v>8</v>
      </c>
      <c r="G2427" s="15" t="s">
        <v>8</v>
      </c>
      <c r="L2427" s="15" t="s">
        <v>8</v>
      </c>
      <c r="M2427" s="15" t="s">
        <v>8</v>
      </c>
      <c r="N2427" s="15" t="s">
        <v>8</v>
      </c>
      <c r="O2427" s="15" t="s">
        <v>8</v>
      </c>
      <c r="Q2427" s="15" t="s">
        <v>8</v>
      </c>
      <c r="S2427" s="15" t="s">
        <v>8</v>
      </c>
      <c r="X2427" s="15" t="s">
        <v>8</v>
      </c>
      <c r="Y2427" s="15" t="s">
        <v>8</v>
      </c>
      <c r="Z2427" s="15" t="s">
        <v>8</v>
      </c>
      <c r="AC2427" s="8" t="s">
        <v>3</v>
      </c>
    </row>
    <row r="2428" spans="3:34" x14ac:dyDescent="0.35">
      <c r="C2428" s="15" t="s">
        <v>8</v>
      </c>
      <c r="D2428" s="15" t="s">
        <v>8</v>
      </c>
      <c r="G2428" s="15" t="s">
        <v>8</v>
      </c>
      <c r="L2428" s="15" t="s">
        <v>8</v>
      </c>
      <c r="M2428" s="15" t="s">
        <v>8</v>
      </c>
      <c r="N2428" s="15" t="s">
        <v>8</v>
      </c>
      <c r="O2428" s="15" t="s">
        <v>8</v>
      </c>
      <c r="Q2428" s="15" t="s">
        <v>8</v>
      </c>
      <c r="S2428" s="15" t="s">
        <v>8</v>
      </c>
      <c r="X2428" s="15" t="s">
        <v>8</v>
      </c>
      <c r="Y2428" s="15" t="s">
        <v>8</v>
      </c>
      <c r="Z2428" s="15" t="s">
        <v>8</v>
      </c>
      <c r="AB2428" s="19" t="str">
        <f>HYPERLINK("http://yeinfo.com/family/I09066960.html", "RICHARD RADCLIFFE &lt;A&gt; 1224 EN-1326 EN ID:09066960")</f>
        <v>RICHARD RADCLIFFE &lt;A&gt; 1224 EN-1326 EN ID:09066960</v>
      </c>
      <c r="AC2428" s="9"/>
      <c r="AD2428" s="9"/>
      <c r="AE2428" s="9"/>
      <c r="AF2428" s="9"/>
    </row>
    <row r="2429" spans="3:34" x14ac:dyDescent="0.35">
      <c r="C2429" s="15" t="s">
        <v>8</v>
      </c>
      <c r="D2429" s="15" t="s">
        <v>8</v>
      </c>
      <c r="G2429" s="15" t="s">
        <v>8</v>
      </c>
      <c r="L2429" s="15" t="s">
        <v>8</v>
      </c>
      <c r="M2429" s="15" t="s">
        <v>8</v>
      </c>
      <c r="N2429" s="15" t="s">
        <v>8</v>
      </c>
      <c r="O2429" s="15" t="s">
        <v>8</v>
      </c>
      <c r="Q2429" s="15" t="s">
        <v>8</v>
      </c>
      <c r="S2429" s="15" t="s">
        <v>8</v>
      </c>
      <c r="X2429" s="15" t="s">
        <v>8</v>
      </c>
      <c r="Y2429" s="15" t="s">
        <v>8</v>
      </c>
      <c r="Z2429" s="15" t="s">
        <v>8</v>
      </c>
      <c r="AB2429" s="8" t="s">
        <v>3</v>
      </c>
      <c r="AC2429" s="8" t="s">
        <v>6</v>
      </c>
    </row>
    <row r="2430" spans="3:34" x14ac:dyDescent="0.35">
      <c r="C2430" s="15" t="s">
        <v>8</v>
      </c>
      <c r="D2430" s="15" t="s">
        <v>8</v>
      </c>
      <c r="G2430" s="15" t="s">
        <v>8</v>
      </c>
      <c r="L2430" s="15" t="s">
        <v>8</v>
      </c>
      <c r="M2430" s="15" t="s">
        <v>8</v>
      </c>
      <c r="N2430" s="15" t="s">
        <v>8</v>
      </c>
      <c r="O2430" s="15" t="s">
        <v>8</v>
      </c>
      <c r="Q2430" s="15" t="s">
        <v>8</v>
      </c>
      <c r="S2430" s="15" t="s">
        <v>8</v>
      </c>
      <c r="X2430" s="15" t="s">
        <v>8</v>
      </c>
      <c r="Y2430" s="15" t="s">
        <v>8</v>
      </c>
      <c r="Z2430" s="15" t="s">
        <v>8</v>
      </c>
      <c r="AB2430" s="15" t="s">
        <v>8</v>
      </c>
      <c r="AC2430" s="20" t="str">
        <f>HYPERLINK("http://yeinfo.com/family/I09066988.html", "AMBIL\AMABIL TRAFFORD &lt;A&gt; 1222 EN-1239 EN ID:09066988")</f>
        <v>AMBIL\AMABIL TRAFFORD &lt;A&gt; 1222 EN-1239 EN ID:09066988</v>
      </c>
      <c r="AD2430" s="17"/>
      <c r="AE2430" s="17"/>
      <c r="AF2430" s="17"/>
      <c r="AG2430" s="17"/>
      <c r="AH2430" s="17"/>
    </row>
    <row r="2431" spans="3:34" x14ac:dyDescent="0.35">
      <c r="C2431" s="15" t="s">
        <v>8</v>
      </c>
      <c r="D2431" s="15" t="s">
        <v>8</v>
      </c>
      <c r="G2431" s="15" t="s">
        <v>8</v>
      </c>
      <c r="L2431" s="15" t="s">
        <v>8</v>
      </c>
      <c r="M2431" s="15" t="s">
        <v>8</v>
      </c>
      <c r="N2431" s="15" t="s">
        <v>8</v>
      </c>
      <c r="O2431" s="15" t="s">
        <v>8</v>
      </c>
      <c r="Q2431" s="15" t="s">
        <v>8</v>
      </c>
      <c r="S2431" s="15" t="s">
        <v>8</v>
      </c>
      <c r="X2431" s="15" t="s">
        <v>8</v>
      </c>
      <c r="Y2431" s="15" t="s">
        <v>8</v>
      </c>
      <c r="Z2431" s="15" t="s">
        <v>8</v>
      </c>
      <c r="AB2431" s="15" t="s">
        <v>8</v>
      </c>
    </row>
    <row r="2432" spans="3:34" x14ac:dyDescent="0.35">
      <c r="C2432" s="15" t="s">
        <v>8</v>
      </c>
      <c r="D2432" s="15" t="s">
        <v>8</v>
      </c>
      <c r="G2432" s="15" t="s">
        <v>8</v>
      </c>
      <c r="L2432" s="15" t="s">
        <v>8</v>
      </c>
      <c r="M2432" s="15" t="s">
        <v>8</v>
      </c>
      <c r="N2432" s="15" t="s">
        <v>8</v>
      </c>
      <c r="O2432" s="15" t="s">
        <v>8</v>
      </c>
      <c r="Q2432" s="15" t="s">
        <v>8</v>
      </c>
      <c r="S2432" s="15" t="s">
        <v>8</v>
      </c>
      <c r="X2432" s="15" t="s">
        <v>8</v>
      </c>
      <c r="Y2432" s="15" t="s">
        <v>8</v>
      </c>
      <c r="Z2432" s="15" t="s">
        <v>8</v>
      </c>
      <c r="AA2432" s="19" t="str">
        <f>HYPERLINK("http://yeinfo.com/family/I09066961.html", "WILLIAM RADCLIFFE &lt;8&gt; 1267 EN-1333 EN ID:09066961")</f>
        <v>WILLIAM RADCLIFFE &lt;8&gt; 1267 EN-1333 EN ID:09066961</v>
      </c>
      <c r="AB2432" s="9"/>
      <c r="AC2432" s="9"/>
      <c r="AD2432" s="9"/>
      <c r="AE2432" s="9"/>
    </row>
    <row r="2433" spans="3:34" x14ac:dyDescent="0.35">
      <c r="C2433" s="15" t="s">
        <v>8</v>
      </c>
      <c r="D2433" s="15" t="s">
        <v>8</v>
      </c>
      <c r="G2433" s="15" t="s">
        <v>8</v>
      </c>
      <c r="L2433" s="15" t="s">
        <v>8</v>
      </c>
      <c r="M2433" s="15" t="s">
        <v>8</v>
      </c>
      <c r="N2433" s="15" t="s">
        <v>8</v>
      </c>
      <c r="O2433" s="15" t="s">
        <v>8</v>
      </c>
      <c r="Q2433" s="15" t="s">
        <v>8</v>
      </c>
      <c r="S2433" s="15" t="s">
        <v>8</v>
      </c>
      <c r="X2433" s="15" t="s">
        <v>8</v>
      </c>
      <c r="Y2433" s="15" t="s">
        <v>8</v>
      </c>
      <c r="Z2433" s="15" t="s">
        <v>8</v>
      </c>
      <c r="AA2433" s="8" t="s">
        <v>3</v>
      </c>
      <c r="AB2433" s="15" t="s">
        <v>8</v>
      </c>
    </row>
    <row r="2434" spans="3:34" x14ac:dyDescent="0.35">
      <c r="C2434" s="15" t="s">
        <v>8</v>
      </c>
      <c r="D2434" s="15" t="s">
        <v>8</v>
      </c>
      <c r="G2434" s="15" t="s">
        <v>8</v>
      </c>
      <c r="L2434" s="15" t="s">
        <v>8</v>
      </c>
      <c r="M2434" s="15" t="s">
        <v>8</v>
      </c>
      <c r="N2434" s="15" t="s">
        <v>8</v>
      </c>
      <c r="O2434" s="15" t="s">
        <v>8</v>
      </c>
      <c r="Q2434" s="15" t="s">
        <v>8</v>
      </c>
      <c r="S2434" s="15" t="s">
        <v>8</v>
      </c>
      <c r="X2434" s="15" t="s">
        <v>8</v>
      </c>
      <c r="Y2434" s="15" t="s">
        <v>8</v>
      </c>
      <c r="Z2434" s="15" t="s">
        <v>8</v>
      </c>
      <c r="AA2434" s="15" t="s">
        <v>8</v>
      </c>
      <c r="AB2434" s="15" t="s">
        <v>8</v>
      </c>
      <c r="AC2434" s="19" t="str">
        <f>HYPERLINK("http://yeinfo.com/family/I09066877.html", "HENRY\WILLIAM\ROBERT BOTELER &lt;A&gt; 1230 EN-1247 EN ID:09066877")</f>
        <v>HENRY\WILLIAM\ROBERT BOTELER &lt;A&gt; 1230 EN-1247 EN ID:09066877</v>
      </c>
      <c r="AD2434" s="9"/>
      <c r="AE2434" s="9"/>
      <c r="AF2434" s="9"/>
      <c r="AG2434" s="9"/>
      <c r="AH2434" s="9"/>
    </row>
    <row r="2435" spans="3:34" x14ac:dyDescent="0.35">
      <c r="C2435" s="15" t="s">
        <v>8</v>
      </c>
      <c r="D2435" s="15" t="s">
        <v>8</v>
      </c>
      <c r="G2435" s="15" t="s">
        <v>8</v>
      </c>
      <c r="L2435" s="15" t="s">
        <v>8</v>
      </c>
      <c r="M2435" s="15" t="s">
        <v>8</v>
      </c>
      <c r="N2435" s="15" t="s">
        <v>8</v>
      </c>
      <c r="O2435" s="15" t="s">
        <v>8</v>
      </c>
      <c r="Q2435" s="15" t="s">
        <v>8</v>
      </c>
      <c r="S2435" s="15" t="s">
        <v>8</v>
      </c>
      <c r="X2435" s="15" t="s">
        <v>8</v>
      </c>
      <c r="Y2435" s="15" t="s">
        <v>8</v>
      </c>
      <c r="Z2435" s="15" t="s">
        <v>8</v>
      </c>
      <c r="AA2435" s="15" t="s">
        <v>8</v>
      </c>
      <c r="AB2435" s="8" t="s">
        <v>6</v>
      </c>
      <c r="AC2435" s="8" t="s">
        <v>3</v>
      </c>
    </row>
    <row r="2436" spans="3:34" x14ac:dyDescent="0.35">
      <c r="C2436" s="15" t="s">
        <v>8</v>
      </c>
      <c r="D2436" s="15" t="s">
        <v>8</v>
      </c>
      <c r="G2436" s="15" t="s">
        <v>8</v>
      </c>
      <c r="L2436" s="15" t="s">
        <v>8</v>
      </c>
      <c r="M2436" s="15" t="s">
        <v>8</v>
      </c>
      <c r="N2436" s="15" t="s">
        <v>8</v>
      </c>
      <c r="O2436" s="15" t="s">
        <v>8</v>
      </c>
      <c r="Q2436" s="15" t="s">
        <v>8</v>
      </c>
      <c r="S2436" s="15" t="s">
        <v>8</v>
      </c>
      <c r="X2436" s="15" t="s">
        <v>8</v>
      </c>
      <c r="Y2436" s="15" t="s">
        <v>8</v>
      </c>
      <c r="Z2436" s="15" t="s">
        <v>8</v>
      </c>
      <c r="AA2436" s="15" t="s">
        <v>8</v>
      </c>
      <c r="AB2436" s="20" t="str">
        <f>HYPERLINK("http://yeinfo.com/family/I09066878.html", "JOAN\MARGARET BOTELER &lt;A&gt; 1232 EN-1267 EN ID:09066878")</f>
        <v>JOAN\MARGARET BOTELER &lt;A&gt; 1232 EN-1267 EN ID:09066878</v>
      </c>
      <c r="AC2436" s="17"/>
      <c r="AD2436" s="17"/>
      <c r="AE2436" s="17"/>
      <c r="AF2436" s="17"/>
      <c r="AG2436" s="17"/>
    </row>
    <row r="2437" spans="3:34" x14ac:dyDescent="0.35">
      <c r="C2437" s="15" t="s">
        <v>8</v>
      </c>
      <c r="D2437" s="15" t="s">
        <v>8</v>
      </c>
      <c r="G2437" s="15" t="s">
        <v>8</v>
      </c>
      <c r="L2437" s="15" t="s">
        <v>8</v>
      </c>
      <c r="M2437" s="15" t="s">
        <v>8</v>
      </c>
      <c r="N2437" s="15" t="s">
        <v>8</v>
      </c>
      <c r="O2437" s="15" t="s">
        <v>8</v>
      </c>
      <c r="Q2437" s="15" t="s">
        <v>8</v>
      </c>
      <c r="S2437" s="15" t="s">
        <v>8</v>
      </c>
      <c r="X2437" s="15" t="s">
        <v>8</v>
      </c>
      <c r="Y2437" s="15" t="s">
        <v>8</v>
      </c>
      <c r="Z2437" s="15" t="s">
        <v>8</v>
      </c>
      <c r="AA2437" s="15" t="s">
        <v>8</v>
      </c>
      <c r="AC2437" s="8" t="s">
        <v>6</v>
      </c>
    </row>
    <row r="2438" spans="3:34" x14ac:dyDescent="0.35">
      <c r="C2438" s="15" t="s">
        <v>8</v>
      </c>
      <c r="D2438" s="15" t="s">
        <v>8</v>
      </c>
      <c r="G2438" s="15" t="s">
        <v>8</v>
      </c>
      <c r="L2438" s="15" t="s">
        <v>8</v>
      </c>
      <c r="M2438" s="15" t="s">
        <v>8</v>
      </c>
      <c r="N2438" s="15" t="s">
        <v>8</v>
      </c>
      <c r="O2438" s="15" t="s">
        <v>8</v>
      </c>
      <c r="Q2438" s="15" t="s">
        <v>8</v>
      </c>
      <c r="S2438" s="15" t="s">
        <v>8</v>
      </c>
      <c r="X2438" s="15" t="s">
        <v>8</v>
      </c>
      <c r="Y2438" s="15" t="s">
        <v>8</v>
      </c>
      <c r="Z2438" s="15" t="s">
        <v>8</v>
      </c>
      <c r="AA2438" s="15" t="s">
        <v>8</v>
      </c>
      <c r="AC2438" s="20" t="str">
        <f>HYPERLINK("http://yeinfo.com/family/I09066876.html", "Mrs. ISABELLA BOTELER &lt;A&gt; 1227 EN-1247 EN ID:09066876")</f>
        <v>Mrs. ISABELLA BOTELER &lt;A&gt; 1227 EN-1247 EN ID:09066876</v>
      </c>
      <c r="AD2438" s="17"/>
      <c r="AE2438" s="17"/>
      <c r="AF2438" s="17"/>
      <c r="AG2438" s="17"/>
    </row>
    <row r="2439" spans="3:34" x14ac:dyDescent="0.35">
      <c r="C2439" s="15" t="s">
        <v>8</v>
      </c>
      <c r="D2439" s="15" t="s">
        <v>8</v>
      </c>
      <c r="G2439" s="15" t="s">
        <v>8</v>
      </c>
      <c r="L2439" s="15" t="s">
        <v>8</v>
      </c>
      <c r="M2439" s="15" t="s">
        <v>8</v>
      </c>
      <c r="N2439" s="15" t="s">
        <v>8</v>
      </c>
      <c r="O2439" s="15" t="s">
        <v>8</v>
      </c>
      <c r="Q2439" s="15" t="s">
        <v>8</v>
      </c>
      <c r="S2439" s="15" t="s">
        <v>8</v>
      </c>
      <c r="X2439" s="15" t="s">
        <v>8</v>
      </c>
      <c r="Y2439" s="15" t="s">
        <v>8</v>
      </c>
      <c r="Z2439" s="8" t="s">
        <v>6</v>
      </c>
      <c r="AA2439" s="15" t="s">
        <v>8</v>
      </c>
    </row>
    <row r="2440" spans="3:34" x14ac:dyDescent="0.35">
      <c r="C2440" s="15" t="s">
        <v>8</v>
      </c>
      <c r="D2440" s="15" t="s">
        <v>8</v>
      </c>
      <c r="G2440" s="15" t="s">
        <v>8</v>
      </c>
      <c r="L2440" s="15" t="s">
        <v>8</v>
      </c>
      <c r="M2440" s="15" t="s">
        <v>8</v>
      </c>
      <c r="N2440" s="15" t="s">
        <v>8</v>
      </c>
      <c r="O2440" s="15" t="s">
        <v>8</v>
      </c>
      <c r="Q2440" s="15" t="s">
        <v>8</v>
      </c>
      <c r="S2440" s="15" t="s">
        <v>8</v>
      </c>
      <c r="X2440" s="15" t="s">
        <v>8</v>
      </c>
      <c r="Y2440" s="15" t="s">
        <v>8</v>
      </c>
      <c r="Z2440" s="20" t="str">
        <f>HYPERLINK("http://yeinfo.com/family/I09066963.html", "ELIZABETH RADCLIFFE &lt;6&gt; 1290 EN-1310 EN ID:09066963")</f>
        <v>ELIZABETH RADCLIFFE &lt;6&gt; 1290 EN-1310 EN ID:09066963</v>
      </c>
      <c r="AA2440" s="17"/>
      <c r="AB2440" s="17"/>
      <c r="AC2440" s="17"/>
      <c r="AD2440" s="17"/>
    </row>
    <row r="2441" spans="3:34" x14ac:dyDescent="0.35">
      <c r="C2441" s="15" t="s">
        <v>8</v>
      </c>
      <c r="D2441" s="15" t="s">
        <v>8</v>
      </c>
      <c r="G2441" s="15" t="s">
        <v>8</v>
      </c>
      <c r="L2441" s="15" t="s">
        <v>8</v>
      </c>
      <c r="M2441" s="15" t="s">
        <v>8</v>
      </c>
      <c r="N2441" s="15" t="s">
        <v>8</v>
      </c>
      <c r="O2441" s="15" t="s">
        <v>8</v>
      </c>
      <c r="Q2441" s="15" t="s">
        <v>8</v>
      </c>
      <c r="S2441" s="15" t="s">
        <v>8</v>
      </c>
      <c r="X2441" s="15" t="s">
        <v>8</v>
      </c>
      <c r="Y2441" s="15" t="s">
        <v>8</v>
      </c>
      <c r="AA2441" s="15" t="s">
        <v>8</v>
      </c>
    </row>
    <row r="2442" spans="3:34" x14ac:dyDescent="0.35">
      <c r="C2442" s="15" t="s">
        <v>8</v>
      </c>
      <c r="D2442" s="15" t="s">
        <v>8</v>
      </c>
      <c r="G2442" s="15" t="s">
        <v>8</v>
      </c>
      <c r="L2442" s="15" t="s">
        <v>8</v>
      </c>
      <c r="M2442" s="15" t="s">
        <v>8</v>
      </c>
      <c r="N2442" s="15" t="s">
        <v>8</v>
      </c>
      <c r="O2442" s="15" t="s">
        <v>8</v>
      </c>
      <c r="Q2442" s="15" t="s">
        <v>8</v>
      </c>
      <c r="S2442" s="15" t="s">
        <v>8</v>
      </c>
      <c r="X2442" s="15" t="s">
        <v>8</v>
      </c>
      <c r="Y2442" s="15" t="s">
        <v>8</v>
      </c>
      <c r="AA2442" s="15" t="s">
        <v>8</v>
      </c>
      <c r="AB2442" s="19" t="str">
        <f>HYPERLINK("http://yeinfo.com/family/I09066956.html", "ADAM PEASFURLONG &lt;8&gt; 1242 EN-1274 EN ID:09066956")</f>
        <v>ADAM PEASFURLONG &lt;8&gt; 1242 EN-1274 EN ID:09066956</v>
      </c>
      <c r="AC2442" s="9"/>
      <c r="AD2442" s="9"/>
      <c r="AE2442" s="9"/>
      <c r="AF2442" s="9"/>
    </row>
    <row r="2443" spans="3:34" x14ac:dyDescent="0.35">
      <c r="C2443" s="15" t="s">
        <v>8</v>
      </c>
      <c r="D2443" s="15" t="s">
        <v>8</v>
      </c>
      <c r="G2443" s="15" t="s">
        <v>8</v>
      </c>
      <c r="L2443" s="15" t="s">
        <v>8</v>
      </c>
      <c r="M2443" s="15" t="s">
        <v>8</v>
      </c>
      <c r="N2443" s="15" t="s">
        <v>8</v>
      </c>
      <c r="O2443" s="15" t="s">
        <v>8</v>
      </c>
      <c r="Q2443" s="15" t="s">
        <v>8</v>
      </c>
      <c r="S2443" s="15" t="s">
        <v>8</v>
      </c>
      <c r="X2443" s="15" t="s">
        <v>8</v>
      </c>
      <c r="Y2443" s="15" t="s">
        <v>8</v>
      </c>
      <c r="AA2443" s="8" t="s">
        <v>6</v>
      </c>
      <c r="AB2443" s="8" t="s">
        <v>3</v>
      </c>
    </row>
    <row r="2444" spans="3:34" x14ac:dyDescent="0.35">
      <c r="C2444" s="15" t="s">
        <v>8</v>
      </c>
      <c r="D2444" s="15" t="s">
        <v>8</v>
      </c>
      <c r="G2444" s="15" t="s">
        <v>8</v>
      </c>
      <c r="L2444" s="15" t="s">
        <v>8</v>
      </c>
      <c r="M2444" s="15" t="s">
        <v>8</v>
      </c>
      <c r="N2444" s="15" t="s">
        <v>8</v>
      </c>
      <c r="O2444" s="15" t="s">
        <v>8</v>
      </c>
      <c r="Q2444" s="15" t="s">
        <v>8</v>
      </c>
      <c r="S2444" s="15" t="s">
        <v>8</v>
      </c>
      <c r="X2444" s="15" t="s">
        <v>8</v>
      </c>
      <c r="Y2444" s="15" t="s">
        <v>8</v>
      </c>
      <c r="AA2444" s="20" t="str">
        <f>HYPERLINK("http://yeinfo.com/family/I09066957.html", "MARGARET PEASFURLONG &lt;8&gt; 1244 EN-1290 EN ID:09066957")</f>
        <v>MARGARET PEASFURLONG &lt;8&gt; 1244 EN-1290 EN ID:09066957</v>
      </c>
      <c r="AB2444" s="17"/>
      <c r="AC2444" s="17"/>
      <c r="AD2444" s="17"/>
      <c r="AE2444" s="17"/>
    </row>
    <row r="2445" spans="3:34" x14ac:dyDescent="0.35">
      <c r="C2445" s="15" t="s">
        <v>8</v>
      </c>
      <c r="D2445" s="15" t="s">
        <v>8</v>
      </c>
      <c r="G2445" s="15" t="s">
        <v>8</v>
      </c>
      <c r="L2445" s="15" t="s">
        <v>8</v>
      </c>
      <c r="M2445" s="15" t="s">
        <v>8</v>
      </c>
      <c r="N2445" s="15" t="s">
        <v>8</v>
      </c>
      <c r="O2445" s="15" t="s">
        <v>8</v>
      </c>
      <c r="Q2445" s="15" t="s">
        <v>8</v>
      </c>
      <c r="S2445" s="15" t="s">
        <v>8</v>
      </c>
      <c r="X2445" s="15" t="s">
        <v>8</v>
      </c>
      <c r="Y2445" s="15" t="s">
        <v>8</v>
      </c>
      <c r="AB2445" s="15" t="s">
        <v>8</v>
      </c>
    </row>
    <row r="2446" spans="3:34" x14ac:dyDescent="0.35">
      <c r="C2446" s="15" t="s">
        <v>8</v>
      </c>
      <c r="D2446" s="15" t="s">
        <v>8</v>
      </c>
      <c r="G2446" s="15" t="s">
        <v>8</v>
      </c>
      <c r="L2446" s="15" t="s">
        <v>8</v>
      </c>
      <c r="M2446" s="15" t="s">
        <v>8</v>
      </c>
      <c r="N2446" s="15" t="s">
        <v>8</v>
      </c>
      <c r="O2446" s="15" t="s">
        <v>8</v>
      </c>
      <c r="Q2446" s="15" t="s">
        <v>8</v>
      </c>
      <c r="S2446" s="15" t="s">
        <v>8</v>
      </c>
      <c r="X2446" s="15" t="s">
        <v>8</v>
      </c>
      <c r="Y2446" s="15" t="s">
        <v>8</v>
      </c>
      <c r="AB2446" s="15" t="s">
        <v>8</v>
      </c>
      <c r="AC2446" s="19" t="str">
        <f>HYPERLINK("http://yeinfo.com/family/I09066895.html", "GILBERT CULCHETH &lt;8&gt; 1205 EN-1246 EN ID:09066895")</f>
        <v>GILBERT CULCHETH &lt;8&gt; 1205 EN-1246 EN ID:09066895</v>
      </c>
      <c r="AD2446" s="9"/>
      <c r="AE2446" s="9"/>
      <c r="AF2446" s="9"/>
      <c r="AG2446" s="9"/>
    </row>
    <row r="2447" spans="3:34" x14ac:dyDescent="0.35">
      <c r="C2447" s="15" t="s">
        <v>8</v>
      </c>
      <c r="D2447" s="15" t="s">
        <v>8</v>
      </c>
      <c r="G2447" s="15" t="s">
        <v>8</v>
      </c>
      <c r="L2447" s="15" t="s">
        <v>8</v>
      </c>
      <c r="M2447" s="15" t="s">
        <v>8</v>
      </c>
      <c r="N2447" s="15" t="s">
        <v>8</v>
      </c>
      <c r="O2447" s="15" t="s">
        <v>8</v>
      </c>
      <c r="Q2447" s="15" t="s">
        <v>8</v>
      </c>
      <c r="S2447" s="15" t="s">
        <v>8</v>
      </c>
      <c r="X2447" s="15" t="s">
        <v>8</v>
      </c>
      <c r="Y2447" s="15" t="s">
        <v>8</v>
      </c>
      <c r="AB2447" s="8" t="s">
        <v>6</v>
      </c>
      <c r="AC2447" s="8" t="s">
        <v>3</v>
      </c>
    </row>
    <row r="2448" spans="3:34" x14ac:dyDescent="0.35">
      <c r="C2448" s="15" t="s">
        <v>8</v>
      </c>
      <c r="D2448" s="15" t="s">
        <v>8</v>
      </c>
      <c r="G2448" s="15" t="s">
        <v>8</v>
      </c>
      <c r="L2448" s="15" t="s">
        <v>8</v>
      </c>
      <c r="M2448" s="15" t="s">
        <v>8</v>
      </c>
      <c r="N2448" s="15" t="s">
        <v>8</v>
      </c>
      <c r="O2448" s="15" t="s">
        <v>8</v>
      </c>
      <c r="Q2448" s="15" t="s">
        <v>8</v>
      </c>
      <c r="S2448" s="15" t="s">
        <v>8</v>
      </c>
      <c r="X2448" s="15" t="s">
        <v>8</v>
      </c>
      <c r="Y2448" s="15" t="s">
        <v>8</v>
      </c>
      <c r="AB2448" s="20" t="str">
        <f>HYPERLINK("http://yeinfo.com/family/I09066896.html", "ELIZABETH CULCHETH &lt;8&gt; 1215 EN-1274 EN ID:09066896")</f>
        <v>ELIZABETH CULCHETH &lt;8&gt; 1215 EN-1274 EN ID:09066896</v>
      </c>
      <c r="AC2448" s="17"/>
      <c r="AD2448" s="17"/>
      <c r="AE2448" s="17"/>
      <c r="AF2448" s="17"/>
    </row>
    <row r="2449" spans="3:33" x14ac:dyDescent="0.35">
      <c r="C2449" s="15" t="s">
        <v>8</v>
      </c>
      <c r="D2449" s="15" t="s">
        <v>8</v>
      </c>
      <c r="G2449" s="15" t="s">
        <v>8</v>
      </c>
      <c r="L2449" s="15" t="s">
        <v>8</v>
      </c>
      <c r="M2449" s="15" t="s">
        <v>8</v>
      </c>
      <c r="N2449" s="15" t="s">
        <v>8</v>
      </c>
      <c r="O2449" s="15" t="s">
        <v>8</v>
      </c>
      <c r="Q2449" s="15" t="s">
        <v>8</v>
      </c>
      <c r="S2449" s="15" t="s">
        <v>8</v>
      </c>
      <c r="X2449" s="15" t="s">
        <v>8</v>
      </c>
      <c r="Y2449" s="15" t="s">
        <v>8</v>
      </c>
      <c r="AC2449" s="8" t="s">
        <v>6</v>
      </c>
    </row>
    <row r="2450" spans="3:33" x14ac:dyDescent="0.35">
      <c r="C2450" s="15" t="s">
        <v>8</v>
      </c>
      <c r="D2450" s="15" t="s">
        <v>8</v>
      </c>
      <c r="G2450" s="15" t="s">
        <v>8</v>
      </c>
      <c r="L2450" s="15" t="s">
        <v>8</v>
      </c>
      <c r="M2450" s="15" t="s">
        <v>8</v>
      </c>
      <c r="N2450" s="15" t="s">
        <v>8</v>
      </c>
      <c r="O2450" s="15" t="s">
        <v>8</v>
      </c>
      <c r="Q2450" s="15" t="s">
        <v>8</v>
      </c>
      <c r="S2450" s="15" t="s">
        <v>8</v>
      </c>
      <c r="X2450" s="15" t="s">
        <v>8</v>
      </c>
      <c r="Y2450" s="15" t="s">
        <v>8</v>
      </c>
      <c r="AC2450" s="20" t="str">
        <f>HYPERLINK("http://yeinfo.com/family/I09066935.html", "CECILIA LATHOM &lt;8&gt; 1222 EN-1245 EN ID:09066935")</f>
        <v>CECILIA LATHOM &lt;8&gt; 1222 EN-1245 EN ID:09066935</v>
      </c>
      <c r="AD2450" s="17"/>
      <c r="AE2450" s="17"/>
      <c r="AF2450" s="17"/>
      <c r="AG2450" s="17"/>
    </row>
    <row r="2451" spans="3:33" x14ac:dyDescent="0.35">
      <c r="C2451" s="15" t="s">
        <v>8</v>
      </c>
      <c r="D2451" s="15" t="s">
        <v>8</v>
      </c>
      <c r="G2451" s="15" t="s">
        <v>8</v>
      </c>
      <c r="L2451" s="15" t="s">
        <v>8</v>
      </c>
      <c r="M2451" s="15" t="s">
        <v>8</v>
      </c>
      <c r="N2451" s="15" t="s">
        <v>8</v>
      </c>
      <c r="O2451" s="15" t="s">
        <v>8</v>
      </c>
      <c r="Q2451" s="15" t="s">
        <v>8</v>
      </c>
      <c r="S2451" s="15" t="s">
        <v>8</v>
      </c>
      <c r="X2451" s="8" t="s">
        <v>6</v>
      </c>
      <c r="Y2451" s="15" t="s">
        <v>8</v>
      </c>
    </row>
    <row r="2452" spans="3:33" x14ac:dyDescent="0.35">
      <c r="C2452" s="15" t="s">
        <v>8</v>
      </c>
      <c r="D2452" s="15" t="s">
        <v>8</v>
      </c>
      <c r="G2452" s="15" t="s">
        <v>8</v>
      </c>
      <c r="L2452" s="15" t="s">
        <v>8</v>
      </c>
      <c r="M2452" s="15" t="s">
        <v>8</v>
      </c>
      <c r="N2452" s="15" t="s">
        <v>8</v>
      </c>
      <c r="O2452" s="15" t="s">
        <v>8</v>
      </c>
      <c r="Q2452" s="15" t="s">
        <v>8</v>
      </c>
      <c r="S2452" s="15" t="s">
        <v>8</v>
      </c>
      <c r="X2452" s="20" t="str">
        <f>HYPERLINK("http://yeinfo.com/family/I09066934.html", "MARGARET INCE &lt;6&gt; 1330 EN-1417 EN ID:09066934")</f>
        <v>MARGARET INCE &lt;6&gt; 1330 EN-1417 EN ID:09066934</v>
      </c>
      <c r="Y2452" s="17"/>
      <c r="Z2452" s="17"/>
      <c r="AA2452" s="17"/>
      <c r="AB2452" s="17"/>
    </row>
    <row r="2453" spans="3:33" x14ac:dyDescent="0.35">
      <c r="C2453" s="15" t="s">
        <v>8</v>
      </c>
      <c r="D2453" s="15" t="s">
        <v>8</v>
      </c>
      <c r="G2453" s="15" t="s">
        <v>8</v>
      </c>
      <c r="L2453" s="15" t="s">
        <v>8</v>
      </c>
      <c r="M2453" s="15" t="s">
        <v>8</v>
      </c>
      <c r="N2453" s="15" t="s">
        <v>8</v>
      </c>
      <c r="O2453" s="15" t="s">
        <v>8</v>
      </c>
      <c r="Q2453" s="15" t="s">
        <v>8</v>
      </c>
      <c r="S2453" s="15" t="s">
        <v>8</v>
      </c>
      <c r="Y2453" s="8" t="s">
        <v>6</v>
      </c>
    </row>
    <row r="2454" spans="3:33" x14ac:dyDescent="0.35">
      <c r="C2454" s="15" t="s">
        <v>8</v>
      </c>
      <c r="D2454" s="15" t="s">
        <v>8</v>
      </c>
      <c r="G2454" s="15" t="s">
        <v>8</v>
      </c>
      <c r="L2454" s="15" t="s">
        <v>8</v>
      </c>
      <c r="M2454" s="15" t="s">
        <v>8</v>
      </c>
      <c r="N2454" s="15" t="s">
        <v>8</v>
      </c>
      <c r="O2454" s="15" t="s">
        <v>8</v>
      </c>
      <c r="Q2454" s="15" t="s">
        <v>8</v>
      </c>
      <c r="S2454" s="15" t="s">
        <v>8</v>
      </c>
      <c r="Y2454" s="20" t="str">
        <f>HYPERLINK("http://yeinfo.com/family/I09066932.html", "Mrs. {_?_} INCE &lt;6&gt; 1310 -1335 EN ID:09066932")</f>
        <v>Mrs. {_?_} INCE &lt;6&gt; 1310 -1335 EN ID:09066932</v>
      </c>
      <c r="Z2454" s="17"/>
      <c r="AA2454" s="17"/>
      <c r="AB2454" s="17"/>
      <c r="AC2454" s="17"/>
    </row>
    <row r="2455" spans="3:33" x14ac:dyDescent="0.35">
      <c r="C2455" s="15" t="s">
        <v>8</v>
      </c>
      <c r="D2455" s="15" t="s">
        <v>8</v>
      </c>
      <c r="G2455" s="15" t="s">
        <v>8</v>
      </c>
      <c r="L2455" s="15" t="s">
        <v>8</v>
      </c>
      <c r="M2455" s="15" t="s">
        <v>8</v>
      </c>
      <c r="N2455" s="15" t="s">
        <v>8</v>
      </c>
      <c r="O2455" s="15" t="s">
        <v>8</v>
      </c>
      <c r="Q2455" s="15" t="s">
        <v>8</v>
      </c>
      <c r="S2455" s="15" t="s">
        <v>8</v>
      </c>
    </row>
    <row r="2456" spans="3:33" x14ac:dyDescent="0.35">
      <c r="C2456" s="15" t="s">
        <v>8</v>
      </c>
      <c r="D2456" s="15" t="s">
        <v>8</v>
      </c>
      <c r="G2456" s="15" t="s">
        <v>8</v>
      </c>
      <c r="L2456" s="15" t="s">
        <v>8</v>
      </c>
      <c r="M2456" s="15" t="s">
        <v>8</v>
      </c>
      <c r="N2456" s="15" t="s">
        <v>8</v>
      </c>
      <c r="O2456" s="15" t="s">
        <v>8</v>
      </c>
      <c r="Q2456" s="15" t="s">
        <v>8</v>
      </c>
      <c r="R2456" s="19" t="str">
        <f>HYPERLINK("http://yeinfo.com/family/I09041430.html", "EDMUND TRAFFORD &lt;2&gt; 1453 EN-1533 EN ID:09041430")</f>
        <v>EDMUND TRAFFORD &lt;2&gt; 1453 EN-1533 EN ID:09041430</v>
      </c>
      <c r="S2456" s="9"/>
      <c r="T2456" s="9"/>
      <c r="U2456" s="9"/>
      <c r="V2456" s="9"/>
    </row>
    <row r="2457" spans="3:33" x14ac:dyDescent="0.35">
      <c r="C2457" s="15" t="s">
        <v>8</v>
      </c>
      <c r="D2457" s="15" t="s">
        <v>8</v>
      </c>
      <c r="G2457" s="15" t="s">
        <v>8</v>
      </c>
      <c r="L2457" s="15" t="s">
        <v>8</v>
      </c>
      <c r="M2457" s="15" t="s">
        <v>8</v>
      </c>
      <c r="N2457" s="15" t="s">
        <v>8</v>
      </c>
      <c r="O2457" s="15" t="s">
        <v>8</v>
      </c>
      <c r="Q2457" s="15" t="s">
        <v>8</v>
      </c>
      <c r="R2457" s="8" t="s">
        <v>3</v>
      </c>
      <c r="S2457" s="15" t="s">
        <v>8</v>
      </c>
    </row>
    <row r="2458" spans="3:33" x14ac:dyDescent="0.35">
      <c r="C2458" s="15" t="s">
        <v>8</v>
      </c>
      <c r="D2458" s="15" t="s">
        <v>8</v>
      </c>
      <c r="G2458" s="15" t="s">
        <v>8</v>
      </c>
      <c r="L2458" s="15" t="s">
        <v>8</v>
      </c>
      <c r="M2458" s="15" t="s">
        <v>8</v>
      </c>
      <c r="N2458" s="15" t="s">
        <v>8</v>
      </c>
      <c r="O2458" s="15" t="s">
        <v>8</v>
      </c>
      <c r="Q2458" s="15" t="s">
        <v>8</v>
      </c>
      <c r="R2458" s="15" t="s">
        <v>8</v>
      </c>
      <c r="S2458" s="15" t="s">
        <v>8</v>
      </c>
      <c r="X2458" s="19" t="str">
        <f>HYPERLINK("http://yeinfo.com/family/I09066849.html", "ROBERT ROGER SAVAGE &lt;2&gt; 1305 EN-1335 EN ID:09066849")</f>
        <v>ROBERT ROGER SAVAGE &lt;2&gt; 1305 EN-1335 EN ID:09066849</v>
      </c>
      <c r="Y2458" s="9"/>
      <c r="Z2458" s="9"/>
      <c r="AA2458" s="9"/>
      <c r="AB2458" s="9"/>
    </row>
    <row r="2459" spans="3:33" x14ac:dyDescent="0.35">
      <c r="C2459" s="15" t="s">
        <v>8</v>
      </c>
      <c r="D2459" s="15" t="s">
        <v>8</v>
      </c>
      <c r="G2459" s="15" t="s">
        <v>8</v>
      </c>
      <c r="L2459" s="15" t="s">
        <v>8</v>
      </c>
      <c r="M2459" s="15" t="s">
        <v>8</v>
      </c>
      <c r="N2459" s="15" t="s">
        <v>8</v>
      </c>
      <c r="O2459" s="15" t="s">
        <v>8</v>
      </c>
      <c r="Q2459" s="15" t="s">
        <v>8</v>
      </c>
      <c r="R2459" s="15" t="s">
        <v>8</v>
      </c>
      <c r="S2459" s="15" t="s">
        <v>8</v>
      </c>
      <c r="X2459" s="8" t="s">
        <v>3</v>
      </c>
    </row>
    <row r="2460" spans="3:33" x14ac:dyDescent="0.35">
      <c r="C2460" s="15" t="s">
        <v>8</v>
      </c>
      <c r="D2460" s="15" t="s">
        <v>8</v>
      </c>
      <c r="G2460" s="15" t="s">
        <v>8</v>
      </c>
      <c r="L2460" s="15" t="s">
        <v>8</v>
      </c>
      <c r="M2460" s="15" t="s">
        <v>8</v>
      </c>
      <c r="N2460" s="15" t="s">
        <v>8</v>
      </c>
      <c r="O2460" s="15" t="s">
        <v>8</v>
      </c>
      <c r="Q2460" s="15" t="s">
        <v>8</v>
      </c>
      <c r="R2460" s="15" t="s">
        <v>8</v>
      </c>
      <c r="S2460" s="15" t="s">
        <v>8</v>
      </c>
      <c r="W2460" s="19" t="str">
        <f>HYPERLINK("http://yeinfo.com/family/I09066850.html", "JOHN SAVAGE I &lt;2&gt; 1343 EN-1386 EN ID:09066850")</f>
        <v>JOHN SAVAGE I &lt;2&gt; 1343 EN-1386 EN ID:09066850</v>
      </c>
      <c r="X2460" s="9"/>
      <c r="Y2460" s="9"/>
      <c r="Z2460" s="9"/>
      <c r="AA2460" s="9"/>
    </row>
    <row r="2461" spans="3:33" x14ac:dyDescent="0.35">
      <c r="C2461" s="15" t="s">
        <v>8</v>
      </c>
      <c r="D2461" s="15" t="s">
        <v>8</v>
      </c>
      <c r="G2461" s="15" t="s">
        <v>8</v>
      </c>
      <c r="L2461" s="15" t="s">
        <v>8</v>
      </c>
      <c r="M2461" s="15" t="s">
        <v>8</v>
      </c>
      <c r="N2461" s="15" t="s">
        <v>8</v>
      </c>
      <c r="O2461" s="15" t="s">
        <v>8</v>
      </c>
      <c r="Q2461" s="15" t="s">
        <v>8</v>
      </c>
      <c r="R2461" s="15" t="s">
        <v>8</v>
      </c>
      <c r="S2461" s="15" t="s">
        <v>8</v>
      </c>
      <c r="W2461" s="8" t="s">
        <v>3</v>
      </c>
      <c r="X2461" s="15" t="s">
        <v>8</v>
      </c>
    </row>
    <row r="2462" spans="3:33" x14ac:dyDescent="0.35">
      <c r="C2462" s="15" t="s">
        <v>8</v>
      </c>
      <c r="D2462" s="15" t="s">
        <v>8</v>
      </c>
      <c r="G2462" s="15" t="s">
        <v>8</v>
      </c>
      <c r="L2462" s="15" t="s">
        <v>8</v>
      </c>
      <c r="M2462" s="15" t="s">
        <v>8</v>
      </c>
      <c r="N2462" s="15" t="s">
        <v>8</v>
      </c>
      <c r="O2462" s="15" t="s">
        <v>8</v>
      </c>
      <c r="Q2462" s="15" t="s">
        <v>8</v>
      </c>
      <c r="R2462" s="15" t="s">
        <v>8</v>
      </c>
      <c r="S2462" s="15" t="s">
        <v>8</v>
      </c>
      <c r="W2462" s="15" t="s">
        <v>8</v>
      </c>
      <c r="X2462" s="15" t="s">
        <v>8</v>
      </c>
      <c r="Y2462" s="19" t="str">
        <f>HYPERLINK("http://yeinfo.com/family/I09066845.html", "ROGER CHEADLE &lt;2&gt; 1275 EN-1322 EN ID:09066845")</f>
        <v>ROGER CHEADLE &lt;2&gt; 1275 EN-1322 EN ID:09066845</v>
      </c>
      <c r="Z2462" s="9"/>
      <c r="AA2462" s="9"/>
      <c r="AB2462" s="9"/>
      <c r="AC2462" s="9"/>
    </row>
    <row r="2463" spans="3:33" x14ac:dyDescent="0.35">
      <c r="C2463" s="15" t="s">
        <v>8</v>
      </c>
      <c r="D2463" s="15" t="s">
        <v>8</v>
      </c>
      <c r="G2463" s="15" t="s">
        <v>8</v>
      </c>
      <c r="L2463" s="15" t="s">
        <v>8</v>
      </c>
      <c r="M2463" s="15" t="s">
        <v>8</v>
      </c>
      <c r="N2463" s="15" t="s">
        <v>8</v>
      </c>
      <c r="O2463" s="15" t="s">
        <v>8</v>
      </c>
      <c r="Q2463" s="15" t="s">
        <v>8</v>
      </c>
      <c r="R2463" s="15" t="s">
        <v>8</v>
      </c>
      <c r="S2463" s="15" t="s">
        <v>8</v>
      </c>
      <c r="W2463" s="15" t="s">
        <v>8</v>
      </c>
      <c r="X2463" s="8" t="s">
        <v>6</v>
      </c>
      <c r="Y2463" s="8" t="s">
        <v>3</v>
      </c>
    </row>
    <row r="2464" spans="3:33" x14ac:dyDescent="0.35">
      <c r="C2464" s="15" t="s">
        <v>8</v>
      </c>
      <c r="D2464" s="15" t="s">
        <v>8</v>
      </c>
      <c r="G2464" s="15" t="s">
        <v>8</v>
      </c>
      <c r="L2464" s="15" t="s">
        <v>8</v>
      </c>
      <c r="M2464" s="15" t="s">
        <v>8</v>
      </c>
      <c r="N2464" s="15" t="s">
        <v>8</v>
      </c>
      <c r="O2464" s="15" t="s">
        <v>8</v>
      </c>
      <c r="Q2464" s="15" t="s">
        <v>8</v>
      </c>
      <c r="R2464" s="15" t="s">
        <v>8</v>
      </c>
      <c r="S2464" s="15" t="s">
        <v>8</v>
      </c>
      <c r="W2464" s="15" t="s">
        <v>8</v>
      </c>
      <c r="X2464" s="20" t="str">
        <f>HYPERLINK("http://yeinfo.com/family/I09066846.html", "MARGERY CHEADLE &lt;2&gt; 1277 EN-1343 EN ID:09066846")</f>
        <v>MARGERY CHEADLE &lt;2&gt; 1277 EN-1343 EN ID:09066846</v>
      </c>
      <c r="Y2464" s="17"/>
      <c r="Z2464" s="17"/>
      <c r="AA2464" s="17"/>
      <c r="AB2464" s="17"/>
    </row>
    <row r="2465" spans="3:29" x14ac:dyDescent="0.35">
      <c r="C2465" s="15" t="s">
        <v>8</v>
      </c>
      <c r="D2465" s="15" t="s">
        <v>8</v>
      </c>
      <c r="G2465" s="15" t="s">
        <v>8</v>
      </c>
      <c r="L2465" s="15" t="s">
        <v>8</v>
      </c>
      <c r="M2465" s="15" t="s">
        <v>8</v>
      </c>
      <c r="N2465" s="15" t="s">
        <v>8</v>
      </c>
      <c r="O2465" s="15" t="s">
        <v>8</v>
      </c>
      <c r="Q2465" s="15" t="s">
        <v>8</v>
      </c>
      <c r="R2465" s="15" t="s">
        <v>8</v>
      </c>
      <c r="S2465" s="15" t="s">
        <v>8</v>
      </c>
      <c r="W2465" s="15" t="s">
        <v>8</v>
      </c>
      <c r="Y2465" s="8" t="s">
        <v>6</v>
      </c>
    </row>
    <row r="2466" spans="3:29" x14ac:dyDescent="0.35">
      <c r="C2466" s="15" t="s">
        <v>8</v>
      </c>
      <c r="D2466" s="15" t="s">
        <v>8</v>
      </c>
      <c r="G2466" s="15" t="s">
        <v>8</v>
      </c>
      <c r="L2466" s="15" t="s">
        <v>8</v>
      </c>
      <c r="M2466" s="15" t="s">
        <v>8</v>
      </c>
      <c r="N2466" s="15" t="s">
        <v>8</v>
      </c>
      <c r="O2466" s="15" t="s">
        <v>8</v>
      </c>
      <c r="Q2466" s="15" t="s">
        <v>8</v>
      </c>
      <c r="R2466" s="15" t="s">
        <v>8</v>
      </c>
      <c r="S2466" s="15" t="s">
        <v>8</v>
      </c>
      <c r="W2466" s="15" t="s">
        <v>8</v>
      </c>
      <c r="Y2466" s="20" t="str">
        <f>HYPERLINK("http://yeinfo.com/family/I09066848.html", "MATILDA MASSEY &lt;2&gt; 1283 EN-1322 EN ID:09066848")</f>
        <v>MATILDA MASSEY &lt;2&gt; 1283 EN-1322 EN ID:09066848</v>
      </c>
      <c r="Z2466" s="17"/>
      <c r="AA2466" s="17"/>
      <c r="AB2466" s="17"/>
      <c r="AC2466" s="17"/>
    </row>
    <row r="2467" spans="3:29" x14ac:dyDescent="0.35">
      <c r="C2467" s="15" t="s">
        <v>8</v>
      </c>
      <c r="D2467" s="15" t="s">
        <v>8</v>
      </c>
      <c r="G2467" s="15" t="s">
        <v>8</v>
      </c>
      <c r="L2467" s="15" t="s">
        <v>8</v>
      </c>
      <c r="M2467" s="15" t="s">
        <v>8</v>
      </c>
      <c r="N2467" s="15" t="s">
        <v>8</v>
      </c>
      <c r="O2467" s="15" t="s">
        <v>8</v>
      </c>
      <c r="Q2467" s="15" t="s">
        <v>8</v>
      </c>
      <c r="R2467" s="15" t="s">
        <v>8</v>
      </c>
      <c r="S2467" s="15" t="s">
        <v>8</v>
      </c>
      <c r="W2467" s="15" t="s">
        <v>8</v>
      </c>
    </row>
    <row r="2468" spans="3:29" x14ac:dyDescent="0.35">
      <c r="C2468" s="15" t="s">
        <v>8</v>
      </c>
      <c r="D2468" s="15" t="s">
        <v>8</v>
      </c>
      <c r="G2468" s="15" t="s">
        <v>8</v>
      </c>
      <c r="L2468" s="15" t="s">
        <v>8</v>
      </c>
      <c r="M2468" s="15" t="s">
        <v>8</v>
      </c>
      <c r="N2468" s="15" t="s">
        <v>8</v>
      </c>
      <c r="O2468" s="15" t="s">
        <v>8</v>
      </c>
      <c r="Q2468" s="15" t="s">
        <v>8</v>
      </c>
      <c r="R2468" s="15" t="s">
        <v>8</v>
      </c>
      <c r="S2468" s="15" t="s">
        <v>8</v>
      </c>
      <c r="V2468" s="19" t="str">
        <f>HYPERLINK("http://yeinfo.com/family/I09066851.html", "JOHN SAVAGE II &lt;2&gt; 1370 EN-1450 EN ID:09066851")</f>
        <v>JOHN SAVAGE II &lt;2&gt; 1370 EN-1450 EN ID:09066851</v>
      </c>
      <c r="W2468" s="9"/>
      <c r="X2468" s="9"/>
      <c r="Y2468" s="9"/>
      <c r="Z2468" s="9"/>
    </row>
    <row r="2469" spans="3:29" x14ac:dyDescent="0.35">
      <c r="C2469" s="15" t="s">
        <v>8</v>
      </c>
      <c r="D2469" s="15" t="s">
        <v>8</v>
      </c>
      <c r="G2469" s="15" t="s">
        <v>8</v>
      </c>
      <c r="L2469" s="15" t="s">
        <v>8</v>
      </c>
      <c r="M2469" s="15" t="s">
        <v>8</v>
      </c>
      <c r="N2469" s="15" t="s">
        <v>8</v>
      </c>
      <c r="O2469" s="15" t="s">
        <v>8</v>
      </c>
      <c r="Q2469" s="15" t="s">
        <v>8</v>
      </c>
      <c r="R2469" s="15" t="s">
        <v>8</v>
      </c>
      <c r="S2469" s="15" t="s">
        <v>8</v>
      </c>
      <c r="V2469" s="8" t="s">
        <v>3</v>
      </c>
      <c r="W2469" s="8" t="s">
        <v>6</v>
      </c>
    </row>
    <row r="2470" spans="3:29" x14ac:dyDescent="0.35">
      <c r="C2470" s="15" t="s">
        <v>8</v>
      </c>
      <c r="D2470" s="15" t="s">
        <v>8</v>
      </c>
      <c r="G2470" s="15" t="s">
        <v>8</v>
      </c>
      <c r="L2470" s="15" t="s">
        <v>8</v>
      </c>
      <c r="M2470" s="15" t="s">
        <v>8</v>
      </c>
      <c r="N2470" s="15" t="s">
        <v>8</v>
      </c>
      <c r="O2470" s="15" t="s">
        <v>8</v>
      </c>
      <c r="Q2470" s="15" t="s">
        <v>8</v>
      </c>
      <c r="R2470" s="15" t="s">
        <v>8</v>
      </c>
      <c r="S2470" s="15" t="s">
        <v>8</v>
      </c>
      <c r="V2470" s="15" t="s">
        <v>8</v>
      </c>
      <c r="W2470" s="20" t="str">
        <f>HYPERLINK("http://yeinfo.com/family/I09066847.html", "MARGARET DANYERS &lt;2&gt; 1348 EN-1370 EN ID:09066847")</f>
        <v>MARGARET DANYERS &lt;2&gt; 1348 EN-1370 EN ID:09066847</v>
      </c>
      <c r="X2470" s="17"/>
      <c r="Y2470" s="17"/>
      <c r="Z2470" s="17"/>
      <c r="AA2470" s="17"/>
    </row>
    <row r="2471" spans="3:29" x14ac:dyDescent="0.35">
      <c r="C2471" s="15" t="s">
        <v>8</v>
      </c>
      <c r="D2471" s="15" t="s">
        <v>8</v>
      </c>
      <c r="G2471" s="15" t="s">
        <v>8</v>
      </c>
      <c r="L2471" s="15" t="s">
        <v>8</v>
      </c>
      <c r="M2471" s="15" t="s">
        <v>8</v>
      </c>
      <c r="N2471" s="15" t="s">
        <v>8</v>
      </c>
      <c r="O2471" s="15" t="s">
        <v>8</v>
      </c>
      <c r="Q2471" s="15" t="s">
        <v>8</v>
      </c>
      <c r="R2471" s="15" t="s">
        <v>8</v>
      </c>
      <c r="S2471" s="15" t="s">
        <v>8</v>
      </c>
      <c r="V2471" s="15" t="s">
        <v>8</v>
      </c>
    </row>
    <row r="2472" spans="3:29" x14ac:dyDescent="0.35">
      <c r="C2472" s="15" t="s">
        <v>8</v>
      </c>
      <c r="D2472" s="15" t="s">
        <v>8</v>
      </c>
      <c r="G2472" s="15" t="s">
        <v>8</v>
      </c>
      <c r="L2472" s="15" t="s">
        <v>8</v>
      </c>
      <c r="M2472" s="15" t="s">
        <v>8</v>
      </c>
      <c r="N2472" s="15" t="s">
        <v>8</v>
      </c>
      <c r="O2472" s="15" t="s">
        <v>8</v>
      </c>
      <c r="Q2472" s="15" t="s">
        <v>8</v>
      </c>
      <c r="R2472" s="15" t="s">
        <v>8</v>
      </c>
      <c r="S2472" s="15" t="s">
        <v>8</v>
      </c>
      <c r="U2472" s="19" t="str">
        <f>HYPERLINK("http://yeinfo.com/family/I09066832.html", "JOHN SAVAGE III &lt;2&gt; 1393 EN-1463 EN ID:09066832")</f>
        <v>JOHN SAVAGE III &lt;2&gt; 1393 EN-1463 EN ID:09066832</v>
      </c>
      <c r="V2472" s="9"/>
      <c r="W2472" s="9"/>
      <c r="X2472" s="9"/>
      <c r="Y2472" s="9"/>
    </row>
    <row r="2473" spans="3:29" x14ac:dyDescent="0.35">
      <c r="C2473" s="15" t="s">
        <v>8</v>
      </c>
      <c r="D2473" s="15" t="s">
        <v>8</v>
      </c>
      <c r="G2473" s="15" t="s">
        <v>8</v>
      </c>
      <c r="L2473" s="15" t="s">
        <v>8</v>
      </c>
      <c r="M2473" s="15" t="s">
        <v>8</v>
      </c>
      <c r="N2473" s="15" t="s">
        <v>8</v>
      </c>
      <c r="O2473" s="15" t="s">
        <v>8</v>
      </c>
      <c r="Q2473" s="15" t="s">
        <v>8</v>
      </c>
      <c r="R2473" s="15" t="s">
        <v>8</v>
      </c>
      <c r="S2473" s="15" t="s">
        <v>8</v>
      </c>
      <c r="U2473" s="8" t="s">
        <v>3</v>
      </c>
      <c r="V2473" s="15" t="s">
        <v>8</v>
      </c>
    </row>
    <row r="2474" spans="3:29" x14ac:dyDescent="0.35">
      <c r="C2474" s="15" t="s">
        <v>8</v>
      </c>
      <c r="D2474" s="15" t="s">
        <v>8</v>
      </c>
      <c r="G2474" s="15" t="s">
        <v>8</v>
      </c>
      <c r="L2474" s="15" t="s">
        <v>8</v>
      </c>
      <c r="M2474" s="15" t="s">
        <v>8</v>
      </c>
      <c r="N2474" s="15" t="s">
        <v>8</v>
      </c>
      <c r="O2474" s="15" t="s">
        <v>8</v>
      </c>
      <c r="Q2474" s="15" t="s">
        <v>8</v>
      </c>
      <c r="R2474" s="15" t="s">
        <v>8</v>
      </c>
      <c r="S2474" s="15" t="s">
        <v>8</v>
      </c>
      <c r="U2474" s="15" t="s">
        <v>8</v>
      </c>
      <c r="V2474" s="15" t="s">
        <v>8</v>
      </c>
      <c r="W2474" s="19" t="str">
        <f>HYPERLINK("http://yeinfo.com/family/I09066852.html", "ROBERT SWYNNERTON &lt;2&gt; 1335 EN-1396 EN ID:09066852")</f>
        <v>ROBERT SWYNNERTON &lt;2&gt; 1335 EN-1396 EN ID:09066852</v>
      </c>
      <c r="X2474" s="9"/>
      <c r="Y2474" s="9"/>
      <c r="Z2474" s="9"/>
      <c r="AA2474" s="9"/>
    </row>
    <row r="2475" spans="3:29" x14ac:dyDescent="0.35">
      <c r="C2475" s="15" t="s">
        <v>8</v>
      </c>
      <c r="D2475" s="15" t="s">
        <v>8</v>
      </c>
      <c r="G2475" s="15" t="s">
        <v>8</v>
      </c>
      <c r="L2475" s="15" t="s">
        <v>8</v>
      </c>
      <c r="M2475" s="15" t="s">
        <v>8</v>
      </c>
      <c r="N2475" s="15" t="s">
        <v>8</v>
      </c>
      <c r="O2475" s="15" t="s">
        <v>8</v>
      </c>
      <c r="Q2475" s="15" t="s">
        <v>8</v>
      </c>
      <c r="R2475" s="15" t="s">
        <v>8</v>
      </c>
      <c r="S2475" s="15" t="s">
        <v>8</v>
      </c>
      <c r="U2475" s="15" t="s">
        <v>8</v>
      </c>
      <c r="V2475" s="8" t="s">
        <v>6</v>
      </c>
      <c r="W2475" s="8" t="s">
        <v>3</v>
      </c>
    </row>
    <row r="2476" spans="3:29" x14ac:dyDescent="0.35">
      <c r="C2476" s="15" t="s">
        <v>8</v>
      </c>
      <c r="D2476" s="15" t="s">
        <v>8</v>
      </c>
      <c r="G2476" s="15" t="s">
        <v>8</v>
      </c>
      <c r="L2476" s="15" t="s">
        <v>8</v>
      </c>
      <c r="M2476" s="15" t="s">
        <v>8</v>
      </c>
      <c r="N2476" s="15" t="s">
        <v>8</v>
      </c>
      <c r="O2476" s="15" t="s">
        <v>8</v>
      </c>
      <c r="Q2476" s="15" t="s">
        <v>8</v>
      </c>
      <c r="R2476" s="15" t="s">
        <v>8</v>
      </c>
      <c r="S2476" s="15" t="s">
        <v>8</v>
      </c>
      <c r="U2476" s="15" t="s">
        <v>8</v>
      </c>
      <c r="V2476" s="20" t="str">
        <f>HYPERLINK("http://yeinfo.com/family/I09066844.html", "MAUD SWYNNERTON &lt;2&gt; 1371 EN-1415 EN ID:09066844")</f>
        <v>MAUD SWYNNERTON &lt;2&gt; 1371 EN-1415 EN ID:09066844</v>
      </c>
      <c r="W2476" s="17"/>
      <c r="X2476" s="17"/>
      <c r="Y2476" s="17"/>
      <c r="Z2476" s="17"/>
    </row>
    <row r="2477" spans="3:29" x14ac:dyDescent="0.35">
      <c r="C2477" s="15" t="s">
        <v>8</v>
      </c>
      <c r="D2477" s="15" t="s">
        <v>8</v>
      </c>
      <c r="G2477" s="15" t="s">
        <v>8</v>
      </c>
      <c r="L2477" s="15" t="s">
        <v>8</v>
      </c>
      <c r="M2477" s="15" t="s">
        <v>8</v>
      </c>
      <c r="N2477" s="15" t="s">
        <v>8</v>
      </c>
      <c r="O2477" s="15" t="s">
        <v>8</v>
      </c>
      <c r="Q2477" s="15" t="s">
        <v>8</v>
      </c>
      <c r="R2477" s="15" t="s">
        <v>8</v>
      </c>
      <c r="S2477" s="15" t="s">
        <v>8</v>
      </c>
      <c r="U2477" s="15" t="s">
        <v>8</v>
      </c>
      <c r="W2477" s="8" t="s">
        <v>6</v>
      </c>
    </row>
    <row r="2478" spans="3:29" x14ac:dyDescent="0.35">
      <c r="C2478" s="15" t="s">
        <v>8</v>
      </c>
      <c r="D2478" s="15" t="s">
        <v>8</v>
      </c>
      <c r="G2478" s="15" t="s">
        <v>8</v>
      </c>
      <c r="L2478" s="15" t="s">
        <v>8</v>
      </c>
      <c r="M2478" s="15" t="s">
        <v>8</v>
      </c>
      <c r="N2478" s="15" t="s">
        <v>8</v>
      </c>
      <c r="O2478" s="15" t="s">
        <v>8</v>
      </c>
      <c r="Q2478" s="15" t="s">
        <v>8</v>
      </c>
      <c r="R2478" s="15" t="s">
        <v>8</v>
      </c>
      <c r="S2478" s="15" t="s">
        <v>8</v>
      </c>
      <c r="U2478" s="15" t="s">
        <v>8</v>
      </c>
      <c r="W2478" s="20" t="str">
        <f>HYPERLINK("http://yeinfo.com/family/I09066843.html", "ELIZABETH BEKE &lt;2&gt; 1340 EN-1415 EN ID:09066843")</f>
        <v>ELIZABETH BEKE &lt;2&gt; 1340 EN-1415 EN ID:09066843</v>
      </c>
      <c r="X2478" s="17"/>
      <c r="Y2478" s="17"/>
      <c r="Z2478" s="17"/>
      <c r="AA2478" s="17"/>
    </row>
    <row r="2479" spans="3:29" x14ac:dyDescent="0.35">
      <c r="C2479" s="15" t="s">
        <v>8</v>
      </c>
      <c r="D2479" s="15" t="s">
        <v>8</v>
      </c>
      <c r="G2479" s="15" t="s">
        <v>8</v>
      </c>
      <c r="L2479" s="15" t="s">
        <v>8</v>
      </c>
      <c r="M2479" s="15" t="s">
        <v>8</v>
      </c>
      <c r="N2479" s="15" t="s">
        <v>8</v>
      </c>
      <c r="O2479" s="15" t="s">
        <v>8</v>
      </c>
      <c r="Q2479" s="15" t="s">
        <v>8</v>
      </c>
      <c r="R2479" s="15" t="s">
        <v>8</v>
      </c>
      <c r="S2479" s="15" t="s">
        <v>8</v>
      </c>
      <c r="U2479" s="15" t="s">
        <v>8</v>
      </c>
    </row>
    <row r="2480" spans="3:29" x14ac:dyDescent="0.35">
      <c r="C2480" s="15" t="s">
        <v>8</v>
      </c>
      <c r="D2480" s="15" t="s">
        <v>8</v>
      </c>
      <c r="G2480" s="15" t="s">
        <v>8</v>
      </c>
      <c r="L2480" s="15" t="s">
        <v>8</v>
      </c>
      <c r="M2480" s="15" t="s">
        <v>8</v>
      </c>
      <c r="N2480" s="15" t="s">
        <v>8</v>
      </c>
      <c r="O2480" s="15" t="s">
        <v>8</v>
      </c>
      <c r="Q2480" s="15" t="s">
        <v>8</v>
      </c>
      <c r="R2480" s="15" t="s">
        <v>8</v>
      </c>
      <c r="S2480" s="15" t="s">
        <v>8</v>
      </c>
      <c r="T2480" s="19" t="str">
        <f>HYPERLINK("http://yeinfo.com/family/I09066833.html", "JOHN SAVAGE IV &lt;2&gt; 1422 EN-1495 EN ID:09066833")</f>
        <v>JOHN SAVAGE IV &lt;2&gt; 1422 EN-1495 EN ID:09066833</v>
      </c>
      <c r="U2480" s="9"/>
      <c r="V2480" s="9"/>
      <c r="W2480" s="9"/>
      <c r="X2480" s="9"/>
    </row>
    <row r="2481" spans="3:27" x14ac:dyDescent="0.35">
      <c r="C2481" s="15" t="s">
        <v>8</v>
      </c>
      <c r="D2481" s="15" t="s">
        <v>8</v>
      </c>
      <c r="G2481" s="15" t="s">
        <v>8</v>
      </c>
      <c r="L2481" s="15" t="s">
        <v>8</v>
      </c>
      <c r="M2481" s="15" t="s">
        <v>8</v>
      </c>
      <c r="N2481" s="15" t="s">
        <v>8</v>
      </c>
      <c r="O2481" s="15" t="s">
        <v>8</v>
      </c>
      <c r="Q2481" s="15" t="s">
        <v>8</v>
      </c>
      <c r="R2481" s="15" t="s">
        <v>8</v>
      </c>
      <c r="S2481" s="15" t="s">
        <v>8</v>
      </c>
      <c r="T2481" s="8" t="s">
        <v>3</v>
      </c>
      <c r="U2481" s="15" t="s">
        <v>8</v>
      </c>
    </row>
    <row r="2482" spans="3:27" x14ac:dyDescent="0.35">
      <c r="C2482" s="15" t="s">
        <v>8</v>
      </c>
      <c r="D2482" s="15" t="s">
        <v>8</v>
      </c>
      <c r="G2482" s="15" t="s">
        <v>8</v>
      </c>
      <c r="L2482" s="15" t="s">
        <v>8</v>
      </c>
      <c r="M2482" s="15" t="s">
        <v>8</v>
      </c>
      <c r="N2482" s="15" t="s">
        <v>8</v>
      </c>
      <c r="O2482" s="15" t="s">
        <v>8</v>
      </c>
      <c r="Q2482" s="15" t="s">
        <v>8</v>
      </c>
      <c r="R2482" s="15" t="s">
        <v>8</v>
      </c>
      <c r="S2482" s="15" t="s">
        <v>8</v>
      </c>
      <c r="T2482" s="15" t="s">
        <v>8</v>
      </c>
      <c r="U2482" s="15" t="s">
        <v>8</v>
      </c>
      <c r="W2482" s="19" t="str">
        <f>HYPERLINK("http://yeinfo.com/family/I09066782.html", "WILLIAM BRERETON &lt;2&gt; 1347 EN-1398 EN ID:09066782")</f>
        <v>WILLIAM BRERETON &lt;2&gt; 1347 EN-1398 EN ID:09066782</v>
      </c>
      <c r="X2482" s="9"/>
      <c r="Y2482" s="9"/>
      <c r="Z2482" s="9"/>
      <c r="AA2482" s="9"/>
    </row>
    <row r="2483" spans="3:27" x14ac:dyDescent="0.35">
      <c r="C2483" s="15" t="s">
        <v>8</v>
      </c>
      <c r="D2483" s="15" t="s">
        <v>8</v>
      </c>
      <c r="G2483" s="15" t="s">
        <v>8</v>
      </c>
      <c r="L2483" s="15" t="s">
        <v>8</v>
      </c>
      <c r="M2483" s="15" t="s">
        <v>8</v>
      </c>
      <c r="N2483" s="15" t="s">
        <v>8</v>
      </c>
      <c r="O2483" s="15" t="s">
        <v>8</v>
      </c>
      <c r="Q2483" s="15" t="s">
        <v>8</v>
      </c>
      <c r="R2483" s="15" t="s">
        <v>8</v>
      </c>
      <c r="S2483" s="15" t="s">
        <v>8</v>
      </c>
      <c r="T2483" s="15" t="s">
        <v>8</v>
      </c>
      <c r="U2483" s="15" t="s">
        <v>8</v>
      </c>
      <c r="W2483" s="8" t="s">
        <v>3</v>
      </c>
    </row>
    <row r="2484" spans="3:27" x14ac:dyDescent="0.35">
      <c r="C2484" s="15" t="s">
        <v>8</v>
      </c>
      <c r="D2484" s="15" t="s">
        <v>8</v>
      </c>
      <c r="G2484" s="15" t="s">
        <v>8</v>
      </c>
      <c r="L2484" s="15" t="s">
        <v>8</v>
      </c>
      <c r="M2484" s="15" t="s">
        <v>8</v>
      </c>
      <c r="N2484" s="15" t="s">
        <v>8</v>
      </c>
      <c r="O2484" s="15" t="s">
        <v>8</v>
      </c>
      <c r="Q2484" s="15" t="s">
        <v>8</v>
      </c>
      <c r="R2484" s="15" t="s">
        <v>8</v>
      </c>
      <c r="S2484" s="15" t="s">
        <v>8</v>
      </c>
      <c r="T2484" s="15" t="s">
        <v>8</v>
      </c>
      <c r="U2484" s="15" t="s">
        <v>8</v>
      </c>
      <c r="V2484" s="19" t="str">
        <f>HYPERLINK("http://yeinfo.com/family/I09066783.html", "WILLIAM BRERETON &lt;2&gt; 1370 EN-1404 FR ID:09066783")</f>
        <v>WILLIAM BRERETON &lt;2&gt; 1370 EN-1404 FR ID:09066783</v>
      </c>
      <c r="W2484" s="9"/>
      <c r="X2484" s="9"/>
      <c r="Y2484" s="9"/>
      <c r="Z2484" s="9"/>
    </row>
    <row r="2485" spans="3:27" x14ac:dyDescent="0.35">
      <c r="C2485" s="15" t="s">
        <v>8</v>
      </c>
      <c r="D2485" s="15" t="s">
        <v>8</v>
      </c>
      <c r="G2485" s="15" t="s">
        <v>8</v>
      </c>
      <c r="L2485" s="15" t="s">
        <v>8</v>
      </c>
      <c r="M2485" s="15" t="s">
        <v>8</v>
      </c>
      <c r="N2485" s="15" t="s">
        <v>8</v>
      </c>
      <c r="O2485" s="15" t="s">
        <v>8</v>
      </c>
      <c r="Q2485" s="15" t="s">
        <v>8</v>
      </c>
      <c r="R2485" s="15" t="s">
        <v>8</v>
      </c>
      <c r="S2485" s="15" t="s">
        <v>8</v>
      </c>
      <c r="T2485" s="15" t="s">
        <v>8</v>
      </c>
      <c r="U2485" s="15" t="s">
        <v>8</v>
      </c>
      <c r="V2485" s="8" t="s">
        <v>3</v>
      </c>
      <c r="W2485" s="8" t="s">
        <v>6</v>
      </c>
    </row>
    <row r="2486" spans="3:27" x14ac:dyDescent="0.35">
      <c r="C2486" s="15" t="s">
        <v>8</v>
      </c>
      <c r="D2486" s="15" t="s">
        <v>8</v>
      </c>
      <c r="G2486" s="15" t="s">
        <v>8</v>
      </c>
      <c r="L2486" s="15" t="s">
        <v>8</v>
      </c>
      <c r="M2486" s="15" t="s">
        <v>8</v>
      </c>
      <c r="N2486" s="15" t="s">
        <v>8</v>
      </c>
      <c r="O2486" s="15" t="s">
        <v>8</v>
      </c>
      <c r="Q2486" s="15" t="s">
        <v>8</v>
      </c>
      <c r="R2486" s="15" t="s">
        <v>8</v>
      </c>
      <c r="S2486" s="15" t="s">
        <v>8</v>
      </c>
      <c r="T2486" s="15" t="s">
        <v>8</v>
      </c>
      <c r="U2486" s="15" t="s">
        <v>8</v>
      </c>
      <c r="V2486" s="15" t="s">
        <v>8</v>
      </c>
      <c r="W2486" s="20" t="str">
        <f>HYPERLINK("http://yeinfo.com/family/I09066792.html", "ELIENA EGERTON &lt;2&gt; 1350 EN-1370 EN ID:09066792")</f>
        <v>ELIENA EGERTON &lt;2&gt; 1350 EN-1370 EN ID:09066792</v>
      </c>
      <c r="X2486" s="17"/>
      <c r="Y2486" s="17"/>
      <c r="Z2486" s="17"/>
      <c r="AA2486" s="17"/>
    </row>
    <row r="2487" spans="3:27" x14ac:dyDescent="0.35">
      <c r="C2487" s="15" t="s">
        <v>8</v>
      </c>
      <c r="D2487" s="15" t="s">
        <v>8</v>
      </c>
      <c r="G2487" s="15" t="s">
        <v>8</v>
      </c>
      <c r="L2487" s="15" t="s">
        <v>8</v>
      </c>
      <c r="M2487" s="15" t="s">
        <v>8</v>
      </c>
      <c r="N2487" s="15" t="s">
        <v>8</v>
      </c>
      <c r="O2487" s="15" t="s">
        <v>8</v>
      </c>
      <c r="Q2487" s="15" t="s">
        <v>8</v>
      </c>
      <c r="R2487" s="15" t="s">
        <v>8</v>
      </c>
      <c r="S2487" s="15" t="s">
        <v>8</v>
      </c>
      <c r="T2487" s="15" t="s">
        <v>8</v>
      </c>
      <c r="U2487" s="8" t="s">
        <v>6</v>
      </c>
      <c r="V2487" s="15" t="s">
        <v>8</v>
      </c>
    </row>
    <row r="2488" spans="3:27" x14ac:dyDescent="0.35">
      <c r="C2488" s="15" t="s">
        <v>8</v>
      </c>
      <c r="D2488" s="15" t="s">
        <v>8</v>
      </c>
      <c r="G2488" s="15" t="s">
        <v>8</v>
      </c>
      <c r="L2488" s="15" t="s">
        <v>8</v>
      </c>
      <c r="M2488" s="15" t="s">
        <v>8</v>
      </c>
      <c r="N2488" s="15" t="s">
        <v>8</v>
      </c>
      <c r="O2488" s="15" t="s">
        <v>8</v>
      </c>
      <c r="Q2488" s="15" t="s">
        <v>8</v>
      </c>
      <c r="R2488" s="15" t="s">
        <v>8</v>
      </c>
      <c r="S2488" s="15" t="s">
        <v>8</v>
      </c>
      <c r="T2488" s="15" t="s">
        <v>8</v>
      </c>
      <c r="U2488" s="20" t="str">
        <f>HYPERLINK("http://yeinfo.com/family/I09066784.html", "ELIZABETH\ELEANOR BRERETON &lt;2&gt; 1404 EN-1422 EN ID:09066784")</f>
        <v>ELIZABETH\ELEANOR BRERETON &lt;2&gt; 1404 EN-1422 EN ID:09066784</v>
      </c>
      <c r="V2488" s="17"/>
      <c r="W2488" s="17"/>
      <c r="X2488" s="17"/>
      <c r="Y2488" s="17"/>
      <c r="Z2488" s="17"/>
    </row>
    <row r="2489" spans="3:27" x14ac:dyDescent="0.35">
      <c r="C2489" s="15" t="s">
        <v>8</v>
      </c>
      <c r="D2489" s="15" t="s">
        <v>8</v>
      </c>
      <c r="G2489" s="15" t="s">
        <v>8</v>
      </c>
      <c r="L2489" s="15" t="s">
        <v>8</v>
      </c>
      <c r="M2489" s="15" t="s">
        <v>8</v>
      </c>
      <c r="N2489" s="15" t="s">
        <v>8</v>
      </c>
      <c r="O2489" s="15" t="s">
        <v>8</v>
      </c>
      <c r="Q2489" s="15" t="s">
        <v>8</v>
      </c>
      <c r="R2489" s="15" t="s">
        <v>8</v>
      </c>
      <c r="S2489" s="15" t="s">
        <v>8</v>
      </c>
      <c r="T2489" s="15" t="s">
        <v>8</v>
      </c>
      <c r="V2489" s="8" t="s">
        <v>6</v>
      </c>
    </row>
    <row r="2490" spans="3:27" x14ac:dyDescent="0.35">
      <c r="C2490" s="15" t="s">
        <v>8</v>
      </c>
      <c r="D2490" s="15" t="s">
        <v>8</v>
      </c>
      <c r="G2490" s="15" t="s">
        <v>8</v>
      </c>
      <c r="L2490" s="15" t="s">
        <v>8</v>
      </c>
      <c r="M2490" s="15" t="s">
        <v>8</v>
      </c>
      <c r="N2490" s="15" t="s">
        <v>8</v>
      </c>
      <c r="O2490" s="15" t="s">
        <v>8</v>
      </c>
      <c r="Q2490" s="15" t="s">
        <v>8</v>
      </c>
      <c r="R2490" s="15" t="s">
        <v>8</v>
      </c>
      <c r="S2490" s="15" t="s">
        <v>8</v>
      </c>
      <c r="T2490" s="15" t="s">
        <v>8</v>
      </c>
      <c r="V2490" s="20" t="str">
        <f>HYPERLINK("http://yeinfo.com/family/I09066724.html", "ANGELA VENABLES &lt;2&gt; 1374 EN-1442 EN ID:09066724")</f>
        <v>ANGELA VENABLES &lt;2&gt; 1374 EN-1442 EN ID:09066724</v>
      </c>
      <c r="W2490" s="17"/>
      <c r="X2490" s="17"/>
      <c r="Y2490" s="17"/>
      <c r="Z2490" s="17"/>
    </row>
    <row r="2491" spans="3:27" x14ac:dyDescent="0.35">
      <c r="C2491" s="15" t="s">
        <v>8</v>
      </c>
      <c r="D2491" s="15" t="s">
        <v>8</v>
      </c>
      <c r="G2491" s="15" t="s">
        <v>8</v>
      </c>
      <c r="L2491" s="15" t="s">
        <v>8</v>
      </c>
      <c r="M2491" s="15" t="s">
        <v>8</v>
      </c>
      <c r="N2491" s="15" t="s">
        <v>8</v>
      </c>
      <c r="O2491" s="15" t="s">
        <v>8</v>
      </c>
      <c r="Q2491" s="15" t="s">
        <v>8</v>
      </c>
      <c r="R2491" s="15" t="s">
        <v>8</v>
      </c>
      <c r="S2491" s="8" t="s">
        <v>6</v>
      </c>
      <c r="T2491" s="15" t="s">
        <v>8</v>
      </c>
    </row>
    <row r="2492" spans="3:27" x14ac:dyDescent="0.35">
      <c r="C2492" s="15" t="s">
        <v>8</v>
      </c>
      <c r="D2492" s="15" t="s">
        <v>8</v>
      </c>
      <c r="G2492" s="15" t="s">
        <v>8</v>
      </c>
      <c r="L2492" s="15" t="s">
        <v>8</v>
      </c>
      <c r="M2492" s="15" t="s">
        <v>8</v>
      </c>
      <c r="N2492" s="15" t="s">
        <v>8</v>
      </c>
      <c r="O2492" s="15" t="s">
        <v>8</v>
      </c>
      <c r="Q2492" s="15" t="s">
        <v>8</v>
      </c>
      <c r="R2492" s="15" t="s">
        <v>8</v>
      </c>
      <c r="S2492" s="20" t="str">
        <f>HYPERLINK("http://yeinfo.com/family/I09066834.html", "MARGARET SAVAGE &lt;2&gt; 1436 EN-1525 EN ID:09066834")</f>
        <v>MARGARET SAVAGE &lt;2&gt; 1436 EN-1525 EN ID:09066834</v>
      </c>
      <c r="T2492" s="17"/>
      <c r="U2492" s="17"/>
      <c r="V2492" s="17"/>
      <c r="W2492" s="17"/>
    </row>
    <row r="2493" spans="3:27" x14ac:dyDescent="0.35">
      <c r="C2493" s="15" t="s">
        <v>8</v>
      </c>
      <c r="D2493" s="15" t="s">
        <v>8</v>
      </c>
      <c r="G2493" s="15" t="s">
        <v>8</v>
      </c>
      <c r="L2493" s="15" t="s">
        <v>8</v>
      </c>
      <c r="M2493" s="15" t="s">
        <v>8</v>
      </c>
      <c r="N2493" s="15" t="s">
        <v>8</v>
      </c>
      <c r="O2493" s="15" t="s">
        <v>8</v>
      </c>
      <c r="Q2493" s="15" t="s">
        <v>8</v>
      </c>
      <c r="R2493" s="15" t="s">
        <v>8</v>
      </c>
      <c r="T2493" s="15" t="s">
        <v>8</v>
      </c>
    </row>
    <row r="2494" spans="3:27" x14ac:dyDescent="0.35">
      <c r="C2494" s="15" t="s">
        <v>8</v>
      </c>
      <c r="D2494" s="15" t="s">
        <v>8</v>
      </c>
      <c r="G2494" s="15" t="s">
        <v>8</v>
      </c>
      <c r="L2494" s="15" t="s">
        <v>8</v>
      </c>
      <c r="M2494" s="15" t="s">
        <v>8</v>
      </c>
      <c r="N2494" s="15" t="s">
        <v>8</v>
      </c>
      <c r="O2494" s="15" t="s">
        <v>8</v>
      </c>
      <c r="Q2494" s="15" t="s">
        <v>8</v>
      </c>
      <c r="R2494" s="15" t="s">
        <v>8</v>
      </c>
      <c r="T2494" s="15" t="s">
        <v>8</v>
      </c>
      <c r="V2494" s="19" t="str">
        <f>HYPERLINK("http://yeinfo.com/family/I09066835.html", "JOHN STANLEY &lt;2&gt; 1353 EN-1437 WL ID:09066835")</f>
        <v>JOHN STANLEY &lt;2&gt; 1353 EN-1437 WL ID:09066835</v>
      </c>
      <c r="W2494" s="9"/>
      <c r="X2494" s="9"/>
      <c r="Y2494" s="9"/>
      <c r="Z2494" s="9"/>
    </row>
    <row r="2495" spans="3:27" x14ac:dyDescent="0.35">
      <c r="C2495" s="15" t="s">
        <v>8</v>
      </c>
      <c r="D2495" s="15" t="s">
        <v>8</v>
      </c>
      <c r="G2495" s="15" t="s">
        <v>8</v>
      </c>
      <c r="L2495" s="15" t="s">
        <v>8</v>
      </c>
      <c r="M2495" s="15" t="s">
        <v>8</v>
      </c>
      <c r="N2495" s="15" t="s">
        <v>8</v>
      </c>
      <c r="O2495" s="15" t="s">
        <v>8</v>
      </c>
      <c r="Q2495" s="15" t="s">
        <v>8</v>
      </c>
      <c r="R2495" s="15" t="s">
        <v>8</v>
      </c>
      <c r="T2495" s="15" t="s">
        <v>8</v>
      </c>
      <c r="V2495" s="8" t="s">
        <v>3</v>
      </c>
    </row>
    <row r="2496" spans="3:27" x14ac:dyDescent="0.35">
      <c r="C2496" s="15" t="s">
        <v>8</v>
      </c>
      <c r="D2496" s="15" t="s">
        <v>8</v>
      </c>
      <c r="G2496" s="15" t="s">
        <v>8</v>
      </c>
      <c r="L2496" s="15" t="s">
        <v>8</v>
      </c>
      <c r="M2496" s="15" t="s">
        <v>8</v>
      </c>
      <c r="N2496" s="15" t="s">
        <v>8</v>
      </c>
      <c r="O2496" s="15" t="s">
        <v>8</v>
      </c>
      <c r="Q2496" s="15" t="s">
        <v>8</v>
      </c>
      <c r="R2496" s="15" t="s">
        <v>8</v>
      </c>
      <c r="T2496" s="15" t="s">
        <v>8</v>
      </c>
      <c r="U2496" s="19" t="str">
        <f>HYPERLINK("http://yeinfo.com/family/I09066836.html", "THOMAS STANLEY &lt;2&gt; 1392 EN-1458 EN ID:09066836")</f>
        <v>THOMAS STANLEY &lt;2&gt; 1392 EN-1458 EN ID:09066836</v>
      </c>
      <c r="V2496" s="9"/>
      <c r="W2496" s="9"/>
      <c r="X2496" s="9"/>
      <c r="Y2496" s="9"/>
    </row>
    <row r="2497" spans="3:27" x14ac:dyDescent="0.35">
      <c r="C2497" s="15" t="s">
        <v>8</v>
      </c>
      <c r="D2497" s="15" t="s">
        <v>8</v>
      </c>
      <c r="G2497" s="15" t="s">
        <v>8</v>
      </c>
      <c r="L2497" s="15" t="s">
        <v>8</v>
      </c>
      <c r="M2497" s="15" t="s">
        <v>8</v>
      </c>
      <c r="N2497" s="15" t="s">
        <v>8</v>
      </c>
      <c r="O2497" s="15" t="s">
        <v>8</v>
      </c>
      <c r="Q2497" s="15" t="s">
        <v>8</v>
      </c>
      <c r="R2497" s="15" t="s">
        <v>8</v>
      </c>
      <c r="T2497" s="15" t="s">
        <v>8</v>
      </c>
      <c r="U2497" s="8" t="s">
        <v>3</v>
      </c>
      <c r="V2497" s="15" t="s">
        <v>8</v>
      </c>
    </row>
    <row r="2498" spans="3:27" x14ac:dyDescent="0.35">
      <c r="C2498" s="15" t="s">
        <v>8</v>
      </c>
      <c r="D2498" s="15" t="s">
        <v>8</v>
      </c>
      <c r="G2498" s="15" t="s">
        <v>8</v>
      </c>
      <c r="L2498" s="15" t="s">
        <v>8</v>
      </c>
      <c r="M2498" s="15" t="s">
        <v>8</v>
      </c>
      <c r="N2498" s="15" t="s">
        <v>8</v>
      </c>
      <c r="O2498" s="15" t="s">
        <v>8</v>
      </c>
      <c r="Q2498" s="15" t="s">
        <v>8</v>
      </c>
      <c r="R2498" s="15" t="s">
        <v>8</v>
      </c>
      <c r="T2498" s="15" t="s">
        <v>8</v>
      </c>
      <c r="U2498" s="15" t="s">
        <v>8</v>
      </c>
      <c r="V2498" s="15" t="s">
        <v>8</v>
      </c>
      <c r="W2498" s="19" t="str">
        <f>HYPERLINK("http://yeinfo.com/family/I09066802.html", "NICHOLAS HARRINGTON &lt;2&gt; 1344 EN-1397 EN ID:09066802")</f>
        <v>NICHOLAS HARRINGTON &lt;2&gt; 1344 EN-1397 EN ID:09066802</v>
      </c>
      <c r="X2498" s="9"/>
      <c r="Y2498" s="9"/>
      <c r="Z2498" s="9"/>
      <c r="AA2498" s="9"/>
    </row>
    <row r="2499" spans="3:27" x14ac:dyDescent="0.35">
      <c r="C2499" s="15" t="s">
        <v>8</v>
      </c>
      <c r="D2499" s="15" t="s">
        <v>8</v>
      </c>
      <c r="G2499" s="15" t="s">
        <v>8</v>
      </c>
      <c r="L2499" s="15" t="s">
        <v>8</v>
      </c>
      <c r="M2499" s="15" t="s">
        <v>8</v>
      </c>
      <c r="N2499" s="15" t="s">
        <v>8</v>
      </c>
      <c r="O2499" s="15" t="s">
        <v>8</v>
      </c>
      <c r="Q2499" s="15" t="s">
        <v>8</v>
      </c>
      <c r="R2499" s="15" t="s">
        <v>8</v>
      </c>
      <c r="T2499" s="15" t="s">
        <v>8</v>
      </c>
      <c r="U2499" s="15" t="s">
        <v>8</v>
      </c>
      <c r="V2499" s="8" t="s">
        <v>6</v>
      </c>
      <c r="W2499" s="8" t="s">
        <v>3</v>
      </c>
    </row>
    <row r="2500" spans="3:27" x14ac:dyDescent="0.35">
      <c r="C2500" s="15" t="s">
        <v>8</v>
      </c>
      <c r="D2500" s="15" t="s">
        <v>8</v>
      </c>
      <c r="G2500" s="15" t="s">
        <v>8</v>
      </c>
      <c r="L2500" s="15" t="s">
        <v>8</v>
      </c>
      <c r="M2500" s="15" t="s">
        <v>8</v>
      </c>
      <c r="N2500" s="15" t="s">
        <v>8</v>
      </c>
      <c r="O2500" s="15" t="s">
        <v>8</v>
      </c>
      <c r="Q2500" s="15" t="s">
        <v>8</v>
      </c>
      <c r="R2500" s="15" t="s">
        <v>8</v>
      </c>
      <c r="T2500" s="15" t="s">
        <v>8</v>
      </c>
      <c r="U2500" s="15" t="s">
        <v>8</v>
      </c>
      <c r="V2500" s="20" t="str">
        <f>HYPERLINK("http://yeinfo.com/family/I09066803.html", "MARGARET HARRINGTON &lt;2&gt; 1384 EN-1407  ID:09066803")</f>
        <v>MARGARET HARRINGTON &lt;2&gt; 1384 EN-1407  ID:09066803</v>
      </c>
      <c r="W2500" s="17"/>
      <c r="X2500" s="17"/>
      <c r="Y2500" s="17"/>
      <c r="Z2500" s="17"/>
    </row>
    <row r="2501" spans="3:27" x14ac:dyDescent="0.35">
      <c r="C2501" s="15" t="s">
        <v>8</v>
      </c>
      <c r="D2501" s="15" t="s">
        <v>8</v>
      </c>
      <c r="G2501" s="15" t="s">
        <v>8</v>
      </c>
      <c r="L2501" s="15" t="s">
        <v>8</v>
      </c>
      <c r="M2501" s="15" t="s">
        <v>8</v>
      </c>
      <c r="N2501" s="15" t="s">
        <v>8</v>
      </c>
      <c r="O2501" s="15" t="s">
        <v>8</v>
      </c>
      <c r="Q2501" s="15" t="s">
        <v>8</v>
      </c>
      <c r="R2501" s="15" t="s">
        <v>8</v>
      </c>
      <c r="T2501" s="15" t="s">
        <v>8</v>
      </c>
      <c r="U2501" s="15" t="s">
        <v>8</v>
      </c>
      <c r="W2501" s="8" t="s">
        <v>6</v>
      </c>
    </row>
    <row r="2502" spans="3:27" x14ac:dyDescent="0.35">
      <c r="C2502" s="15" t="s">
        <v>8</v>
      </c>
      <c r="D2502" s="15" t="s">
        <v>8</v>
      </c>
      <c r="G2502" s="15" t="s">
        <v>8</v>
      </c>
      <c r="L2502" s="15" t="s">
        <v>8</v>
      </c>
      <c r="M2502" s="15" t="s">
        <v>8</v>
      </c>
      <c r="N2502" s="15" t="s">
        <v>8</v>
      </c>
      <c r="O2502" s="15" t="s">
        <v>8</v>
      </c>
      <c r="Q2502" s="15" t="s">
        <v>8</v>
      </c>
      <c r="R2502" s="15" t="s">
        <v>8</v>
      </c>
      <c r="T2502" s="15" t="s">
        <v>8</v>
      </c>
      <c r="U2502" s="15" t="s">
        <v>8</v>
      </c>
      <c r="W2502" s="20" t="str">
        <f>HYPERLINK("http://yeinfo.com/family/I09066793.html", "ISABEL ENGLISH &lt;2&gt; 1351 EN-1384 EN ID:09066793")</f>
        <v>ISABEL ENGLISH &lt;2&gt; 1351 EN-1384 EN ID:09066793</v>
      </c>
      <c r="X2502" s="17"/>
      <c r="Y2502" s="17"/>
      <c r="Z2502" s="17"/>
      <c r="AA2502" s="17"/>
    </row>
    <row r="2503" spans="3:27" x14ac:dyDescent="0.35">
      <c r="C2503" s="15" t="s">
        <v>8</v>
      </c>
      <c r="D2503" s="15" t="s">
        <v>8</v>
      </c>
      <c r="G2503" s="15" t="s">
        <v>8</v>
      </c>
      <c r="L2503" s="15" t="s">
        <v>8</v>
      </c>
      <c r="M2503" s="15" t="s">
        <v>8</v>
      </c>
      <c r="N2503" s="15" t="s">
        <v>8</v>
      </c>
      <c r="O2503" s="15" t="s">
        <v>8</v>
      </c>
      <c r="Q2503" s="15" t="s">
        <v>8</v>
      </c>
      <c r="R2503" s="15" t="s">
        <v>8</v>
      </c>
      <c r="T2503" s="8" t="s">
        <v>6</v>
      </c>
      <c r="U2503" s="15" t="s">
        <v>8</v>
      </c>
    </row>
    <row r="2504" spans="3:27" x14ac:dyDescent="0.35">
      <c r="C2504" s="15" t="s">
        <v>8</v>
      </c>
      <c r="D2504" s="15" t="s">
        <v>8</v>
      </c>
      <c r="G2504" s="15" t="s">
        <v>8</v>
      </c>
      <c r="L2504" s="15" t="s">
        <v>8</v>
      </c>
      <c r="M2504" s="15" t="s">
        <v>8</v>
      </c>
      <c r="N2504" s="15" t="s">
        <v>8</v>
      </c>
      <c r="O2504" s="15" t="s">
        <v>8</v>
      </c>
      <c r="Q2504" s="15" t="s">
        <v>8</v>
      </c>
      <c r="R2504" s="15" t="s">
        <v>8</v>
      </c>
      <c r="T2504" s="20" t="str">
        <f>HYPERLINK("http://yeinfo.com/family/I09066837.html", "KATHERINE STANLEY &lt;2&gt; 1430 EN-1498 EN ID:09066837")</f>
        <v>KATHERINE STANLEY &lt;2&gt; 1430 EN-1498 EN ID:09066837</v>
      </c>
      <c r="U2504" s="17"/>
      <c r="V2504" s="17"/>
      <c r="W2504" s="17"/>
      <c r="X2504" s="17"/>
    </row>
    <row r="2505" spans="3:27" x14ac:dyDescent="0.35">
      <c r="C2505" s="15" t="s">
        <v>8</v>
      </c>
      <c r="D2505" s="15" t="s">
        <v>8</v>
      </c>
      <c r="G2505" s="15" t="s">
        <v>8</v>
      </c>
      <c r="L2505" s="15" t="s">
        <v>8</v>
      </c>
      <c r="M2505" s="15" t="s">
        <v>8</v>
      </c>
      <c r="N2505" s="15" t="s">
        <v>8</v>
      </c>
      <c r="O2505" s="15" t="s">
        <v>8</v>
      </c>
      <c r="Q2505" s="15" t="s">
        <v>8</v>
      </c>
      <c r="R2505" s="15" t="s">
        <v>8</v>
      </c>
      <c r="U2505" s="8" t="s">
        <v>6</v>
      </c>
    </row>
    <row r="2506" spans="3:27" x14ac:dyDescent="0.35">
      <c r="C2506" s="15" t="s">
        <v>8</v>
      </c>
      <c r="D2506" s="15" t="s">
        <v>8</v>
      </c>
      <c r="G2506" s="15" t="s">
        <v>8</v>
      </c>
      <c r="L2506" s="15" t="s">
        <v>8</v>
      </c>
      <c r="M2506" s="15" t="s">
        <v>8</v>
      </c>
      <c r="N2506" s="15" t="s">
        <v>8</v>
      </c>
      <c r="O2506" s="15" t="s">
        <v>8</v>
      </c>
      <c r="Q2506" s="15" t="s">
        <v>8</v>
      </c>
      <c r="R2506" s="15" t="s">
        <v>8</v>
      </c>
      <c r="U2506" s="20" t="str">
        <f>HYPERLINK("http://yeinfo.com/family/I09066800.html", "JOAN GOUSHILL &lt;2&gt; 1401 EN-1459 EN ID:09066800")</f>
        <v>JOAN GOUSHILL &lt;2&gt; 1401 EN-1459 EN ID:09066800</v>
      </c>
      <c r="V2506" s="17"/>
      <c r="W2506" s="17"/>
      <c r="X2506" s="17"/>
      <c r="Y2506" s="17"/>
    </row>
    <row r="2507" spans="3:27" x14ac:dyDescent="0.35">
      <c r="C2507" s="15" t="s">
        <v>8</v>
      </c>
      <c r="D2507" s="15" t="s">
        <v>8</v>
      </c>
      <c r="G2507" s="15" t="s">
        <v>8</v>
      </c>
      <c r="L2507" s="15" t="s">
        <v>8</v>
      </c>
      <c r="M2507" s="15" t="s">
        <v>8</v>
      </c>
      <c r="N2507" s="15" t="s">
        <v>8</v>
      </c>
      <c r="O2507" s="15" t="s">
        <v>8</v>
      </c>
      <c r="Q2507" s="8" t="s">
        <v>6</v>
      </c>
      <c r="R2507" s="15" t="s">
        <v>8</v>
      </c>
    </row>
    <row r="2508" spans="3:27" x14ac:dyDescent="0.35">
      <c r="C2508" s="15" t="s">
        <v>8</v>
      </c>
      <c r="D2508" s="15" t="s">
        <v>8</v>
      </c>
      <c r="G2508" s="15" t="s">
        <v>8</v>
      </c>
      <c r="L2508" s="15" t="s">
        <v>8</v>
      </c>
      <c r="M2508" s="15" t="s">
        <v>8</v>
      </c>
      <c r="N2508" s="15" t="s">
        <v>8</v>
      </c>
      <c r="O2508" s="15" t="s">
        <v>8</v>
      </c>
      <c r="Q2508" s="20" t="str">
        <f>HYPERLINK("http://yeinfo.com/family/I09020715.html", "ALICE TRAFFORD &lt;2&gt; 1537 EN-1578 EN ID:09020715")</f>
        <v>ALICE TRAFFORD &lt;2&gt; 1537 EN-1578 EN ID:09020715</v>
      </c>
      <c r="R2508" s="17"/>
      <c r="S2508" s="17"/>
      <c r="T2508" s="17"/>
      <c r="U2508" s="17"/>
    </row>
    <row r="2509" spans="3:27" x14ac:dyDescent="0.35">
      <c r="C2509" s="15" t="s">
        <v>8</v>
      </c>
      <c r="D2509" s="15" t="s">
        <v>8</v>
      </c>
      <c r="G2509" s="15" t="s">
        <v>8</v>
      </c>
      <c r="L2509" s="15" t="s">
        <v>8</v>
      </c>
      <c r="M2509" s="15" t="s">
        <v>8</v>
      </c>
      <c r="N2509" s="15" t="s">
        <v>8</v>
      </c>
      <c r="O2509" s="15" t="s">
        <v>8</v>
      </c>
      <c r="R2509" s="15" t="s">
        <v>8</v>
      </c>
    </row>
    <row r="2510" spans="3:27" x14ac:dyDescent="0.35">
      <c r="C2510" s="15" t="s">
        <v>8</v>
      </c>
      <c r="D2510" s="15" t="s">
        <v>8</v>
      </c>
      <c r="G2510" s="15" t="s">
        <v>8</v>
      </c>
      <c r="L2510" s="15" t="s">
        <v>8</v>
      </c>
      <c r="M2510" s="15" t="s">
        <v>8</v>
      </c>
      <c r="N2510" s="15" t="s">
        <v>8</v>
      </c>
      <c r="O2510" s="15" t="s">
        <v>8</v>
      </c>
      <c r="R2510" s="15" t="s">
        <v>8</v>
      </c>
      <c r="V2510" s="19" t="str">
        <f>HYPERLINK("http://yeinfo.com/family/I09066813.html", "NICHOLAS LONGFORD &lt;2&gt; 1372 EN-1415 FR ID:09066813")</f>
        <v>NICHOLAS LONGFORD &lt;2&gt; 1372 EN-1415 FR ID:09066813</v>
      </c>
      <c r="W2510" s="9"/>
      <c r="X2510" s="9"/>
      <c r="Y2510" s="9"/>
      <c r="Z2510" s="9"/>
    </row>
    <row r="2511" spans="3:27" x14ac:dyDescent="0.35">
      <c r="C2511" s="15" t="s">
        <v>8</v>
      </c>
      <c r="D2511" s="15" t="s">
        <v>8</v>
      </c>
      <c r="G2511" s="15" t="s">
        <v>8</v>
      </c>
      <c r="L2511" s="15" t="s">
        <v>8</v>
      </c>
      <c r="M2511" s="15" t="s">
        <v>8</v>
      </c>
      <c r="N2511" s="15" t="s">
        <v>8</v>
      </c>
      <c r="O2511" s="15" t="s">
        <v>8</v>
      </c>
      <c r="R2511" s="15" t="s">
        <v>8</v>
      </c>
      <c r="V2511" s="8" t="s">
        <v>3</v>
      </c>
    </row>
    <row r="2512" spans="3:27" x14ac:dyDescent="0.35">
      <c r="C2512" s="15" t="s">
        <v>8</v>
      </c>
      <c r="D2512" s="15" t="s">
        <v>8</v>
      </c>
      <c r="G2512" s="15" t="s">
        <v>8</v>
      </c>
      <c r="L2512" s="15" t="s">
        <v>8</v>
      </c>
      <c r="M2512" s="15" t="s">
        <v>8</v>
      </c>
      <c r="N2512" s="15" t="s">
        <v>8</v>
      </c>
      <c r="O2512" s="15" t="s">
        <v>8</v>
      </c>
      <c r="R2512" s="15" t="s">
        <v>8</v>
      </c>
      <c r="U2512" s="19" t="str">
        <f>HYPERLINK("http://yeinfo.com/family/I09066814.html", "RALPH NICHOLAS LONGFORD &lt;2&gt; 1380 EN-1473 EN ID:09066814")</f>
        <v>RALPH NICHOLAS LONGFORD &lt;2&gt; 1380 EN-1473 EN ID:09066814</v>
      </c>
      <c r="V2512" s="9"/>
      <c r="W2512" s="9"/>
      <c r="X2512" s="9"/>
      <c r="Y2512" s="9"/>
    </row>
    <row r="2513" spans="3:31" x14ac:dyDescent="0.35">
      <c r="C2513" s="15" t="s">
        <v>8</v>
      </c>
      <c r="D2513" s="15" t="s">
        <v>8</v>
      </c>
      <c r="G2513" s="15" t="s">
        <v>8</v>
      </c>
      <c r="L2513" s="15" t="s">
        <v>8</v>
      </c>
      <c r="M2513" s="15" t="s">
        <v>8</v>
      </c>
      <c r="N2513" s="15" t="s">
        <v>8</v>
      </c>
      <c r="O2513" s="15" t="s">
        <v>8</v>
      </c>
      <c r="R2513" s="15" t="s">
        <v>8</v>
      </c>
      <c r="U2513" s="8" t="s">
        <v>3</v>
      </c>
      <c r="V2513" s="8" t="s">
        <v>6</v>
      </c>
    </row>
    <row r="2514" spans="3:31" x14ac:dyDescent="0.35">
      <c r="C2514" s="15" t="s">
        <v>8</v>
      </c>
      <c r="D2514" s="15" t="s">
        <v>8</v>
      </c>
      <c r="G2514" s="15" t="s">
        <v>8</v>
      </c>
      <c r="L2514" s="15" t="s">
        <v>8</v>
      </c>
      <c r="M2514" s="15" t="s">
        <v>8</v>
      </c>
      <c r="N2514" s="15" t="s">
        <v>8</v>
      </c>
      <c r="O2514" s="15" t="s">
        <v>8</v>
      </c>
      <c r="R2514" s="15" t="s">
        <v>8</v>
      </c>
      <c r="U2514" s="15" t="s">
        <v>8</v>
      </c>
      <c r="V2514" s="20" t="str">
        <f>HYPERLINK("http://yeinfo.com/family/I09066842.html", "JOAN WARREN &lt;2&gt; 1372 EN-1410  ID:09066842")</f>
        <v>JOAN WARREN &lt;2&gt; 1372 EN-1410  ID:09066842</v>
      </c>
      <c r="W2514" s="17"/>
      <c r="X2514" s="17"/>
      <c r="Y2514" s="17"/>
      <c r="Z2514" s="17"/>
    </row>
    <row r="2515" spans="3:31" x14ac:dyDescent="0.35">
      <c r="C2515" s="15" t="s">
        <v>8</v>
      </c>
      <c r="D2515" s="15" t="s">
        <v>8</v>
      </c>
      <c r="G2515" s="15" t="s">
        <v>8</v>
      </c>
      <c r="L2515" s="15" t="s">
        <v>8</v>
      </c>
      <c r="M2515" s="15" t="s">
        <v>8</v>
      </c>
      <c r="N2515" s="15" t="s">
        <v>8</v>
      </c>
      <c r="O2515" s="15" t="s">
        <v>8</v>
      </c>
      <c r="R2515" s="15" t="s">
        <v>8</v>
      </c>
      <c r="U2515" s="15" t="s">
        <v>8</v>
      </c>
    </row>
    <row r="2516" spans="3:31" x14ac:dyDescent="0.35">
      <c r="C2516" s="15" t="s">
        <v>8</v>
      </c>
      <c r="D2516" s="15" t="s">
        <v>8</v>
      </c>
      <c r="G2516" s="15" t="s">
        <v>8</v>
      </c>
      <c r="L2516" s="15" t="s">
        <v>8</v>
      </c>
      <c r="M2516" s="15" t="s">
        <v>8</v>
      </c>
      <c r="N2516" s="15" t="s">
        <v>8</v>
      </c>
      <c r="O2516" s="15" t="s">
        <v>8</v>
      </c>
      <c r="R2516" s="15" t="s">
        <v>8</v>
      </c>
      <c r="T2516" s="19" t="str">
        <f>HYPERLINK("http://yeinfo.com/family/I09066815.html", "RALPH LONGFORD &lt;2&gt; 1440 EN-1513 EN ID:09066815")</f>
        <v>RALPH LONGFORD &lt;2&gt; 1440 EN-1513 EN ID:09066815</v>
      </c>
      <c r="U2516" s="9"/>
      <c r="V2516" s="9"/>
      <c r="W2516" s="9"/>
      <c r="X2516" s="9"/>
    </row>
    <row r="2517" spans="3:31" x14ac:dyDescent="0.35">
      <c r="C2517" s="15" t="s">
        <v>8</v>
      </c>
      <c r="D2517" s="15" t="s">
        <v>8</v>
      </c>
      <c r="G2517" s="15" t="s">
        <v>8</v>
      </c>
      <c r="L2517" s="15" t="s">
        <v>8</v>
      </c>
      <c r="M2517" s="15" t="s">
        <v>8</v>
      </c>
      <c r="N2517" s="15" t="s">
        <v>8</v>
      </c>
      <c r="O2517" s="15" t="s">
        <v>8</v>
      </c>
      <c r="R2517" s="15" t="s">
        <v>8</v>
      </c>
      <c r="T2517" s="8" t="s">
        <v>3</v>
      </c>
      <c r="U2517" s="15" t="s">
        <v>8</v>
      </c>
    </row>
    <row r="2518" spans="3:31" x14ac:dyDescent="0.35">
      <c r="C2518" s="15" t="s">
        <v>8</v>
      </c>
      <c r="D2518" s="15" t="s">
        <v>8</v>
      </c>
      <c r="G2518" s="15" t="s">
        <v>8</v>
      </c>
      <c r="L2518" s="15" t="s">
        <v>8</v>
      </c>
      <c r="M2518" s="15" t="s">
        <v>8</v>
      </c>
      <c r="N2518" s="15" t="s">
        <v>8</v>
      </c>
      <c r="O2518" s="15" t="s">
        <v>8</v>
      </c>
      <c r="R2518" s="15" t="s">
        <v>8</v>
      </c>
      <c r="T2518" s="15" t="s">
        <v>8</v>
      </c>
      <c r="U2518" s="15" t="s">
        <v>8</v>
      </c>
      <c r="V2518" s="19" t="str">
        <f>HYPERLINK("http://yeinfo.com/family/I09066818.html", "JOHN MELTON &lt;2&gt; 1363 EN-1455 EN ID:09066818")</f>
        <v>JOHN MELTON &lt;2&gt; 1363 EN-1455 EN ID:09066818</v>
      </c>
      <c r="W2518" s="9"/>
      <c r="X2518" s="9"/>
      <c r="Y2518" s="9"/>
      <c r="Z2518" s="9"/>
    </row>
    <row r="2519" spans="3:31" x14ac:dyDescent="0.35">
      <c r="C2519" s="15" t="s">
        <v>8</v>
      </c>
      <c r="D2519" s="15" t="s">
        <v>8</v>
      </c>
      <c r="G2519" s="15" t="s">
        <v>8</v>
      </c>
      <c r="L2519" s="15" t="s">
        <v>8</v>
      </c>
      <c r="M2519" s="15" t="s">
        <v>8</v>
      </c>
      <c r="N2519" s="15" t="s">
        <v>8</v>
      </c>
      <c r="O2519" s="15" t="s">
        <v>8</v>
      </c>
      <c r="R2519" s="15" t="s">
        <v>8</v>
      </c>
      <c r="T2519" s="15" t="s">
        <v>8</v>
      </c>
      <c r="U2519" s="8" t="s">
        <v>6</v>
      </c>
      <c r="V2519" s="8" t="s">
        <v>3</v>
      </c>
    </row>
    <row r="2520" spans="3:31" x14ac:dyDescent="0.35">
      <c r="C2520" s="15" t="s">
        <v>8</v>
      </c>
      <c r="D2520" s="15" t="s">
        <v>8</v>
      </c>
      <c r="G2520" s="15" t="s">
        <v>8</v>
      </c>
      <c r="L2520" s="15" t="s">
        <v>8</v>
      </c>
      <c r="M2520" s="15" t="s">
        <v>8</v>
      </c>
      <c r="N2520" s="15" t="s">
        <v>8</v>
      </c>
      <c r="O2520" s="15" t="s">
        <v>8</v>
      </c>
      <c r="R2520" s="15" t="s">
        <v>8</v>
      </c>
      <c r="T2520" s="15" t="s">
        <v>8</v>
      </c>
      <c r="U2520" s="20" t="str">
        <f>HYPERLINK("http://yeinfo.com/family/I09066819.html", "MARGARET MELTON &lt;2&gt; 1400 EN-1440 EN ID:09066819")</f>
        <v>MARGARET MELTON &lt;2&gt; 1400 EN-1440 EN ID:09066819</v>
      </c>
      <c r="V2520" s="17"/>
      <c r="W2520" s="17"/>
      <c r="X2520" s="17"/>
      <c r="Y2520" s="17"/>
    </row>
    <row r="2521" spans="3:31" x14ac:dyDescent="0.35">
      <c r="C2521" s="15" t="s">
        <v>8</v>
      </c>
      <c r="D2521" s="15" t="s">
        <v>8</v>
      </c>
      <c r="G2521" s="15" t="s">
        <v>8</v>
      </c>
      <c r="L2521" s="15" t="s">
        <v>8</v>
      </c>
      <c r="M2521" s="15" t="s">
        <v>8</v>
      </c>
      <c r="N2521" s="15" t="s">
        <v>8</v>
      </c>
      <c r="O2521" s="15" t="s">
        <v>8</v>
      </c>
      <c r="R2521" s="15" t="s">
        <v>8</v>
      </c>
      <c r="T2521" s="15" t="s">
        <v>8</v>
      </c>
      <c r="V2521" s="15" t="s">
        <v>8</v>
      </c>
    </row>
    <row r="2522" spans="3:31" x14ac:dyDescent="0.35">
      <c r="C2522" s="15" t="s">
        <v>8</v>
      </c>
      <c r="D2522" s="15" t="s">
        <v>8</v>
      </c>
      <c r="G2522" s="15" t="s">
        <v>8</v>
      </c>
      <c r="L2522" s="15" t="s">
        <v>8</v>
      </c>
      <c r="M2522" s="15" t="s">
        <v>8</v>
      </c>
      <c r="N2522" s="15" t="s">
        <v>8</v>
      </c>
      <c r="O2522" s="15" t="s">
        <v>8</v>
      </c>
      <c r="R2522" s="15" t="s">
        <v>8</v>
      </c>
      <c r="T2522" s="15" t="s">
        <v>8</v>
      </c>
      <c r="V2522" s="15" t="s">
        <v>8</v>
      </c>
      <c r="W2522" s="19" t="str">
        <f>HYPERLINK("http://yeinfo.com/family/I09066786.html", "ROGER CLIFFORD &lt;4&gt; 1333 EN-1390 EN ID:09066786")</f>
        <v>ROGER CLIFFORD &lt;4&gt; 1333 EN-1390 EN ID:09066786</v>
      </c>
      <c r="X2522" s="9"/>
      <c r="Y2522" s="9"/>
      <c r="Z2522" s="9"/>
      <c r="AA2522" s="9"/>
    </row>
    <row r="2523" spans="3:31" x14ac:dyDescent="0.35">
      <c r="C2523" s="15" t="s">
        <v>8</v>
      </c>
      <c r="D2523" s="15" t="s">
        <v>8</v>
      </c>
      <c r="G2523" s="15" t="s">
        <v>8</v>
      </c>
      <c r="L2523" s="15" t="s">
        <v>8</v>
      </c>
      <c r="M2523" s="15" t="s">
        <v>8</v>
      </c>
      <c r="N2523" s="15" t="s">
        <v>8</v>
      </c>
      <c r="O2523" s="15" t="s">
        <v>8</v>
      </c>
      <c r="R2523" s="15" t="s">
        <v>8</v>
      </c>
      <c r="T2523" s="15" t="s">
        <v>8</v>
      </c>
      <c r="V2523" s="8" t="s">
        <v>6</v>
      </c>
      <c r="W2523" s="8" t="s">
        <v>3</v>
      </c>
    </row>
    <row r="2524" spans="3:31" x14ac:dyDescent="0.35">
      <c r="C2524" s="15" t="s">
        <v>8</v>
      </c>
      <c r="D2524" s="15" t="s">
        <v>8</v>
      </c>
      <c r="G2524" s="15" t="s">
        <v>8</v>
      </c>
      <c r="L2524" s="15" t="s">
        <v>8</v>
      </c>
      <c r="M2524" s="15" t="s">
        <v>8</v>
      </c>
      <c r="N2524" s="15" t="s">
        <v>8</v>
      </c>
      <c r="O2524" s="15" t="s">
        <v>8</v>
      </c>
      <c r="R2524" s="15" t="s">
        <v>8</v>
      </c>
      <c r="T2524" s="15" t="s">
        <v>8</v>
      </c>
      <c r="V2524" s="20" t="str">
        <f>HYPERLINK("http://yeinfo.com/family/I09066787.html", "MARGARET CLIFFORD &lt;2&gt; 1367 EN-1455 EN ID:09066787")</f>
        <v>MARGARET CLIFFORD &lt;2&gt; 1367 EN-1455 EN ID:09066787</v>
      </c>
      <c r="W2524" s="17"/>
      <c r="X2524" s="17"/>
      <c r="Y2524" s="17"/>
      <c r="Z2524" s="17"/>
    </row>
    <row r="2525" spans="3:31" x14ac:dyDescent="0.35">
      <c r="C2525" s="15" t="s">
        <v>8</v>
      </c>
      <c r="D2525" s="15" t="s">
        <v>8</v>
      </c>
      <c r="G2525" s="15" t="s">
        <v>8</v>
      </c>
      <c r="L2525" s="15" t="s">
        <v>8</v>
      </c>
      <c r="M2525" s="15" t="s">
        <v>8</v>
      </c>
      <c r="N2525" s="15" t="s">
        <v>8</v>
      </c>
      <c r="O2525" s="15" t="s">
        <v>8</v>
      </c>
      <c r="R2525" s="15" t="s">
        <v>8</v>
      </c>
      <c r="T2525" s="15" t="s">
        <v>8</v>
      </c>
      <c r="W2525" s="15" t="s">
        <v>8</v>
      </c>
    </row>
    <row r="2526" spans="3:31" x14ac:dyDescent="0.35">
      <c r="C2526" s="15" t="s">
        <v>8</v>
      </c>
      <c r="D2526" s="15" t="s">
        <v>8</v>
      </c>
      <c r="G2526" s="15" t="s">
        <v>8</v>
      </c>
      <c r="L2526" s="15" t="s">
        <v>8</v>
      </c>
      <c r="M2526" s="15" t="s">
        <v>8</v>
      </c>
      <c r="N2526" s="15" t="s">
        <v>8</v>
      </c>
      <c r="O2526" s="15" t="s">
        <v>8</v>
      </c>
      <c r="R2526" s="15" t="s">
        <v>8</v>
      </c>
      <c r="T2526" s="15" t="s">
        <v>8</v>
      </c>
      <c r="W2526" s="15" t="s">
        <v>8</v>
      </c>
      <c r="AA2526" s="19" t="str">
        <f>HYPERLINK("http://yeinfo.com/family/I09066667.html", "WILLIAM BEAUCHAMP &lt;5&gt; 1215 EN-1268 EN ID:09066667")</f>
        <v>WILLIAM BEAUCHAMP &lt;5&gt; 1215 EN-1268 EN ID:09066667</v>
      </c>
      <c r="AB2526" s="9"/>
      <c r="AC2526" s="9"/>
      <c r="AD2526" s="9"/>
      <c r="AE2526" s="9"/>
    </row>
    <row r="2527" spans="3:31" x14ac:dyDescent="0.35">
      <c r="C2527" s="15" t="s">
        <v>8</v>
      </c>
      <c r="D2527" s="15" t="s">
        <v>8</v>
      </c>
      <c r="G2527" s="15" t="s">
        <v>8</v>
      </c>
      <c r="L2527" s="15" t="s">
        <v>8</v>
      </c>
      <c r="M2527" s="15" t="s">
        <v>8</v>
      </c>
      <c r="N2527" s="15" t="s">
        <v>8</v>
      </c>
      <c r="O2527" s="15" t="s">
        <v>8</v>
      </c>
      <c r="R2527" s="15" t="s">
        <v>8</v>
      </c>
      <c r="T2527" s="15" t="s">
        <v>8</v>
      </c>
      <c r="W2527" s="15" t="s">
        <v>8</v>
      </c>
      <c r="AA2527" s="8" t="s">
        <v>3</v>
      </c>
    </row>
    <row r="2528" spans="3:31" x14ac:dyDescent="0.35">
      <c r="C2528" s="15" t="s">
        <v>8</v>
      </c>
      <c r="D2528" s="15" t="s">
        <v>8</v>
      </c>
      <c r="G2528" s="15" t="s">
        <v>8</v>
      </c>
      <c r="L2528" s="15" t="s">
        <v>8</v>
      </c>
      <c r="M2528" s="15" t="s">
        <v>8</v>
      </c>
      <c r="N2528" s="15" t="s">
        <v>8</v>
      </c>
      <c r="O2528" s="15" t="s">
        <v>8</v>
      </c>
      <c r="R2528" s="15" t="s">
        <v>8</v>
      </c>
      <c r="T2528" s="15" t="s">
        <v>8</v>
      </c>
      <c r="W2528" s="15" t="s">
        <v>8</v>
      </c>
      <c r="Z2528" s="19" t="str">
        <f>HYPERLINK("http://yeinfo.com/family/I09066645.html", "WILLIAM BEAUCHAMP &lt;5&gt; 1237 EN-1262  ID:09066645")</f>
        <v>WILLIAM BEAUCHAMP &lt;5&gt; 1237 EN-1262  ID:09066645</v>
      </c>
      <c r="AA2528" s="9"/>
      <c r="AB2528" s="9"/>
      <c r="AC2528" s="9"/>
      <c r="AD2528" s="9"/>
    </row>
    <row r="2529" spans="3:34" x14ac:dyDescent="0.35">
      <c r="C2529" s="15" t="s">
        <v>8</v>
      </c>
      <c r="D2529" s="15" t="s">
        <v>8</v>
      </c>
      <c r="G2529" s="15" t="s">
        <v>8</v>
      </c>
      <c r="L2529" s="15" t="s">
        <v>8</v>
      </c>
      <c r="M2529" s="15" t="s">
        <v>8</v>
      </c>
      <c r="N2529" s="15" t="s">
        <v>8</v>
      </c>
      <c r="O2529" s="15" t="s">
        <v>8</v>
      </c>
      <c r="R2529" s="15" t="s">
        <v>8</v>
      </c>
      <c r="T2529" s="15" t="s">
        <v>8</v>
      </c>
      <c r="W2529" s="15" t="s">
        <v>8</v>
      </c>
      <c r="Z2529" s="8" t="s">
        <v>3</v>
      </c>
      <c r="AA2529" s="8" t="s">
        <v>6</v>
      </c>
    </row>
    <row r="2530" spans="3:34" x14ac:dyDescent="0.35">
      <c r="C2530" s="15" t="s">
        <v>8</v>
      </c>
      <c r="D2530" s="15" t="s">
        <v>8</v>
      </c>
      <c r="G2530" s="15" t="s">
        <v>8</v>
      </c>
      <c r="L2530" s="15" t="s">
        <v>8</v>
      </c>
      <c r="M2530" s="15" t="s">
        <v>8</v>
      </c>
      <c r="N2530" s="15" t="s">
        <v>8</v>
      </c>
      <c r="O2530" s="15" t="s">
        <v>8</v>
      </c>
      <c r="R2530" s="15" t="s">
        <v>8</v>
      </c>
      <c r="T2530" s="15" t="s">
        <v>8</v>
      </c>
      <c r="W2530" s="15" t="s">
        <v>8</v>
      </c>
      <c r="Z2530" s="15" t="s">
        <v>8</v>
      </c>
      <c r="AA2530" s="20" t="str">
        <f>HYPERLINK("http://yeinfo.com/family/I09066668.html", "ISABEL MAUDUIT &lt;5&gt; 1216 EN-1268 EN ID:09066668")</f>
        <v>ISABEL MAUDUIT &lt;5&gt; 1216 EN-1268 EN ID:09066668</v>
      </c>
      <c r="AB2530" s="17"/>
      <c r="AC2530" s="17"/>
      <c r="AD2530" s="17"/>
      <c r="AE2530" s="17"/>
    </row>
    <row r="2531" spans="3:34" x14ac:dyDescent="0.35">
      <c r="C2531" s="15" t="s">
        <v>8</v>
      </c>
      <c r="D2531" s="15" t="s">
        <v>8</v>
      </c>
      <c r="G2531" s="15" t="s">
        <v>8</v>
      </c>
      <c r="L2531" s="15" t="s">
        <v>8</v>
      </c>
      <c r="M2531" s="15" t="s">
        <v>8</v>
      </c>
      <c r="N2531" s="15" t="s">
        <v>8</v>
      </c>
      <c r="O2531" s="15" t="s">
        <v>8</v>
      </c>
      <c r="R2531" s="15" t="s">
        <v>8</v>
      </c>
      <c r="T2531" s="15" t="s">
        <v>8</v>
      </c>
      <c r="W2531" s="15" t="s">
        <v>8</v>
      </c>
      <c r="Z2531" s="15" t="s">
        <v>8</v>
      </c>
    </row>
    <row r="2532" spans="3:34" x14ac:dyDescent="0.35">
      <c r="C2532" s="15" t="s">
        <v>8</v>
      </c>
      <c r="D2532" s="15" t="s">
        <v>8</v>
      </c>
      <c r="G2532" s="15" t="s">
        <v>8</v>
      </c>
      <c r="L2532" s="15" t="s">
        <v>8</v>
      </c>
      <c r="M2532" s="15" t="s">
        <v>8</v>
      </c>
      <c r="N2532" s="15" t="s">
        <v>8</v>
      </c>
      <c r="O2532" s="15" t="s">
        <v>8</v>
      </c>
      <c r="R2532" s="15" t="s">
        <v>8</v>
      </c>
      <c r="T2532" s="15" t="s">
        <v>8</v>
      </c>
      <c r="W2532" s="15" t="s">
        <v>8</v>
      </c>
      <c r="Y2532" s="19" t="str">
        <f>HYPERLINK("http://yeinfo.com/family/I09066586.html", "GUY BEAUCHAMP &lt;5&gt; 1262 EN-1315 EN ID:09066586")</f>
        <v>GUY BEAUCHAMP &lt;5&gt; 1262 EN-1315 EN ID:09066586</v>
      </c>
      <c r="Z2532" s="9"/>
      <c r="AA2532" s="9"/>
      <c r="AB2532" s="9"/>
      <c r="AC2532" s="9"/>
    </row>
    <row r="2533" spans="3:34" x14ac:dyDescent="0.35">
      <c r="C2533" s="15" t="s">
        <v>8</v>
      </c>
      <c r="D2533" s="15" t="s">
        <v>8</v>
      </c>
      <c r="G2533" s="15" t="s">
        <v>8</v>
      </c>
      <c r="L2533" s="15" t="s">
        <v>8</v>
      </c>
      <c r="M2533" s="15" t="s">
        <v>8</v>
      </c>
      <c r="N2533" s="15" t="s">
        <v>8</v>
      </c>
      <c r="O2533" s="15" t="s">
        <v>8</v>
      </c>
      <c r="R2533" s="15" t="s">
        <v>8</v>
      </c>
      <c r="T2533" s="15" t="s">
        <v>8</v>
      </c>
      <c r="W2533" s="15" t="s">
        <v>8</v>
      </c>
      <c r="Y2533" s="8" t="s">
        <v>3</v>
      </c>
      <c r="Z2533" s="8" t="s">
        <v>6</v>
      </c>
    </row>
    <row r="2534" spans="3:34" x14ac:dyDescent="0.35">
      <c r="C2534" s="15" t="s">
        <v>8</v>
      </c>
      <c r="D2534" s="15" t="s">
        <v>8</v>
      </c>
      <c r="G2534" s="15" t="s">
        <v>8</v>
      </c>
      <c r="L2534" s="15" t="s">
        <v>8</v>
      </c>
      <c r="M2534" s="15" t="s">
        <v>8</v>
      </c>
      <c r="N2534" s="15" t="s">
        <v>8</v>
      </c>
      <c r="O2534" s="15" t="s">
        <v>8</v>
      </c>
      <c r="R2534" s="15" t="s">
        <v>8</v>
      </c>
      <c r="T2534" s="15" t="s">
        <v>8</v>
      </c>
      <c r="W2534" s="15" t="s">
        <v>8</v>
      </c>
      <c r="Y2534" s="15" t="s">
        <v>8</v>
      </c>
      <c r="Z2534" s="20" t="str">
        <f>HYPERLINK("http://yeinfo.com/family/I09066646.html", "MAUD FITZJOHN &lt;5&gt; 1237 EN-1301 EN ID:09066646")</f>
        <v>MAUD FITZJOHN &lt;5&gt; 1237 EN-1301 EN ID:09066646</v>
      </c>
      <c r="AA2534" s="17"/>
      <c r="AB2534" s="17"/>
      <c r="AC2534" s="17"/>
      <c r="AD2534" s="17"/>
    </row>
    <row r="2535" spans="3:34" x14ac:dyDescent="0.35">
      <c r="C2535" s="15" t="s">
        <v>8</v>
      </c>
      <c r="D2535" s="15" t="s">
        <v>8</v>
      </c>
      <c r="G2535" s="15" t="s">
        <v>8</v>
      </c>
      <c r="L2535" s="15" t="s">
        <v>8</v>
      </c>
      <c r="M2535" s="15" t="s">
        <v>8</v>
      </c>
      <c r="N2535" s="15" t="s">
        <v>8</v>
      </c>
      <c r="O2535" s="15" t="s">
        <v>8</v>
      </c>
      <c r="R2535" s="15" t="s">
        <v>8</v>
      </c>
      <c r="T2535" s="15" t="s">
        <v>8</v>
      </c>
      <c r="W2535" s="15" t="s">
        <v>8</v>
      </c>
      <c r="Y2535" s="15" t="s">
        <v>8</v>
      </c>
    </row>
    <row r="2536" spans="3:34" x14ac:dyDescent="0.35">
      <c r="C2536" s="15" t="s">
        <v>8</v>
      </c>
      <c r="D2536" s="15" t="s">
        <v>8</v>
      </c>
      <c r="G2536" s="15" t="s">
        <v>8</v>
      </c>
      <c r="L2536" s="15" t="s">
        <v>8</v>
      </c>
      <c r="M2536" s="15" t="s">
        <v>8</v>
      </c>
      <c r="N2536" s="15" t="s">
        <v>8</v>
      </c>
      <c r="O2536" s="15" t="s">
        <v>8</v>
      </c>
      <c r="R2536" s="15" t="s">
        <v>8</v>
      </c>
      <c r="T2536" s="15" t="s">
        <v>8</v>
      </c>
      <c r="W2536" s="15" t="s">
        <v>8</v>
      </c>
      <c r="X2536" s="19" t="str">
        <f>HYPERLINK("http://yeinfo.com/family/I09066534.html", "THOMAS BEAUCHAMP &lt;5&gt; 1313 EN-1369  ID:09066534")</f>
        <v>THOMAS BEAUCHAMP &lt;5&gt; 1313 EN-1369  ID:09066534</v>
      </c>
      <c r="Y2536" s="9"/>
      <c r="Z2536" s="9"/>
      <c r="AA2536" s="9"/>
      <c r="AB2536" s="9"/>
    </row>
    <row r="2537" spans="3:34" x14ac:dyDescent="0.35">
      <c r="C2537" s="15" t="s">
        <v>8</v>
      </c>
      <c r="D2537" s="15" t="s">
        <v>8</v>
      </c>
      <c r="G2537" s="15" t="s">
        <v>8</v>
      </c>
      <c r="L2537" s="15" t="s">
        <v>8</v>
      </c>
      <c r="M2537" s="15" t="s">
        <v>8</v>
      </c>
      <c r="N2537" s="15" t="s">
        <v>8</v>
      </c>
      <c r="O2537" s="15" t="s">
        <v>8</v>
      </c>
      <c r="R2537" s="15" t="s">
        <v>8</v>
      </c>
      <c r="T2537" s="15" t="s">
        <v>8</v>
      </c>
      <c r="W2537" s="15" t="s">
        <v>8</v>
      </c>
      <c r="X2537" s="8" t="s">
        <v>3</v>
      </c>
      <c r="Y2537" s="15" t="s">
        <v>8</v>
      </c>
    </row>
    <row r="2538" spans="3:34" x14ac:dyDescent="0.35">
      <c r="C2538" s="15" t="s">
        <v>8</v>
      </c>
      <c r="D2538" s="15" t="s">
        <v>8</v>
      </c>
      <c r="G2538" s="15" t="s">
        <v>8</v>
      </c>
      <c r="L2538" s="15" t="s">
        <v>8</v>
      </c>
      <c r="M2538" s="15" t="s">
        <v>8</v>
      </c>
      <c r="N2538" s="15" t="s">
        <v>8</v>
      </c>
      <c r="O2538" s="15" t="s">
        <v>8</v>
      </c>
      <c r="R2538" s="15" t="s">
        <v>8</v>
      </c>
      <c r="T2538" s="15" t="s">
        <v>8</v>
      </c>
      <c r="W2538" s="15" t="s">
        <v>8</v>
      </c>
      <c r="X2538" s="15" t="s">
        <v>8</v>
      </c>
      <c r="Y2538" s="15" t="s">
        <v>8</v>
      </c>
      <c r="AA2538" s="19" t="str">
        <f>HYPERLINK("http://yeinfo.com/family/I09066669.html", "ROGER TOENI &lt;5&gt; 1235 EN-1255 EN ID:09066669")</f>
        <v>ROGER TOENI &lt;5&gt; 1235 EN-1255 EN ID:09066669</v>
      </c>
      <c r="AB2538" s="9"/>
      <c r="AC2538" s="9"/>
      <c r="AD2538" s="9"/>
      <c r="AE2538" s="9"/>
    </row>
    <row r="2539" spans="3:34" x14ac:dyDescent="0.35">
      <c r="C2539" s="15" t="s">
        <v>8</v>
      </c>
      <c r="D2539" s="15" t="s">
        <v>8</v>
      </c>
      <c r="G2539" s="15" t="s">
        <v>8</v>
      </c>
      <c r="L2539" s="15" t="s">
        <v>8</v>
      </c>
      <c r="M2539" s="15" t="s">
        <v>8</v>
      </c>
      <c r="N2539" s="15" t="s">
        <v>8</v>
      </c>
      <c r="O2539" s="15" t="s">
        <v>8</v>
      </c>
      <c r="R2539" s="15" t="s">
        <v>8</v>
      </c>
      <c r="T2539" s="15" t="s">
        <v>8</v>
      </c>
      <c r="W2539" s="15" t="s">
        <v>8</v>
      </c>
      <c r="X2539" s="15" t="s">
        <v>8</v>
      </c>
      <c r="Y2539" s="15" t="s">
        <v>8</v>
      </c>
      <c r="AA2539" s="8" t="s">
        <v>3</v>
      </c>
    </row>
    <row r="2540" spans="3:34" x14ac:dyDescent="0.35">
      <c r="C2540" s="15" t="s">
        <v>8</v>
      </c>
      <c r="D2540" s="15" t="s">
        <v>8</v>
      </c>
      <c r="G2540" s="15" t="s">
        <v>8</v>
      </c>
      <c r="L2540" s="15" t="s">
        <v>8</v>
      </c>
      <c r="M2540" s="15" t="s">
        <v>8</v>
      </c>
      <c r="N2540" s="15" t="s">
        <v>8</v>
      </c>
      <c r="O2540" s="15" t="s">
        <v>8</v>
      </c>
      <c r="R2540" s="15" t="s">
        <v>8</v>
      </c>
      <c r="T2540" s="15" t="s">
        <v>8</v>
      </c>
      <c r="W2540" s="15" t="s">
        <v>8</v>
      </c>
      <c r="X2540" s="15" t="s">
        <v>8</v>
      </c>
      <c r="Y2540" s="15" t="s">
        <v>8</v>
      </c>
      <c r="Z2540" s="19" t="str">
        <f>HYPERLINK("http://yeinfo.com/family/I09066647.html", "RALPH\RAOUI TOENI &lt;5&gt; 1253 EN-1295 FR ID:09066647")</f>
        <v>RALPH\RAOUI TOENI &lt;5&gt; 1253 EN-1295 FR ID:09066647</v>
      </c>
      <c r="AA2540" s="9"/>
      <c r="AB2540" s="9"/>
      <c r="AC2540" s="9"/>
      <c r="AD2540" s="9"/>
      <c r="AE2540" s="9"/>
    </row>
    <row r="2541" spans="3:34" x14ac:dyDescent="0.35">
      <c r="C2541" s="15" t="s">
        <v>8</v>
      </c>
      <c r="D2541" s="15" t="s">
        <v>8</v>
      </c>
      <c r="G2541" s="15" t="s">
        <v>8</v>
      </c>
      <c r="L2541" s="15" t="s">
        <v>8</v>
      </c>
      <c r="M2541" s="15" t="s">
        <v>8</v>
      </c>
      <c r="N2541" s="15" t="s">
        <v>8</v>
      </c>
      <c r="O2541" s="15" t="s">
        <v>8</v>
      </c>
      <c r="R2541" s="15" t="s">
        <v>8</v>
      </c>
      <c r="T2541" s="15" t="s">
        <v>8</v>
      </c>
      <c r="W2541" s="15" t="s">
        <v>8</v>
      </c>
      <c r="X2541" s="15" t="s">
        <v>8</v>
      </c>
      <c r="Y2541" s="15" t="s">
        <v>8</v>
      </c>
      <c r="Z2541" s="8" t="s">
        <v>3</v>
      </c>
      <c r="AA2541" s="15" t="s">
        <v>8</v>
      </c>
    </row>
    <row r="2542" spans="3:34" x14ac:dyDescent="0.35">
      <c r="C2542" s="15" t="s">
        <v>8</v>
      </c>
      <c r="D2542" s="15" t="s">
        <v>8</v>
      </c>
      <c r="G2542" s="15" t="s">
        <v>8</v>
      </c>
      <c r="L2542" s="15" t="s">
        <v>8</v>
      </c>
      <c r="M2542" s="15" t="s">
        <v>8</v>
      </c>
      <c r="N2542" s="15" t="s">
        <v>8</v>
      </c>
      <c r="O2542" s="15" t="s">
        <v>8</v>
      </c>
      <c r="R2542" s="15" t="s">
        <v>8</v>
      </c>
      <c r="T2542" s="15" t="s">
        <v>8</v>
      </c>
      <c r="W2542" s="15" t="s">
        <v>8</v>
      </c>
      <c r="X2542" s="15" t="s">
        <v>8</v>
      </c>
      <c r="Y2542" s="15" t="s">
        <v>8</v>
      </c>
      <c r="Z2542" s="15" t="s">
        <v>8</v>
      </c>
      <c r="AA2542" s="15" t="s">
        <v>8</v>
      </c>
      <c r="AD2542" s="19" t="str">
        <f>HYPERLINK("http://yeinfo.com/family/I09066676.html", "FRANCIS BOHUN &lt;5&gt; 1165 EN-1185 EN ID:09066676")</f>
        <v>FRANCIS BOHUN &lt;5&gt; 1165 EN-1185 EN ID:09066676</v>
      </c>
      <c r="AE2542" s="9"/>
      <c r="AF2542" s="9"/>
      <c r="AG2542" s="9"/>
      <c r="AH2542" s="9"/>
    </row>
    <row r="2543" spans="3:34" x14ac:dyDescent="0.35">
      <c r="C2543" s="15" t="s">
        <v>8</v>
      </c>
      <c r="D2543" s="15" t="s">
        <v>8</v>
      </c>
      <c r="G2543" s="15" t="s">
        <v>8</v>
      </c>
      <c r="L2543" s="15" t="s">
        <v>8</v>
      </c>
      <c r="M2543" s="15" t="s">
        <v>8</v>
      </c>
      <c r="N2543" s="15" t="s">
        <v>8</v>
      </c>
      <c r="O2543" s="15" t="s">
        <v>8</v>
      </c>
      <c r="R2543" s="15" t="s">
        <v>8</v>
      </c>
      <c r="T2543" s="15" t="s">
        <v>8</v>
      </c>
      <c r="W2543" s="15" t="s">
        <v>8</v>
      </c>
      <c r="X2543" s="15" t="s">
        <v>8</v>
      </c>
      <c r="Y2543" s="15" t="s">
        <v>8</v>
      </c>
      <c r="Z2543" s="15" t="s">
        <v>8</v>
      </c>
      <c r="AA2543" s="15" t="s">
        <v>8</v>
      </c>
      <c r="AD2543" s="8" t="s">
        <v>3</v>
      </c>
    </row>
    <row r="2544" spans="3:34" x14ac:dyDescent="0.35">
      <c r="C2544" s="15" t="s">
        <v>8</v>
      </c>
      <c r="D2544" s="15" t="s">
        <v>8</v>
      </c>
      <c r="G2544" s="15" t="s">
        <v>8</v>
      </c>
      <c r="L2544" s="15" t="s">
        <v>8</v>
      </c>
      <c r="M2544" s="15" t="s">
        <v>8</v>
      </c>
      <c r="N2544" s="15" t="s">
        <v>8</v>
      </c>
      <c r="O2544" s="15" t="s">
        <v>8</v>
      </c>
      <c r="R2544" s="15" t="s">
        <v>8</v>
      </c>
      <c r="T2544" s="15" t="s">
        <v>8</v>
      </c>
      <c r="W2544" s="15" t="s">
        <v>8</v>
      </c>
      <c r="X2544" s="15" t="s">
        <v>8</v>
      </c>
      <c r="Y2544" s="15" t="s">
        <v>8</v>
      </c>
      <c r="Z2544" s="15" t="s">
        <v>8</v>
      </c>
      <c r="AA2544" s="15" t="s">
        <v>8</v>
      </c>
      <c r="AC2544" s="19" t="str">
        <f>HYPERLINK("http://yeinfo.com/family/I09066674.html", "JAMES BOHUN &lt;5&gt; 1185 EN-1208 EN ID:09066674")</f>
        <v>JAMES BOHUN &lt;5&gt; 1185 EN-1208 EN ID:09066674</v>
      </c>
      <c r="AD2544" s="9"/>
      <c r="AE2544" s="9"/>
      <c r="AF2544" s="9"/>
      <c r="AG2544" s="9"/>
    </row>
    <row r="2545" spans="3:34" x14ac:dyDescent="0.35">
      <c r="C2545" s="15" t="s">
        <v>8</v>
      </c>
      <c r="D2545" s="15" t="s">
        <v>8</v>
      </c>
      <c r="G2545" s="15" t="s">
        <v>8</v>
      </c>
      <c r="L2545" s="15" t="s">
        <v>8</v>
      </c>
      <c r="M2545" s="15" t="s">
        <v>8</v>
      </c>
      <c r="N2545" s="15" t="s">
        <v>8</v>
      </c>
      <c r="O2545" s="15" t="s">
        <v>8</v>
      </c>
      <c r="R2545" s="15" t="s">
        <v>8</v>
      </c>
      <c r="T2545" s="15" t="s">
        <v>8</v>
      </c>
      <c r="W2545" s="15" t="s">
        <v>8</v>
      </c>
      <c r="X2545" s="15" t="s">
        <v>8</v>
      </c>
      <c r="Y2545" s="15" t="s">
        <v>8</v>
      </c>
      <c r="Z2545" s="15" t="s">
        <v>8</v>
      </c>
      <c r="AA2545" s="15" t="s">
        <v>8</v>
      </c>
      <c r="AC2545" s="8" t="s">
        <v>3</v>
      </c>
      <c r="AD2545" s="8" t="s">
        <v>6</v>
      </c>
    </row>
    <row r="2546" spans="3:34" x14ac:dyDescent="0.35">
      <c r="C2546" s="15" t="s">
        <v>8</v>
      </c>
      <c r="D2546" s="15" t="s">
        <v>8</v>
      </c>
      <c r="G2546" s="15" t="s">
        <v>8</v>
      </c>
      <c r="L2546" s="15" t="s">
        <v>8</v>
      </c>
      <c r="M2546" s="15" t="s">
        <v>8</v>
      </c>
      <c r="N2546" s="15" t="s">
        <v>8</v>
      </c>
      <c r="O2546" s="15" t="s">
        <v>8</v>
      </c>
      <c r="R2546" s="15" t="s">
        <v>8</v>
      </c>
      <c r="T2546" s="15" t="s">
        <v>8</v>
      </c>
      <c r="W2546" s="15" t="s">
        <v>8</v>
      </c>
      <c r="X2546" s="15" t="s">
        <v>8</v>
      </c>
      <c r="Y2546" s="15" t="s">
        <v>8</v>
      </c>
      <c r="Z2546" s="15" t="s">
        <v>8</v>
      </c>
      <c r="AA2546" s="15" t="s">
        <v>8</v>
      </c>
      <c r="AC2546" s="15" t="s">
        <v>8</v>
      </c>
      <c r="AD2546" s="20" t="str">
        <f>HYPERLINK("http://yeinfo.com/family/I09066677.html", "MARGERY LACY &lt;5&gt; 1165 -1185 EN ID:09066677")</f>
        <v>MARGERY LACY &lt;5&gt; 1165 -1185 EN ID:09066677</v>
      </c>
      <c r="AE2546" s="17"/>
      <c r="AF2546" s="17"/>
      <c r="AG2546" s="17"/>
      <c r="AH2546" s="17"/>
    </row>
    <row r="2547" spans="3:34" x14ac:dyDescent="0.35">
      <c r="C2547" s="15" t="s">
        <v>8</v>
      </c>
      <c r="D2547" s="15" t="s">
        <v>8</v>
      </c>
      <c r="G2547" s="15" t="s">
        <v>8</v>
      </c>
      <c r="L2547" s="15" t="s">
        <v>8</v>
      </c>
      <c r="M2547" s="15" t="s">
        <v>8</v>
      </c>
      <c r="N2547" s="15" t="s">
        <v>8</v>
      </c>
      <c r="O2547" s="15" t="s">
        <v>8</v>
      </c>
      <c r="R2547" s="15" t="s">
        <v>8</v>
      </c>
      <c r="T2547" s="15" t="s">
        <v>8</v>
      </c>
      <c r="W2547" s="15" t="s">
        <v>8</v>
      </c>
      <c r="X2547" s="15" t="s">
        <v>8</v>
      </c>
      <c r="Y2547" s="15" t="s">
        <v>8</v>
      </c>
      <c r="Z2547" s="15" t="s">
        <v>8</v>
      </c>
      <c r="AA2547" s="15" t="s">
        <v>8</v>
      </c>
      <c r="AC2547" s="15" t="s">
        <v>8</v>
      </c>
    </row>
    <row r="2548" spans="3:34" x14ac:dyDescent="0.35">
      <c r="C2548" s="15" t="s">
        <v>8</v>
      </c>
      <c r="D2548" s="15" t="s">
        <v>8</v>
      </c>
      <c r="G2548" s="15" t="s">
        <v>8</v>
      </c>
      <c r="L2548" s="15" t="s">
        <v>8</v>
      </c>
      <c r="M2548" s="15" t="s">
        <v>8</v>
      </c>
      <c r="N2548" s="15" t="s">
        <v>8</v>
      </c>
      <c r="O2548" s="15" t="s">
        <v>8</v>
      </c>
      <c r="R2548" s="15" t="s">
        <v>8</v>
      </c>
      <c r="T2548" s="15" t="s">
        <v>8</v>
      </c>
      <c r="W2548" s="15" t="s">
        <v>8</v>
      </c>
      <c r="X2548" s="15" t="s">
        <v>8</v>
      </c>
      <c r="Y2548" s="15" t="s">
        <v>8</v>
      </c>
      <c r="Z2548" s="15" t="s">
        <v>8</v>
      </c>
      <c r="AA2548" s="15" t="s">
        <v>8</v>
      </c>
      <c r="AB2548" s="19" t="str">
        <f>HYPERLINK("http://yeinfo.com/family/I09066672.html", "HUMPHREY BOHUN &lt;5&gt; 1208 EN-1275 EN ID:09066672")</f>
        <v>HUMPHREY BOHUN &lt;5&gt; 1208 EN-1275 EN ID:09066672</v>
      </c>
      <c r="AC2548" s="9"/>
      <c r="AD2548" s="9"/>
      <c r="AE2548" s="9"/>
      <c r="AF2548" s="9"/>
    </row>
    <row r="2549" spans="3:34" x14ac:dyDescent="0.35">
      <c r="C2549" s="15" t="s">
        <v>8</v>
      </c>
      <c r="D2549" s="15" t="s">
        <v>8</v>
      </c>
      <c r="G2549" s="15" t="s">
        <v>8</v>
      </c>
      <c r="L2549" s="15" t="s">
        <v>8</v>
      </c>
      <c r="M2549" s="15" t="s">
        <v>8</v>
      </c>
      <c r="N2549" s="15" t="s">
        <v>8</v>
      </c>
      <c r="O2549" s="15" t="s">
        <v>8</v>
      </c>
      <c r="R2549" s="15" t="s">
        <v>8</v>
      </c>
      <c r="T2549" s="15" t="s">
        <v>8</v>
      </c>
      <c r="W2549" s="15" t="s">
        <v>8</v>
      </c>
      <c r="X2549" s="15" t="s">
        <v>8</v>
      </c>
      <c r="Y2549" s="15" t="s">
        <v>8</v>
      </c>
      <c r="Z2549" s="15" t="s">
        <v>8</v>
      </c>
      <c r="AA2549" s="15" t="s">
        <v>8</v>
      </c>
      <c r="AB2549" s="8" t="s">
        <v>3</v>
      </c>
      <c r="AC2549" s="8" t="s">
        <v>6</v>
      </c>
    </row>
    <row r="2550" spans="3:34" x14ac:dyDescent="0.35">
      <c r="C2550" s="15" t="s">
        <v>8</v>
      </c>
      <c r="D2550" s="15" t="s">
        <v>8</v>
      </c>
      <c r="G2550" s="15" t="s">
        <v>8</v>
      </c>
      <c r="L2550" s="15" t="s">
        <v>8</v>
      </c>
      <c r="M2550" s="15" t="s">
        <v>8</v>
      </c>
      <c r="N2550" s="15" t="s">
        <v>8</v>
      </c>
      <c r="O2550" s="15" t="s">
        <v>8</v>
      </c>
      <c r="R2550" s="15" t="s">
        <v>8</v>
      </c>
      <c r="T2550" s="15" t="s">
        <v>8</v>
      </c>
      <c r="W2550" s="15" t="s">
        <v>8</v>
      </c>
      <c r="X2550" s="15" t="s">
        <v>8</v>
      </c>
      <c r="Y2550" s="15" t="s">
        <v>8</v>
      </c>
      <c r="Z2550" s="15" t="s">
        <v>8</v>
      </c>
      <c r="AA2550" s="15" t="s">
        <v>8</v>
      </c>
      <c r="AB2550" s="15" t="s">
        <v>8</v>
      </c>
      <c r="AC2550" s="20" t="str">
        <f>HYPERLINK("http://yeinfo.com/family/I09066675.html", "Mrs. {_?_} BOHUN &lt;5&gt; 1185 -1208 EN ID:09066675")</f>
        <v>Mrs. {_?_} BOHUN &lt;5&gt; 1185 -1208 EN ID:09066675</v>
      </c>
      <c r="AD2550" s="17"/>
      <c r="AE2550" s="17"/>
      <c r="AF2550" s="17"/>
      <c r="AG2550" s="17"/>
    </row>
    <row r="2551" spans="3:34" x14ac:dyDescent="0.35">
      <c r="C2551" s="15" t="s">
        <v>8</v>
      </c>
      <c r="D2551" s="15" t="s">
        <v>8</v>
      </c>
      <c r="G2551" s="15" t="s">
        <v>8</v>
      </c>
      <c r="L2551" s="15" t="s">
        <v>8</v>
      </c>
      <c r="M2551" s="15" t="s">
        <v>8</v>
      </c>
      <c r="N2551" s="15" t="s">
        <v>8</v>
      </c>
      <c r="O2551" s="15" t="s">
        <v>8</v>
      </c>
      <c r="R2551" s="15" t="s">
        <v>8</v>
      </c>
      <c r="T2551" s="15" t="s">
        <v>8</v>
      </c>
      <c r="W2551" s="15" t="s">
        <v>8</v>
      </c>
      <c r="X2551" s="15" t="s">
        <v>8</v>
      </c>
      <c r="Y2551" s="15" t="s">
        <v>8</v>
      </c>
      <c r="Z2551" s="15" t="s">
        <v>8</v>
      </c>
      <c r="AA2551" s="8" t="s">
        <v>6</v>
      </c>
      <c r="AB2551" s="15" t="s">
        <v>8</v>
      </c>
    </row>
    <row r="2552" spans="3:34" x14ac:dyDescent="0.35">
      <c r="C2552" s="15" t="s">
        <v>8</v>
      </c>
      <c r="D2552" s="15" t="s">
        <v>8</v>
      </c>
      <c r="G2552" s="15" t="s">
        <v>8</v>
      </c>
      <c r="L2552" s="15" t="s">
        <v>8</v>
      </c>
      <c r="M2552" s="15" t="s">
        <v>8</v>
      </c>
      <c r="N2552" s="15" t="s">
        <v>8</v>
      </c>
      <c r="O2552" s="15" t="s">
        <v>8</v>
      </c>
      <c r="R2552" s="15" t="s">
        <v>8</v>
      </c>
      <c r="T2552" s="15" t="s">
        <v>8</v>
      </c>
      <c r="W2552" s="15" t="s">
        <v>8</v>
      </c>
      <c r="X2552" s="15" t="s">
        <v>8</v>
      </c>
      <c r="Y2552" s="15" t="s">
        <v>8</v>
      </c>
      <c r="Z2552" s="15" t="s">
        <v>8</v>
      </c>
      <c r="AA2552" s="20" t="str">
        <f>HYPERLINK("http://yeinfo.com/family/I09066670.html", "ALICE\CECILIA BOHUN &lt;5&gt; 1242 EN-1262  ID:09066670")</f>
        <v>ALICE\CECILIA BOHUN &lt;5&gt; 1242 EN-1262  ID:09066670</v>
      </c>
      <c r="AB2552" s="17"/>
      <c r="AC2552" s="17"/>
      <c r="AD2552" s="17"/>
      <c r="AE2552" s="17"/>
      <c r="AF2552" s="17"/>
    </row>
    <row r="2553" spans="3:34" x14ac:dyDescent="0.35">
      <c r="C2553" s="15" t="s">
        <v>8</v>
      </c>
      <c r="D2553" s="15" t="s">
        <v>8</v>
      </c>
      <c r="G2553" s="15" t="s">
        <v>8</v>
      </c>
      <c r="L2553" s="15" t="s">
        <v>8</v>
      </c>
      <c r="M2553" s="15" t="s">
        <v>8</v>
      </c>
      <c r="N2553" s="15" t="s">
        <v>8</v>
      </c>
      <c r="O2553" s="15" t="s">
        <v>8</v>
      </c>
      <c r="R2553" s="15" t="s">
        <v>8</v>
      </c>
      <c r="T2553" s="15" t="s">
        <v>8</v>
      </c>
      <c r="W2553" s="15" t="s">
        <v>8</v>
      </c>
      <c r="X2553" s="15" t="s">
        <v>8</v>
      </c>
      <c r="Y2553" s="15" t="s">
        <v>8</v>
      </c>
      <c r="Z2553" s="15" t="s">
        <v>8</v>
      </c>
      <c r="AB2553" s="8" t="s">
        <v>6</v>
      </c>
    </row>
    <row r="2554" spans="3:34" x14ac:dyDescent="0.35">
      <c r="C2554" s="15" t="s">
        <v>8</v>
      </c>
      <c r="D2554" s="15" t="s">
        <v>8</v>
      </c>
      <c r="G2554" s="15" t="s">
        <v>8</v>
      </c>
      <c r="L2554" s="15" t="s">
        <v>8</v>
      </c>
      <c r="M2554" s="15" t="s">
        <v>8</v>
      </c>
      <c r="N2554" s="15" t="s">
        <v>8</v>
      </c>
      <c r="O2554" s="15" t="s">
        <v>8</v>
      </c>
      <c r="R2554" s="15" t="s">
        <v>8</v>
      </c>
      <c r="T2554" s="15" t="s">
        <v>8</v>
      </c>
      <c r="W2554" s="15" t="s">
        <v>8</v>
      </c>
      <c r="X2554" s="15" t="s">
        <v>8</v>
      </c>
      <c r="Y2554" s="15" t="s">
        <v>8</v>
      </c>
      <c r="Z2554" s="15" t="s">
        <v>8</v>
      </c>
      <c r="AB2554" s="20" t="str">
        <f>HYPERLINK("http://yeinfo.com/family/I09066673.html", "MAUD LUSIGNAN &lt;5&gt; 1220 -1242 EN ID:09066673")</f>
        <v>MAUD LUSIGNAN &lt;5&gt; 1220 -1242 EN ID:09066673</v>
      </c>
      <c r="AC2554" s="17"/>
      <c r="AD2554" s="17"/>
      <c r="AE2554" s="17"/>
      <c r="AF2554" s="17"/>
    </row>
    <row r="2555" spans="3:34" x14ac:dyDescent="0.35">
      <c r="C2555" s="15" t="s">
        <v>8</v>
      </c>
      <c r="D2555" s="15" t="s">
        <v>8</v>
      </c>
      <c r="G2555" s="15" t="s">
        <v>8</v>
      </c>
      <c r="L2555" s="15" t="s">
        <v>8</v>
      </c>
      <c r="M2555" s="15" t="s">
        <v>8</v>
      </c>
      <c r="N2555" s="15" t="s">
        <v>8</v>
      </c>
      <c r="O2555" s="15" t="s">
        <v>8</v>
      </c>
      <c r="R2555" s="15" t="s">
        <v>8</v>
      </c>
      <c r="T2555" s="15" t="s">
        <v>8</v>
      </c>
      <c r="W2555" s="15" t="s">
        <v>8</v>
      </c>
      <c r="X2555" s="15" t="s">
        <v>8</v>
      </c>
      <c r="Y2555" s="8" t="s">
        <v>6</v>
      </c>
      <c r="Z2555" s="15" t="s">
        <v>8</v>
      </c>
    </row>
    <row r="2556" spans="3:34" x14ac:dyDescent="0.35">
      <c r="C2556" s="15" t="s">
        <v>8</v>
      </c>
      <c r="D2556" s="15" t="s">
        <v>8</v>
      </c>
      <c r="G2556" s="15" t="s">
        <v>8</v>
      </c>
      <c r="L2556" s="15" t="s">
        <v>8</v>
      </c>
      <c r="M2556" s="15" t="s">
        <v>8</v>
      </c>
      <c r="N2556" s="15" t="s">
        <v>8</v>
      </c>
      <c r="O2556" s="15" t="s">
        <v>8</v>
      </c>
      <c r="R2556" s="15" t="s">
        <v>8</v>
      </c>
      <c r="T2556" s="15" t="s">
        <v>8</v>
      </c>
      <c r="W2556" s="15" t="s">
        <v>8</v>
      </c>
      <c r="X2556" s="15" t="s">
        <v>8</v>
      </c>
      <c r="Y2556" s="20" t="str">
        <f>HYPERLINK("http://yeinfo.com/family/I09066587.html", "ALICE TOENI &lt;5&gt; 1284 EN-1313 EN ID:09066587")</f>
        <v>ALICE TOENI &lt;5&gt; 1284 EN-1313 EN ID:09066587</v>
      </c>
      <c r="Z2556" s="17"/>
      <c r="AA2556" s="17"/>
      <c r="AB2556" s="17"/>
      <c r="AC2556" s="17"/>
    </row>
    <row r="2557" spans="3:34" x14ac:dyDescent="0.35">
      <c r="C2557" s="15" t="s">
        <v>8</v>
      </c>
      <c r="D2557" s="15" t="s">
        <v>8</v>
      </c>
      <c r="G2557" s="15" t="s">
        <v>8</v>
      </c>
      <c r="L2557" s="15" t="s">
        <v>8</v>
      </c>
      <c r="M2557" s="15" t="s">
        <v>8</v>
      </c>
      <c r="N2557" s="15" t="s">
        <v>8</v>
      </c>
      <c r="O2557" s="15" t="s">
        <v>8</v>
      </c>
      <c r="R2557" s="15" t="s">
        <v>8</v>
      </c>
      <c r="T2557" s="15" t="s">
        <v>8</v>
      </c>
      <c r="W2557" s="15" t="s">
        <v>8</v>
      </c>
      <c r="X2557" s="15" t="s">
        <v>8</v>
      </c>
      <c r="Z2557" s="8" t="s">
        <v>6</v>
      </c>
    </row>
    <row r="2558" spans="3:34" x14ac:dyDescent="0.35">
      <c r="C2558" s="15" t="s">
        <v>8</v>
      </c>
      <c r="D2558" s="15" t="s">
        <v>8</v>
      </c>
      <c r="G2558" s="15" t="s">
        <v>8</v>
      </c>
      <c r="L2558" s="15" t="s">
        <v>8</v>
      </c>
      <c r="M2558" s="15" t="s">
        <v>8</v>
      </c>
      <c r="N2558" s="15" t="s">
        <v>8</v>
      </c>
      <c r="O2558" s="15" t="s">
        <v>8</v>
      </c>
      <c r="R2558" s="15" t="s">
        <v>8</v>
      </c>
      <c r="T2558" s="15" t="s">
        <v>8</v>
      </c>
      <c r="W2558" s="15" t="s">
        <v>8</v>
      </c>
      <c r="X2558" s="15" t="s">
        <v>8</v>
      </c>
      <c r="Z2558" s="20" t="str">
        <f>HYPERLINK("http://yeinfo.com/family/I09066648.html", "MARY CLARISSA BRUCE &lt;5&gt; 1255 EN-1284 EN ID:09066648")</f>
        <v>MARY CLARISSA BRUCE &lt;5&gt; 1255 EN-1284 EN ID:09066648</v>
      </c>
      <c r="AA2558" s="17"/>
      <c r="AB2558" s="17"/>
      <c r="AC2558" s="17"/>
      <c r="AD2558" s="17"/>
    </row>
    <row r="2559" spans="3:34" x14ac:dyDescent="0.35">
      <c r="C2559" s="15" t="s">
        <v>8</v>
      </c>
      <c r="D2559" s="15" t="s">
        <v>8</v>
      </c>
      <c r="G2559" s="15" t="s">
        <v>8</v>
      </c>
      <c r="L2559" s="15" t="s">
        <v>8</v>
      </c>
      <c r="M2559" s="15" t="s">
        <v>8</v>
      </c>
      <c r="N2559" s="15" t="s">
        <v>8</v>
      </c>
      <c r="O2559" s="15" t="s">
        <v>8</v>
      </c>
      <c r="R2559" s="15" t="s">
        <v>8</v>
      </c>
      <c r="T2559" s="15" t="s">
        <v>8</v>
      </c>
      <c r="W2559" s="8" t="s">
        <v>6</v>
      </c>
      <c r="X2559" s="15" t="s">
        <v>8</v>
      </c>
    </row>
    <row r="2560" spans="3:34" x14ac:dyDescent="0.35">
      <c r="C2560" s="15" t="s">
        <v>8</v>
      </c>
      <c r="D2560" s="15" t="s">
        <v>8</v>
      </c>
      <c r="G2560" s="15" t="s">
        <v>8</v>
      </c>
      <c r="L2560" s="15" t="s">
        <v>8</v>
      </c>
      <c r="M2560" s="15" t="s">
        <v>8</v>
      </c>
      <c r="N2560" s="15" t="s">
        <v>8</v>
      </c>
      <c r="O2560" s="15" t="s">
        <v>8</v>
      </c>
      <c r="R2560" s="15" t="s">
        <v>8</v>
      </c>
      <c r="T2560" s="15" t="s">
        <v>8</v>
      </c>
      <c r="W2560" s="20" t="str">
        <f>HYPERLINK("http://yeinfo.com/family/I09066780.html", "MAUD BEAUCHAMP &lt;4&gt; 1343 EN-1403 EN ID:09066780")</f>
        <v>MAUD BEAUCHAMP &lt;4&gt; 1343 EN-1403 EN ID:09066780</v>
      </c>
      <c r="X2560" s="17"/>
      <c r="Y2560" s="17"/>
      <c r="Z2560" s="17"/>
      <c r="AA2560" s="17"/>
    </row>
    <row r="2561" spans="3:31" x14ac:dyDescent="0.35">
      <c r="C2561" s="15" t="s">
        <v>8</v>
      </c>
      <c r="D2561" s="15" t="s">
        <v>8</v>
      </c>
      <c r="G2561" s="15" t="s">
        <v>8</v>
      </c>
      <c r="L2561" s="15" t="s">
        <v>8</v>
      </c>
      <c r="M2561" s="15" t="s">
        <v>8</v>
      </c>
      <c r="N2561" s="15" t="s">
        <v>8</v>
      </c>
      <c r="O2561" s="15" t="s">
        <v>8</v>
      </c>
      <c r="R2561" s="15" t="s">
        <v>8</v>
      </c>
      <c r="T2561" s="15" t="s">
        <v>8</v>
      </c>
      <c r="X2561" s="15" t="s">
        <v>8</v>
      </c>
    </row>
    <row r="2562" spans="3:31" x14ac:dyDescent="0.35">
      <c r="C2562" s="15" t="s">
        <v>8</v>
      </c>
      <c r="D2562" s="15" t="s">
        <v>8</v>
      </c>
      <c r="G2562" s="15" t="s">
        <v>8</v>
      </c>
      <c r="L2562" s="15" t="s">
        <v>8</v>
      </c>
      <c r="M2562" s="15" t="s">
        <v>8</v>
      </c>
      <c r="N2562" s="15" t="s">
        <v>8</v>
      </c>
      <c r="O2562" s="15" t="s">
        <v>8</v>
      </c>
      <c r="R2562" s="15" t="s">
        <v>8</v>
      </c>
      <c r="T2562" s="15" t="s">
        <v>8</v>
      </c>
      <c r="X2562" s="15" t="s">
        <v>8</v>
      </c>
      <c r="Z2562" s="19" t="str">
        <f>HYPERLINK("http://yeinfo.com/family/I09066649.html", "EDMUND MORTIMER &lt;5&gt; 1252 EN-1287 EN ID:09066649")</f>
        <v>EDMUND MORTIMER &lt;5&gt; 1252 EN-1287 EN ID:09066649</v>
      </c>
      <c r="AA2562" s="9"/>
      <c r="AB2562" s="9"/>
      <c r="AC2562" s="9"/>
      <c r="AD2562" s="9"/>
    </row>
    <row r="2563" spans="3:31" x14ac:dyDescent="0.35">
      <c r="C2563" s="15" t="s">
        <v>8</v>
      </c>
      <c r="D2563" s="15" t="s">
        <v>8</v>
      </c>
      <c r="G2563" s="15" t="s">
        <v>8</v>
      </c>
      <c r="L2563" s="15" t="s">
        <v>8</v>
      </c>
      <c r="M2563" s="15" t="s">
        <v>8</v>
      </c>
      <c r="N2563" s="15" t="s">
        <v>8</v>
      </c>
      <c r="O2563" s="15" t="s">
        <v>8</v>
      </c>
      <c r="R2563" s="15" t="s">
        <v>8</v>
      </c>
      <c r="T2563" s="15" t="s">
        <v>8</v>
      </c>
      <c r="X2563" s="15" t="s">
        <v>8</v>
      </c>
      <c r="Z2563" s="8" t="s">
        <v>3</v>
      </c>
    </row>
    <row r="2564" spans="3:31" x14ac:dyDescent="0.35">
      <c r="C2564" s="15" t="s">
        <v>8</v>
      </c>
      <c r="D2564" s="15" t="s">
        <v>8</v>
      </c>
      <c r="G2564" s="15" t="s">
        <v>8</v>
      </c>
      <c r="L2564" s="15" t="s">
        <v>8</v>
      </c>
      <c r="M2564" s="15" t="s">
        <v>8</v>
      </c>
      <c r="N2564" s="15" t="s">
        <v>8</v>
      </c>
      <c r="O2564" s="15" t="s">
        <v>8</v>
      </c>
      <c r="R2564" s="15" t="s">
        <v>8</v>
      </c>
      <c r="T2564" s="15" t="s">
        <v>8</v>
      </c>
      <c r="X2564" s="15" t="s">
        <v>8</v>
      </c>
      <c r="Y2564" s="19" t="str">
        <f>HYPERLINK("http://yeinfo.com/family/I09066588.html", "ROGER MORTIMER &lt;5&gt; 1287 EN-1330 EN ID:09066588")</f>
        <v>ROGER MORTIMER &lt;5&gt; 1287 EN-1330 EN ID:09066588</v>
      </c>
      <c r="Z2564" s="9"/>
      <c r="AA2564" s="9"/>
      <c r="AB2564" s="9"/>
      <c r="AC2564" s="9"/>
    </row>
    <row r="2565" spans="3:31" x14ac:dyDescent="0.35">
      <c r="C2565" s="15" t="s">
        <v>8</v>
      </c>
      <c r="D2565" s="15" t="s">
        <v>8</v>
      </c>
      <c r="G2565" s="15" t="s">
        <v>8</v>
      </c>
      <c r="L2565" s="15" t="s">
        <v>8</v>
      </c>
      <c r="M2565" s="15" t="s">
        <v>8</v>
      </c>
      <c r="N2565" s="15" t="s">
        <v>8</v>
      </c>
      <c r="O2565" s="15" t="s">
        <v>8</v>
      </c>
      <c r="R2565" s="15" t="s">
        <v>8</v>
      </c>
      <c r="T2565" s="15" t="s">
        <v>8</v>
      </c>
      <c r="X2565" s="15" t="s">
        <v>8</v>
      </c>
      <c r="Y2565" s="8" t="s">
        <v>3</v>
      </c>
      <c r="Z2565" s="8" t="s">
        <v>6</v>
      </c>
    </row>
    <row r="2566" spans="3:31" x14ac:dyDescent="0.35">
      <c r="C2566" s="15" t="s">
        <v>8</v>
      </c>
      <c r="D2566" s="15" t="s">
        <v>8</v>
      </c>
      <c r="G2566" s="15" t="s">
        <v>8</v>
      </c>
      <c r="L2566" s="15" t="s">
        <v>8</v>
      </c>
      <c r="M2566" s="15" t="s">
        <v>8</v>
      </c>
      <c r="N2566" s="15" t="s">
        <v>8</v>
      </c>
      <c r="O2566" s="15" t="s">
        <v>8</v>
      </c>
      <c r="R2566" s="15" t="s">
        <v>8</v>
      </c>
      <c r="T2566" s="15" t="s">
        <v>8</v>
      </c>
      <c r="X2566" s="15" t="s">
        <v>8</v>
      </c>
      <c r="Y2566" s="15" t="s">
        <v>8</v>
      </c>
      <c r="Z2566" s="20" t="str">
        <f>HYPERLINK("http://yeinfo.com/family/I09066650.html", "MARGARET FIENNES &lt;5&gt; 1262 EN-1334 EN ID:09066650")</f>
        <v>MARGARET FIENNES &lt;5&gt; 1262 EN-1334 EN ID:09066650</v>
      </c>
      <c r="AA2566" s="17"/>
      <c r="AB2566" s="17"/>
      <c r="AC2566" s="17"/>
      <c r="AD2566" s="17"/>
    </row>
    <row r="2567" spans="3:31" x14ac:dyDescent="0.35">
      <c r="C2567" s="15" t="s">
        <v>8</v>
      </c>
      <c r="D2567" s="15" t="s">
        <v>8</v>
      </c>
      <c r="G2567" s="15" t="s">
        <v>8</v>
      </c>
      <c r="L2567" s="15" t="s">
        <v>8</v>
      </c>
      <c r="M2567" s="15" t="s">
        <v>8</v>
      </c>
      <c r="N2567" s="15" t="s">
        <v>8</v>
      </c>
      <c r="O2567" s="15" t="s">
        <v>8</v>
      </c>
      <c r="R2567" s="15" t="s">
        <v>8</v>
      </c>
      <c r="T2567" s="15" t="s">
        <v>8</v>
      </c>
      <c r="X2567" s="8" t="s">
        <v>6</v>
      </c>
      <c r="Y2567" s="15" t="s">
        <v>8</v>
      </c>
    </row>
    <row r="2568" spans="3:31" x14ac:dyDescent="0.35">
      <c r="C2568" s="15" t="s">
        <v>8</v>
      </c>
      <c r="D2568" s="15" t="s">
        <v>8</v>
      </c>
      <c r="G2568" s="15" t="s">
        <v>8</v>
      </c>
      <c r="L2568" s="15" t="s">
        <v>8</v>
      </c>
      <c r="M2568" s="15" t="s">
        <v>8</v>
      </c>
      <c r="N2568" s="15" t="s">
        <v>8</v>
      </c>
      <c r="O2568" s="15" t="s">
        <v>8</v>
      </c>
      <c r="R2568" s="15" t="s">
        <v>8</v>
      </c>
      <c r="T2568" s="15" t="s">
        <v>8</v>
      </c>
      <c r="X2568" s="20" t="str">
        <f>HYPERLINK("http://yeinfo.com/family/I09066535.html", "KATHERINE MORTIMER &lt;5&gt; 1314 EN-1369  ID:09066535")</f>
        <v>KATHERINE MORTIMER &lt;5&gt; 1314 EN-1369  ID:09066535</v>
      </c>
      <c r="Y2568" s="17"/>
      <c r="Z2568" s="17"/>
      <c r="AA2568" s="17"/>
      <c r="AB2568" s="17"/>
    </row>
    <row r="2569" spans="3:31" x14ac:dyDescent="0.35">
      <c r="C2569" s="15" t="s">
        <v>8</v>
      </c>
      <c r="D2569" s="15" t="s">
        <v>8</v>
      </c>
      <c r="G2569" s="15" t="s">
        <v>8</v>
      </c>
      <c r="L2569" s="15" t="s">
        <v>8</v>
      </c>
      <c r="M2569" s="15" t="s">
        <v>8</v>
      </c>
      <c r="N2569" s="15" t="s">
        <v>8</v>
      </c>
      <c r="O2569" s="15" t="s">
        <v>8</v>
      </c>
      <c r="R2569" s="15" t="s">
        <v>8</v>
      </c>
      <c r="T2569" s="15" t="s">
        <v>8</v>
      </c>
      <c r="Y2569" s="15" t="s">
        <v>8</v>
      </c>
    </row>
    <row r="2570" spans="3:31" x14ac:dyDescent="0.35">
      <c r="C2570" s="15" t="s">
        <v>8</v>
      </c>
      <c r="D2570" s="15" t="s">
        <v>8</v>
      </c>
      <c r="G2570" s="15" t="s">
        <v>8</v>
      </c>
      <c r="L2570" s="15" t="s">
        <v>8</v>
      </c>
      <c r="M2570" s="15" t="s">
        <v>8</v>
      </c>
      <c r="N2570" s="15" t="s">
        <v>8</v>
      </c>
      <c r="O2570" s="15" t="s">
        <v>8</v>
      </c>
      <c r="R2570" s="15" t="s">
        <v>8</v>
      </c>
      <c r="T2570" s="15" t="s">
        <v>8</v>
      </c>
      <c r="Y2570" s="15" t="s">
        <v>8</v>
      </c>
      <c r="Z2570" s="19" t="str">
        <f>HYPERLINK("http://yeinfo.com/family/I09066651.html", "PIERS GENEVILLE &lt;5&gt; 1256 IR-1292 FR ID:09066651")</f>
        <v>PIERS GENEVILLE &lt;5&gt; 1256 IR-1292 FR ID:09066651</v>
      </c>
      <c r="AA2570" s="9"/>
      <c r="AB2570" s="9"/>
      <c r="AC2570" s="9"/>
      <c r="AD2570" s="9"/>
    </row>
    <row r="2571" spans="3:31" x14ac:dyDescent="0.35">
      <c r="C2571" s="15" t="s">
        <v>8</v>
      </c>
      <c r="D2571" s="15" t="s">
        <v>8</v>
      </c>
      <c r="G2571" s="15" t="s">
        <v>8</v>
      </c>
      <c r="L2571" s="15" t="s">
        <v>8</v>
      </c>
      <c r="M2571" s="15" t="s">
        <v>8</v>
      </c>
      <c r="N2571" s="15" t="s">
        <v>8</v>
      </c>
      <c r="O2571" s="15" t="s">
        <v>8</v>
      </c>
      <c r="R2571" s="15" t="s">
        <v>8</v>
      </c>
      <c r="T2571" s="15" t="s">
        <v>8</v>
      </c>
      <c r="Y2571" s="8" t="s">
        <v>6</v>
      </c>
      <c r="Z2571" s="8" t="s">
        <v>3</v>
      </c>
    </row>
    <row r="2572" spans="3:31" x14ac:dyDescent="0.35">
      <c r="C2572" s="15" t="s">
        <v>8</v>
      </c>
      <c r="D2572" s="15" t="s">
        <v>8</v>
      </c>
      <c r="G2572" s="15" t="s">
        <v>8</v>
      </c>
      <c r="L2572" s="15" t="s">
        <v>8</v>
      </c>
      <c r="M2572" s="15" t="s">
        <v>8</v>
      </c>
      <c r="N2572" s="15" t="s">
        <v>8</v>
      </c>
      <c r="O2572" s="15" t="s">
        <v>8</v>
      </c>
      <c r="R2572" s="15" t="s">
        <v>8</v>
      </c>
      <c r="T2572" s="15" t="s">
        <v>8</v>
      </c>
      <c r="Y2572" s="20" t="str">
        <f>HYPERLINK("http://yeinfo.com/family/I09066589.html", "JOAN GENEVILLE &lt;5&gt; 1286 EN-1325 EN ID:09066589")</f>
        <v>JOAN GENEVILLE &lt;5&gt; 1286 EN-1325 EN ID:09066589</v>
      </c>
      <c r="Z2572" s="17"/>
      <c r="AA2572" s="17"/>
      <c r="AB2572" s="17"/>
      <c r="AC2572" s="17"/>
    </row>
    <row r="2573" spans="3:31" x14ac:dyDescent="0.35">
      <c r="C2573" s="15" t="s">
        <v>8</v>
      </c>
      <c r="D2573" s="15" t="s">
        <v>8</v>
      </c>
      <c r="G2573" s="15" t="s">
        <v>8</v>
      </c>
      <c r="L2573" s="15" t="s">
        <v>8</v>
      </c>
      <c r="M2573" s="15" t="s">
        <v>8</v>
      </c>
      <c r="N2573" s="15" t="s">
        <v>8</v>
      </c>
      <c r="O2573" s="15" t="s">
        <v>8</v>
      </c>
      <c r="R2573" s="15" t="s">
        <v>8</v>
      </c>
      <c r="T2573" s="15" t="s">
        <v>8</v>
      </c>
      <c r="Z2573" s="8" t="s">
        <v>6</v>
      </c>
    </row>
    <row r="2574" spans="3:31" x14ac:dyDescent="0.35">
      <c r="C2574" s="15" t="s">
        <v>8</v>
      </c>
      <c r="D2574" s="15" t="s">
        <v>8</v>
      </c>
      <c r="G2574" s="15" t="s">
        <v>8</v>
      </c>
      <c r="L2574" s="15" t="s">
        <v>8</v>
      </c>
      <c r="M2574" s="15" t="s">
        <v>8</v>
      </c>
      <c r="N2574" s="15" t="s">
        <v>8</v>
      </c>
      <c r="O2574" s="15" t="s">
        <v>8</v>
      </c>
      <c r="R2574" s="15" t="s">
        <v>8</v>
      </c>
      <c r="T2574" s="15" t="s">
        <v>8</v>
      </c>
      <c r="Z2574" s="20" t="str">
        <f>HYPERLINK("http://yeinfo.com/family/I09066652.html", "JEANNE\JOAN LUSIGNAN &lt;5&gt; 1260 FR-1286  ID:09066652")</f>
        <v>JEANNE\JOAN LUSIGNAN &lt;5&gt; 1260 FR-1286  ID:09066652</v>
      </c>
      <c r="AA2574" s="17"/>
      <c r="AB2574" s="17"/>
      <c r="AC2574" s="17"/>
      <c r="AD2574" s="17"/>
      <c r="AE2574" s="17"/>
    </row>
    <row r="2575" spans="3:31" x14ac:dyDescent="0.35">
      <c r="C2575" s="15" t="s">
        <v>8</v>
      </c>
      <c r="D2575" s="15" t="s">
        <v>8</v>
      </c>
      <c r="G2575" s="15" t="s">
        <v>8</v>
      </c>
      <c r="L2575" s="15" t="s">
        <v>8</v>
      </c>
      <c r="M2575" s="15" t="s">
        <v>8</v>
      </c>
      <c r="N2575" s="15" t="s">
        <v>8</v>
      </c>
      <c r="O2575" s="15" t="s">
        <v>8</v>
      </c>
      <c r="R2575" s="15" t="s">
        <v>8</v>
      </c>
      <c r="T2575" s="15" t="s">
        <v>8</v>
      </c>
    </row>
    <row r="2576" spans="3:31" x14ac:dyDescent="0.35">
      <c r="C2576" s="15" t="s">
        <v>8</v>
      </c>
      <c r="D2576" s="15" t="s">
        <v>8</v>
      </c>
      <c r="G2576" s="15" t="s">
        <v>8</v>
      </c>
      <c r="L2576" s="15" t="s">
        <v>8</v>
      </c>
      <c r="M2576" s="15" t="s">
        <v>8</v>
      </c>
      <c r="N2576" s="15" t="s">
        <v>8</v>
      </c>
      <c r="O2576" s="15" t="s">
        <v>8</v>
      </c>
      <c r="R2576" s="15" t="s">
        <v>8</v>
      </c>
      <c r="S2576" s="19" t="str">
        <f>HYPERLINK("http://yeinfo.com/family/I09066816.html", "NICHOLAS LONGFORD &lt;2&gt; 1465 EN-1513 EN ID:09066816")</f>
        <v>NICHOLAS LONGFORD &lt;2&gt; 1465 EN-1513 EN ID:09066816</v>
      </c>
      <c r="T2576" s="9"/>
      <c r="U2576" s="9"/>
      <c r="V2576" s="9"/>
      <c r="W2576" s="9"/>
    </row>
    <row r="2577" spans="3:32" x14ac:dyDescent="0.35">
      <c r="C2577" s="15" t="s">
        <v>8</v>
      </c>
      <c r="D2577" s="15" t="s">
        <v>8</v>
      </c>
      <c r="G2577" s="15" t="s">
        <v>8</v>
      </c>
      <c r="L2577" s="15" t="s">
        <v>8</v>
      </c>
      <c r="M2577" s="15" t="s">
        <v>8</v>
      </c>
      <c r="N2577" s="15" t="s">
        <v>8</v>
      </c>
      <c r="O2577" s="15" t="s">
        <v>8</v>
      </c>
      <c r="R2577" s="15" t="s">
        <v>8</v>
      </c>
      <c r="S2577" s="8" t="s">
        <v>3</v>
      </c>
      <c r="T2577" s="15" t="s">
        <v>8</v>
      </c>
    </row>
    <row r="2578" spans="3:32" x14ac:dyDescent="0.35">
      <c r="C2578" s="15" t="s">
        <v>8</v>
      </c>
      <c r="D2578" s="15" t="s">
        <v>8</v>
      </c>
      <c r="G2578" s="15" t="s">
        <v>8</v>
      </c>
      <c r="L2578" s="15" t="s">
        <v>8</v>
      </c>
      <c r="M2578" s="15" t="s">
        <v>8</v>
      </c>
      <c r="N2578" s="15" t="s">
        <v>8</v>
      </c>
      <c r="O2578" s="15" t="s">
        <v>8</v>
      </c>
      <c r="R2578" s="15" t="s">
        <v>8</v>
      </c>
      <c r="S2578" s="15" t="s">
        <v>8</v>
      </c>
      <c r="T2578" s="15" t="s">
        <v>8</v>
      </c>
      <c r="W2578" s="19" t="str">
        <f>HYPERLINK("http://yeinfo.com/family/I09066794.html", "WILLIAM FERRERS &lt;2&gt; 1372 EN-1445 EN ID:09066794")</f>
        <v>WILLIAM FERRERS &lt;2&gt; 1372 EN-1445 EN ID:09066794</v>
      </c>
      <c r="X2578" s="9"/>
      <c r="Y2578" s="9"/>
      <c r="Z2578" s="9"/>
      <c r="AA2578" s="9"/>
    </row>
    <row r="2579" spans="3:32" x14ac:dyDescent="0.35">
      <c r="C2579" s="15" t="s">
        <v>8</v>
      </c>
      <c r="D2579" s="15" t="s">
        <v>8</v>
      </c>
      <c r="G2579" s="15" t="s">
        <v>8</v>
      </c>
      <c r="L2579" s="15" t="s">
        <v>8</v>
      </c>
      <c r="M2579" s="15" t="s">
        <v>8</v>
      </c>
      <c r="N2579" s="15" t="s">
        <v>8</v>
      </c>
      <c r="O2579" s="15" t="s">
        <v>8</v>
      </c>
      <c r="R2579" s="15" t="s">
        <v>8</v>
      </c>
      <c r="S2579" s="15" t="s">
        <v>8</v>
      </c>
      <c r="T2579" s="15" t="s">
        <v>8</v>
      </c>
      <c r="W2579" s="8" t="s">
        <v>3</v>
      </c>
    </row>
    <row r="2580" spans="3:32" x14ac:dyDescent="0.35">
      <c r="C2580" s="15" t="s">
        <v>8</v>
      </c>
      <c r="D2580" s="15" t="s">
        <v>8</v>
      </c>
      <c r="G2580" s="15" t="s">
        <v>8</v>
      </c>
      <c r="L2580" s="15" t="s">
        <v>8</v>
      </c>
      <c r="M2580" s="15" t="s">
        <v>8</v>
      </c>
      <c r="N2580" s="15" t="s">
        <v>8</v>
      </c>
      <c r="O2580" s="15" t="s">
        <v>8</v>
      </c>
      <c r="R2580" s="15" t="s">
        <v>8</v>
      </c>
      <c r="S2580" s="15" t="s">
        <v>8</v>
      </c>
      <c r="T2580" s="15" t="s">
        <v>8</v>
      </c>
      <c r="V2580" s="19" t="str">
        <f>HYPERLINK("http://yeinfo.com/family/I09066795.html", "THOMAS FERRERS &lt;2&gt; 1380 EN-1459 EN ID:09066795")</f>
        <v>THOMAS FERRERS &lt;2&gt; 1380 EN-1459 EN ID:09066795</v>
      </c>
      <c r="W2580" s="9"/>
      <c r="X2580" s="9"/>
      <c r="Y2580" s="9"/>
      <c r="Z2580" s="9"/>
    </row>
    <row r="2581" spans="3:32" x14ac:dyDescent="0.35">
      <c r="C2581" s="15" t="s">
        <v>8</v>
      </c>
      <c r="D2581" s="15" t="s">
        <v>8</v>
      </c>
      <c r="G2581" s="15" t="s">
        <v>8</v>
      </c>
      <c r="L2581" s="15" t="s">
        <v>8</v>
      </c>
      <c r="M2581" s="15" t="s">
        <v>8</v>
      </c>
      <c r="N2581" s="15" t="s">
        <v>8</v>
      </c>
      <c r="O2581" s="15" t="s">
        <v>8</v>
      </c>
      <c r="R2581" s="15" t="s">
        <v>8</v>
      </c>
      <c r="S2581" s="15" t="s">
        <v>8</v>
      </c>
      <c r="T2581" s="15" t="s">
        <v>8</v>
      </c>
      <c r="V2581" s="8" t="s">
        <v>3</v>
      </c>
      <c r="W2581" s="15" t="s">
        <v>8</v>
      </c>
    </row>
    <row r="2582" spans="3:32" x14ac:dyDescent="0.35">
      <c r="C2582" s="15" t="s">
        <v>8</v>
      </c>
      <c r="D2582" s="15" t="s">
        <v>8</v>
      </c>
      <c r="G2582" s="15" t="s">
        <v>8</v>
      </c>
      <c r="L2582" s="15" t="s">
        <v>8</v>
      </c>
      <c r="M2582" s="15" t="s">
        <v>8</v>
      </c>
      <c r="N2582" s="15" t="s">
        <v>8</v>
      </c>
      <c r="O2582" s="15" t="s">
        <v>8</v>
      </c>
      <c r="R2582" s="15" t="s">
        <v>8</v>
      </c>
      <c r="S2582" s="15" t="s">
        <v>8</v>
      </c>
      <c r="T2582" s="15" t="s">
        <v>8</v>
      </c>
      <c r="V2582" s="15" t="s">
        <v>8</v>
      </c>
      <c r="W2582" s="15" t="s">
        <v>8</v>
      </c>
      <c r="X2582" s="19" t="str">
        <f>HYPERLINK("http://yeinfo.com/family/I09066786.html", "ROGER CLIFFORD &lt;4&gt; 1333 EN-1390 EN ID:09066786")</f>
        <v>ROGER CLIFFORD &lt;4&gt; 1333 EN-1390 EN ID:09066786</v>
      </c>
      <c r="Y2582" s="9"/>
      <c r="Z2582" s="9"/>
      <c r="AA2582" s="9"/>
      <c r="AB2582" s="9"/>
    </row>
    <row r="2583" spans="3:32" x14ac:dyDescent="0.35">
      <c r="C2583" s="15" t="s">
        <v>8</v>
      </c>
      <c r="D2583" s="15" t="s">
        <v>8</v>
      </c>
      <c r="G2583" s="15" t="s">
        <v>8</v>
      </c>
      <c r="L2583" s="15" t="s">
        <v>8</v>
      </c>
      <c r="M2583" s="15" t="s">
        <v>8</v>
      </c>
      <c r="N2583" s="15" t="s">
        <v>8</v>
      </c>
      <c r="O2583" s="15" t="s">
        <v>8</v>
      </c>
      <c r="R2583" s="15" t="s">
        <v>8</v>
      </c>
      <c r="S2583" s="15" t="s">
        <v>8</v>
      </c>
      <c r="T2583" s="15" t="s">
        <v>8</v>
      </c>
      <c r="V2583" s="15" t="s">
        <v>8</v>
      </c>
      <c r="W2583" s="8" t="s">
        <v>6</v>
      </c>
      <c r="X2583" s="8" t="s">
        <v>3</v>
      </c>
    </row>
    <row r="2584" spans="3:32" x14ac:dyDescent="0.35">
      <c r="C2584" s="15" t="s">
        <v>8</v>
      </c>
      <c r="D2584" s="15" t="s">
        <v>8</v>
      </c>
      <c r="G2584" s="15" t="s">
        <v>8</v>
      </c>
      <c r="L2584" s="15" t="s">
        <v>8</v>
      </c>
      <c r="M2584" s="15" t="s">
        <v>8</v>
      </c>
      <c r="N2584" s="15" t="s">
        <v>8</v>
      </c>
      <c r="O2584" s="15" t="s">
        <v>8</v>
      </c>
      <c r="R2584" s="15" t="s">
        <v>8</v>
      </c>
      <c r="S2584" s="15" t="s">
        <v>8</v>
      </c>
      <c r="T2584" s="15" t="s">
        <v>8</v>
      </c>
      <c r="V2584" s="15" t="s">
        <v>8</v>
      </c>
      <c r="W2584" s="20" t="str">
        <f>HYPERLINK("http://yeinfo.com/family/I09066788.html", "PHILIPPE CLIFFORD &lt;2&gt; 1375 EN-1441 EN ID:09066788")</f>
        <v>PHILIPPE CLIFFORD &lt;2&gt; 1375 EN-1441 EN ID:09066788</v>
      </c>
      <c r="X2584" s="17"/>
      <c r="Y2584" s="17"/>
      <c r="Z2584" s="17"/>
      <c r="AA2584" s="17"/>
    </row>
    <row r="2585" spans="3:32" x14ac:dyDescent="0.35">
      <c r="C2585" s="15" t="s">
        <v>8</v>
      </c>
      <c r="D2585" s="15" t="s">
        <v>8</v>
      </c>
      <c r="G2585" s="15" t="s">
        <v>8</v>
      </c>
      <c r="L2585" s="15" t="s">
        <v>8</v>
      </c>
      <c r="M2585" s="15" t="s">
        <v>8</v>
      </c>
      <c r="N2585" s="15" t="s">
        <v>8</v>
      </c>
      <c r="O2585" s="15" t="s">
        <v>8</v>
      </c>
      <c r="R2585" s="15" t="s">
        <v>8</v>
      </c>
      <c r="S2585" s="15" t="s">
        <v>8</v>
      </c>
      <c r="T2585" s="15" t="s">
        <v>8</v>
      </c>
      <c r="V2585" s="15" t="s">
        <v>8</v>
      </c>
      <c r="X2585" s="15" t="s">
        <v>8</v>
      </c>
    </row>
    <row r="2586" spans="3:32" x14ac:dyDescent="0.35">
      <c r="C2586" s="15" t="s">
        <v>8</v>
      </c>
      <c r="D2586" s="15" t="s">
        <v>8</v>
      </c>
      <c r="G2586" s="15" t="s">
        <v>8</v>
      </c>
      <c r="L2586" s="15" t="s">
        <v>8</v>
      </c>
      <c r="M2586" s="15" t="s">
        <v>8</v>
      </c>
      <c r="N2586" s="15" t="s">
        <v>8</v>
      </c>
      <c r="O2586" s="15" t="s">
        <v>8</v>
      </c>
      <c r="R2586" s="15" t="s">
        <v>8</v>
      </c>
      <c r="S2586" s="15" t="s">
        <v>8</v>
      </c>
      <c r="T2586" s="15" t="s">
        <v>8</v>
      </c>
      <c r="V2586" s="15" t="s">
        <v>8</v>
      </c>
      <c r="X2586" s="15" t="s">
        <v>8</v>
      </c>
      <c r="AB2586" s="19" t="str">
        <f>HYPERLINK("http://yeinfo.com/family/I09066667.html", "WILLIAM BEAUCHAMP &lt;5&gt; 1215 EN-1268 EN ID:09066667")</f>
        <v>WILLIAM BEAUCHAMP &lt;5&gt; 1215 EN-1268 EN ID:09066667</v>
      </c>
      <c r="AC2586" s="9"/>
      <c r="AD2586" s="9"/>
      <c r="AE2586" s="9"/>
      <c r="AF2586" s="9"/>
    </row>
    <row r="2587" spans="3:32" x14ac:dyDescent="0.35">
      <c r="C2587" s="15" t="s">
        <v>8</v>
      </c>
      <c r="D2587" s="15" t="s">
        <v>8</v>
      </c>
      <c r="G2587" s="15" t="s">
        <v>8</v>
      </c>
      <c r="L2587" s="15" t="s">
        <v>8</v>
      </c>
      <c r="M2587" s="15" t="s">
        <v>8</v>
      </c>
      <c r="N2587" s="15" t="s">
        <v>8</v>
      </c>
      <c r="O2587" s="15" t="s">
        <v>8</v>
      </c>
      <c r="R2587" s="15" t="s">
        <v>8</v>
      </c>
      <c r="S2587" s="15" t="s">
        <v>8</v>
      </c>
      <c r="T2587" s="15" t="s">
        <v>8</v>
      </c>
      <c r="V2587" s="15" t="s">
        <v>8</v>
      </c>
      <c r="X2587" s="15" t="s">
        <v>8</v>
      </c>
      <c r="AB2587" s="8" t="s">
        <v>3</v>
      </c>
    </row>
    <row r="2588" spans="3:32" x14ac:dyDescent="0.35">
      <c r="C2588" s="15" t="s">
        <v>8</v>
      </c>
      <c r="D2588" s="15" t="s">
        <v>8</v>
      </c>
      <c r="G2588" s="15" t="s">
        <v>8</v>
      </c>
      <c r="L2588" s="15" t="s">
        <v>8</v>
      </c>
      <c r="M2588" s="15" t="s">
        <v>8</v>
      </c>
      <c r="N2588" s="15" t="s">
        <v>8</v>
      </c>
      <c r="O2588" s="15" t="s">
        <v>8</v>
      </c>
      <c r="R2588" s="15" t="s">
        <v>8</v>
      </c>
      <c r="S2588" s="15" t="s">
        <v>8</v>
      </c>
      <c r="T2588" s="15" t="s">
        <v>8</v>
      </c>
      <c r="V2588" s="15" t="s">
        <v>8</v>
      </c>
      <c r="X2588" s="15" t="s">
        <v>8</v>
      </c>
      <c r="AA2588" s="19" t="str">
        <f>HYPERLINK("http://yeinfo.com/family/I09066645.html", "WILLIAM BEAUCHAMP &lt;5&gt; 1237 EN-1262  ID:09066645")</f>
        <v>WILLIAM BEAUCHAMP &lt;5&gt; 1237 EN-1262  ID:09066645</v>
      </c>
      <c r="AB2588" s="9"/>
      <c r="AC2588" s="9"/>
      <c r="AD2588" s="9"/>
      <c r="AE2588" s="9"/>
    </row>
    <row r="2589" spans="3:32" x14ac:dyDescent="0.35">
      <c r="C2589" s="15" t="s">
        <v>8</v>
      </c>
      <c r="D2589" s="15" t="s">
        <v>8</v>
      </c>
      <c r="G2589" s="15" t="s">
        <v>8</v>
      </c>
      <c r="L2589" s="15" t="s">
        <v>8</v>
      </c>
      <c r="M2589" s="15" t="s">
        <v>8</v>
      </c>
      <c r="N2589" s="15" t="s">
        <v>8</v>
      </c>
      <c r="O2589" s="15" t="s">
        <v>8</v>
      </c>
      <c r="R2589" s="15" t="s">
        <v>8</v>
      </c>
      <c r="S2589" s="15" t="s">
        <v>8</v>
      </c>
      <c r="T2589" s="15" t="s">
        <v>8</v>
      </c>
      <c r="V2589" s="15" t="s">
        <v>8</v>
      </c>
      <c r="X2589" s="15" t="s">
        <v>8</v>
      </c>
      <c r="AA2589" s="8" t="s">
        <v>3</v>
      </c>
      <c r="AB2589" s="8" t="s">
        <v>6</v>
      </c>
    </row>
    <row r="2590" spans="3:32" x14ac:dyDescent="0.35">
      <c r="C2590" s="15" t="s">
        <v>8</v>
      </c>
      <c r="D2590" s="15" t="s">
        <v>8</v>
      </c>
      <c r="G2590" s="15" t="s">
        <v>8</v>
      </c>
      <c r="L2590" s="15" t="s">
        <v>8</v>
      </c>
      <c r="M2590" s="15" t="s">
        <v>8</v>
      </c>
      <c r="N2590" s="15" t="s">
        <v>8</v>
      </c>
      <c r="O2590" s="15" t="s">
        <v>8</v>
      </c>
      <c r="R2590" s="15" t="s">
        <v>8</v>
      </c>
      <c r="S2590" s="15" t="s">
        <v>8</v>
      </c>
      <c r="T2590" s="15" t="s">
        <v>8</v>
      </c>
      <c r="V2590" s="15" t="s">
        <v>8</v>
      </c>
      <c r="X2590" s="15" t="s">
        <v>8</v>
      </c>
      <c r="AA2590" s="15" t="s">
        <v>8</v>
      </c>
      <c r="AB2590" s="20" t="str">
        <f>HYPERLINK("http://yeinfo.com/family/I09066668.html", "ISABEL MAUDUIT &lt;5&gt; 1216 EN-1268 EN ID:09066668")</f>
        <v>ISABEL MAUDUIT &lt;5&gt; 1216 EN-1268 EN ID:09066668</v>
      </c>
      <c r="AC2590" s="17"/>
      <c r="AD2590" s="17"/>
      <c r="AE2590" s="17"/>
      <c r="AF2590" s="17"/>
    </row>
    <row r="2591" spans="3:32" x14ac:dyDescent="0.35">
      <c r="C2591" s="15" t="s">
        <v>8</v>
      </c>
      <c r="D2591" s="15" t="s">
        <v>8</v>
      </c>
      <c r="G2591" s="15" t="s">
        <v>8</v>
      </c>
      <c r="L2591" s="15" t="s">
        <v>8</v>
      </c>
      <c r="M2591" s="15" t="s">
        <v>8</v>
      </c>
      <c r="N2591" s="15" t="s">
        <v>8</v>
      </c>
      <c r="O2591" s="15" t="s">
        <v>8</v>
      </c>
      <c r="R2591" s="15" t="s">
        <v>8</v>
      </c>
      <c r="S2591" s="15" t="s">
        <v>8</v>
      </c>
      <c r="T2591" s="15" t="s">
        <v>8</v>
      </c>
      <c r="V2591" s="15" t="s">
        <v>8</v>
      </c>
      <c r="X2591" s="15" t="s">
        <v>8</v>
      </c>
      <c r="AA2591" s="15" t="s">
        <v>8</v>
      </c>
    </row>
    <row r="2592" spans="3:32" x14ac:dyDescent="0.35">
      <c r="C2592" s="15" t="s">
        <v>8</v>
      </c>
      <c r="D2592" s="15" t="s">
        <v>8</v>
      </c>
      <c r="G2592" s="15" t="s">
        <v>8</v>
      </c>
      <c r="L2592" s="15" t="s">
        <v>8</v>
      </c>
      <c r="M2592" s="15" t="s">
        <v>8</v>
      </c>
      <c r="N2592" s="15" t="s">
        <v>8</v>
      </c>
      <c r="O2592" s="15" t="s">
        <v>8</v>
      </c>
      <c r="R2592" s="15" t="s">
        <v>8</v>
      </c>
      <c r="S2592" s="15" t="s">
        <v>8</v>
      </c>
      <c r="T2592" s="15" t="s">
        <v>8</v>
      </c>
      <c r="V2592" s="15" t="s">
        <v>8</v>
      </c>
      <c r="X2592" s="15" t="s">
        <v>8</v>
      </c>
      <c r="Z2592" s="19" t="str">
        <f>HYPERLINK("http://yeinfo.com/family/I09066586.html", "GUY BEAUCHAMP &lt;5&gt; 1262 EN-1315 EN ID:09066586")</f>
        <v>GUY BEAUCHAMP &lt;5&gt; 1262 EN-1315 EN ID:09066586</v>
      </c>
      <c r="AA2592" s="9"/>
      <c r="AB2592" s="9"/>
      <c r="AC2592" s="9"/>
      <c r="AD2592" s="9"/>
    </row>
    <row r="2593" spans="3:35" x14ac:dyDescent="0.35">
      <c r="C2593" s="15" t="s">
        <v>8</v>
      </c>
      <c r="D2593" s="15" t="s">
        <v>8</v>
      </c>
      <c r="G2593" s="15" t="s">
        <v>8</v>
      </c>
      <c r="L2593" s="15" t="s">
        <v>8</v>
      </c>
      <c r="M2593" s="15" t="s">
        <v>8</v>
      </c>
      <c r="N2593" s="15" t="s">
        <v>8</v>
      </c>
      <c r="O2593" s="15" t="s">
        <v>8</v>
      </c>
      <c r="R2593" s="15" t="s">
        <v>8</v>
      </c>
      <c r="S2593" s="15" t="s">
        <v>8</v>
      </c>
      <c r="T2593" s="15" t="s">
        <v>8</v>
      </c>
      <c r="V2593" s="15" t="s">
        <v>8</v>
      </c>
      <c r="X2593" s="15" t="s">
        <v>8</v>
      </c>
      <c r="Z2593" s="8" t="s">
        <v>3</v>
      </c>
      <c r="AA2593" s="8" t="s">
        <v>6</v>
      </c>
    </row>
    <row r="2594" spans="3:35" x14ac:dyDescent="0.35">
      <c r="C2594" s="15" t="s">
        <v>8</v>
      </c>
      <c r="D2594" s="15" t="s">
        <v>8</v>
      </c>
      <c r="G2594" s="15" t="s">
        <v>8</v>
      </c>
      <c r="L2594" s="15" t="s">
        <v>8</v>
      </c>
      <c r="M2594" s="15" t="s">
        <v>8</v>
      </c>
      <c r="N2594" s="15" t="s">
        <v>8</v>
      </c>
      <c r="O2594" s="15" t="s">
        <v>8</v>
      </c>
      <c r="R2594" s="15" t="s">
        <v>8</v>
      </c>
      <c r="S2594" s="15" t="s">
        <v>8</v>
      </c>
      <c r="T2594" s="15" t="s">
        <v>8</v>
      </c>
      <c r="V2594" s="15" t="s">
        <v>8</v>
      </c>
      <c r="X2594" s="15" t="s">
        <v>8</v>
      </c>
      <c r="Z2594" s="15" t="s">
        <v>8</v>
      </c>
      <c r="AA2594" s="20" t="str">
        <f>HYPERLINK("http://yeinfo.com/family/I09066646.html", "MAUD FITZJOHN &lt;5&gt; 1237 EN-1301 EN ID:09066646")</f>
        <v>MAUD FITZJOHN &lt;5&gt; 1237 EN-1301 EN ID:09066646</v>
      </c>
      <c r="AB2594" s="17"/>
      <c r="AC2594" s="17"/>
      <c r="AD2594" s="17"/>
      <c r="AE2594" s="17"/>
    </row>
    <row r="2595" spans="3:35" x14ac:dyDescent="0.35">
      <c r="C2595" s="15" t="s">
        <v>8</v>
      </c>
      <c r="D2595" s="15" t="s">
        <v>8</v>
      </c>
      <c r="G2595" s="15" t="s">
        <v>8</v>
      </c>
      <c r="L2595" s="15" t="s">
        <v>8</v>
      </c>
      <c r="M2595" s="15" t="s">
        <v>8</v>
      </c>
      <c r="N2595" s="15" t="s">
        <v>8</v>
      </c>
      <c r="O2595" s="15" t="s">
        <v>8</v>
      </c>
      <c r="R2595" s="15" t="s">
        <v>8</v>
      </c>
      <c r="S2595" s="15" t="s">
        <v>8</v>
      </c>
      <c r="T2595" s="15" t="s">
        <v>8</v>
      </c>
      <c r="V2595" s="15" t="s">
        <v>8</v>
      </c>
      <c r="X2595" s="15" t="s">
        <v>8</v>
      </c>
      <c r="Z2595" s="15" t="s">
        <v>8</v>
      </c>
    </row>
    <row r="2596" spans="3:35" x14ac:dyDescent="0.35">
      <c r="C2596" s="15" t="s">
        <v>8</v>
      </c>
      <c r="D2596" s="15" t="s">
        <v>8</v>
      </c>
      <c r="G2596" s="15" t="s">
        <v>8</v>
      </c>
      <c r="L2596" s="15" t="s">
        <v>8</v>
      </c>
      <c r="M2596" s="15" t="s">
        <v>8</v>
      </c>
      <c r="N2596" s="15" t="s">
        <v>8</v>
      </c>
      <c r="O2596" s="15" t="s">
        <v>8</v>
      </c>
      <c r="R2596" s="15" t="s">
        <v>8</v>
      </c>
      <c r="S2596" s="15" t="s">
        <v>8</v>
      </c>
      <c r="T2596" s="15" t="s">
        <v>8</v>
      </c>
      <c r="V2596" s="15" t="s">
        <v>8</v>
      </c>
      <c r="X2596" s="15" t="s">
        <v>8</v>
      </c>
      <c r="Y2596" s="19" t="str">
        <f>HYPERLINK("http://yeinfo.com/family/I09066534.html", "THOMAS BEAUCHAMP &lt;5&gt; 1313 EN-1369  ID:09066534")</f>
        <v>THOMAS BEAUCHAMP &lt;5&gt; 1313 EN-1369  ID:09066534</v>
      </c>
      <c r="Z2596" s="9"/>
      <c r="AA2596" s="9"/>
      <c r="AB2596" s="9"/>
      <c r="AC2596" s="9"/>
    </row>
    <row r="2597" spans="3:35" x14ac:dyDescent="0.35">
      <c r="C2597" s="15" t="s">
        <v>8</v>
      </c>
      <c r="D2597" s="15" t="s">
        <v>8</v>
      </c>
      <c r="G2597" s="15" t="s">
        <v>8</v>
      </c>
      <c r="L2597" s="15" t="s">
        <v>8</v>
      </c>
      <c r="M2597" s="15" t="s">
        <v>8</v>
      </c>
      <c r="N2597" s="15" t="s">
        <v>8</v>
      </c>
      <c r="O2597" s="15" t="s">
        <v>8</v>
      </c>
      <c r="R2597" s="15" t="s">
        <v>8</v>
      </c>
      <c r="S2597" s="15" t="s">
        <v>8</v>
      </c>
      <c r="T2597" s="15" t="s">
        <v>8</v>
      </c>
      <c r="V2597" s="15" t="s">
        <v>8</v>
      </c>
      <c r="X2597" s="15" t="s">
        <v>8</v>
      </c>
      <c r="Y2597" s="8" t="s">
        <v>3</v>
      </c>
      <c r="Z2597" s="15" t="s">
        <v>8</v>
      </c>
    </row>
    <row r="2598" spans="3:35" x14ac:dyDescent="0.35">
      <c r="C2598" s="15" t="s">
        <v>8</v>
      </c>
      <c r="D2598" s="15" t="s">
        <v>8</v>
      </c>
      <c r="G2598" s="15" t="s">
        <v>8</v>
      </c>
      <c r="L2598" s="15" t="s">
        <v>8</v>
      </c>
      <c r="M2598" s="15" t="s">
        <v>8</v>
      </c>
      <c r="N2598" s="15" t="s">
        <v>8</v>
      </c>
      <c r="O2598" s="15" t="s">
        <v>8</v>
      </c>
      <c r="R2598" s="15" t="s">
        <v>8</v>
      </c>
      <c r="S2598" s="15" t="s">
        <v>8</v>
      </c>
      <c r="T2598" s="15" t="s">
        <v>8</v>
      </c>
      <c r="V2598" s="15" t="s">
        <v>8</v>
      </c>
      <c r="X2598" s="15" t="s">
        <v>8</v>
      </c>
      <c r="Y2598" s="15" t="s">
        <v>8</v>
      </c>
      <c r="Z2598" s="15" t="s">
        <v>8</v>
      </c>
      <c r="AB2598" s="19" t="str">
        <f>HYPERLINK("http://yeinfo.com/family/I09066669.html", "ROGER TOENI &lt;5&gt; 1235 EN-1255 EN ID:09066669")</f>
        <v>ROGER TOENI &lt;5&gt; 1235 EN-1255 EN ID:09066669</v>
      </c>
      <c r="AC2598" s="9"/>
      <c r="AD2598" s="9"/>
      <c r="AE2598" s="9"/>
      <c r="AF2598" s="9"/>
    </row>
    <row r="2599" spans="3:35" x14ac:dyDescent="0.35">
      <c r="C2599" s="15" t="s">
        <v>8</v>
      </c>
      <c r="D2599" s="15" t="s">
        <v>8</v>
      </c>
      <c r="G2599" s="15" t="s">
        <v>8</v>
      </c>
      <c r="L2599" s="15" t="s">
        <v>8</v>
      </c>
      <c r="M2599" s="15" t="s">
        <v>8</v>
      </c>
      <c r="N2599" s="15" t="s">
        <v>8</v>
      </c>
      <c r="O2599" s="15" t="s">
        <v>8</v>
      </c>
      <c r="R2599" s="15" t="s">
        <v>8</v>
      </c>
      <c r="S2599" s="15" t="s">
        <v>8</v>
      </c>
      <c r="T2599" s="15" t="s">
        <v>8</v>
      </c>
      <c r="V2599" s="15" t="s">
        <v>8</v>
      </c>
      <c r="X2599" s="15" t="s">
        <v>8</v>
      </c>
      <c r="Y2599" s="15" t="s">
        <v>8</v>
      </c>
      <c r="Z2599" s="15" t="s">
        <v>8</v>
      </c>
      <c r="AB2599" s="8" t="s">
        <v>3</v>
      </c>
    </row>
    <row r="2600" spans="3:35" x14ac:dyDescent="0.35">
      <c r="C2600" s="15" t="s">
        <v>8</v>
      </c>
      <c r="D2600" s="15" t="s">
        <v>8</v>
      </c>
      <c r="G2600" s="15" t="s">
        <v>8</v>
      </c>
      <c r="L2600" s="15" t="s">
        <v>8</v>
      </c>
      <c r="M2600" s="15" t="s">
        <v>8</v>
      </c>
      <c r="N2600" s="15" t="s">
        <v>8</v>
      </c>
      <c r="O2600" s="15" t="s">
        <v>8</v>
      </c>
      <c r="R2600" s="15" t="s">
        <v>8</v>
      </c>
      <c r="S2600" s="15" t="s">
        <v>8</v>
      </c>
      <c r="T2600" s="15" t="s">
        <v>8</v>
      </c>
      <c r="V2600" s="15" t="s">
        <v>8</v>
      </c>
      <c r="X2600" s="15" t="s">
        <v>8</v>
      </c>
      <c r="Y2600" s="15" t="s">
        <v>8</v>
      </c>
      <c r="Z2600" s="15" t="s">
        <v>8</v>
      </c>
      <c r="AA2600" s="19" t="str">
        <f>HYPERLINK("http://yeinfo.com/family/I09066647.html", "RALPH\RAOUI TOENI &lt;5&gt; 1253 EN-1295 FR ID:09066647")</f>
        <v>RALPH\RAOUI TOENI &lt;5&gt; 1253 EN-1295 FR ID:09066647</v>
      </c>
      <c r="AB2600" s="9"/>
      <c r="AC2600" s="9"/>
      <c r="AD2600" s="9"/>
      <c r="AE2600" s="9"/>
      <c r="AF2600" s="9"/>
    </row>
    <row r="2601" spans="3:35" x14ac:dyDescent="0.35">
      <c r="C2601" s="15" t="s">
        <v>8</v>
      </c>
      <c r="D2601" s="15" t="s">
        <v>8</v>
      </c>
      <c r="G2601" s="15" t="s">
        <v>8</v>
      </c>
      <c r="L2601" s="15" t="s">
        <v>8</v>
      </c>
      <c r="M2601" s="15" t="s">
        <v>8</v>
      </c>
      <c r="N2601" s="15" t="s">
        <v>8</v>
      </c>
      <c r="O2601" s="15" t="s">
        <v>8</v>
      </c>
      <c r="R2601" s="15" t="s">
        <v>8</v>
      </c>
      <c r="S2601" s="15" t="s">
        <v>8</v>
      </c>
      <c r="T2601" s="15" t="s">
        <v>8</v>
      </c>
      <c r="V2601" s="15" t="s">
        <v>8</v>
      </c>
      <c r="X2601" s="15" t="s">
        <v>8</v>
      </c>
      <c r="Y2601" s="15" t="s">
        <v>8</v>
      </c>
      <c r="Z2601" s="15" t="s">
        <v>8</v>
      </c>
      <c r="AA2601" s="8" t="s">
        <v>3</v>
      </c>
      <c r="AB2601" s="15" t="s">
        <v>8</v>
      </c>
    </row>
    <row r="2602" spans="3:35" x14ac:dyDescent="0.35">
      <c r="C2602" s="15" t="s">
        <v>8</v>
      </c>
      <c r="D2602" s="15" t="s">
        <v>8</v>
      </c>
      <c r="G2602" s="15" t="s">
        <v>8</v>
      </c>
      <c r="L2602" s="15" t="s">
        <v>8</v>
      </c>
      <c r="M2602" s="15" t="s">
        <v>8</v>
      </c>
      <c r="N2602" s="15" t="s">
        <v>8</v>
      </c>
      <c r="O2602" s="15" t="s">
        <v>8</v>
      </c>
      <c r="R2602" s="15" t="s">
        <v>8</v>
      </c>
      <c r="S2602" s="15" t="s">
        <v>8</v>
      </c>
      <c r="T2602" s="15" t="s">
        <v>8</v>
      </c>
      <c r="V2602" s="15" t="s">
        <v>8</v>
      </c>
      <c r="X2602" s="15" t="s">
        <v>8</v>
      </c>
      <c r="Y2602" s="15" t="s">
        <v>8</v>
      </c>
      <c r="Z2602" s="15" t="s">
        <v>8</v>
      </c>
      <c r="AA2602" s="15" t="s">
        <v>8</v>
      </c>
      <c r="AB2602" s="15" t="s">
        <v>8</v>
      </c>
      <c r="AE2602" s="19" t="str">
        <f>HYPERLINK("http://yeinfo.com/family/I09066676.html", "FRANCIS BOHUN &lt;5&gt; 1165 EN-1185 EN ID:09066676")</f>
        <v>FRANCIS BOHUN &lt;5&gt; 1165 EN-1185 EN ID:09066676</v>
      </c>
      <c r="AF2602" s="9"/>
      <c r="AG2602" s="9"/>
      <c r="AH2602" s="9"/>
      <c r="AI2602" s="9"/>
    </row>
    <row r="2603" spans="3:35" x14ac:dyDescent="0.35">
      <c r="C2603" s="15" t="s">
        <v>8</v>
      </c>
      <c r="D2603" s="15" t="s">
        <v>8</v>
      </c>
      <c r="G2603" s="15" t="s">
        <v>8</v>
      </c>
      <c r="L2603" s="15" t="s">
        <v>8</v>
      </c>
      <c r="M2603" s="15" t="s">
        <v>8</v>
      </c>
      <c r="N2603" s="15" t="s">
        <v>8</v>
      </c>
      <c r="O2603" s="15" t="s">
        <v>8</v>
      </c>
      <c r="R2603" s="15" t="s">
        <v>8</v>
      </c>
      <c r="S2603" s="15" t="s">
        <v>8</v>
      </c>
      <c r="T2603" s="15" t="s">
        <v>8</v>
      </c>
      <c r="V2603" s="15" t="s">
        <v>8</v>
      </c>
      <c r="X2603" s="15" t="s">
        <v>8</v>
      </c>
      <c r="Y2603" s="15" t="s">
        <v>8</v>
      </c>
      <c r="Z2603" s="15" t="s">
        <v>8</v>
      </c>
      <c r="AA2603" s="15" t="s">
        <v>8</v>
      </c>
      <c r="AB2603" s="15" t="s">
        <v>8</v>
      </c>
    </row>
    <row r="2604" spans="3:35" x14ac:dyDescent="0.35">
      <c r="C2604" s="15" t="s">
        <v>8</v>
      </c>
      <c r="D2604" s="15" t="s">
        <v>8</v>
      </c>
      <c r="G2604" s="15" t="s">
        <v>8</v>
      </c>
      <c r="L2604" s="15" t="s">
        <v>8</v>
      </c>
      <c r="M2604" s="15" t="s">
        <v>8</v>
      </c>
      <c r="N2604" s="15" t="s">
        <v>8</v>
      </c>
      <c r="O2604" s="15" t="s">
        <v>8</v>
      </c>
      <c r="R2604" s="15" t="s">
        <v>8</v>
      </c>
      <c r="S2604" s="15" t="s">
        <v>8</v>
      </c>
      <c r="T2604" s="15" t="s">
        <v>8</v>
      </c>
      <c r="V2604" s="15" t="s">
        <v>8</v>
      </c>
      <c r="X2604" s="15" t="s">
        <v>8</v>
      </c>
      <c r="Y2604" s="15" t="s">
        <v>8</v>
      </c>
      <c r="Z2604" s="15" t="s">
        <v>8</v>
      </c>
      <c r="AA2604" s="15" t="s">
        <v>8</v>
      </c>
      <c r="AB2604" s="15" t="s">
        <v>8</v>
      </c>
      <c r="AD2604" s="19" t="str">
        <f>HYPERLINK("http://yeinfo.com/family/I09066674.html", "JAMES BOHUN &lt;5&gt; 1185 EN-1208 EN ID:09066674")</f>
        <v>JAMES BOHUN &lt;5&gt; 1185 EN-1208 EN ID:09066674</v>
      </c>
      <c r="AE2604" s="9"/>
      <c r="AF2604" s="9"/>
      <c r="AG2604" s="9"/>
      <c r="AH2604" s="9"/>
    </row>
    <row r="2605" spans="3:35" x14ac:dyDescent="0.35">
      <c r="C2605" s="15" t="s">
        <v>8</v>
      </c>
      <c r="D2605" s="15" t="s">
        <v>8</v>
      </c>
      <c r="G2605" s="15" t="s">
        <v>8</v>
      </c>
      <c r="L2605" s="15" t="s">
        <v>8</v>
      </c>
      <c r="M2605" s="15" t="s">
        <v>8</v>
      </c>
      <c r="N2605" s="15" t="s">
        <v>8</v>
      </c>
      <c r="O2605" s="15" t="s">
        <v>8</v>
      </c>
      <c r="R2605" s="15" t="s">
        <v>8</v>
      </c>
      <c r="S2605" s="15" t="s">
        <v>8</v>
      </c>
      <c r="T2605" s="15" t="s">
        <v>8</v>
      </c>
      <c r="V2605" s="15" t="s">
        <v>8</v>
      </c>
      <c r="X2605" s="15" t="s">
        <v>8</v>
      </c>
      <c r="Y2605" s="15" t="s">
        <v>8</v>
      </c>
      <c r="Z2605" s="15" t="s">
        <v>8</v>
      </c>
      <c r="AA2605" s="15" t="s">
        <v>8</v>
      </c>
      <c r="AB2605" s="15" t="s">
        <v>8</v>
      </c>
      <c r="AD2605" s="8" t="s">
        <v>3</v>
      </c>
    </row>
    <row r="2606" spans="3:35" x14ac:dyDescent="0.35">
      <c r="C2606" s="15" t="s">
        <v>8</v>
      </c>
      <c r="D2606" s="15" t="s">
        <v>8</v>
      </c>
      <c r="G2606" s="15" t="s">
        <v>8</v>
      </c>
      <c r="L2606" s="15" t="s">
        <v>8</v>
      </c>
      <c r="M2606" s="15" t="s">
        <v>8</v>
      </c>
      <c r="N2606" s="15" t="s">
        <v>8</v>
      </c>
      <c r="O2606" s="15" t="s">
        <v>8</v>
      </c>
      <c r="R2606" s="15" t="s">
        <v>8</v>
      </c>
      <c r="S2606" s="15" t="s">
        <v>8</v>
      </c>
      <c r="T2606" s="15" t="s">
        <v>8</v>
      </c>
      <c r="V2606" s="15" t="s">
        <v>8</v>
      </c>
      <c r="X2606" s="15" t="s">
        <v>8</v>
      </c>
      <c r="Y2606" s="15" t="s">
        <v>8</v>
      </c>
      <c r="Z2606" s="15" t="s">
        <v>8</v>
      </c>
      <c r="AA2606" s="15" t="s">
        <v>8</v>
      </c>
      <c r="AB2606" s="15" t="s">
        <v>8</v>
      </c>
      <c r="AD2606" s="15" t="s">
        <v>8</v>
      </c>
      <c r="AE2606" s="20" t="str">
        <f>HYPERLINK("http://yeinfo.com/family/I09066677.html", "MARGERY LACY &lt;5&gt; 1165 -1185 EN ID:09066677")</f>
        <v>MARGERY LACY &lt;5&gt; 1165 -1185 EN ID:09066677</v>
      </c>
      <c r="AF2606" s="17"/>
      <c r="AG2606" s="17"/>
      <c r="AH2606" s="17"/>
      <c r="AI2606" s="17"/>
    </row>
    <row r="2607" spans="3:35" x14ac:dyDescent="0.35">
      <c r="C2607" s="15" t="s">
        <v>8</v>
      </c>
      <c r="D2607" s="15" t="s">
        <v>8</v>
      </c>
      <c r="G2607" s="15" t="s">
        <v>8</v>
      </c>
      <c r="L2607" s="15" t="s">
        <v>8</v>
      </c>
      <c r="M2607" s="15" t="s">
        <v>8</v>
      </c>
      <c r="N2607" s="15" t="s">
        <v>8</v>
      </c>
      <c r="O2607" s="15" t="s">
        <v>8</v>
      </c>
      <c r="R2607" s="15" t="s">
        <v>8</v>
      </c>
      <c r="S2607" s="15" t="s">
        <v>8</v>
      </c>
      <c r="T2607" s="15" t="s">
        <v>8</v>
      </c>
      <c r="V2607" s="15" t="s">
        <v>8</v>
      </c>
      <c r="X2607" s="15" t="s">
        <v>8</v>
      </c>
      <c r="Y2607" s="15" t="s">
        <v>8</v>
      </c>
      <c r="Z2607" s="15" t="s">
        <v>8</v>
      </c>
      <c r="AA2607" s="15" t="s">
        <v>8</v>
      </c>
      <c r="AB2607" s="15" t="s">
        <v>8</v>
      </c>
      <c r="AD2607" s="15" t="s">
        <v>8</v>
      </c>
    </row>
    <row r="2608" spans="3:35" x14ac:dyDescent="0.35">
      <c r="C2608" s="15" t="s">
        <v>8</v>
      </c>
      <c r="D2608" s="15" t="s">
        <v>8</v>
      </c>
      <c r="G2608" s="15" t="s">
        <v>8</v>
      </c>
      <c r="L2608" s="15" t="s">
        <v>8</v>
      </c>
      <c r="M2608" s="15" t="s">
        <v>8</v>
      </c>
      <c r="N2608" s="15" t="s">
        <v>8</v>
      </c>
      <c r="O2608" s="15" t="s">
        <v>8</v>
      </c>
      <c r="R2608" s="15" t="s">
        <v>8</v>
      </c>
      <c r="S2608" s="15" t="s">
        <v>8</v>
      </c>
      <c r="T2608" s="15" t="s">
        <v>8</v>
      </c>
      <c r="V2608" s="15" t="s">
        <v>8</v>
      </c>
      <c r="X2608" s="15" t="s">
        <v>8</v>
      </c>
      <c r="Y2608" s="15" t="s">
        <v>8</v>
      </c>
      <c r="Z2608" s="15" t="s">
        <v>8</v>
      </c>
      <c r="AA2608" s="15" t="s">
        <v>8</v>
      </c>
      <c r="AB2608" s="15" t="s">
        <v>8</v>
      </c>
      <c r="AC2608" s="19" t="str">
        <f>HYPERLINK("http://yeinfo.com/family/I09066672.html", "HUMPHREY BOHUN &lt;5&gt; 1208 EN-1275 EN ID:09066672")</f>
        <v>HUMPHREY BOHUN &lt;5&gt; 1208 EN-1275 EN ID:09066672</v>
      </c>
      <c r="AD2608" s="9"/>
      <c r="AE2608" s="9"/>
      <c r="AF2608" s="9"/>
      <c r="AG2608" s="9"/>
    </row>
    <row r="2609" spans="3:34" x14ac:dyDescent="0.35">
      <c r="C2609" s="15" t="s">
        <v>8</v>
      </c>
      <c r="D2609" s="15" t="s">
        <v>8</v>
      </c>
      <c r="G2609" s="15" t="s">
        <v>8</v>
      </c>
      <c r="L2609" s="15" t="s">
        <v>8</v>
      </c>
      <c r="M2609" s="15" t="s">
        <v>8</v>
      </c>
      <c r="N2609" s="15" t="s">
        <v>8</v>
      </c>
      <c r="O2609" s="15" t="s">
        <v>8</v>
      </c>
      <c r="R2609" s="15" t="s">
        <v>8</v>
      </c>
      <c r="S2609" s="15" t="s">
        <v>8</v>
      </c>
      <c r="T2609" s="15" t="s">
        <v>8</v>
      </c>
      <c r="V2609" s="15" t="s">
        <v>8</v>
      </c>
      <c r="X2609" s="15" t="s">
        <v>8</v>
      </c>
      <c r="Y2609" s="15" t="s">
        <v>8</v>
      </c>
      <c r="Z2609" s="15" t="s">
        <v>8</v>
      </c>
      <c r="AA2609" s="15" t="s">
        <v>8</v>
      </c>
      <c r="AB2609" s="15" t="s">
        <v>8</v>
      </c>
      <c r="AC2609" s="8" t="s">
        <v>3</v>
      </c>
      <c r="AD2609" s="8" t="s">
        <v>6</v>
      </c>
    </row>
    <row r="2610" spans="3:34" x14ac:dyDescent="0.35">
      <c r="C2610" s="15" t="s">
        <v>8</v>
      </c>
      <c r="D2610" s="15" t="s">
        <v>8</v>
      </c>
      <c r="G2610" s="15" t="s">
        <v>8</v>
      </c>
      <c r="L2610" s="15" t="s">
        <v>8</v>
      </c>
      <c r="M2610" s="15" t="s">
        <v>8</v>
      </c>
      <c r="N2610" s="15" t="s">
        <v>8</v>
      </c>
      <c r="O2610" s="15" t="s">
        <v>8</v>
      </c>
      <c r="R2610" s="15" t="s">
        <v>8</v>
      </c>
      <c r="S2610" s="15" t="s">
        <v>8</v>
      </c>
      <c r="T2610" s="15" t="s">
        <v>8</v>
      </c>
      <c r="V2610" s="15" t="s">
        <v>8</v>
      </c>
      <c r="X2610" s="15" t="s">
        <v>8</v>
      </c>
      <c r="Y2610" s="15" t="s">
        <v>8</v>
      </c>
      <c r="Z2610" s="15" t="s">
        <v>8</v>
      </c>
      <c r="AA2610" s="15" t="s">
        <v>8</v>
      </c>
      <c r="AB2610" s="15" t="s">
        <v>8</v>
      </c>
      <c r="AC2610" s="15" t="s">
        <v>8</v>
      </c>
      <c r="AD2610" s="20" t="str">
        <f>HYPERLINK("http://yeinfo.com/family/I09066675.html", "Mrs. {_?_} BOHUN &lt;5&gt; 1185 -1208 EN ID:09066675")</f>
        <v>Mrs. {_?_} BOHUN &lt;5&gt; 1185 -1208 EN ID:09066675</v>
      </c>
      <c r="AE2610" s="17"/>
      <c r="AF2610" s="17"/>
      <c r="AG2610" s="17"/>
      <c r="AH2610" s="17"/>
    </row>
    <row r="2611" spans="3:34" x14ac:dyDescent="0.35">
      <c r="C2611" s="15" t="s">
        <v>8</v>
      </c>
      <c r="D2611" s="15" t="s">
        <v>8</v>
      </c>
      <c r="G2611" s="15" t="s">
        <v>8</v>
      </c>
      <c r="L2611" s="15" t="s">
        <v>8</v>
      </c>
      <c r="M2611" s="15" t="s">
        <v>8</v>
      </c>
      <c r="N2611" s="15" t="s">
        <v>8</v>
      </c>
      <c r="O2611" s="15" t="s">
        <v>8</v>
      </c>
      <c r="R2611" s="15" t="s">
        <v>8</v>
      </c>
      <c r="S2611" s="15" t="s">
        <v>8</v>
      </c>
      <c r="T2611" s="15" t="s">
        <v>8</v>
      </c>
      <c r="V2611" s="15" t="s">
        <v>8</v>
      </c>
      <c r="X2611" s="15" t="s">
        <v>8</v>
      </c>
      <c r="Y2611" s="15" t="s">
        <v>8</v>
      </c>
      <c r="Z2611" s="15" t="s">
        <v>8</v>
      </c>
      <c r="AA2611" s="15" t="s">
        <v>8</v>
      </c>
      <c r="AB2611" s="8" t="s">
        <v>6</v>
      </c>
      <c r="AC2611" s="15" t="s">
        <v>8</v>
      </c>
    </row>
    <row r="2612" spans="3:34" x14ac:dyDescent="0.35">
      <c r="C2612" s="15" t="s">
        <v>8</v>
      </c>
      <c r="D2612" s="15" t="s">
        <v>8</v>
      </c>
      <c r="G2612" s="15" t="s">
        <v>8</v>
      </c>
      <c r="L2612" s="15" t="s">
        <v>8</v>
      </c>
      <c r="M2612" s="15" t="s">
        <v>8</v>
      </c>
      <c r="N2612" s="15" t="s">
        <v>8</v>
      </c>
      <c r="O2612" s="15" t="s">
        <v>8</v>
      </c>
      <c r="R2612" s="15" t="s">
        <v>8</v>
      </c>
      <c r="S2612" s="15" t="s">
        <v>8</v>
      </c>
      <c r="T2612" s="15" t="s">
        <v>8</v>
      </c>
      <c r="V2612" s="15" t="s">
        <v>8</v>
      </c>
      <c r="X2612" s="15" t="s">
        <v>8</v>
      </c>
      <c r="Y2612" s="15" t="s">
        <v>8</v>
      </c>
      <c r="Z2612" s="15" t="s">
        <v>8</v>
      </c>
      <c r="AA2612" s="15" t="s">
        <v>8</v>
      </c>
      <c r="AB2612" s="20" t="str">
        <f>HYPERLINK("http://yeinfo.com/family/I09066670.html", "ALICE\CECILIA BOHUN &lt;5&gt; 1242 EN-1262  ID:09066670")</f>
        <v>ALICE\CECILIA BOHUN &lt;5&gt; 1242 EN-1262  ID:09066670</v>
      </c>
      <c r="AC2612" s="17"/>
      <c r="AD2612" s="17"/>
      <c r="AE2612" s="17"/>
      <c r="AF2612" s="17"/>
      <c r="AG2612" s="17"/>
    </row>
    <row r="2613" spans="3:34" x14ac:dyDescent="0.35">
      <c r="C2613" s="15" t="s">
        <v>8</v>
      </c>
      <c r="D2613" s="15" t="s">
        <v>8</v>
      </c>
      <c r="G2613" s="15" t="s">
        <v>8</v>
      </c>
      <c r="L2613" s="15" t="s">
        <v>8</v>
      </c>
      <c r="M2613" s="15" t="s">
        <v>8</v>
      </c>
      <c r="N2613" s="15" t="s">
        <v>8</v>
      </c>
      <c r="O2613" s="15" t="s">
        <v>8</v>
      </c>
      <c r="R2613" s="15" t="s">
        <v>8</v>
      </c>
      <c r="S2613" s="15" t="s">
        <v>8</v>
      </c>
      <c r="T2613" s="15" t="s">
        <v>8</v>
      </c>
      <c r="V2613" s="15" t="s">
        <v>8</v>
      </c>
      <c r="X2613" s="15" t="s">
        <v>8</v>
      </c>
      <c r="Y2613" s="15" t="s">
        <v>8</v>
      </c>
      <c r="Z2613" s="15" t="s">
        <v>8</v>
      </c>
      <c r="AA2613" s="15" t="s">
        <v>8</v>
      </c>
      <c r="AC2613" s="8" t="s">
        <v>6</v>
      </c>
    </row>
    <row r="2614" spans="3:34" x14ac:dyDescent="0.35">
      <c r="C2614" s="15" t="s">
        <v>8</v>
      </c>
      <c r="D2614" s="15" t="s">
        <v>8</v>
      </c>
      <c r="G2614" s="15" t="s">
        <v>8</v>
      </c>
      <c r="L2614" s="15" t="s">
        <v>8</v>
      </c>
      <c r="M2614" s="15" t="s">
        <v>8</v>
      </c>
      <c r="N2614" s="15" t="s">
        <v>8</v>
      </c>
      <c r="O2614" s="15" t="s">
        <v>8</v>
      </c>
      <c r="R2614" s="15" t="s">
        <v>8</v>
      </c>
      <c r="S2614" s="15" t="s">
        <v>8</v>
      </c>
      <c r="T2614" s="15" t="s">
        <v>8</v>
      </c>
      <c r="V2614" s="15" t="s">
        <v>8</v>
      </c>
      <c r="X2614" s="15" t="s">
        <v>8</v>
      </c>
      <c r="Y2614" s="15" t="s">
        <v>8</v>
      </c>
      <c r="Z2614" s="15" t="s">
        <v>8</v>
      </c>
      <c r="AA2614" s="15" t="s">
        <v>8</v>
      </c>
      <c r="AC2614" s="20" t="str">
        <f>HYPERLINK("http://yeinfo.com/family/I09066673.html", "MAUD LUSIGNAN &lt;5&gt; 1220 -1242 EN ID:09066673")</f>
        <v>MAUD LUSIGNAN &lt;5&gt; 1220 -1242 EN ID:09066673</v>
      </c>
      <c r="AD2614" s="17"/>
      <c r="AE2614" s="17"/>
      <c r="AF2614" s="17"/>
      <c r="AG2614" s="17"/>
    </row>
    <row r="2615" spans="3:34" x14ac:dyDescent="0.35">
      <c r="C2615" s="15" t="s">
        <v>8</v>
      </c>
      <c r="D2615" s="15" t="s">
        <v>8</v>
      </c>
      <c r="G2615" s="15" t="s">
        <v>8</v>
      </c>
      <c r="L2615" s="15" t="s">
        <v>8</v>
      </c>
      <c r="M2615" s="15" t="s">
        <v>8</v>
      </c>
      <c r="N2615" s="15" t="s">
        <v>8</v>
      </c>
      <c r="O2615" s="15" t="s">
        <v>8</v>
      </c>
      <c r="R2615" s="15" t="s">
        <v>8</v>
      </c>
      <c r="S2615" s="15" t="s">
        <v>8</v>
      </c>
      <c r="T2615" s="15" t="s">
        <v>8</v>
      </c>
      <c r="V2615" s="15" t="s">
        <v>8</v>
      </c>
      <c r="X2615" s="15" t="s">
        <v>8</v>
      </c>
      <c r="Y2615" s="15" t="s">
        <v>8</v>
      </c>
      <c r="Z2615" s="8" t="s">
        <v>6</v>
      </c>
      <c r="AA2615" s="15" t="s">
        <v>8</v>
      </c>
    </row>
    <row r="2616" spans="3:34" x14ac:dyDescent="0.35">
      <c r="C2616" s="15" t="s">
        <v>8</v>
      </c>
      <c r="D2616" s="15" t="s">
        <v>8</v>
      </c>
      <c r="G2616" s="15" t="s">
        <v>8</v>
      </c>
      <c r="L2616" s="15" t="s">
        <v>8</v>
      </c>
      <c r="M2616" s="15" t="s">
        <v>8</v>
      </c>
      <c r="N2616" s="15" t="s">
        <v>8</v>
      </c>
      <c r="O2616" s="15" t="s">
        <v>8</v>
      </c>
      <c r="R2616" s="15" t="s">
        <v>8</v>
      </c>
      <c r="S2616" s="15" t="s">
        <v>8</v>
      </c>
      <c r="T2616" s="15" t="s">
        <v>8</v>
      </c>
      <c r="V2616" s="15" t="s">
        <v>8</v>
      </c>
      <c r="X2616" s="15" t="s">
        <v>8</v>
      </c>
      <c r="Y2616" s="15" t="s">
        <v>8</v>
      </c>
      <c r="Z2616" s="20" t="str">
        <f>HYPERLINK("http://yeinfo.com/family/I09066587.html", "ALICE TOENI &lt;5&gt; 1284 EN-1313 EN ID:09066587")</f>
        <v>ALICE TOENI &lt;5&gt; 1284 EN-1313 EN ID:09066587</v>
      </c>
      <c r="AA2616" s="17"/>
      <c r="AB2616" s="17"/>
      <c r="AC2616" s="17"/>
      <c r="AD2616" s="17"/>
    </row>
    <row r="2617" spans="3:34" x14ac:dyDescent="0.35">
      <c r="C2617" s="15" t="s">
        <v>8</v>
      </c>
      <c r="D2617" s="15" t="s">
        <v>8</v>
      </c>
      <c r="G2617" s="15" t="s">
        <v>8</v>
      </c>
      <c r="L2617" s="15" t="s">
        <v>8</v>
      </c>
      <c r="M2617" s="15" t="s">
        <v>8</v>
      </c>
      <c r="N2617" s="15" t="s">
        <v>8</v>
      </c>
      <c r="O2617" s="15" t="s">
        <v>8</v>
      </c>
      <c r="R2617" s="15" t="s">
        <v>8</v>
      </c>
      <c r="S2617" s="15" t="s">
        <v>8</v>
      </c>
      <c r="T2617" s="15" t="s">
        <v>8</v>
      </c>
      <c r="V2617" s="15" t="s">
        <v>8</v>
      </c>
      <c r="X2617" s="15" t="s">
        <v>8</v>
      </c>
      <c r="Y2617" s="15" t="s">
        <v>8</v>
      </c>
      <c r="AA2617" s="8" t="s">
        <v>6</v>
      </c>
    </row>
    <row r="2618" spans="3:34" x14ac:dyDescent="0.35">
      <c r="C2618" s="15" t="s">
        <v>8</v>
      </c>
      <c r="D2618" s="15" t="s">
        <v>8</v>
      </c>
      <c r="G2618" s="15" t="s">
        <v>8</v>
      </c>
      <c r="L2618" s="15" t="s">
        <v>8</v>
      </c>
      <c r="M2618" s="15" t="s">
        <v>8</v>
      </c>
      <c r="N2618" s="15" t="s">
        <v>8</v>
      </c>
      <c r="O2618" s="15" t="s">
        <v>8</v>
      </c>
      <c r="R2618" s="15" t="s">
        <v>8</v>
      </c>
      <c r="S2618" s="15" t="s">
        <v>8</v>
      </c>
      <c r="T2618" s="15" t="s">
        <v>8</v>
      </c>
      <c r="V2618" s="15" t="s">
        <v>8</v>
      </c>
      <c r="X2618" s="15" t="s">
        <v>8</v>
      </c>
      <c r="Y2618" s="15" t="s">
        <v>8</v>
      </c>
      <c r="AA2618" s="20" t="str">
        <f>HYPERLINK("http://yeinfo.com/family/I09066648.html", "MARY CLARISSA BRUCE &lt;5&gt; 1255 EN-1284 EN ID:09066648")</f>
        <v>MARY CLARISSA BRUCE &lt;5&gt; 1255 EN-1284 EN ID:09066648</v>
      </c>
      <c r="AB2618" s="17"/>
      <c r="AC2618" s="17"/>
      <c r="AD2618" s="17"/>
      <c r="AE2618" s="17"/>
    </row>
    <row r="2619" spans="3:34" x14ac:dyDescent="0.35">
      <c r="C2619" s="15" t="s">
        <v>8</v>
      </c>
      <c r="D2619" s="15" t="s">
        <v>8</v>
      </c>
      <c r="G2619" s="15" t="s">
        <v>8</v>
      </c>
      <c r="L2619" s="15" t="s">
        <v>8</v>
      </c>
      <c r="M2619" s="15" t="s">
        <v>8</v>
      </c>
      <c r="N2619" s="15" t="s">
        <v>8</v>
      </c>
      <c r="O2619" s="15" t="s">
        <v>8</v>
      </c>
      <c r="R2619" s="15" t="s">
        <v>8</v>
      </c>
      <c r="S2619" s="15" t="s">
        <v>8</v>
      </c>
      <c r="T2619" s="15" t="s">
        <v>8</v>
      </c>
      <c r="V2619" s="15" t="s">
        <v>8</v>
      </c>
      <c r="X2619" s="8" t="s">
        <v>6</v>
      </c>
      <c r="Y2619" s="15" t="s">
        <v>8</v>
      </c>
    </row>
    <row r="2620" spans="3:34" x14ac:dyDescent="0.35">
      <c r="C2620" s="15" t="s">
        <v>8</v>
      </c>
      <c r="D2620" s="15" t="s">
        <v>8</v>
      </c>
      <c r="G2620" s="15" t="s">
        <v>8</v>
      </c>
      <c r="L2620" s="15" t="s">
        <v>8</v>
      </c>
      <c r="M2620" s="15" t="s">
        <v>8</v>
      </c>
      <c r="N2620" s="15" t="s">
        <v>8</v>
      </c>
      <c r="O2620" s="15" t="s">
        <v>8</v>
      </c>
      <c r="R2620" s="15" t="s">
        <v>8</v>
      </c>
      <c r="S2620" s="15" t="s">
        <v>8</v>
      </c>
      <c r="T2620" s="15" t="s">
        <v>8</v>
      </c>
      <c r="V2620" s="15" t="s">
        <v>8</v>
      </c>
      <c r="X2620" s="20" t="str">
        <f>HYPERLINK("http://yeinfo.com/family/I09066780.html", "MAUD BEAUCHAMP &lt;4&gt; 1343 EN-1403 EN ID:09066780")</f>
        <v>MAUD BEAUCHAMP &lt;4&gt; 1343 EN-1403 EN ID:09066780</v>
      </c>
      <c r="Y2620" s="17"/>
      <c r="Z2620" s="17"/>
      <c r="AA2620" s="17"/>
      <c r="AB2620" s="17"/>
    </row>
    <row r="2621" spans="3:34" x14ac:dyDescent="0.35">
      <c r="C2621" s="15" t="s">
        <v>8</v>
      </c>
      <c r="D2621" s="15" t="s">
        <v>8</v>
      </c>
      <c r="G2621" s="15" t="s">
        <v>8</v>
      </c>
      <c r="L2621" s="15" t="s">
        <v>8</v>
      </c>
      <c r="M2621" s="15" t="s">
        <v>8</v>
      </c>
      <c r="N2621" s="15" t="s">
        <v>8</v>
      </c>
      <c r="O2621" s="15" t="s">
        <v>8</v>
      </c>
      <c r="R2621" s="15" t="s">
        <v>8</v>
      </c>
      <c r="S2621" s="15" t="s">
        <v>8</v>
      </c>
      <c r="T2621" s="15" t="s">
        <v>8</v>
      </c>
      <c r="V2621" s="15" t="s">
        <v>8</v>
      </c>
      <c r="Y2621" s="15" t="s">
        <v>8</v>
      </c>
    </row>
    <row r="2622" spans="3:34" x14ac:dyDescent="0.35">
      <c r="C2622" s="15" t="s">
        <v>8</v>
      </c>
      <c r="D2622" s="15" t="s">
        <v>8</v>
      </c>
      <c r="G2622" s="15" t="s">
        <v>8</v>
      </c>
      <c r="L2622" s="15" t="s">
        <v>8</v>
      </c>
      <c r="M2622" s="15" t="s">
        <v>8</v>
      </c>
      <c r="N2622" s="15" t="s">
        <v>8</v>
      </c>
      <c r="O2622" s="15" t="s">
        <v>8</v>
      </c>
      <c r="R2622" s="15" t="s">
        <v>8</v>
      </c>
      <c r="S2622" s="15" t="s">
        <v>8</v>
      </c>
      <c r="T2622" s="15" t="s">
        <v>8</v>
      </c>
      <c r="V2622" s="15" t="s">
        <v>8</v>
      </c>
      <c r="Y2622" s="15" t="s">
        <v>8</v>
      </c>
      <c r="AA2622" s="19" t="str">
        <f>HYPERLINK("http://yeinfo.com/family/I09066649.html", "EDMUND MORTIMER &lt;5&gt; 1252 EN-1287 EN ID:09066649")</f>
        <v>EDMUND MORTIMER &lt;5&gt; 1252 EN-1287 EN ID:09066649</v>
      </c>
      <c r="AB2622" s="9"/>
      <c r="AC2622" s="9"/>
      <c r="AD2622" s="9"/>
      <c r="AE2622" s="9"/>
    </row>
    <row r="2623" spans="3:34" x14ac:dyDescent="0.35">
      <c r="C2623" s="15" t="s">
        <v>8</v>
      </c>
      <c r="D2623" s="15" t="s">
        <v>8</v>
      </c>
      <c r="G2623" s="15" t="s">
        <v>8</v>
      </c>
      <c r="L2623" s="15" t="s">
        <v>8</v>
      </c>
      <c r="M2623" s="15" t="s">
        <v>8</v>
      </c>
      <c r="N2623" s="15" t="s">
        <v>8</v>
      </c>
      <c r="O2623" s="15" t="s">
        <v>8</v>
      </c>
      <c r="R2623" s="15" t="s">
        <v>8</v>
      </c>
      <c r="S2623" s="15" t="s">
        <v>8</v>
      </c>
      <c r="T2623" s="15" t="s">
        <v>8</v>
      </c>
      <c r="V2623" s="15" t="s">
        <v>8</v>
      </c>
      <c r="Y2623" s="15" t="s">
        <v>8</v>
      </c>
      <c r="AA2623" s="8" t="s">
        <v>3</v>
      </c>
    </row>
    <row r="2624" spans="3:34" x14ac:dyDescent="0.35">
      <c r="C2624" s="15" t="s">
        <v>8</v>
      </c>
      <c r="D2624" s="15" t="s">
        <v>8</v>
      </c>
      <c r="G2624" s="15" t="s">
        <v>8</v>
      </c>
      <c r="L2624" s="15" t="s">
        <v>8</v>
      </c>
      <c r="M2624" s="15" t="s">
        <v>8</v>
      </c>
      <c r="N2624" s="15" t="s">
        <v>8</v>
      </c>
      <c r="O2624" s="15" t="s">
        <v>8</v>
      </c>
      <c r="R2624" s="15" t="s">
        <v>8</v>
      </c>
      <c r="S2624" s="15" t="s">
        <v>8</v>
      </c>
      <c r="T2624" s="15" t="s">
        <v>8</v>
      </c>
      <c r="V2624" s="15" t="s">
        <v>8</v>
      </c>
      <c r="Y2624" s="15" t="s">
        <v>8</v>
      </c>
      <c r="Z2624" s="19" t="str">
        <f>HYPERLINK("http://yeinfo.com/family/I09066588.html", "ROGER MORTIMER &lt;5&gt; 1287 EN-1330 EN ID:09066588")</f>
        <v>ROGER MORTIMER &lt;5&gt; 1287 EN-1330 EN ID:09066588</v>
      </c>
      <c r="AA2624" s="9"/>
      <c r="AB2624" s="9"/>
      <c r="AC2624" s="9"/>
      <c r="AD2624" s="9"/>
    </row>
    <row r="2625" spans="3:32" x14ac:dyDescent="0.35">
      <c r="C2625" s="15" t="s">
        <v>8</v>
      </c>
      <c r="D2625" s="15" t="s">
        <v>8</v>
      </c>
      <c r="G2625" s="15" t="s">
        <v>8</v>
      </c>
      <c r="L2625" s="15" t="s">
        <v>8</v>
      </c>
      <c r="M2625" s="15" t="s">
        <v>8</v>
      </c>
      <c r="N2625" s="15" t="s">
        <v>8</v>
      </c>
      <c r="O2625" s="15" t="s">
        <v>8</v>
      </c>
      <c r="R2625" s="15" t="s">
        <v>8</v>
      </c>
      <c r="S2625" s="15" t="s">
        <v>8</v>
      </c>
      <c r="T2625" s="15" t="s">
        <v>8</v>
      </c>
      <c r="V2625" s="15" t="s">
        <v>8</v>
      </c>
      <c r="Y2625" s="15" t="s">
        <v>8</v>
      </c>
      <c r="Z2625" s="8" t="s">
        <v>3</v>
      </c>
      <c r="AA2625" s="8" t="s">
        <v>6</v>
      </c>
    </row>
    <row r="2626" spans="3:32" x14ac:dyDescent="0.35">
      <c r="C2626" s="15" t="s">
        <v>8</v>
      </c>
      <c r="D2626" s="15" t="s">
        <v>8</v>
      </c>
      <c r="G2626" s="15" t="s">
        <v>8</v>
      </c>
      <c r="L2626" s="15" t="s">
        <v>8</v>
      </c>
      <c r="M2626" s="15" t="s">
        <v>8</v>
      </c>
      <c r="N2626" s="15" t="s">
        <v>8</v>
      </c>
      <c r="O2626" s="15" t="s">
        <v>8</v>
      </c>
      <c r="R2626" s="15" t="s">
        <v>8</v>
      </c>
      <c r="S2626" s="15" t="s">
        <v>8</v>
      </c>
      <c r="T2626" s="15" t="s">
        <v>8</v>
      </c>
      <c r="V2626" s="15" t="s">
        <v>8</v>
      </c>
      <c r="Y2626" s="15" t="s">
        <v>8</v>
      </c>
      <c r="Z2626" s="15" t="s">
        <v>8</v>
      </c>
      <c r="AA2626" s="20" t="str">
        <f>HYPERLINK("http://yeinfo.com/family/I09066650.html", "MARGARET FIENNES &lt;5&gt; 1262 EN-1334 EN ID:09066650")</f>
        <v>MARGARET FIENNES &lt;5&gt; 1262 EN-1334 EN ID:09066650</v>
      </c>
      <c r="AB2626" s="17"/>
      <c r="AC2626" s="17"/>
      <c r="AD2626" s="17"/>
      <c r="AE2626" s="17"/>
    </row>
    <row r="2627" spans="3:32" x14ac:dyDescent="0.35">
      <c r="C2627" s="15" t="s">
        <v>8</v>
      </c>
      <c r="D2627" s="15" t="s">
        <v>8</v>
      </c>
      <c r="G2627" s="15" t="s">
        <v>8</v>
      </c>
      <c r="L2627" s="15" t="s">
        <v>8</v>
      </c>
      <c r="M2627" s="15" t="s">
        <v>8</v>
      </c>
      <c r="N2627" s="15" t="s">
        <v>8</v>
      </c>
      <c r="O2627" s="15" t="s">
        <v>8</v>
      </c>
      <c r="R2627" s="15" t="s">
        <v>8</v>
      </c>
      <c r="S2627" s="15" t="s">
        <v>8</v>
      </c>
      <c r="T2627" s="15" t="s">
        <v>8</v>
      </c>
      <c r="V2627" s="15" t="s">
        <v>8</v>
      </c>
      <c r="Y2627" s="8" t="s">
        <v>6</v>
      </c>
      <c r="Z2627" s="15" t="s">
        <v>8</v>
      </c>
    </row>
    <row r="2628" spans="3:32" x14ac:dyDescent="0.35">
      <c r="C2628" s="15" t="s">
        <v>8</v>
      </c>
      <c r="D2628" s="15" t="s">
        <v>8</v>
      </c>
      <c r="G2628" s="15" t="s">
        <v>8</v>
      </c>
      <c r="L2628" s="15" t="s">
        <v>8</v>
      </c>
      <c r="M2628" s="15" t="s">
        <v>8</v>
      </c>
      <c r="N2628" s="15" t="s">
        <v>8</v>
      </c>
      <c r="O2628" s="15" t="s">
        <v>8</v>
      </c>
      <c r="R2628" s="15" t="s">
        <v>8</v>
      </c>
      <c r="S2628" s="15" t="s">
        <v>8</v>
      </c>
      <c r="T2628" s="15" t="s">
        <v>8</v>
      </c>
      <c r="V2628" s="15" t="s">
        <v>8</v>
      </c>
      <c r="Y2628" s="20" t="str">
        <f>HYPERLINK("http://yeinfo.com/family/I09066535.html", "KATHERINE MORTIMER &lt;5&gt; 1314 EN-1369  ID:09066535")</f>
        <v>KATHERINE MORTIMER &lt;5&gt; 1314 EN-1369  ID:09066535</v>
      </c>
      <c r="Z2628" s="17"/>
      <c r="AA2628" s="17"/>
      <c r="AB2628" s="17"/>
      <c r="AC2628" s="17"/>
    </row>
    <row r="2629" spans="3:32" x14ac:dyDescent="0.35">
      <c r="C2629" s="15" t="s">
        <v>8</v>
      </c>
      <c r="D2629" s="15" t="s">
        <v>8</v>
      </c>
      <c r="G2629" s="15" t="s">
        <v>8</v>
      </c>
      <c r="L2629" s="15" t="s">
        <v>8</v>
      </c>
      <c r="M2629" s="15" t="s">
        <v>8</v>
      </c>
      <c r="N2629" s="15" t="s">
        <v>8</v>
      </c>
      <c r="O2629" s="15" t="s">
        <v>8</v>
      </c>
      <c r="R2629" s="15" t="s">
        <v>8</v>
      </c>
      <c r="S2629" s="15" t="s">
        <v>8</v>
      </c>
      <c r="T2629" s="15" t="s">
        <v>8</v>
      </c>
      <c r="V2629" s="15" t="s">
        <v>8</v>
      </c>
      <c r="Z2629" s="15" t="s">
        <v>8</v>
      </c>
    </row>
    <row r="2630" spans="3:32" x14ac:dyDescent="0.35">
      <c r="C2630" s="15" t="s">
        <v>8</v>
      </c>
      <c r="D2630" s="15" t="s">
        <v>8</v>
      </c>
      <c r="G2630" s="15" t="s">
        <v>8</v>
      </c>
      <c r="L2630" s="15" t="s">
        <v>8</v>
      </c>
      <c r="M2630" s="15" t="s">
        <v>8</v>
      </c>
      <c r="N2630" s="15" t="s">
        <v>8</v>
      </c>
      <c r="O2630" s="15" t="s">
        <v>8</v>
      </c>
      <c r="R2630" s="15" t="s">
        <v>8</v>
      </c>
      <c r="S2630" s="15" t="s">
        <v>8</v>
      </c>
      <c r="T2630" s="15" t="s">
        <v>8</v>
      </c>
      <c r="V2630" s="15" t="s">
        <v>8</v>
      </c>
      <c r="Z2630" s="15" t="s">
        <v>8</v>
      </c>
      <c r="AA2630" s="19" t="str">
        <f>HYPERLINK("http://yeinfo.com/family/I09066651.html", "PIERS GENEVILLE &lt;5&gt; 1256 IR-1292 FR ID:09066651")</f>
        <v>PIERS GENEVILLE &lt;5&gt; 1256 IR-1292 FR ID:09066651</v>
      </c>
      <c r="AB2630" s="9"/>
      <c r="AC2630" s="9"/>
      <c r="AD2630" s="9"/>
      <c r="AE2630" s="9"/>
    </row>
    <row r="2631" spans="3:32" x14ac:dyDescent="0.35">
      <c r="C2631" s="15" t="s">
        <v>8</v>
      </c>
      <c r="D2631" s="15" t="s">
        <v>8</v>
      </c>
      <c r="G2631" s="15" t="s">
        <v>8</v>
      </c>
      <c r="L2631" s="15" t="s">
        <v>8</v>
      </c>
      <c r="M2631" s="15" t="s">
        <v>8</v>
      </c>
      <c r="N2631" s="15" t="s">
        <v>8</v>
      </c>
      <c r="O2631" s="15" t="s">
        <v>8</v>
      </c>
      <c r="R2631" s="15" t="s">
        <v>8</v>
      </c>
      <c r="S2631" s="15" t="s">
        <v>8</v>
      </c>
      <c r="T2631" s="15" t="s">
        <v>8</v>
      </c>
      <c r="V2631" s="15" t="s">
        <v>8</v>
      </c>
      <c r="Z2631" s="8" t="s">
        <v>6</v>
      </c>
      <c r="AA2631" s="8" t="s">
        <v>3</v>
      </c>
    </row>
    <row r="2632" spans="3:32" x14ac:dyDescent="0.35">
      <c r="C2632" s="15" t="s">
        <v>8</v>
      </c>
      <c r="D2632" s="15" t="s">
        <v>8</v>
      </c>
      <c r="G2632" s="15" t="s">
        <v>8</v>
      </c>
      <c r="L2632" s="15" t="s">
        <v>8</v>
      </c>
      <c r="M2632" s="15" t="s">
        <v>8</v>
      </c>
      <c r="N2632" s="15" t="s">
        <v>8</v>
      </c>
      <c r="O2632" s="15" t="s">
        <v>8</v>
      </c>
      <c r="R2632" s="15" t="s">
        <v>8</v>
      </c>
      <c r="S2632" s="15" t="s">
        <v>8</v>
      </c>
      <c r="T2632" s="15" t="s">
        <v>8</v>
      </c>
      <c r="V2632" s="15" t="s">
        <v>8</v>
      </c>
      <c r="Z2632" s="20" t="str">
        <f>HYPERLINK("http://yeinfo.com/family/I09066589.html", "JOAN GENEVILLE &lt;5&gt; 1286 EN-1325 EN ID:09066589")</f>
        <v>JOAN GENEVILLE &lt;5&gt; 1286 EN-1325 EN ID:09066589</v>
      </c>
      <c r="AA2632" s="17"/>
      <c r="AB2632" s="17"/>
      <c r="AC2632" s="17"/>
      <c r="AD2632" s="17"/>
    </row>
    <row r="2633" spans="3:32" x14ac:dyDescent="0.35">
      <c r="C2633" s="15" t="s">
        <v>8</v>
      </c>
      <c r="D2633" s="15" t="s">
        <v>8</v>
      </c>
      <c r="G2633" s="15" t="s">
        <v>8</v>
      </c>
      <c r="L2633" s="15" t="s">
        <v>8</v>
      </c>
      <c r="M2633" s="15" t="s">
        <v>8</v>
      </c>
      <c r="N2633" s="15" t="s">
        <v>8</v>
      </c>
      <c r="O2633" s="15" t="s">
        <v>8</v>
      </c>
      <c r="R2633" s="15" t="s">
        <v>8</v>
      </c>
      <c r="S2633" s="15" t="s">
        <v>8</v>
      </c>
      <c r="T2633" s="15" t="s">
        <v>8</v>
      </c>
      <c r="V2633" s="15" t="s">
        <v>8</v>
      </c>
      <c r="AA2633" s="8" t="s">
        <v>6</v>
      </c>
    </row>
    <row r="2634" spans="3:32" x14ac:dyDescent="0.35">
      <c r="C2634" s="15" t="s">
        <v>8</v>
      </c>
      <c r="D2634" s="15" t="s">
        <v>8</v>
      </c>
      <c r="G2634" s="15" t="s">
        <v>8</v>
      </c>
      <c r="L2634" s="15" t="s">
        <v>8</v>
      </c>
      <c r="M2634" s="15" t="s">
        <v>8</v>
      </c>
      <c r="N2634" s="15" t="s">
        <v>8</v>
      </c>
      <c r="O2634" s="15" t="s">
        <v>8</v>
      </c>
      <c r="R2634" s="15" t="s">
        <v>8</v>
      </c>
      <c r="S2634" s="15" t="s">
        <v>8</v>
      </c>
      <c r="T2634" s="15" t="s">
        <v>8</v>
      </c>
      <c r="V2634" s="15" t="s">
        <v>8</v>
      </c>
      <c r="AA2634" s="20" t="str">
        <f>HYPERLINK("http://yeinfo.com/family/I09066652.html", "JEANNE\JOAN LUSIGNAN &lt;5&gt; 1260 FR-1286  ID:09066652")</f>
        <v>JEANNE\JOAN LUSIGNAN &lt;5&gt; 1260 FR-1286  ID:09066652</v>
      </c>
      <c r="AB2634" s="17"/>
      <c r="AC2634" s="17"/>
      <c r="AD2634" s="17"/>
      <c r="AE2634" s="17"/>
      <c r="AF2634" s="17"/>
    </row>
    <row r="2635" spans="3:32" x14ac:dyDescent="0.35">
      <c r="C2635" s="15" t="s">
        <v>8</v>
      </c>
      <c r="D2635" s="15" t="s">
        <v>8</v>
      </c>
      <c r="G2635" s="15" t="s">
        <v>8</v>
      </c>
      <c r="L2635" s="15" t="s">
        <v>8</v>
      </c>
      <c r="M2635" s="15" t="s">
        <v>8</v>
      </c>
      <c r="N2635" s="15" t="s">
        <v>8</v>
      </c>
      <c r="O2635" s="15" t="s">
        <v>8</v>
      </c>
      <c r="R2635" s="15" t="s">
        <v>8</v>
      </c>
      <c r="S2635" s="15" t="s">
        <v>8</v>
      </c>
      <c r="T2635" s="15" t="s">
        <v>8</v>
      </c>
      <c r="V2635" s="15" t="s">
        <v>8</v>
      </c>
    </row>
    <row r="2636" spans="3:32" x14ac:dyDescent="0.35">
      <c r="C2636" s="15" t="s">
        <v>8</v>
      </c>
      <c r="D2636" s="15" t="s">
        <v>8</v>
      </c>
      <c r="G2636" s="15" t="s">
        <v>8</v>
      </c>
      <c r="L2636" s="15" t="s">
        <v>8</v>
      </c>
      <c r="M2636" s="15" t="s">
        <v>8</v>
      </c>
      <c r="N2636" s="15" t="s">
        <v>8</v>
      </c>
      <c r="O2636" s="15" t="s">
        <v>8</v>
      </c>
      <c r="R2636" s="15" t="s">
        <v>8</v>
      </c>
      <c r="S2636" s="15" t="s">
        <v>8</v>
      </c>
      <c r="T2636" s="15" t="s">
        <v>8</v>
      </c>
      <c r="U2636" s="19" t="str">
        <f>HYPERLINK("http://yeinfo.com/family/I09066796.html", "THOMAS FERRERS &lt;2&gt; 1438 EN-1499 EN ID:09066796")</f>
        <v>THOMAS FERRERS &lt;2&gt; 1438 EN-1499 EN ID:09066796</v>
      </c>
      <c r="V2636" s="9"/>
      <c r="W2636" s="9"/>
      <c r="X2636" s="9"/>
      <c r="Y2636" s="9"/>
    </row>
    <row r="2637" spans="3:32" x14ac:dyDescent="0.35">
      <c r="C2637" s="15" t="s">
        <v>8</v>
      </c>
      <c r="D2637" s="15" t="s">
        <v>8</v>
      </c>
      <c r="G2637" s="15" t="s">
        <v>8</v>
      </c>
      <c r="L2637" s="15" t="s">
        <v>8</v>
      </c>
      <c r="M2637" s="15" t="s">
        <v>8</v>
      </c>
      <c r="N2637" s="15" t="s">
        <v>8</v>
      </c>
      <c r="O2637" s="15" t="s">
        <v>8</v>
      </c>
      <c r="R2637" s="15" t="s">
        <v>8</v>
      </c>
      <c r="S2637" s="15" t="s">
        <v>8</v>
      </c>
      <c r="T2637" s="15" t="s">
        <v>8</v>
      </c>
      <c r="U2637" s="8" t="s">
        <v>3</v>
      </c>
      <c r="V2637" s="15" t="s">
        <v>8</v>
      </c>
    </row>
    <row r="2638" spans="3:32" x14ac:dyDescent="0.35">
      <c r="C2638" s="15" t="s">
        <v>8</v>
      </c>
      <c r="D2638" s="15" t="s">
        <v>8</v>
      </c>
      <c r="G2638" s="15" t="s">
        <v>8</v>
      </c>
      <c r="L2638" s="15" t="s">
        <v>8</v>
      </c>
      <c r="M2638" s="15" t="s">
        <v>8</v>
      </c>
      <c r="N2638" s="15" t="s">
        <v>8</v>
      </c>
      <c r="O2638" s="15" t="s">
        <v>8</v>
      </c>
      <c r="R2638" s="15" t="s">
        <v>8</v>
      </c>
      <c r="S2638" s="15" t="s">
        <v>8</v>
      </c>
      <c r="T2638" s="15" t="s">
        <v>8</v>
      </c>
      <c r="U2638" s="15" t="s">
        <v>8</v>
      </c>
      <c r="V2638" s="15" t="s">
        <v>8</v>
      </c>
      <c r="W2638" s="19" t="str">
        <f>HYPERLINK("http://yeinfo.com/family/I09066798.html", "BALDWIN FREVILLE &lt;2&gt; 1375 EN-1401 EN ID:09066798")</f>
        <v>BALDWIN FREVILLE &lt;2&gt; 1375 EN-1401 EN ID:09066798</v>
      </c>
      <c r="X2638" s="9"/>
      <c r="Y2638" s="9"/>
      <c r="Z2638" s="9"/>
      <c r="AA2638" s="9"/>
    </row>
    <row r="2639" spans="3:32" x14ac:dyDescent="0.35">
      <c r="C2639" s="15" t="s">
        <v>8</v>
      </c>
      <c r="D2639" s="15" t="s">
        <v>8</v>
      </c>
      <c r="G2639" s="15" t="s">
        <v>8</v>
      </c>
      <c r="L2639" s="15" t="s">
        <v>8</v>
      </c>
      <c r="M2639" s="15" t="s">
        <v>8</v>
      </c>
      <c r="N2639" s="15" t="s">
        <v>8</v>
      </c>
      <c r="O2639" s="15" t="s">
        <v>8</v>
      </c>
      <c r="R2639" s="15" t="s">
        <v>8</v>
      </c>
      <c r="S2639" s="15" t="s">
        <v>8</v>
      </c>
      <c r="T2639" s="15" t="s">
        <v>8</v>
      </c>
      <c r="U2639" s="15" t="s">
        <v>8</v>
      </c>
      <c r="V2639" s="8" t="s">
        <v>6</v>
      </c>
      <c r="W2639" s="8" t="s">
        <v>3</v>
      </c>
    </row>
    <row r="2640" spans="3:32" x14ac:dyDescent="0.35">
      <c r="C2640" s="15" t="s">
        <v>8</v>
      </c>
      <c r="D2640" s="15" t="s">
        <v>8</v>
      </c>
      <c r="G2640" s="15" t="s">
        <v>8</v>
      </c>
      <c r="L2640" s="15" t="s">
        <v>8</v>
      </c>
      <c r="M2640" s="15" t="s">
        <v>8</v>
      </c>
      <c r="N2640" s="15" t="s">
        <v>8</v>
      </c>
      <c r="O2640" s="15" t="s">
        <v>8</v>
      </c>
      <c r="R2640" s="15" t="s">
        <v>8</v>
      </c>
      <c r="S2640" s="15" t="s">
        <v>8</v>
      </c>
      <c r="T2640" s="15" t="s">
        <v>8</v>
      </c>
      <c r="U2640" s="15" t="s">
        <v>8</v>
      </c>
      <c r="V2640" s="20" t="str">
        <f>HYPERLINK("http://yeinfo.com/family/I09066799.html", "ELIZABETH FREVILLE &lt;2&gt; 1383 EN-1468 EN ID:09066799")</f>
        <v>ELIZABETH FREVILLE &lt;2&gt; 1383 EN-1468 EN ID:09066799</v>
      </c>
      <c r="W2640" s="17"/>
      <c r="X2640" s="17"/>
      <c r="Y2640" s="17"/>
      <c r="Z2640" s="17"/>
    </row>
    <row r="2641" spans="3:27" x14ac:dyDescent="0.35">
      <c r="C2641" s="15" t="s">
        <v>8</v>
      </c>
      <c r="D2641" s="15" t="s">
        <v>8</v>
      </c>
      <c r="G2641" s="15" t="s">
        <v>8</v>
      </c>
      <c r="L2641" s="15" t="s">
        <v>8</v>
      </c>
      <c r="M2641" s="15" t="s">
        <v>8</v>
      </c>
      <c r="N2641" s="15" t="s">
        <v>8</v>
      </c>
      <c r="O2641" s="15" t="s">
        <v>8</v>
      </c>
      <c r="R2641" s="15" t="s">
        <v>8</v>
      </c>
      <c r="S2641" s="15" t="s">
        <v>8</v>
      </c>
      <c r="T2641" s="15" t="s">
        <v>8</v>
      </c>
      <c r="U2641" s="15" t="s">
        <v>8</v>
      </c>
      <c r="W2641" s="8" t="s">
        <v>6</v>
      </c>
    </row>
    <row r="2642" spans="3:27" x14ac:dyDescent="0.35">
      <c r="C2642" s="15" t="s">
        <v>8</v>
      </c>
      <c r="D2642" s="15" t="s">
        <v>8</v>
      </c>
      <c r="G2642" s="15" t="s">
        <v>8</v>
      </c>
      <c r="L2642" s="15" t="s">
        <v>8</v>
      </c>
      <c r="M2642" s="15" t="s">
        <v>8</v>
      </c>
      <c r="N2642" s="15" t="s">
        <v>8</v>
      </c>
      <c r="O2642" s="15" t="s">
        <v>8</v>
      </c>
      <c r="R2642" s="15" t="s">
        <v>8</v>
      </c>
      <c r="S2642" s="15" t="s">
        <v>8</v>
      </c>
      <c r="T2642" s="15" t="s">
        <v>8</v>
      </c>
      <c r="U2642" s="15" t="s">
        <v>8</v>
      </c>
      <c r="W2642" s="20" t="str">
        <f>HYPERLINK("http://yeinfo.com/family/I09066801.html", "JOAN GREENE &lt;2&gt; 1370 EN-1401 EN ID:09066801")</f>
        <v>JOAN GREENE &lt;2&gt; 1370 EN-1401 EN ID:09066801</v>
      </c>
      <c r="X2642" s="17"/>
      <c r="Y2642" s="17"/>
      <c r="Z2642" s="17"/>
      <c r="AA2642" s="17"/>
    </row>
    <row r="2643" spans="3:27" x14ac:dyDescent="0.35">
      <c r="C2643" s="15" t="s">
        <v>8</v>
      </c>
      <c r="D2643" s="15" t="s">
        <v>8</v>
      </c>
      <c r="G2643" s="15" t="s">
        <v>8</v>
      </c>
      <c r="L2643" s="15" t="s">
        <v>8</v>
      </c>
      <c r="M2643" s="15" t="s">
        <v>8</v>
      </c>
      <c r="N2643" s="15" t="s">
        <v>8</v>
      </c>
      <c r="O2643" s="15" t="s">
        <v>8</v>
      </c>
      <c r="R2643" s="15" t="s">
        <v>8</v>
      </c>
      <c r="S2643" s="15" t="s">
        <v>8</v>
      </c>
      <c r="T2643" s="8" t="s">
        <v>6</v>
      </c>
      <c r="U2643" s="15" t="s">
        <v>8</v>
      </c>
    </row>
    <row r="2644" spans="3:27" x14ac:dyDescent="0.35">
      <c r="C2644" s="15" t="s">
        <v>8</v>
      </c>
      <c r="D2644" s="15" t="s">
        <v>8</v>
      </c>
      <c r="G2644" s="15" t="s">
        <v>8</v>
      </c>
      <c r="L2644" s="15" t="s">
        <v>8</v>
      </c>
      <c r="M2644" s="15" t="s">
        <v>8</v>
      </c>
      <c r="N2644" s="15" t="s">
        <v>8</v>
      </c>
      <c r="O2644" s="15" t="s">
        <v>8</v>
      </c>
      <c r="R2644" s="15" t="s">
        <v>8</v>
      </c>
      <c r="S2644" s="15" t="s">
        <v>8</v>
      </c>
      <c r="T2644" s="20" t="str">
        <f>HYPERLINK("http://yeinfo.com/family/I09066797.html", "MABEL FERRERS &lt;2&gt; 1448 EN-1465 EN ID:09066797")</f>
        <v>MABEL FERRERS &lt;2&gt; 1448 EN-1465 EN ID:09066797</v>
      </c>
      <c r="U2644" s="17"/>
      <c r="V2644" s="17"/>
      <c r="W2644" s="17"/>
      <c r="X2644" s="17"/>
    </row>
    <row r="2645" spans="3:27" x14ac:dyDescent="0.35">
      <c r="C2645" s="15" t="s">
        <v>8</v>
      </c>
      <c r="D2645" s="15" t="s">
        <v>8</v>
      </c>
      <c r="G2645" s="15" t="s">
        <v>8</v>
      </c>
      <c r="L2645" s="15" t="s">
        <v>8</v>
      </c>
      <c r="M2645" s="15" t="s">
        <v>8</v>
      </c>
      <c r="N2645" s="15" t="s">
        <v>8</v>
      </c>
      <c r="O2645" s="15" t="s">
        <v>8</v>
      </c>
      <c r="R2645" s="15" t="s">
        <v>8</v>
      </c>
      <c r="S2645" s="15" t="s">
        <v>8</v>
      </c>
      <c r="U2645" s="15" t="s">
        <v>8</v>
      </c>
    </row>
    <row r="2646" spans="3:27" x14ac:dyDescent="0.35">
      <c r="C2646" s="15" t="s">
        <v>8</v>
      </c>
      <c r="D2646" s="15" t="s">
        <v>8</v>
      </c>
      <c r="G2646" s="15" t="s">
        <v>8</v>
      </c>
      <c r="L2646" s="15" t="s">
        <v>8</v>
      </c>
      <c r="M2646" s="15" t="s">
        <v>8</v>
      </c>
      <c r="N2646" s="15" t="s">
        <v>8</v>
      </c>
      <c r="O2646" s="15" t="s">
        <v>8</v>
      </c>
      <c r="R2646" s="15" t="s">
        <v>8</v>
      </c>
      <c r="S2646" s="15" t="s">
        <v>8</v>
      </c>
      <c r="U2646" s="15" t="s">
        <v>8</v>
      </c>
      <c r="V2646" s="19" t="str">
        <f>HYPERLINK("http://yeinfo.com/family/I09066804.html", "LEONARD HASTINGS &lt;2&gt; 1396 EN-1455 EN ID:09066804")</f>
        <v>LEONARD HASTINGS &lt;2&gt; 1396 EN-1455 EN ID:09066804</v>
      </c>
      <c r="W2646" s="9"/>
      <c r="X2646" s="9"/>
      <c r="Y2646" s="9"/>
      <c r="Z2646" s="9"/>
    </row>
    <row r="2647" spans="3:27" x14ac:dyDescent="0.35">
      <c r="C2647" s="15" t="s">
        <v>8</v>
      </c>
      <c r="D2647" s="15" t="s">
        <v>8</v>
      </c>
      <c r="G2647" s="15" t="s">
        <v>8</v>
      </c>
      <c r="L2647" s="15" t="s">
        <v>8</v>
      </c>
      <c r="M2647" s="15" t="s">
        <v>8</v>
      </c>
      <c r="N2647" s="15" t="s">
        <v>8</v>
      </c>
      <c r="O2647" s="15" t="s">
        <v>8</v>
      </c>
      <c r="R2647" s="15" t="s">
        <v>8</v>
      </c>
      <c r="S2647" s="15" t="s">
        <v>8</v>
      </c>
      <c r="U2647" s="8" t="s">
        <v>6</v>
      </c>
      <c r="V2647" s="8" t="s">
        <v>3</v>
      </c>
    </row>
    <row r="2648" spans="3:27" x14ac:dyDescent="0.35">
      <c r="C2648" s="15" t="s">
        <v>8</v>
      </c>
      <c r="D2648" s="15" t="s">
        <v>8</v>
      </c>
      <c r="G2648" s="15" t="s">
        <v>8</v>
      </c>
      <c r="L2648" s="15" t="s">
        <v>8</v>
      </c>
      <c r="M2648" s="15" t="s">
        <v>8</v>
      </c>
      <c r="N2648" s="15" t="s">
        <v>8</v>
      </c>
      <c r="O2648" s="15" t="s">
        <v>8</v>
      </c>
      <c r="R2648" s="15" t="s">
        <v>8</v>
      </c>
      <c r="S2648" s="15" t="s">
        <v>8</v>
      </c>
      <c r="U2648" s="20" t="str">
        <f>HYPERLINK("http://yeinfo.com/family/I09066805.html", "ANNE HASTINGS &lt;2&gt; 1427 EN-1448 EN ID:09066805")</f>
        <v>ANNE HASTINGS &lt;2&gt; 1427 EN-1448 EN ID:09066805</v>
      </c>
      <c r="V2648" s="17"/>
      <c r="W2648" s="17"/>
      <c r="X2648" s="17"/>
      <c r="Y2648" s="17"/>
    </row>
    <row r="2649" spans="3:27" x14ac:dyDescent="0.35">
      <c r="C2649" s="15" t="s">
        <v>8</v>
      </c>
      <c r="D2649" s="15" t="s">
        <v>8</v>
      </c>
      <c r="G2649" s="15" t="s">
        <v>8</v>
      </c>
      <c r="L2649" s="15" t="s">
        <v>8</v>
      </c>
      <c r="M2649" s="15" t="s">
        <v>8</v>
      </c>
      <c r="N2649" s="15" t="s">
        <v>8</v>
      </c>
      <c r="O2649" s="15" t="s">
        <v>8</v>
      </c>
      <c r="R2649" s="15" t="s">
        <v>8</v>
      </c>
      <c r="S2649" s="15" t="s">
        <v>8</v>
      </c>
      <c r="V2649" s="8" t="s">
        <v>6</v>
      </c>
    </row>
    <row r="2650" spans="3:27" x14ac:dyDescent="0.35">
      <c r="C2650" s="15" t="s">
        <v>8</v>
      </c>
      <c r="D2650" s="15" t="s">
        <v>8</v>
      </c>
      <c r="G2650" s="15" t="s">
        <v>8</v>
      </c>
      <c r="L2650" s="15" t="s">
        <v>8</v>
      </c>
      <c r="M2650" s="15" t="s">
        <v>8</v>
      </c>
      <c r="N2650" s="15" t="s">
        <v>8</v>
      </c>
      <c r="O2650" s="15" t="s">
        <v>8</v>
      </c>
      <c r="R2650" s="15" t="s">
        <v>8</v>
      </c>
      <c r="S2650" s="15" t="s">
        <v>8</v>
      </c>
      <c r="V2650" s="20" t="str">
        <f>HYPERLINK("http://yeinfo.com/family/I09066785.html", "ALICE PHILIPA CAMOYS &lt;2&gt; 1400 EN-1455 EN ID:09066785")</f>
        <v>ALICE PHILIPA CAMOYS &lt;2&gt; 1400 EN-1455 EN ID:09066785</v>
      </c>
      <c r="W2650" s="17"/>
      <c r="X2650" s="17"/>
      <c r="Y2650" s="17"/>
      <c r="Z2650" s="17"/>
    </row>
    <row r="2651" spans="3:27" x14ac:dyDescent="0.35">
      <c r="C2651" s="15" t="s">
        <v>8</v>
      </c>
      <c r="D2651" s="15" t="s">
        <v>8</v>
      </c>
      <c r="G2651" s="15" t="s">
        <v>8</v>
      </c>
      <c r="L2651" s="15" t="s">
        <v>8</v>
      </c>
      <c r="M2651" s="15" t="s">
        <v>8</v>
      </c>
      <c r="N2651" s="15" t="s">
        <v>8</v>
      </c>
      <c r="O2651" s="15" t="s">
        <v>8</v>
      </c>
      <c r="R2651" s="8" t="s">
        <v>6</v>
      </c>
      <c r="S2651" s="15" t="s">
        <v>8</v>
      </c>
    </row>
    <row r="2652" spans="3:27" x14ac:dyDescent="0.35">
      <c r="C2652" s="15" t="s">
        <v>8</v>
      </c>
      <c r="D2652" s="15" t="s">
        <v>8</v>
      </c>
      <c r="G2652" s="15" t="s">
        <v>8</v>
      </c>
      <c r="L2652" s="15" t="s">
        <v>8</v>
      </c>
      <c r="M2652" s="15" t="s">
        <v>8</v>
      </c>
      <c r="N2652" s="15" t="s">
        <v>8</v>
      </c>
      <c r="O2652" s="15" t="s">
        <v>8</v>
      </c>
      <c r="R2652" s="20" t="str">
        <f>HYPERLINK("http://yeinfo.com/family/I09041431.html", "ELIZABETH LONGFORD &lt;2&gt; 1490 EN-1548 EN ID:09041431")</f>
        <v>ELIZABETH LONGFORD &lt;2&gt; 1490 EN-1548 EN ID:09041431</v>
      </c>
      <c r="S2652" s="17"/>
      <c r="T2652" s="17"/>
      <c r="U2652" s="17"/>
      <c r="V2652" s="17"/>
    </row>
    <row r="2653" spans="3:27" x14ac:dyDescent="0.35">
      <c r="C2653" s="15" t="s">
        <v>8</v>
      </c>
      <c r="D2653" s="15" t="s">
        <v>8</v>
      </c>
      <c r="G2653" s="15" t="s">
        <v>8</v>
      </c>
      <c r="L2653" s="15" t="s">
        <v>8</v>
      </c>
      <c r="M2653" s="15" t="s">
        <v>8</v>
      </c>
      <c r="N2653" s="15" t="s">
        <v>8</v>
      </c>
      <c r="O2653" s="15" t="s">
        <v>8</v>
      </c>
      <c r="S2653" s="15" t="s">
        <v>8</v>
      </c>
    </row>
    <row r="2654" spans="3:27" x14ac:dyDescent="0.35">
      <c r="C2654" s="15" t="s">
        <v>8</v>
      </c>
      <c r="D2654" s="15" t="s">
        <v>8</v>
      </c>
      <c r="G2654" s="15" t="s">
        <v>8</v>
      </c>
      <c r="L2654" s="15" t="s">
        <v>8</v>
      </c>
      <c r="M2654" s="15" t="s">
        <v>8</v>
      </c>
      <c r="N2654" s="15" t="s">
        <v>8</v>
      </c>
      <c r="O2654" s="15" t="s">
        <v>8</v>
      </c>
      <c r="S2654" s="15" t="s">
        <v>8</v>
      </c>
      <c r="W2654" s="19" t="str">
        <f>HYPERLINK("http://yeinfo.com/family/I09066981.html", "HENRY TRAFFORD &lt;9&gt; 1225 EN-1264 EN ID:09066981")</f>
        <v>HENRY TRAFFORD &lt;9&gt; 1225 EN-1264 EN ID:09066981</v>
      </c>
      <c r="X2654" s="9"/>
      <c r="Y2654" s="9"/>
      <c r="Z2654" s="9"/>
      <c r="AA2654" s="9"/>
    </row>
    <row r="2655" spans="3:27" x14ac:dyDescent="0.35">
      <c r="C2655" s="15" t="s">
        <v>8</v>
      </c>
      <c r="D2655" s="15" t="s">
        <v>8</v>
      </c>
      <c r="G2655" s="15" t="s">
        <v>8</v>
      </c>
      <c r="L2655" s="15" t="s">
        <v>8</v>
      </c>
      <c r="M2655" s="15" t="s">
        <v>8</v>
      </c>
      <c r="N2655" s="15" t="s">
        <v>8</v>
      </c>
      <c r="O2655" s="15" t="s">
        <v>8</v>
      </c>
      <c r="S2655" s="15" t="s">
        <v>8</v>
      </c>
      <c r="W2655" s="8" t="s">
        <v>3</v>
      </c>
    </row>
    <row r="2656" spans="3:27" x14ac:dyDescent="0.35">
      <c r="C2656" s="15" t="s">
        <v>8</v>
      </c>
      <c r="D2656" s="15" t="s">
        <v>8</v>
      </c>
      <c r="G2656" s="15" t="s">
        <v>8</v>
      </c>
      <c r="L2656" s="15" t="s">
        <v>8</v>
      </c>
      <c r="M2656" s="15" t="s">
        <v>8</v>
      </c>
      <c r="N2656" s="15" t="s">
        <v>8</v>
      </c>
      <c r="O2656" s="15" t="s">
        <v>8</v>
      </c>
      <c r="S2656" s="15" t="s">
        <v>8</v>
      </c>
      <c r="V2656" s="19" t="str">
        <f>HYPERLINK("http://yeinfo.com/family/I09066434.html", "JOHN TRAFFORD &lt;9&gt; 1264 EN-1340 EN ID:09066434")</f>
        <v>JOHN TRAFFORD &lt;9&gt; 1264 EN-1340 EN ID:09066434</v>
      </c>
      <c r="W2656" s="9"/>
      <c r="X2656" s="9"/>
      <c r="Y2656" s="9"/>
      <c r="Z2656" s="9"/>
    </row>
    <row r="2657" spans="3:27" x14ac:dyDescent="0.35">
      <c r="C2657" s="15" t="s">
        <v>8</v>
      </c>
      <c r="D2657" s="15" t="s">
        <v>8</v>
      </c>
      <c r="G2657" s="15" t="s">
        <v>8</v>
      </c>
      <c r="L2657" s="15" t="s">
        <v>8</v>
      </c>
      <c r="M2657" s="15" t="s">
        <v>8</v>
      </c>
      <c r="N2657" s="15" t="s">
        <v>8</v>
      </c>
      <c r="O2657" s="15" t="s">
        <v>8</v>
      </c>
      <c r="S2657" s="15" t="s">
        <v>8</v>
      </c>
      <c r="V2657" s="8" t="s">
        <v>3</v>
      </c>
      <c r="W2657" s="8" t="s">
        <v>6</v>
      </c>
    </row>
    <row r="2658" spans="3:27" x14ac:dyDescent="0.35">
      <c r="C2658" s="15" t="s">
        <v>8</v>
      </c>
      <c r="D2658" s="15" t="s">
        <v>8</v>
      </c>
      <c r="G2658" s="15" t="s">
        <v>8</v>
      </c>
      <c r="L2658" s="15" t="s">
        <v>8</v>
      </c>
      <c r="M2658" s="15" t="s">
        <v>8</v>
      </c>
      <c r="N2658" s="15" t="s">
        <v>8</v>
      </c>
      <c r="O2658" s="15" t="s">
        <v>8</v>
      </c>
      <c r="S2658" s="15" t="s">
        <v>8</v>
      </c>
      <c r="V2658" s="15" t="s">
        <v>8</v>
      </c>
      <c r="W2658" s="20" t="str">
        <f>HYPERLINK("http://yeinfo.com/family/I09066980.html", "Mrs. MARGARET TRAFFORD &lt;9&gt; 1236 EN-1334 EN ID:09066980")</f>
        <v>Mrs. MARGARET TRAFFORD &lt;9&gt; 1236 EN-1334 EN ID:09066980</v>
      </c>
      <c r="X2658" s="17"/>
      <c r="Y2658" s="17"/>
      <c r="Z2658" s="17"/>
      <c r="AA2658" s="17"/>
    </row>
    <row r="2659" spans="3:27" x14ac:dyDescent="0.35">
      <c r="C2659" s="15" t="s">
        <v>8</v>
      </c>
      <c r="D2659" s="15" t="s">
        <v>8</v>
      </c>
      <c r="G2659" s="15" t="s">
        <v>8</v>
      </c>
      <c r="L2659" s="15" t="s">
        <v>8</v>
      </c>
      <c r="M2659" s="15" t="s">
        <v>8</v>
      </c>
      <c r="N2659" s="15" t="s">
        <v>8</v>
      </c>
      <c r="O2659" s="15" t="s">
        <v>8</v>
      </c>
      <c r="S2659" s="15" t="s">
        <v>8</v>
      </c>
      <c r="V2659" s="15" t="s">
        <v>8</v>
      </c>
    </row>
    <row r="2660" spans="3:27" x14ac:dyDescent="0.35">
      <c r="C2660" s="15" t="s">
        <v>8</v>
      </c>
      <c r="D2660" s="15" t="s">
        <v>8</v>
      </c>
      <c r="G2660" s="15" t="s">
        <v>8</v>
      </c>
      <c r="L2660" s="15" t="s">
        <v>8</v>
      </c>
      <c r="M2660" s="15" t="s">
        <v>8</v>
      </c>
      <c r="N2660" s="15" t="s">
        <v>8</v>
      </c>
      <c r="O2660" s="15" t="s">
        <v>8</v>
      </c>
      <c r="S2660" s="15" t="s">
        <v>8</v>
      </c>
      <c r="U2660" s="19" t="str">
        <f>HYPERLINK("http://yeinfo.com/family/I09066317.html", "HENRY TRAFFORD &lt;9&gt; 1292 EN-1370 EN ID:09066317")</f>
        <v>HENRY TRAFFORD &lt;9&gt; 1292 EN-1370 EN ID:09066317</v>
      </c>
      <c r="V2660" s="9"/>
      <c r="W2660" s="9"/>
      <c r="X2660" s="9"/>
      <c r="Y2660" s="9"/>
    </row>
    <row r="2661" spans="3:27" x14ac:dyDescent="0.35">
      <c r="C2661" s="15" t="s">
        <v>8</v>
      </c>
      <c r="D2661" s="15" t="s">
        <v>8</v>
      </c>
      <c r="G2661" s="15" t="s">
        <v>8</v>
      </c>
      <c r="L2661" s="15" t="s">
        <v>8</v>
      </c>
      <c r="M2661" s="15" t="s">
        <v>8</v>
      </c>
      <c r="N2661" s="15" t="s">
        <v>8</v>
      </c>
      <c r="O2661" s="15" t="s">
        <v>8</v>
      </c>
      <c r="S2661" s="15" t="s">
        <v>8</v>
      </c>
      <c r="U2661" s="8" t="s">
        <v>3</v>
      </c>
      <c r="V2661" s="8" t="s">
        <v>6</v>
      </c>
    </row>
    <row r="2662" spans="3:27" x14ac:dyDescent="0.35">
      <c r="C2662" s="15" t="s">
        <v>8</v>
      </c>
      <c r="D2662" s="15" t="s">
        <v>8</v>
      </c>
      <c r="G2662" s="15" t="s">
        <v>8</v>
      </c>
      <c r="L2662" s="15" t="s">
        <v>8</v>
      </c>
      <c r="M2662" s="15" t="s">
        <v>8</v>
      </c>
      <c r="N2662" s="15" t="s">
        <v>8</v>
      </c>
      <c r="O2662" s="15" t="s">
        <v>8</v>
      </c>
      <c r="S2662" s="15" t="s">
        <v>8</v>
      </c>
      <c r="U2662" s="15" t="s">
        <v>8</v>
      </c>
      <c r="V2662" s="20" t="str">
        <f>HYPERLINK("http://yeinfo.com/family/I09066433.html", "ELIZABETH ASHTON &lt;9&gt; 1268 EN-1340 EN ID:09066433")</f>
        <v>ELIZABETH ASHTON &lt;9&gt; 1268 EN-1340 EN ID:09066433</v>
      </c>
      <c r="W2662" s="17"/>
      <c r="X2662" s="17"/>
      <c r="Y2662" s="17"/>
      <c r="Z2662" s="17"/>
    </row>
    <row r="2663" spans="3:27" x14ac:dyDescent="0.35">
      <c r="C2663" s="15" t="s">
        <v>8</v>
      </c>
      <c r="D2663" s="15" t="s">
        <v>8</v>
      </c>
      <c r="G2663" s="15" t="s">
        <v>8</v>
      </c>
      <c r="L2663" s="15" t="s">
        <v>8</v>
      </c>
      <c r="M2663" s="15" t="s">
        <v>8</v>
      </c>
      <c r="N2663" s="15" t="s">
        <v>8</v>
      </c>
      <c r="O2663" s="15" t="s">
        <v>8</v>
      </c>
      <c r="S2663" s="15" t="s">
        <v>8</v>
      </c>
      <c r="U2663" s="15" t="s">
        <v>8</v>
      </c>
    </row>
    <row r="2664" spans="3:27" x14ac:dyDescent="0.35">
      <c r="C2664" s="15" t="s">
        <v>8</v>
      </c>
      <c r="D2664" s="15" t="s">
        <v>8</v>
      </c>
      <c r="G2664" s="15" t="s">
        <v>8</v>
      </c>
      <c r="L2664" s="15" t="s">
        <v>8</v>
      </c>
      <c r="M2664" s="15" t="s">
        <v>8</v>
      </c>
      <c r="N2664" s="15" t="s">
        <v>8</v>
      </c>
      <c r="O2664" s="15" t="s">
        <v>8</v>
      </c>
      <c r="S2664" s="15" t="s">
        <v>8</v>
      </c>
      <c r="T2664" s="19" t="str">
        <f>HYPERLINK("http://yeinfo.com/family/I09066982.html", "HENRY TRAFFORD &lt;6&gt; 1335 EN-1386 EN ID:09066982")</f>
        <v>HENRY TRAFFORD &lt;6&gt; 1335 EN-1386 EN ID:09066982</v>
      </c>
      <c r="U2664" s="9"/>
      <c r="V2664" s="9"/>
      <c r="W2664" s="9"/>
      <c r="X2664" s="9"/>
    </row>
    <row r="2665" spans="3:27" x14ac:dyDescent="0.35">
      <c r="C2665" s="15" t="s">
        <v>8</v>
      </c>
      <c r="D2665" s="15" t="s">
        <v>8</v>
      </c>
      <c r="G2665" s="15" t="s">
        <v>8</v>
      </c>
      <c r="L2665" s="15" t="s">
        <v>8</v>
      </c>
      <c r="M2665" s="15" t="s">
        <v>8</v>
      </c>
      <c r="N2665" s="15" t="s">
        <v>8</v>
      </c>
      <c r="O2665" s="15" t="s">
        <v>8</v>
      </c>
      <c r="S2665" s="15" t="s">
        <v>8</v>
      </c>
      <c r="T2665" s="8" t="s">
        <v>3</v>
      </c>
      <c r="U2665" s="15" t="s">
        <v>8</v>
      </c>
    </row>
    <row r="2666" spans="3:27" x14ac:dyDescent="0.35">
      <c r="C2666" s="15" t="s">
        <v>8</v>
      </c>
      <c r="D2666" s="15" t="s">
        <v>8</v>
      </c>
      <c r="G2666" s="15" t="s">
        <v>8</v>
      </c>
      <c r="L2666" s="15" t="s">
        <v>8</v>
      </c>
      <c r="M2666" s="15" t="s">
        <v>8</v>
      </c>
      <c r="N2666" s="15" t="s">
        <v>8</v>
      </c>
      <c r="O2666" s="15" t="s">
        <v>8</v>
      </c>
      <c r="S2666" s="15" t="s">
        <v>8</v>
      </c>
      <c r="T2666" s="15" t="s">
        <v>8</v>
      </c>
      <c r="U2666" s="15" t="s">
        <v>8</v>
      </c>
      <c r="V2666" s="19" t="str">
        <f>HYPERLINK("http://yeinfo.com/family/I09066492.html", "RICHARD DOTERINDE &lt;9&gt; 1280 EN-1345 EN ID:09066492")</f>
        <v>RICHARD DOTERINDE &lt;9&gt; 1280 EN-1345 EN ID:09066492</v>
      </c>
      <c r="W2666" s="9"/>
      <c r="X2666" s="9"/>
      <c r="Y2666" s="9"/>
      <c r="Z2666" s="9"/>
    </row>
    <row r="2667" spans="3:27" x14ac:dyDescent="0.35">
      <c r="C2667" s="15" t="s">
        <v>8</v>
      </c>
      <c r="D2667" s="15" t="s">
        <v>8</v>
      </c>
      <c r="G2667" s="15" t="s">
        <v>8</v>
      </c>
      <c r="L2667" s="15" t="s">
        <v>8</v>
      </c>
      <c r="M2667" s="15" t="s">
        <v>8</v>
      </c>
      <c r="N2667" s="15" t="s">
        <v>8</v>
      </c>
      <c r="O2667" s="15" t="s">
        <v>8</v>
      </c>
      <c r="S2667" s="15" t="s">
        <v>8</v>
      </c>
      <c r="T2667" s="15" t="s">
        <v>8</v>
      </c>
      <c r="U2667" s="8" t="s">
        <v>6</v>
      </c>
      <c r="V2667" s="8" t="s">
        <v>3</v>
      </c>
    </row>
    <row r="2668" spans="3:27" x14ac:dyDescent="0.35">
      <c r="C2668" s="15" t="s">
        <v>8</v>
      </c>
      <c r="D2668" s="15" t="s">
        <v>8</v>
      </c>
      <c r="G2668" s="15" t="s">
        <v>8</v>
      </c>
      <c r="L2668" s="15" t="s">
        <v>8</v>
      </c>
      <c r="M2668" s="15" t="s">
        <v>8</v>
      </c>
      <c r="N2668" s="15" t="s">
        <v>8</v>
      </c>
      <c r="O2668" s="15" t="s">
        <v>8</v>
      </c>
      <c r="S2668" s="15" t="s">
        <v>8</v>
      </c>
      <c r="T2668" s="15" t="s">
        <v>8</v>
      </c>
      <c r="U2668" s="20" t="str">
        <f>HYPERLINK("http://yeinfo.com/family/I09066318.html", "AGNES DOTERINDE &lt;9&gt; 1302 EN-1360 EN ID:09066318")</f>
        <v>AGNES DOTERINDE &lt;9&gt; 1302 EN-1360 EN ID:09066318</v>
      </c>
      <c r="V2668" s="17"/>
      <c r="W2668" s="17"/>
      <c r="X2668" s="17"/>
      <c r="Y2668" s="17"/>
    </row>
    <row r="2669" spans="3:27" x14ac:dyDescent="0.35">
      <c r="C2669" s="15" t="s">
        <v>8</v>
      </c>
      <c r="D2669" s="15" t="s">
        <v>8</v>
      </c>
      <c r="G2669" s="15" t="s">
        <v>8</v>
      </c>
      <c r="L2669" s="15" t="s">
        <v>8</v>
      </c>
      <c r="M2669" s="15" t="s">
        <v>8</v>
      </c>
      <c r="N2669" s="15" t="s">
        <v>8</v>
      </c>
      <c r="O2669" s="15" t="s">
        <v>8</v>
      </c>
      <c r="S2669" s="15" t="s">
        <v>8</v>
      </c>
      <c r="T2669" s="15" t="s">
        <v>8</v>
      </c>
      <c r="V2669" s="8" t="s">
        <v>6</v>
      </c>
    </row>
    <row r="2670" spans="3:27" x14ac:dyDescent="0.35">
      <c r="C2670" s="15" t="s">
        <v>8</v>
      </c>
      <c r="D2670" s="15" t="s">
        <v>8</v>
      </c>
      <c r="G2670" s="15" t="s">
        <v>8</v>
      </c>
      <c r="L2670" s="15" t="s">
        <v>8</v>
      </c>
      <c r="M2670" s="15" t="s">
        <v>8</v>
      </c>
      <c r="N2670" s="15" t="s">
        <v>8</v>
      </c>
      <c r="O2670" s="15" t="s">
        <v>8</v>
      </c>
      <c r="S2670" s="15" t="s">
        <v>8</v>
      </c>
      <c r="T2670" s="15" t="s">
        <v>8</v>
      </c>
      <c r="V2670" s="20" t="str">
        <f>HYPERLINK("http://yeinfo.com/family/I09066493.html", "Mrs. {_?_} DOTERINDE &lt;9&gt; 1280 EN-1302 EN ID:09066493")</f>
        <v>Mrs. {_?_} DOTERINDE &lt;9&gt; 1280 EN-1302 EN ID:09066493</v>
      </c>
      <c r="W2670" s="17"/>
      <c r="X2670" s="17"/>
      <c r="Y2670" s="17"/>
      <c r="Z2670" s="17"/>
    </row>
    <row r="2671" spans="3:27" x14ac:dyDescent="0.35">
      <c r="C2671" s="15" t="s">
        <v>8</v>
      </c>
      <c r="D2671" s="15" t="s">
        <v>8</v>
      </c>
      <c r="G2671" s="15" t="s">
        <v>8</v>
      </c>
      <c r="L2671" s="15" t="s">
        <v>8</v>
      </c>
      <c r="M2671" s="15" t="s">
        <v>8</v>
      </c>
      <c r="N2671" s="15" t="s">
        <v>8</v>
      </c>
      <c r="O2671" s="15" t="s">
        <v>8</v>
      </c>
      <c r="S2671" s="8" t="s">
        <v>6</v>
      </c>
      <c r="T2671" s="15" t="s">
        <v>8</v>
      </c>
    </row>
    <row r="2672" spans="3:27" x14ac:dyDescent="0.35">
      <c r="C2672" s="15" t="s">
        <v>8</v>
      </c>
      <c r="D2672" s="15" t="s">
        <v>8</v>
      </c>
      <c r="G2672" s="15" t="s">
        <v>8</v>
      </c>
      <c r="L2672" s="15" t="s">
        <v>8</v>
      </c>
      <c r="M2672" s="15" t="s">
        <v>8</v>
      </c>
      <c r="N2672" s="15" t="s">
        <v>8</v>
      </c>
      <c r="O2672" s="15" t="s">
        <v>8</v>
      </c>
      <c r="S2672" s="20" t="str">
        <f>HYPERLINK("http://yeinfo.com/family/I09066838.html", "MARGERY TRAFFORD &lt;2&gt; 1462 EN-1549 EN ID:09066838")</f>
        <v>MARGERY TRAFFORD &lt;2&gt; 1462 EN-1549 EN ID:09066838</v>
      </c>
      <c r="T2672" s="17"/>
      <c r="U2672" s="17"/>
      <c r="V2672" s="17"/>
      <c r="W2672" s="17"/>
    </row>
    <row r="2673" spans="3:30" x14ac:dyDescent="0.35">
      <c r="C2673" s="15" t="s">
        <v>8</v>
      </c>
      <c r="D2673" s="15" t="s">
        <v>8</v>
      </c>
      <c r="G2673" s="15" t="s">
        <v>8</v>
      </c>
      <c r="L2673" s="15" t="s">
        <v>8</v>
      </c>
      <c r="M2673" s="15" t="s">
        <v>8</v>
      </c>
      <c r="N2673" s="15" t="s">
        <v>8</v>
      </c>
      <c r="O2673" s="15" t="s">
        <v>8</v>
      </c>
      <c r="T2673" s="15" t="s">
        <v>8</v>
      </c>
    </row>
    <row r="2674" spans="3:30" x14ac:dyDescent="0.35">
      <c r="C2674" s="15" t="s">
        <v>8</v>
      </c>
      <c r="D2674" s="15" t="s">
        <v>8</v>
      </c>
      <c r="G2674" s="15" t="s">
        <v>8</v>
      </c>
      <c r="L2674" s="15" t="s">
        <v>8</v>
      </c>
      <c r="M2674" s="15" t="s">
        <v>8</v>
      </c>
      <c r="N2674" s="15" t="s">
        <v>8</v>
      </c>
      <c r="O2674" s="15" t="s">
        <v>8</v>
      </c>
      <c r="T2674" s="15" t="s">
        <v>8</v>
      </c>
      <c r="W2674" s="19" t="str">
        <f>HYPERLINK("http://yeinfo.com/family/I09066930.html", "ALFREDUS INCE I &lt;6&gt; 1265 EN-1290 EN ID:09066930")</f>
        <v>ALFREDUS INCE I &lt;6&gt; 1265 EN-1290 EN ID:09066930</v>
      </c>
      <c r="X2674" s="9"/>
      <c r="Y2674" s="9"/>
      <c r="Z2674" s="9"/>
      <c r="AA2674" s="9"/>
    </row>
    <row r="2675" spans="3:30" x14ac:dyDescent="0.35">
      <c r="C2675" s="15" t="s">
        <v>8</v>
      </c>
      <c r="D2675" s="15" t="s">
        <v>8</v>
      </c>
      <c r="G2675" s="15" t="s">
        <v>8</v>
      </c>
      <c r="L2675" s="15" t="s">
        <v>8</v>
      </c>
      <c r="M2675" s="15" t="s">
        <v>8</v>
      </c>
      <c r="N2675" s="15" t="s">
        <v>8</v>
      </c>
      <c r="O2675" s="15" t="s">
        <v>8</v>
      </c>
      <c r="T2675" s="15" t="s">
        <v>8</v>
      </c>
      <c r="W2675" s="8" t="s">
        <v>3</v>
      </c>
    </row>
    <row r="2676" spans="3:30" x14ac:dyDescent="0.35">
      <c r="C2676" s="15" t="s">
        <v>8</v>
      </c>
      <c r="D2676" s="15" t="s">
        <v>8</v>
      </c>
      <c r="G2676" s="15" t="s">
        <v>8</v>
      </c>
      <c r="L2676" s="15" t="s">
        <v>8</v>
      </c>
      <c r="M2676" s="15" t="s">
        <v>8</v>
      </c>
      <c r="N2676" s="15" t="s">
        <v>8</v>
      </c>
      <c r="O2676" s="15" t="s">
        <v>8</v>
      </c>
      <c r="T2676" s="15" t="s">
        <v>8</v>
      </c>
      <c r="V2676" s="19" t="str">
        <f>HYPERLINK("http://yeinfo.com/family/I09066931.html", "RICHARD INCE I &lt;6&gt; 1290 EN-1333 EN ID:09066931")</f>
        <v>RICHARD INCE I &lt;6&gt; 1290 EN-1333 EN ID:09066931</v>
      </c>
      <c r="W2676" s="9"/>
      <c r="X2676" s="9"/>
      <c r="Y2676" s="9"/>
      <c r="Z2676" s="9"/>
    </row>
    <row r="2677" spans="3:30" x14ac:dyDescent="0.35">
      <c r="C2677" s="15" t="s">
        <v>8</v>
      </c>
      <c r="D2677" s="15" t="s">
        <v>8</v>
      </c>
      <c r="G2677" s="15" t="s">
        <v>8</v>
      </c>
      <c r="L2677" s="15" t="s">
        <v>8</v>
      </c>
      <c r="M2677" s="15" t="s">
        <v>8</v>
      </c>
      <c r="N2677" s="15" t="s">
        <v>8</v>
      </c>
      <c r="O2677" s="15" t="s">
        <v>8</v>
      </c>
      <c r="T2677" s="15" t="s">
        <v>8</v>
      </c>
      <c r="V2677" s="8" t="s">
        <v>3</v>
      </c>
      <c r="W2677" s="8" t="s">
        <v>6</v>
      </c>
    </row>
    <row r="2678" spans="3:30" x14ac:dyDescent="0.35">
      <c r="C2678" s="15" t="s">
        <v>8</v>
      </c>
      <c r="D2678" s="15" t="s">
        <v>8</v>
      </c>
      <c r="G2678" s="15" t="s">
        <v>8</v>
      </c>
      <c r="L2678" s="15" t="s">
        <v>8</v>
      </c>
      <c r="M2678" s="15" t="s">
        <v>8</v>
      </c>
      <c r="N2678" s="15" t="s">
        <v>8</v>
      </c>
      <c r="O2678" s="15" t="s">
        <v>8</v>
      </c>
      <c r="T2678" s="15" t="s">
        <v>8</v>
      </c>
      <c r="V2678" s="15" t="s">
        <v>8</v>
      </c>
      <c r="W2678" s="20" t="str">
        <f>HYPERLINK("http://yeinfo.com/family/I09066976.html", "ALICE\ALESIA STANDISH &lt;6&gt; 1262 EN-1290 EN ID:09066976")</f>
        <v>ALICE\ALESIA STANDISH &lt;6&gt; 1262 EN-1290 EN ID:09066976</v>
      </c>
      <c r="X2678" s="17"/>
      <c r="Y2678" s="17"/>
      <c r="Z2678" s="17"/>
      <c r="AA2678" s="17"/>
      <c r="AB2678" s="17"/>
    </row>
    <row r="2679" spans="3:30" x14ac:dyDescent="0.35">
      <c r="C2679" s="15" t="s">
        <v>8</v>
      </c>
      <c r="D2679" s="15" t="s">
        <v>8</v>
      </c>
      <c r="G2679" s="15" t="s">
        <v>8</v>
      </c>
      <c r="L2679" s="15" t="s">
        <v>8</v>
      </c>
      <c r="M2679" s="15" t="s">
        <v>8</v>
      </c>
      <c r="N2679" s="15" t="s">
        <v>8</v>
      </c>
      <c r="O2679" s="15" t="s">
        <v>8</v>
      </c>
      <c r="T2679" s="15" t="s">
        <v>8</v>
      </c>
      <c r="V2679" s="15" t="s">
        <v>8</v>
      </c>
    </row>
    <row r="2680" spans="3:30" x14ac:dyDescent="0.35">
      <c r="C2680" s="15" t="s">
        <v>8</v>
      </c>
      <c r="D2680" s="15" t="s">
        <v>8</v>
      </c>
      <c r="G2680" s="15" t="s">
        <v>8</v>
      </c>
      <c r="L2680" s="15" t="s">
        <v>8</v>
      </c>
      <c r="M2680" s="15" t="s">
        <v>8</v>
      </c>
      <c r="N2680" s="15" t="s">
        <v>8</v>
      </c>
      <c r="O2680" s="15" t="s">
        <v>8</v>
      </c>
      <c r="T2680" s="15" t="s">
        <v>8</v>
      </c>
      <c r="U2680" s="19" t="str">
        <f>HYPERLINK("http://yeinfo.com/family/I09066933.html", "ROBERT INCE &lt;6&gt; 1304 EN-1335 EN ID:09066933")</f>
        <v>ROBERT INCE &lt;6&gt; 1304 EN-1335 EN ID:09066933</v>
      </c>
      <c r="V2680" s="9"/>
      <c r="W2680" s="9"/>
      <c r="X2680" s="9"/>
      <c r="Y2680" s="9"/>
    </row>
    <row r="2681" spans="3:30" x14ac:dyDescent="0.35">
      <c r="C2681" s="15" t="s">
        <v>8</v>
      </c>
      <c r="D2681" s="15" t="s">
        <v>8</v>
      </c>
      <c r="G2681" s="15" t="s">
        <v>8</v>
      </c>
      <c r="L2681" s="15" t="s">
        <v>8</v>
      </c>
      <c r="M2681" s="15" t="s">
        <v>8</v>
      </c>
      <c r="N2681" s="15" t="s">
        <v>8</v>
      </c>
      <c r="O2681" s="15" t="s">
        <v>8</v>
      </c>
      <c r="T2681" s="15" t="s">
        <v>8</v>
      </c>
      <c r="U2681" s="8" t="s">
        <v>3</v>
      </c>
      <c r="V2681" s="15" t="s">
        <v>8</v>
      </c>
    </row>
    <row r="2682" spans="3:30" x14ac:dyDescent="0.35">
      <c r="C2682" s="15" t="s">
        <v>8</v>
      </c>
      <c r="D2682" s="15" t="s">
        <v>8</v>
      </c>
      <c r="G2682" s="15" t="s">
        <v>8</v>
      </c>
      <c r="L2682" s="15" t="s">
        <v>8</v>
      </c>
      <c r="M2682" s="15" t="s">
        <v>8</v>
      </c>
      <c r="N2682" s="15" t="s">
        <v>8</v>
      </c>
      <c r="O2682" s="15" t="s">
        <v>8</v>
      </c>
      <c r="T2682" s="15" t="s">
        <v>8</v>
      </c>
      <c r="U2682" s="15" t="s">
        <v>8</v>
      </c>
      <c r="V2682" s="15" t="s">
        <v>8</v>
      </c>
      <c r="Y2682" s="19" t="str">
        <f>HYPERLINK("http://yeinfo.com/family/I09066959.html", "ROBERT RADCLIFFE &lt;A&gt; 1208 EN-1239 EN ID:09066959")</f>
        <v>ROBERT RADCLIFFE &lt;A&gt; 1208 EN-1239 EN ID:09066959</v>
      </c>
      <c r="Z2682" s="9"/>
      <c r="AA2682" s="9"/>
      <c r="AB2682" s="9"/>
      <c r="AC2682" s="9"/>
    </row>
    <row r="2683" spans="3:30" x14ac:dyDescent="0.35">
      <c r="C2683" s="15" t="s">
        <v>8</v>
      </c>
      <c r="D2683" s="15" t="s">
        <v>8</v>
      </c>
      <c r="G2683" s="15" t="s">
        <v>8</v>
      </c>
      <c r="L2683" s="15" t="s">
        <v>8</v>
      </c>
      <c r="M2683" s="15" t="s">
        <v>8</v>
      </c>
      <c r="N2683" s="15" t="s">
        <v>8</v>
      </c>
      <c r="O2683" s="15" t="s">
        <v>8</v>
      </c>
      <c r="T2683" s="15" t="s">
        <v>8</v>
      </c>
      <c r="U2683" s="15" t="s">
        <v>8</v>
      </c>
      <c r="V2683" s="15" t="s">
        <v>8</v>
      </c>
      <c r="Y2683" s="8" t="s">
        <v>3</v>
      </c>
    </row>
    <row r="2684" spans="3:30" x14ac:dyDescent="0.35">
      <c r="C2684" s="15" t="s">
        <v>8</v>
      </c>
      <c r="D2684" s="15" t="s">
        <v>8</v>
      </c>
      <c r="G2684" s="15" t="s">
        <v>8</v>
      </c>
      <c r="L2684" s="15" t="s">
        <v>8</v>
      </c>
      <c r="M2684" s="15" t="s">
        <v>8</v>
      </c>
      <c r="N2684" s="15" t="s">
        <v>8</v>
      </c>
      <c r="O2684" s="15" t="s">
        <v>8</v>
      </c>
      <c r="T2684" s="15" t="s">
        <v>8</v>
      </c>
      <c r="U2684" s="15" t="s">
        <v>8</v>
      </c>
      <c r="V2684" s="15" t="s">
        <v>8</v>
      </c>
      <c r="X2684" s="19" t="str">
        <f>HYPERLINK("http://yeinfo.com/family/I09066960.html", "RICHARD RADCLIFFE &lt;A&gt; 1224 EN-1326 EN ID:09066960")</f>
        <v>RICHARD RADCLIFFE &lt;A&gt; 1224 EN-1326 EN ID:09066960</v>
      </c>
      <c r="Y2684" s="9"/>
      <c r="Z2684" s="9"/>
      <c r="AA2684" s="9"/>
      <c r="AB2684" s="9"/>
    </row>
    <row r="2685" spans="3:30" x14ac:dyDescent="0.35">
      <c r="C2685" s="15" t="s">
        <v>8</v>
      </c>
      <c r="D2685" s="15" t="s">
        <v>8</v>
      </c>
      <c r="G2685" s="15" t="s">
        <v>8</v>
      </c>
      <c r="L2685" s="15" t="s">
        <v>8</v>
      </c>
      <c r="M2685" s="15" t="s">
        <v>8</v>
      </c>
      <c r="N2685" s="15" t="s">
        <v>8</v>
      </c>
      <c r="O2685" s="15" t="s">
        <v>8</v>
      </c>
      <c r="T2685" s="15" t="s">
        <v>8</v>
      </c>
      <c r="U2685" s="15" t="s">
        <v>8</v>
      </c>
      <c r="V2685" s="15" t="s">
        <v>8</v>
      </c>
      <c r="X2685" s="8" t="s">
        <v>3</v>
      </c>
      <c r="Y2685" s="8" t="s">
        <v>6</v>
      </c>
    </row>
    <row r="2686" spans="3:30" x14ac:dyDescent="0.35">
      <c r="C2686" s="15" t="s">
        <v>8</v>
      </c>
      <c r="D2686" s="15" t="s">
        <v>8</v>
      </c>
      <c r="G2686" s="15" t="s">
        <v>8</v>
      </c>
      <c r="L2686" s="15" t="s">
        <v>8</v>
      </c>
      <c r="M2686" s="15" t="s">
        <v>8</v>
      </c>
      <c r="N2686" s="15" t="s">
        <v>8</v>
      </c>
      <c r="O2686" s="15" t="s">
        <v>8</v>
      </c>
      <c r="T2686" s="15" t="s">
        <v>8</v>
      </c>
      <c r="U2686" s="15" t="s">
        <v>8</v>
      </c>
      <c r="V2686" s="15" t="s">
        <v>8</v>
      </c>
      <c r="X2686" s="15" t="s">
        <v>8</v>
      </c>
      <c r="Y2686" s="20" t="str">
        <f>HYPERLINK("http://yeinfo.com/family/I09066988.html", "AMBIL\AMABIL TRAFFORD &lt;A&gt; 1222 EN-1239 EN ID:09066988")</f>
        <v>AMBIL\AMABIL TRAFFORD &lt;A&gt; 1222 EN-1239 EN ID:09066988</v>
      </c>
      <c r="Z2686" s="17"/>
      <c r="AA2686" s="17"/>
      <c r="AB2686" s="17"/>
      <c r="AC2686" s="17"/>
      <c r="AD2686" s="17"/>
    </row>
    <row r="2687" spans="3:30" x14ac:dyDescent="0.35">
      <c r="C2687" s="15" t="s">
        <v>8</v>
      </c>
      <c r="D2687" s="15" t="s">
        <v>8</v>
      </c>
      <c r="G2687" s="15" t="s">
        <v>8</v>
      </c>
      <c r="L2687" s="15" t="s">
        <v>8</v>
      </c>
      <c r="M2687" s="15" t="s">
        <v>8</v>
      </c>
      <c r="N2687" s="15" t="s">
        <v>8</v>
      </c>
      <c r="O2687" s="15" t="s">
        <v>8</v>
      </c>
      <c r="T2687" s="15" t="s">
        <v>8</v>
      </c>
      <c r="U2687" s="15" t="s">
        <v>8</v>
      </c>
      <c r="V2687" s="15" t="s">
        <v>8</v>
      </c>
      <c r="X2687" s="15" t="s">
        <v>8</v>
      </c>
    </row>
    <row r="2688" spans="3:30" x14ac:dyDescent="0.35">
      <c r="C2688" s="15" t="s">
        <v>8</v>
      </c>
      <c r="D2688" s="15" t="s">
        <v>8</v>
      </c>
      <c r="G2688" s="15" t="s">
        <v>8</v>
      </c>
      <c r="L2688" s="15" t="s">
        <v>8</v>
      </c>
      <c r="M2688" s="15" t="s">
        <v>8</v>
      </c>
      <c r="N2688" s="15" t="s">
        <v>8</v>
      </c>
      <c r="O2688" s="15" t="s">
        <v>8</v>
      </c>
      <c r="T2688" s="15" t="s">
        <v>8</v>
      </c>
      <c r="U2688" s="15" t="s">
        <v>8</v>
      </c>
      <c r="V2688" s="15" t="s">
        <v>8</v>
      </c>
      <c r="W2688" s="19" t="str">
        <f>HYPERLINK("http://yeinfo.com/family/I09066961.html", "WILLIAM RADCLIFFE &lt;8&gt; 1267 EN-1333 EN ID:09066961")</f>
        <v>WILLIAM RADCLIFFE &lt;8&gt; 1267 EN-1333 EN ID:09066961</v>
      </c>
      <c r="X2688" s="9"/>
      <c r="Y2688" s="9"/>
      <c r="Z2688" s="9"/>
      <c r="AA2688" s="9"/>
    </row>
    <row r="2689" spans="3:30" x14ac:dyDescent="0.35">
      <c r="C2689" s="15" t="s">
        <v>8</v>
      </c>
      <c r="D2689" s="15" t="s">
        <v>8</v>
      </c>
      <c r="G2689" s="15" t="s">
        <v>8</v>
      </c>
      <c r="L2689" s="15" t="s">
        <v>8</v>
      </c>
      <c r="M2689" s="15" t="s">
        <v>8</v>
      </c>
      <c r="N2689" s="15" t="s">
        <v>8</v>
      </c>
      <c r="O2689" s="15" t="s">
        <v>8</v>
      </c>
      <c r="T2689" s="15" t="s">
        <v>8</v>
      </c>
      <c r="U2689" s="15" t="s">
        <v>8</v>
      </c>
      <c r="V2689" s="15" t="s">
        <v>8</v>
      </c>
      <c r="W2689" s="8" t="s">
        <v>3</v>
      </c>
      <c r="X2689" s="15" t="s">
        <v>8</v>
      </c>
    </row>
    <row r="2690" spans="3:30" x14ac:dyDescent="0.35">
      <c r="C2690" s="15" t="s">
        <v>8</v>
      </c>
      <c r="D2690" s="15" t="s">
        <v>8</v>
      </c>
      <c r="G2690" s="15" t="s">
        <v>8</v>
      </c>
      <c r="L2690" s="15" t="s">
        <v>8</v>
      </c>
      <c r="M2690" s="15" t="s">
        <v>8</v>
      </c>
      <c r="N2690" s="15" t="s">
        <v>8</v>
      </c>
      <c r="O2690" s="15" t="s">
        <v>8</v>
      </c>
      <c r="T2690" s="15" t="s">
        <v>8</v>
      </c>
      <c r="U2690" s="15" t="s">
        <v>8</v>
      </c>
      <c r="V2690" s="15" t="s">
        <v>8</v>
      </c>
      <c r="W2690" s="15" t="s">
        <v>8</v>
      </c>
      <c r="X2690" s="15" t="s">
        <v>8</v>
      </c>
      <c r="Y2690" s="19" t="str">
        <f>HYPERLINK("http://yeinfo.com/family/I09066877.html", "HENRY\WILLIAM\ROBERT BOTELER &lt;A&gt; 1230 EN-1247 EN ID:09066877")</f>
        <v>HENRY\WILLIAM\ROBERT BOTELER &lt;A&gt; 1230 EN-1247 EN ID:09066877</v>
      </c>
      <c r="Z2690" s="9"/>
      <c r="AA2690" s="9"/>
      <c r="AB2690" s="9"/>
      <c r="AC2690" s="9"/>
      <c r="AD2690" s="9"/>
    </row>
    <row r="2691" spans="3:30" x14ac:dyDescent="0.35">
      <c r="C2691" s="15" t="s">
        <v>8</v>
      </c>
      <c r="D2691" s="15" t="s">
        <v>8</v>
      </c>
      <c r="G2691" s="15" t="s">
        <v>8</v>
      </c>
      <c r="L2691" s="15" t="s">
        <v>8</v>
      </c>
      <c r="M2691" s="15" t="s">
        <v>8</v>
      </c>
      <c r="N2691" s="15" t="s">
        <v>8</v>
      </c>
      <c r="O2691" s="15" t="s">
        <v>8</v>
      </c>
      <c r="T2691" s="15" t="s">
        <v>8</v>
      </c>
      <c r="U2691" s="15" t="s">
        <v>8</v>
      </c>
      <c r="V2691" s="15" t="s">
        <v>8</v>
      </c>
      <c r="W2691" s="15" t="s">
        <v>8</v>
      </c>
      <c r="X2691" s="8" t="s">
        <v>6</v>
      </c>
      <c r="Y2691" s="8" t="s">
        <v>3</v>
      </c>
    </row>
    <row r="2692" spans="3:30" x14ac:dyDescent="0.35">
      <c r="C2692" s="15" t="s">
        <v>8</v>
      </c>
      <c r="D2692" s="15" t="s">
        <v>8</v>
      </c>
      <c r="G2692" s="15" t="s">
        <v>8</v>
      </c>
      <c r="L2692" s="15" t="s">
        <v>8</v>
      </c>
      <c r="M2692" s="15" t="s">
        <v>8</v>
      </c>
      <c r="N2692" s="15" t="s">
        <v>8</v>
      </c>
      <c r="O2692" s="15" t="s">
        <v>8</v>
      </c>
      <c r="T2692" s="15" t="s">
        <v>8</v>
      </c>
      <c r="U2692" s="15" t="s">
        <v>8</v>
      </c>
      <c r="V2692" s="15" t="s">
        <v>8</v>
      </c>
      <c r="W2692" s="15" t="s">
        <v>8</v>
      </c>
      <c r="X2692" s="20" t="str">
        <f>HYPERLINK("http://yeinfo.com/family/I09066878.html", "JOAN\MARGARET BOTELER &lt;A&gt; 1232 EN-1267 EN ID:09066878")</f>
        <v>JOAN\MARGARET BOTELER &lt;A&gt; 1232 EN-1267 EN ID:09066878</v>
      </c>
      <c r="Y2692" s="17"/>
      <c r="Z2692" s="17"/>
      <c r="AA2692" s="17"/>
      <c r="AB2692" s="17"/>
      <c r="AC2692" s="17"/>
    </row>
    <row r="2693" spans="3:30" x14ac:dyDescent="0.35">
      <c r="C2693" s="15" t="s">
        <v>8</v>
      </c>
      <c r="D2693" s="15" t="s">
        <v>8</v>
      </c>
      <c r="G2693" s="15" t="s">
        <v>8</v>
      </c>
      <c r="L2693" s="15" t="s">
        <v>8</v>
      </c>
      <c r="M2693" s="15" t="s">
        <v>8</v>
      </c>
      <c r="N2693" s="15" t="s">
        <v>8</v>
      </c>
      <c r="O2693" s="15" t="s">
        <v>8</v>
      </c>
      <c r="T2693" s="15" t="s">
        <v>8</v>
      </c>
      <c r="U2693" s="15" t="s">
        <v>8</v>
      </c>
      <c r="V2693" s="15" t="s">
        <v>8</v>
      </c>
      <c r="W2693" s="15" t="s">
        <v>8</v>
      </c>
      <c r="Y2693" s="8" t="s">
        <v>6</v>
      </c>
    </row>
    <row r="2694" spans="3:30" x14ac:dyDescent="0.35">
      <c r="C2694" s="15" t="s">
        <v>8</v>
      </c>
      <c r="D2694" s="15" t="s">
        <v>8</v>
      </c>
      <c r="G2694" s="15" t="s">
        <v>8</v>
      </c>
      <c r="L2694" s="15" t="s">
        <v>8</v>
      </c>
      <c r="M2694" s="15" t="s">
        <v>8</v>
      </c>
      <c r="N2694" s="15" t="s">
        <v>8</v>
      </c>
      <c r="O2694" s="15" t="s">
        <v>8</v>
      </c>
      <c r="T2694" s="15" t="s">
        <v>8</v>
      </c>
      <c r="U2694" s="15" t="s">
        <v>8</v>
      </c>
      <c r="V2694" s="15" t="s">
        <v>8</v>
      </c>
      <c r="W2694" s="15" t="s">
        <v>8</v>
      </c>
      <c r="Y2694" s="20" t="str">
        <f>HYPERLINK("http://yeinfo.com/family/I09066876.html", "Mrs. ISABELLA BOTELER &lt;A&gt; 1227 EN-1247 EN ID:09066876")</f>
        <v>Mrs. ISABELLA BOTELER &lt;A&gt; 1227 EN-1247 EN ID:09066876</v>
      </c>
      <c r="Z2694" s="17"/>
      <c r="AA2694" s="17"/>
      <c r="AB2694" s="17"/>
      <c r="AC2694" s="17"/>
    </row>
    <row r="2695" spans="3:30" x14ac:dyDescent="0.35">
      <c r="C2695" s="15" t="s">
        <v>8</v>
      </c>
      <c r="D2695" s="15" t="s">
        <v>8</v>
      </c>
      <c r="G2695" s="15" t="s">
        <v>8</v>
      </c>
      <c r="L2695" s="15" t="s">
        <v>8</v>
      </c>
      <c r="M2695" s="15" t="s">
        <v>8</v>
      </c>
      <c r="N2695" s="15" t="s">
        <v>8</v>
      </c>
      <c r="O2695" s="15" t="s">
        <v>8</v>
      </c>
      <c r="T2695" s="15" t="s">
        <v>8</v>
      </c>
      <c r="U2695" s="15" t="s">
        <v>8</v>
      </c>
      <c r="V2695" s="8" t="s">
        <v>6</v>
      </c>
      <c r="W2695" s="15" t="s">
        <v>8</v>
      </c>
    </row>
    <row r="2696" spans="3:30" x14ac:dyDescent="0.35">
      <c r="C2696" s="15" t="s">
        <v>8</v>
      </c>
      <c r="D2696" s="15" t="s">
        <v>8</v>
      </c>
      <c r="G2696" s="15" t="s">
        <v>8</v>
      </c>
      <c r="L2696" s="15" t="s">
        <v>8</v>
      </c>
      <c r="M2696" s="15" t="s">
        <v>8</v>
      </c>
      <c r="N2696" s="15" t="s">
        <v>8</v>
      </c>
      <c r="O2696" s="15" t="s">
        <v>8</v>
      </c>
      <c r="T2696" s="15" t="s">
        <v>8</v>
      </c>
      <c r="U2696" s="15" t="s">
        <v>8</v>
      </c>
      <c r="V2696" s="20" t="str">
        <f>HYPERLINK("http://yeinfo.com/family/I09066963.html", "ELIZABETH RADCLIFFE &lt;6&gt; 1290 EN-1310 EN ID:09066963")</f>
        <v>ELIZABETH RADCLIFFE &lt;6&gt; 1290 EN-1310 EN ID:09066963</v>
      </c>
      <c r="W2696" s="17"/>
      <c r="X2696" s="17"/>
      <c r="Y2696" s="17"/>
      <c r="Z2696" s="17"/>
    </row>
    <row r="2697" spans="3:30" x14ac:dyDescent="0.35">
      <c r="C2697" s="15" t="s">
        <v>8</v>
      </c>
      <c r="D2697" s="15" t="s">
        <v>8</v>
      </c>
      <c r="G2697" s="15" t="s">
        <v>8</v>
      </c>
      <c r="L2697" s="15" t="s">
        <v>8</v>
      </c>
      <c r="M2697" s="15" t="s">
        <v>8</v>
      </c>
      <c r="N2697" s="15" t="s">
        <v>8</v>
      </c>
      <c r="O2697" s="15" t="s">
        <v>8</v>
      </c>
      <c r="T2697" s="15" t="s">
        <v>8</v>
      </c>
      <c r="U2697" s="15" t="s">
        <v>8</v>
      </c>
      <c r="W2697" s="15" t="s">
        <v>8</v>
      </c>
    </row>
    <row r="2698" spans="3:30" x14ac:dyDescent="0.35">
      <c r="C2698" s="15" t="s">
        <v>8</v>
      </c>
      <c r="D2698" s="15" t="s">
        <v>8</v>
      </c>
      <c r="G2698" s="15" t="s">
        <v>8</v>
      </c>
      <c r="L2698" s="15" t="s">
        <v>8</v>
      </c>
      <c r="M2698" s="15" t="s">
        <v>8</v>
      </c>
      <c r="N2698" s="15" t="s">
        <v>8</v>
      </c>
      <c r="O2698" s="15" t="s">
        <v>8</v>
      </c>
      <c r="T2698" s="15" t="s">
        <v>8</v>
      </c>
      <c r="U2698" s="15" t="s">
        <v>8</v>
      </c>
      <c r="W2698" s="15" t="s">
        <v>8</v>
      </c>
      <c r="X2698" s="19" t="str">
        <f>HYPERLINK("http://yeinfo.com/family/I09066956.html", "ADAM PEASFURLONG &lt;8&gt; 1242 EN-1274 EN ID:09066956")</f>
        <v>ADAM PEASFURLONG &lt;8&gt; 1242 EN-1274 EN ID:09066956</v>
      </c>
      <c r="Y2698" s="9"/>
      <c r="Z2698" s="9"/>
      <c r="AA2698" s="9"/>
      <c r="AB2698" s="9"/>
    </row>
    <row r="2699" spans="3:30" x14ac:dyDescent="0.35">
      <c r="C2699" s="15" t="s">
        <v>8</v>
      </c>
      <c r="D2699" s="15" t="s">
        <v>8</v>
      </c>
      <c r="G2699" s="15" t="s">
        <v>8</v>
      </c>
      <c r="L2699" s="15" t="s">
        <v>8</v>
      </c>
      <c r="M2699" s="15" t="s">
        <v>8</v>
      </c>
      <c r="N2699" s="15" t="s">
        <v>8</v>
      </c>
      <c r="O2699" s="15" t="s">
        <v>8</v>
      </c>
      <c r="T2699" s="15" t="s">
        <v>8</v>
      </c>
      <c r="U2699" s="15" t="s">
        <v>8</v>
      </c>
      <c r="W2699" s="8" t="s">
        <v>6</v>
      </c>
      <c r="X2699" s="8" t="s">
        <v>3</v>
      </c>
    </row>
    <row r="2700" spans="3:30" x14ac:dyDescent="0.35">
      <c r="C2700" s="15" t="s">
        <v>8</v>
      </c>
      <c r="D2700" s="15" t="s">
        <v>8</v>
      </c>
      <c r="G2700" s="15" t="s">
        <v>8</v>
      </c>
      <c r="L2700" s="15" t="s">
        <v>8</v>
      </c>
      <c r="M2700" s="15" t="s">
        <v>8</v>
      </c>
      <c r="N2700" s="15" t="s">
        <v>8</v>
      </c>
      <c r="O2700" s="15" t="s">
        <v>8</v>
      </c>
      <c r="T2700" s="15" t="s">
        <v>8</v>
      </c>
      <c r="U2700" s="15" t="s">
        <v>8</v>
      </c>
      <c r="W2700" s="20" t="str">
        <f>HYPERLINK("http://yeinfo.com/family/I09066957.html", "MARGARET PEASFURLONG &lt;8&gt; 1244 EN-1290 EN ID:09066957")</f>
        <v>MARGARET PEASFURLONG &lt;8&gt; 1244 EN-1290 EN ID:09066957</v>
      </c>
      <c r="X2700" s="17"/>
      <c r="Y2700" s="17"/>
      <c r="Z2700" s="17"/>
      <c r="AA2700" s="17"/>
    </row>
    <row r="2701" spans="3:30" x14ac:dyDescent="0.35">
      <c r="C2701" s="15" t="s">
        <v>8</v>
      </c>
      <c r="D2701" s="15" t="s">
        <v>8</v>
      </c>
      <c r="G2701" s="15" t="s">
        <v>8</v>
      </c>
      <c r="L2701" s="15" t="s">
        <v>8</v>
      </c>
      <c r="M2701" s="15" t="s">
        <v>8</v>
      </c>
      <c r="N2701" s="15" t="s">
        <v>8</v>
      </c>
      <c r="O2701" s="15" t="s">
        <v>8</v>
      </c>
      <c r="T2701" s="15" t="s">
        <v>8</v>
      </c>
      <c r="U2701" s="15" t="s">
        <v>8</v>
      </c>
      <c r="X2701" s="15" t="s">
        <v>8</v>
      </c>
    </row>
    <row r="2702" spans="3:30" x14ac:dyDescent="0.35">
      <c r="C2702" s="15" t="s">
        <v>8</v>
      </c>
      <c r="D2702" s="15" t="s">
        <v>8</v>
      </c>
      <c r="G2702" s="15" t="s">
        <v>8</v>
      </c>
      <c r="L2702" s="15" t="s">
        <v>8</v>
      </c>
      <c r="M2702" s="15" t="s">
        <v>8</v>
      </c>
      <c r="N2702" s="15" t="s">
        <v>8</v>
      </c>
      <c r="O2702" s="15" t="s">
        <v>8</v>
      </c>
      <c r="T2702" s="15" t="s">
        <v>8</v>
      </c>
      <c r="U2702" s="15" t="s">
        <v>8</v>
      </c>
      <c r="X2702" s="15" t="s">
        <v>8</v>
      </c>
      <c r="Y2702" s="19" t="str">
        <f>HYPERLINK("http://yeinfo.com/family/I09066895.html", "GILBERT CULCHETH &lt;8&gt; 1205 EN-1246 EN ID:09066895")</f>
        <v>GILBERT CULCHETH &lt;8&gt; 1205 EN-1246 EN ID:09066895</v>
      </c>
      <c r="Z2702" s="9"/>
      <c r="AA2702" s="9"/>
      <c r="AB2702" s="9"/>
      <c r="AC2702" s="9"/>
    </row>
    <row r="2703" spans="3:30" x14ac:dyDescent="0.35">
      <c r="C2703" s="15" t="s">
        <v>8</v>
      </c>
      <c r="D2703" s="15" t="s">
        <v>8</v>
      </c>
      <c r="G2703" s="15" t="s">
        <v>8</v>
      </c>
      <c r="L2703" s="15" t="s">
        <v>8</v>
      </c>
      <c r="M2703" s="15" t="s">
        <v>8</v>
      </c>
      <c r="N2703" s="15" t="s">
        <v>8</v>
      </c>
      <c r="O2703" s="15" t="s">
        <v>8</v>
      </c>
      <c r="T2703" s="15" t="s">
        <v>8</v>
      </c>
      <c r="U2703" s="15" t="s">
        <v>8</v>
      </c>
      <c r="X2703" s="8" t="s">
        <v>6</v>
      </c>
      <c r="Y2703" s="8" t="s">
        <v>3</v>
      </c>
    </row>
    <row r="2704" spans="3:30" x14ac:dyDescent="0.35">
      <c r="C2704" s="15" t="s">
        <v>8</v>
      </c>
      <c r="D2704" s="15" t="s">
        <v>8</v>
      </c>
      <c r="G2704" s="15" t="s">
        <v>8</v>
      </c>
      <c r="L2704" s="15" t="s">
        <v>8</v>
      </c>
      <c r="M2704" s="15" t="s">
        <v>8</v>
      </c>
      <c r="N2704" s="15" t="s">
        <v>8</v>
      </c>
      <c r="O2704" s="15" t="s">
        <v>8</v>
      </c>
      <c r="T2704" s="15" t="s">
        <v>8</v>
      </c>
      <c r="U2704" s="15" t="s">
        <v>8</v>
      </c>
      <c r="X2704" s="20" t="str">
        <f>HYPERLINK("http://yeinfo.com/family/I09066896.html", "ELIZABETH CULCHETH &lt;8&gt; 1215 EN-1274 EN ID:09066896")</f>
        <v>ELIZABETH CULCHETH &lt;8&gt; 1215 EN-1274 EN ID:09066896</v>
      </c>
      <c r="Y2704" s="17"/>
      <c r="Z2704" s="17"/>
      <c r="AA2704" s="17"/>
      <c r="AB2704" s="17"/>
    </row>
    <row r="2705" spans="3:29" x14ac:dyDescent="0.35">
      <c r="C2705" s="15" t="s">
        <v>8</v>
      </c>
      <c r="D2705" s="15" t="s">
        <v>8</v>
      </c>
      <c r="G2705" s="15" t="s">
        <v>8</v>
      </c>
      <c r="L2705" s="15" t="s">
        <v>8</v>
      </c>
      <c r="M2705" s="15" t="s">
        <v>8</v>
      </c>
      <c r="N2705" s="15" t="s">
        <v>8</v>
      </c>
      <c r="O2705" s="15" t="s">
        <v>8</v>
      </c>
      <c r="T2705" s="15" t="s">
        <v>8</v>
      </c>
      <c r="U2705" s="15" t="s">
        <v>8</v>
      </c>
      <c r="Y2705" s="8" t="s">
        <v>6</v>
      </c>
    </row>
    <row r="2706" spans="3:29" x14ac:dyDescent="0.35">
      <c r="C2706" s="15" t="s">
        <v>8</v>
      </c>
      <c r="D2706" s="15" t="s">
        <v>8</v>
      </c>
      <c r="G2706" s="15" t="s">
        <v>8</v>
      </c>
      <c r="L2706" s="15" t="s">
        <v>8</v>
      </c>
      <c r="M2706" s="15" t="s">
        <v>8</v>
      </c>
      <c r="N2706" s="15" t="s">
        <v>8</v>
      </c>
      <c r="O2706" s="15" t="s">
        <v>8</v>
      </c>
      <c r="T2706" s="15" t="s">
        <v>8</v>
      </c>
      <c r="U2706" s="15" t="s">
        <v>8</v>
      </c>
      <c r="Y2706" s="20" t="str">
        <f>HYPERLINK("http://yeinfo.com/family/I09066935.html", "CECILIA LATHOM &lt;8&gt; 1222 EN-1245 EN ID:09066935")</f>
        <v>CECILIA LATHOM &lt;8&gt; 1222 EN-1245 EN ID:09066935</v>
      </c>
      <c r="Z2706" s="17"/>
      <c r="AA2706" s="17"/>
      <c r="AB2706" s="17"/>
      <c r="AC2706" s="17"/>
    </row>
    <row r="2707" spans="3:29" x14ac:dyDescent="0.35">
      <c r="C2707" s="15" t="s">
        <v>8</v>
      </c>
      <c r="D2707" s="15" t="s">
        <v>8</v>
      </c>
      <c r="G2707" s="15" t="s">
        <v>8</v>
      </c>
      <c r="L2707" s="15" t="s">
        <v>8</v>
      </c>
      <c r="M2707" s="15" t="s">
        <v>8</v>
      </c>
      <c r="N2707" s="15" t="s">
        <v>8</v>
      </c>
      <c r="O2707" s="15" t="s">
        <v>8</v>
      </c>
      <c r="T2707" s="8" t="s">
        <v>6</v>
      </c>
      <c r="U2707" s="15" t="s">
        <v>8</v>
      </c>
    </row>
    <row r="2708" spans="3:29" x14ac:dyDescent="0.35">
      <c r="C2708" s="15" t="s">
        <v>8</v>
      </c>
      <c r="D2708" s="15" t="s">
        <v>8</v>
      </c>
      <c r="G2708" s="15" t="s">
        <v>8</v>
      </c>
      <c r="L2708" s="15" t="s">
        <v>8</v>
      </c>
      <c r="M2708" s="15" t="s">
        <v>8</v>
      </c>
      <c r="N2708" s="15" t="s">
        <v>8</v>
      </c>
      <c r="O2708" s="15" t="s">
        <v>8</v>
      </c>
      <c r="T2708" s="20" t="str">
        <f>HYPERLINK("http://yeinfo.com/family/I09066934.html", "MARGARET INCE &lt;6&gt; 1330 EN-1417 EN ID:09066934")</f>
        <v>MARGARET INCE &lt;6&gt; 1330 EN-1417 EN ID:09066934</v>
      </c>
      <c r="U2708" s="17"/>
      <c r="V2708" s="17"/>
      <c r="W2708" s="17"/>
      <c r="X2708" s="17"/>
    </row>
    <row r="2709" spans="3:29" x14ac:dyDescent="0.35">
      <c r="C2709" s="15" t="s">
        <v>8</v>
      </c>
      <c r="D2709" s="15" t="s">
        <v>8</v>
      </c>
      <c r="G2709" s="15" t="s">
        <v>8</v>
      </c>
      <c r="L2709" s="15" t="s">
        <v>8</v>
      </c>
      <c r="M2709" s="15" t="s">
        <v>8</v>
      </c>
      <c r="N2709" s="15" t="s">
        <v>8</v>
      </c>
      <c r="O2709" s="15" t="s">
        <v>8</v>
      </c>
      <c r="U2709" s="8" t="s">
        <v>6</v>
      </c>
    </row>
    <row r="2710" spans="3:29" x14ac:dyDescent="0.35">
      <c r="C2710" s="15" t="s">
        <v>8</v>
      </c>
      <c r="D2710" s="15" t="s">
        <v>8</v>
      </c>
      <c r="G2710" s="15" t="s">
        <v>8</v>
      </c>
      <c r="L2710" s="15" t="s">
        <v>8</v>
      </c>
      <c r="M2710" s="15" t="s">
        <v>8</v>
      </c>
      <c r="N2710" s="15" t="s">
        <v>8</v>
      </c>
      <c r="O2710" s="15" t="s">
        <v>8</v>
      </c>
      <c r="U2710" s="20" t="str">
        <f>HYPERLINK("http://yeinfo.com/family/I09066932.html", "Mrs. {_?_} INCE &lt;6&gt; 1310 -1335 EN ID:09066932")</f>
        <v>Mrs. {_?_} INCE &lt;6&gt; 1310 -1335 EN ID:09066932</v>
      </c>
      <c r="V2710" s="17"/>
      <c r="W2710" s="17"/>
      <c r="X2710" s="17"/>
      <c r="Y2710" s="17"/>
    </row>
    <row r="2711" spans="3:29" x14ac:dyDescent="0.35">
      <c r="C2711" s="15" t="s">
        <v>8</v>
      </c>
      <c r="D2711" s="15" t="s">
        <v>8</v>
      </c>
      <c r="G2711" s="15" t="s">
        <v>8</v>
      </c>
      <c r="L2711" s="15" t="s">
        <v>8</v>
      </c>
      <c r="M2711" s="15" t="s">
        <v>8</v>
      </c>
      <c r="N2711" s="8" t="s">
        <v>6</v>
      </c>
      <c r="O2711" s="15" t="s">
        <v>8</v>
      </c>
    </row>
    <row r="2712" spans="3:29" x14ac:dyDescent="0.35">
      <c r="C2712" s="15" t="s">
        <v>8</v>
      </c>
      <c r="D2712" s="15" t="s">
        <v>8</v>
      </c>
      <c r="G2712" s="15" t="s">
        <v>8</v>
      </c>
      <c r="L2712" s="15" t="s">
        <v>8</v>
      </c>
      <c r="M2712" s="15" t="s">
        <v>8</v>
      </c>
      <c r="N2712" s="22" t="str">
        <f>HYPERLINK("http://yeinfo.com/family/I09002589.html", "ANNE BARLOW &lt;2&gt; 1631 EN-1663 CT ID:09002589")</f>
        <v>ANNE BARLOW &lt;2&gt; 1631 EN-1663 CT ID:09002589</v>
      </c>
      <c r="O2712" s="13"/>
      <c r="P2712" s="13"/>
      <c r="Q2712" s="13"/>
      <c r="R2712" s="13"/>
    </row>
    <row r="2713" spans="3:29" x14ac:dyDescent="0.35">
      <c r="C2713" s="15" t="s">
        <v>8</v>
      </c>
      <c r="D2713" s="15" t="s">
        <v>8</v>
      </c>
      <c r="G2713" s="15" t="s">
        <v>8</v>
      </c>
      <c r="L2713" s="15" t="s">
        <v>8</v>
      </c>
      <c r="M2713" s="15" t="s">
        <v>8</v>
      </c>
      <c r="O2713" s="8" t="s">
        <v>6</v>
      </c>
    </row>
    <row r="2714" spans="3:29" x14ac:dyDescent="0.35">
      <c r="C2714" s="15" t="s">
        <v>8</v>
      </c>
      <c r="D2714" s="15" t="s">
        <v>8</v>
      </c>
      <c r="G2714" s="15" t="s">
        <v>8</v>
      </c>
      <c r="L2714" s="15" t="s">
        <v>8</v>
      </c>
      <c r="M2714" s="15" t="s">
        <v>8</v>
      </c>
      <c r="O2714" s="22" t="str">
        <f>HYPERLINK("http://yeinfo.com/family/I09005179.html", "ANN WARD &lt;2&gt; 1604 EN-1685 CT ID:09005179")</f>
        <v>ANN WARD &lt;2&gt; 1604 EN-1685 CT ID:09005179</v>
      </c>
      <c r="P2714" s="13"/>
      <c r="Q2714" s="13"/>
      <c r="R2714" s="13"/>
      <c r="S2714" s="13"/>
    </row>
    <row r="2715" spans="3:29" x14ac:dyDescent="0.35">
      <c r="C2715" s="15" t="s">
        <v>8</v>
      </c>
      <c r="D2715" s="15" t="s">
        <v>8</v>
      </c>
      <c r="G2715" s="15" t="s">
        <v>8</v>
      </c>
      <c r="L2715" s="8" t="s">
        <v>6</v>
      </c>
      <c r="M2715" s="15" t="s">
        <v>8</v>
      </c>
    </row>
    <row r="2716" spans="3:29" x14ac:dyDescent="0.35">
      <c r="C2716" s="15" t="s">
        <v>8</v>
      </c>
      <c r="D2716" s="15" t="s">
        <v>8</v>
      </c>
      <c r="G2716" s="15" t="s">
        <v>8</v>
      </c>
      <c r="L2716" s="16" t="str">
        <f>HYPERLINK("http://yeinfo.com/family/I09000647.html", "MARY DRAKE &lt;2&gt; 1691 NY-1757 NY ID:09000647")</f>
        <v>MARY DRAKE &lt;2&gt; 1691 NY-1757 NY ID:09000647</v>
      </c>
      <c r="M2716" s="11"/>
      <c r="N2716" s="11"/>
      <c r="O2716" s="11"/>
      <c r="P2716" s="11"/>
    </row>
    <row r="2717" spans="3:29" x14ac:dyDescent="0.35">
      <c r="C2717" s="15" t="s">
        <v>8</v>
      </c>
      <c r="D2717" s="15" t="s">
        <v>8</v>
      </c>
      <c r="G2717" s="15" t="s">
        <v>8</v>
      </c>
      <c r="M2717" s="15" t="s">
        <v>8</v>
      </c>
    </row>
    <row r="2718" spans="3:29" x14ac:dyDescent="0.35">
      <c r="C2718" s="15" t="s">
        <v>8</v>
      </c>
      <c r="D2718" s="15" t="s">
        <v>8</v>
      </c>
      <c r="G2718" s="15" t="s">
        <v>8</v>
      </c>
      <c r="M2718" s="15" t="s">
        <v>8</v>
      </c>
      <c r="O2718" s="21" t="str">
        <f>HYPERLINK("http://yeinfo.com/family/I09005180.html", "THOMAS SHUTE &lt;2&gt; 1613 EN-1671 NY ID:09005180")</f>
        <v>THOMAS SHUTE &lt;2&gt; 1613 EN-1671 NY ID:09005180</v>
      </c>
      <c r="P2718" s="6"/>
      <c r="Q2718" s="6"/>
      <c r="R2718" s="6"/>
      <c r="S2718" s="6"/>
    </row>
    <row r="2719" spans="3:29" x14ac:dyDescent="0.35">
      <c r="C2719" s="15" t="s">
        <v>8</v>
      </c>
      <c r="D2719" s="15" t="s">
        <v>8</v>
      </c>
      <c r="G2719" s="15" t="s">
        <v>8</v>
      </c>
      <c r="M2719" s="15" t="s">
        <v>8</v>
      </c>
      <c r="O2719" s="8" t="s">
        <v>3</v>
      </c>
    </row>
    <row r="2720" spans="3:29" x14ac:dyDescent="0.35">
      <c r="C2720" s="15" t="s">
        <v>8</v>
      </c>
      <c r="D2720" s="15" t="s">
        <v>8</v>
      </c>
      <c r="G2720" s="15" t="s">
        <v>8</v>
      </c>
      <c r="M2720" s="15" t="s">
        <v>8</v>
      </c>
      <c r="N2720" s="5" t="str">
        <f>HYPERLINK("http://yeinfo.com/family/I09002590.html", "RICHARD SHUTE &lt;2&gt; 1635 NY-1675 NY ID:09002590")</f>
        <v>RICHARD SHUTE &lt;2&gt; 1635 NY-1675 NY ID:09002590</v>
      </c>
      <c r="O2720" s="3"/>
      <c r="P2720" s="3"/>
      <c r="Q2720" s="3"/>
      <c r="R2720" s="3"/>
    </row>
    <row r="2721" spans="3:27" x14ac:dyDescent="0.35">
      <c r="C2721" s="15" t="s">
        <v>8</v>
      </c>
      <c r="D2721" s="15" t="s">
        <v>8</v>
      </c>
      <c r="G2721" s="15" t="s">
        <v>8</v>
      </c>
      <c r="M2721" s="15" t="s">
        <v>8</v>
      </c>
      <c r="N2721" s="8" t="s">
        <v>3</v>
      </c>
      <c r="O2721" s="8" t="s">
        <v>6</v>
      </c>
    </row>
    <row r="2722" spans="3:27" x14ac:dyDescent="0.35">
      <c r="C2722" s="15" t="s">
        <v>8</v>
      </c>
      <c r="D2722" s="15" t="s">
        <v>8</v>
      </c>
      <c r="G2722" s="15" t="s">
        <v>8</v>
      </c>
      <c r="M2722" s="15" t="s">
        <v>8</v>
      </c>
      <c r="N2722" s="15" t="s">
        <v>8</v>
      </c>
      <c r="O2722" s="22" t="str">
        <f>HYPERLINK("http://yeinfo.com/family/I09005181.html", "SARAH MEADOWS &lt;2&gt; 1615 EN-1635 NY ID:09005181")</f>
        <v>SARAH MEADOWS &lt;2&gt; 1615 EN-1635 NY ID:09005181</v>
      </c>
      <c r="P2722" s="13"/>
      <c r="Q2722" s="13"/>
      <c r="R2722" s="13"/>
      <c r="S2722" s="13"/>
    </row>
    <row r="2723" spans="3:27" x14ac:dyDescent="0.35">
      <c r="C2723" s="15" t="s">
        <v>8</v>
      </c>
      <c r="D2723" s="15" t="s">
        <v>8</v>
      </c>
      <c r="G2723" s="15" t="s">
        <v>8</v>
      </c>
      <c r="M2723" s="8" t="s">
        <v>6</v>
      </c>
      <c r="N2723" s="15" t="s">
        <v>8</v>
      </c>
    </row>
    <row r="2724" spans="3:27" x14ac:dyDescent="0.35">
      <c r="C2724" s="15" t="s">
        <v>8</v>
      </c>
      <c r="D2724" s="15" t="s">
        <v>8</v>
      </c>
      <c r="G2724" s="15" t="s">
        <v>8</v>
      </c>
      <c r="M2724" s="16" t="str">
        <f>HYPERLINK("http://yeinfo.com/family/I09001295.html", "MARY SARAH SHUTE &lt;2&gt; 1667 NY-1731 NY ID:09001295")</f>
        <v>MARY SARAH SHUTE &lt;2&gt; 1667 NY-1731 NY ID:09001295</v>
      </c>
      <c r="N2724" s="11"/>
      <c r="O2724" s="11"/>
      <c r="P2724" s="11"/>
      <c r="Q2724" s="11"/>
    </row>
    <row r="2725" spans="3:27" x14ac:dyDescent="0.35">
      <c r="C2725" s="15" t="s">
        <v>8</v>
      </c>
      <c r="D2725" s="15" t="s">
        <v>8</v>
      </c>
      <c r="G2725" s="15" t="s">
        <v>8</v>
      </c>
      <c r="N2725" s="15" t="s">
        <v>8</v>
      </c>
    </row>
    <row r="2726" spans="3:27" x14ac:dyDescent="0.35">
      <c r="C2726" s="15" t="s">
        <v>8</v>
      </c>
      <c r="D2726" s="15" t="s">
        <v>8</v>
      </c>
      <c r="G2726" s="15" t="s">
        <v>8</v>
      </c>
      <c r="N2726" s="15" t="s">
        <v>8</v>
      </c>
      <c r="R2726" s="19" t="str">
        <f>HYPERLINK("http://yeinfo.com/family/I09041456.html", "RICHARD SANFORD &lt;2&gt; 1533 EN-1591 EN ID:09041456")</f>
        <v>RICHARD SANFORD &lt;2&gt; 1533 EN-1591 EN ID:09041456</v>
      </c>
      <c r="S2726" s="9"/>
      <c r="T2726" s="9"/>
      <c r="U2726" s="9"/>
      <c r="V2726" s="9"/>
    </row>
    <row r="2727" spans="3:27" x14ac:dyDescent="0.35">
      <c r="C2727" s="15" t="s">
        <v>8</v>
      </c>
      <c r="D2727" s="15" t="s">
        <v>8</v>
      </c>
      <c r="G2727" s="15" t="s">
        <v>8</v>
      </c>
      <c r="N2727" s="15" t="s">
        <v>8</v>
      </c>
      <c r="R2727" s="8" t="s">
        <v>3</v>
      </c>
    </row>
    <row r="2728" spans="3:27" x14ac:dyDescent="0.35">
      <c r="C2728" s="15" t="s">
        <v>8</v>
      </c>
      <c r="D2728" s="15" t="s">
        <v>8</v>
      </c>
      <c r="G2728" s="15" t="s">
        <v>8</v>
      </c>
      <c r="N2728" s="15" t="s">
        <v>8</v>
      </c>
      <c r="Q2728" s="19" t="str">
        <f>HYPERLINK("http://yeinfo.com/family/I09020728.html", "THOMAS SANFORD &lt;2&gt; 1558 EN-1597 EN ID:09020728")</f>
        <v>THOMAS SANFORD &lt;2&gt; 1558 EN-1597 EN ID:09020728</v>
      </c>
      <c r="R2728" s="9"/>
      <c r="S2728" s="9"/>
      <c r="T2728" s="9"/>
      <c r="U2728" s="9"/>
    </row>
    <row r="2729" spans="3:27" x14ac:dyDescent="0.35">
      <c r="C2729" s="15" t="s">
        <v>8</v>
      </c>
      <c r="D2729" s="15" t="s">
        <v>8</v>
      </c>
      <c r="G2729" s="15" t="s">
        <v>8</v>
      </c>
      <c r="N2729" s="15" t="s">
        <v>8</v>
      </c>
      <c r="Q2729" s="8" t="s">
        <v>3</v>
      </c>
      <c r="R2729" s="15" t="s">
        <v>8</v>
      </c>
    </row>
    <row r="2730" spans="3:27" x14ac:dyDescent="0.35">
      <c r="C2730" s="15" t="s">
        <v>8</v>
      </c>
      <c r="D2730" s="15" t="s">
        <v>8</v>
      </c>
      <c r="G2730" s="15" t="s">
        <v>8</v>
      </c>
      <c r="N2730" s="15" t="s">
        <v>8</v>
      </c>
      <c r="Q2730" s="15" t="s">
        <v>8</v>
      </c>
      <c r="R2730" s="15" t="s">
        <v>8</v>
      </c>
      <c r="W2730" s="19" t="str">
        <f>HYPERLINK("http://yeinfo.com/family/I09066157.html", "JOHN COGGESHALL &lt;2&gt; 1380 EN-1400 EN ID:09066157")</f>
        <v>JOHN COGGESHALL &lt;2&gt; 1380 EN-1400 EN ID:09066157</v>
      </c>
      <c r="X2730" s="9"/>
      <c r="Y2730" s="9"/>
      <c r="Z2730" s="9"/>
      <c r="AA2730" s="9"/>
    </row>
    <row r="2731" spans="3:27" x14ac:dyDescent="0.35">
      <c r="C2731" s="15" t="s">
        <v>8</v>
      </c>
      <c r="D2731" s="15" t="s">
        <v>8</v>
      </c>
      <c r="G2731" s="15" t="s">
        <v>8</v>
      </c>
      <c r="N2731" s="15" t="s">
        <v>8</v>
      </c>
      <c r="Q2731" s="15" t="s">
        <v>8</v>
      </c>
      <c r="R2731" s="15" t="s">
        <v>8</v>
      </c>
      <c r="W2731" s="8" t="s">
        <v>3</v>
      </c>
    </row>
    <row r="2732" spans="3:27" x14ac:dyDescent="0.35">
      <c r="C2732" s="15" t="s">
        <v>8</v>
      </c>
      <c r="D2732" s="15" t="s">
        <v>8</v>
      </c>
      <c r="G2732" s="15" t="s">
        <v>8</v>
      </c>
      <c r="N2732" s="15" t="s">
        <v>8</v>
      </c>
      <c r="Q2732" s="15" t="s">
        <v>8</v>
      </c>
      <c r="R2732" s="15" t="s">
        <v>8</v>
      </c>
      <c r="V2732" s="19" t="str">
        <f>HYPERLINK("http://yeinfo.com/family/I09065973.html", "JOHN COGGESHALL &lt;2&gt; 1400 EN-1430 EN ID:09065973")</f>
        <v>JOHN COGGESHALL &lt;2&gt; 1400 EN-1430 EN ID:09065973</v>
      </c>
      <c r="W2732" s="9"/>
      <c r="X2732" s="9"/>
      <c r="Y2732" s="9"/>
      <c r="Z2732" s="9"/>
    </row>
    <row r="2733" spans="3:27" x14ac:dyDescent="0.35">
      <c r="C2733" s="15" t="s">
        <v>8</v>
      </c>
      <c r="D2733" s="15" t="s">
        <v>8</v>
      </c>
      <c r="G2733" s="15" t="s">
        <v>8</v>
      </c>
      <c r="N2733" s="15" t="s">
        <v>8</v>
      </c>
      <c r="Q2733" s="15" t="s">
        <v>8</v>
      </c>
      <c r="R2733" s="15" t="s">
        <v>8</v>
      </c>
      <c r="V2733" s="8" t="s">
        <v>3</v>
      </c>
      <c r="W2733" s="8" t="s">
        <v>6</v>
      </c>
    </row>
    <row r="2734" spans="3:27" x14ac:dyDescent="0.35">
      <c r="C2734" s="15" t="s">
        <v>8</v>
      </c>
      <c r="D2734" s="15" t="s">
        <v>8</v>
      </c>
      <c r="G2734" s="15" t="s">
        <v>8</v>
      </c>
      <c r="N2734" s="15" t="s">
        <v>8</v>
      </c>
      <c r="Q2734" s="15" t="s">
        <v>8</v>
      </c>
      <c r="R2734" s="15" t="s">
        <v>8</v>
      </c>
      <c r="V2734" s="15" t="s">
        <v>8</v>
      </c>
      <c r="W2734" s="20" t="str">
        <f>HYPERLINK("http://yeinfo.com/family/I09066158.html", "Mrs. {_?_} COGGESHALL &lt;2&gt; 1380 EN-1400 EN ID:09066158")</f>
        <v>Mrs. {_?_} COGGESHALL &lt;2&gt; 1380 EN-1400 EN ID:09066158</v>
      </c>
      <c r="X2734" s="17"/>
      <c r="Y2734" s="17"/>
      <c r="Z2734" s="17"/>
      <c r="AA2734" s="17"/>
    </row>
    <row r="2735" spans="3:27" x14ac:dyDescent="0.35">
      <c r="C2735" s="15" t="s">
        <v>8</v>
      </c>
      <c r="D2735" s="15" t="s">
        <v>8</v>
      </c>
      <c r="G2735" s="15" t="s">
        <v>8</v>
      </c>
      <c r="N2735" s="15" t="s">
        <v>8</v>
      </c>
      <c r="Q2735" s="15" t="s">
        <v>8</v>
      </c>
      <c r="R2735" s="15" t="s">
        <v>8</v>
      </c>
      <c r="V2735" s="15" t="s">
        <v>8</v>
      </c>
    </row>
    <row r="2736" spans="3:27" x14ac:dyDescent="0.35">
      <c r="C2736" s="15" t="s">
        <v>8</v>
      </c>
      <c r="D2736" s="15" t="s">
        <v>8</v>
      </c>
      <c r="G2736" s="15" t="s">
        <v>8</v>
      </c>
      <c r="N2736" s="15" t="s">
        <v>8</v>
      </c>
      <c r="Q2736" s="15" t="s">
        <v>8</v>
      </c>
      <c r="R2736" s="15" t="s">
        <v>8</v>
      </c>
      <c r="U2736" s="19" t="str">
        <f>HYPERLINK("http://yeinfo.com/family/I09065815.html", "JOHN COGGESHALL &lt;2&gt; 1430 EN-1488  ID:09065815")</f>
        <v>JOHN COGGESHALL &lt;2&gt; 1430 EN-1488  ID:09065815</v>
      </c>
      <c r="V2736" s="9"/>
      <c r="W2736" s="9"/>
      <c r="X2736" s="9"/>
      <c r="Y2736" s="9"/>
    </row>
    <row r="2737" spans="3:26" x14ac:dyDescent="0.35">
      <c r="C2737" s="15" t="s">
        <v>8</v>
      </c>
      <c r="D2737" s="15" t="s">
        <v>8</v>
      </c>
      <c r="G2737" s="15" t="s">
        <v>8</v>
      </c>
      <c r="N2737" s="15" t="s">
        <v>8</v>
      </c>
      <c r="Q2737" s="15" t="s">
        <v>8</v>
      </c>
      <c r="R2737" s="15" t="s">
        <v>8</v>
      </c>
      <c r="U2737" s="8" t="s">
        <v>3</v>
      </c>
      <c r="V2737" s="8" t="s">
        <v>6</v>
      </c>
    </row>
    <row r="2738" spans="3:26" x14ac:dyDescent="0.35">
      <c r="C2738" s="15" t="s">
        <v>8</v>
      </c>
      <c r="D2738" s="15" t="s">
        <v>8</v>
      </c>
      <c r="G2738" s="15" t="s">
        <v>8</v>
      </c>
      <c r="N2738" s="15" t="s">
        <v>8</v>
      </c>
      <c r="Q2738" s="15" t="s">
        <v>8</v>
      </c>
      <c r="R2738" s="15" t="s">
        <v>8</v>
      </c>
      <c r="U2738" s="15" t="s">
        <v>8</v>
      </c>
      <c r="V2738" s="20" t="str">
        <f>HYPERLINK("http://yeinfo.com/family/I09065974.html", "Mrs. KATHERINE COGGESHALL &lt;2&gt; 1400 EN-1460 EN ID:09065974")</f>
        <v>Mrs. KATHERINE COGGESHALL &lt;2&gt; 1400 EN-1460 EN ID:09065974</v>
      </c>
      <c r="W2738" s="17"/>
      <c r="X2738" s="17"/>
      <c r="Y2738" s="17"/>
      <c r="Z2738" s="17"/>
    </row>
    <row r="2739" spans="3:26" x14ac:dyDescent="0.35">
      <c r="C2739" s="15" t="s">
        <v>8</v>
      </c>
      <c r="D2739" s="15" t="s">
        <v>8</v>
      </c>
      <c r="G2739" s="15" t="s">
        <v>8</v>
      </c>
      <c r="N2739" s="15" t="s">
        <v>8</v>
      </c>
      <c r="Q2739" s="15" t="s">
        <v>8</v>
      </c>
      <c r="R2739" s="15" t="s">
        <v>8</v>
      </c>
      <c r="U2739" s="15" t="s">
        <v>8</v>
      </c>
    </row>
    <row r="2740" spans="3:26" x14ac:dyDescent="0.35">
      <c r="C2740" s="15" t="s">
        <v>8</v>
      </c>
      <c r="D2740" s="15" t="s">
        <v>8</v>
      </c>
      <c r="G2740" s="15" t="s">
        <v>8</v>
      </c>
      <c r="N2740" s="15" t="s">
        <v>8</v>
      </c>
      <c r="Q2740" s="15" t="s">
        <v>8</v>
      </c>
      <c r="R2740" s="15" t="s">
        <v>8</v>
      </c>
      <c r="T2740" s="19" t="str">
        <f>HYPERLINK("http://yeinfo.com/family/I09065686.html", "JOHN COGGESHALL &lt;2&gt; 1470 EN-1502 EN ID:09065686")</f>
        <v>JOHN COGGESHALL &lt;2&gt; 1470 EN-1502 EN ID:09065686</v>
      </c>
      <c r="U2740" s="9"/>
      <c r="V2740" s="9"/>
      <c r="W2740" s="9"/>
      <c r="X2740" s="9"/>
    </row>
    <row r="2741" spans="3:26" x14ac:dyDescent="0.35">
      <c r="C2741" s="15" t="s">
        <v>8</v>
      </c>
      <c r="D2741" s="15" t="s">
        <v>8</v>
      </c>
      <c r="G2741" s="15" t="s">
        <v>8</v>
      </c>
      <c r="N2741" s="15" t="s">
        <v>8</v>
      </c>
      <c r="Q2741" s="15" t="s">
        <v>8</v>
      </c>
      <c r="R2741" s="15" t="s">
        <v>8</v>
      </c>
      <c r="T2741" s="8" t="s">
        <v>3</v>
      </c>
      <c r="U2741" s="8" t="s">
        <v>6</v>
      </c>
    </row>
    <row r="2742" spans="3:26" x14ac:dyDescent="0.35">
      <c r="C2742" s="15" t="s">
        <v>8</v>
      </c>
      <c r="D2742" s="15" t="s">
        <v>8</v>
      </c>
      <c r="G2742" s="15" t="s">
        <v>8</v>
      </c>
      <c r="N2742" s="15" t="s">
        <v>8</v>
      </c>
      <c r="Q2742" s="15" t="s">
        <v>8</v>
      </c>
      <c r="R2742" s="15" t="s">
        <v>8</v>
      </c>
      <c r="T2742" s="15" t="s">
        <v>8</v>
      </c>
      <c r="U2742" s="20" t="str">
        <f>HYPERLINK("http://yeinfo.com/family/I09065816.html", "Mrs. ALICE COGGESHALL &lt;2&gt; 1435 EN-1487 EN ID:09065816")</f>
        <v>Mrs. ALICE COGGESHALL &lt;2&gt; 1435 EN-1487 EN ID:09065816</v>
      </c>
      <c r="V2742" s="17"/>
      <c r="W2742" s="17"/>
      <c r="X2742" s="17"/>
      <c r="Y2742" s="17"/>
    </row>
    <row r="2743" spans="3:26" x14ac:dyDescent="0.35">
      <c r="C2743" s="15" t="s">
        <v>8</v>
      </c>
      <c r="D2743" s="15" t="s">
        <v>8</v>
      </c>
      <c r="G2743" s="15" t="s">
        <v>8</v>
      </c>
      <c r="N2743" s="15" t="s">
        <v>8</v>
      </c>
      <c r="Q2743" s="15" t="s">
        <v>8</v>
      </c>
      <c r="R2743" s="15" t="s">
        <v>8</v>
      </c>
      <c r="T2743" s="15" t="s">
        <v>8</v>
      </c>
    </row>
    <row r="2744" spans="3:26" x14ac:dyDescent="0.35">
      <c r="C2744" s="15" t="s">
        <v>8</v>
      </c>
      <c r="D2744" s="15" t="s">
        <v>8</v>
      </c>
      <c r="G2744" s="15" t="s">
        <v>8</v>
      </c>
      <c r="N2744" s="15" t="s">
        <v>8</v>
      </c>
      <c r="Q2744" s="15" t="s">
        <v>8</v>
      </c>
      <c r="R2744" s="15" t="s">
        <v>8</v>
      </c>
      <c r="S2744" s="19" t="str">
        <f>HYPERLINK("http://yeinfo.com/family/I09065547.html", "JOHN COGGESHALL &lt;2&gt; 1501 EN-1541 EN ID:09065547")</f>
        <v>JOHN COGGESHALL &lt;2&gt; 1501 EN-1541 EN ID:09065547</v>
      </c>
      <c r="T2744" s="9"/>
      <c r="U2744" s="9"/>
      <c r="V2744" s="9"/>
      <c r="W2744" s="9"/>
    </row>
    <row r="2745" spans="3:26" x14ac:dyDescent="0.35">
      <c r="C2745" s="15" t="s">
        <v>8</v>
      </c>
      <c r="D2745" s="15" t="s">
        <v>8</v>
      </c>
      <c r="G2745" s="15" t="s">
        <v>8</v>
      </c>
      <c r="N2745" s="15" t="s">
        <v>8</v>
      </c>
      <c r="Q2745" s="15" t="s">
        <v>8</v>
      </c>
      <c r="R2745" s="15" t="s">
        <v>8</v>
      </c>
      <c r="S2745" s="8" t="s">
        <v>3</v>
      </c>
      <c r="T2745" s="8" t="s">
        <v>6</v>
      </c>
    </row>
    <row r="2746" spans="3:26" x14ac:dyDescent="0.35">
      <c r="C2746" s="15" t="s">
        <v>8</v>
      </c>
      <c r="D2746" s="15" t="s">
        <v>8</v>
      </c>
      <c r="G2746" s="15" t="s">
        <v>8</v>
      </c>
      <c r="N2746" s="15" t="s">
        <v>8</v>
      </c>
      <c r="Q2746" s="15" t="s">
        <v>8</v>
      </c>
      <c r="R2746" s="15" t="s">
        <v>8</v>
      </c>
      <c r="S2746" s="15" t="s">
        <v>8</v>
      </c>
      <c r="T2746" s="20" t="str">
        <f>HYPERLINK("http://yeinfo.com/family/I09065687.html", "ALICE PARKER &lt;2&gt; 1478 EN-1501 EN ID:09065687")</f>
        <v>ALICE PARKER &lt;2&gt; 1478 EN-1501 EN ID:09065687</v>
      </c>
      <c r="U2746" s="17"/>
      <c r="V2746" s="17"/>
      <c r="W2746" s="17"/>
      <c r="X2746" s="17"/>
    </row>
    <row r="2747" spans="3:26" x14ac:dyDescent="0.35">
      <c r="C2747" s="15" t="s">
        <v>8</v>
      </c>
      <c r="D2747" s="15" t="s">
        <v>8</v>
      </c>
      <c r="G2747" s="15" t="s">
        <v>8</v>
      </c>
      <c r="N2747" s="15" t="s">
        <v>8</v>
      </c>
      <c r="Q2747" s="15" t="s">
        <v>8</v>
      </c>
      <c r="R2747" s="8" t="s">
        <v>6</v>
      </c>
      <c r="S2747" s="15" t="s">
        <v>8</v>
      </c>
    </row>
    <row r="2748" spans="3:26" x14ac:dyDescent="0.35">
      <c r="C2748" s="15" t="s">
        <v>8</v>
      </c>
      <c r="D2748" s="15" t="s">
        <v>8</v>
      </c>
      <c r="G2748" s="15" t="s">
        <v>8</v>
      </c>
      <c r="N2748" s="15" t="s">
        <v>8</v>
      </c>
      <c r="Q2748" s="15" t="s">
        <v>8</v>
      </c>
      <c r="R2748" s="20" t="str">
        <f>HYPERLINK("http://yeinfo.com/family/I09041457.html", "ELIZABETH COGGESHALL &lt;2&gt; 1537 EN-1600 EN ID:09041457")</f>
        <v>ELIZABETH COGGESHALL &lt;2&gt; 1537 EN-1600 EN ID:09041457</v>
      </c>
      <c r="S2748" s="17"/>
      <c r="T2748" s="17"/>
      <c r="U2748" s="17"/>
      <c r="V2748" s="17"/>
    </row>
    <row r="2749" spans="3:26" x14ac:dyDescent="0.35">
      <c r="C2749" s="15" t="s">
        <v>8</v>
      </c>
      <c r="D2749" s="15" t="s">
        <v>8</v>
      </c>
      <c r="G2749" s="15" t="s">
        <v>8</v>
      </c>
      <c r="N2749" s="15" t="s">
        <v>8</v>
      </c>
      <c r="Q2749" s="15" t="s">
        <v>8</v>
      </c>
      <c r="S2749" s="8" t="s">
        <v>6</v>
      </c>
    </row>
    <row r="2750" spans="3:26" x14ac:dyDescent="0.35">
      <c r="C2750" s="15" t="s">
        <v>8</v>
      </c>
      <c r="D2750" s="15" t="s">
        <v>8</v>
      </c>
      <c r="G2750" s="15" t="s">
        <v>8</v>
      </c>
      <c r="N2750" s="15" t="s">
        <v>8</v>
      </c>
      <c r="Q2750" s="15" t="s">
        <v>8</v>
      </c>
      <c r="S2750" s="20" t="str">
        <f>HYPERLINK("http://yeinfo.com/family/I09065548.html", "Mrs. ELIZABETH COGGESHALL &lt;2&gt; 1512 EN-1537 EN ID:09065548")</f>
        <v>Mrs. ELIZABETH COGGESHALL &lt;2&gt; 1512 EN-1537 EN ID:09065548</v>
      </c>
      <c r="T2750" s="17"/>
      <c r="U2750" s="17"/>
      <c r="V2750" s="17"/>
      <c r="W2750" s="17"/>
    </row>
    <row r="2751" spans="3:26" x14ac:dyDescent="0.35">
      <c r="C2751" s="15" t="s">
        <v>8</v>
      </c>
      <c r="D2751" s="15" t="s">
        <v>8</v>
      </c>
      <c r="G2751" s="15" t="s">
        <v>8</v>
      </c>
      <c r="N2751" s="15" t="s">
        <v>8</v>
      </c>
      <c r="Q2751" s="15" t="s">
        <v>8</v>
      </c>
    </row>
    <row r="2752" spans="3:26" x14ac:dyDescent="0.35">
      <c r="C2752" s="15" t="s">
        <v>8</v>
      </c>
      <c r="D2752" s="15" t="s">
        <v>8</v>
      </c>
      <c r="G2752" s="15" t="s">
        <v>8</v>
      </c>
      <c r="N2752" s="15" t="s">
        <v>8</v>
      </c>
      <c r="P2752" s="19" t="str">
        <f>HYPERLINK("http://yeinfo.com/family/I09010364.html", "EZEKIEL SANFORD &lt;2&gt; 1586 EN-1607 EN ID:09010364")</f>
        <v>EZEKIEL SANFORD &lt;2&gt; 1586 EN-1607 EN ID:09010364</v>
      </c>
      <c r="Q2752" s="9"/>
      <c r="R2752" s="9"/>
      <c r="S2752" s="9"/>
      <c r="T2752" s="9"/>
    </row>
    <row r="2753" spans="3:22" x14ac:dyDescent="0.35">
      <c r="C2753" s="15" t="s">
        <v>8</v>
      </c>
      <c r="D2753" s="15" t="s">
        <v>8</v>
      </c>
      <c r="G2753" s="15" t="s">
        <v>8</v>
      </c>
      <c r="N2753" s="15" t="s">
        <v>8</v>
      </c>
      <c r="P2753" s="8" t="s">
        <v>3</v>
      </c>
      <c r="Q2753" s="15" t="s">
        <v>8</v>
      </c>
    </row>
    <row r="2754" spans="3:22" x14ac:dyDescent="0.35">
      <c r="C2754" s="15" t="s">
        <v>8</v>
      </c>
      <c r="D2754" s="15" t="s">
        <v>8</v>
      </c>
      <c r="G2754" s="15" t="s">
        <v>8</v>
      </c>
      <c r="N2754" s="15" t="s">
        <v>8</v>
      </c>
      <c r="P2754" s="15" t="s">
        <v>8</v>
      </c>
      <c r="Q2754" s="15" t="s">
        <v>8</v>
      </c>
      <c r="R2754" s="19" t="str">
        <f>HYPERLINK("http://yeinfo.com/family/I09041458.html", "JOHN LEWES &lt;2&gt; 1537 EN-1584 EN ID:09041458")</f>
        <v>JOHN LEWES &lt;2&gt; 1537 EN-1584 EN ID:09041458</v>
      </c>
      <c r="S2754" s="9"/>
      <c r="T2754" s="9"/>
      <c r="U2754" s="9"/>
      <c r="V2754" s="9"/>
    </row>
    <row r="2755" spans="3:22" x14ac:dyDescent="0.35">
      <c r="C2755" s="15" t="s">
        <v>8</v>
      </c>
      <c r="D2755" s="15" t="s">
        <v>8</v>
      </c>
      <c r="G2755" s="15" t="s">
        <v>8</v>
      </c>
      <c r="N2755" s="15" t="s">
        <v>8</v>
      </c>
      <c r="P2755" s="15" t="s">
        <v>8</v>
      </c>
      <c r="Q2755" s="8" t="s">
        <v>6</v>
      </c>
      <c r="R2755" s="8" t="s">
        <v>3</v>
      </c>
    </row>
    <row r="2756" spans="3:22" x14ac:dyDescent="0.35">
      <c r="C2756" s="15" t="s">
        <v>8</v>
      </c>
      <c r="D2756" s="15" t="s">
        <v>8</v>
      </c>
      <c r="G2756" s="15" t="s">
        <v>8</v>
      </c>
      <c r="N2756" s="15" t="s">
        <v>8</v>
      </c>
      <c r="P2756" s="15" t="s">
        <v>8</v>
      </c>
      <c r="Q2756" s="20" t="str">
        <f>HYPERLINK("http://yeinfo.com/family/I09020729.html", "MARY MELLET LEWES &lt;2&gt; 1563 EN-1620 EN ID:09020729")</f>
        <v>MARY MELLET LEWES &lt;2&gt; 1563 EN-1620 EN ID:09020729</v>
      </c>
      <c r="R2756" s="17"/>
      <c r="S2756" s="17"/>
      <c r="T2756" s="17"/>
      <c r="U2756" s="17"/>
    </row>
    <row r="2757" spans="3:22" x14ac:dyDescent="0.35">
      <c r="C2757" s="15" t="s">
        <v>8</v>
      </c>
      <c r="D2757" s="15" t="s">
        <v>8</v>
      </c>
      <c r="G2757" s="15" t="s">
        <v>8</v>
      </c>
      <c r="N2757" s="15" t="s">
        <v>8</v>
      </c>
      <c r="P2757" s="15" t="s">
        <v>8</v>
      </c>
      <c r="R2757" s="8" t="s">
        <v>6</v>
      </c>
    </row>
    <row r="2758" spans="3:22" x14ac:dyDescent="0.35">
      <c r="C2758" s="15" t="s">
        <v>8</v>
      </c>
      <c r="D2758" s="15" t="s">
        <v>8</v>
      </c>
      <c r="G2758" s="15" t="s">
        <v>8</v>
      </c>
      <c r="N2758" s="15" t="s">
        <v>8</v>
      </c>
      <c r="P2758" s="15" t="s">
        <v>8</v>
      </c>
      <c r="R2758" s="20" t="str">
        <f>HYPERLINK("http://yeinfo.com/family/I09041459.html", "ALICE CHERVELL &lt;2&gt; 1539 EN-1600 EN ID:09041459")</f>
        <v>ALICE CHERVELL &lt;2&gt; 1539 EN-1600 EN ID:09041459</v>
      </c>
      <c r="S2758" s="17"/>
      <c r="T2758" s="17"/>
      <c r="U2758" s="17"/>
      <c r="V2758" s="17"/>
    </row>
    <row r="2759" spans="3:22" x14ac:dyDescent="0.35">
      <c r="C2759" s="15" t="s">
        <v>8</v>
      </c>
      <c r="D2759" s="15" t="s">
        <v>8</v>
      </c>
      <c r="G2759" s="15" t="s">
        <v>8</v>
      </c>
      <c r="N2759" s="15" t="s">
        <v>8</v>
      </c>
      <c r="P2759" s="15" t="s">
        <v>8</v>
      </c>
    </row>
    <row r="2760" spans="3:22" x14ac:dyDescent="0.35">
      <c r="C2760" s="15" t="s">
        <v>8</v>
      </c>
      <c r="D2760" s="15" t="s">
        <v>8</v>
      </c>
      <c r="G2760" s="15" t="s">
        <v>8</v>
      </c>
      <c r="N2760" s="15" t="s">
        <v>8</v>
      </c>
      <c r="O2760" s="21" t="str">
        <f>HYPERLINK("http://yeinfo.com/family/I09005182.html", "THOMAS SANFORD &lt;2&gt; 1607 EN-1681 CT ID:09005182")</f>
        <v>THOMAS SANFORD &lt;2&gt; 1607 EN-1681 CT ID:09005182</v>
      </c>
      <c r="P2760" s="6"/>
      <c r="Q2760" s="6"/>
      <c r="R2760" s="6"/>
      <c r="S2760" s="6"/>
    </row>
    <row r="2761" spans="3:22" x14ac:dyDescent="0.35">
      <c r="C2761" s="15" t="s">
        <v>8</v>
      </c>
      <c r="D2761" s="15" t="s">
        <v>8</v>
      </c>
      <c r="G2761" s="15" t="s">
        <v>8</v>
      </c>
      <c r="N2761" s="15" t="s">
        <v>8</v>
      </c>
      <c r="O2761" s="8" t="s">
        <v>3</v>
      </c>
      <c r="P2761" s="15" t="s">
        <v>8</v>
      </c>
    </row>
    <row r="2762" spans="3:22" x14ac:dyDescent="0.35">
      <c r="C2762" s="15" t="s">
        <v>8</v>
      </c>
      <c r="D2762" s="15" t="s">
        <v>8</v>
      </c>
      <c r="G2762" s="15" t="s">
        <v>8</v>
      </c>
      <c r="N2762" s="15" t="s">
        <v>8</v>
      </c>
      <c r="O2762" s="15" t="s">
        <v>8</v>
      </c>
      <c r="P2762" s="15" t="s">
        <v>8</v>
      </c>
      <c r="R2762" s="19" t="str">
        <f>HYPERLINK("http://yeinfo.com/family/I09041460.html", "JOHN WARNER &lt;4&gt; 1545 EN-1584 EN ID:09041460")</f>
        <v>JOHN WARNER &lt;4&gt; 1545 EN-1584 EN ID:09041460</v>
      </c>
      <c r="S2762" s="9"/>
      <c r="T2762" s="9"/>
      <c r="U2762" s="9"/>
      <c r="V2762" s="9"/>
    </row>
    <row r="2763" spans="3:22" x14ac:dyDescent="0.35">
      <c r="C2763" s="15" t="s">
        <v>8</v>
      </c>
      <c r="D2763" s="15" t="s">
        <v>8</v>
      </c>
      <c r="G2763" s="15" t="s">
        <v>8</v>
      </c>
      <c r="N2763" s="15" t="s">
        <v>8</v>
      </c>
      <c r="O2763" s="15" t="s">
        <v>8</v>
      </c>
      <c r="P2763" s="15" t="s">
        <v>8</v>
      </c>
      <c r="R2763" s="8" t="s">
        <v>3</v>
      </c>
    </row>
    <row r="2764" spans="3:22" x14ac:dyDescent="0.35">
      <c r="C2764" s="15" t="s">
        <v>8</v>
      </c>
      <c r="D2764" s="15" t="s">
        <v>8</v>
      </c>
      <c r="G2764" s="15" t="s">
        <v>8</v>
      </c>
      <c r="N2764" s="15" t="s">
        <v>8</v>
      </c>
      <c r="O2764" s="15" t="s">
        <v>8</v>
      </c>
      <c r="P2764" s="15" t="s">
        <v>8</v>
      </c>
      <c r="Q2764" s="19" t="str">
        <f>HYPERLINK("http://yeinfo.com/family/I09020730.html", "JOHN WARNER &lt;4&gt; 1570 EN-1614 EN ID:09020730")</f>
        <v>JOHN WARNER &lt;4&gt; 1570 EN-1614 EN ID:09020730</v>
      </c>
      <c r="R2764" s="9"/>
      <c r="S2764" s="9"/>
      <c r="T2764" s="9"/>
      <c r="U2764" s="9"/>
    </row>
    <row r="2765" spans="3:22" x14ac:dyDescent="0.35">
      <c r="C2765" s="15" t="s">
        <v>8</v>
      </c>
      <c r="D2765" s="15" t="s">
        <v>8</v>
      </c>
      <c r="G2765" s="15" t="s">
        <v>8</v>
      </c>
      <c r="N2765" s="15" t="s">
        <v>8</v>
      </c>
      <c r="O2765" s="15" t="s">
        <v>8</v>
      </c>
      <c r="P2765" s="15" t="s">
        <v>8</v>
      </c>
      <c r="Q2765" s="8" t="s">
        <v>3</v>
      </c>
      <c r="R2765" s="8" t="s">
        <v>6</v>
      </c>
    </row>
    <row r="2766" spans="3:22" x14ac:dyDescent="0.35">
      <c r="C2766" s="15" t="s">
        <v>8</v>
      </c>
      <c r="D2766" s="15" t="s">
        <v>8</v>
      </c>
      <c r="G2766" s="15" t="s">
        <v>8</v>
      </c>
      <c r="N2766" s="15" t="s">
        <v>8</v>
      </c>
      <c r="O2766" s="15" t="s">
        <v>8</v>
      </c>
      <c r="P2766" s="15" t="s">
        <v>8</v>
      </c>
      <c r="Q2766" s="15" t="s">
        <v>8</v>
      </c>
      <c r="R2766" s="20" t="str">
        <f>HYPERLINK("http://yeinfo.com/family/I09041461.html", "Mrs. MARGARET WARNER &lt;4&gt; 1545 EN-1570  ID:09041461")</f>
        <v>Mrs. MARGARET WARNER &lt;4&gt; 1545 EN-1570  ID:09041461</v>
      </c>
      <c r="S2766" s="17"/>
      <c r="T2766" s="17"/>
      <c r="U2766" s="17"/>
      <c r="V2766" s="17"/>
    </row>
    <row r="2767" spans="3:22" x14ac:dyDescent="0.35">
      <c r="C2767" s="15" t="s">
        <v>8</v>
      </c>
      <c r="D2767" s="15" t="s">
        <v>8</v>
      </c>
      <c r="G2767" s="15" t="s">
        <v>8</v>
      </c>
      <c r="N2767" s="15" t="s">
        <v>8</v>
      </c>
      <c r="O2767" s="15" t="s">
        <v>8</v>
      </c>
      <c r="P2767" s="8" t="s">
        <v>6</v>
      </c>
      <c r="Q2767" s="15" t="s">
        <v>8</v>
      </c>
    </row>
    <row r="2768" spans="3:22" x14ac:dyDescent="0.35">
      <c r="C2768" s="15" t="s">
        <v>8</v>
      </c>
      <c r="D2768" s="15" t="s">
        <v>8</v>
      </c>
      <c r="G2768" s="15" t="s">
        <v>8</v>
      </c>
      <c r="N2768" s="15" t="s">
        <v>8</v>
      </c>
      <c r="O2768" s="15" t="s">
        <v>8</v>
      </c>
      <c r="P2768" s="20" t="str">
        <f>HYPERLINK("http://yeinfo.com/family/I09010365.html", "ROSE WARNER &lt;2&gt; 1588 EN-1625 EN ID:09010365")</f>
        <v>ROSE WARNER &lt;2&gt; 1588 EN-1625 EN ID:09010365</v>
      </c>
      <c r="Q2768" s="17"/>
      <c r="R2768" s="17"/>
      <c r="S2768" s="17"/>
      <c r="T2768" s="17"/>
    </row>
    <row r="2769" spans="3:22" x14ac:dyDescent="0.35">
      <c r="C2769" s="15" t="s">
        <v>8</v>
      </c>
      <c r="D2769" s="15" t="s">
        <v>8</v>
      </c>
      <c r="G2769" s="15" t="s">
        <v>8</v>
      </c>
      <c r="N2769" s="15" t="s">
        <v>8</v>
      </c>
      <c r="O2769" s="15" t="s">
        <v>8</v>
      </c>
      <c r="Q2769" s="15" t="s">
        <v>8</v>
      </c>
    </row>
    <row r="2770" spans="3:22" x14ac:dyDescent="0.35">
      <c r="C2770" s="15" t="s">
        <v>8</v>
      </c>
      <c r="D2770" s="15" t="s">
        <v>8</v>
      </c>
      <c r="G2770" s="15" t="s">
        <v>8</v>
      </c>
      <c r="N2770" s="15" t="s">
        <v>8</v>
      </c>
      <c r="O2770" s="15" t="s">
        <v>8</v>
      </c>
      <c r="Q2770" s="15" t="s">
        <v>8</v>
      </c>
      <c r="R2770" s="19" t="str">
        <f>HYPERLINK("http://yeinfo.com/family/I09041462.html", "JOHN PURCHAS &lt;4&gt; 1550 EN-1585 EN ID:09041462")</f>
        <v>JOHN PURCHAS &lt;4&gt; 1550 EN-1585 EN ID:09041462</v>
      </c>
      <c r="S2770" s="9"/>
      <c r="T2770" s="9"/>
      <c r="U2770" s="9"/>
      <c r="V2770" s="9"/>
    </row>
    <row r="2771" spans="3:22" x14ac:dyDescent="0.35">
      <c r="C2771" s="15" t="s">
        <v>8</v>
      </c>
      <c r="D2771" s="15" t="s">
        <v>8</v>
      </c>
      <c r="G2771" s="15" t="s">
        <v>8</v>
      </c>
      <c r="N2771" s="15" t="s">
        <v>8</v>
      </c>
      <c r="O2771" s="15" t="s">
        <v>8</v>
      </c>
      <c r="Q2771" s="8" t="s">
        <v>6</v>
      </c>
      <c r="R2771" s="8" t="s">
        <v>3</v>
      </c>
    </row>
    <row r="2772" spans="3:22" x14ac:dyDescent="0.35">
      <c r="C2772" s="15" t="s">
        <v>8</v>
      </c>
      <c r="D2772" s="15" t="s">
        <v>8</v>
      </c>
      <c r="G2772" s="15" t="s">
        <v>8</v>
      </c>
      <c r="N2772" s="15" t="s">
        <v>8</v>
      </c>
      <c r="O2772" s="15" t="s">
        <v>8</v>
      </c>
      <c r="Q2772" s="20" t="str">
        <f>HYPERLINK("http://yeinfo.com/family/I09020731.html", "MARY PURCHAS &lt;4&gt; 1570 EN-1627 EN ID:09020731")</f>
        <v>MARY PURCHAS &lt;4&gt; 1570 EN-1627 EN ID:09020731</v>
      </c>
      <c r="R2772" s="17"/>
      <c r="S2772" s="17"/>
      <c r="T2772" s="17"/>
      <c r="U2772" s="17"/>
    </row>
    <row r="2773" spans="3:22" x14ac:dyDescent="0.35">
      <c r="C2773" s="15" t="s">
        <v>8</v>
      </c>
      <c r="D2773" s="15" t="s">
        <v>8</v>
      </c>
      <c r="G2773" s="15" t="s">
        <v>8</v>
      </c>
      <c r="N2773" s="15" t="s">
        <v>8</v>
      </c>
      <c r="O2773" s="15" t="s">
        <v>8</v>
      </c>
      <c r="R2773" s="8" t="s">
        <v>6</v>
      </c>
    </row>
    <row r="2774" spans="3:22" x14ac:dyDescent="0.35">
      <c r="C2774" s="15" t="s">
        <v>8</v>
      </c>
      <c r="D2774" s="15" t="s">
        <v>8</v>
      </c>
      <c r="G2774" s="15" t="s">
        <v>8</v>
      </c>
      <c r="N2774" s="15" t="s">
        <v>8</v>
      </c>
      <c r="O2774" s="15" t="s">
        <v>8</v>
      </c>
      <c r="R2774" s="20" t="str">
        <f>HYPERLINK("http://yeinfo.com/family/I09041463.html", "MARGARET KREABLES &lt;4&gt; 1550 EN-1570  ID:09041463")</f>
        <v>MARGARET KREABLES &lt;4&gt; 1550 EN-1570  ID:09041463</v>
      </c>
      <c r="S2774" s="17"/>
      <c r="T2774" s="17"/>
      <c r="U2774" s="17"/>
      <c r="V2774" s="17"/>
    </row>
    <row r="2775" spans="3:22" x14ac:dyDescent="0.35">
      <c r="C2775" s="15" t="s">
        <v>8</v>
      </c>
      <c r="D2775" s="15" t="s">
        <v>8</v>
      </c>
      <c r="G2775" s="15" t="s">
        <v>8</v>
      </c>
      <c r="N2775" s="8" t="s">
        <v>6</v>
      </c>
      <c r="O2775" s="15" t="s">
        <v>8</v>
      </c>
    </row>
    <row r="2776" spans="3:22" x14ac:dyDescent="0.35">
      <c r="C2776" s="15" t="s">
        <v>8</v>
      </c>
      <c r="D2776" s="15" t="s">
        <v>8</v>
      </c>
      <c r="G2776" s="15" t="s">
        <v>8</v>
      </c>
      <c r="N2776" s="16" t="str">
        <f>HYPERLINK("http://yeinfo.com/family/I09002591.html", "SARAH SANFORD &lt;2&gt; 1639 MA-1683 NY ID:09002591")</f>
        <v>SARAH SANFORD &lt;2&gt; 1639 MA-1683 NY ID:09002591</v>
      </c>
      <c r="O2776" s="11"/>
      <c r="P2776" s="11"/>
      <c r="Q2776" s="11"/>
      <c r="R2776" s="11"/>
    </row>
    <row r="2777" spans="3:22" x14ac:dyDescent="0.35">
      <c r="C2777" s="15" t="s">
        <v>8</v>
      </c>
      <c r="D2777" s="15" t="s">
        <v>8</v>
      </c>
      <c r="G2777" s="15" t="s">
        <v>8</v>
      </c>
      <c r="O2777" s="15" t="s">
        <v>8</v>
      </c>
    </row>
    <row r="2778" spans="3:22" x14ac:dyDescent="0.35">
      <c r="C2778" s="15" t="s">
        <v>8</v>
      </c>
      <c r="D2778" s="15" t="s">
        <v>8</v>
      </c>
      <c r="G2778" s="15" t="s">
        <v>8</v>
      </c>
      <c r="O2778" s="15" t="s">
        <v>8</v>
      </c>
      <c r="Q2778" s="19" t="str">
        <f>HYPERLINK("http://yeinfo.com/family/I09020732.html", "HENRY MEADOWS &lt;2&gt; 1555 -1585  ID:09020732")</f>
        <v>HENRY MEADOWS &lt;2&gt; 1555 -1585  ID:09020732</v>
      </c>
      <c r="R2778" s="9"/>
      <c r="S2778" s="9"/>
      <c r="T2778" s="9"/>
      <c r="U2778" s="9"/>
    </row>
    <row r="2779" spans="3:22" x14ac:dyDescent="0.35">
      <c r="C2779" s="15" t="s">
        <v>8</v>
      </c>
      <c r="D2779" s="15" t="s">
        <v>8</v>
      </c>
      <c r="G2779" s="15" t="s">
        <v>8</v>
      </c>
      <c r="O2779" s="15" t="s">
        <v>8</v>
      </c>
      <c r="Q2779" s="8" t="s">
        <v>3</v>
      </c>
    </row>
    <row r="2780" spans="3:22" x14ac:dyDescent="0.35">
      <c r="C2780" s="15" t="s">
        <v>8</v>
      </c>
      <c r="D2780" s="15" t="s">
        <v>8</v>
      </c>
      <c r="G2780" s="15" t="s">
        <v>8</v>
      </c>
      <c r="O2780" s="15" t="s">
        <v>8</v>
      </c>
      <c r="P2780" s="19" t="str">
        <f>HYPERLINK("http://yeinfo.com/family/I09010366.html", "HENRY MEADOWS II &lt;2&gt; 1585 EN-1615 EN ID:09010366")</f>
        <v>HENRY MEADOWS II &lt;2&gt; 1585 EN-1615 EN ID:09010366</v>
      </c>
      <c r="Q2780" s="9"/>
      <c r="R2780" s="9"/>
      <c r="S2780" s="9"/>
      <c r="T2780" s="9"/>
    </row>
    <row r="2781" spans="3:22" x14ac:dyDescent="0.35">
      <c r="C2781" s="15" t="s">
        <v>8</v>
      </c>
      <c r="D2781" s="15" t="s">
        <v>8</v>
      </c>
      <c r="G2781" s="15" t="s">
        <v>8</v>
      </c>
      <c r="O2781" s="15" t="s">
        <v>8</v>
      </c>
      <c r="P2781" s="8" t="s">
        <v>3</v>
      </c>
      <c r="Q2781" s="8" t="s">
        <v>6</v>
      </c>
    </row>
    <row r="2782" spans="3:22" x14ac:dyDescent="0.35">
      <c r="C2782" s="15" t="s">
        <v>8</v>
      </c>
      <c r="D2782" s="15" t="s">
        <v>8</v>
      </c>
      <c r="G2782" s="15" t="s">
        <v>8</v>
      </c>
      <c r="O2782" s="15" t="s">
        <v>8</v>
      </c>
      <c r="P2782" s="15" t="s">
        <v>8</v>
      </c>
      <c r="Q2782" s="20" t="str">
        <f>HYPERLINK("http://yeinfo.com/family/I09020733.html", "ANN HATFIELD &lt;2&gt; 1555 EN-1585 EN ID:09020733")</f>
        <v>ANN HATFIELD &lt;2&gt; 1555 EN-1585 EN ID:09020733</v>
      </c>
      <c r="R2782" s="17"/>
      <c r="S2782" s="17"/>
      <c r="T2782" s="17"/>
      <c r="U2782" s="17"/>
    </row>
    <row r="2783" spans="3:22" x14ac:dyDescent="0.35">
      <c r="C2783" s="15" t="s">
        <v>8</v>
      </c>
      <c r="D2783" s="15" t="s">
        <v>8</v>
      </c>
      <c r="G2783" s="15" t="s">
        <v>8</v>
      </c>
      <c r="O2783" s="8" t="s">
        <v>6</v>
      </c>
      <c r="P2783" s="15" t="s">
        <v>8</v>
      </c>
    </row>
    <row r="2784" spans="3:22" x14ac:dyDescent="0.35">
      <c r="C2784" s="15" t="s">
        <v>8</v>
      </c>
      <c r="D2784" s="15" t="s">
        <v>8</v>
      </c>
      <c r="G2784" s="15" t="s">
        <v>8</v>
      </c>
      <c r="O2784" s="22" t="str">
        <f>HYPERLINK("http://yeinfo.com/family/I09005183.html", "SARAH DOROTHY MEADOWS &lt;2&gt; 1615 EN-1681 CT ID:09005183")</f>
        <v>SARAH DOROTHY MEADOWS &lt;2&gt; 1615 EN-1681 CT ID:09005183</v>
      </c>
      <c r="P2784" s="13"/>
      <c r="Q2784" s="13"/>
      <c r="R2784" s="13"/>
      <c r="S2784" s="13"/>
    </row>
    <row r="2785" spans="3:23" x14ac:dyDescent="0.35">
      <c r="C2785" s="15" t="s">
        <v>8</v>
      </c>
      <c r="D2785" s="15" t="s">
        <v>8</v>
      </c>
      <c r="G2785" s="15" t="s">
        <v>8</v>
      </c>
      <c r="P2785" s="15" t="s">
        <v>8</v>
      </c>
    </row>
    <row r="2786" spans="3:23" x14ac:dyDescent="0.35">
      <c r="C2786" s="15" t="s">
        <v>8</v>
      </c>
      <c r="D2786" s="15" t="s">
        <v>8</v>
      </c>
      <c r="G2786" s="15" t="s">
        <v>8</v>
      </c>
      <c r="P2786" s="15" t="s">
        <v>8</v>
      </c>
      <c r="S2786" s="19" t="str">
        <f>HYPERLINK("http://yeinfo.com/family/I09065549.html", "GEORGE PRESTON &lt;2&gt; 1504 EN-1525 EN ID:09065549")</f>
        <v>GEORGE PRESTON &lt;2&gt; 1504 EN-1525 EN ID:09065549</v>
      </c>
      <c r="T2786" s="9"/>
      <c r="U2786" s="9"/>
      <c r="V2786" s="9"/>
      <c r="W2786" s="9"/>
    </row>
    <row r="2787" spans="3:23" x14ac:dyDescent="0.35">
      <c r="C2787" s="15" t="s">
        <v>8</v>
      </c>
      <c r="D2787" s="15" t="s">
        <v>8</v>
      </c>
      <c r="G2787" s="15" t="s">
        <v>8</v>
      </c>
      <c r="P2787" s="15" t="s">
        <v>8</v>
      </c>
      <c r="S2787" s="8" t="s">
        <v>3</v>
      </c>
    </row>
    <row r="2788" spans="3:23" x14ac:dyDescent="0.35">
      <c r="C2788" s="15" t="s">
        <v>8</v>
      </c>
      <c r="D2788" s="15" t="s">
        <v>8</v>
      </c>
      <c r="G2788" s="15" t="s">
        <v>8</v>
      </c>
      <c r="P2788" s="15" t="s">
        <v>8</v>
      </c>
      <c r="R2788" s="19" t="str">
        <f>HYPERLINK("http://yeinfo.com/family/I09041468.html", "WILLIAM PRESTON Jr. &lt;2&gt; 1525 EN-1585 EN ID:09041468")</f>
        <v>WILLIAM PRESTON Jr. &lt;2&gt; 1525 EN-1585 EN ID:09041468</v>
      </c>
      <c r="S2788" s="9"/>
      <c r="T2788" s="9"/>
      <c r="U2788" s="9"/>
      <c r="V2788" s="9"/>
    </row>
    <row r="2789" spans="3:23" x14ac:dyDescent="0.35">
      <c r="C2789" s="15" t="s">
        <v>8</v>
      </c>
      <c r="D2789" s="15" t="s">
        <v>8</v>
      </c>
      <c r="G2789" s="15" t="s">
        <v>8</v>
      </c>
      <c r="P2789" s="15" t="s">
        <v>8</v>
      </c>
      <c r="R2789" s="8" t="s">
        <v>3</v>
      </c>
      <c r="S2789" s="8" t="s">
        <v>6</v>
      </c>
    </row>
    <row r="2790" spans="3:23" x14ac:dyDescent="0.35">
      <c r="C2790" s="15" t="s">
        <v>8</v>
      </c>
      <c r="D2790" s="15" t="s">
        <v>8</v>
      </c>
      <c r="G2790" s="15" t="s">
        <v>8</v>
      </c>
      <c r="P2790" s="15" t="s">
        <v>8</v>
      </c>
      <c r="R2790" s="15" t="s">
        <v>8</v>
      </c>
      <c r="S2790" s="20" t="str">
        <f>HYPERLINK("http://yeinfo.com/family/I09065550.html", "MARION SEMPHILL &lt;2&gt; 1505 EN-1525 EN ID:09065550")</f>
        <v>MARION SEMPHILL &lt;2&gt; 1505 EN-1525 EN ID:09065550</v>
      </c>
      <c r="T2790" s="17"/>
      <c r="U2790" s="17"/>
      <c r="V2790" s="17"/>
      <c r="W2790" s="17"/>
    </row>
    <row r="2791" spans="3:23" x14ac:dyDescent="0.35">
      <c r="C2791" s="15" t="s">
        <v>8</v>
      </c>
      <c r="D2791" s="15" t="s">
        <v>8</v>
      </c>
      <c r="G2791" s="15" t="s">
        <v>8</v>
      </c>
      <c r="P2791" s="15" t="s">
        <v>8</v>
      </c>
      <c r="R2791" s="15" t="s">
        <v>8</v>
      </c>
    </row>
    <row r="2792" spans="3:23" x14ac:dyDescent="0.35">
      <c r="C2792" s="15" t="s">
        <v>8</v>
      </c>
      <c r="D2792" s="15" t="s">
        <v>8</v>
      </c>
      <c r="G2792" s="15" t="s">
        <v>8</v>
      </c>
      <c r="P2792" s="15" t="s">
        <v>8</v>
      </c>
      <c r="Q2792" s="19" t="str">
        <f>HYPERLINK("http://yeinfo.com/family/I09020734.html", "ADAM PRESTON &lt;2&gt; 1564 EN-1593 EN ID:09020734")</f>
        <v>ADAM PRESTON &lt;2&gt; 1564 EN-1593 EN ID:09020734</v>
      </c>
      <c r="R2792" s="9"/>
      <c r="S2792" s="9"/>
      <c r="T2792" s="9"/>
      <c r="U2792" s="9"/>
    </row>
    <row r="2793" spans="3:23" x14ac:dyDescent="0.35">
      <c r="C2793" s="15" t="s">
        <v>8</v>
      </c>
      <c r="D2793" s="15" t="s">
        <v>8</v>
      </c>
      <c r="G2793" s="15" t="s">
        <v>8</v>
      </c>
      <c r="P2793" s="15" t="s">
        <v>8</v>
      </c>
      <c r="Q2793" s="8" t="s">
        <v>3</v>
      </c>
      <c r="R2793" s="15" t="s">
        <v>8</v>
      </c>
    </row>
    <row r="2794" spans="3:23" x14ac:dyDescent="0.35">
      <c r="C2794" s="15" t="s">
        <v>8</v>
      </c>
      <c r="D2794" s="15" t="s">
        <v>8</v>
      </c>
      <c r="G2794" s="15" t="s">
        <v>8</v>
      </c>
      <c r="P2794" s="15" t="s">
        <v>8</v>
      </c>
      <c r="Q2794" s="15" t="s">
        <v>8</v>
      </c>
      <c r="R2794" s="15" t="s">
        <v>8</v>
      </c>
      <c r="S2794" s="19" t="str">
        <f>HYPERLINK("http://yeinfo.com/family/I09065551.html", "GEORGE SAUNDERS &lt;2&gt; 1505 EN-1530 EN ID:09065551")</f>
        <v>GEORGE SAUNDERS &lt;2&gt; 1505 EN-1530 EN ID:09065551</v>
      </c>
      <c r="T2794" s="9"/>
      <c r="U2794" s="9"/>
      <c r="V2794" s="9"/>
      <c r="W2794" s="9"/>
    </row>
    <row r="2795" spans="3:23" x14ac:dyDescent="0.35">
      <c r="C2795" s="15" t="s">
        <v>8</v>
      </c>
      <c r="D2795" s="15" t="s">
        <v>8</v>
      </c>
      <c r="G2795" s="15" t="s">
        <v>8</v>
      </c>
      <c r="P2795" s="15" t="s">
        <v>8</v>
      </c>
      <c r="Q2795" s="15" t="s">
        <v>8</v>
      </c>
      <c r="R2795" s="8" t="s">
        <v>6</v>
      </c>
      <c r="S2795" s="8" t="s">
        <v>3</v>
      </c>
    </row>
    <row r="2796" spans="3:23" x14ac:dyDescent="0.35">
      <c r="C2796" s="15" t="s">
        <v>8</v>
      </c>
      <c r="D2796" s="15" t="s">
        <v>8</v>
      </c>
      <c r="G2796" s="15" t="s">
        <v>8</v>
      </c>
      <c r="P2796" s="15" t="s">
        <v>8</v>
      </c>
      <c r="Q2796" s="15" t="s">
        <v>8</v>
      </c>
      <c r="R2796" s="20" t="str">
        <f>HYPERLINK("http://yeinfo.com/family/I09041469.html", "ANNA SAUNDERS &lt;2&gt; 1530 EN-1588 EN ID:09041469")</f>
        <v>ANNA SAUNDERS &lt;2&gt; 1530 EN-1588 EN ID:09041469</v>
      </c>
      <c r="S2796" s="17"/>
      <c r="T2796" s="17"/>
      <c r="U2796" s="17"/>
      <c r="V2796" s="17"/>
    </row>
    <row r="2797" spans="3:23" x14ac:dyDescent="0.35">
      <c r="C2797" s="15" t="s">
        <v>8</v>
      </c>
      <c r="D2797" s="15" t="s">
        <v>8</v>
      </c>
      <c r="G2797" s="15" t="s">
        <v>8</v>
      </c>
      <c r="P2797" s="15" t="s">
        <v>8</v>
      </c>
      <c r="Q2797" s="15" t="s">
        <v>8</v>
      </c>
      <c r="S2797" s="8" t="s">
        <v>6</v>
      </c>
    </row>
    <row r="2798" spans="3:23" x14ac:dyDescent="0.35">
      <c r="C2798" s="15" t="s">
        <v>8</v>
      </c>
      <c r="D2798" s="15" t="s">
        <v>8</v>
      </c>
      <c r="G2798" s="15" t="s">
        <v>8</v>
      </c>
      <c r="P2798" s="15" t="s">
        <v>8</v>
      </c>
      <c r="Q2798" s="15" t="s">
        <v>8</v>
      </c>
      <c r="S2798" s="20" t="str">
        <f>HYPERLINK("http://yeinfo.com/family/I09065552.html", "HATTIE RATLIF &lt;2&gt; 1505 EN-1530 EN ID:09065552")</f>
        <v>HATTIE RATLIF &lt;2&gt; 1505 EN-1530 EN ID:09065552</v>
      </c>
      <c r="T2798" s="17"/>
      <c r="U2798" s="17"/>
      <c r="V2798" s="17"/>
      <c r="W2798" s="17"/>
    </row>
    <row r="2799" spans="3:23" x14ac:dyDescent="0.35">
      <c r="C2799" s="15" t="s">
        <v>8</v>
      </c>
      <c r="D2799" s="15" t="s">
        <v>8</v>
      </c>
      <c r="G2799" s="15" t="s">
        <v>8</v>
      </c>
      <c r="P2799" s="8" t="s">
        <v>6</v>
      </c>
      <c r="Q2799" s="15" t="s">
        <v>8</v>
      </c>
    </row>
    <row r="2800" spans="3:23" x14ac:dyDescent="0.35">
      <c r="C2800" s="15" t="s">
        <v>8</v>
      </c>
      <c r="D2800" s="15" t="s">
        <v>8</v>
      </c>
      <c r="G2800" s="15" t="s">
        <v>8</v>
      </c>
      <c r="P2800" s="16" t="str">
        <f>HYPERLINK("http://yeinfo.com/family/I09010367.html", "MARGARET PRESTON &lt;2&gt; 1593 EN-1686  ID:09010367")</f>
        <v>MARGARET PRESTON &lt;2&gt; 1593 EN-1686  ID:09010367</v>
      </c>
      <c r="Q2800" s="11"/>
      <c r="R2800" s="11"/>
      <c r="S2800" s="11"/>
      <c r="T2800" s="11"/>
    </row>
    <row r="2801" spans="3:22" x14ac:dyDescent="0.35">
      <c r="C2801" s="15" t="s">
        <v>8</v>
      </c>
      <c r="D2801" s="15" t="s">
        <v>8</v>
      </c>
      <c r="G2801" s="15" t="s">
        <v>8</v>
      </c>
      <c r="Q2801" s="15" t="s">
        <v>8</v>
      </c>
    </row>
    <row r="2802" spans="3:22" x14ac:dyDescent="0.35">
      <c r="C2802" s="15" t="s">
        <v>8</v>
      </c>
      <c r="D2802" s="15" t="s">
        <v>8</v>
      </c>
      <c r="G2802" s="15" t="s">
        <v>8</v>
      </c>
      <c r="Q2802" s="15" t="s">
        <v>8</v>
      </c>
      <c r="R2802" s="19" t="str">
        <f>HYPERLINK("http://yeinfo.com/family/I09041470.html", "ROBERT BRAITHWAITE &lt;2&gt; 1538 EN-1589  ID:09041470")</f>
        <v>ROBERT BRAITHWAITE &lt;2&gt; 1538 EN-1589  ID:09041470</v>
      </c>
      <c r="S2802" s="9"/>
      <c r="T2802" s="9"/>
      <c r="U2802" s="9"/>
      <c r="V2802" s="9"/>
    </row>
    <row r="2803" spans="3:22" x14ac:dyDescent="0.35">
      <c r="C2803" s="15" t="s">
        <v>8</v>
      </c>
      <c r="D2803" s="15" t="s">
        <v>8</v>
      </c>
      <c r="G2803" s="15" t="s">
        <v>8</v>
      </c>
      <c r="Q2803" s="8" t="s">
        <v>6</v>
      </c>
      <c r="R2803" s="8" t="s">
        <v>3</v>
      </c>
    </row>
    <row r="2804" spans="3:22" x14ac:dyDescent="0.35">
      <c r="C2804" s="15" t="s">
        <v>8</v>
      </c>
      <c r="D2804" s="15" t="s">
        <v>8</v>
      </c>
      <c r="G2804" s="15" t="s">
        <v>8</v>
      </c>
      <c r="Q2804" s="20" t="str">
        <f>HYPERLINK("http://yeinfo.com/family/I09020735.html", "ISABEL\ISABELL BRAITHWAITE &lt;2&gt; 1564 EN-1620 EN ID:09020735")</f>
        <v>ISABEL\ISABELL BRAITHWAITE &lt;2&gt; 1564 EN-1620 EN ID:09020735</v>
      </c>
      <c r="R2804" s="17"/>
      <c r="S2804" s="17"/>
      <c r="T2804" s="17"/>
      <c r="U2804" s="17"/>
      <c r="V2804" s="17"/>
    </row>
    <row r="2805" spans="3:22" x14ac:dyDescent="0.35">
      <c r="C2805" s="15" t="s">
        <v>8</v>
      </c>
      <c r="D2805" s="15" t="s">
        <v>8</v>
      </c>
      <c r="G2805" s="15" t="s">
        <v>8</v>
      </c>
      <c r="R2805" s="8" t="s">
        <v>6</v>
      </c>
    </row>
    <row r="2806" spans="3:22" x14ac:dyDescent="0.35">
      <c r="C2806" s="15" t="s">
        <v>8</v>
      </c>
      <c r="D2806" s="15" t="s">
        <v>8</v>
      </c>
      <c r="G2806" s="15" t="s">
        <v>8</v>
      </c>
      <c r="R2806" s="20" t="str">
        <f>HYPERLINK("http://yeinfo.com/family/I09041471.html", "BETTERES VAUX &lt;2&gt; 1543 EN-1594 EN ID:09041471")</f>
        <v>BETTERES VAUX &lt;2&gt; 1543 EN-1594 EN ID:09041471</v>
      </c>
      <c r="S2806" s="17"/>
      <c r="T2806" s="17"/>
      <c r="U2806" s="17"/>
      <c r="V2806" s="17"/>
    </row>
    <row r="2807" spans="3:22" x14ac:dyDescent="0.35">
      <c r="C2807" s="15" t="s">
        <v>8</v>
      </c>
      <c r="D2807" s="15" t="s">
        <v>8</v>
      </c>
      <c r="G2807" s="15" t="s">
        <v>8</v>
      </c>
    </row>
    <row r="2808" spans="3:22" x14ac:dyDescent="0.35">
      <c r="C2808" s="15" t="s">
        <v>8</v>
      </c>
      <c r="D2808" s="15" t="s">
        <v>8</v>
      </c>
      <c r="F2808" s="5" t="str">
        <f>HYPERLINK("http://yeinfo.com/family/I09000010.html", "EDWIN JAMES SEARLS 1850 OH-1917 IA ID:09000020")</f>
        <v>EDWIN JAMES SEARLS 1850 OH-1917 IA ID:09000020</v>
      </c>
      <c r="G2808" s="3"/>
      <c r="H2808" s="3"/>
      <c r="I2808" s="3"/>
      <c r="J2808" s="3"/>
    </row>
    <row r="2809" spans="3:22" x14ac:dyDescent="0.35">
      <c r="C2809" s="15" t="s">
        <v>8</v>
      </c>
      <c r="D2809" s="15" t="s">
        <v>8</v>
      </c>
      <c r="F2809" s="8" t="s">
        <v>3</v>
      </c>
      <c r="G2809" s="15" t="s">
        <v>8</v>
      </c>
    </row>
    <row r="2810" spans="3:22" x14ac:dyDescent="0.35">
      <c r="C2810" s="15" t="s">
        <v>8</v>
      </c>
      <c r="D2810" s="15" t="s">
        <v>8</v>
      </c>
      <c r="F2810" s="15" t="s">
        <v>8</v>
      </c>
      <c r="G2810" s="15" t="s">
        <v>8</v>
      </c>
      <c r="H2810" s="5" t="str">
        <f>HYPERLINK("http://yeinfo.com/family/I09000041.html", "JAMES I. HALSTEAD 1775 NY-1854 OH ID:09000082")</f>
        <v>JAMES I. HALSTEAD 1775 NY-1854 OH ID:09000082</v>
      </c>
      <c r="I2810" s="3"/>
      <c r="J2810" s="3"/>
      <c r="K2810" s="3"/>
      <c r="L2810" s="3"/>
    </row>
    <row r="2811" spans="3:22" x14ac:dyDescent="0.35">
      <c r="C2811" s="15" t="s">
        <v>8</v>
      </c>
      <c r="D2811" s="15" t="s">
        <v>8</v>
      </c>
      <c r="F2811" s="15" t="s">
        <v>8</v>
      </c>
      <c r="G2811" s="8" t="s">
        <v>6</v>
      </c>
      <c r="H2811" s="8" t="s">
        <v>3</v>
      </c>
    </row>
    <row r="2812" spans="3:22" x14ac:dyDescent="0.35">
      <c r="C2812" s="15" t="s">
        <v>8</v>
      </c>
      <c r="D2812" s="15" t="s">
        <v>8</v>
      </c>
      <c r="F2812" s="15" t="s">
        <v>8</v>
      </c>
      <c r="G2812" s="16" t="str">
        <f>HYPERLINK("http://yeinfo.com/family/I09000163.html", "ELIZABETH HALSTEAD 1811 NY-1907 IL ID:09000041")</f>
        <v>ELIZABETH HALSTEAD 1811 NY-1907 IL ID:09000041</v>
      </c>
      <c r="H2812" s="11"/>
      <c r="I2812" s="11"/>
      <c r="J2812" s="11"/>
      <c r="K2812" s="11"/>
    </row>
    <row r="2813" spans="3:22" x14ac:dyDescent="0.35">
      <c r="C2813" s="15" t="s">
        <v>8</v>
      </c>
      <c r="D2813" s="15" t="s">
        <v>8</v>
      </c>
      <c r="F2813" s="15" t="s">
        <v>8</v>
      </c>
      <c r="H2813" s="8" t="s">
        <v>6</v>
      </c>
    </row>
    <row r="2814" spans="3:22" x14ac:dyDescent="0.35">
      <c r="C2814" s="15" t="s">
        <v>8</v>
      </c>
      <c r="D2814" s="15" t="s">
        <v>8</v>
      </c>
      <c r="F2814" s="15" t="s">
        <v>8</v>
      </c>
      <c r="H2814" s="16" t="str">
        <f>HYPERLINK("http://yeinfo.com/family/I09000082.html", "PHEBE JAMESON 1786 NY-1854 OH ID:09000083")</f>
        <v>PHEBE JAMESON 1786 NY-1854 OH ID:09000083</v>
      </c>
      <c r="I2814" s="11"/>
      <c r="J2814" s="11"/>
      <c r="K2814" s="11"/>
      <c r="L2814" s="11"/>
    </row>
    <row r="2815" spans="3:22" x14ac:dyDescent="0.35">
      <c r="C2815" s="15" t="s">
        <v>8</v>
      </c>
      <c r="D2815" s="15" t="s">
        <v>8</v>
      </c>
      <c r="F2815" s="15" t="s">
        <v>8</v>
      </c>
    </row>
    <row r="2816" spans="3:22" x14ac:dyDescent="0.35">
      <c r="C2816" s="15" t="s">
        <v>8</v>
      </c>
      <c r="D2816" s="15" t="s">
        <v>8</v>
      </c>
      <c r="E2816" s="5" t="str">
        <f>HYPERLINK("http://yeinfo.com/family/I09000005.html", "BURTON ORSON SEARLS 1876 SD-1946 SD ID:09000010")</f>
        <v>BURTON ORSON SEARLS 1876 SD-1946 SD ID:09000010</v>
      </c>
      <c r="F2816" s="3"/>
      <c r="G2816" s="3"/>
      <c r="H2816" s="3"/>
      <c r="I2816" s="3"/>
    </row>
    <row r="2817" spans="3:19" x14ac:dyDescent="0.35">
      <c r="C2817" s="15" t="s">
        <v>8</v>
      </c>
      <c r="D2817" s="15" t="s">
        <v>8</v>
      </c>
      <c r="E2817" s="8" t="s">
        <v>3</v>
      </c>
      <c r="F2817" s="15" t="s">
        <v>8</v>
      </c>
    </row>
    <row r="2818" spans="3:19" x14ac:dyDescent="0.35">
      <c r="C2818" s="15" t="s">
        <v>8</v>
      </c>
      <c r="D2818" s="15" t="s">
        <v>8</v>
      </c>
      <c r="E2818" s="15" t="s">
        <v>8</v>
      </c>
      <c r="F2818" s="15" t="s">
        <v>8</v>
      </c>
      <c r="J2818" s="21" t="str">
        <f>HYPERLINK("http://yeinfo.com/family/I09000168.html", "DOMINI DOUGLASS 1732 IR-1807 VT ID:09000336")</f>
        <v>DOMINI DOUGLASS 1732 IR-1807 VT ID:09000336</v>
      </c>
      <c r="K2818" s="6"/>
      <c r="L2818" s="6"/>
      <c r="M2818" s="6"/>
      <c r="N2818" s="6"/>
    </row>
    <row r="2819" spans="3:19" x14ac:dyDescent="0.35">
      <c r="C2819" s="15" t="s">
        <v>8</v>
      </c>
      <c r="D2819" s="15" t="s">
        <v>8</v>
      </c>
      <c r="E2819" s="15" t="s">
        <v>8</v>
      </c>
      <c r="F2819" s="15" t="s">
        <v>8</v>
      </c>
      <c r="J2819" s="8" t="s">
        <v>3</v>
      </c>
    </row>
    <row r="2820" spans="3:19" x14ac:dyDescent="0.35">
      <c r="C2820" s="15" t="s">
        <v>8</v>
      </c>
      <c r="D2820" s="15" t="s">
        <v>8</v>
      </c>
      <c r="E2820" s="15" t="s">
        <v>8</v>
      </c>
      <c r="F2820" s="15" t="s">
        <v>8</v>
      </c>
      <c r="I2820" s="5" t="str">
        <f>HYPERLINK("http://yeinfo.com/family/I09000084.html", "JOSEPH DOUGLASS 1763 CT-1829  ID:09000168")</f>
        <v>JOSEPH DOUGLASS 1763 CT-1829  ID:09000168</v>
      </c>
      <c r="J2820" s="3"/>
      <c r="K2820" s="3"/>
      <c r="L2820" s="3"/>
      <c r="M2820" s="3"/>
    </row>
    <row r="2821" spans="3:19" x14ac:dyDescent="0.35">
      <c r="C2821" s="15" t="s">
        <v>8</v>
      </c>
      <c r="D2821" s="15" t="s">
        <v>8</v>
      </c>
      <c r="E2821" s="15" t="s">
        <v>8</v>
      </c>
      <c r="F2821" s="15" t="s">
        <v>8</v>
      </c>
      <c r="I2821" s="8" t="s">
        <v>3</v>
      </c>
      <c r="J2821" s="15" t="s">
        <v>8</v>
      </c>
    </row>
    <row r="2822" spans="3:19" x14ac:dyDescent="0.35">
      <c r="C2822" s="15" t="s">
        <v>8</v>
      </c>
      <c r="D2822" s="15" t="s">
        <v>8</v>
      </c>
      <c r="E2822" s="15" t="s">
        <v>8</v>
      </c>
      <c r="F2822" s="15" t="s">
        <v>8</v>
      </c>
      <c r="I2822" s="15" t="s">
        <v>8</v>
      </c>
      <c r="J2822" s="15" t="s">
        <v>8</v>
      </c>
      <c r="O2822" s="19" t="str">
        <f>HYPERLINK("http://yeinfo.com/family/I09041460.html", "JOHN WARNER &lt;4&gt; 1545 EN-1584 EN ID:09041460")</f>
        <v>JOHN WARNER &lt;4&gt; 1545 EN-1584 EN ID:09041460</v>
      </c>
      <c r="P2822" s="9"/>
      <c r="Q2822" s="9"/>
      <c r="R2822" s="9"/>
      <c r="S2822" s="9"/>
    </row>
    <row r="2823" spans="3:19" x14ac:dyDescent="0.35">
      <c r="C2823" s="15" t="s">
        <v>8</v>
      </c>
      <c r="D2823" s="15" t="s">
        <v>8</v>
      </c>
      <c r="E2823" s="15" t="s">
        <v>8</v>
      </c>
      <c r="F2823" s="15" t="s">
        <v>8</v>
      </c>
      <c r="I2823" s="15" t="s">
        <v>8</v>
      </c>
      <c r="J2823" s="15" t="s">
        <v>8</v>
      </c>
      <c r="O2823" s="8" t="s">
        <v>3</v>
      </c>
    </row>
    <row r="2824" spans="3:19" x14ac:dyDescent="0.35">
      <c r="C2824" s="15" t="s">
        <v>8</v>
      </c>
      <c r="D2824" s="15" t="s">
        <v>8</v>
      </c>
      <c r="E2824" s="15" t="s">
        <v>8</v>
      </c>
      <c r="F2824" s="15" t="s">
        <v>8</v>
      </c>
      <c r="I2824" s="15" t="s">
        <v>8</v>
      </c>
      <c r="J2824" s="15" t="s">
        <v>8</v>
      </c>
      <c r="N2824" s="19" t="str">
        <f>HYPERLINK("http://yeinfo.com/family/I09020730.html", "JOHN WARNER &lt;4&gt; 1570 EN-1614 EN ID:09020730")</f>
        <v>JOHN WARNER &lt;4&gt; 1570 EN-1614 EN ID:09020730</v>
      </c>
      <c r="O2824" s="9"/>
      <c r="P2824" s="9"/>
      <c r="Q2824" s="9"/>
      <c r="R2824" s="9"/>
    </row>
    <row r="2825" spans="3:19" x14ac:dyDescent="0.35">
      <c r="C2825" s="15" t="s">
        <v>8</v>
      </c>
      <c r="D2825" s="15" t="s">
        <v>8</v>
      </c>
      <c r="E2825" s="15" t="s">
        <v>8</v>
      </c>
      <c r="F2825" s="15" t="s">
        <v>8</v>
      </c>
      <c r="I2825" s="15" t="s">
        <v>8</v>
      </c>
      <c r="J2825" s="15" t="s">
        <v>8</v>
      </c>
      <c r="N2825" s="8" t="s">
        <v>3</v>
      </c>
      <c r="O2825" s="8" t="s">
        <v>6</v>
      </c>
    </row>
    <row r="2826" spans="3:19" x14ac:dyDescent="0.35">
      <c r="C2826" s="15" t="s">
        <v>8</v>
      </c>
      <c r="D2826" s="15" t="s">
        <v>8</v>
      </c>
      <c r="E2826" s="15" t="s">
        <v>8</v>
      </c>
      <c r="F2826" s="15" t="s">
        <v>8</v>
      </c>
      <c r="I2826" s="15" t="s">
        <v>8</v>
      </c>
      <c r="J2826" s="15" t="s">
        <v>8</v>
      </c>
      <c r="N2826" s="15" t="s">
        <v>8</v>
      </c>
      <c r="O2826" s="20" t="str">
        <f>HYPERLINK("http://yeinfo.com/family/I09041461.html", "Mrs. MARGARET WARNER &lt;4&gt; 1545 EN-1570  ID:09041461")</f>
        <v>Mrs. MARGARET WARNER &lt;4&gt; 1545 EN-1570  ID:09041461</v>
      </c>
      <c r="P2826" s="17"/>
      <c r="Q2826" s="17"/>
      <c r="R2826" s="17"/>
      <c r="S2826" s="17"/>
    </row>
    <row r="2827" spans="3:19" x14ac:dyDescent="0.35">
      <c r="C2827" s="15" t="s">
        <v>8</v>
      </c>
      <c r="D2827" s="15" t="s">
        <v>8</v>
      </c>
      <c r="E2827" s="15" t="s">
        <v>8</v>
      </c>
      <c r="F2827" s="15" t="s">
        <v>8</v>
      </c>
      <c r="I2827" s="15" t="s">
        <v>8</v>
      </c>
      <c r="J2827" s="15" t="s">
        <v>8</v>
      </c>
      <c r="N2827" s="15" t="s">
        <v>8</v>
      </c>
    </row>
    <row r="2828" spans="3:19" x14ac:dyDescent="0.35">
      <c r="C2828" s="15" t="s">
        <v>8</v>
      </c>
      <c r="D2828" s="15" t="s">
        <v>8</v>
      </c>
      <c r="E2828" s="15" t="s">
        <v>8</v>
      </c>
      <c r="F2828" s="15" t="s">
        <v>8</v>
      </c>
      <c r="I2828" s="15" t="s">
        <v>8</v>
      </c>
      <c r="J2828" s="15" t="s">
        <v>8</v>
      </c>
      <c r="M2828" s="21" t="str">
        <f>HYPERLINK("http://yeinfo.com/family/I09001348.html", "ANDREW WARNER &lt;2&gt; 1595 EN-1684 MA ID:09002696")</f>
        <v>ANDREW WARNER &lt;2&gt; 1595 EN-1684 MA ID:09002696</v>
      </c>
      <c r="N2828" s="6"/>
      <c r="O2828" s="6"/>
      <c r="P2828" s="6"/>
      <c r="Q2828" s="6"/>
    </row>
    <row r="2829" spans="3:19" x14ac:dyDescent="0.35">
      <c r="C2829" s="15" t="s">
        <v>8</v>
      </c>
      <c r="D2829" s="15" t="s">
        <v>8</v>
      </c>
      <c r="E2829" s="15" t="s">
        <v>8</v>
      </c>
      <c r="F2829" s="15" t="s">
        <v>8</v>
      </c>
      <c r="I2829" s="15" t="s">
        <v>8</v>
      </c>
      <c r="J2829" s="15" t="s">
        <v>8</v>
      </c>
      <c r="M2829" s="8" t="s">
        <v>3</v>
      </c>
      <c r="N2829" s="15" t="s">
        <v>8</v>
      </c>
    </row>
    <row r="2830" spans="3:19" x14ac:dyDescent="0.35">
      <c r="C2830" s="15" t="s">
        <v>8</v>
      </c>
      <c r="D2830" s="15" t="s">
        <v>8</v>
      </c>
      <c r="E2830" s="15" t="s">
        <v>8</v>
      </c>
      <c r="F2830" s="15" t="s">
        <v>8</v>
      </c>
      <c r="I2830" s="15" t="s">
        <v>8</v>
      </c>
      <c r="J2830" s="15" t="s">
        <v>8</v>
      </c>
      <c r="M2830" s="15" t="s">
        <v>8</v>
      </c>
      <c r="N2830" s="15" t="s">
        <v>8</v>
      </c>
      <c r="O2830" s="19" t="str">
        <f>HYPERLINK("http://yeinfo.com/family/I09041462.html", "JOHN PURCHAS &lt;4&gt; 1550 EN-1585 EN ID:09041462")</f>
        <v>JOHN PURCHAS &lt;4&gt; 1550 EN-1585 EN ID:09041462</v>
      </c>
      <c r="P2830" s="9"/>
      <c r="Q2830" s="9"/>
      <c r="R2830" s="9"/>
      <c r="S2830" s="9"/>
    </row>
    <row r="2831" spans="3:19" x14ac:dyDescent="0.35">
      <c r="C2831" s="15" t="s">
        <v>8</v>
      </c>
      <c r="D2831" s="15" t="s">
        <v>8</v>
      </c>
      <c r="E2831" s="15" t="s">
        <v>8</v>
      </c>
      <c r="F2831" s="15" t="s">
        <v>8</v>
      </c>
      <c r="I2831" s="15" t="s">
        <v>8</v>
      </c>
      <c r="J2831" s="15" t="s">
        <v>8</v>
      </c>
      <c r="M2831" s="15" t="s">
        <v>8</v>
      </c>
      <c r="N2831" s="8" t="s">
        <v>6</v>
      </c>
      <c r="O2831" s="8" t="s">
        <v>3</v>
      </c>
    </row>
    <row r="2832" spans="3:19" x14ac:dyDescent="0.35">
      <c r="C2832" s="15" t="s">
        <v>8</v>
      </c>
      <c r="D2832" s="15" t="s">
        <v>8</v>
      </c>
      <c r="E2832" s="15" t="s">
        <v>8</v>
      </c>
      <c r="F2832" s="15" t="s">
        <v>8</v>
      </c>
      <c r="I2832" s="15" t="s">
        <v>8</v>
      </c>
      <c r="J2832" s="15" t="s">
        <v>8</v>
      </c>
      <c r="M2832" s="15" t="s">
        <v>8</v>
      </c>
      <c r="N2832" s="20" t="str">
        <f>HYPERLINK("http://yeinfo.com/family/I09020731.html", "MARY PURCHAS &lt;4&gt; 1570 EN-1627 EN ID:09020731")</f>
        <v>MARY PURCHAS &lt;4&gt; 1570 EN-1627 EN ID:09020731</v>
      </c>
      <c r="O2832" s="17"/>
      <c r="P2832" s="17"/>
      <c r="Q2832" s="17"/>
      <c r="R2832" s="17"/>
    </row>
    <row r="2833" spans="3:19" x14ac:dyDescent="0.35">
      <c r="C2833" s="15" t="s">
        <v>8</v>
      </c>
      <c r="D2833" s="15" t="s">
        <v>8</v>
      </c>
      <c r="E2833" s="15" t="s">
        <v>8</v>
      </c>
      <c r="F2833" s="15" t="s">
        <v>8</v>
      </c>
      <c r="I2833" s="15" t="s">
        <v>8</v>
      </c>
      <c r="J2833" s="15" t="s">
        <v>8</v>
      </c>
      <c r="M2833" s="15" t="s">
        <v>8</v>
      </c>
      <c r="O2833" s="8" t="s">
        <v>6</v>
      </c>
    </row>
    <row r="2834" spans="3:19" x14ac:dyDescent="0.35">
      <c r="C2834" s="15" t="s">
        <v>8</v>
      </c>
      <c r="D2834" s="15" t="s">
        <v>8</v>
      </c>
      <c r="E2834" s="15" t="s">
        <v>8</v>
      </c>
      <c r="F2834" s="15" t="s">
        <v>8</v>
      </c>
      <c r="I2834" s="15" t="s">
        <v>8</v>
      </c>
      <c r="J2834" s="15" t="s">
        <v>8</v>
      </c>
      <c r="M2834" s="15" t="s">
        <v>8</v>
      </c>
      <c r="O2834" s="20" t="str">
        <f>HYPERLINK("http://yeinfo.com/family/I09041463.html", "MARGARET KREABLES &lt;4&gt; 1550 EN-1570  ID:09041463")</f>
        <v>MARGARET KREABLES &lt;4&gt; 1550 EN-1570  ID:09041463</v>
      </c>
      <c r="P2834" s="17"/>
      <c r="Q2834" s="17"/>
      <c r="R2834" s="17"/>
      <c r="S2834" s="17"/>
    </row>
    <row r="2835" spans="3:19" x14ac:dyDescent="0.35">
      <c r="C2835" s="15" t="s">
        <v>8</v>
      </c>
      <c r="D2835" s="15" t="s">
        <v>8</v>
      </c>
      <c r="E2835" s="15" t="s">
        <v>8</v>
      </c>
      <c r="F2835" s="15" t="s">
        <v>8</v>
      </c>
      <c r="I2835" s="15" t="s">
        <v>8</v>
      </c>
      <c r="J2835" s="15" t="s">
        <v>8</v>
      </c>
      <c r="M2835" s="15" t="s">
        <v>8</v>
      </c>
    </row>
    <row r="2836" spans="3:19" x14ac:dyDescent="0.35">
      <c r="C2836" s="15" t="s">
        <v>8</v>
      </c>
      <c r="D2836" s="15" t="s">
        <v>8</v>
      </c>
      <c r="E2836" s="15" t="s">
        <v>8</v>
      </c>
      <c r="F2836" s="15" t="s">
        <v>8</v>
      </c>
      <c r="I2836" s="15" t="s">
        <v>8</v>
      </c>
      <c r="J2836" s="15" t="s">
        <v>8</v>
      </c>
      <c r="L2836" s="5" t="str">
        <f>HYPERLINK("http://yeinfo.com/family/I09000674.html", "JACOB WARNER 1660 CT-1711 MA ID:09001348")</f>
        <v>JACOB WARNER 1660 CT-1711 MA ID:09001348</v>
      </c>
      <c r="M2836" s="3"/>
      <c r="N2836" s="3"/>
      <c r="O2836" s="3"/>
      <c r="P2836" s="3"/>
    </row>
    <row r="2837" spans="3:19" x14ac:dyDescent="0.35">
      <c r="C2837" s="15" t="s">
        <v>8</v>
      </c>
      <c r="D2837" s="15" t="s">
        <v>8</v>
      </c>
      <c r="E2837" s="15" t="s">
        <v>8</v>
      </c>
      <c r="F2837" s="15" t="s">
        <v>8</v>
      </c>
      <c r="I2837" s="15" t="s">
        <v>8</v>
      </c>
      <c r="J2837" s="15" t="s">
        <v>8</v>
      </c>
      <c r="L2837" s="8" t="s">
        <v>3</v>
      </c>
      <c r="M2837" s="15" t="s">
        <v>8</v>
      </c>
    </row>
    <row r="2838" spans="3:19" x14ac:dyDescent="0.35">
      <c r="C2838" s="15" t="s">
        <v>8</v>
      </c>
      <c r="D2838" s="15" t="s">
        <v>8</v>
      </c>
      <c r="E2838" s="15" t="s">
        <v>8</v>
      </c>
      <c r="F2838" s="15" t="s">
        <v>8</v>
      </c>
      <c r="I2838" s="15" t="s">
        <v>8</v>
      </c>
      <c r="J2838" s="15" t="s">
        <v>8</v>
      </c>
      <c r="L2838" s="15" t="s">
        <v>8</v>
      </c>
      <c r="M2838" s="15" t="s">
        <v>8</v>
      </c>
      <c r="N2838" s="5" t="str">
        <f>HYPERLINK("http://yeinfo.com/family/I09002697.html", "FRANCIS WAKEMAN 1595 EN-1617  ID:09005394")</f>
        <v>FRANCIS WAKEMAN 1595 EN-1617  ID:09005394</v>
      </c>
      <c r="O2838" s="3"/>
      <c r="P2838" s="3"/>
      <c r="Q2838" s="3"/>
      <c r="R2838" s="3"/>
    </row>
    <row r="2839" spans="3:19" x14ac:dyDescent="0.35">
      <c r="C2839" s="15" t="s">
        <v>8</v>
      </c>
      <c r="D2839" s="15" t="s">
        <v>8</v>
      </c>
      <c r="E2839" s="15" t="s">
        <v>8</v>
      </c>
      <c r="F2839" s="15" t="s">
        <v>8</v>
      </c>
      <c r="I2839" s="15" t="s">
        <v>8</v>
      </c>
      <c r="J2839" s="15" t="s">
        <v>8</v>
      </c>
      <c r="L2839" s="15" t="s">
        <v>8</v>
      </c>
      <c r="M2839" s="8" t="s">
        <v>6</v>
      </c>
      <c r="N2839" s="8" t="s">
        <v>3</v>
      </c>
    </row>
    <row r="2840" spans="3:19" x14ac:dyDescent="0.35">
      <c r="C2840" s="15" t="s">
        <v>8</v>
      </c>
      <c r="D2840" s="15" t="s">
        <v>8</v>
      </c>
      <c r="E2840" s="15" t="s">
        <v>8</v>
      </c>
      <c r="F2840" s="15" t="s">
        <v>8</v>
      </c>
      <c r="I2840" s="15" t="s">
        <v>8</v>
      </c>
      <c r="J2840" s="15" t="s">
        <v>8</v>
      </c>
      <c r="L2840" s="15" t="s">
        <v>8</v>
      </c>
      <c r="M2840" s="22" t="str">
        <f>HYPERLINK("http://yeinfo.com/family/I09002696.html", "ESTHER\HESTER WAKEMAN 1617 EN-1693 MA ID:09002697")</f>
        <v>ESTHER\HESTER WAKEMAN 1617 EN-1693 MA ID:09002697</v>
      </c>
      <c r="N2840" s="13"/>
      <c r="O2840" s="13"/>
      <c r="P2840" s="13"/>
      <c r="Q2840" s="13"/>
      <c r="R2840" s="13"/>
    </row>
    <row r="2841" spans="3:19" x14ac:dyDescent="0.35">
      <c r="C2841" s="15" t="s">
        <v>8</v>
      </c>
      <c r="D2841" s="15" t="s">
        <v>8</v>
      </c>
      <c r="E2841" s="15" t="s">
        <v>8</v>
      </c>
      <c r="F2841" s="15" t="s">
        <v>8</v>
      </c>
      <c r="I2841" s="15" t="s">
        <v>8</v>
      </c>
      <c r="J2841" s="15" t="s">
        <v>8</v>
      </c>
      <c r="L2841" s="15" t="s">
        <v>8</v>
      </c>
      <c r="N2841" s="8" t="s">
        <v>6</v>
      </c>
    </row>
    <row r="2842" spans="3:19" x14ac:dyDescent="0.35">
      <c r="C2842" s="15" t="s">
        <v>8</v>
      </c>
      <c r="D2842" s="15" t="s">
        <v>8</v>
      </c>
      <c r="E2842" s="15" t="s">
        <v>8</v>
      </c>
      <c r="F2842" s="15" t="s">
        <v>8</v>
      </c>
      <c r="I2842" s="15" t="s">
        <v>8</v>
      </c>
      <c r="J2842" s="15" t="s">
        <v>8</v>
      </c>
      <c r="L2842" s="15" t="s">
        <v>8</v>
      </c>
      <c r="N2842" s="20" t="str">
        <f>HYPERLINK("http://yeinfo.com/family/I09005394.html", "ANNE GOODE 1600 EN-1620 EN ID:09005395")</f>
        <v>ANNE GOODE 1600 EN-1620 EN ID:09005395</v>
      </c>
      <c r="O2842" s="17"/>
      <c r="P2842" s="17"/>
      <c r="Q2842" s="17"/>
      <c r="R2842" s="17"/>
    </row>
    <row r="2843" spans="3:19" x14ac:dyDescent="0.35">
      <c r="C2843" s="15" t="s">
        <v>8</v>
      </c>
      <c r="D2843" s="15" t="s">
        <v>8</v>
      </c>
      <c r="E2843" s="15" t="s">
        <v>8</v>
      </c>
      <c r="F2843" s="15" t="s">
        <v>8</v>
      </c>
      <c r="I2843" s="15" t="s">
        <v>8</v>
      </c>
      <c r="J2843" s="15" t="s">
        <v>8</v>
      </c>
      <c r="L2843" s="15" t="s">
        <v>8</v>
      </c>
    </row>
    <row r="2844" spans="3:19" x14ac:dyDescent="0.35">
      <c r="C2844" s="15" t="s">
        <v>8</v>
      </c>
      <c r="D2844" s="15" t="s">
        <v>8</v>
      </c>
      <c r="E2844" s="15" t="s">
        <v>8</v>
      </c>
      <c r="F2844" s="15" t="s">
        <v>8</v>
      </c>
      <c r="I2844" s="15" t="s">
        <v>8</v>
      </c>
      <c r="J2844" s="15" t="s">
        <v>8</v>
      </c>
      <c r="K2844" s="5" t="str">
        <f>HYPERLINK("http://yeinfo.com/family/I09000337.html", "JOSEPH WARNER 1707 MA-1743 CT ID:09000674")</f>
        <v>JOSEPH WARNER 1707 MA-1743 CT ID:09000674</v>
      </c>
      <c r="L2844" s="3"/>
      <c r="M2844" s="3"/>
      <c r="N2844" s="3"/>
      <c r="O2844" s="3"/>
    </row>
    <row r="2845" spans="3:19" x14ac:dyDescent="0.35">
      <c r="C2845" s="15" t="s">
        <v>8</v>
      </c>
      <c r="D2845" s="15" t="s">
        <v>8</v>
      </c>
      <c r="E2845" s="15" t="s">
        <v>8</v>
      </c>
      <c r="F2845" s="15" t="s">
        <v>8</v>
      </c>
      <c r="I2845" s="15" t="s">
        <v>8</v>
      </c>
      <c r="J2845" s="15" t="s">
        <v>8</v>
      </c>
      <c r="K2845" s="8" t="s">
        <v>3</v>
      </c>
      <c r="L2845" s="15" t="s">
        <v>8</v>
      </c>
    </row>
    <row r="2846" spans="3:19" x14ac:dyDescent="0.35">
      <c r="C2846" s="15" t="s">
        <v>8</v>
      </c>
      <c r="D2846" s="15" t="s">
        <v>8</v>
      </c>
      <c r="E2846" s="15" t="s">
        <v>8</v>
      </c>
      <c r="F2846" s="15" t="s">
        <v>8</v>
      </c>
      <c r="I2846" s="15" t="s">
        <v>8</v>
      </c>
      <c r="J2846" s="15" t="s">
        <v>8</v>
      </c>
      <c r="K2846" s="15" t="s">
        <v>8</v>
      </c>
      <c r="L2846" s="15" t="s">
        <v>8</v>
      </c>
      <c r="M2846" s="21" t="str">
        <f>HYPERLINK("http://yeinfo.com/family/I09001349.html", "RICHARD GOODMAN 1609 EN-1676 MA ID:09002698")</f>
        <v>RICHARD GOODMAN 1609 EN-1676 MA ID:09002698</v>
      </c>
      <c r="N2846" s="6"/>
      <c r="O2846" s="6"/>
      <c r="P2846" s="6"/>
      <c r="Q2846" s="6"/>
    </row>
    <row r="2847" spans="3:19" x14ac:dyDescent="0.35">
      <c r="C2847" s="15" t="s">
        <v>8</v>
      </c>
      <c r="D2847" s="15" t="s">
        <v>8</v>
      </c>
      <c r="E2847" s="15" t="s">
        <v>8</v>
      </c>
      <c r="F2847" s="15" t="s">
        <v>8</v>
      </c>
      <c r="I2847" s="15" t="s">
        <v>8</v>
      </c>
      <c r="J2847" s="15" t="s">
        <v>8</v>
      </c>
      <c r="K2847" s="15" t="s">
        <v>8</v>
      </c>
      <c r="L2847" s="8" t="s">
        <v>6</v>
      </c>
      <c r="M2847" s="8" t="s">
        <v>3</v>
      </c>
    </row>
    <row r="2848" spans="3:19" x14ac:dyDescent="0.35">
      <c r="C2848" s="15" t="s">
        <v>8</v>
      </c>
      <c r="D2848" s="15" t="s">
        <v>8</v>
      </c>
      <c r="E2848" s="15" t="s">
        <v>8</v>
      </c>
      <c r="F2848" s="15" t="s">
        <v>8</v>
      </c>
      <c r="I2848" s="15" t="s">
        <v>8</v>
      </c>
      <c r="J2848" s="15" t="s">
        <v>8</v>
      </c>
      <c r="K2848" s="15" t="s">
        <v>8</v>
      </c>
      <c r="L2848" s="16" t="str">
        <f>HYPERLINK("http://yeinfo.com/family/I09005395.html", "ELIZABETH GOODMAN 1671 MA-1713 MA ID:09001349")</f>
        <v>ELIZABETH GOODMAN 1671 MA-1713 MA ID:09001349</v>
      </c>
      <c r="M2848" s="11"/>
      <c r="N2848" s="11"/>
      <c r="O2848" s="11"/>
      <c r="P2848" s="11"/>
    </row>
    <row r="2849" spans="3:21" x14ac:dyDescent="0.35">
      <c r="C2849" s="15" t="s">
        <v>8</v>
      </c>
      <c r="D2849" s="15" t="s">
        <v>8</v>
      </c>
      <c r="E2849" s="15" t="s">
        <v>8</v>
      </c>
      <c r="F2849" s="15" t="s">
        <v>8</v>
      </c>
      <c r="I2849" s="15" t="s">
        <v>8</v>
      </c>
      <c r="J2849" s="15" t="s">
        <v>8</v>
      </c>
      <c r="K2849" s="15" t="s">
        <v>8</v>
      </c>
      <c r="M2849" s="15" t="s">
        <v>8</v>
      </c>
    </row>
    <row r="2850" spans="3:21" x14ac:dyDescent="0.35">
      <c r="C2850" s="15" t="s">
        <v>8</v>
      </c>
      <c r="D2850" s="15" t="s">
        <v>8</v>
      </c>
      <c r="E2850" s="15" t="s">
        <v>8</v>
      </c>
      <c r="F2850" s="15" t="s">
        <v>8</v>
      </c>
      <c r="I2850" s="15" t="s">
        <v>8</v>
      </c>
      <c r="J2850" s="15" t="s">
        <v>8</v>
      </c>
      <c r="K2850" s="15" t="s">
        <v>8</v>
      </c>
      <c r="M2850" s="15" t="s">
        <v>8</v>
      </c>
      <c r="O2850" s="19" t="str">
        <f>HYPERLINK("http://yeinfo.com/family/I09005398.html", "JOHN TERRY 1580 EN-1610 EN ID:09010796")</f>
        <v>JOHN TERRY 1580 EN-1610 EN ID:09010796</v>
      </c>
      <c r="P2850" s="9"/>
      <c r="Q2850" s="9"/>
      <c r="R2850" s="9"/>
      <c r="S2850" s="9"/>
    </row>
    <row r="2851" spans="3:21" x14ac:dyDescent="0.35">
      <c r="C2851" s="15" t="s">
        <v>8</v>
      </c>
      <c r="D2851" s="15" t="s">
        <v>8</v>
      </c>
      <c r="E2851" s="15" t="s">
        <v>8</v>
      </c>
      <c r="F2851" s="15" t="s">
        <v>8</v>
      </c>
      <c r="I2851" s="15" t="s">
        <v>8</v>
      </c>
      <c r="J2851" s="15" t="s">
        <v>8</v>
      </c>
      <c r="K2851" s="15" t="s">
        <v>8</v>
      </c>
      <c r="M2851" s="15" t="s">
        <v>8</v>
      </c>
      <c r="O2851" s="8" t="s">
        <v>3</v>
      </c>
    </row>
    <row r="2852" spans="3:21" x14ac:dyDescent="0.35">
      <c r="C2852" s="15" t="s">
        <v>8</v>
      </c>
      <c r="D2852" s="15" t="s">
        <v>8</v>
      </c>
      <c r="E2852" s="15" t="s">
        <v>8</v>
      </c>
      <c r="F2852" s="15" t="s">
        <v>8</v>
      </c>
      <c r="I2852" s="15" t="s">
        <v>8</v>
      </c>
      <c r="J2852" s="15" t="s">
        <v>8</v>
      </c>
      <c r="K2852" s="15" t="s">
        <v>8</v>
      </c>
      <c r="M2852" s="15" t="s">
        <v>8</v>
      </c>
      <c r="N2852" s="21" t="str">
        <f>HYPERLINK("http://yeinfo.com/family/I09002699.html", "STEPHEN TERRY 1608 EN-1668 MA ID:09005398")</f>
        <v>STEPHEN TERRY 1608 EN-1668 MA ID:09005398</v>
      </c>
      <c r="O2852" s="6"/>
      <c r="P2852" s="6"/>
      <c r="Q2852" s="6"/>
      <c r="R2852" s="6"/>
    </row>
    <row r="2853" spans="3:21" x14ac:dyDescent="0.35">
      <c r="C2853" s="15" t="s">
        <v>8</v>
      </c>
      <c r="D2853" s="15" t="s">
        <v>8</v>
      </c>
      <c r="E2853" s="15" t="s">
        <v>8</v>
      </c>
      <c r="F2853" s="15" t="s">
        <v>8</v>
      </c>
      <c r="I2853" s="15" t="s">
        <v>8</v>
      </c>
      <c r="J2853" s="15" t="s">
        <v>8</v>
      </c>
      <c r="K2853" s="15" t="s">
        <v>8</v>
      </c>
      <c r="M2853" s="15" t="s">
        <v>8</v>
      </c>
      <c r="N2853" s="8" t="s">
        <v>3</v>
      </c>
      <c r="O2853" s="15" t="s">
        <v>8</v>
      </c>
    </row>
    <row r="2854" spans="3:21" x14ac:dyDescent="0.35">
      <c r="C2854" s="15" t="s">
        <v>8</v>
      </c>
      <c r="D2854" s="15" t="s">
        <v>8</v>
      </c>
      <c r="E2854" s="15" t="s">
        <v>8</v>
      </c>
      <c r="F2854" s="15" t="s">
        <v>8</v>
      </c>
      <c r="I2854" s="15" t="s">
        <v>8</v>
      </c>
      <c r="J2854" s="15" t="s">
        <v>8</v>
      </c>
      <c r="K2854" s="15" t="s">
        <v>8</v>
      </c>
      <c r="M2854" s="15" t="s">
        <v>8</v>
      </c>
      <c r="N2854" s="15" t="s">
        <v>8</v>
      </c>
      <c r="O2854" s="15" t="s">
        <v>8</v>
      </c>
      <c r="P2854" s="19" t="str">
        <f>HYPERLINK("http://yeinfo.com/family/I09010797.html", "JOHN WHITE 1555 EN-1582 EN ID:09021594")</f>
        <v>JOHN WHITE 1555 EN-1582 EN ID:09021594</v>
      </c>
      <c r="Q2854" s="9"/>
      <c r="R2854" s="9"/>
      <c r="S2854" s="9"/>
      <c r="T2854" s="9"/>
    </row>
    <row r="2855" spans="3:21" x14ac:dyDescent="0.35">
      <c r="C2855" s="15" t="s">
        <v>8</v>
      </c>
      <c r="D2855" s="15" t="s">
        <v>8</v>
      </c>
      <c r="E2855" s="15" t="s">
        <v>8</v>
      </c>
      <c r="F2855" s="15" t="s">
        <v>8</v>
      </c>
      <c r="I2855" s="15" t="s">
        <v>8</v>
      </c>
      <c r="J2855" s="15" t="s">
        <v>8</v>
      </c>
      <c r="K2855" s="15" t="s">
        <v>8</v>
      </c>
      <c r="M2855" s="15" t="s">
        <v>8</v>
      </c>
      <c r="N2855" s="15" t="s">
        <v>8</v>
      </c>
      <c r="O2855" s="8" t="s">
        <v>6</v>
      </c>
      <c r="P2855" s="8" t="s">
        <v>3</v>
      </c>
    </row>
    <row r="2856" spans="3:21" x14ac:dyDescent="0.35">
      <c r="C2856" s="15" t="s">
        <v>8</v>
      </c>
      <c r="D2856" s="15" t="s">
        <v>8</v>
      </c>
      <c r="E2856" s="15" t="s">
        <v>8</v>
      </c>
      <c r="F2856" s="15" t="s">
        <v>8</v>
      </c>
      <c r="I2856" s="15" t="s">
        <v>8</v>
      </c>
      <c r="J2856" s="15" t="s">
        <v>8</v>
      </c>
      <c r="K2856" s="15" t="s">
        <v>8</v>
      </c>
      <c r="M2856" s="15" t="s">
        <v>8</v>
      </c>
      <c r="N2856" s="15" t="s">
        <v>8</v>
      </c>
      <c r="O2856" s="20" t="str">
        <f>HYPERLINK("http://yeinfo.com/family/I09010796.html", "MARY WHITE 1580 EN-1637 EN ID:09010797")</f>
        <v>MARY WHITE 1580 EN-1637 EN ID:09010797</v>
      </c>
      <c r="P2856" s="17"/>
      <c r="Q2856" s="17"/>
      <c r="R2856" s="17"/>
      <c r="S2856" s="17"/>
    </row>
    <row r="2857" spans="3:21" x14ac:dyDescent="0.35">
      <c r="C2857" s="15" t="s">
        <v>8</v>
      </c>
      <c r="D2857" s="15" t="s">
        <v>8</v>
      </c>
      <c r="E2857" s="15" t="s">
        <v>8</v>
      </c>
      <c r="F2857" s="15" t="s">
        <v>8</v>
      </c>
      <c r="I2857" s="15" t="s">
        <v>8</v>
      </c>
      <c r="J2857" s="15" t="s">
        <v>8</v>
      </c>
      <c r="K2857" s="15" t="s">
        <v>8</v>
      </c>
      <c r="M2857" s="15" t="s">
        <v>8</v>
      </c>
      <c r="N2857" s="15" t="s">
        <v>8</v>
      </c>
      <c r="P2857" s="8" t="s">
        <v>6</v>
      </c>
    </row>
    <row r="2858" spans="3:21" x14ac:dyDescent="0.35">
      <c r="C2858" s="15" t="s">
        <v>8</v>
      </c>
      <c r="D2858" s="15" t="s">
        <v>8</v>
      </c>
      <c r="E2858" s="15" t="s">
        <v>8</v>
      </c>
      <c r="F2858" s="15" t="s">
        <v>8</v>
      </c>
      <c r="I2858" s="15" t="s">
        <v>8</v>
      </c>
      <c r="J2858" s="15" t="s">
        <v>8</v>
      </c>
      <c r="K2858" s="15" t="s">
        <v>8</v>
      </c>
      <c r="M2858" s="15" t="s">
        <v>8</v>
      </c>
      <c r="N2858" s="15" t="s">
        <v>8</v>
      </c>
      <c r="P2858" s="20" t="str">
        <f>HYPERLINK("http://yeinfo.com/family/I09021594.html", "ELIZABETH\ISABEL BAWLE 1555 EN-1582  ID:09021595")</f>
        <v>ELIZABETH\ISABEL BAWLE 1555 EN-1582  ID:09021595</v>
      </c>
      <c r="Q2858" s="17"/>
      <c r="R2858" s="17"/>
      <c r="S2858" s="17"/>
      <c r="T2858" s="17"/>
      <c r="U2858" s="17"/>
    </row>
    <row r="2859" spans="3:21" x14ac:dyDescent="0.35">
      <c r="C2859" s="15" t="s">
        <v>8</v>
      </c>
      <c r="D2859" s="15" t="s">
        <v>8</v>
      </c>
      <c r="E2859" s="15" t="s">
        <v>8</v>
      </c>
      <c r="F2859" s="15" t="s">
        <v>8</v>
      </c>
      <c r="I2859" s="15" t="s">
        <v>8</v>
      </c>
      <c r="J2859" s="15" t="s">
        <v>8</v>
      </c>
      <c r="K2859" s="15" t="s">
        <v>8</v>
      </c>
      <c r="M2859" s="8" t="s">
        <v>6</v>
      </c>
      <c r="N2859" s="15" t="s">
        <v>8</v>
      </c>
    </row>
    <row r="2860" spans="3:21" x14ac:dyDescent="0.35">
      <c r="C2860" s="15" t="s">
        <v>8</v>
      </c>
      <c r="D2860" s="15" t="s">
        <v>8</v>
      </c>
      <c r="E2860" s="15" t="s">
        <v>8</v>
      </c>
      <c r="F2860" s="15" t="s">
        <v>8</v>
      </c>
      <c r="I2860" s="15" t="s">
        <v>8</v>
      </c>
      <c r="J2860" s="15" t="s">
        <v>8</v>
      </c>
      <c r="K2860" s="15" t="s">
        <v>8</v>
      </c>
      <c r="M2860" s="16" t="str">
        <f>HYPERLINK("http://yeinfo.com/family/I09002698.html", "MARY TERRY 1635 MA-1693 MA ID:09002699")</f>
        <v>MARY TERRY 1635 MA-1693 MA ID:09002699</v>
      </c>
      <c r="N2860" s="11"/>
      <c r="O2860" s="11"/>
      <c r="P2860" s="11"/>
      <c r="Q2860" s="11"/>
    </row>
    <row r="2861" spans="3:21" x14ac:dyDescent="0.35">
      <c r="C2861" s="15" t="s">
        <v>8</v>
      </c>
      <c r="D2861" s="15" t="s">
        <v>8</v>
      </c>
      <c r="E2861" s="15" t="s">
        <v>8</v>
      </c>
      <c r="F2861" s="15" t="s">
        <v>8</v>
      </c>
      <c r="I2861" s="15" t="s">
        <v>8</v>
      </c>
      <c r="J2861" s="15" t="s">
        <v>8</v>
      </c>
      <c r="K2861" s="15" t="s">
        <v>8</v>
      </c>
      <c r="N2861" s="8" t="s">
        <v>6</v>
      </c>
    </row>
    <row r="2862" spans="3:21" x14ac:dyDescent="0.35">
      <c r="C2862" s="15" t="s">
        <v>8</v>
      </c>
      <c r="D2862" s="15" t="s">
        <v>8</v>
      </c>
      <c r="E2862" s="15" t="s">
        <v>8</v>
      </c>
      <c r="F2862" s="15" t="s">
        <v>8</v>
      </c>
      <c r="I2862" s="15" t="s">
        <v>8</v>
      </c>
      <c r="J2862" s="15" t="s">
        <v>8</v>
      </c>
      <c r="K2862" s="15" t="s">
        <v>8</v>
      </c>
      <c r="N2862" s="22" t="str">
        <f>HYPERLINK("http://yeinfo.com/family/I09021595.html", "ELIZABETH JANE\JOAN HARDEY 1604 EN-1647 CT ID:09005399")</f>
        <v>ELIZABETH JANE\JOAN HARDEY 1604 EN-1647 CT ID:09005399</v>
      </c>
      <c r="O2862" s="13"/>
      <c r="P2862" s="13"/>
      <c r="Q2862" s="13"/>
      <c r="R2862" s="13"/>
      <c r="S2862" s="13"/>
    </row>
    <row r="2863" spans="3:21" x14ac:dyDescent="0.35">
      <c r="C2863" s="15" t="s">
        <v>8</v>
      </c>
      <c r="D2863" s="15" t="s">
        <v>8</v>
      </c>
      <c r="E2863" s="15" t="s">
        <v>8</v>
      </c>
      <c r="F2863" s="15" t="s">
        <v>8</v>
      </c>
      <c r="I2863" s="15" t="s">
        <v>8</v>
      </c>
      <c r="J2863" s="8" t="s">
        <v>6</v>
      </c>
      <c r="K2863" s="15" t="s">
        <v>8</v>
      </c>
    </row>
    <row r="2864" spans="3:21" x14ac:dyDescent="0.35">
      <c r="C2864" s="15" t="s">
        <v>8</v>
      </c>
      <c r="D2864" s="15" t="s">
        <v>8</v>
      </c>
      <c r="E2864" s="15" t="s">
        <v>8</v>
      </c>
      <c r="F2864" s="15" t="s">
        <v>8</v>
      </c>
      <c r="I2864" s="15" t="s">
        <v>8</v>
      </c>
      <c r="J2864" s="16" t="str">
        <f>HYPERLINK("http://yeinfo.com/family/I09000336.html", "MARY WARNER 1743 CT-1819 VT ID:09000337")</f>
        <v>MARY WARNER 1743 CT-1819 VT ID:09000337</v>
      </c>
      <c r="K2864" s="11"/>
      <c r="L2864" s="11"/>
      <c r="M2864" s="11"/>
      <c r="N2864" s="11"/>
    </row>
    <row r="2865" spans="3:20" x14ac:dyDescent="0.35">
      <c r="C2865" s="15" t="s">
        <v>8</v>
      </c>
      <c r="D2865" s="15" t="s">
        <v>8</v>
      </c>
      <c r="E2865" s="15" t="s">
        <v>8</v>
      </c>
      <c r="F2865" s="15" t="s">
        <v>8</v>
      </c>
      <c r="I2865" s="15" t="s">
        <v>8</v>
      </c>
      <c r="K2865" s="8" t="s">
        <v>6</v>
      </c>
    </row>
    <row r="2866" spans="3:20" x14ac:dyDescent="0.35">
      <c r="C2866" s="15" t="s">
        <v>8</v>
      </c>
      <c r="D2866" s="15" t="s">
        <v>8</v>
      </c>
      <c r="E2866" s="15" t="s">
        <v>8</v>
      </c>
      <c r="F2866" s="15" t="s">
        <v>8</v>
      </c>
      <c r="I2866" s="15" t="s">
        <v>8</v>
      </c>
      <c r="K2866" s="16" t="str">
        <f>HYPERLINK("http://yeinfo.com/family/I09005399.html", "SARAH BARTLETT 1709 MA-1757 CT ID:09000675")</f>
        <v>SARAH BARTLETT 1709 MA-1757 CT ID:09000675</v>
      </c>
      <c r="L2866" s="11"/>
      <c r="M2866" s="11"/>
      <c r="N2866" s="11"/>
      <c r="O2866" s="11"/>
    </row>
    <row r="2867" spans="3:20" x14ac:dyDescent="0.35">
      <c r="C2867" s="15" t="s">
        <v>8</v>
      </c>
      <c r="D2867" s="15" t="s">
        <v>8</v>
      </c>
      <c r="E2867" s="15" t="s">
        <v>8</v>
      </c>
      <c r="F2867" s="15" t="s">
        <v>8</v>
      </c>
      <c r="I2867" s="15" t="s">
        <v>8</v>
      </c>
    </row>
    <row r="2868" spans="3:20" x14ac:dyDescent="0.35">
      <c r="C2868" s="15" t="s">
        <v>8</v>
      </c>
      <c r="D2868" s="15" t="s">
        <v>8</v>
      </c>
      <c r="E2868" s="15" t="s">
        <v>8</v>
      </c>
      <c r="F2868" s="15" t="s">
        <v>8</v>
      </c>
      <c r="H2868" s="5" t="str">
        <f>HYPERLINK("http://yeinfo.com/family/I09000042.html", "CYRUS DOUGLASS 1792 VT-1880 IL ID:09000084")</f>
        <v>CYRUS DOUGLASS 1792 VT-1880 IL ID:09000084</v>
      </c>
      <c r="I2868" s="3"/>
      <c r="J2868" s="3"/>
      <c r="K2868" s="3"/>
      <c r="L2868" s="3"/>
    </row>
    <row r="2869" spans="3:20" x14ac:dyDescent="0.35">
      <c r="C2869" s="15" t="s">
        <v>8</v>
      </c>
      <c r="D2869" s="15" t="s">
        <v>8</v>
      </c>
      <c r="E2869" s="15" t="s">
        <v>8</v>
      </c>
      <c r="F2869" s="15" t="s">
        <v>8</v>
      </c>
      <c r="H2869" s="8" t="s">
        <v>3</v>
      </c>
      <c r="I2869" s="15" t="s">
        <v>8</v>
      </c>
    </row>
    <row r="2870" spans="3:20" x14ac:dyDescent="0.35">
      <c r="C2870" s="15" t="s">
        <v>8</v>
      </c>
      <c r="D2870" s="15" t="s">
        <v>8</v>
      </c>
      <c r="E2870" s="15" t="s">
        <v>8</v>
      </c>
      <c r="F2870" s="15" t="s">
        <v>8</v>
      </c>
      <c r="H2870" s="15" t="s">
        <v>8</v>
      </c>
      <c r="I2870" s="15" t="s">
        <v>8</v>
      </c>
      <c r="P2870" s="19" t="str">
        <f>HYPERLINK("http://yeinfo.com/family/I09010816.html", "JONATHAN SCOTT 1560 EN-1620 EN ID:09021632")</f>
        <v>JONATHAN SCOTT 1560 EN-1620 EN ID:09021632</v>
      </c>
      <c r="Q2870" s="9"/>
      <c r="R2870" s="9"/>
      <c r="S2870" s="9"/>
      <c r="T2870" s="9"/>
    </row>
    <row r="2871" spans="3:20" x14ac:dyDescent="0.35">
      <c r="C2871" s="15" t="s">
        <v>8</v>
      </c>
      <c r="D2871" s="15" t="s">
        <v>8</v>
      </c>
      <c r="E2871" s="15" t="s">
        <v>8</v>
      </c>
      <c r="F2871" s="15" t="s">
        <v>8</v>
      </c>
      <c r="H2871" s="15" t="s">
        <v>8</v>
      </c>
      <c r="I2871" s="15" t="s">
        <v>8</v>
      </c>
      <c r="P2871" s="8" t="s">
        <v>3</v>
      </c>
    </row>
    <row r="2872" spans="3:20" x14ac:dyDescent="0.35">
      <c r="C2872" s="15" t="s">
        <v>8</v>
      </c>
      <c r="D2872" s="15" t="s">
        <v>8</v>
      </c>
      <c r="E2872" s="15" t="s">
        <v>8</v>
      </c>
      <c r="F2872" s="15" t="s">
        <v>8</v>
      </c>
      <c r="H2872" s="15" t="s">
        <v>8</v>
      </c>
      <c r="I2872" s="15" t="s">
        <v>8</v>
      </c>
      <c r="O2872" s="19" t="str">
        <f>HYPERLINK("http://yeinfo.com/family/I09005408.html", "WILLIAM SCOTT 1582 EN-1680 EN ID:09010816")</f>
        <v>WILLIAM SCOTT 1582 EN-1680 EN ID:09010816</v>
      </c>
      <c r="P2872" s="9"/>
      <c r="Q2872" s="9"/>
      <c r="R2872" s="9"/>
      <c r="S2872" s="9"/>
    </row>
    <row r="2873" spans="3:20" x14ac:dyDescent="0.35">
      <c r="C2873" s="15" t="s">
        <v>8</v>
      </c>
      <c r="D2873" s="15" t="s">
        <v>8</v>
      </c>
      <c r="E2873" s="15" t="s">
        <v>8</v>
      </c>
      <c r="F2873" s="15" t="s">
        <v>8</v>
      </c>
      <c r="H2873" s="15" t="s">
        <v>8</v>
      </c>
      <c r="I2873" s="15" t="s">
        <v>8</v>
      </c>
      <c r="O2873" s="8" t="s">
        <v>3</v>
      </c>
      <c r="P2873" s="8" t="s">
        <v>6</v>
      </c>
    </row>
    <row r="2874" spans="3:20" x14ac:dyDescent="0.35">
      <c r="C2874" s="15" t="s">
        <v>8</v>
      </c>
      <c r="D2874" s="15" t="s">
        <v>8</v>
      </c>
      <c r="E2874" s="15" t="s">
        <v>8</v>
      </c>
      <c r="F2874" s="15" t="s">
        <v>8</v>
      </c>
      <c r="H2874" s="15" t="s">
        <v>8</v>
      </c>
      <c r="I2874" s="15" t="s">
        <v>8</v>
      </c>
      <c r="O2874" s="15" t="s">
        <v>8</v>
      </c>
      <c r="P2874" s="20" t="str">
        <f>HYPERLINK("http://yeinfo.com/family/I09021632.html", "Mrs. ALICE SCOTT 1560 EN-1582 EN ID:09021633")</f>
        <v>Mrs. ALICE SCOTT 1560 EN-1582 EN ID:09021633</v>
      </c>
      <c r="Q2874" s="17"/>
      <c r="R2874" s="17"/>
      <c r="S2874" s="17"/>
      <c r="T2874" s="17"/>
    </row>
    <row r="2875" spans="3:20" x14ac:dyDescent="0.35">
      <c r="C2875" s="15" t="s">
        <v>8</v>
      </c>
      <c r="D2875" s="15" t="s">
        <v>8</v>
      </c>
      <c r="E2875" s="15" t="s">
        <v>8</v>
      </c>
      <c r="F2875" s="15" t="s">
        <v>8</v>
      </c>
      <c r="H2875" s="15" t="s">
        <v>8</v>
      </c>
      <c r="I2875" s="15" t="s">
        <v>8</v>
      </c>
      <c r="O2875" s="15" t="s">
        <v>8</v>
      </c>
    </row>
    <row r="2876" spans="3:20" x14ac:dyDescent="0.35">
      <c r="C2876" s="15" t="s">
        <v>8</v>
      </c>
      <c r="D2876" s="15" t="s">
        <v>8</v>
      </c>
      <c r="E2876" s="15" t="s">
        <v>8</v>
      </c>
      <c r="F2876" s="15" t="s">
        <v>8</v>
      </c>
      <c r="H2876" s="15" t="s">
        <v>8</v>
      </c>
      <c r="I2876" s="15" t="s">
        <v>8</v>
      </c>
      <c r="N2876" s="21" t="str">
        <f>HYPERLINK("http://yeinfo.com/family/I09002704.html", "BENJAMIN SCOTT 1612 EN-1671 MA ID:09005408")</f>
        <v>BENJAMIN SCOTT 1612 EN-1671 MA ID:09005408</v>
      </c>
      <c r="O2876" s="6"/>
      <c r="P2876" s="6"/>
      <c r="Q2876" s="6"/>
      <c r="R2876" s="6"/>
    </row>
    <row r="2877" spans="3:20" x14ac:dyDescent="0.35">
      <c r="C2877" s="15" t="s">
        <v>8</v>
      </c>
      <c r="D2877" s="15" t="s">
        <v>8</v>
      </c>
      <c r="E2877" s="15" t="s">
        <v>8</v>
      </c>
      <c r="F2877" s="15" t="s">
        <v>8</v>
      </c>
      <c r="H2877" s="15" t="s">
        <v>8</v>
      </c>
      <c r="I2877" s="15" t="s">
        <v>8</v>
      </c>
      <c r="N2877" s="8" t="s">
        <v>3</v>
      </c>
      <c r="O2877" s="8" t="s">
        <v>6</v>
      </c>
    </row>
    <row r="2878" spans="3:20" x14ac:dyDescent="0.35">
      <c r="C2878" s="15" t="s">
        <v>8</v>
      </c>
      <c r="D2878" s="15" t="s">
        <v>8</v>
      </c>
      <c r="E2878" s="15" t="s">
        <v>8</v>
      </c>
      <c r="F2878" s="15" t="s">
        <v>8</v>
      </c>
      <c r="H2878" s="15" t="s">
        <v>8</v>
      </c>
      <c r="I2878" s="15" t="s">
        <v>8</v>
      </c>
      <c r="N2878" s="15" t="s">
        <v>8</v>
      </c>
      <c r="O2878" s="20" t="str">
        <f>HYPERLINK("http://yeinfo.com/family/I09021633.html", "ALICE\BRIDGET GIBSONE 1580 EN-1612 EN ID:09010817")</f>
        <v>ALICE\BRIDGET GIBSONE 1580 EN-1612 EN ID:09010817</v>
      </c>
      <c r="P2878" s="17"/>
      <c r="Q2878" s="17"/>
      <c r="R2878" s="17"/>
      <c r="S2878" s="17"/>
      <c r="T2878" s="17"/>
    </row>
    <row r="2879" spans="3:20" x14ac:dyDescent="0.35">
      <c r="C2879" s="15" t="s">
        <v>8</v>
      </c>
      <c r="D2879" s="15" t="s">
        <v>8</v>
      </c>
      <c r="E2879" s="15" t="s">
        <v>8</v>
      </c>
      <c r="F2879" s="15" t="s">
        <v>8</v>
      </c>
      <c r="H2879" s="15" t="s">
        <v>8</v>
      </c>
      <c r="I2879" s="15" t="s">
        <v>8</v>
      </c>
      <c r="N2879" s="15" t="s">
        <v>8</v>
      </c>
    </row>
    <row r="2880" spans="3:20" x14ac:dyDescent="0.35">
      <c r="C2880" s="15" t="s">
        <v>8</v>
      </c>
      <c r="D2880" s="15" t="s">
        <v>8</v>
      </c>
      <c r="E2880" s="15" t="s">
        <v>8</v>
      </c>
      <c r="F2880" s="15" t="s">
        <v>8</v>
      </c>
      <c r="H2880" s="15" t="s">
        <v>8</v>
      </c>
      <c r="I2880" s="15" t="s">
        <v>8</v>
      </c>
      <c r="M2880" s="5" t="str">
        <f>HYPERLINK("http://yeinfo.com/family/I09001352.html", "JOHN SCOTT 1646 MA-1706 MA ID:09002704")</f>
        <v>JOHN SCOTT 1646 MA-1706 MA ID:09002704</v>
      </c>
      <c r="N2880" s="3"/>
      <c r="O2880" s="3"/>
      <c r="P2880" s="3"/>
      <c r="Q2880" s="3"/>
    </row>
    <row r="2881" spans="3:19" x14ac:dyDescent="0.35">
      <c r="C2881" s="15" t="s">
        <v>8</v>
      </c>
      <c r="D2881" s="15" t="s">
        <v>8</v>
      </c>
      <c r="E2881" s="15" t="s">
        <v>8</v>
      </c>
      <c r="F2881" s="15" t="s">
        <v>8</v>
      </c>
      <c r="H2881" s="15" t="s">
        <v>8</v>
      </c>
      <c r="I2881" s="15" t="s">
        <v>8</v>
      </c>
      <c r="M2881" s="8" t="s">
        <v>3</v>
      </c>
      <c r="N2881" s="15" t="s">
        <v>8</v>
      </c>
    </row>
    <row r="2882" spans="3:19" x14ac:dyDescent="0.35">
      <c r="C2882" s="15" t="s">
        <v>8</v>
      </c>
      <c r="D2882" s="15" t="s">
        <v>8</v>
      </c>
      <c r="E2882" s="15" t="s">
        <v>8</v>
      </c>
      <c r="F2882" s="15" t="s">
        <v>8</v>
      </c>
      <c r="H2882" s="15" t="s">
        <v>8</v>
      </c>
      <c r="I2882" s="15" t="s">
        <v>8</v>
      </c>
      <c r="M2882" s="15" t="s">
        <v>8</v>
      </c>
      <c r="N2882" s="15" t="s">
        <v>8</v>
      </c>
      <c r="O2882" s="5" t="str">
        <f>HYPERLINK("http://yeinfo.com/family/I09005409.html", "EDWARD STEVENSON 1592 EN-1614  ID:09010818")</f>
        <v>EDWARD STEVENSON 1592 EN-1614  ID:09010818</v>
      </c>
      <c r="P2882" s="3"/>
      <c r="Q2882" s="3"/>
      <c r="R2882" s="3"/>
      <c r="S2882" s="3"/>
    </row>
    <row r="2883" spans="3:19" x14ac:dyDescent="0.35">
      <c r="C2883" s="15" t="s">
        <v>8</v>
      </c>
      <c r="D2883" s="15" t="s">
        <v>8</v>
      </c>
      <c r="E2883" s="15" t="s">
        <v>8</v>
      </c>
      <c r="F2883" s="15" t="s">
        <v>8</v>
      </c>
      <c r="H2883" s="15" t="s">
        <v>8</v>
      </c>
      <c r="I2883" s="15" t="s">
        <v>8</v>
      </c>
      <c r="M2883" s="15" t="s">
        <v>8</v>
      </c>
      <c r="N2883" s="8" t="s">
        <v>6</v>
      </c>
      <c r="O2883" s="8" t="s">
        <v>3</v>
      </c>
    </row>
    <row r="2884" spans="3:19" x14ac:dyDescent="0.35">
      <c r="C2884" s="15" t="s">
        <v>8</v>
      </c>
      <c r="D2884" s="15" t="s">
        <v>8</v>
      </c>
      <c r="E2884" s="15" t="s">
        <v>8</v>
      </c>
      <c r="F2884" s="15" t="s">
        <v>8</v>
      </c>
      <c r="H2884" s="15" t="s">
        <v>8</v>
      </c>
      <c r="I2884" s="15" t="s">
        <v>8</v>
      </c>
      <c r="M2884" s="15" t="s">
        <v>8</v>
      </c>
      <c r="N2884" s="22" t="str">
        <f>HYPERLINK("http://yeinfo.com/family/I09010817.html", "MARGARET STEVENSON 1614 EN-1692 MA ID:09005409")</f>
        <v>MARGARET STEVENSON 1614 EN-1692 MA ID:09005409</v>
      </c>
      <c r="O2884" s="13"/>
      <c r="P2884" s="13"/>
      <c r="Q2884" s="13"/>
      <c r="R2884" s="13"/>
    </row>
    <row r="2885" spans="3:19" x14ac:dyDescent="0.35">
      <c r="C2885" s="15" t="s">
        <v>8</v>
      </c>
      <c r="D2885" s="15" t="s">
        <v>8</v>
      </c>
      <c r="E2885" s="15" t="s">
        <v>8</v>
      </c>
      <c r="F2885" s="15" t="s">
        <v>8</v>
      </c>
      <c r="H2885" s="15" t="s">
        <v>8</v>
      </c>
      <c r="I2885" s="15" t="s">
        <v>8</v>
      </c>
      <c r="M2885" s="15" t="s">
        <v>8</v>
      </c>
      <c r="O2885" s="8" t="s">
        <v>6</v>
      </c>
    </row>
    <row r="2886" spans="3:19" x14ac:dyDescent="0.35">
      <c r="C2886" s="15" t="s">
        <v>8</v>
      </c>
      <c r="D2886" s="15" t="s">
        <v>8</v>
      </c>
      <c r="E2886" s="15" t="s">
        <v>8</v>
      </c>
      <c r="F2886" s="15" t="s">
        <v>8</v>
      </c>
      <c r="H2886" s="15" t="s">
        <v>8</v>
      </c>
      <c r="I2886" s="15" t="s">
        <v>8</v>
      </c>
      <c r="M2886" s="15" t="s">
        <v>8</v>
      </c>
      <c r="O2886" s="16" t="str">
        <f>HYPERLINK("http://yeinfo.com/family/I09010818.html", "MARGARETA DUNN 1596 EN-1616  ID:09010819")</f>
        <v>MARGARETA DUNN 1596 EN-1616  ID:09010819</v>
      </c>
      <c r="P2886" s="11"/>
      <c r="Q2886" s="11"/>
      <c r="R2886" s="11"/>
      <c r="S2886" s="11"/>
    </row>
    <row r="2887" spans="3:19" x14ac:dyDescent="0.35">
      <c r="C2887" s="15" t="s">
        <v>8</v>
      </c>
      <c r="D2887" s="15" t="s">
        <v>8</v>
      </c>
      <c r="E2887" s="15" t="s">
        <v>8</v>
      </c>
      <c r="F2887" s="15" t="s">
        <v>8</v>
      </c>
      <c r="H2887" s="15" t="s">
        <v>8</v>
      </c>
      <c r="I2887" s="15" t="s">
        <v>8</v>
      </c>
      <c r="M2887" s="15" t="s">
        <v>8</v>
      </c>
    </row>
    <row r="2888" spans="3:19" x14ac:dyDescent="0.35">
      <c r="C2888" s="15" t="s">
        <v>8</v>
      </c>
      <c r="D2888" s="15" t="s">
        <v>8</v>
      </c>
      <c r="E2888" s="15" t="s">
        <v>8</v>
      </c>
      <c r="F2888" s="15" t="s">
        <v>8</v>
      </c>
      <c r="H2888" s="15" t="s">
        <v>8</v>
      </c>
      <c r="I2888" s="15" t="s">
        <v>8</v>
      </c>
      <c r="L2888" s="5" t="str">
        <f>HYPERLINK("http://yeinfo.com/family/I09000676.html", "JOSEPH SCOTT 1682 MA-1724 MA ID:09001352")</f>
        <v>JOSEPH SCOTT 1682 MA-1724 MA ID:09001352</v>
      </c>
      <c r="M2888" s="3"/>
      <c r="N2888" s="3"/>
      <c r="O2888" s="3"/>
      <c r="P2888" s="3"/>
    </row>
    <row r="2889" spans="3:19" x14ac:dyDescent="0.35">
      <c r="C2889" s="15" t="s">
        <v>8</v>
      </c>
      <c r="D2889" s="15" t="s">
        <v>8</v>
      </c>
      <c r="E2889" s="15" t="s">
        <v>8</v>
      </c>
      <c r="F2889" s="15" t="s">
        <v>8</v>
      </c>
      <c r="H2889" s="15" t="s">
        <v>8</v>
      </c>
      <c r="I2889" s="15" t="s">
        <v>8</v>
      </c>
      <c r="L2889" s="8" t="s">
        <v>3</v>
      </c>
      <c r="M2889" s="15" t="s">
        <v>8</v>
      </c>
    </row>
    <row r="2890" spans="3:19" x14ac:dyDescent="0.35">
      <c r="C2890" s="15" t="s">
        <v>8</v>
      </c>
      <c r="D2890" s="15" t="s">
        <v>8</v>
      </c>
      <c r="E2890" s="15" t="s">
        <v>8</v>
      </c>
      <c r="F2890" s="15" t="s">
        <v>8</v>
      </c>
      <c r="H2890" s="15" t="s">
        <v>8</v>
      </c>
      <c r="I2890" s="15" t="s">
        <v>8</v>
      </c>
      <c r="L2890" s="15" t="s">
        <v>8</v>
      </c>
      <c r="M2890" s="15" t="s">
        <v>8</v>
      </c>
      <c r="N2890" s="21" t="str">
        <f>HYPERLINK("http://yeinfo.com/family/I09002705.html", "SAMUEL DUNCAN 1619 EN-1693 MA ID:09005410")</f>
        <v>SAMUEL DUNCAN 1619 EN-1693 MA ID:09005410</v>
      </c>
      <c r="O2890" s="6"/>
      <c r="P2890" s="6"/>
      <c r="Q2890" s="6"/>
      <c r="R2890" s="6"/>
    </row>
    <row r="2891" spans="3:19" x14ac:dyDescent="0.35">
      <c r="C2891" s="15" t="s">
        <v>8</v>
      </c>
      <c r="D2891" s="15" t="s">
        <v>8</v>
      </c>
      <c r="E2891" s="15" t="s">
        <v>8</v>
      </c>
      <c r="F2891" s="15" t="s">
        <v>8</v>
      </c>
      <c r="H2891" s="15" t="s">
        <v>8</v>
      </c>
      <c r="I2891" s="15" t="s">
        <v>8</v>
      </c>
      <c r="L2891" s="15" t="s">
        <v>8</v>
      </c>
      <c r="M2891" s="8" t="s">
        <v>6</v>
      </c>
      <c r="N2891" s="8" t="s">
        <v>3</v>
      </c>
    </row>
    <row r="2892" spans="3:19" x14ac:dyDescent="0.35">
      <c r="C2892" s="15" t="s">
        <v>8</v>
      </c>
      <c r="D2892" s="15" t="s">
        <v>8</v>
      </c>
      <c r="E2892" s="15" t="s">
        <v>8</v>
      </c>
      <c r="F2892" s="15" t="s">
        <v>8</v>
      </c>
      <c r="H2892" s="15" t="s">
        <v>8</v>
      </c>
      <c r="I2892" s="15" t="s">
        <v>8</v>
      </c>
      <c r="L2892" s="15" t="s">
        <v>8</v>
      </c>
      <c r="M2892" s="16" t="str">
        <f>HYPERLINK("http://yeinfo.com/family/I09010819.html", "HANNAH DUNCAN 1651 MA-1686 MA ID:09002705")</f>
        <v>HANNAH DUNCAN 1651 MA-1686 MA ID:09002705</v>
      </c>
      <c r="N2892" s="11"/>
      <c r="O2892" s="11"/>
      <c r="P2892" s="11"/>
      <c r="Q2892" s="11"/>
    </row>
    <row r="2893" spans="3:19" x14ac:dyDescent="0.35">
      <c r="C2893" s="15" t="s">
        <v>8</v>
      </c>
      <c r="D2893" s="15" t="s">
        <v>8</v>
      </c>
      <c r="E2893" s="15" t="s">
        <v>8</v>
      </c>
      <c r="F2893" s="15" t="s">
        <v>8</v>
      </c>
      <c r="H2893" s="15" t="s">
        <v>8</v>
      </c>
      <c r="I2893" s="15" t="s">
        <v>8</v>
      </c>
      <c r="L2893" s="15" t="s">
        <v>8</v>
      </c>
      <c r="N2893" s="8" t="s">
        <v>6</v>
      </c>
    </row>
    <row r="2894" spans="3:19" x14ac:dyDescent="0.35">
      <c r="C2894" s="15" t="s">
        <v>8</v>
      </c>
      <c r="D2894" s="15" t="s">
        <v>8</v>
      </c>
      <c r="E2894" s="15" t="s">
        <v>8</v>
      </c>
      <c r="F2894" s="15" t="s">
        <v>8</v>
      </c>
      <c r="H2894" s="15" t="s">
        <v>8</v>
      </c>
      <c r="I2894" s="15" t="s">
        <v>8</v>
      </c>
      <c r="L2894" s="15" t="s">
        <v>8</v>
      </c>
      <c r="N2894" s="22" t="str">
        <f>HYPERLINK("http://yeinfo.com/family/I09005410.html", "Mrs. MARY DUNCAN 1625 EN-1651 MA ID:09005411")</f>
        <v>Mrs. MARY DUNCAN 1625 EN-1651 MA ID:09005411</v>
      </c>
      <c r="O2894" s="13"/>
      <c r="P2894" s="13"/>
      <c r="Q2894" s="13"/>
      <c r="R2894" s="13"/>
    </row>
    <row r="2895" spans="3:19" x14ac:dyDescent="0.35">
      <c r="C2895" s="15" t="s">
        <v>8</v>
      </c>
      <c r="D2895" s="15" t="s">
        <v>8</v>
      </c>
      <c r="E2895" s="15" t="s">
        <v>8</v>
      </c>
      <c r="F2895" s="15" t="s">
        <v>8</v>
      </c>
      <c r="H2895" s="15" t="s">
        <v>8</v>
      </c>
      <c r="I2895" s="15" t="s">
        <v>8</v>
      </c>
      <c r="L2895" s="15" t="s">
        <v>8</v>
      </c>
    </row>
    <row r="2896" spans="3:19" x14ac:dyDescent="0.35">
      <c r="C2896" s="15" t="s">
        <v>8</v>
      </c>
      <c r="D2896" s="15" t="s">
        <v>8</v>
      </c>
      <c r="E2896" s="15" t="s">
        <v>8</v>
      </c>
      <c r="F2896" s="15" t="s">
        <v>8</v>
      </c>
      <c r="H2896" s="15" t="s">
        <v>8</v>
      </c>
      <c r="I2896" s="15" t="s">
        <v>8</v>
      </c>
      <c r="K2896" s="5" t="str">
        <f>HYPERLINK("http://yeinfo.com/family/I09000338.html", "SAMUEL SCOTT 1709 MA-1761 MA ID:09000676")</f>
        <v>SAMUEL SCOTT 1709 MA-1761 MA ID:09000676</v>
      </c>
      <c r="L2896" s="3"/>
      <c r="M2896" s="3"/>
      <c r="N2896" s="3"/>
      <c r="O2896" s="3"/>
    </row>
    <row r="2897" spans="3:19" x14ac:dyDescent="0.35">
      <c r="C2897" s="15" t="s">
        <v>8</v>
      </c>
      <c r="D2897" s="15" t="s">
        <v>8</v>
      </c>
      <c r="E2897" s="15" t="s">
        <v>8</v>
      </c>
      <c r="F2897" s="15" t="s">
        <v>8</v>
      </c>
      <c r="H2897" s="15" t="s">
        <v>8</v>
      </c>
      <c r="I2897" s="15" t="s">
        <v>8</v>
      </c>
      <c r="K2897" s="8" t="s">
        <v>3</v>
      </c>
      <c r="L2897" s="15" t="s">
        <v>8</v>
      </c>
    </row>
    <row r="2898" spans="3:19" x14ac:dyDescent="0.35">
      <c r="C2898" s="15" t="s">
        <v>8</v>
      </c>
      <c r="D2898" s="15" t="s">
        <v>8</v>
      </c>
      <c r="E2898" s="15" t="s">
        <v>8</v>
      </c>
      <c r="F2898" s="15" t="s">
        <v>8</v>
      </c>
      <c r="H2898" s="15" t="s">
        <v>8</v>
      </c>
      <c r="I2898" s="15" t="s">
        <v>8</v>
      </c>
      <c r="K2898" s="15" t="s">
        <v>8</v>
      </c>
      <c r="L2898" s="15" t="s">
        <v>8</v>
      </c>
      <c r="M2898" s="21" t="str">
        <f>HYPERLINK("http://yeinfo.com/family/I09001353.html", "JAMES PRIOR 1661 EN-1687 MA ID:09002706")</f>
        <v>JAMES PRIOR 1661 EN-1687 MA ID:09002706</v>
      </c>
      <c r="N2898" s="6"/>
      <c r="O2898" s="6"/>
      <c r="P2898" s="6"/>
      <c r="Q2898" s="6"/>
    </row>
    <row r="2899" spans="3:19" x14ac:dyDescent="0.35">
      <c r="C2899" s="15" t="s">
        <v>8</v>
      </c>
      <c r="D2899" s="15" t="s">
        <v>8</v>
      </c>
      <c r="E2899" s="15" t="s">
        <v>8</v>
      </c>
      <c r="F2899" s="15" t="s">
        <v>8</v>
      </c>
      <c r="H2899" s="15" t="s">
        <v>8</v>
      </c>
      <c r="I2899" s="15" t="s">
        <v>8</v>
      </c>
      <c r="K2899" s="15" t="s">
        <v>8</v>
      </c>
      <c r="L2899" s="8" t="s">
        <v>6</v>
      </c>
      <c r="M2899" s="8" t="s">
        <v>3</v>
      </c>
    </row>
    <row r="2900" spans="3:19" x14ac:dyDescent="0.35">
      <c r="C2900" s="15" t="s">
        <v>8</v>
      </c>
      <c r="D2900" s="15" t="s">
        <v>8</v>
      </c>
      <c r="E2900" s="15" t="s">
        <v>8</v>
      </c>
      <c r="F2900" s="15" t="s">
        <v>8</v>
      </c>
      <c r="H2900" s="15" t="s">
        <v>8</v>
      </c>
      <c r="I2900" s="15" t="s">
        <v>8</v>
      </c>
      <c r="K2900" s="15" t="s">
        <v>8</v>
      </c>
      <c r="L2900" s="16" t="str">
        <f>HYPERLINK("http://yeinfo.com/family/I09005411.html", "HANNAH PRIOR 1687 MA-1709 MA ID:09001353")</f>
        <v>HANNAH PRIOR 1687 MA-1709 MA ID:09001353</v>
      </c>
      <c r="M2900" s="11"/>
      <c r="N2900" s="11"/>
      <c r="O2900" s="11"/>
      <c r="P2900" s="11"/>
    </row>
    <row r="2901" spans="3:19" x14ac:dyDescent="0.35">
      <c r="C2901" s="15" t="s">
        <v>8</v>
      </c>
      <c r="D2901" s="15" t="s">
        <v>8</v>
      </c>
      <c r="E2901" s="15" t="s">
        <v>8</v>
      </c>
      <c r="F2901" s="15" t="s">
        <v>8</v>
      </c>
      <c r="H2901" s="15" t="s">
        <v>8</v>
      </c>
      <c r="I2901" s="15" t="s">
        <v>8</v>
      </c>
      <c r="K2901" s="15" t="s">
        <v>8</v>
      </c>
      <c r="M2901" s="8" t="s">
        <v>6</v>
      </c>
    </row>
    <row r="2902" spans="3:19" x14ac:dyDescent="0.35">
      <c r="C2902" s="15" t="s">
        <v>8</v>
      </c>
      <c r="D2902" s="15" t="s">
        <v>8</v>
      </c>
      <c r="E2902" s="15" t="s">
        <v>8</v>
      </c>
      <c r="F2902" s="15" t="s">
        <v>8</v>
      </c>
      <c r="H2902" s="15" t="s">
        <v>8</v>
      </c>
      <c r="I2902" s="15" t="s">
        <v>8</v>
      </c>
      <c r="K2902" s="15" t="s">
        <v>8</v>
      </c>
      <c r="M2902" s="16" t="str">
        <f>HYPERLINK("http://yeinfo.com/family/I09002706.html", "SUSANNAH GOUGH 1663 MA-1687 MA ID:09002707")</f>
        <v>SUSANNAH GOUGH 1663 MA-1687 MA ID:09002707</v>
      </c>
      <c r="N2902" s="11"/>
      <c r="O2902" s="11"/>
      <c r="P2902" s="11"/>
      <c r="Q2902" s="11"/>
    </row>
    <row r="2903" spans="3:19" x14ac:dyDescent="0.35">
      <c r="C2903" s="15" t="s">
        <v>8</v>
      </c>
      <c r="D2903" s="15" t="s">
        <v>8</v>
      </c>
      <c r="E2903" s="15" t="s">
        <v>8</v>
      </c>
      <c r="F2903" s="15" t="s">
        <v>8</v>
      </c>
      <c r="H2903" s="15" t="s">
        <v>8</v>
      </c>
      <c r="I2903" s="15" t="s">
        <v>8</v>
      </c>
      <c r="K2903" s="15" t="s">
        <v>8</v>
      </c>
    </row>
    <row r="2904" spans="3:19" x14ac:dyDescent="0.35">
      <c r="C2904" s="15" t="s">
        <v>8</v>
      </c>
      <c r="D2904" s="15" t="s">
        <v>8</v>
      </c>
      <c r="E2904" s="15" t="s">
        <v>8</v>
      </c>
      <c r="F2904" s="15" t="s">
        <v>8</v>
      </c>
      <c r="H2904" s="15" t="s">
        <v>8</v>
      </c>
      <c r="I2904" s="15" t="s">
        <v>8</v>
      </c>
      <c r="J2904" s="5" t="str">
        <f>HYPERLINK("http://yeinfo.com/family/I09000169.html", "ISAAC SCOTT 1744 MA-1818 NY ID:09000338")</f>
        <v>ISAAC SCOTT 1744 MA-1818 NY ID:09000338</v>
      </c>
      <c r="K2904" s="3"/>
      <c r="L2904" s="3"/>
      <c r="M2904" s="3"/>
      <c r="N2904" s="3"/>
    </row>
    <row r="2905" spans="3:19" x14ac:dyDescent="0.35">
      <c r="C2905" s="15" t="s">
        <v>8</v>
      </c>
      <c r="D2905" s="15" t="s">
        <v>8</v>
      </c>
      <c r="E2905" s="15" t="s">
        <v>8</v>
      </c>
      <c r="F2905" s="15" t="s">
        <v>8</v>
      </c>
      <c r="H2905" s="15" t="s">
        <v>8</v>
      </c>
      <c r="I2905" s="15" t="s">
        <v>8</v>
      </c>
      <c r="J2905" s="8" t="s">
        <v>3</v>
      </c>
      <c r="K2905" s="15" t="s">
        <v>8</v>
      </c>
    </row>
    <row r="2906" spans="3:19" x14ac:dyDescent="0.35">
      <c r="C2906" s="15" t="s">
        <v>8</v>
      </c>
      <c r="D2906" s="15" t="s">
        <v>8</v>
      </c>
      <c r="E2906" s="15" t="s">
        <v>8</v>
      </c>
      <c r="F2906" s="15" t="s">
        <v>8</v>
      </c>
      <c r="H2906" s="15" t="s">
        <v>8</v>
      </c>
      <c r="I2906" s="15" t="s">
        <v>8</v>
      </c>
      <c r="J2906" s="15" t="s">
        <v>8</v>
      </c>
      <c r="K2906" s="15" t="s">
        <v>8</v>
      </c>
      <c r="N2906" s="21" t="str">
        <f>HYPERLINK("http://yeinfo.com/family/I09002708.html", "EDMUND CHAMBERLAIN 1616 EN-1696 CT ID:09005416")</f>
        <v>EDMUND CHAMBERLAIN 1616 EN-1696 CT ID:09005416</v>
      </c>
      <c r="O2906" s="6"/>
      <c r="P2906" s="6"/>
      <c r="Q2906" s="6"/>
      <c r="R2906" s="6"/>
    </row>
    <row r="2907" spans="3:19" x14ac:dyDescent="0.35">
      <c r="C2907" s="15" t="s">
        <v>8</v>
      </c>
      <c r="D2907" s="15" t="s">
        <v>8</v>
      </c>
      <c r="E2907" s="15" t="s">
        <v>8</v>
      </c>
      <c r="F2907" s="15" t="s">
        <v>8</v>
      </c>
      <c r="H2907" s="15" t="s">
        <v>8</v>
      </c>
      <c r="I2907" s="15" t="s">
        <v>8</v>
      </c>
      <c r="J2907" s="15" t="s">
        <v>8</v>
      </c>
      <c r="K2907" s="15" t="s">
        <v>8</v>
      </c>
      <c r="N2907" s="8" t="s">
        <v>3</v>
      </c>
    </row>
    <row r="2908" spans="3:19" x14ac:dyDescent="0.35">
      <c r="C2908" s="15" t="s">
        <v>8</v>
      </c>
      <c r="D2908" s="15" t="s">
        <v>8</v>
      </c>
      <c r="E2908" s="15" t="s">
        <v>8</v>
      </c>
      <c r="F2908" s="15" t="s">
        <v>8</v>
      </c>
      <c r="H2908" s="15" t="s">
        <v>8</v>
      </c>
      <c r="I2908" s="15" t="s">
        <v>8</v>
      </c>
      <c r="J2908" s="15" t="s">
        <v>8</v>
      </c>
      <c r="K2908" s="15" t="s">
        <v>8</v>
      </c>
      <c r="M2908" s="5" t="str">
        <f>HYPERLINK("http://yeinfo.com/family/I09001354.html", "JACOB CHAMBERLAIN 1658 MA-1718 MA ID:09002708")</f>
        <v>JACOB CHAMBERLAIN 1658 MA-1718 MA ID:09002708</v>
      </c>
      <c r="N2908" s="3"/>
      <c r="O2908" s="3"/>
      <c r="P2908" s="3"/>
      <c r="Q2908" s="3"/>
    </row>
    <row r="2909" spans="3:19" x14ac:dyDescent="0.35">
      <c r="C2909" s="15" t="s">
        <v>8</v>
      </c>
      <c r="D2909" s="15" t="s">
        <v>8</v>
      </c>
      <c r="E2909" s="15" t="s">
        <v>8</v>
      </c>
      <c r="F2909" s="15" t="s">
        <v>8</v>
      </c>
      <c r="H2909" s="15" t="s">
        <v>8</v>
      </c>
      <c r="I2909" s="15" t="s">
        <v>8</v>
      </c>
      <c r="J2909" s="15" t="s">
        <v>8</v>
      </c>
      <c r="K2909" s="15" t="s">
        <v>8</v>
      </c>
      <c r="M2909" s="8" t="s">
        <v>3</v>
      </c>
      <c r="N2909" s="8" t="s">
        <v>6</v>
      </c>
    </row>
    <row r="2910" spans="3:19" x14ac:dyDescent="0.35">
      <c r="C2910" s="15" t="s">
        <v>8</v>
      </c>
      <c r="D2910" s="15" t="s">
        <v>8</v>
      </c>
      <c r="E2910" s="15" t="s">
        <v>8</v>
      </c>
      <c r="F2910" s="15" t="s">
        <v>8</v>
      </c>
      <c r="H2910" s="15" t="s">
        <v>8</v>
      </c>
      <c r="I2910" s="15" t="s">
        <v>8</v>
      </c>
      <c r="J2910" s="15" t="s">
        <v>8</v>
      </c>
      <c r="K2910" s="15" t="s">
        <v>8</v>
      </c>
      <c r="M2910" s="15" t="s">
        <v>8</v>
      </c>
      <c r="N2910" s="22" t="str">
        <f>HYPERLINK("http://yeinfo.com/family/I09005416.html", "ELIZABETH\MARY TURNER 1630 EN-1669 MA ID:09005417")</f>
        <v>ELIZABETH\MARY TURNER 1630 EN-1669 MA ID:09005417</v>
      </c>
      <c r="O2910" s="13"/>
      <c r="P2910" s="13"/>
      <c r="Q2910" s="13"/>
      <c r="R2910" s="13"/>
      <c r="S2910" s="13"/>
    </row>
    <row r="2911" spans="3:19" x14ac:dyDescent="0.35">
      <c r="C2911" s="15" t="s">
        <v>8</v>
      </c>
      <c r="D2911" s="15" t="s">
        <v>8</v>
      </c>
      <c r="E2911" s="15" t="s">
        <v>8</v>
      </c>
      <c r="F2911" s="15" t="s">
        <v>8</v>
      </c>
      <c r="H2911" s="15" t="s">
        <v>8</v>
      </c>
      <c r="I2911" s="15" t="s">
        <v>8</v>
      </c>
      <c r="J2911" s="15" t="s">
        <v>8</v>
      </c>
      <c r="K2911" s="15" t="s">
        <v>8</v>
      </c>
      <c r="M2911" s="15" t="s">
        <v>8</v>
      </c>
    </row>
    <row r="2912" spans="3:19" x14ac:dyDescent="0.35">
      <c r="C2912" s="15" t="s">
        <v>8</v>
      </c>
      <c r="D2912" s="15" t="s">
        <v>8</v>
      </c>
      <c r="E2912" s="15" t="s">
        <v>8</v>
      </c>
      <c r="F2912" s="15" t="s">
        <v>8</v>
      </c>
      <c r="H2912" s="15" t="s">
        <v>8</v>
      </c>
      <c r="I2912" s="15" t="s">
        <v>8</v>
      </c>
      <c r="J2912" s="15" t="s">
        <v>8</v>
      </c>
      <c r="K2912" s="15" t="s">
        <v>8</v>
      </c>
      <c r="L2912" s="5" t="str">
        <f>HYPERLINK("http://yeinfo.com/family/I09000677.html", "JACOB CHAMBERLAIN 1685 MA-1761 MA ID:09001354")</f>
        <v>JACOB CHAMBERLAIN 1685 MA-1761 MA ID:09001354</v>
      </c>
      <c r="M2912" s="3"/>
      <c r="N2912" s="3"/>
      <c r="O2912" s="3"/>
      <c r="P2912" s="3"/>
    </row>
    <row r="2913" spans="3:20" x14ac:dyDescent="0.35">
      <c r="C2913" s="15" t="s">
        <v>8</v>
      </c>
      <c r="D2913" s="15" t="s">
        <v>8</v>
      </c>
      <c r="E2913" s="15" t="s">
        <v>8</v>
      </c>
      <c r="F2913" s="15" t="s">
        <v>8</v>
      </c>
      <c r="H2913" s="15" t="s">
        <v>8</v>
      </c>
      <c r="I2913" s="15" t="s">
        <v>8</v>
      </c>
      <c r="J2913" s="15" t="s">
        <v>8</v>
      </c>
      <c r="K2913" s="15" t="s">
        <v>8</v>
      </c>
      <c r="L2913" s="8" t="s">
        <v>3</v>
      </c>
      <c r="M2913" s="15" t="s">
        <v>8</v>
      </c>
    </row>
    <row r="2914" spans="3:20" x14ac:dyDescent="0.35">
      <c r="C2914" s="15" t="s">
        <v>8</v>
      </c>
      <c r="D2914" s="15" t="s">
        <v>8</v>
      </c>
      <c r="E2914" s="15" t="s">
        <v>8</v>
      </c>
      <c r="F2914" s="15" t="s">
        <v>8</v>
      </c>
      <c r="H2914" s="15" t="s">
        <v>8</v>
      </c>
      <c r="I2914" s="15" t="s">
        <v>8</v>
      </c>
      <c r="J2914" s="15" t="s">
        <v>8</v>
      </c>
      <c r="K2914" s="15" t="s">
        <v>8</v>
      </c>
      <c r="L2914" s="15" t="s">
        <v>8</v>
      </c>
      <c r="M2914" s="15" t="s">
        <v>8</v>
      </c>
      <c r="O2914" s="21" t="str">
        <f>HYPERLINK("http://yeinfo.com/family/I09005418.html", "BENJAMIN CHILD 1600 EN-1620 MA ID:09010836")</f>
        <v>BENJAMIN CHILD 1600 EN-1620 MA ID:09010836</v>
      </c>
      <c r="P2914" s="6"/>
      <c r="Q2914" s="6"/>
      <c r="R2914" s="6"/>
      <c r="S2914" s="6"/>
    </row>
    <row r="2915" spans="3:20" x14ac:dyDescent="0.35">
      <c r="C2915" s="15" t="s">
        <v>8</v>
      </c>
      <c r="D2915" s="15" t="s">
        <v>8</v>
      </c>
      <c r="E2915" s="15" t="s">
        <v>8</v>
      </c>
      <c r="F2915" s="15" t="s">
        <v>8</v>
      </c>
      <c r="H2915" s="15" t="s">
        <v>8</v>
      </c>
      <c r="I2915" s="15" t="s">
        <v>8</v>
      </c>
      <c r="J2915" s="15" t="s">
        <v>8</v>
      </c>
      <c r="K2915" s="15" t="s">
        <v>8</v>
      </c>
      <c r="L2915" s="15" t="s">
        <v>8</v>
      </c>
      <c r="M2915" s="15" t="s">
        <v>8</v>
      </c>
      <c r="O2915" s="8" t="s">
        <v>3</v>
      </c>
    </row>
    <row r="2916" spans="3:20" x14ac:dyDescent="0.35">
      <c r="C2916" s="15" t="s">
        <v>8</v>
      </c>
      <c r="D2916" s="15" t="s">
        <v>8</v>
      </c>
      <c r="E2916" s="15" t="s">
        <v>8</v>
      </c>
      <c r="F2916" s="15" t="s">
        <v>8</v>
      </c>
      <c r="H2916" s="15" t="s">
        <v>8</v>
      </c>
      <c r="I2916" s="15" t="s">
        <v>8</v>
      </c>
      <c r="J2916" s="15" t="s">
        <v>8</v>
      </c>
      <c r="K2916" s="15" t="s">
        <v>8</v>
      </c>
      <c r="L2916" s="15" t="s">
        <v>8</v>
      </c>
      <c r="M2916" s="15" t="s">
        <v>8</v>
      </c>
      <c r="N2916" s="21" t="str">
        <f>HYPERLINK("http://yeinfo.com/family/I09002709.html", "BENJAMIN CHILD 1620 EN-1678 MA ID:09005418")</f>
        <v>BENJAMIN CHILD 1620 EN-1678 MA ID:09005418</v>
      </c>
      <c r="O2916" s="6"/>
      <c r="P2916" s="6"/>
      <c r="Q2916" s="6"/>
      <c r="R2916" s="6"/>
    </row>
    <row r="2917" spans="3:20" x14ac:dyDescent="0.35">
      <c r="C2917" s="15" t="s">
        <v>8</v>
      </c>
      <c r="D2917" s="15" t="s">
        <v>8</v>
      </c>
      <c r="E2917" s="15" t="s">
        <v>8</v>
      </c>
      <c r="F2917" s="15" t="s">
        <v>8</v>
      </c>
      <c r="H2917" s="15" t="s">
        <v>8</v>
      </c>
      <c r="I2917" s="15" t="s">
        <v>8</v>
      </c>
      <c r="J2917" s="15" t="s">
        <v>8</v>
      </c>
      <c r="K2917" s="15" t="s">
        <v>8</v>
      </c>
      <c r="L2917" s="15" t="s">
        <v>8</v>
      </c>
      <c r="M2917" s="15" t="s">
        <v>8</v>
      </c>
      <c r="N2917" s="8" t="s">
        <v>3</v>
      </c>
      <c r="O2917" s="8" t="s">
        <v>6</v>
      </c>
    </row>
    <row r="2918" spans="3:20" x14ac:dyDescent="0.35">
      <c r="C2918" s="15" t="s">
        <v>8</v>
      </c>
      <c r="D2918" s="15" t="s">
        <v>8</v>
      </c>
      <c r="E2918" s="15" t="s">
        <v>8</v>
      </c>
      <c r="F2918" s="15" t="s">
        <v>8</v>
      </c>
      <c r="H2918" s="15" t="s">
        <v>8</v>
      </c>
      <c r="I2918" s="15" t="s">
        <v>8</v>
      </c>
      <c r="J2918" s="15" t="s">
        <v>8</v>
      </c>
      <c r="K2918" s="15" t="s">
        <v>8</v>
      </c>
      <c r="L2918" s="15" t="s">
        <v>8</v>
      </c>
      <c r="M2918" s="15" t="s">
        <v>8</v>
      </c>
      <c r="N2918" s="15" t="s">
        <v>8</v>
      </c>
      <c r="O2918" s="16" t="str">
        <f>HYPERLINK("http://yeinfo.com/family/I09010836.html", "Mrs. {_?_} CHILD 1600 EN-1620  ID:09010837")</f>
        <v>Mrs. {_?_} CHILD 1600 EN-1620  ID:09010837</v>
      </c>
      <c r="P2918" s="11"/>
      <c r="Q2918" s="11"/>
      <c r="R2918" s="11"/>
      <c r="S2918" s="11"/>
    </row>
    <row r="2919" spans="3:20" x14ac:dyDescent="0.35">
      <c r="C2919" s="15" t="s">
        <v>8</v>
      </c>
      <c r="D2919" s="15" t="s">
        <v>8</v>
      </c>
      <c r="E2919" s="15" t="s">
        <v>8</v>
      </c>
      <c r="F2919" s="15" t="s">
        <v>8</v>
      </c>
      <c r="H2919" s="15" t="s">
        <v>8</v>
      </c>
      <c r="I2919" s="15" t="s">
        <v>8</v>
      </c>
      <c r="J2919" s="15" t="s">
        <v>8</v>
      </c>
      <c r="K2919" s="15" t="s">
        <v>8</v>
      </c>
      <c r="L2919" s="15" t="s">
        <v>8</v>
      </c>
      <c r="M2919" s="8" t="s">
        <v>6</v>
      </c>
      <c r="N2919" s="15" t="s">
        <v>8</v>
      </c>
    </row>
    <row r="2920" spans="3:20" x14ac:dyDescent="0.35">
      <c r="C2920" s="15" t="s">
        <v>8</v>
      </c>
      <c r="D2920" s="15" t="s">
        <v>8</v>
      </c>
      <c r="E2920" s="15" t="s">
        <v>8</v>
      </c>
      <c r="F2920" s="15" t="s">
        <v>8</v>
      </c>
      <c r="H2920" s="15" t="s">
        <v>8</v>
      </c>
      <c r="I2920" s="15" t="s">
        <v>8</v>
      </c>
      <c r="J2920" s="15" t="s">
        <v>8</v>
      </c>
      <c r="K2920" s="15" t="s">
        <v>8</v>
      </c>
      <c r="L2920" s="15" t="s">
        <v>8</v>
      </c>
      <c r="M2920" s="16" t="str">
        <f>HYPERLINK("http://yeinfo.com/family/I09005417.html", "MARY CHILD 1660 MA-1687 MA ID:09002709")</f>
        <v>MARY CHILD 1660 MA-1687 MA ID:09002709</v>
      </c>
      <c r="N2920" s="11"/>
      <c r="O2920" s="11"/>
      <c r="P2920" s="11"/>
      <c r="Q2920" s="11"/>
    </row>
    <row r="2921" spans="3:20" x14ac:dyDescent="0.35">
      <c r="C2921" s="15" t="s">
        <v>8</v>
      </c>
      <c r="D2921" s="15" t="s">
        <v>8</v>
      </c>
      <c r="E2921" s="15" t="s">
        <v>8</v>
      </c>
      <c r="F2921" s="15" t="s">
        <v>8</v>
      </c>
      <c r="H2921" s="15" t="s">
        <v>8</v>
      </c>
      <c r="I2921" s="15" t="s">
        <v>8</v>
      </c>
      <c r="J2921" s="15" t="s">
        <v>8</v>
      </c>
      <c r="K2921" s="15" t="s">
        <v>8</v>
      </c>
      <c r="L2921" s="15" t="s">
        <v>8</v>
      </c>
      <c r="N2921" s="15" t="s">
        <v>8</v>
      </c>
    </row>
    <row r="2922" spans="3:20" x14ac:dyDescent="0.35">
      <c r="C2922" s="15" t="s">
        <v>8</v>
      </c>
      <c r="D2922" s="15" t="s">
        <v>8</v>
      </c>
      <c r="E2922" s="15" t="s">
        <v>8</v>
      </c>
      <c r="F2922" s="15" t="s">
        <v>8</v>
      </c>
      <c r="H2922" s="15" t="s">
        <v>8</v>
      </c>
      <c r="I2922" s="15" t="s">
        <v>8</v>
      </c>
      <c r="J2922" s="15" t="s">
        <v>8</v>
      </c>
      <c r="K2922" s="15" t="s">
        <v>8</v>
      </c>
      <c r="L2922" s="15" t="s">
        <v>8</v>
      </c>
      <c r="N2922" s="15" t="s">
        <v>8</v>
      </c>
      <c r="O2922" s="19" t="str">
        <f>HYPERLINK("http://yeinfo.com/family/I09005419.html", "GRIFFITH BOWEN 1612 WL-1675 EN ID:09010838")</f>
        <v>GRIFFITH BOWEN 1612 WL-1675 EN ID:09010838</v>
      </c>
      <c r="P2922" s="9"/>
      <c r="Q2922" s="9"/>
      <c r="R2922" s="9"/>
      <c r="S2922" s="9"/>
    </row>
    <row r="2923" spans="3:20" x14ac:dyDescent="0.35">
      <c r="C2923" s="15" t="s">
        <v>8</v>
      </c>
      <c r="D2923" s="15" t="s">
        <v>8</v>
      </c>
      <c r="E2923" s="15" t="s">
        <v>8</v>
      </c>
      <c r="F2923" s="15" t="s">
        <v>8</v>
      </c>
      <c r="H2923" s="15" t="s">
        <v>8</v>
      </c>
      <c r="I2923" s="15" t="s">
        <v>8</v>
      </c>
      <c r="J2923" s="15" t="s">
        <v>8</v>
      </c>
      <c r="K2923" s="15" t="s">
        <v>8</v>
      </c>
      <c r="L2923" s="15" t="s">
        <v>8</v>
      </c>
      <c r="N2923" s="8" t="s">
        <v>6</v>
      </c>
      <c r="O2923" s="8" t="s">
        <v>3</v>
      </c>
    </row>
    <row r="2924" spans="3:20" x14ac:dyDescent="0.35">
      <c r="C2924" s="15" t="s">
        <v>8</v>
      </c>
      <c r="D2924" s="15" t="s">
        <v>8</v>
      </c>
      <c r="E2924" s="15" t="s">
        <v>8</v>
      </c>
      <c r="F2924" s="15" t="s">
        <v>8</v>
      </c>
      <c r="H2924" s="15" t="s">
        <v>8</v>
      </c>
      <c r="I2924" s="15" t="s">
        <v>8</v>
      </c>
      <c r="J2924" s="15" t="s">
        <v>8</v>
      </c>
      <c r="K2924" s="15" t="s">
        <v>8</v>
      </c>
      <c r="L2924" s="15" t="s">
        <v>8</v>
      </c>
      <c r="N2924" s="22" t="str">
        <f>HYPERLINK("http://yeinfo.com/family/I09010837.html", "MARY BOWEN 1635 EN-1707 MA ID:09005419")</f>
        <v>MARY BOWEN 1635 EN-1707 MA ID:09005419</v>
      </c>
      <c r="O2924" s="13"/>
      <c r="P2924" s="13"/>
      <c r="Q2924" s="13"/>
      <c r="R2924" s="13"/>
    </row>
    <row r="2925" spans="3:20" x14ac:dyDescent="0.35">
      <c r="C2925" s="15" t="s">
        <v>8</v>
      </c>
      <c r="D2925" s="15" t="s">
        <v>8</v>
      </c>
      <c r="E2925" s="15" t="s">
        <v>8</v>
      </c>
      <c r="F2925" s="15" t="s">
        <v>8</v>
      </c>
      <c r="H2925" s="15" t="s">
        <v>8</v>
      </c>
      <c r="I2925" s="15" t="s">
        <v>8</v>
      </c>
      <c r="J2925" s="15" t="s">
        <v>8</v>
      </c>
      <c r="K2925" s="15" t="s">
        <v>8</v>
      </c>
      <c r="L2925" s="15" t="s">
        <v>8</v>
      </c>
      <c r="O2925" s="15" t="s">
        <v>8</v>
      </c>
    </row>
    <row r="2926" spans="3:20" x14ac:dyDescent="0.35">
      <c r="C2926" s="15" t="s">
        <v>8</v>
      </c>
      <c r="D2926" s="15" t="s">
        <v>8</v>
      </c>
      <c r="E2926" s="15" t="s">
        <v>8</v>
      </c>
      <c r="F2926" s="15" t="s">
        <v>8</v>
      </c>
      <c r="H2926" s="15" t="s">
        <v>8</v>
      </c>
      <c r="I2926" s="15" t="s">
        <v>8</v>
      </c>
      <c r="J2926" s="15" t="s">
        <v>8</v>
      </c>
      <c r="K2926" s="15" t="s">
        <v>8</v>
      </c>
      <c r="L2926" s="15" t="s">
        <v>8</v>
      </c>
      <c r="O2926" s="15" t="s">
        <v>8</v>
      </c>
      <c r="P2926" s="19" t="str">
        <f>HYPERLINK("http://yeinfo.com/family/I09010839.html", "HENRY FLEMING 1575 WL-1605 WL ID:09021678")</f>
        <v>HENRY FLEMING 1575 WL-1605 WL ID:09021678</v>
      </c>
      <c r="Q2926" s="9"/>
      <c r="R2926" s="9"/>
      <c r="S2926" s="9"/>
      <c r="T2926" s="9"/>
    </row>
    <row r="2927" spans="3:20" x14ac:dyDescent="0.35">
      <c r="C2927" s="15" t="s">
        <v>8</v>
      </c>
      <c r="D2927" s="15" t="s">
        <v>8</v>
      </c>
      <c r="E2927" s="15" t="s">
        <v>8</v>
      </c>
      <c r="F2927" s="15" t="s">
        <v>8</v>
      </c>
      <c r="H2927" s="15" t="s">
        <v>8</v>
      </c>
      <c r="I2927" s="15" t="s">
        <v>8</v>
      </c>
      <c r="J2927" s="15" t="s">
        <v>8</v>
      </c>
      <c r="K2927" s="15" t="s">
        <v>8</v>
      </c>
      <c r="L2927" s="15" t="s">
        <v>8</v>
      </c>
      <c r="O2927" s="8" t="s">
        <v>6</v>
      </c>
      <c r="P2927" s="8" t="s">
        <v>3</v>
      </c>
    </row>
    <row r="2928" spans="3:20" x14ac:dyDescent="0.35">
      <c r="C2928" s="15" t="s">
        <v>8</v>
      </c>
      <c r="D2928" s="15" t="s">
        <v>8</v>
      </c>
      <c r="E2928" s="15" t="s">
        <v>8</v>
      </c>
      <c r="F2928" s="15" t="s">
        <v>8</v>
      </c>
      <c r="H2928" s="15" t="s">
        <v>8</v>
      </c>
      <c r="I2928" s="15" t="s">
        <v>8</v>
      </c>
      <c r="J2928" s="15" t="s">
        <v>8</v>
      </c>
      <c r="K2928" s="15" t="s">
        <v>8</v>
      </c>
      <c r="L2928" s="15" t="s">
        <v>8</v>
      </c>
      <c r="O2928" s="22" t="str">
        <f>HYPERLINK("http://yeinfo.com/family/I09010838.html", "MARGARET FLEMING 1605 WL-1707 MA ID:09010839")</f>
        <v>MARGARET FLEMING 1605 WL-1707 MA ID:09010839</v>
      </c>
      <c r="P2928" s="13"/>
      <c r="Q2928" s="13"/>
      <c r="R2928" s="13"/>
      <c r="S2928" s="13"/>
    </row>
    <row r="2929" spans="3:20" x14ac:dyDescent="0.35">
      <c r="C2929" s="15" t="s">
        <v>8</v>
      </c>
      <c r="D2929" s="15" t="s">
        <v>8</v>
      </c>
      <c r="E2929" s="15" t="s">
        <v>8</v>
      </c>
      <c r="F2929" s="15" t="s">
        <v>8</v>
      </c>
      <c r="H2929" s="15" t="s">
        <v>8</v>
      </c>
      <c r="I2929" s="15" t="s">
        <v>8</v>
      </c>
      <c r="J2929" s="15" t="s">
        <v>8</v>
      </c>
      <c r="K2929" s="15" t="s">
        <v>8</v>
      </c>
      <c r="L2929" s="15" t="s">
        <v>8</v>
      </c>
      <c r="P2929" s="8" t="s">
        <v>6</v>
      </c>
    </row>
    <row r="2930" spans="3:20" x14ac:dyDescent="0.35">
      <c r="C2930" s="15" t="s">
        <v>8</v>
      </c>
      <c r="D2930" s="15" t="s">
        <v>8</v>
      </c>
      <c r="E2930" s="15" t="s">
        <v>8</v>
      </c>
      <c r="F2930" s="15" t="s">
        <v>8</v>
      </c>
      <c r="H2930" s="15" t="s">
        <v>8</v>
      </c>
      <c r="I2930" s="15" t="s">
        <v>8</v>
      </c>
      <c r="J2930" s="15" t="s">
        <v>8</v>
      </c>
      <c r="K2930" s="15" t="s">
        <v>8</v>
      </c>
      <c r="L2930" s="15" t="s">
        <v>8</v>
      </c>
      <c r="P2930" s="16" t="str">
        <f>HYPERLINK("http://yeinfo.com/family/I09021678.html", "SARAH DAWKINS 1580 WL-1605  ID:09021679")</f>
        <v>SARAH DAWKINS 1580 WL-1605  ID:09021679</v>
      </c>
      <c r="Q2930" s="11"/>
      <c r="R2930" s="11"/>
      <c r="S2930" s="11"/>
      <c r="T2930" s="11"/>
    </row>
    <row r="2931" spans="3:20" x14ac:dyDescent="0.35">
      <c r="C2931" s="15" t="s">
        <v>8</v>
      </c>
      <c r="D2931" s="15" t="s">
        <v>8</v>
      </c>
      <c r="E2931" s="15" t="s">
        <v>8</v>
      </c>
      <c r="F2931" s="15" t="s">
        <v>8</v>
      </c>
      <c r="H2931" s="15" t="s">
        <v>8</v>
      </c>
      <c r="I2931" s="15" t="s">
        <v>8</v>
      </c>
      <c r="J2931" s="15" t="s">
        <v>8</v>
      </c>
      <c r="K2931" s="8" t="s">
        <v>6</v>
      </c>
      <c r="L2931" s="15" t="s">
        <v>8</v>
      </c>
    </row>
    <row r="2932" spans="3:20" x14ac:dyDescent="0.35">
      <c r="C2932" s="15" t="s">
        <v>8</v>
      </c>
      <c r="D2932" s="15" t="s">
        <v>8</v>
      </c>
      <c r="E2932" s="15" t="s">
        <v>8</v>
      </c>
      <c r="F2932" s="15" t="s">
        <v>8</v>
      </c>
      <c r="H2932" s="15" t="s">
        <v>8</v>
      </c>
      <c r="I2932" s="15" t="s">
        <v>8</v>
      </c>
      <c r="J2932" s="15" t="s">
        <v>8</v>
      </c>
      <c r="K2932" s="16" t="str">
        <f>HYPERLINK("http://yeinfo.com/family/I09002707.html", "SARAH CHAMBERLAIN 1712 MA-1773 MA ID:09000677")</f>
        <v>SARAH CHAMBERLAIN 1712 MA-1773 MA ID:09000677</v>
      </c>
      <c r="L2932" s="11"/>
      <c r="M2932" s="11"/>
      <c r="N2932" s="11"/>
      <c r="O2932" s="11"/>
    </row>
    <row r="2933" spans="3:20" x14ac:dyDescent="0.35">
      <c r="C2933" s="15" t="s">
        <v>8</v>
      </c>
      <c r="D2933" s="15" t="s">
        <v>8</v>
      </c>
      <c r="E2933" s="15" t="s">
        <v>8</v>
      </c>
      <c r="F2933" s="15" t="s">
        <v>8</v>
      </c>
      <c r="H2933" s="15" t="s">
        <v>8</v>
      </c>
      <c r="I2933" s="15" t="s">
        <v>8</v>
      </c>
      <c r="J2933" s="15" t="s">
        <v>8</v>
      </c>
      <c r="L2933" s="15" t="s">
        <v>8</v>
      </c>
    </row>
    <row r="2934" spans="3:20" x14ac:dyDescent="0.35">
      <c r="C2934" s="15" t="s">
        <v>8</v>
      </c>
      <c r="D2934" s="15" t="s">
        <v>8</v>
      </c>
      <c r="E2934" s="15" t="s">
        <v>8</v>
      </c>
      <c r="F2934" s="15" t="s">
        <v>8</v>
      </c>
      <c r="H2934" s="15" t="s">
        <v>8</v>
      </c>
      <c r="I2934" s="15" t="s">
        <v>8</v>
      </c>
      <c r="J2934" s="15" t="s">
        <v>8</v>
      </c>
      <c r="L2934" s="15" t="s">
        <v>8</v>
      </c>
      <c r="P2934" s="19" t="str">
        <f>HYPERLINK("http://yeinfo.com/family/I09010840.html", "ALEXANDER PAYSON 1535 EN-1618 EN ID:09021680")</f>
        <v>ALEXANDER PAYSON 1535 EN-1618 EN ID:09021680</v>
      </c>
      <c r="Q2934" s="9"/>
      <c r="R2934" s="9"/>
      <c r="S2934" s="9"/>
      <c r="T2934" s="9"/>
    </row>
    <row r="2935" spans="3:20" x14ac:dyDescent="0.35">
      <c r="C2935" s="15" t="s">
        <v>8</v>
      </c>
      <c r="D2935" s="15" t="s">
        <v>8</v>
      </c>
      <c r="E2935" s="15" t="s">
        <v>8</v>
      </c>
      <c r="F2935" s="15" t="s">
        <v>8</v>
      </c>
      <c r="H2935" s="15" t="s">
        <v>8</v>
      </c>
      <c r="I2935" s="15" t="s">
        <v>8</v>
      </c>
      <c r="J2935" s="15" t="s">
        <v>8</v>
      </c>
      <c r="L2935" s="15" t="s">
        <v>8</v>
      </c>
      <c r="P2935" s="8" t="s">
        <v>3</v>
      </c>
    </row>
    <row r="2936" spans="3:20" x14ac:dyDescent="0.35">
      <c r="C2936" s="15" t="s">
        <v>8</v>
      </c>
      <c r="D2936" s="15" t="s">
        <v>8</v>
      </c>
      <c r="E2936" s="15" t="s">
        <v>8</v>
      </c>
      <c r="F2936" s="15" t="s">
        <v>8</v>
      </c>
      <c r="H2936" s="15" t="s">
        <v>8</v>
      </c>
      <c r="I2936" s="15" t="s">
        <v>8</v>
      </c>
      <c r="J2936" s="15" t="s">
        <v>8</v>
      </c>
      <c r="L2936" s="15" t="s">
        <v>8</v>
      </c>
      <c r="O2936" s="5" t="str">
        <f>HYPERLINK("http://yeinfo.com/family/I09005420.html", "LAWRENCE PAYSON 1580 -1633 MA ID:09010840")</f>
        <v>LAWRENCE PAYSON 1580 -1633 MA ID:09010840</v>
      </c>
      <c r="P2936" s="3"/>
      <c r="Q2936" s="3"/>
      <c r="R2936" s="3"/>
      <c r="S2936" s="3"/>
    </row>
    <row r="2937" spans="3:20" x14ac:dyDescent="0.35">
      <c r="C2937" s="15" t="s">
        <v>8</v>
      </c>
      <c r="D2937" s="15" t="s">
        <v>8</v>
      </c>
      <c r="E2937" s="15" t="s">
        <v>8</v>
      </c>
      <c r="F2937" s="15" t="s">
        <v>8</v>
      </c>
      <c r="H2937" s="15" t="s">
        <v>8</v>
      </c>
      <c r="I2937" s="15" t="s">
        <v>8</v>
      </c>
      <c r="J2937" s="15" t="s">
        <v>8</v>
      </c>
      <c r="L2937" s="15" t="s">
        <v>8</v>
      </c>
      <c r="O2937" s="8" t="s">
        <v>3</v>
      </c>
      <c r="P2937" s="8" t="s">
        <v>6</v>
      </c>
    </row>
    <row r="2938" spans="3:20" x14ac:dyDescent="0.35">
      <c r="C2938" s="15" t="s">
        <v>8</v>
      </c>
      <c r="D2938" s="15" t="s">
        <v>8</v>
      </c>
      <c r="E2938" s="15" t="s">
        <v>8</v>
      </c>
      <c r="F2938" s="15" t="s">
        <v>8</v>
      </c>
      <c r="H2938" s="15" t="s">
        <v>8</v>
      </c>
      <c r="I2938" s="15" t="s">
        <v>8</v>
      </c>
      <c r="J2938" s="15" t="s">
        <v>8</v>
      </c>
      <c r="L2938" s="15" t="s">
        <v>8</v>
      </c>
      <c r="O2938" s="15" t="s">
        <v>8</v>
      </c>
      <c r="P2938" s="20" t="str">
        <f>HYPERLINK("http://yeinfo.com/family/I09021680.html", "JOAN WEBB 1545 -1585 EN ID:09021681")</f>
        <v>JOAN WEBB 1545 -1585 EN ID:09021681</v>
      </c>
      <c r="Q2938" s="17"/>
      <c r="R2938" s="17"/>
      <c r="S2938" s="17"/>
      <c r="T2938" s="17"/>
    </row>
    <row r="2939" spans="3:20" x14ac:dyDescent="0.35">
      <c r="C2939" s="15" t="s">
        <v>8</v>
      </c>
      <c r="D2939" s="15" t="s">
        <v>8</v>
      </c>
      <c r="E2939" s="15" t="s">
        <v>8</v>
      </c>
      <c r="F2939" s="15" t="s">
        <v>8</v>
      </c>
      <c r="H2939" s="15" t="s">
        <v>8</v>
      </c>
      <c r="I2939" s="15" t="s">
        <v>8</v>
      </c>
      <c r="J2939" s="15" t="s">
        <v>8</v>
      </c>
      <c r="L2939" s="15" t="s">
        <v>8</v>
      </c>
      <c r="O2939" s="15" t="s">
        <v>8</v>
      </c>
    </row>
    <row r="2940" spans="3:20" x14ac:dyDescent="0.35">
      <c r="C2940" s="15" t="s">
        <v>8</v>
      </c>
      <c r="D2940" s="15" t="s">
        <v>8</v>
      </c>
      <c r="E2940" s="15" t="s">
        <v>8</v>
      </c>
      <c r="F2940" s="15" t="s">
        <v>8</v>
      </c>
      <c r="H2940" s="15" t="s">
        <v>8</v>
      </c>
      <c r="I2940" s="15" t="s">
        <v>8</v>
      </c>
      <c r="J2940" s="15" t="s">
        <v>8</v>
      </c>
      <c r="L2940" s="15" t="s">
        <v>8</v>
      </c>
      <c r="N2940" s="21" t="str">
        <f>HYPERLINK("http://yeinfo.com/family/I09002710.html", "EDWARD PAYSON 1613 EN-1665 MA ID:09005420")</f>
        <v>EDWARD PAYSON 1613 EN-1665 MA ID:09005420</v>
      </c>
      <c r="O2940" s="6"/>
      <c r="P2940" s="6"/>
      <c r="Q2940" s="6"/>
      <c r="R2940" s="6"/>
    </row>
    <row r="2941" spans="3:20" x14ac:dyDescent="0.35">
      <c r="C2941" s="15" t="s">
        <v>8</v>
      </c>
      <c r="D2941" s="15" t="s">
        <v>8</v>
      </c>
      <c r="E2941" s="15" t="s">
        <v>8</v>
      </c>
      <c r="F2941" s="15" t="s">
        <v>8</v>
      </c>
      <c r="H2941" s="15" t="s">
        <v>8</v>
      </c>
      <c r="I2941" s="15" t="s">
        <v>8</v>
      </c>
      <c r="J2941" s="15" t="s">
        <v>8</v>
      </c>
      <c r="L2941" s="15" t="s">
        <v>8</v>
      </c>
      <c r="N2941" s="8" t="s">
        <v>3</v>
      </c>
      <c r="O2941" s="8" t="s">
        <v>6</v>
      </c>
    </row>
    <row r="2942" spans="3:20" x14ac:dyDescent="0.35">
      <c r="C2942" s="15" t="s">
        <v>8</v>
      </c>
      <c r="D2942" s="15" t="s">
        <v>8</v>
      </c>
      <c r="E2942" s="15" t="s">
        <v>8</v>
      </c>
      <c r="F2942" s="15" t="s">
        <v>8</v>
      </c>
      <c r="H2942" s="15" t="s">
        <v>8</v>
      </c>
      <c r="I2942" s="15" t="s">
        <v>8</v>
      </c>
      <c r="J2942" s="15" t="s">
        <v>8</v>
      </c>
      <c r="L2942" s="15" t="s">
        <v>8</v>
      </c>
      <c r="N2942" s="15" t="s">
        <v>8</v>
      </c>
      <c r="O2942" s="20" t="str">
        <f>HYPERLINK("http://yeinfo.com/family/I09021681.html", "JOAN WEBB 1584 EN-1638 EN ID:09010841")</f>
        <v>JOAN WEBB 1584 EN-1638 EN ID:09010841</v>
      </c>
      <c r="P2942" s="17"/>
      <c r="Q2942" s="17"/>
      <c r="R2942" s="17"/>
      <c r="S2942" s="17"/>
    </row>
    <row r="2943" spans="3:20" x14ac:dyDescent="0.35">
      <c r="C2943" s="15" t="s">
        <v>8</v>
      </c>
      <c r="D2943" s="15" t="s">
        <v>8</v>
      </c>
      <c r="E2943" s="15" t="s">
        <v>8</v>
      </c>
      <c r="F2943" s="15" t="s">
        <v>8</v>
      </c>
      <c r="H2943" s="15" t="s">
        <v>8</v>
      </c>
      <c r="I2943" s="15" t="s">
        <v>8</v>
      </c>
      <c r="J2943" s="15" t="s">
        <v>8</v>
      </c>
      <c r="L2943" s="15" t="s">
        <v>8</v>
      </c>
      <c r="N2943" s="15" t="s">
        <v>8</v>
      </c>
    </row>
    <row r="2944" spans="3:20" x14ac:dyDescent="0.35">
      <c r="C2944" s="15" t="s">
        <v>8</v>
      </c>
      <c r="D2944" s="15" t="s">
        <v>8</v>
      </c>
      <c r="E2944" s="15" t="s">
        <v>8</v>
      </c>
      <c r="F2944" s="15" t="s">
        <v>8</v>
      </c>
      <c r="H2944" s="15" t="s">
        <v>8</v>
      </c>
      <c r="I2944" s="15" t="s">
        <v>8</v>
      </c>
      <c r="J2944" s="15" t="s">
        <v>8</v>
      </c>
      <c r="L2944" s="15" t="s">
        <v>8</v>
      </c>
      <c r="M2944" s="5" t="str">
        <f>HYPERLINK("http://yeinfo.com/family/I09001355.html", "SAMUEL PAYSON 1662 MA-1721 MA ID:09002710")</f>
        <v>SAMUEL PAYSON 1662 MA-1721 MA ID:09002710</v>
      </c>
      <c r="N2944" s="3"/>
      <c r="O2944" s="3"/>
      <c r="P2944" s="3"/>
      <c r="Q2944" s="3"/>
    </row>
    <row r="2945" spans="3:22" x14ac:dyDescent="0.35">
      <c r="C2945" s="15" t="s">
        <v>8</v>
      </c>
      <c r="D2945" s="15" t="s">
        <v>8</v>
      </c>
      <c r="E2945" s="15" t="s">
        <v>8</v>
      </c>
      <c r="F2945" s="15" t="s">
        <v>8</v>
      </c>
      <c r="H2945" s="15" t="s">
        <v>8</v>
      </c>
      <c r="I2945" s="15" t="s">
        <v>8</v>
      </c>
      <c r="J2945" s="15" t="s">
        <v>8</v>
      </c>
      <c r="L2945" s="15" t="s">
        <v>8</v>
      </c>
      <c r="M2945" s="8" t="s">
        <v>3</v>
      </c>
      <c r="N2945" s="15" t="s">
        <v>8</v>
      </c>
    </row>
    <row r="2946" spans="3:22" x14ac:dyDescent="0.35">
      <c r="C2946" s="15" t="s">
        <v>8</v>
      </c>
      <c r="D2946" s="15" t="s">
        <v>8</v>
      </c>
      <c r="E2946" s="15" t="s">
        <v>8</v>
      </c>
      <c r="F2946" s="15" t="s">
        <v>8</v>
      </c>
      <c r="H2946" s="15" t="s">
        <v>8</v>
      </c>
      <c r="I2946" s="15" t="s">
        <v>8</v>
      </c>
      <c r="J2946" s="15" t="s">
        <v>8</v>
      </c>
      <c r="L2946" s="15" t="s">
        <v>8</v>
      </c>
      <c r="M2946" s="15" t="s">
        <v>8</v>
      </c>
      <c r="N2946" s="15" t="s">
        <v>8</v>
      </c>
      <c r="R2946" s="19" t="str">
        <f>HYPERLINK("http://yeinfo.com/family/I09043368.html", "WILLIAM ELLIOTT &lt;4&gt; 1450 EN-1528 EN ID:09065543")</f>
        <v>WILLIAM ELLIOTT &lt;4&gt; 1450 EN-1528 EN ID:09065543</v>
      </c>
      <c r="S2946" s="9"/>
      <c r="T2946" s="9"/>
      <c r="U2946" s="9"/>
      <c r="V2946" s="9"/>
    </row>
    <row r="2947" spans="3:22" x14ac:dyDescent="0.35">
      <c r="C2947" s="15" t="s">
        <v>8</v>
      </c>
      <c r="D2947" s="15" t="s">
        <v>8</v>
      </c>
      <c r="E2947" s="15" t="s">
        <v>8</v>
      </c>
      <c r="F2947" s="15" t="s">
        <v>8</v>
      </c>
      <c r="H2947" s="15" t="s">
        <v>8</v>
      </c>
      <c r="I2947" s="15" t="s">
        <v>8</v>
      </c>
      <c r="J2947" s="15" t="s">
        <v>8</v>
      </c>
      <c r="L2947" s="15" t="s">
        <v>8</v>
      </c>
      <c r="M2947" s="15" t="s">
        <v>8</v>
      </c>
      <c r="N2947" s="15" t="s">
        <v>8</v>
      </c>
      <c r="R2947" s="8" t="s">
        <v>3</v>
      </c>
    </row>
    <row r="2948" spans="3:22" x14ac:dyDescent="0.35">
      <c r="C2948" s="15" t="s">
        <v>8</v>
      </c>
      <c r="D2948" s="15" t="s">
        <v>8</v>
      </c>
      <c r="E2948" s="15" t="s">
        <v>8</v>
      </c>
      <c r="F2948" s="15" t="s">
        <v>8</v>
      </c>
      <c r="H2948" s="15" t="s">
        <v>8</v>
      </c>
      <c r="I2948" s="15" t="s">
        <v>8</v>
      </c>
      <c r="J2948" s="15" t="s">
        <v>8</v>
      </c>
      <c r="L2948" s="15" t="s">
        <v>8</v>
      </c>
      <c r="M2948" s="15" t="s">
        <v>8</v>
      </c>
      <c r="N2948" s="15" t="s">
        <v>8</v>
      </c>
      <c r="Q2948" s="19" t="str">
        <f>HYPERLINK("http://yeinfo.com/family/I09021684.html", "THOMAS ELLIOTT &lt;4&gt; 1480 EN-1520 EN ID:09043368")</f>
        <v>THOMAS ELLIOTT &lt;4&gt; 1480 EN-1520 EN ID:09043368</v>
      </c>
      <c r="R2948" s="9"/>
      <c r="S2948" s="9"/>
      <c r="T2948" s="9"/>
      <c r="U2948" s="9"/>
    </row>
    <row r="2949" spans="3:22" x14ac:dyDescent="0.35">
      <c r="C2949" s="15" t="s">
        <v>8</v>
      </c>
      <c r="D2949" s="15" t="s">
        <v>8</v>
      </c>
      <c r="E2949" s="15" t="s">
        <v>8</v>
      </c>
      <c r="F2949" s="15" t="s">
        <v>8</v>
      </c>
      <c r="H2949" s="15" t="s">
        <v>8</v>
      </c>
      <c r="I2949" s="15" t="s">
        <v>8</v>
      </c>
      <c r="J2949" s="15" t="s">
        <v>8</v>
      </c>
      <c r="L2949" s="15" t="s">
        <v>8</v>
      </c>
      <c r="M2949" s="15" t="s">
        <v>8</v>
      </c>
      <c r="N2949" s="15" t="s">
        <v>8</v>
      </c>
      <c r="Q2949" s="8" t="s">
        <v>3</v>
      </c>
      <c r="R2949" s="8" t="s">
        <v>6</v>
      </c>
    </row>
    <row r="2950" spans="3:22" x14ac:dyDescent="0.35">
      <c r="C2950" s="15" t="s">
        <v>8</v>
      </c>
      <c r="D2950" s="15" t="s">
        <v>8</v>
      </c>
      <c r="E2950" s="15" t="s">
        <v>8</v>
      </c>
      <c r="F2950" s="15" t="s">
        <v>8</v>
      </c>
      <c r="H2950" s="15" t="s">
        <v>8</v>
      </c>
      <c r="I2950" s="15" t="s">
        <v>8</v>
      </c>
      <c r="J2950" s="15" t="s">
        <v>8</v>
      </c>
      <c r="L2950" s="15" t="s">
        <v>8</v>
      </c>
      <c r="M2950" s="15" t="s">
        <v>8</v>
      </c>
      <c r="N2950" s="15" t="s">
        <v>8</v>
      </c>
      <c r="Q2950" s="15" t="s">
        <v>8</v>
      </c>
      <c r="R2950" s="20" t="str">
        <f>HYPERLINK("http://yeinfo.com/family/I09065543.html", "Mrs. {_?_} ELLIOTT &lt;4&gt; 1450 -1480 EN ID:09065544")</f>
        <v>Mrs. {_?_} ELLIOTT &lt;4&gt; 1450 -1480 EN ID:09065544</v>
      </c>
      <c r="S2950" s="17"/>
      <c r="T2950" s="17"/>
      <c r="U2950" s="17"/>
      <c r="V2950" s="17"/>
    </row>
    <row r="2951" spans="3:22" x14ac:dyDescent="0.35">
      <c r="C2951" s="15" t="s">
        <v>8</v>
      </c>
      <c r="D2951" s="15" t="s">
        <v>8</v>
      </c>
      <c r="E2951" s="15" t="s">
        <v>8</v>
      </c>
      <c r="F2951" s="15" t="s">
        <v>8</v>
      </c>
      <c r="H2951" s="15" t="s">
        <v>8</v>
      </c>
      <c r="I2951" s="15" t="s">
        <v>8</v>
      </c>
      <c r="J2951" s="15" t="s">
        <v>8</v>
      </c>
      <c r="L2951" s="15" t="s">
        <v>8</v>
      </c>
      <c r="M2951" s="15" t="s">
        <v>8</v>
      </c>
      <c r="N2951" s="15" t="s">
        <v>8</v>
      </c>
      <c r="Q2951" s="15" t="s">
        <v>8</v>
      </c>
    </row>
    <row r="2952" spans="3:22" x14ac:dyDescent="0.35">
      <c r="C2952" s="15" t="s">
        <v>8</v>
      </c>
      <c r="D2952" s="15" t="s">
        <v>8</v>
      </c>
      <c r="E2952" s="15" t="s">
        <v>8</v>
      </c>
      <c r="F2952" s="15" t="s">
        <v>8</v>
      </c>
      <c r="H2952" s="15" t="s">
        <v>8</v>
      </c>
      <c r="I2952" s="15" t="s">
        <v>8</v>
      </c>
      <c r="J2952" s="15" t="s">
        <v>8</v>
      </c>
      <c r="L2952" s="15" t="s">
        <v>8</v>
      </c>
      <c r="M2952" s="15" t="s">
        <v>8</v>
      </c>
      <c r="N2952" s="15" t="s">
        <v>8</v>
      </c>
      <c r="P2952" s="19" t="str">
        <f>HYPERLINK("http://yeinfo.com/family/I09010842.html", "SIMON\EDWARD ELLIOTT &lt;4&gt; 1520 EN-1573 EN ID:09021684")</f>
        <v>SIMON\EDWARD ELLIOTT &lt;4&gt; 1520 EN-1573 EN ID:09021684</v>
      </c>
      <c r="Q2952" s="9"/>
      <c r="R2952" s="9"/>
      <c r="S2952" s="9"/>
      <c r="T2952" s="9"/>
      <c r="U2952" s="9"/>
    </row>
    <row r="2953" spans="3:22" x14ac:dyDescent="0.35">
      <c r="C2953" s="15" t="s">
        <v>8</v>
      </c>
      <c r="D2953" s="15" t="s">
        <v>8</v>
      </c>
      <c r="E2953" s="15" t="s">
        <v>8</v>
      </c>
      <c r="F2953" s="15" t="s">
        <v>8</v>
      </c>
      <c r="H2953" s="15" t="s">
        <v>8</v>
      </c>
      <c r="I2953" s="15" t="s">
        <v>8</v>
      </c>
      <c r="J2953" s="15" t="s">
        <v>8</v>
      </c>
      <c r="L2953" s="15" t="s">
        <v>8</v>
      </c>
      <c r="M2953" s="15" t="s">
        <v>8</v>
      </c>
      <c r="N2953" s="15" t="s">
        <v>8</v>
      </c>
      <c r="P2953" s="8" t="s">
        <v>3</v>
      </c>
      <c r="Q2953" s="8" t="s">
        <v>6</v>
      </c>
    </row>
    <row r="2954" spans="3:22" x14ac:dyDescent="0.35">
      <c r="C2954" s="15" t="s">
        <v>8</v>
      </c>
      <c r="D2954" s="15" t="s">
        <v>8</v>
      </c>
      <c r="E2954" s="15" t="s">
        <v>8</v>
      </c>
      <c r="F2954" s="15" t="s">
        <v>8</v>
      </c>
      <c r="H2954" s="15" t="s">
        <v>8</v>
      </c>
      <c r="I2954" s="15" t="s">
        <v>8</v>
      </c>
      <c r="J2954" s="15" t="s">
        <v>8</v>
      </c>
      <c r="L2954" s="15" t="s">
        <v>8</v>
      </c>
      <c r="M2954" s="15" t="s">
        <v>8</v>
      </c>
      <c r="N2954" s="15" t="s">
        <v>8</v>
      </c>
      <c r="P2954" s="15" t="s">
        <v>8</v>
      </c>
      <c r="Q2954" s="20" t="str">
        <f>HYPERLINK("http://yeinfo.com/family/I09065544.html", "MARGARET ELIZABETH WILSON &lt;4&gt; 1488 EN-1560 EN ID:09043369")</f>
        <v>MARGARET ELIZABETH WILSON &lt;4&gt; 1488 EN-1560 EN ID:09043369</v>
      </c>
      <c r="R2954" s="17"/>
      <c r="S2954" s="17"/>
      <c r="T2954" s="17"/>
      <c r="U2954" s="17"/>
    </row>
    <row r="2955" spans="3:22" x14ac:dyDescent="0.35">
      <c r="C2955" s="15" t="s">
        <v>8</v>
      </c>
      <c r="D2955" s="15" t="s">
        <v>8</v>
      </c>
      <c r="E2955" s="15" t="s">
        <v>8</v>
      </c>
      <c r="F2955" s="15" t="s">
        <v>8</v>
      </c>
      <c r="H2955" s="15" t="s">
        <v>8</v>
      </c>
      <c r="I2955" s="15" t="s">
        <v>8</v>
      </c>
      <c r="J2955" s="15" t="s">
        <v>8</v>
      </c>
      <c r="L2955" s="15" t="s">
        <v>8</v>
      </c>
      <c r="M2955" s="15" t="s">
        <v>8</v>
      </c>
      <c r="N2955" s="15" t="s">
        <v>8</v>
      </c>
      <c r="P2955" s="15" t="s">
        <v>8</v>
      </c>
    </row>
    <row r="2956" spans="3:22" x14ac:dyDescent="0.35">
      <c r="C2956" s="15" t="s">
        <v>8</v>
      </c>
      <c r="D2956" s="15" t="s">
        <v>8</v>
      </c>
      <c r="E2956" s="15" t="s">
        <v>8</v>
      </c>
      <c r="F2956" s="15" t="s">
        <v>8</v>
      </c>
      <c r="H2956" s="15" t="s">
        <v>8</v>
      </c>
      <c r="I2956" s="15" t="s">
        <v>8</v>
      </c>
      <c r="J2956" s="15" t="s">
        <v>8</v>
      </c>
      <c r="L2956" s="15" t="s">
        <v>8</v>
      </c>
      <c r="M2956" s="15" t="s">
        <v>8</v>
      </c>
      <c r="N2956" s="15" t="s">
        <v>8</v>
      </c>
      <c r="O2956" s="5" t="str">
        <f>HYPERLINK("http://yeinfo.com/family/I09005421.html", "BENNETT\PHILIP ELLIOTT &lt;4&gt; 1573 -1621 EN ID:09010842")</f>
        <v>BENNETT\PHILIP ELLIOTT &lt;4&gt; 1573 -1621 EN ID:09010842</v>
      </c>
      <c r="P2956" s="3"/>
      <c r="Q2956" s="3"/>
      <c r="R2956" s="3"/>
      <c r="S2956" s="3"/>
      <c r="T2956" s="3"/>
    </row>
    <row r="2957" spans="3:22" x14ac:dyDescent="0.35">
      <c r="C2957" s="15" t="s">
        <v>8</v>
      </c>
      <c r="D2957" s="15" t="s">
        <v>8</v>
      </c>
      <c r="E2957" s="15" t="s">
        <v>8</v>
      </c>
      <c r="F2957" s="15" t="s">
        <v>8</v>
      </c>
      <c r="H2957" s="15" t="s">
        <v>8</v>
      </c>
      <c r="I2957" s="15" t="s">
        <v>8</v>
      </c>
      <c r="J2957" s="15" t="s">
        <v>8</v>
      </c>
      <c r="L2957" s="15" t="s">
        <v>8</v>
      </c>
      <c r="M2957" s="15" t="s">
        <v>8</v>
      </c>
      <c r="N2957" s="15" t="s">
        <v>8</v>
      </c>
      <c r="O2957" s="8" t="s">
        <v>3</v>
      </c>
      <c r="P2957" s="8" t="s">
        <v>6</v>
      </c>
    </row>
    <row r="2958" spans="3:22" x14ac:dyDescent="0.35">
      <c r="C2958" s="15" t="s">
        <v>8</v>
      </c>
      <c r="D2958" s="15" t="s">
        <v>8</v>
      </c>
      <c r="E2958" s="15" t="s">
        <v>8</v>
      </c>
      <c r="F2958" s="15" t="s">
        <v>8</v>
      </c>
      <c r="H2958" s="15" t="s">
        <v>8</v>
      </c>
      <c r="I2958" s="15" t="s">
        <v>8</v>
      </c>
      <c r="J2958" s="15" t="s">
        <v>8</v>
      </c>
      <c r="L2958" s="15" t="s">
        <v>8</v>
      </c>
      <c r="M2958" s="15" t="s">
        <v>8</v>
      </c>
      <c r="N2958" s="15" t="s">
        <v>8</v>
      </c>
      <c r="O2958" s="15" t="s">
        <v>8</v>
      </c>
      <c r="P2958" s="20" t="str">
        <f>HYPERLINK("http://yeinfo.com/family/I09043369.html", "JANE GEDGE &lt;4&gt; 1535 EN-1573 EN ID:09021685")</f>
        <v>JANE GEDGE &lt;4&gt; 1535 EN-1573 EN ID:09021685</v>
      </c>
      <c r="Q2958" s="17"/>
      <c r="R2958" s="17"/>
      <c r="S2958" s="17"/>
      <c r="T2958" s="17"/>
    </row>
    <row r="2959" spans="3:22" x14ac:dyDescent="0.35">
      <c r="C2959" s="15" t="s">
        <v>8</v>
      </c>
      <c r="D2959" s="15" t="s">
        <v>8</v>
      </c>
      <c r="E2959" s="15" t="s">
        <v>8</v>
      </c>
      <c r="F2959" s="15" t="s">
        <v>8</v>
      </c>
      <c r="H2959" s="15" t="s">
        <v>8</v>
      </c>
      <c r="I2959" s="15" t="s">
        <v>8</v>
      </c>
      <c r="J2959" s="15" t="s">
        <v>8</v>
      </c>
      <c r="L2959" s="15" t="s">
        <v>8</v>
      </c>
      <c r="M2959" s="15" t="s">
        <v>8</v>
      </c>
      <c r="N2959" s="8" t="s">
        <v>6</v>
      </c>
      <c r="O2959" s="15" t="s">
        <v>8</v>
      </c>
    </row>
    <row r="2960" spans="3:22" x14ac:dyDescent="0.35">
      <c r="C2960" s="15" t="s">
        <v>8</v>
      </c>
      <c r="D2960" s="15" t="s">
        <v>8</v>
      </c>
      <c r="E2960" s="15" t="s">
        <v>8</v>
      </c>
      <c r="F2960" s="15" t="s">
        <v>8</v>
      </c>
      <c r="H2960" s="15" t="s">
        <v>8</v>
      </c>
      <c r="I2960" s="15" t="s">
        <v>8</v>
      </c>
      <c r="J2960" s="15" t="s">
        <v>8</v>
      </c>
      <c r="L2960" s="15" t="s">
        <v>8</v>
      </c>
      <c r="M2960" s="15" t="s">
        <v>8</v>
      </c>
      <c r="N2960" s="22" t="str">
        <f>HYPERLINK("http://yeinfo.com/family/I09010841.html", "MARY ELLIOTT 1621 EN-1697 MA ID:09005421")</f>
        <v>MARY ELLIOTT 1621 EN-1697 MA ID:09005421</v>
      </c>
      <c r="O2960" s="13"/>
      <c r="P2960" s="13"/>
      <c r="Q2960" s="13"/>
      <c r="R2960" s="13"/>
    </row>
    <row r="2961" spans="3:21" x14ac:dyDescent="0.35">
      <c r="C2961" s="15" t="s">
        <v>8</v>
      </c>
      <c r="D2961" s="15" t="s">
        <v>8</v>
      </c>
      <c r="E2961" s="15" t="s">
        <v>8</v>
      </c>
      <c r="F2961" s="15" t="s">
        <v>8</v>
      </c>
      <c r="H2961" s="15" t="s">
        <v>8</v>
      </c>
      <c r="I2961" s="15" t="s">
        <v>8</v>
      </c>
      <c r="J2961" s="15" t="s">
        <v>8</v>
      </c>
      <c r="L2961" s="15" t="s">
        <v>8</v>
      </c>
      <c r="M2961" s="15" t="s">
        <v>8</v>
      </c>
      <c r="O2961" s="15" t="s">
        <v>8</v>
      </c>
    </row>
    <row r="2962" spans="3:21" x14ac:dyDescent="0.35">
      <c r="C2962" s="15" t="s">
        <v>8</v>
      </c>
      <c r="D2962" s="15" t="s">
        <v>8</v>
      </c>
      <c r="E2962" s="15" t="s">
        <v>8</v>
      </c>
      <c r="F2962" s="15" t="s">
        <v>8</v>
      </c>
      <c r="H2962" s="15" t="s">
        <v>8</v>
      </c>
      <c r="I2962" s="15" t="s">
        <v>8</v>
      </c>
      <c r="J2962" s="15" t="s">
        <v>8</v>
      </c>
      <c r="L2962" s="15" t="s">
        <v>8</v>
      </c>
      <c r="M2962" s="15" t="s">
        <v>8</v>
      </c>
      <c r="O2962" s="15" t="s">
        <v>8</v>
      </c>
      <c r="Q2962" s="19" t="str">
        <f>HYPERLINK("http://yeinfo.com/family/I09021686.html", "ROBERT AGGAR &lt;4&gt; 1525 EN-1557 EN ID:09043372")</f>
        <v>ROBERT AGGAR &lt;4&gt; 1525 EN-1557 EN ID:09043372</v>
      </c>
      <c r="R2962" s="9"/>
      <c r="S2962" s="9"/>
      <c r="T2962" s="9"/>
      <c r="U2962" s="9"/>
    </row>
    <row r="2963" spans="3:21" x14ac:dyDescent="0.35">
      <c r="C2963" s="15" t="s">
        <v>8</v>
      </c>
      <c r="D2963" s="15" t="s">
        <v>8</v>
      </c>
      <c r="E2963" s="15" t="s">
        <v>8</v>
      </c>
      <c r="F2963" s="15" t="s">
        <v>8</v>
      </c>
      <c r="H2963" s="15" t="s">
        <v>8</v>
      </c>
      <c r="I2963" s="15" t="s">
        <v>8</v>
      </c>
      <c r="J2963" s="15" t="s">
        <v>8</v>
      </c>
      <c r="L2963" s="15" t="s">
        <v>8</v>
      </c>
      <c r="M2963" s="15" t="s">
        <v>8</v>
      </c>
      <c r="O2963" s="15" t="s">
        <v>8</v>
      </c>
      <c r="Q2963" s="8" t="s">
        <v>3</v>
      </c>
    </row>
    <row r="2964" spans="3:21" x14ac:dyDescent="0.35">
      <c r="C2964" s="15" t="s">
        <v>8</v>
      </c>
      <c r="D2964" s="15" t="s">
        <v>8</v>
      </c>
      <c r="E2964" s="15" t="s">
        <v>8</v>
      </c>
      <c r="F2964" s="15" t="s">
        <v>8</v>
      </c>
      <c r="H2964" s="15" t="s">
        <v>8</v>
      </c>
      <c r="I2964" s="15" t="s">
        <v>8</v>
      </c>
      <c r="J2964" s="15" t="s">
        <v>8</v>
      </c>
      <c r="L2964" s="15" t="s">
        <v>8</v>
      </c>
      <c r="M2964" s="15" t="s">
        <v>8</v>
      </c>
      <c r="O2964" s="15" t="s">
        <v>8</v>
      </c>
      <c r="P2964" s="19" t="str">
        <f>HYPERLINK("http://yeinfo.com/family/I09010843.html", "FRANCIS AGGAR &lt;4&gt; 1544 EN-1582 EN ID:09021686")</f>
        <v>FRANCIS AGGAR &lt;4&gt; 1544 EN-1582 EN ID:09021686</v>
      </c>
      <c r="Q2964" s="9"/>
      <c r="R2964" s="9"/>
      <c r="S2964" s="9"/>
      <c r="T2964" s="9"/>
    </row>
    <row r="2965" spans="3:21" x14ac:dyDescent="0.35">
      <c r="C2965" s="15" t="s">
        <v>8</v>
      </c>
      <c r="D2965" s="15" t="s">
        <v>8</v>
      </c>
      <c r="E2965" s="15" t="s">
        <v>8</v>
      </c>
      <c r="F2965" s="15" t="s">
        <v>8</v>
      </c>
      <c r="H2965" s="15" t="s">
        <v>8</v>
      </c>
      <c r="I2965" s="15" t="s">
        <v>8</v>
      </c>
      <c r="J2965" s="15" t="s">
        <v>8</v>
      </c>
      <c r="L2965" s="15" t="s">
        <v>8</v>
      </c>
      <c r="M2965" s="15" t="s">
        <v>8</v>
      </c>
      <c r="O2965" s="15" t="s">
        <v>8</v>
      </c>
      <c r="P2965" s="8" t="s">
        <v>3</v>
      </c>
      <c r="Q2965" s="8" t="s">
        <v>6</v>
      </c>
    </row>
    <row r="2966" spans="3:21" x14ac:dyDescent="0.35">
      <c r="C2966" s="15" t="s">
        <v>8</v>
      </c>
      <c r="D2966" s="15" t="s">
        <v>8</v>
      </c>
      <c r="E2966" s="15" t="s">
        <v>8</v>
      </c>
      <c r="F2966" s="15" t="s">
        <v>8</v>
      </c>
      <c r="H2966" s="15" t="s">
        <v>8</v>
      </c>
      <c r="I2966" s="15" t="s">
        <v>8</v>
      </c>
      <c r="J2966" s="15" t="s">
        <v>8</v>
      </c>
      <c r="L2966" s="15" t="s">
        <v>8</v>
      </c>
      <c r="M2966" s="15" t="s">
        <v>8</v>
      </c>
      <c r="O2966" s="15" t="s">
        <v>8</v>
      </c>
      <c r="P2966" s="15" t="s">
        <v>8</v>
      </c>
      <c r="Q2966" s="20" t="str">
        <f>HYPERLINK("http://yeinfo.com/family/I09043372.html", "Mrs. JOANE FYNCH &lt;4&gt; 1525 EN-1560 EN ID:09043373")</f>
        <v>Mrs. JOANE FYNCH &lt;4&gt; 1525 EN-1560 EN ID:09043373</v>
      </c>
      <c r="R2966" s="17"/>
      <c r="S2966" s="17"/>
      <c r="T2966" s="17"/>
      <c r="U2966" s="17"/>
    </row>
    <row r="2967" spans="3:21" x14ac:dyDescent="0.35">
      <c r="C2967" s="15" t="s">
        <v>8</v>
      </c>
      <c r="D2967" s="15" t="s">
        <v>8</v>
      </c>
      <c r="E2967" s="15" t="s">
        <v>8</v>
      </c>
      <c r="F2967" s="15" t="s">
        <v>8</v>
      </c>
      <c r="H2967" s="15" t="s">
        <v>8</v>
      </c>
      <c r="I2967" s="15" t="s">
        <v>8</v>
      </c>
      <c r="J2967" s="15" t="s">
        <v>8</v>
      </c>
      <c r="L2967" s="15" t="s">
        <v>8</v>
      </c>
      <c r="M2967" s="15" t="s">
        <v>8</v>
      </c>
      <c r="O2967" s="8" t="s">
        <v>6</v>
      </c>
      <c r="P2967" s="15" t="s">
        <v>8</v>
      </c>
    </row>
    <row r="2968" spans="3:21" x14ac:dyDescent="0.35">
      <c r="C2968" s="15" t="s">
        <v>8</v>
      </c>
      <c r="D2968" s="15" t="s">
        <v>8</v>
      </c>
      <c r="E2968" s="15" t="s">
        <v>8</v>
      </c>
      <c r="F2968" s="15" t="s">
        <v>8</v>
      </c>
      <c r="H2968" s="15" t="s">
        <v>8</v>
      </c>
      <c r="I2968" s="15" t="s">
        <v>8</v>
      </c>
      <c r="J2968" s="15" t="s">
        <v>8</v>
      </c>
      <c r="L2968" s="15" t="s">
        <v>8</v>
      </c>
      <c r="M2968" s="15" t="s">
        <v>8</v>
      </c>
      <c r="O2968" s="20" t="str">
        <f>HYPERLINK("http://yeinfo.com/family/I09021685.html", "LETTEYE\LETTICE AGGAR &lt;4&gt; 1577 EN-1621 EN ID:09010843")</f>
        <v>LETTEYE\LETTICE AGGAR &lt;4&gt; 1577 EN-1621 EN ID:09010843</v>
      </c>
      <c r="P2968" s="17"/>
      <c r="Q2968" s="17"/>
      <c r="R2968" s="17"/>
      <c r="S2968" s="17"/>
      <c r="T2968" s="17"/>
    </row>
    <row r="2969" spans="3:21" x14ac:dyDescent="0.35">
      <c r="C2969" s="15" t="s">
        <v>8</v>
      </c>
      <c r="D2969" s="15" t="s">
        <v>8</v>
      </c>
      <c r="E2969" s="15" t="s">
        <v>8</v>
      </c>
      <c r="F2969" s="15" t="s">
        <v>8</v>
      </c>
      <c r="H2969" s="15" t="s">
        <v>8</v>
      </c>
      <c r="I2969" s="15" t="s">
        <v>8</v>
      </c>
      <c r="J2969" s="15" t="s">
        <v>8</v>
      </c>
      <c r="L2969" s="15" t="s">
        <v>8</v>
      </c>
      <c r="M2969" s="15" t="s">
        <v>8</v>
      </c>
      <c r="P2969" s="15" t="s">
        <v>8</v>
      </c>
    </row>
    <row r="2970" spans="3:21" x14ac:dyDescent="0.35">
      <c r="C2970" s="15" t="s">
        <v>8</v>
      </c>
      <c r="D2970" s="15" t="s">
        <v>8</v>
      </c>
      <c r="E2970" s="15" t="s">
        <v>8</v>
      </c>
      <c r="F2970" s="15" t="s">
        <v>8</v>
      </c>
      <c r="H2970" s="15" t="s">
        <v>8</v>
      </c>
      <c r="I2970" s="15" t="s">
        <v>8</v>
      </c>
      <c r="J2970" s="15" t="s">
        <v>8</v>
      </c>
      <c r="L2970" s="15" t="s">
        <v>8</v>
      </c>
      <c r="M2970" s="15" t="s">
        <v>8</v>
      </c>
      <c r="P2970" s="15" t="s">
        <v>8</v>
      </c>
      <c r="Q2970" s="19" t="str">
        <f>HYPERLINK("http://yeinfo.com/family/I09021687.html", "THOMAS HENRY PEACOCK &lt;4&gt; 1500 EN-1583 EN ID:09043374")</f>
        <v>THOMAS HENRY PEACOCK &lt;4&gt; 1500 EN-1583 EN ID:09043374</v>
      </c>
      <c r="R2970" s="9"/>
      <c r="S2970" s="9"/>
      <c r="T2970" s="9"/>
      <c r="U2970" s="9"/>
    </row>
    <row r="2971" spans="3:21" x14ac:dyDescent="0.35">
      <c r="C2971" s="15" t="s">
        <v>8</v>
      </c>
      <c r="D2971" s="15" t="s">
        <v>8</v>
      </c>
      <c r="E2971" s="15" t="s">
        <v>8</v>
      </c>
      <c r="F2971" s="15" t="s">
        <v>8</v>
      </c>
      <c r="H2971" s="15" t="s">
        <v>8</v>
      </c>
      <c r="I2971" s="15" t="s">
        <v>8</v>
      </c>
      <c r="J2971" s="15" t="s">
        <v>8</v>
      </c>
      <c r="L2971" s="15" t="s">
        <v>8</v>
      </c>
      <c r="M2971" s="15" t="s">
        <v>8</v>
      </c>
      <c r="P2971" s="8" t="s">
        <v>6</v>
      </c>
      <c r="Q2971" s="8" t="s">
        <v>3</v>
      </c>
    </row>
    <row r="2972" spans="3:21" x14ac:dyDescent="0.35">
      <c r="C2972" s="15" t="s">
        <v>8</v>
      </c>
      <c r="D2972" s="15" t="s">
        <v>8</v>
      </c>
      <c r="E2972" s="15" t="s">
        <v>8</v>
      </c>
      <c r="F2972" s="15" t="s">
        <v>8</v>
      </c>
      <c r="H2972" s="15" t="s">
        <v>8</v>
      </c>
      <c r="I2972" s="15" t="s">
        <v>8</v>
      </c>
      <c r="J2972" s="15" t="s">
        <v>8</v>
      </c>
      <c r="L2972" s="15" t="s">
        <v>8</v>
      </c>
      <c r="M2972" s="15" t="s">
        <v>8</v>
      </c>
      <c r="P2972" s="20" t="str">
        <f>HYPERLINK("http://yeinfo.com/family/I09043373.html", "LETTICE\ELNOR LETTICE PEACOCK &lt;4&gt; 1551 EN-1621 EN ID:09021687")</f>
        <v>LETTICE\ELNOR LETTICE PEACOCK &lt;4&gt; 1551 EN-1621 EN ID:09021687</v>
      </c>
      <c r="Q2972" s="17"/>
      <c r="R2972" s="17"/>
      <c r="S2972" s="17"/>
      <c r="T2972" s="17"/>
      <c r="U2972" s="17"/>
    </row>
    <row r="2973" spans="3:21" x14ac:dyDescent="0.35">
      <c r="C2973" s="15" t="s">
        <v>8</v>
      </c>
      <c r="D2973" s="15" t="s">
        <v>8</v>
      </c>
      <c r="E2973" s="15" t="s">
        <v>8</v>
      </c>
      <c r="F2973" s="15" t="s">
        <v>8</v>
      </c>
      <c r="H2973" s="15" t="s">
        <v>8</v>
      </c>
      <c r="I2973" s="15" t="s">
        <v>8</v>
      </c>
      <c r="J2973" s="15" t="s">
        <v>8</v>
      </c>
      <c r="L2973" s="15" t="s">
        <v>8</v>
      </c>
      <c r="M2973" s="15" t="s">
        <v>8</v>
      </c>
      <c r="Q2973" s="8" t="s">
        <v>6</v>
      </c>
    </row>
    <row r="2974" spans="3:21" x14ac:dyDescent="0.35">
      <c r="C2974" s="15" t="s">
        <v>8</v>
      </c>
      <c r="D2974" s="15" t="s">
        <v>8</v>
      </c>
      <c r="E2974" s="15" t="s">
        <v>8</v>
      </c>
      <c r="F2974" s="15" t="s">
        <v>8</v>
      </c>
      <c r="H2974" s="15" t="s">
        <v>8</v>
      </c>
      <c r="I2974" s="15" t="s">
        <v>8</v>
      </c>
      <c r="J2974" s="15" t="s">
        <v>8</v>
      </c>
      <c r="L2974" s="15" t="s">
        <v>8</v>
      </c>
      <c r="M2974" s="15" t="s">
        <v>8</v>
      </c>
      <c r="Q2974" s="20" t="str">
        <f>HYPERLINK("http://yeinfo.com/family/I09043374.html", "ELEANOR WRIGHT &lt;4&gt; 1530 EN-1551 EN ID:09043375")</f>
        <v>ELEANOR WRIGHT &lt;4&gt; 1530 EN-1551 EN ID:09043375</v>
      </c>
      <c r="R2974" s="17"/>
      <c r="S2974" s="17"/>
      <c r="T2974" s="17"/>
      <c r="U2974" s="17"/>
    </row>
    <row r="2975" spans="3:21" x14ac:dyDescent="0.35">
      <c r="C2975" s="15" t="s">
        <v>8</v>
      </c>
      <c r="D2975" s="15" t="s">
        <v>8</v>
      </c>
      <c r="E2975" s="15" t="s">
        <v>8</v>
      </c>
      <c r="F2975" s="15" t="s">
        <v>8</v>
      </c>
      <c r="H2975" s="15" t="s">
        <v>8</v>
      </c>
      <c r="I2975" s="15" t="s">
        <v>8</v>
      </c>
      <c r="J2975" s="15" t="s">
        <v>8</v>
      </c>
      <c r="L2975" s="8" t="s">
        <v>6</v>
      </c>
      <c r="M2975" s="15" t="s">
        <v>8</v>
      </c>
    </row>
    <row r="2976" spans="3:21" x14ac:dyDescent="0.35">
      <c r="C2976" s="15" t="s">
        <v>8</v>
      </c>
      <c r="D2976" s="15" t="s">
        <v>8</v>
      </c>
      <c r="E2976" s="15" t="s">
        <v>8</v>
      </c>
      <c r="F2976" s="15" t="s">
        <v>8</v>
      </c>
      <c r="H2976" s="15" t="s">
        <v>8</v>
      </c>
      <c r="I2976" s="15" t="s">
        <v>8</v>
      </c>
      <c r="J2976" s="15" t="s">
        <v>8</v>
      </c>
      <c r="L2976" s="16" t="str">
        <f>HYPERLINK("http://yeinfo.com/family/I09021679.html", "SARAH PAYSON 1690 MA-1773 MA ID:09001355")</f>
        <v>SARAH PAYSON 1690 MA-1773 MA ID:09001355</v>
      </c>
      <c r="M2976" s="11"/>
      <c r="N2976" s="11"/>
      <c r="O2976" s="11"/>
      <c r="P2976" s="11"/>
    </row>
    <row r="2977" spans="3:25" x14ac:dyDescent="0.35">
      <c r="C2977" s="15" t="s">
        <v>8</v>
      </c>
      <c r="D2977" s="15" t="s">
        <v>8</v>
      </c>
      <c r="E2977" s="15" t="s">
        <v>8</v>
      </c>
      <c r="F2977" s="15" t="s">
        <v>8</v>
      </c>
      <c r="H2977" s="15" t="s">
        <v>8</v>
      </c>
      <c r="I2977" s="15" t="s">
        <v>8</v>
      </c>
      <c r="J2977" s="15" t="s">
        <v>8</v>
      </c>
      <c r="M2977" s="15" t="s">
        <v>8</v>
      </c>
    </row>
    <row r="2978" spans="3:25" x14ac:dyDescent="0.35">
      <c r="C2978" s="15" t="s">
        <v>8</v>
      </c>
      <c r="D2978" s="15" t="s">
        <v>8</v>
      </c>
      <c r="E2978" s="15" t="s">
        <v>8</v>
      </c>
      <c r="F2978" s="15" t="s">
        <v>8</v>
      </c>
      <c r="H2978" s="15" t="s">
        <v>8</v>
      </c>
      <c r="I2978" s="15" t="s">
        <v>8</v>
      </c>
      <c r="J2978" s="15" t="s">
        <v>8</v>
      </c>
      <c r="M2978" s="15" t="s">
        <v>8</v>
      </c>
      <c r="P2978" s="19" t="str">
        <f>HYPERLINK("http://yeinfo.com/family/I09010844.html", "CHRISTOPHER PHILLIPS 1570 EN-1593 EN ID:09021688")</f>
        <v>CHRISTOPHER PHILLIPS 1570 EN-1593 EN ID:09021688</v>
      </c>
      <c r="Q2978" s="9"/>
      <c r="R2978" s="9"/>
      <c r="S2978" s="9"/>
      <c r="T2978" s="9"/>
    </row>
    <row r="2979" spans="3:25" x14ac:dyDescent="0.35">
      <c r="C2979" s="15" t="s">
        <v>8</v>
      </c>
      <c r="D2979" s="15" t="s">
        <v>8</v>
      </c>
      <c r="E2979" s="15" t="s">
        <v>8</v>
      </c>
      <c r="F2979" s="15" t="s">
        <v>8</v>
      </c>
      <c r="H2979" s="15" t="s">
        <v>8</v>
      </c>
      <c r="I2979" s="15" t="s">
        <v>8</v>
      </c>
      <c r="J2979" s="15" t="s">
        <v>8</v>
      </c>
      <c r="M2979" s="15" t="s">
        <v>8</v>
      </c>
      <c r="P2979" s="8" t="s">
        <v>3</v>
      </c>
    </row>
    <row r="2980" spans="3:25" x14ac:dyDescent="0.35">
      <c r="C2980" s="15" t="s">
        <v>8</v>
      </c>
      <c r="D2980" s="15" t="s">
        <v>8</v>
      </c>
      <c r="E2980" s="15" t="s">
        <v>8</v>
      </c>
      <c r="F2980" s="15" t="s">
        <v>8</v>
      </c>
      <c r="H2980" s="15" t="s">
        <v>8</v>
      </c>
      <c r="I2980" s="15" t="s">
        <v>8</v>
      </c>
      <c r="J2980" s="15" t="s">
        <v>8</v>
      </c>
      <c r="M2980" s="15" t="s">
        <v>8</v>
      </c>
      <c r="O2980" s="21" t="str">
        <f>HYPERLINK("http://yeinfo.com/family/I09005422.html", "GEORGE PHILLIPS 1593 EN-1644 MA ID:09010844")</f>
        <v>GEORGE PHILLIPS 1593 EN-1644 MA ID:09010844</v>
      </c>
      <c r="P2980" s="6"/>
      <c r="Q2980" s="6"/>
      <c r="R2980" s="6"/>
      <c r="S2980" s="6"/>
    </row>
    <row r="2981" spans="3:25" x14ac:dyDescent="0.35">
      <c r="C2981" s="15" t="s">
        <v>8</v>
      </c>
      <c r="D2981" s="15" t="s">
        <v>8</v>
      </c>
      <c r="E2981" s="15" t="s">
        <v>8</v>
      </c>
      <c r="F2981" s="15" t="s">
        <v>8</v>
      </c>
      <c r="H2981" s="15" t="s">
        <v>8</v>
      </c>
      <c r="I2981" s="15" t="s">
        <v>8</v>
      </c>
      <c r="J2981" s="15" t="s">
        <v>8</v>
      </c>
      <c r="M2981" s="15" t="s">
        <v>8</v>
      </c>
      <c r="O2981" s="8" t="s">
        <v>3</v>
      </c>
      <c r="P2981" s="15" t="s">
        <v>8</v>
      </c>
    </row>
    <row r="2982" spans="3:25" x14ac:dyDescent="0.35">
      <c r="C2982" s="15" t="s">
        <v>8</v>
      </c>
      <c r="D2982" s="15" t="s">
        <v>8</v>
      </c>
      <c r="E2982" s="15" t="s">
        <v>8</v>
      </c>
      <c r="F2982" s="15" t="s">
        <v>8</v>
      </c>
      <c r="H2982" s="15" t="s">
        <v>8</v>
      </c>
      <c r="I2982" s="15" t="s">
        <v>8</v>
      </c>
      <c r="J2982" s="15" t="s">
        <v>8</v>
      </c>
      <c r="M2982" s="15" t="s">
        <v>8</v>
      </c>
      <c r="O2982" s="15" t="s">
        <v>8</v>
      </c>
      <c r="P2982" s="15" t="s">
        <v>8</v>
      </c>
      <c r="U2982" s="19" t="str">
        <f>HYPERLINK("http://yeinfo.com/family/I09066712.html", "THOMAS ABRAM 1400 EN-1440 EN ID:09066714")</f>
        <v>THOMAS ABRAM 1400 EN-1440 EN ID:09066714</v>
      </c>
      <c r="V2982" s="9"/>
      <c r="W2982" s="9"/>
      <c r="X2982" s="9"/>
      <c r="Y2982" s="9"/>
    </row>
    <row r="2983" spans="3:25" x14ac:dyDescent="0.35">
      <c r="C2983" s="15" t="s">
        <v>8</v>
      </c>
      <c r="D2983" s="15" t="s">
        <v>8</v>
      </c>
      <c r="E2983" s="15" t="s">
        <v>8</v>
      </c>
      <c r="F2983" s="15" t="s">
        <v>8</v>
      </c>
      <c r="H2983" s="15" t="s">
        <v>8</v>
      </c>
      <c r="I2983" s="15" t="s">
        <v>8</v>
      </c>
      <c r="J2983" s="15" t="s">
        <v>8</v>
      </c>
      <c r="M2983" s="15" t="s">
        <v>8</v>
      </c>
      <c r="O2983" s="15" t="s">
        <v>8</v>
      </c>
      <c r="P2983" s="15" t="s">
        <v>8</v>
      </c>
      <c r="U2983" s="8" t="s">
        <v>3</v>
      </c>
    </row>
    <row r="2984" spans="3:25" x14ac:dyDescent="0.35">
      <c r="C2984" s="15" t="s">
        <v>8</v>
      </c>
      <c r="D2984" s="15" t="s">
        <v>8</v>
      </c>
      <c r="E2984" s="15" t="s">
        <v>8</v>
      </c>
      <c r="F2984" s="15" t="s">
        <v>8</v>
      </c>
      <c r="H2984" s="15" t="s">
        <v>8</v>
      </c>
      <c r="I2984" s="15" t="s">
        <v>8</v>
      </c>
      <c r="J2984" s="15" t="s">
        <v>8</v>
      </c>
      <c r="M2984" s="15" t="s">
        <v>8</v>
      </c>
      <c r="O2984" s="15" t="s">
        <v>8</v>
      </c>
      <c r="P2984" s="15" t="s">
        <v>8</v>
      </c>
      <c r="T2984" s="19" t="str">
        <f>HYPERLINK("http://yeinfo.com/family/I09066710.html", "RICHARDUS ABRAM 1440 EN-1500 EN ID:09066712")</f>
        <v>RICHARDUS ABRAM 1440 EN-1500 EN ID:09066712</v>
      </c>
      <c r="U2984" s="9"/>
      <c r="V2984" s="9"/>
      <c r="W2984" s="9"/>
      <c r="X2984" s="9"/>
    </row>
    <row r="2985" spans="3:25" x14ac:dyDescent="0.35">
      <c r="C2985" s="15" t="s">
        <v>8</v>
      </c>
      <c r="D2985" s="15" t="s">
        <v>8</v>
      </c>
      <c r="E2985" s="15" t="s">
        <v>8</v>
      </c>
      <c r="F2985" s="15" t="s">
        <v>8</v>
      </c>
      <c r="H2985" s="15" t="s">
        <v>8</v>
      </c>
      <c r="I2985" s="15" t="s">
        <v>8</v>
      </c>
      <c r="J2985" s="15" t="s">
        <v>8</v>
      </c>
      <c r="M2985" s="15" t="s">
        <v>8</v>
      </c>
      <c r="O2985" s="15" t="s">
        <v>8</v>
      </c>
      <c r="P2985" s="15" t="s">
        <v>8</v>
      </c>
      <c r="T2985" s="8" t="s">
        <v>3</v>
      </c>
      <c r="U2985" s="8" t="s">
        <v>6</v>
      </c>
    </row>
    <row r="2986" spans="3:25" x14ac:dyDescent="0.35">
      <c r="C2986" s="15" t="s">
        <v>8</v>
      </c>
      <c r="D2986" s="15" t="s">
        <v>8</v>
      </c>
      <c r="E2986" s="15" t="s">
        <v>8</v>
      </c>
      <c r="F2986" s="15" t="s">
        <v>8</v>
      </c>
      <c r="H2986" s="15" t="s">
        <v>8</v>
      </c>
      <c r="I2986" s="15" t="s">
        <v>8</v>
      </c>
      <c r="J2986" s="15" t="s">
        <v>8</v>
      </c>
      <c r="M2986" s="15" t="s">
        <v>8</v>
      </c>
      <c r="O2986" s="15" t="s">
        <v>8</v>
      </c>
      <c r="P2986" s="15" t="s">
        <v>8</v>
      </c>
      <c r="T2986" s="15" t="s">
        <v>8</v>
      </c>
      <c r="U2986" s="20" t="str">
        <f>HYPERLINK("http://yeinfo.com/family/I09066714.html", "Mrs. ELLEN ABRAM 1405 EN-1440 EN ID:09066715")</f>
        <v>Mrs. ELLEN ABRAM 1405 EN-1440 EN ID:09066715</v>
      </c>
      <c r="V2986" s="17"/>
      <c r="W2986" s="17"/>
      <c r="X2986" s="17"/>
      <c r="Y2986" s="17"/>
    </row>
    <row r="2987" spans="3:25" x14ac:dyDescent="0.35">
      <c r="C2987" s="15" t="s">
        <v>8</v>
      </c>
      <c r="D2987" s="15" t="s">
        <v>8</v>
      </c>
      <c r="E2987" s="15" t="s">
        <v>8</v>
      </c>
      <c r="F2987" s="15" t="s">
        <v>8</v>
      </c>
      <c r="H2987" s="15" t="s">
        <v>8</v>
      </c>
      <c r="I2987" s="15" t="s">
        <v>8</v>
      </c>
      <c r="J2987" s="15" t="s">
        <v>8</v>
      </c>
      <c r="M2987" s="15" t="s">
        <v>8</v>
      </c>
      <c r="O2987" s="15" t="s">
        <v>8</v>
      </c>
      <c r="P2987" s="15" t="s">
        <v>8</v>
      </c>
      <c r="T2987" s="15" t="s">
        <v>8</v>
      </c>
    </row>
    <row r="2988" spans="3:25" x14ac:dyDescent="0.35">
      <c r="C2988" s="15" t="s">
        <v>8</v>
      </c>
      <c r="D2988" s="15" t="s">
        <v>8</v>
      </c>
      <c r="E2988" s="15" t="s">
        <v>8</v>
      </c>
      <c r="F2988" s="15" t="s">
        <v>8</v>
      </c>
      <c r="H2988" s="15" t="s">
        <v>8</v>
      </c>
      <c r="I2988" s="15" t="s">
        <v>8</v>
      </c>
      <c r="J2988" s="15" t="s">
        <v>8</v>
      </c>
      <c r="M2988" s="15" t="s">
        <v>8</v>
      </c>
      <c r="O2988" s="15" t="s">
        <v>8</v>
      </c>
      <c r="P2988" s="15" t="s">
        <v>8</v>
      </c>
      <c r="S2988" s="19" t="str">
        <f>HYPERLINK("http://yeinfo.com/family/I09066708.html", "RICHARD EDMUNDI ABRAM 1500 EN-1582 EN ID:09066710")</f>
        <v>RICHARD EDMUNDI ABRAM 1500 EN-1582 EN ID:09066710</v>
      </c>
      <c r="T2988" s="9"/>
      <c r="U2988" s="9"/>
      <c r="V2988" s="9"/>
      <c r="W2988" s="9"/>
    </row>
    <row r="2989" spans="3:25" x14ac:dyDescent="0.35">
      <c r="C2989" s="15" t="s">
        <v>8</v>
      </c>
      <c r="D2989" s="15" t="s">
        <v>8</v>
      </c>
      <c r="E2989" s="15" t="s">
        <v>8</v>
      </c>
      <c r="F2989" s="15" t="s">
        <v>8</v>
      </c>
      <c r="H2989" s="15" t="s">
        <v>8</v>
      </c>
      <c r="I2989" s="15" t="s">
        <v>8</v>
      </c>
      <c r="J2989" s="15" t="s">
        <v>8</v>
      </c>
      <c r="M2989" s="15" t="s">
        <v>8</v>
      </c>
      <c r="O2989" s="15" t="s">
        <v>8</v>
      </c>
      <c r="P2989" s="15" t="s">
        <v>8</v>
      </c>
      <c r="S2989" s="8" t="s">
        <v>3</v>
      </c>
      <c r="T2989" s="8" t="s">
        <v>6</v>
      </c>
    </row>
    <row r="2990" spans="3:25" x14ac:dyDescent="0.35">
      <c r="C2990" s="15" t="s">
        <v>8</v>
      </c>
      <c r="D2990" s="15" t="s">
        <v>8</v>
      </c>
      <c r="E2990" s="15" t="s">
        <v>8</v>
      </c>
      <c r="F2990" s="15" t="s">
        <v>8</v>
      </c>
      <c r="H2990" s="15" t="s">
        <v>8</v>
      </c>
      <c r="I2990" s="15" t="s">
        <v>8</v>
      </c>
      <c r="J2990" s="15" t="s">
        <v>8</v>
      </c>
      <c r="M2990" s="15" t="s">
        <v>8</v>
      </c>
      <c r="O2990" s="15" t="s">
        <v>8</v>
      </c>
      <c r="P2990" s="15" t="s">
        <v>8</v>
      </c>
      <c r="S2990" s="15" t="s">
        <v>8</v>
      </c>
      <c r="T2990" s="20" t="str">
        <f>HYPERLINK("http://yeinfo.com/family/I09066715.html", "Mrs. {_?_} ABRAM 1450 EN-1500 EN ID:09066713")</f>
        <v>Mrs. {_?_} ABRAM 1450 EN-1500 EN ID:09066713</v>
      </c>
      <c r="U2990" s="17"/>
      <c r="V2990" s="17"/>
      <c r="W2990" s="17"/>
      <c r="X2990" s="17"/>
    </row>
    <row r="2991" spans="3:25" x14ac:dyDescent="0.35">
      <c r="C2991" s="15" t="s">
        <v>8</v>
      </c>
      <c r="D2991" s="15" t="s">
        <v>8</v>
      </c>
      <c r="E2991" s="15" t="s">
        <v>8</v>
      </c>
      <c r="F2991" s="15" t="s">
        <v>8</v>
      </c>
      <c r="H2991" s="15" t="s">
        <v>8</v>
      </c>
      <c r="I2991" s="15" t="s">
        <v>8</v>
      </c>
      <c r="J2991" s="15" t="s">
        <v>8</v>
      </c>
      <c r="M2991" s="15" t="s">
        <v>8</v>
      </c>
      <c r="O2991" s="15" t="s">
        <v>8</v>
      </c>
      <c r="P2991" s="15" t="s">
        <v>8</v>
      </c>
      <c r="S2991" s="15" t="s">
        <v>8</v>
      </c>
    </row>
    <row r="2992" spans="3:25" x14ac:dyDescent="0.35">
      <c r="C2992" s="15" t="s">
        <v>8</v>
      </c>
      <c r="D2992" s="15" t="s">
        <v>8</v>
      </c>
      <c r="E2992" s="15" t="s">
        <v>8</v>
      </c>
      <c r="F2992" s="15" t="s">
        <v>8</v>
      </c>
      <c r="H2992" s="15" t="s">
        <v>8</v>
      </c>
      <c r="I2992" s="15" t="s">
        <v>8</v>
      </c>
      <c r="J2992" s="15" t="s">
        <v>8</v>
      </c>
      <c r="M2992" s="15" t="s">
        <v>8</v>
      </c>
      <c r="O2992" s="15" t="s">
        <v>8</v>
      </c>
      <c r="P2992" s="15" t="s">
        <v>8</v>
      </c>
      <c r="R2992" s="19" t="str">
        <f>HYPERLINK("http://yeinfo.com/family/I09043378.html", "HENRY ABRAM 1515 EN-1547 EN ID:09066708")</f>
        <v>HENRY ABRAM 1515 EN-1547 EN ID:09066708</v>
      </c>
      <c r="S2992" s="9"/>
      <c r="T2992" s="9"/>
      <c r="U2992" s="9"/>
      <c r="V2992" s="9"/>
    </row>
    <row r="2993" spans="3:23" x14ac:dyDescent="0.35">
      <c r="C2993" s="15" t="s">
        <v>8</v>
      </c>
      <c r="D2993" s="15" t="s">
        <v>8</v>
      </c>
      <c r="E2993" s="15" t="s">
        <v>8</v>
      </c>
      <c r="F2993" s="15" t="s">
        <v>8</v>
      </c>
      <c r="H2993" s="15" t="s">
        <v>8</v>
      </c>
      <c r="I2993" s="15" t="s">
        <v>8</v>
      </c>
      <c r="J2993" s="15" t="s">
        <v>8</v>
      </c>
      <c r="M2993" s="15" t="s">
        <v>8</v>
      </c>
      <c r="O2993" s="15" t="s">
        <v>8</v>
      </c>
      <c r="P2993" s="15" t="s">
        <v>8</v>
      </c>
      <c r="R2993" s="8" t="s">
        <v>3</v>
      </c>
      <c r="S2993" s="8" t="s">
        <v>6</v>
      </c>
    </row>
    <row r="2994" spans="3:23" x14ac:dyDescent="0.35">
      <c r="C2994" s="15" t="s">
        <v>8</v>
      </c>
      <c r="D2994" s="15" t="s">
        <v>8</v>
      </c>
      <c r="E2994" s="15" t="s">
        <v>8</v>
      </c>
      <c r="F2994" s="15" t="s">
        <v>8</v>
      </c>
      <c r="H2994" s="15" t="s">
        <v>8</v>
      </c>
      <c r="I2994" s="15" t="s">
        <v>8</v>
      </c>
      <c r="J2994" s="15" t="s">
        <v>8</v>
      </c>
      <c r="M2994" s="15" t="s">
        <v>8</v>
      </c>
      <c r="O2994" s="15" t="s">
        <v>8</v>
      </c>
      <c r="P2994" s="15" t="s">
        <v>8</v>
      </c>
      <c r="R2994" s="15" t="s">
        <v>8</v>
      </c>
      <c r="S2994" s="20" t="str">
        <f>HYPERLINK("http://yeinfo.com/family/I09066713.html", "Mrs. SARAH ABRAM 1492 EN-1515 EN ID:09066711")</f>
        <v>Mrs. SARAH ABRAM 1492 EN-1515 EN ID:09066711</v>
      </c>
      <c r="T2994" s="17"/>
      <c r="U2994" s="17"/>
      <c r="V2994" s="17"/>
      <c r="W2994" s="17"/>
    </row>
    <row r="2995" spans="3:23" x14ac:dyDescent="0.35">
      <c r="C2995" s="15" t="s">
        <v>8</v>
      </c>
      <c r="D2995" s="15" t="s">
        <v>8</v>
      </c>
      <c r="E2995" s="15" t="s">
        <v>8</v>
      </c>
      <c r="F2995" s="15" t="s">
        <v>8</v>
      </c>
      <c r="H2995" s="15" t="s">
        <v>8</v>
      </c>
      <c r="I2995" s="15" t="s">
        <v>8</v>
      </c>
      <c r="J2995" s="15" t="s">
        <v>8</v>
      </c>
      <c r="M2995" s="15" t="s">
        <v>8</v>
      </c>
      <c r="O2995" s="15" t="s">
        <v>8</v>
      </c>
      <c r="P2995" s="15" t="s">
        <v>8</v>
      </c>
      <c r="R2995" s="15" t="s">
        <v>8</v>
      </c>
    </row>
    <row r="2996" spans="3:23" x14ac:dyDescent="0.35">
      <c r="C2996" s="15" t="s">
        <v>8</v>
      </c>
      <c r="D2996" s="15" t="s">
        <v>8</v>
      </c>
      <c r="E2996" s="15" t="s">
        <v>8</v>
      </c>
      <c r="F2996" s="15" t="s">
        <v>8</v>
      </c>
      <c r="H2996" s="15" t="s">
        <v>8</v>
      </c>
      <c r="I2996" s="15" t="s">
        <v>8</v>
      </c>
      <c r="J2996" s="15" t="s">
        <v>8</v>
      </c>
      <c r="M2996" s="15" t="s">
        <v>8</v>
      </c>
      <c r="O2996" s="15" t="s">
        <v>8</v>
      </c>
      <c r="P2996" s="15" t="s">
        <v>8</v>
      </c>
      <c r="Q2996" s="19" t="str">
        <f>HYPERLINK("http://yeinfo.com/family/I09021689.html", "THOMAS ABRAM 1538 EN-1595 EN ID:09043378")</f>
        <v>THOMAS ABRAM 1538 EN-1595 EN ID:09043378</v>
      </c>
      <c r="R2996" s="9"/>
      <c r="S2996" s="9"/>
      <c r="T2996" s="9"/>
      <c r="U2996" s="9"/>
    </row>
    <row r="2997" spans="3:23" x14ac:dyDescent="0.35">
      <c r="C2997" s="15" t="s">
        <v>8</v>
      </c>
      <c r="D2997" s="15" t="s">
        <v>8</v>
      </c>
      <c r="E2997" s="15" t="s">
        <v>8</v>
      </c>
      <c r="F2997" s="15" t="s">
        <v>8</v>
      </c>
      <c r="H2997" s="15" t="s">
        <v>8</v>
      </c>
      <c r="I2997" s="15" t="s">
        <v>8</v>
      </c>
      <c r="J2997" s="15" t="s">
        <v>8</v>
      </c>
      <c r="M2997" s="15" t="s">
        <v>8</v>
      </c>
      <c r="O2997" s="15" t="s">
        <v>8</v>
      </c>
      <c r="P2997" s="15" t="s">
        <v>8</v>
      </c>
      <c r="Q2997" s="8" t="s">
        <v>3</v>
      </c>
      <c r="R2997" s="15" t="s">
        <v>8</v>
      </c>
    </row>
    <row r="2998" spans="3:23" x14ac:dyDescent="0.35">
      <c r="C2998" s="15" t="s">
        <v>8</v>
      </c>
      <c r="D2998" s="15" t="s">
        <v>8</v>
      </c>
      <c r="E2998" s="15" t="s">
        <v>8</v>
      </c>
      <c r="F2998" s="15" t="s">
        <v>8</v>
      </c>
      <c r="H2998" s="15" t="s">
        <v>8</v>
      </c>
      <c r="I2998" s="15" t="s">
        <v>8</v>
      </c>
      <c r="J2998" s="15" t="s">
        <v>8</v>
      </c>
      <c r="M2998" s="15" t="s">
        <v>8</v>
      </c>
      <c r="O2998" s="15" t="s">
        <v>8</v>
      </c>
      <c r="P2998" s="15" t="s">
        <v>8</v>
      </c>
      <c r="Q2998" s="15" t="s">
        <v>8</v>
      </c>
      <c r="R2998" s="15" t="s">
        <v>8</v>
      </c>
      <c r="S2998" s="19" t="str">
        <f>HYPERLINK("http://yeinfo.com/family/I09066709.html", "WILLIAM JACKSON 1475 EN-1505 EN ID:09066716")</f>
        <v>WILLIAM JACKSON 1475 EN-1505 EN ID:09066716</v>
      </c>
      <c r="T2998" s="9"/>
      <c r="U2998" s="9"/>
      <c r="V2998" s="9"/>
      <c r="W2998" s="9"/>
    </row>
    <row r="2999" spans="3:23" x14ac:dyDescent="0.35">
      <c r="C2999" s="15" t="s">
        <v>8</v>
      </c>
      <c r="D2999" s="15" t="s">
        <v>8</v>
      </c>
      <c r="E2999" s="15" t="s">
        <v>8</v>
      </c>
      <c r="F2999" s="15" t="s">
        <v>8</v>
      </c>
      <c r="H2999" s="15" t="s">
        <v>8</v>
      </c>
      <c r="I2999" s="15" t="s">
        <v>8</v>
      </c>
      <c r="J2999" s="15" t="s">
        <v>8</v>
      </c>
      <c r="M2999" s="15" t="s">
        <v>8</v>
      </c>
      <c r="O2999" s="15" t="s">
        <v>8</v>
      </c>
      <c r="P2999" s="15" t="s">
        <v>8</v>
      </c>
      <c r="Q2999" s="15" t="s">
        <v>8</v>
      </c>
      <c r="R2999" s="8" t="s">
        <v>6</v>
      </c>
      <c r="S2999" s="8" t="s">
        <v>3</v>
      </c>
    </row>
    <row r="3000" spans="3:23" x14ac:dyDescent="0.35">
      <c r="C3000" s="15" t="s">
        <v>8</v>
      </c>
      <c r="D3000" s="15" t="s">
        <v>8</v>
      </c>
      <c r="E3000" s="15" t="s">
        <v>8</v>
      </c>
      <c r="F3000" s="15" t="s">
        <v>8</v>
      </c>
      <c r="H3000" s="15" t="s">
        <v>8</v>
      </c>
      <c r="I3000" s="15" t="s">
        <v>8</v>
      </c>
      <c r="J3000" s="15" t="s">
        <v>8</v>
      </c>
      <c r="M3000" s="15" t="s">
        <v>8</v>
      </c>
      <c r="O3000" s="15" t="s">
        <v>8</v>
      </c>
      <c r="P3000" s="15" t="s">
        <v>8</v>
      </c>
      <c r="Q3000" s="15" t="s">
        <v>8</v>
      </c>
      <c r="R3000" s="20" t="str">
        <f>HYPERLINK("http://yeinfo.com/family/I09066711.html", "MARGARET JACKSON 1520 EN-1569 EN ID:09066709")</f>
        <v>MARGARET JACKSON 1520 EN-1569 EN ID:09066709</v>
      </c>
      <c r="S3000" s="17"/>
      <c r="T3000" s="17"/>
      <c r="U3000" s="17"/>
      <c r="V3000" s="17"/>
    </row>
    <row r="3001" spans="3:23" x14ac:dyDescent="0.35">
      <c r="C3001" s="15" t="s">
        <v>8</v>
      </c>
      <c r="D3001" s="15" t="s">
        <v>8</v>
      </c>
      <c r="E3001" s="15" t="s">
        <v>8</v>
      </c>
      <c r="F3001" s="15" t="s">
        <v>8</v>
      </c>
      <c r="H3001" s="15" t="s">
        <v>8</v>
      </c>
      <c r="I3001" s="15" t="s">
        <v>8</v>
      </c>
      <c r="J3001" s="15" t="s">
        <v>8</v>
      </c>
      <c r="M3001" s="15" t="s">
        <v>8</v>
      </c>
      <c r="O3001" s="15" t="s">
        <v>8</v>
      </c>
      <c r="P3001" s="15" t="s">
        <v>8</v>
      </c>
      <c r="Q3001" s="15" t="s">
        <v>8</v>
      </c>
      <c r="S3001" s="8" t="s">
        <v>6</v>
      </c>
    </row>
    <row r="3002" spans="3:23" x14ac:dyDescent="0.35">
      <c r="C3002" s="15" t="s">
        <v>8</v>
      </c>
      <c r="D3002" s="15" t="s">
        <v>8</v>
      </c>
      <c r="E3002" s="15" t="s">
        <v>8</v>
      </c>
      <c r="F3002" s="15" t="s">
        <v>8</v>
      </c>
      <c r="H3002" s="15" t="s">
        <v>8</v>
      </c>
      <c r="I3002" s="15" t="s">
        <v>8</v>
      </c>
      <c r="J3002" s="15" t="s">
        <v>8</v>
      </c>
      <c r="M3002" s="15" t="s">
        <v>8</v>
      </c>
      <c r="O3002" s="15" t="s">
        <v>8</v>
      </c>
      <c r="P3002" s="15" t="s">
        <v>8</v>
      </c>
      <c r="Q3002" s="15" t="s">
        <v>8</v>
      </c>
      <c r="S3002" s="20" t="str">
        <f>HYPERLINK("http://yeinfo.com/family/I09066716.html", "Mrs. {_?_} JACKSON 1480 EN-1520  ID:09066717")</f>
        <v>Mrs. {_?_} JACKSON 1480 EN-1520  ID:09066717</v>
      </c>
      <c r="T3002" s="17"/>
      <c r="U3002" s="17"/>
      <c r="V3002" s="17"/>
      <c r="W3002" s="17"/>
    </row>
    <row r="3003" spans="3:23" x14ac:dyDescent="0.35">
      <c r="C3003" s="15" t="s">
        <v>8</v>
      </c>
      <c r="D3003" s="15" t="s">
        <v>8</v>
      </c>
      <c r="E3003" s="15" t="s">
        <v>8</v>
      </c>
      <c r="F3003" s="15" t="s">
        <v>8</v>
      </c>
      <c r="H3003" s="15" t="s">
        <v>8</v>
      </c>
      <c r="I3003" s="15" t="s">
        <v>8</v>
      </c>
      <c r="J3003" s="15" t="s">
        <v>8</v>
      </c>
      <c r="M3003" s="15" t="s">
        <v>8</v>
      </c>
      <c r="O3003" s="15" t="s">
        <v>8</v>
      </c>
      <c r="P3003" s="8" t="s">
        <v>6</v>
      </c>
      <c r="Q3003" s="15" t="s">
        <v>8</v>
      </c>
    </row>
    <row r="3004" spans="3:23" x14ac:dyDescent="0.35">
      <c r="C3004" s="15" t="s">
        <v>8</v>
      </c>
      <c r="D3004" s="15" t="s">
        <v>8</v>
      </c>
      <c r="E3004" s="15" t="s">
        <v>8</v>
      </c>
      <c r="F3004" s="15" t="s">
        <v>8</v>
      </c>
      <c r="H3004" s="15" t="s">
        <v>8</v>
      </c>
      <c r="I3004" s="15" t="s">
        <v>8</v>
      </c>
      <c r="J3004" s="15" t="s">
        <v>8</v>
      </c>
      <c r="M3004" s="15" t="s">
        <v>8</v>
      </c>
      <c r="O3004" s="15" t="s">
        <v>8</v>
      </c>
      <c r="P3004" s="20" t="str">
        <f>HYPERLINK("http://yeinfo.com/family/I09021688.html", "AGNES ABRAM 1568 EN-1613 EN ID:09021689")</f>
        <v>AGNES ABRAM 1568 EN-1613 EN ID:09021689</v>
      </c>
      <c r="Q3004" s="17"/>
      <c r="R3004" s="17"/>
      <c r="S3004" s="17"/>
      <c r="T3004" s="17"/>
    </row>
    <row r="3005" spans="3:23" x14ac:dyDescent="0.35">
      <c r="C3005" s="15" t="s">
        <v>8</v>
      </c>
      <c r="D3005" s="15" t="s">
        <v>8</v>
      </c>
      <c r="E3005" s="15" t="s">
        <v>8</v>
      </c>
      <c r="F3005" s="15" t="s">
        <v>8</v>
      </c>
      <c r="H3005" s="15" t="s">
        <v>8</v>
      </c>
      <c r="I3005" s="15" t="s">
        <v>8</v>
      </c>
      <c r="J3005" s="15" t="s">
        <v>8</v>
      </c>
      <c r="M3005" s="15" t="s">
        <v>8</v>
      </c>
      <c r="O3005" s="15" t="s">
        <v>8</v>
      </c>
      <c r="Q3005" s="15" t="s">
        <v>8</v>
      </c>
    </row>
    <row r="3006" spans="3:23" x14ac:dyDescent="0.35">
      <c r="C3006" s="15" t="s">
        <v>8</v>
      </c>
      <c r="D3006" s="15" t="s">
        <v>8</v>
      </c>
      <c r="E3006" s="15" t="s">
        <v>8</v>
      </c>
      <c r="F3006" s="15" t="s">
        <v>8</v>
      </c>
      <c r="H3006" s="15" t="s">
        <v>8</v>
      </c>
      <c r="I3006" s="15" t="s">
        <v>8</v>
      </c>
      <c r="J3006" s="15" t="s">
        <v>8</v>
      </c>
      <c r="M3006" s="15" t="s">
        <v>8</v>
      </c>
      <c r="O3006" s="15" t="s">
        <v>8</v>
      </c>
      <c r="Q3006" s="15" t="s">
        <v>8</v>
      </c>
      <c r="R3006" s="19" t="str">
        <f>HYPERLINK("http://yeinfo.com/family/I09043379.html", "WILLMUS FOOTE 1520 EN-1591 EN ID:09066718")</f>
        <v>WILLMUS FOOTE 1520 EN-1591 EN ID:09066718</v>
      </c>
      <c r="S3006" s="9"/>
      <c r="T3006" s="9"/>
      <c r="U3006" s="9"/>
      <c r="V3006" s="9"/>
    </row>
    <row r="3007" spans="3:23" x14ac:dyDescent="0.35">
      <c r="C3007" s="15" t="s">
        <v>8</v>
      </c>
      <c r="D3007" s="15" t="s">
        <v>8</v>
      </c>
      <c r="E3007" s="15" t="s">
        <v>8</v>
      </c>
      <c r="F3007" s="15" t="s">
        <v>8</v>
      </c>
      <c r="H3007" s="15" t="s">
        <v>8</v>
      </c>
      <c r="I3007" s="15" t="s">
        <v>8</v>
      </c>
      <c r="J3007" s="15" t="s">
        <v>8</v>
      </c>
      <c r="M3007" s="15" t="s">
        <v>8</v>
      </c>
      <c r="O3007" s="15" t="s">
        <v>8</v>
      </c>
      <c r="Q3007" s="8" t="s">
        <v>6</v>
      </c>
      <c r="R3007" s="8" t="s">
        <v>3</v>
      </c>
    </row>
    <row r="3008" spans="3:23" x14ac:dyDescent="0.35">
      <c r="C3008" s="15" t="s">
        <v>8</v>
      </c>
      <c r="D3008" s="15" t="s">
        <v>8</v>
      </c>
      <c r="E3008" s="15" t="s">
        <v>8</v>
      </c>
      <c r="F3008" s="15" t="s">
        <v>8</v>
      </c>
      <c r="H3008" s="15" t="s">
        <v>8</v>
      </c>
      <c r="I3008" s="15" t="s">
        <v>8</v>
      </c>
      <c r="J3008" s="15" t="s">
        <v>8</v>
      </c>
      <c r="M3008" s="15" t="s">
        <v>8</v>
      </c>
      <c r="O3008" s="15" t="s">
        <v>8</v>
      </c>
      <c r="Q3008" s="20" t="str">
        <f>HYPERLINK("http://yeinfo.com/family/I09066717.html", "RACHAEL FOOTE 1542 EN-1600 EN ID:09043379")</f>
        <v>RACHAEL FOOTE 1542 EN-1600 EN ID:09043379</v>
      </c>
      <c r="R3008" s="17"/>
      <c r="S3008" s="17"/>
      <c r="T3008" s="17"/>
      <c r="U3008" s="17"/>
    </row>
    <row r="3009" spans="3:30" x14ac:dyDescent="0.35">
      <c r="C3009" s="15" t="s">
        <v>8</v>
      </c>
      <c r="D3009" s="15" t="s">
        <v>8</v>
      </c>
      <c r="E3009" s="15" t="s">
        <v>8</v>
      </c>
      <c r="F3009" s="15" t="s">
        <v>8</v>
      </c>
      <c r="H3009" s="15" t="s">
        <v>8</v>
      </c>
      <c r="I3009" s="15" t="s">
        <v>8</v>
      </c>
      <c r="J3009" s="15" t="s">
        <v>8</v>
      </c>
      <c r="M3009" s="15" t="s">
        <v>8</v>
      </c>
      <c r="O3009" s="15" t="s">
        <v>8</v>
      </c>
      <c r="R3009" s="8" t="s">
        <v>6</v>
      </c>
    </row>
    <row r="3010" spans="3:30" x14ac:dyDescent="0.35">
      <c r="C3010" s="15" t="s">
        <v>8</v>
      </c>
      <c r="D3010" s="15" t="s">
        <v>8</v>
      </c>
      <c r="E3010" s="15" t="s">
        <v>8</v>
      </c>
      <c r="F3010" s="15" t="s">
        <v>8</v>
      </c>
      <c r="H3010" s="15" t="s">
        <v>8</v>
      </c>
      <c r="I3010" s="15" t="s">
        <v>8</v>
      </c>
      <c r="J3010" s="15" t="s">
        <v>8</v>
      </c>
      <c r="M3010" s="15" t="s">
        <v>8</v>
      </c>
      <c r="O3010" s="15" t="s">
        <v>8</v>
      </c>
      <c r="R3010" s="20" t="str">
        <f>HYPERLINK("http://yeinfo.com/family/I09066718.html", "ELIZABETH RIDLEY 1520 EN-1542 EN ID:09066719")</f>
        <v>ELIZABETH RIDLEY 1520 EN-1542 EN ID:09066719</v>
      </c>
      <c r="S3010" s="17"/>
      <c r="T3010" s="17"/>
      <c r="U3010" s="17"/>
      <c r="V3010" s="17"/>
    </row>
    <row r="3011" spans="3:30" x14ac:dyDescent="0.35">
      <c r="C3011" s="15" t="s">
        <v>8</v>
      </c>
      <c r="D3011" s="15" t="s">
        <v>8</v>
      </c>
      <c r="E3011" s="15" t="s">
        <v>8</v>
      </c>
      <c r="F3011" s="15" t="s">
        <v>8</v>
      </c>
      <c r="H3011" s="15" t="s">
        <v>8</v>
      </c>
      <c r="I3011" s="15" t="s">
        <v>8</v>
      </c>
      <c r="J3011" s="15" t="s">
        <v>8</v>
      </c>
      <c r="M3011" s="15" t="s">
        <v>8</v>
      </c>
      <c r="O3011" s="15" t="s">
        <v>8</v>
      </c>
    </row>
    <row r="3012" spans="3:30" x14ac:dyDescent="0.35">
      <c r="C3012" s="15" t="s">
        <v>8</v>
      </c>
      <c r="D3012" s="15" t="s">
        <v>8</v>
      </c>
      <c r="E3012" s="15" t="s">
        <v>8</v>
      </c>
      <c r="F3012" s="15" t="s">
        <v>8</v>
      </c>
      <c r="H3012" s="15" t="s">
        <v>8</v>
      </c>
      <c r="I3012" s="15" t="s">
        <v>8</v>
      </c>
      <c r="J3012" s="15" t="s">
        <v>8</v>
      </c>
      <c r="M3012" s="15" t="s">
        <v>8</v>
      </c>
      <c r="N3012" s="21" t="str">
        <f>HYPERLINK("http://yeinfo.com/family/I09002711.html", "SAMUEL PHILLIPS 1625 EN-1696 MA ID:09005422")</f>
        <v>SAMUEL PHILLIPS 1625 EN-1696 MA ID:09005422</v>
      </c>
      <c r="O3012" s="6"/>
      <c r="P3012" s="6"/>
      <c r="Q3012" s="6"/>
      <c r="R3012" s="6"/>
    </row>
    <row r="3013" spans="3:30" x14ac:dyDescent="0.35">
      <c r="C3013" s="15" t="s">
        <v>8</v>
      </c>
      <c r="D3013" s="15" t="s">
        <v>8</v>
      </c>
      <c r="E3013" s="15" t="s">
        <v>8</v>
      </c>
      <c r="F3013" s="15" t="s">
        <v>8</v>
      </c>
      <c r="H3013" s="15" t="s">
        <v>8</v>
      </c>
      <c r="I3013" s="15" t="s">
        <v>8</v>
      </c>
      <c r="J3013" s="15" t="s">
        <v>8</v>
      </c>
      <c r="M3013" s="15" t="s">
        <v>8</v>
      </c>
      <c r="N3013" s="8" t="s">
        <v>3</v>
      </c>
      <c r="O3013" s="15" t="s">
        <v>8</v>
      </c>
    </row>
    <row r="3014" spans="3:30" x14ac:dyDescent="0.35">
      <c r="C3014" s="15" t="s">
        <v>8</v>
      </c>
      <c r="D3014" s="15" t="s">
        <v>8</v>
      </c>
      <c r="E3014" s="15" t="s">
        <v>8</v>
      </c>
      <c r="F3014" s="15" t="s">
        <v>8</v>
      </c>
      <c r="H3014" s="15" t="s">
        <v>8</v>
      </c>
      <c r="I3014" s="15" t="s">
        <v>8</v>
      </c>
      <c r="J3014" s="15" t="s">
        <v>8</v>
      </c>
      <c r="M3014" s="15" t="s">
        <v>8</v>
      </c>
      <c r="N3014" s="15" t="s">
        <v>8</v>
      </c>
      <c r="O3014" s="15" t="s">
        <v>8</v>
      </c>
      <c r="X3014" s="19" t="str">
        <f>HYPERLINK("http://yeinfo.com/family/I09066321.html", "EDWIN JOHN SARGENT 1340 EN-1360 EN ID:09066494")</f>
        <v>EDWIN JOHN SARGENT 1340 EN-1360 EN ID:09066494</v>
      </c>
      <c r="Y3014" s="9"/>
      <c r="Z3014" s="9"/>
      <c r="AA3014" s="9"/>
      <c r="AB3014" s="9"/>
    </row>
    <row r="3015" spans="3:30" x14ac:dyDescent="0.35">
      <c r="C3015" s="15" t="s">
        <v>8</v>
      </c>
      <c r="D3015" s="15" t="s">
        <v>8</v>
      </c>
      <c r="E3015" s="15" t="s">
        <v>8</v>
      </c>
      <c r="F3015" s="15" t="s">
        <v>8</v>
      </c>
      <c r="H3015" s="15" t="s">
        <v>8</v>
      </c>
      <c r="I3015" s="15" t="s">
        <v>8</v>
      </c>
      <c r="J3015" s="15" t="s">
        <v>8</v>
      </c>
      <c r="M3015" s="15" t="s">
        <v>8</v>
      </c>
      <c r="N3015" s="15" t="s">
        <v>8</v>
      </c>
      <c r="O3015" s="15" t="s">
        <v>8</v>
      </c>
      <c r="X3015" s="8" t="s">
        <v>3</v>
      </c>
    </row>
    <row r="3016" spans="3:30" x14ac:dyDescent="0.35">
      <c r="C3016" s="15" t="s">
        <v>8</v>
      </c>
      <c r="D3016" s="15" t="s">
        <v>8</v>
      </c>
      <c r="E3016" s="15" t="s">
        <v>8</v>
      </c>
      <c r="F3016" s="15" t="s">
        <v>8</v>
      </c>
      <c r="H3016" s="15" t="s">
        <v>8</v>
      </c>
      <c r="I3016" s="15" t="s">
        <v>8</v>
      </c>
      <c r="J3016" s="15" t="s">
        <v>8</v>
      </c>
      <c r="M3016" s="15" t="s">
        <v>8</v>
      </c>
      <c r="N3016" s="15" t="s">
        <v>8</v>
      </c>
      <c r="O3016" s="15" t="s">
        <v>8</v>
      </c>
      <c r="W3016" s="19" t="str">
        <f>HYPERLINK("http://yeinfo.com/family/I09066159.html", "EDWIN JOHN SARGENT II 1360 EN-1400 EN ID:09066321")</f>
        <v>EDWIN JOHN SARGENT II 1360 EN-1400 EN ID:09066321</v>
      </c>
      <c r="X3016" s="9"/>
      <c r="Y3016" s="9"/>
      <c r="Z3016" s="9"/>
      <c r="AA3016" s="9"/>
    </row>
    <row r="3017" spans="3:30" x14ac:dyDescent="0.35">
      <c r="C3017" s="15" t="s">
        <v>8</v>
      </c>
      <c r="D3017" s="15" t="s">
        <v>8</v>
      </c>
      <c r="E3017" s="15" t="s">
        <v>8</v>
      </c>
      <c r="F3017" s="15" t="s">
        <v>8</v>
      </c>
      <c r="H3017" s="15" t="s">
        <v>8</v>
      </c>
      <c r="I3017" s="15" t="s">
        <v>8</v>
      </c>
      <c r="J3017" s="15" t="s">
        <v>8</v>
      </c>
      <c r="M3017" s="15" t="s">
        <v>8</v>
      </c>
      <c r="N3017" s="15" t="s">
        <v>8</v>
      </c>
      <c r="O3017" s="15" t="s">
        <v>8</v>
      </c>
      <c r="W3017" s="8" t="s">
        <v>3</v>
      </c>
      <c r="X3017" s="8" t="s">
        <v>6</v>
      </c>
    </row>
    <row r="3018" spans="3:30" x14ac:dyDescent="0.35">
      <c r="C3018" s="15" t="s">
        <v>8</v>
      </c>
      <c r="D3018" s="15" t="s">
        <v>8</v>
      </c>
      <c r="E3018" s="15" t="s">
        <v>8</v>
      </c>
      <c r="F3018" s="15" t="s">
        <v>8</v>
      </c>
      <c r="H3018" s="15" t="s">
        <v>8</v>
      </c>
      <c r="I3018" s="15" t="s">
        <v>8</v>
      </c>
      <c r="J3018" s="15" t="s">
        <v>8</v>
      </c>
      <c r="M3018" s="15" t="s">
        <v>8</v>
      </c>
      <c r="N3018" s="15" t="s">
        <v>8</v>
      </c>
      <c r="O3018" s="15" t="s">
        <v>8</v>
      </c>
      <c r="W3018" s="15" t="s">
        <v>8</v>
      </c>
      <c r="X3018" s="20" t="str">
        <f>HYPERLINK("http://yeinfo.com/family/I09066494.html", "Mrs. ELLEN\ELEANOR SARGENT 1340 -1360 EN ID:09066495")</f>
        <v>Mrs. ELLEN\ELEANOR SARGENT 1340 -1360 EN ID:09066495</v>
      </c>
      <c r="Y3018" s="17"/>
      <c r="Z3018" s="17"/>
      <c r="AA3018" s="17"/>
      <c r="AB3018" s="17"/>
      <c r="AC3018" s="17"/>
      <c r="AD3018" s="17"/>
    </row>
    <row r="3019" spans="3:30" x14ac:dyDescent="0.35">
      <c r="C3019" s="15" t="s">
        <v>8</v>
      </c>
      <c r="D3019" s="15" t="s">
        <v>8</v>
      </c>
      <c r="E3019" s="15" t="s">
        <v>8</v>
      </c>
      <c r="F3019" s="15" t="s">
        <v>8</v>
      </c>
      <c r="H3019" s="15" t="s">
        <v>8</v>
      </c>
      <c r="I3019" s="15" t="s">
        <v>8</v>
      </c>
      <c r="J3019" s="15" t="s">
        <v>8</v>
      </c>
      <c r="M3019" s="15" t="s">
        <v>8</v>
      </c>
      <c r="N3019" s="15" t="s">
        <v>8</v>
      </c>
      <c r="O3019" s="15" t="s">
        <v>8</v>
      </c>
      <c r="W3019" s="15" t="s">
        <v>8</v>
      </c>
    </row>
    <row r="3020" spans="3:30" x14ac:dyDescent="0.35">
      <c r="C3020" s="15" t="s">
        <v>8</v>
      </c>
      <c r="D3020" s="15" t="s">
        <v>8</v>
      </c>
      <c r="E3020" s="15" t="s">
        <v>8</v>
      </c>
      <c r="F3020" s="15" t="s">
        <v>8</v>
      </c>
      <c r="H3020" s="15" t="s">
        <v>8</v>
      </c>
      <c r="I3020" s="15" t="s">
        <v>8</v>
      </c>
      <c r="J3020" s="15" t="s">
        <v>8</v>
      </c>
      <c r="M3020" s="15" t="s">
        <v>8</v>
      </c>
      <c r="N3020" s="15" t="s">
        <v>8</v>
      </c>
      <c r="O3020" s="15" t="s">
        <v>8</v>
      </c>
      <c r="V3020" s="19" t="str">
        <f>HYPERLINK("http://yeinfo.com/family/I09065977.html", "EDWIN JOHN SARGENT III 1382 EN-1431  ID:09066159")</f>
        <v>EDWIN JOHN SARGENT III 1382 EN-1431  ID:09066159</v>
      </c>
      <c r="W3020" s="9"/>
      <c r="X3020" s="9"/>
      <c r="Y3020" s="9"/>
      <c r="Z3020" s="9"/>
    </row>
    <row r="3021" spans="3:30" x14ac:dyDescent="0.35">
      <c r="C3021" s="15" t="s">
        <v>8</v>
      </c>
      <c r="D3021" s="15" t="s">
        <v>8</v>
      </c>
      <c r="E3021" s="15" t="s">
        <v>8</v>
      </c>
      <c r="F3021" s="15" t="s">
        <v>8</v>
      </c>
      <c r="H3021" s="15" t="s">
        <v>8</v>
      </c>
      <c r="I3021" s="15" t="s">
        <v>8</v>
      </c>
      <c r="J3021" s="15" t="s">
        <v>8</v>
      </c>
      <c r="M3021" s="15" t="s">
        <v>8</v>
      </c>
      <c r="N3021" s="15" t="s">
        <v>8</v>
      </c>
      <c r="O3021" s="15" t="s">
        <v>8</v>
      </c>
      <c r="V3021" s="8" t="s">
        <v>3</v>
      </c>
      <c r="W3021" s="8" t="s">
        <v>6</v>
      </c>
    </row>
    <row r="3022" spans="3:30" x14ac:dyDescent="0.35">
      <c r="C3022" s="15" t="s">
        <v>8</v>
      </c>
      <c r="D3022" s="15" t="s">
        <v>8</v>
      </c>
      <c r="E3022" s="15" t="s">
        <v>8</v>
      </c>
      <c r="F3022" s="15" t="s">
        <v>8</v>
      </c>
      <c r="H3022" s="15" t="s">
        <v>8</v>
      </c>
      <c r="I3022" s="15" t="s">
        <v>8</v>
      </c>
      <c r="J3022" s="15" t="s">
        <v>8</v>
      </c>
      <c r="M3022" s="15" t="s">
        <v>8</v>
      </c>
      <c r="N3022" s="15" t="s">
        <v>8</v>
      </c>
      <c r="O3022" s="15" t="s">
        <v>8</v>
      </c>
      <c r="V3022" s="15" t="s">
        <v>8</v>
      </c>
      <c r="W3022" s="20" t="str">
        <f>HYPERLINK("http://yeinfo.com/family/I09066495.html", "Mrs. ANNIE SARGENT 1362 -1435  ID:09066322")</f>
        <v>Mrs. ANNIE SARGENT 1362 -1435  ID:09066322</v>
      </c>
      <c r="X3022" s="17"/>
      <c r="Y3022" s="17"/>
      <c r="Z3022" s="17"/>
      <c r="AA3022" s="17"/>
    </row>
    <row r="3023" spans="3:30" x14ac:dyDescent="0.35">
      <c r="C3023" s="15" t="s">
        <v>8</v>
      </c>
      <c r="D3023" s="15" t="s">
        <v>8</v>
      </c>
      <c r="E3023" s="15" t="s">
        <v>8</v>
      </c>
      <c r="F3023" s="15" t="s">
        <v>8</v>
      </c>
      <c r="H3023" s="15" t="s">
        <v>8</v>
      </c>
      <c r="I3023" s="15" t="s">
        <v>8</v>
      </c>
      <c r="J3023" s="15" t="s">
        <v>8</v>
      </c>
      <c r="M3023" s="15" t="s">
        <v>8</v>
      </c>
      <c r="N3023" s="15" t="s">
        <v>8</v>
      </c>
      <c r="O3023" s="15" t="s">
        <v>8</v>
      </c>
      <c r="V3023" s="15" t="s">
        <v>8</v>
      </c>
    </row>
    <row r="3024" spans="3:30" x14ac:dyDescent="0.35">
      <c r="C3024" s="15" t="s">
        <v>8</v>
      </c>
      <c r="D3024" s="15" t="s">
        <v>8</v>
      </c>
      <c r="E3024" s="15" t="s">
        <v>8</v>
      </c>
      <c r="F3024" s="15" t="s">
        <v>8</v>
      </c>
      <c r="H3024" s="15" t="s">
        <v>8</v>
      </c>
      <c r="I3024" s="15" t="s">
        <v>8</v>
      </c>
      <c r="J3024" s="15" t="s">
        <v>8</v>
      </c>
      <c r="M3024" s="15" t="s">
        <v>8</v>
      </c>
      <c r="N3024" s="15" t="s">
        <v>8</v>
      </c>
      <c r="O3024" s="15" t="s">
        <v>8</v>
      </c>
      <c r="U3024" s="19" t="str">
        <f>HYPERLINK("http://yeinfo.com/family/I09065819.html", "SIDNEY JAMES SARGENT 1408 EN-1509 EN ID:09065977")</f>
        <v>SIDNEY JAMES SARGENT 1408 EN-1509 EN ID:09065977</v>
      </c>
      <c r="V3024" s="9"/>
      <c r="W3024" s="9"/>
      <c r="X3024" s="9"/>
      <c r="Y3024" s="9"/>
    </row>
    <row r="3025" spans="3:26" x14ac:dyDescent="0.35">
      <c r="C3025" s="15" t="s">
        <v>8</v>
      </c>
      <c r="D3025" s="15" t="s">
        <v>8</v>
      </c>
      <c r="E3025" s="15" t="s">
        <v>8</v>
      </c>
      <c r="F3025" s="15" t="s">
        <v>8</v>
      </c>
      <c r="H3025" s="15" t="s">
        <v>8</v>
      </c>
      <c r="I3025" s="15" t="s">
        <v>8</v>
      </c>
      <c r="J3025" s="15" t="s">
        <v>8</v>
      </c>
      <c r="M3025" s="15" t="s">
        <v>8</v>
      </c>
      <c r="N3025" s="15" t="s">
        <v>8</v>
      </c>
      <c r="O3025" s="15" t="s">
        <v>8</v>
      </c>
      <c r="U3025" s="8" t="s">
        <v>3</v>
      </c>
      <c r="V3025" s="8" t="s">
        <v>6</v>
      </c>
    </row>
    <row r="3026" spans="3:26" x14ac:dyDescent="0.35">
      <c r="C3026" s="15" t="s">
        <v>8</v>
      </c>
      <c r="D3026" s="15" t="s">
        <v>8</v>
      </c>
      <c r="E3026" s="15" t="s">
        <v>8</v>
      </c>
      <c r="F3026" s="15" t="s">
        <v>8</v>
      </c>
      <c r="H3026" s="15" t="s">
        <v>8</v>
      </c>
      <c r="I3026" s="15" t="s">
        <v>8</v>
      </c>
      <c r="J3026" s="15" t="s">
        <v>8</v>
      </c>
      <c r="M3026" s="15" t="s">
        <v>8</v>
      </c>
      <c r="N3026" s="15" t="s">
        <v>8</v>
      </c>
      <c r="O3026" s="15" t="s">
        <v>8</v>
      </c>
      <c r="U3026" s="15" t="s">
        <v>8</v>
      </c>
      <c r="V3026" s="20" t="str">
        <f>HYPERLINK("http://yeinfo.com/family/I09066322.html", "FRANCES MORGAN 1381 EN-1450 EN ID:09066160")</f>
        <v>FRANCES MORGAN 1381 EN-1450 EN ID:09066160</v>
      </c>
      <c r="W3026" s="17"/>
      <c r="X3026" s="17"/>
      <c r="Y3026" s="17"/>
      <c r="Z3026" s="17"/>
    </row>
    <row r="3027" spans="3:26" x14ac:dyDescent="0.35">
      <c r="C3027" s="15" t="s">
        <v>8</v>
      </c>
      <c r="D3027" s="15" t="s">
        <v>8</v>
      </c>
      <c r="E3027" s="15" t="s">
        <v>8</v>
      </c>
      <c r="F3027" s="15" t="s">
        <v>8</v>
      </c>
      <c r="H3027" s="15" t="s">
        <v>8</v>
      </c>
      <c r="I3027" s="15" t="s">
        <v>8</v>
      </c>
      <c r="J3027" s="15" t="s">
        <v>8</v>
      </c>
      <c r="M3027" s="15" t="s">
        <v>8</v>
      </c>
      <c r="N3027" s="15" t="s">
        <v>8</v>
      </c>
      <c r="O3027" s="15" t="s">
        <v>8</v>
      </c>
      <c r="U3027" s="15" t="s">
        <v>8</v>
      </c>
    </row>
    <row r="3028" spans="3:26" x14ac:dyDescent="0.35">
      <c r="C3028" s="15" t="s">
        <v>8</v>
      </c>
      <c r="D3028" s="15" t="s">
        <v>8</v>
      </c>
      <c r="E3028" s="15" t="s">
        <v>8</v>
      </c>
      <c r="F3028" s="15" t="s">
        <v>8</v>
      </c>
      <c r="H3028" s="15" t="s">
        <v>8</v>
      </c>
      <c r="I3028" s="15" t="s">
        <v>8</v>
      </c>
      <c r="J3028" s="15" t="s">
        <v>8</v>
      </c>
      <c r="M3028" s="15" t="s">
        <v>8</v>
      </c>
      <c r="N3028" s="15" t="s">
        <v>8</v>
      </c>
      <c r="O3028" s="15" t="s">
        <v>8</v>
      </c>
      <c r="T3028" s="19" t="str">
        <f>HYPERLINK("http://yeinfo.com/family/I09065690.html", "WILLIAM SARGENT 1435 EN-1488 EN ID:09065819")</f>
        <v>WILLIAM SARGENT 1435 EN-1488 EN ID:09065819</v>
      </c>
      <c r="U3028" s="9"/>
      <c r="V3028" s="9"/>
      <c r="W3028" s="9"/>
      <c r="X3028" s="9"/>
    </row>
    <row r="3029" spans="3:26" x14ac:dyDescent="0.35">
      <c r="C3029" s="15" t="s">
        <v>8</v>
      </c>
      <c r="D3029" s="15" t="s">
        <v>8</v>
      </c>
      <c r="E3029" s="15" t="s">
        <v>8</v>
      </c>
      <c r="F3029" s="15" t="s">
        <v>8</v>
      </c>
      <c r="H3029" s="15" t="s">
        <v>8</v>
      </c>
      <c r="I3029" s="15" t="s">
        <v>8</v>
      </c>
      <c r="J3029" s="15" t="s">
        <v>8</v>
      </c>
      <c r="M3029" s="15" t="s">
        <v>8</v>
      </c>
      <c r="N3029" s="15" t="s">
        <v>8</v>
      </c>
      <c r="O3029" s="15" t="s">
        <v>8</v>
      </c>
      <c r="T3029" s="8" t="s">
        <v>3</v>
      </c>
      <c r="U3029" s="15" t="s">
        <v>8</v>
      </c>
    </row>
    <row r="3030" spans="3:26" x14ac:dyDescent="0.35">
      <c r="C3030" s="15" t="s">
        <v>8</v>
      </c>
      <c r="D3030" s="15" t="s">
        <v>8</v>
      </c>
      <c r="E3030" s="15" t="s">
        <v>8</v>
      </c>
      <c r="F3030" s="15" t="s">
        <v>8</v>
      </c>
      <c r="H3030" s="15" t="s">
        <v>8</v>
      </c>
      <c r="I3030" s="15" t="s">
        <v>8</v>
      </c>
      <c r="J3030" s="15" t="s">
        <v>8</v>
      </c>
      <c r="M3030" s="15" t="s">
        <v>8</v>
      </c>
      <c r="N3030" s="15" t="s">
        <v>8</v>
      </c>
      <c r="O3030" s="15" t="s">
        <v>8</v>
      </c>
      <c r="T3030" s="15" t="s">
        <v>8</v>
      </c>
      <c r="U3030" s="15" t="s">
        <v>8</v>
      </c>
      <c r="V3030" s="19" t="str">
        <f>HYPERLINK("http://yeinfo.com/family/I09065978.html", "WILLIAM BRAYBROOK 1383 -1407 EN ID:09066161")</f>
        <v>WILLIAM BRAYBROOK 1383 -1407 EN ID:09066161</v>
      </c>
      <c r="W3030" s="9"/>
      <c r="X3030" s="9"/>
      <c r="Y3030" s="9"/>
      <c r="Z3030" s="9"/>
    </row>
    <row r="3031" spans="3:26" x14ac:dyDescent="0.35">
      <c r="C3031" s="15" t="s">
        <v>8</v>
      </c>
      <c r="D3031" s="15" t="s">
        <v>8</v>
      </c>
      <c r="E3031" s="15" t="s">
        <v>8</v>
      </c>
      <c r="F3031" s="15" t="s">
        <v>8</v>
      </c>
      <c r="H3031" s="15" t="s">
        <v>8</v>
      </c>
      <c r="I3031" s="15" t="s">
        <v>8</v>
      </c>
      <c r="J3031" s="15" t="s">
        <v>8</v>
      </c>
      <c r="M3031" s="15" t="s">
        <v>8</v>
      </c>
      <c r="N3031" s="15" t="s">
        <v>8</v>
      </c>
      <c r="O3031" s="15" t="s">
        <v>8</v>
      </c>
      <c r="T3031" s="15" t="s">
        <v>8</v>
      </c>
      <c r="U3031" s="8" t="s">
        <v>6</v>
      </c>
      <c r="V3031" s="8" t="s">
        <v>3</v>
      </c>
    </row>
    <row r="3032" spans="3:26" x14ac:dyDescent="0.35">
      <c r="C3032" s="15" t="s">
        <v>8</v>
      </c>
      <c r="D3032" s="15" t="s">
        <v>8</v>
      </c>
      <c r="E3032" s="15" t="s">
        <v>8</v>
      </c>
      <c r="F3032" s="15" t="s">
        <v>8</v>
      </c>
      <c r="H3032" s="15" t="s">
        <v>8</v>
      </c>
      <c r="I3032" s="15" t="s">
        <v>8</v>
      </c>
      <c r="J3032" s="15" t="s">
        <v>8</v>
      </c>
      <c r="M3032" s="15" t="s">
        <v>8</v>
      </c>
      <c r="N3032" s="15" t="s">
        <v>8</v>
      </c>
      <c r="O3032" s="15" t="s">
        <v>8</v>
      </c>
      <c r="T3032" s="15" t="s">
        <v>8</v>
      </c>
      <c r="U3032" s="20" t="str">
        <f>HYPERLINK("http://yeinfo.com/family/I09066160.html", "ELIZA BRAYBROOK 1403 EN-1477 EN ID:09065978")</f>
        <v>ELIZA BRAYBROOK 1403 EN-1477 EN ID:09065978</v>
      </c>
      <c r="V3032" s="17"/>
      <c r="W3032" s="17"/>
      <c r="X3032" s="17"/>
      <c r="Y3032" s="17"/>
    </row>
    <row r="3033" spans="3:26" x14ac:dyDescent="0.35">
      <c r="C3033" s="15" t="s">
        <v>8</v>
      </c>
      <c r="D3033" s="15" t="s">
        <v>8</v>
      </c>
      <c r="E3033" s="15" t="s">
        <v>8</v>
      </c>
      <c r="F3033" s="15" t="s">
        <v>8</v>
      </c>
      <c r="H3033" s="15" t="s">
        <v>8</v>
      </c>
      <c r="I3033" s="15" t="s">
        <v>8</v>
      </c>
      <c r="J3033" s="15" t="s">
        <v>8</v>
      </c>
      <c r="M3033" s="15" t="s">
        <v>8</v>
      </c>
      <c r="N3033" s="15" t="s">
        <v>8</v>
      </c>
      <c r="O3033" s="15" t="s">
        <v>8</v>
      </c>
      <c r="T3033" s="15" t="s">
        <v>8</v>
      </c>
      <c r="V3033" s="8" t="s">
        <v>6</v>
      </c>
    </row>
    <row r="3034" spans="3:26" x14ac:dyDescent="0.35">
      <c r="C3034" s="15" t="s">
        <v>8</v>
      </c>
      <c r="D3034" s="15" t="s">
        <v>8</v>
      </c>
      <c r="E3034" s="15" t="s">
        <v>8</v>
      </c>
      <c r="F3034" s="15" t="s">
        <v>8</v>
      </c>
      <c r="H3034" s="15" t="s">
        <v>8</v>
      </c>
      <c r="I3034" s="15" t="s">
        <v>8</v>
      </c>
      <c r="J3034" s="15" t="s">
        <v>8</v>
      </c>
      <c r="M3034" s="15" t="s">
        <v>8</v>
      </c>
      <c r="N3034" s="15" t="s">
        <v>8</v>
      </c>
      <c r="O3034" s="15" t="s">
        <v>8</v>
      </c>
      <c r="T3034" s="15" t="s">
        <v>8</v>
      </c>
      <c r="V3034" s="20" t="str">
        <f>HYPERLINK("http://yeinfo.com/family/I09066161.html", "ELIZABETH BOWERMAN 1383 EN-1428 EN ID:09066162")</f>
        <v>ELIZABETH BOWERMAN 1383 EN-1428 EN ID:09066162</v>
      </c>
      <c r="W3034" s="17"/>
      <c r="X3034" s="17"/>
      <c r="Y3034" s="17"/>
      <c r="Z3034" s="17"/>
    </row>
    <row r="3035" spans="3:26" x14ac:dyDescent="0.35">
      <c r="C3035" s="15" t="s">
        <v>8</v>
      </c>
      <c r="D3035" s="15" t="s">
        <v>8</v>
      </c>
      <c r="E3035" s="15" t="s">
        <v>8</v>
      </c>
      <c r="F3035" s="15" t="s">
        <v>8</v>
      </c>
      <c r="H3035" s="15" t="s">
        <v>8</v>
      </c>
      <c r="I3035" s="15" t="s">
        <v>8</v>
      </c>
      <c r="J3035" s="15" t="s">
        <v>8</v>
      </c>
      <c r="M3035" s="15" t="s">
        <v>8</v>
      </c>
      <c r="N3035" s="15" t="s">
        <v>8</v>
      </c>
      <c r="O3035" s="15" t="s">
        <v>8</v>
      </c>
      <c r="T3035" s="15" t="s">
        <v>8</v>
      </c>
    </row>
    <row r="3036" spans="3:26" x14ac:dyDescent="0.35">
      <c r="C3036" s="15" t="s">
        <v>8</v>
      </c>
      <c r="D3036" s="15" t="s">
        <v>8</v>
      </c>
      <c r="E3036" s="15" t="s">
        <v>8</v>
      </c>
      <c r="F3036" s="15" t="s">
        <v>8</v>
      </c>
      <c r="H3036" s="15" t="s">
        <v>8</v>
      </c>
      <c r="I3036" s="15" t="s">
        <v>8</v>
      </c>
      <c r="J3036" s="15" t="s">
        <v>8</v>
      </c>
      <c r="M3036" s="15" t="s">
        <v>8</v>
      </c>
      <c r="N3036" s="15" t="s">
        <v>8</v>
      </c>
      <c r="O3036" s="15" t="s">
        <v>8</v>
      </c>
      <c r="S3036" s="19" t="str">
        <f>HYPERLINK("http://yeinfo.com/family/I09065557.html", "MAXWELL SARGENT 1465 EN-1504 EN ID:09065690")</f>
        <v>MAXWELL SARGENT 1465 EN-1504 EN ID:09065690</v>
      </c>
      <c r="T3036" s="9"/>
      <c r="U3036" s="9"/>
      <c r="V3036" s="9"/>
      <c r="W3036" s="9"/>
    </row>
    <row r="3037" spans="3:26" x14ac:dyDescent="0.35">
      <c r="C3037" s="15" t="s">
        <v>8</v>
      </c>
      <c r="D3037" s="15" t="s">
        <v>8</v>
      </c>
      <c r="E3037" s="15" t="s">
        <v>8</v>
      </c>
      <c r="F3037" s="15" t="s">
        <v>8</v>
      </c>
      <c r="H3037" s="15" t="s">
        <v>8</v>
      </c>
      <c r="I3037" s="15" t="s">
        <v>8</v>
      </c>
      <c r="J3037" s="15" t="s">
        <v>8</v>
      </c>
      <c r="M3037" s="15" t="s">
        <v>8</v>
      </c>
      <c r="N3037" s="15" t="s">
        <v>8</v>
      </c>
      <c r="O3037" s="15" t="s">
        <v>8</v>
      </c>
      <c r="S3037" s="8" t="s">
        <v>3</v>
      </c>
      <c r="T3037" s="15" t="s">
        <v>8</v>
      </c>
    </row>
    <row r="3038" spans="3:26" x14ac:dyDescent="0.35">
      <c r="C3038" s="15" t="s">
        <v>8</v>
      </c>
      <c r="D3038" s="15" t="s">
        <v>8</v>
      </c>
      <c r="E3038" s="15" t="s">
        <v>8</v>
      </c>
      <c r="F3038" s="15" t="s">
        <v>8</v>
      </c>
      <c r="H3038" s="15" t="s">
        <v>8</v>
      </c>
      <c r="I3038" s="15" t="s">
        <v>8</v>
      </c>
      <c r="J3038" s="15" t="s">
        <v>8</v>
      </c>
      <c r="M3038" s="15" t="s">
        <v>8</v>
      </c>
      <c r="N3038" s="15" t="s">
        <v>8</v>
      </c>
      <c r="O3038" s="15" t="s">
        <v>8</v>
      </c>
      <c r="S3038" s="15" t="s">
        <v>8</v>
      </c>
      <c r="T3038" s="15" t="s">
        <v>8</v>
      </c>
      <c r="U3038" s="19" t="str">
        <f>HYPERLINK("http://yeinfo.com/family/I09065820.html", "JOHN MORGAN 1403 EN-1448 EN ID:09065979")</f>
        <v>JOHN MORGAN 1403 EN-1448 EN ID:09065979</v>
      </c>
      <c r="V3038" s="9"/>
      <c r="W3038" s="9"/>
      <c r="X3038" s="9"/>
      <c r="Y3038" s="9"/>
    </row>
    <row r="3039" spans="3:26" x14ac:dyDescent="0.35">
      <c r="C3039" s="15" t="s">
        <v>8</v>
      </c>
      <c r="D3039" s="15" t="s">
        <v>8</v>
      </c>
      <c r="E3039" s="15" t="s">
        <v>8</v>
      </c>
      <c r="F3039" s="15" t="s">
        <v>8</v>
      </c>
      <c r="H3039" s="15" t="s">
        <v>8</v>
      </c>
      <c r="I3039" s="15" t="s">
        <v>8</v>
      </c>
      <c r="J3039" s="15" t="s">
        <v>8</v>
      </c>
      <c r="M3039" s="15" t="s">
        <v>8</v>
      </c>
      <c r="N3039" s="15" t="s">
        <v>8</v>
      </c>
      <c r="O3039" s="15" t="s">
        <v>8</v>
      </c>
      <c r="S3039" s="15" t="s">
        <v>8</v>
      </c>
      <c r="T3039" s="8" t="s">
        <v>6</v>
      </c>
      <c r="U3039" s="8" t="s">
        <v>3</v>
      </c>
    </row>
    <row r="3040" spans="3:26" x14ac:dyDescent="0.35">
      <c r="C3040" s="15" t="s">
        <v>8</v>
      </c>
      <c r="D3040" s="15" t="s">
        <v>8</v>
      </c>
      <c r="E3040" s="15" t="s">
        <v>8</v>
      </c>
      <c r="F3040" s="15" t="s">
        <v>8</v>
      </c>
      <c r="H3040" s="15" t="s">
        <v>8</v>
      </c>
      <c r="I3040" s="15" t="s">
        <v>8</v>
      </c>
      <c r="J3040" s="15" t="s">
        <v>8</v>
      </c>
      <c r="M3040" s="15" t="s">
        <v>8</v>
      </c>
      <c r="N3040" s="15" t="s">
        <v>8</v>
      </c>
      <c r="O3040" s="15" t="s">
        <v>8</v>
      </c>
      <c r="S3040" s="15" t="s">
        <v>8</v>
      </c>
      <c r="T3040" s="20" t="str">
        <f>HYPERLINK("http://yeinfo.com/family/I09066162.html", "OLIVE JANE MORGAN 1437 EN-1488 EN ID:09065820")</f>
        <v>OLIVE JANE MORGAN 1437 EN-1488 EN ID:09065820</v>
      </c>
      <c r="U3040" s="17"/>
      <c r="V3040" s="17"/>
      <c r="W3040" s="17"/>
      <c r="X3040" s="17"/>
    </row>
    <row r="3041" spans="3:26" x14ac:dyDescent="0.35">
      <c r="C3041" s="15" t="s">
        <v>8</v>
      </c>
      <c r="D3041" s="15" t="s">
        <v>8</v>
      </c>
      <c r="E3041" s="15" t="s">
        <v>8</v>
      </c>
      <c r="F3041" s="15" t="s">
        <v>8</v>
      </c>
      <c r="H3041" s="15" t="s">
        <v>8</v>
      </c>
      <c r="I3041" s="15" t="s">
        <v>8</v>
      </c>
      <c r="J3041" s="15" t="s">
        <v>8</v>
      </c>
      <c r="M3041" s="15" t="s">
        <v>8</v>
      </c>
      <c r="N3041" s="15" t="s">
        <v>8</v>
      </c>
      <c r="O3041" s="15" t="s">
        <v>8</v>
      </c>
      <c r="S3041" s="15" t="s">
        <v>8</v>
      </c>
      <c r="U3041" s="8" t="s">
        <v>6</v>
      </c>
    </row>
    <row r="3042" spans="3:26" x14ac:dyDescent="0.35">
      <c r="C3042" s="15" t="s">
        <v>8</v>
      </c>
      <c r="D3042" s="15" t="s">
        <v>8</v>
      </c>
      <c r="E3042" s="15" t="s">
        <v>8</v>
      </c>
      <c r="F3042" s="15" t="s">
        <v>8</v>
      </c>
      <c r="H3042" s="15" t="s">
        <v>8</v>
      </c>
      <c r="I3042" s="15" t="s">
        <v>8</v>
      </c>
      <c r="J3042" s="15" t="s">
        <v>8</v>
      </c>
      <c r="M3042" s="15" t="s">
        <v>8</v>
      </c>
      <c r="N3042" s="15" t="s">
        <v>8</v>
      </c>
      <c r="O3042" s="15" t="s">
        <v>8</v>
      </c>
      <c r="S3042" s="15" t="s">
        <v>8</v>
      </c>
      <c r="U3042" s="20" t="str">
        <f>HYPERLINK("http://yeinfo.com/family/I09065979.html", "MARGARET DOWLER 1408 EN-1449 EN ID:09065980")</f>
        <v>MARGARET DOWLER 1408 EN-1449 EN ID:09065980</v>
      </c>
      <c r="V3042" s="17"/>
      <c r="W3042" s="17"/>
      <c r="X3042" s="17"/>
      <c r="Y3042" s="17"/>
    </row>
    <row r="3043" spans="3:26" x14ac:dyDescent="0.35">
      <c r="C3043" s="15" t="s">
        <v>8</v>
      </c>
      <c r="D3043" s="15" t="s">
        <v>8</v>
      </c>
      <c r="E3043" s="15" t="s">
        <v>8</v>
      </c>
      <c r="F3043" s="15" t="s">
        <v>8</v>
      </c>
      <c r="H3043" s="15" t="s">
        <v>8</v>
      </c>
      <c r="I3043" s="15" t="s">
        <v>8</v>
      </c>
      <c r="J3043" s="15" t="s">
        <v>8</v>
      </c>
      <c r="M3043" s="15" t="s">
        <v>8</v>
      </c>
      <c r="N3043" s="15" t="s">
        <v>8</v>
      </c>
      <c r="O3043" s="15" t="s">
        <v>8</v>
      </c>
      <c r="S3043" s="15" t="s">
        <v>8</v>
      </c>
    </row>
    <row r="3044" spans="3:26" x14ac:dyDescent="0.35">
      <c r="C3044" s="15" t="s">
        <v>8</v>
      </c>
      <c r="D3044" s="15" t="s">
        <v>8</v>
      </c>
      <c r="E3044" s="15" t="s">
        <v>8</v>
      </c>
      <c r="F3044" s="15" t="s">
        <v>8</v>
      </c>
      <c r="H3044" s="15" t="s">
        <v>8</v>
      </c>
      <c r="I3044" s="15" t="s">
        <v>8</v>
      </c>
      <c r="J3044" s="15" t="s">
        <v>8</v>
      </c>
      <c r="M3044" s="15" t="s">
        <v>8</v>
      </c>
      <c r="N3044" s="15" t="s">
        <v>8</v>
      </c>
      <c r="O3044" s="15" t="s">
        <v>8</v>
      </c>
      <c r="R3044" s="19" t="str">
        <f>HYPERLINK("http://yeinfo.com/family/I09043380.html", "ROGER SARGENT 1504 EN-1536 EN ID:09065557")</f>
        <v>ROGER SARGENT 1504 EN-1536 EN ID:09065557</v>
      </c>
      <c r="S3044" s="9"/>
      <c r="T3044" s="9"/>
      <c r="U3044" s="9"/>
      <c r="V3044" s="9"/>
    </row>
    <row r="3045" spans="3:26" x14ac:dyDescent="0.35">
      <c r="C3045" s="15" t="s">
        <v>8</v>
      </c>
      <c r="D3045" s="15" t="s">
        <v>8</v>
      </c>
      <c r="E3045" s="15" t="s">
        <v>8</v>
      </c>
      <c r="F3045" s="15" t="s">
        <v>8</v>
      </c>
      <c r="H3045" s="15" t="s">
        <v>8</v>
      </c>
      <c r="I3045" s="15" t="s">
        <v>8</v>
      </c>
      <c r="J3045" s="15" t="s">
        <v>8</v>
      </c>
      <c r="M3045" s="15" t="s">
        <v>8</v>
      </c>
      <c r="N3045" s="15" t="s">
        <v>8</v>
      </c>
      <c r="O3045" s="15" t="s">
        <v>8</v>
      </c>
      <c r="R3045" s="8" t="s">
        <v>3</v>
      </c>
      <c r="S3045" s="15" t="s">
        <v>8</v>
      </c>
    </row>
    <row r="3046" spans="3:26" x14ac:dyDescent="0.35">
      <c r="C3046" s="15" t="s">
        <v>8</v>
      </c>
      <c r="D3046" s="15" t="s">
        <v>8</v>
      </c>
      <c r="E3046" s="15" t="s">
        <v>8</v>
      </c>
      <c r="F3046" s="15" t="s">
        <v>8</v>
      </c>
      <c r="H3046" s="15" t="s">
        <v>8</v>
      </c>
      <c r="I3046" s="15" t="s">
        <v>8</v>
      </c>
      <c r="J3046" s="15" t="s">
        <v>8</v>
      </c>
      <c r="M3046" s="15" t="s">
        <v>8</v>
      </c>
      <c r="N3046" s="15" t="s">
        <v>8</v>
      </c>
      <c r="O3046" s="15" t="s">
        <v>8</v>
      </c>
      <c r="R3046" s="15" t="s">
        <v>8</v>
      </c>
      <c r="S3046" s="15" t="s">
        <v>8</v>
      </c>
      <c r="V3046" s="19" t="str">
        <f>HYPERLINK("http://yeinfo.com/family/I09065981.html", "CHARLES HETHERINGTON 1344 EN-1422 EN ID:09066163")</f>
        <v>CHARLES HETHERINGTON 1344 EN-1422 EN ID:09066163</v>
      </c>
      <c r="W3046" s="9"/>
      <c r="X3046" s="9"/>
      <c r="Y3046" s="9"/>
      <c r="Z3046" s="9"/>
    </row>
    <row r="3047" spans="3:26" x14ac:dyDescent="0.35">
      <c r="C3047" s="15" t="s">
        <v>8</v>
      </c>
      <c r="D3047" s="15" t="s">
        <v>8</v>
      </c>
      <c r="E3047" s="15" t="s">
        <v>8</v>
      </c>
      <c r="F3047" s="15" t="s">
        <v>8</v>
      </c>
      <c r="H3047" s="15" t="s">
        <v>8</v>
      </c>
      <c r="I3047" s="15" t="s">
        <v>8</v>
      </c>
      <c r="J3047" s="15" t="s">
        <v>8</v>
      </c>
      <c r="M3047" s="15" t="s">
        <v>8</v>
      </c>
      <c r="N3047" s="15" t="s">
        <v>8</v>
      </c>
      <c r="O3047" s="15" t="s">
        <v>8</v>
      </c>
      <c r="R3047" s="15" t="s">
        <v>8</v>
      </c>
      <c r="S3047" s="15" t="s">
        <v>8</v>
      </c>
      <c r="V3047" s="8" t="s">
        <v>3</v>
      </c>
    </row>
    <row r="3048" spans="3:26" x14ac:dyDescent="0.35">
      <c r="C3048" s="15" t="s">
        <v>8</v>
      </c>
      <c r="D3048" s="15" t="s">
        <v>8</v>
      </c>
      <c r="E3048" s="15" t="s">
        <v>8</v>
      </c>
      <c r="F3048" s="15" t="s">
        <v>8</v>
      </c>
      <c r="H3048" s="15" t="s">
        <v>8</v>
      </c>
      <c r="I3048" s="15" t="s">
        <v>8</v>
      </c>
      <c r="J3048" s="15" t="s">
        <v>8</v>
      </c>
      <c r="M3048" s="15" t="s">
        <v>8</v>
      </c>
      <c r="N3048" s="15" t="s">
        <v>8</v>
      </c>
      <c r="O3048" s="15" t="s">
        <v>8</v>
      </c>
      <c r="R3048" s="15" t="s">
        <v>8</v>
      </c>
      <c r="S3048" s="15" t="s">
        <v>8</v>
      </c>
      <c r="U3048" s="19" t="str">
        <f>HYPERLINK("http://yeinfo.com/family/I09065821.html", "ARTHUR CHARLES HETHERINGTON 1386 EN-1461 EN ID:09065981")</f>
        <v>ARTHUR CHARLES HETHERINGTON 1386 EN-1461 EN ID:09065981</v>
      </c>
      <c r="V3048" s="9"/>
      <c r="W3048" s="9"/>
      <c r="X3048" s="9"/>
      <c r="Y3048" s="9"/>
    </row>
    <row r="3049" spans="3:26" x14ac:dyDescent="0.35">
      <c r="C3049" s="15" t="s">
        <v>8</v>
      </c>
      <c r="D3049" s="15" t="s">
        <v>8</v>
      </c>
      <c r="E3049" s="15" t="s">
        <v>8</v>
      </c>
      <c r="F3049" s="15" t="s">
        <v>8</v>
      </c>
      <c r="H3049" s="15" t="s">
        <v>8</v>
      </c>
      <c r="I3049" s="15" t="s">
        <v>8</v>
      </c>
      <c r="J3049" s="15" t="s">
        <v>8</v>
      </c>
      <c r="M3049" s="15" t="s">
        <v>8</v>
      </c>
      <c r="N3049" s="15" t="s">
        <v>8</v>
      </c>
      <c r="O3049" s="15" t="s">
        <v>8</v>
      </c>
      <c r="R3049" s="15" t="s">
        <v>8</v>
      </c>
      <c r="S3049" s="15" t="s">
        <v>8</v>
      </c>
      <c r="U3049" s="8" t="s">
        <v>3</v>
      </c>
      <c r="V3049" s="8" t="s">
        <v>6</v>
      </c>
    </row>
    <row r="3050" spans="3:26" x14ac:dyDescent="0.35">
      <c r="C3050" s="15" t="s">
        <v>8</v>
      </c>
      <c r="D3050" s="15" t="s">
        <v>8</v>
      </c>
      <c r="E3050" s="15" t="s">
        <v>8</v>
      </c>
      <c r="F3050" s="15" t="s">
        <v>8</v>
      </c>
      <c r="H3050" s="15" t="s">
        <v>8</v>
      </c>
      <c r="I3050" s="15" t="s">
        <v>8</v>
      </c>
      <c r="J3050" s="15" t="s">
        <v>8</v>
      </c>
      <c r="M3050" s="15" t="s">
        <v>8</v>
      </c>
      <c r="N3050" s="15" t="s">
        <v>8</v>
      </c>
      <c r="O3050" s="15" t="s">
        <v>8</v>
      </c>
      <c r="R3050" s="15" t="s">
        <v>8</v>
      </c>
      <c r="S3050" s="15" t="s">
        <v>8</v>
      </c>
      <c r="U3050" s="15" t="s">
        <v>8</v>
      </c>
      <c r="V3050" s="20" t="str">
        <f>HYPERLINK("http://yeinfo.com/family/I09066163.html", "MARY ANN RUDDICK 1355 EN-1420 EN ID:09066164")</f>
        <v>MARY ANN RUDDICK 1355 EN-1420 EN ID:09066164</v>
      </c>
      <c r="W3050" s="17"/>
      <c r="X3050" s="17"/>
      <c r="Y3050" s="17"/>
      <c r="Z3050" s="17"/>
    </row>
    <row r="3051" spans="3:26" x14ac:dyDescent="0.35">
      <c r="C3051" s="15" t="s">
        <v>8</v>
      </c>
      <c r="D3051" s="15" t="s">
        <v>8</v>
      </c>
      <c r="E3051" s="15" t="s">
        <v>8</v>
      </c>
      <c r="F3051" s="15" t="s">
        <v>8</v>
      </c>
      <c r="H3051" s="15" t="s">
        <v>8</v>
      </c>
      <c r="I3051" s="15" t="s">
        <v>8</v>
      </c>
      <c r="J3051" s="15" t="s">
        <v>8</v>
      </c>
      <c r="M3051" s="15" t="s">
        <v>8</v>
      </c>
      <c r="N3051" s="15" t="s">
        <v>8</v>
      </c>
      <c r="O3051" s="15" t="s">
        <v>8</v>
      </c>
      <c r="R3051" s="15" t="s">
        <v>8</v>
      </c>
      <c r="S3051" s="15" t="s">
        <v>8</v>
      </c>
      <c r="U3051" s="15" t="s">
        <v>8</v>
      </c>
    </row>
    <row r="3052" spans="3:26" x14ac:dyDescent="0.35">
      <c r="C3052" s="15" t="s">
        <v>8</v>
      </c>
      <c r="D3052" s="15" t="s">
        <v>8</v>
      </c>
      <c r="E3052" s="15" t="s">
        <v>8</v>
      </c>
      <c r="F3052" s="15" t="s">
        <v>8</v>
      </c>
      <c r="H3052" s="15" t="s">
        <v>8</v>
      </c>
      <c r="I3052" s="15" t="s">
        <v>8</v>
      </c>
      <c r="J3052" s="15" t="s">
        <v>8</v>
      </c>
      <c r="M3052" s="15" t="s">
        <v>8</v>
      </c>
      <c r="N3052" s="15" t="s">
        <v>8</v>
      </c>
      <c r="O3052" s="15" t="s">
        <v>8</v>
      </c>
      <c r="R3052" s="15" t="s">
        <v>8</v>
      </c>
      <c r="S3052" s="15" t="s">
        <v>8</v>
      </c>
      <c r="T3052" s="19" t="str">
        <f>HYPERLINK("http://yeinfo.com/family/I09065691.html", "GORDON JAMES HETHERINGTON 1435 EN-1500 EN ID:09065821")</f>
        <v>GORDON JAMES HETHERINGTON 1435 EN-1500 EN ID:09065821</v>
      </c>
      <c r="U3052" s="9"/>
      <c r="V3052" s="9"/>
      <c r="W3052" s="9"/>
      <c r="X3052" s="9"/>
    </row>
    <row r="3053" spans="3:26" x14ac:dyDescent="0.35">
      <c r="C3053" s="15" t="s">
        <v>8</v>
      </c>
      <c r="D3053" s="15" t="s">
        <v>8</v>
      </c>
      <c r="E3053" s="15" t="s">
        <v>8</v>
      </c>
      <c r="F3053" s="15" t="s">
        <v>8</v>
      </c>
      <c r="H3053" s="15" t="s">
        <v>8</v>
      </c>
      <c r="I3053" s="15" t="s">
        <v>8</v>
      </c>
      <c r="J3053" s="15" t="s">
        <v>8</v>
      </c>
      <c r="M3053" s="15" t="s">
        <v>8</v>
      </c>
      <c r="N3053" s="15" t="s">
        <v>8</v>
      </c>
      <c r="O3053" s="15" t="s">
        <v>8</v>
      </c>
      <c r="R3053" s="15" t="s">
        <v>8</v>
      </c>
      <c r="S3053" s="15" t="s">
        <v>8</v>
      </c>
      <c r="T3053" s="8" t="s">
        <v>3</v>
      </c>
      <c r="U3053" s="15" t="s">
        <v>8</v>
      </c>
    </row>
    <row r="3054" spans="3:26" x14ac:dyDescent="0.35">
      <c r="C3054" s="15" t="s">
        <v>8</v>
      </c>
      <c r="D3054" s="15" t="s">
        <v>8</v>
      </c>
      <c r="E3054" s="15" t="s">
        <v>8</v>
      </c>
      <c r="F3054" s="15" t="s">
        <v>8</v>
      </c>
      <c r="H3054" s="15" t="s">
        <v>8</v>
      </c>
      <c r="I3054" s="15" t="s">
        <v>8</v>
      </c>
      <c r="J3054" s="15" t="s">
        <v>8</v>
      </c>
      <c r="M3054" s="15" t="s">
        <v>8</v>
      </c>
      <c r="N3054" s="15" t="s">
        <v>8</v>
      </c>
      <c r="O3054" s="15" t="s">
        <v>8</v>
      </c>
      <c r="R3054" s="15" t="s">
        <v>8</v>
      </c>
      <c r="S3054" s="15" t="s">
        <v>8</v>
      </c>
      <c r="T3054" s="15" t="s">
        <v>8</v>
      </c>
      <c r="U3054" s="15" t="s">
        <v>8</v>
      </c>
      <c r="V3054" s="19" t="str">
        <f>HYPERLINK("http://yeinfo.com/family/I09065982.html", "JOSEPH RICKARD 1359 EN-1429 EN ID:09066165")</f>
        <v>JOSEPH RICKARD 1359 EN-1429 EN ID:09066165</v>
      </c>
      <c r="W3054" s="9"/>
      <c r="X3054" s="9"/>
      <c r="Y3054" s="9"/>
      <c r="Z3054" s="9"/>
    </row>
    <row r="3055" spans="3:26" x14ac:dyDescent="0.35">
      <c r="C3055" s="15" t="s">
        <v>8</v>
      </c>
      <c r="D3055" s="15" t="s">
        <v>8</v>
      </c>
      <c r="E3055" s="15" t="s">
        <v>8</v>
      </c>
      <c r="F3055" s="15" t="s">
        <v>8</v>
      </c>
      <c r="H3055" s="15" t="s">
        <v>8</v>
      </c>
      <c r="I3055" s="15" t="s">
        <v>8</v>
      </c>
      <c r="J3055" s="15" t="s">
        <v>8</v>
      </c>
      <c r="M3055" s="15" t="s">
        <v>8</v>
      </c>
      <c r="N3055" s="15" t="s">
        <v>8</v>
      </c>
      <c r="O3055" s="15" t="s">
        <v>8</v>
      </c>
      <c r="R3055" s="15" t="s">
        <v>8</v>
      </c>
      <c r="S3055" s="15" t="s">
        <v>8</v>
      </c>
      <c r="T3055" s="15" t="s">
        <v>8</v>
      </c>
      <c r="U3055" s="8" t="s">
        <v>6</v>
      </c>
      <c r="V3055" s="8" t="s">
        <v>3</v>
      </c>
    </row>
    <row r="3056" spans="3:26" x14ac:dyDescent="0.35">
      <c r="C3056" s="15" t="s">
        <v>8</v>
      </c>
      <c r="D3056" s="15" t="s">
        <v>8</v>
      </c>
      <c r="E3056" s="15" t="s">
        <v>8</v>
      </c>
      <c r="F3056" s="15" t="s">
        <v>8</v>
      </c>
      <c r="H3056" s="15" t="s">
        <v>8</v>
      </c>
      <c r="I3056" s="15" t="s">
        <v>8</v>
      </c>
      <c r="J3056" s="15" t="s">
        <v>8</v>
      </c>
      <c r="M3056" s="15" t="s">
        <v>8</v>
      </c>
      <c r="N3056" s="15" t="s">
        <v>8</v>
      </c>
      <c r="O3056" s="15" t="s">
        <v>8</v>
      </c>
      <c r="R3056" s="15" t="s">
        <v>8</v>
      </c>
      <c r="S3056" s="15" t="s">
        <v>8</v>
      </c>
      <c r="T3056" s="15" t="s">
        <v>8</v>
      </c>
      <c r="U3056" s="20" t="str">
        <f>HYPERLINK("http://yeinfo.com/family/I09066164.html", "ELIZA MAUD RICKARD 1407 EN-1460 EN ID:09065982")</f>
        <v>ELIZA MAUD RICKARD 1407 EN-1460 EN ID:09065982</v>
      </c>
      <c r="V3056" s="17"/>
      <c r="W3056" s="17"/>
      <c r="X3056" s="17"/>
      <c r="Y3056" s="17"/>
    </row>
    <row r="3057" spans="3:26" x14ac:dyDescent="0.35">
      <c r="C3057" s="15" t="s">
        <v>8</v>
      </c>
      <c r="D3057" s="15" t="s">
        <v>8</v>
      </c>
      <c r="E3057" s="15" t="s">
        <v>8</v>
      </c>
      <c r="F3057" s="15" t="s">
        <v>8</v>
      </c>
      <c r="H3057" s="15" t="s">
        <v>8</v>
      </c>
      <c r="I3057" s="15" t="s">
        <v>8</v>
      </c>
      <c r="J3057" s="15" t="s">
        <v>8</v>
      </c>
      <c r="M3057" s="15" t="s">
        <v>8</v>
      </c>
      <c r="N3057" s="15" t="s">
        <v>8</v>
      </c>
      <c r="O3057" s="15" t="s">
        <v>8</v>
      </c>
      <c r="R3057" s="15" t="s">
        <v>8</v>
      </c>
      <c r="S3057" s="15" t="s">
        <v>8</v>
      </c>
      <c r="T3057" s="15" t="s">
        <v>8</v>
      </c>
      <c r="V3057" s="8" t="s">
        <v>6</v>
      </c>
    </row>
    <row r="3058" spans="3:26" x14ac:dyDescent="0.35">
      <c r="C3058" s="15" t="s">
        <v>8</v>
      </c>
      <c r="D3058" s="15" t="s">
        <v>8</v>
      </c>
      <c r="E3058" s="15" t="s">
        <v>8</v>
      </c>
      <c r="F3058" s="15" t="s">
        <v>8</v>
      </c>
      <c r="H3058" s="15" t="s">
        <v>8</v>
      </c>
      <c r="I3058" s="15" t="s">
        <v>8</v>
      </c>
      <c r="J3058" s="15" t="s">
        <v>8</v>
      </c>
      <c r="M3058" s="15" t="s">
        <v>8</v>
      </c>
      <c r="N3058" s="15" t="s">
        <v>8</v>
      </c>
      <c r="O3058" s="15" t="s">
        <v>8</v>
      </c>
      <c r="R3058" s="15" t="s">
        <v>8</v>
      </c>
      <c r="S3058" s="15" t="s">
        <v>8</v>
      </c>
      <c r="T3058" s="15" t="s">
        <v>8</v>
      </c>
      <c r="V3058" s="20" t="str">
        <f>HYPERLINK("http://yeinfo.com/family/I09066165.html", "EMMA WIFFIN 1359 EN-1407 EN ID:09066166")</f>
        <v>EMMA WIFFIN 1359 EN-1407 EN ID:09066166</v>
      </c>
      <c r="W3058" s="17"/>
      <c r="X3058" s="17"/>
      <c r="Y3058" s="17"/>
      <c r="Z3058" s="17"/>
    </row>
    <row r="3059" spans="3:26" x14ac:dyDescent="0.35">
      <c r="C3059" s="15" t="s">
        <v>8</v>
      </c>
      <c r="D3059" s="15" t="s">
        <v>8</v>
      </c>
      <c r="E3059" s="15" t="s">
        <v>8</v>
      </c>
      <c r="F3059" s="15" t="s">
        <v>8</v>
      </c>
      <c r="H3059" s="15" t="s">
        <v>8</v>
      </c>
      <c r="I3059" s="15" t="s">
        <v>8</v>
      </c>
      <c r="J3059" s="15" t="s">
        <v>8</v>
      </c>
      <c r="M3059" s="15" t="s">
        <v>8</v>
      </c>
      <c r="N3059" s="15" t="s">
        <v>8</v>
      </c>
      <c r="O3059" s="15" t="s">
        <v>8</v>
      </c>
      <c r="R3059" s="15" t="s">
        <v>8</v>
      </c>
      <c r="S3059" s="8" t="s">
        <v>6</v>
      </c>
      <c r="T3059" s="15" t="s">
        <v>8</v>
      </c>
    </row>
    <row r="3060" spans="3:26" x14ac:dyDescent="0.35">
      <c r="C3060" s="15" t="s">
        <v>8</v>
      </c>
      <c r="D3060" s="15" t="s">
        <v>8</v>
      </c>
      <c r="E3060" s="15" t="s">
        <v>8</v>
      </c>
      <c r="F3060" s="15" t="s">
        <v>8</v>
      </c>
      <c r="H3060" s="15" t="s">
        <v>8</v>
      </c>
      <c r="I3060" s="15" t="s">
        <v>8</v>
      </c>
      <c r="J3060" s="15" t="s">
        <v>8</v>
      </c>
      <c r="M3060" s="15" t="s">
        <v>8</v>
      </c>
      <c r="N3060" s="15" t="s">
        <v>8</v>
      </c>
      <c r="O3060" s="15" t="s">
        <v>8</v>
      </c>
      <c r="R3060" s="15" t="s">
        <v>8</v>
      </c>
      <c r="S3060" s="20" t="str">
        <f>HYPERLINK("http://yeinfo.com/family/I09065980.html", "PATRICIA ANNE HETHERINGTON 1470 EN-1504 EN ID:09065691")</f>
        <v>PATRICIA ANNE HETHERINGTON 1470 EN-1504 EN ID:09065691</v>
      </c>
      <c r="T3060" s="17"/>
      <c r="U3060" s="17"/>
      <c r="V3060" s="17"/>
      <c r="W3060" s="17"/>
    </row>
    <row r="3061" spans="3:26" x14ac:dyDescent="0.35">
      <c r="C3061" s="15" t="s">
        <v>8</v>
      </c>
      <c r="D3061" s="15" t="s">
        <v>8</v>
      </c>
      <c r="E3061" s="15" t="s">
        <v>8</v>
      </c>
      <c r="F3061" s="15" t="s">
        <v>8</v>
      </c>
      <c r="H3061" s="15" t="s">
        <v>8</v>
      </c>
      <c r="I3061" s="15" t="s">
        <v>8</v>
      </c>
      <c r="J3061" s="15" t="s">
        <v>8</v>
      </c>
      <c r="M3061" s="15" t="s">
        <v>8</v>
      </c>
      <c r="N3061" s="15" t="s">
        <v>8</v>
      </c>
      <c r="O3061" s="15" t="s">
        <v>8</v>
      </c>
      <c r="R3061" s="15" t="s">
        <v>8</v>
      </c>
      <c r="T3061" s="15" t="s">
        <v>8</v>
      </c>
    </row>
    <row r="3062" spans="3:26" x14ac:dyDescent="0.35">
      <c r="C3062" s="15" t="s">
        <v>8</v>
      </c>
      <c r="D3062" s="15" t="s">
        <v>8</v>
      </c>
      <c r="E3062" s="15" t="s">
        <v>8</v>
      </c>
      <c r="F3062" s="15" t="s">
        <v>8</v>
      </c>
      <c r="H3062" s="15" t="s">
        <v>8</v>
      </c>
      <c r="I3062" s="15" t="s">
        <v>8</v>
      </c>
      <c r="J3062" s="15" t="s">
        <v>8</v>
      </c>
      <c r="M3062" s="15" t="s">
        <v>8</v>
      </c>
      <c r="N3062" s="15" t="s">
        <v>8</v>
      </c>
      <c r="O3062" s="15" t="s">
        <v>8</v>
      </c>
      <c r="R3062" s="15" t="s">
        <v>8</v>
      </c>
      <c r="T3062" s="15" t="s">
        <v>8</v>
      </c>
      <c r="V3062" s="19" t="str">
        <f>HYPERLINK("http://yeinfo.com/family/I09065983.html", "DUNCAN MCHUTCHINSON 1359 EN-1406 EN ID:09066167")</f>
        <v>DUNCAN MCHUTCHINSON 1359 EN-1406 EN ID:09066167</v>
      </c>
      <c r="W3062" s="9"/>
      <c r="X3062" s="9"/>
      <c r="Y3062" s="9"/>
      <c r="Z3062" s="9"/>
    </row>
    <row r="3063" spans="3:26" x14ac:dyDescent="0.35">
      <c r="C3063" s="15" t="s">
        <v>8</v>
      </c>
      <c r="D3063" s="15" t="s">
        <v>8</v>
      </c>
      <c r="E3063" s="15" t="s">
        <v>8</v>
      </c>
      <c r="F3063" s="15" t="s">
        <v>8</v>
      </c>
      <c r="H3063" s="15" t="s">
        <v>8</v>
      </c>
      <c r="I3063" s="15" t="s">
        <v>8</v>
      </c>
      <c r="J3063" s="15" t="s">
        <v>8</v>
      </c>
      <c r="M3063" s="15" t="s">
        <v>8</v>
      </c>
      <c r="N3063" s="15" t="s">
        <v>8</v>
      </c>
      <c r="O3063" s="15" t="s">
        <v>8</v>
      </c>
      <c r="R3063" s="15" t="s">
        <v>8</v>
      </c>
      <c r="T3063" s="15" t="s">
        <v>8</v>
      </c>
      <c r="V3063" s="8" t="s">
        <v>3</v>
      </c>
    </row>
    <row r="3064" spans="3:26" x14ac:dyDescent="0.35">
      <c r="C3064" s="15" t="s">
        <v>8</v>
      </c>
      <c r="D3064" s="15" t="s">
        <v>8</v>
      </c>
      <c r="E3064" s="15" t="s">
        <v>8</v>
      </c>
      <c r="F3064" s="15" t="s">
        <v>8</v>
      </c>
      <c r="H3064" s="15" t="s">
        <v>8</v>
      </c>
      <c r="I3064" s="15" t="s">
        <v>8</v>
      </c>
      <c r="J3064" s="15" t="s">
        <v>8</v>
      </c>
      <c r="M3064" s="15" t="s">
        <v>8</v>
      </c>
      <c r="N3064" s="15" t="s">
        <v>8</v>
      </c>
      <c r="O3064" s="15" t="s">
        <v>8</v>
      </c>
      <c r="R3064" s="15" t="s">
        <v>8</v>
      </c>
      <c r="T3064" s="15" t="s">
        <v>8</v>
      </c>
      <c r="U3064" s="19" t="str">
        <f>HYPERLINK("http://yeinfo.com/family/I09065822.html", "JOHN EMMERSON MCHUTCHINSON 1381 EN-1468 EN ID:09065983")</f>
        <v>JOHN EMMERSON MCHUTCHINSON 1381 EN-1468 EN ID:09065983</v>
      </c>
      <c r="V3064" s="9"/>
      <c r="W3064" s="9"/>
      <c r="X3064" s="9"/>
      <c r="Y3064" s="9"/>
    </row>
    <row r="3065" spans="3:26" x14ac:dyDescent="0.35">
      <c r="C3065" s="15" t="s">
        <v>8</v>
      </c>
      <c r="D3065" s="15" t="s">
        <v>8</v>
      </c>
      <c r="E3065" s="15" t="s">
        <v>8</v>
      </c>
      <c r="F3065" s="15" t="s">
        <v>8</v>
      </c>
      <c r="H3065" s="15" t="s">
        <v>8</v>
      </c>
      <c r="I3065" s="15" t="s">
        <v>8</v>
      </c>
      <c r="J3065" s="15" t="s">
        <v>8</v>
      </c>
      <c r="M3065" s="15" t="s">
        <v>8</v>
      </c>
      <c r="N3065" s="15" t="s">
        <v>8</v>
      </c>
      <c r="O3065" s="15" t="s">
        <v>8</v>
      </c>
      <c r="R3065" s="15" t="s">
        <v>8</v>
      </c>
      <c r="T3065" s="15" t="s">
        <v>8</v>
      </c>
      <c r="U3065" s="8" t="s">
        <v>3</v>
      </c>
      <c r="V3065" s="8" t="s">
        <v>6</v>
      </c>
    </row>
    <row r="3066" spans="3:26" x14ac:dyDescent="0.35">
      <c r="C3066" s="15" t="s">
        <v>8</v>
      </c>
      <c r="D3066" s="15" t="s">
        <v>8</v>
      </c>
      <c r="E3066" s="15" t="s">
        <v>8</v>
      </c>
      <c r="F3066" s="15" t="s">
        <v>8</v>
      </c>
      <c r="H3066" s="15" t="s">
        <v>8</v>
      </c>
      <c r="I3066" s="15" t="s">
        <v>8</v>
      </c>
      <c r="J3066" s="15" t="s">
        <v>8</v>
      </c>
      <c r="M3066" s="15" t="s">
        <v>8</v>
      </c>
      <c r="N3066" s="15" t="s">
        <v>8</v>
      </c>
      <c r="O3066" s="15" t="s">
        <v>8</v>
      </c>
      <c r="R3066" s="15" t="s">
        <v>8</v>
      </c>
      <c r="T3066" s="15" t="s">
        <v>8</v>
      </c>
      <c r="U3066" s="15" t="s">
        <v>8</v>
      </c>
      <c r="V3066" s="20" t="str">
        <f>HYPERLINK("http://yeinfo.com/family/I09066167.html", "MARGARET HEWITSON 1354 EN-1421 EN ID:09066168")</f>
        <v>MARGARET HEWITSON 1354 EN-1421 EN ID:09066168</v>
      </c>
      <c r="W3066" s="17"/>
      <c r="X3066" s="17"/>
      <c r="Y3066" s="17"/>
      <c r="Z3066" s="17"/>
    </row>
    <row r="3067" spans="3:26" x14ac:dyDescent="0.35">
      <c r="C3067" s="15" t="s">
        <v>8</v>
      </c>
      <c r="D3067" s="15" t="s">
        <v>8</v>
      </c>
      <c r="E3067" s="15" t="s">
        <v>8</v>
      </c>
      <c r="F3067" s="15" t="s">
        <v>8</v>
      </c>
      <c r="H3067" s="15" t="s">
        <v>8</v>
      </c>
      <c r="I3067" s="15" t="s">
        <v>8</v>
      </c>
      <c r="J3067" s="15" t="s">
        <v>8</v>
      </c>
      <c r="M3067" s="15" t="s">
        <v>8</v>
      </c>
      <c r="N3067" s="15" t="s">
        <v>8</v>
      </c>
      <c r="O3067" s="15" t="s">
        <v>8</v>
      </c>
      <c r="R3067" s="15" t="s">
        <v>8</v>
      </c>
      <c r="T3067" s="8" t="s">
        <v>6</v>
      </c>
      <c r="U3067" s="15" t="s">
        <v>8</v>
      </c>
    </row>
    <row r="3068" spans="3:26" x14ac:dyDescent="0.35">
      <c r="C3068" s="15" t="s">
        <v>8</v>
      </c>
      <c r="D3068" s="15" t="s">
        <v>8</v>
      </c>
      <c r="E3068" s="15" t="s">
        <v>8</v>
      </c>
      <c r="F3068" s="15" t="s">
        <v>8</v>
      </c>
      <c r="H3068" s="15" t="s">
        <v>8</v>
      </c>
      <c r="I3068" s="15" t="s">
        <v>8</v>
      </c>
      <c r="J3068" s="15" t="s">
        <v>8</v>
      </c>
      <c r="M3068" s="15" t="s">
        <v>8</v>
      </c>
      <c r="N3068" s="15" t="s">
        <v>8</v>
      </c>
      <c r="O3068" s="15" t="s">
        <v>8</v>
      </c>
      <c r="R3068" s="15" t="s">
        <v>8</v>
      </c>
      <c r="T3068" s="20" t="str">
        <f>HYPERLINK("http://yeinfo.com/family/I09066166.html", "ALICE JEAN MCHUTCHINSON 1435 EN-1470 EN ID:09065822")</f>
        <v>ALICE JEAN MCHUTCHINSON 1435 EN-1470 EN ID:09065822</v>
      </c>
      <c r="U3068" s="17"/>
      <c r="V3068" s="17"/>
      <c r="W3068" s="17"/>
      <c r="X3068" s="17"/>
    </row>
    <row r="3069" spans="3:26" x14ac:dyDescent="0.35">
      <c r="C3069" s="15" t="s">
        <v>8</v>
      </c>
      <c r="D3069" s="15" t="s">
        <v>8</v>
      </c>
      <c r="E3069" s="15" t="s">
        <v>8</v>
      </c>
      <c r="F3069" s="15" t="s">
        <v>8</v>
      </c>
      <c r="H3069" s="15" t="s">
        <v>8</v>
      </c>
      <c r="I3069" s="15" t="s">
        <v>8</v>
      </c>
      <c r="J3069" s="15" t="s">
        <v>8</v>
      </c>
      <c r="M3069" s="15" t="s">
        <v>8</v>
      </c>
      <c r="N3069" s="15" t="s">
        <v>8</v>
      </c>
      <c r="O3069" s="15" t="s">
        <v>8</v>
      </c>
      <c r="R3069" s="15" t="s">
        <v>8</v>
      </c>
      <c r="U3069" s="15" t="s">
        <v>8</v>
      </c>
    </row>
    <row r="3070" spans="3:26" x14ac:dyDescent="0.35">
      <c r="C3070" s="15" t="s">
        <v>8</v>
      </c>
      <c r="D3070" s="15" t="s">
        <v>8</v>
      </c>
      <c r="E3070" s="15" t="s">
        <v>8</v>
      </c>
      <c r="F3070" s="15" t="s">
        <v>8</v>
      </c>
      <c r="H3070" s="15" t="s">
        <v>8</v>
      </c>
      <c r="I3070" s="15" t="s">
        <v>8</v>
      </c>
      <c r="J3070" s="15" t="s">
        <v>8</v>
      </c>
      <c r="M3070" s="15" t="s">
        <v>8</v>
      </c>
      <c r="N3070" s="15" t="s">
        <v>8</v>
      </c>
      <c r="O3070" s="15" t="s">
        <v>8</v>
      </c>
      <c r="R3070" s="15" t="s">
        <v>8</v>
      </c>
      <c r="U3070" s="15" t="s">
        <v>8</v>
      </c>
      <c r="V3070" s="19" t="str">
        <f>HYPERLINK("http://yeinfo.com/family/I09065984.html", "DAVID HUGHES 1354 EN-1424 EN ID:09066169")</f>
        <v>DAVID HUGHES 1354 EN-1424 EN ID:09066169</v>
      </c>
      <c r="W3070" s="9"/>
      <c r="X3070" s="9"/>
      <c r="Y3070" s="9"/>
      <c r="Z3070" s="9"/>
    </row>
    <row r="3071" spans="3:26" x14ac:dyDescent="0.35">
      <c r="C3071" s="15" t="s">
        <v>8</v>
      </c>
      <c r="D3071" s="15" t="s">
        <v>8</v>
      </c>
      <c r="E3071" s="15" t="s">
        <v>8</v>
      </c>
      <c r="F3071" s="15" t="s">
        <v>8</v>
      </c>
      <c r="H3071" s="15" t="s">
        <v>8</v>
      </c>
      <c r="I3071" s="15" t="s">
        <v>8</v>
      </c>
      <c r="J3071" s="15" t="s">
        <v>8</v>
      </c>
      <c r="M3071" s="15" t="s">
        <v>8</v>
      </c>
      <c r="N3071" s="15" t="s">
        <v>8</v>
      </c>
      <c r="O3071" s="15" t="s">
        <v>8</v>
      </c>
      <c r="R3071" s="15" t="s">
        <v>8</v>
      </c>
      <c r="U3071" s="8" t="s">
        <v>6</v>
      </c>
      <c r="V3071" s="8" t="s">
        <v>3</v>
      </c>
    </row>
    <row r="3072" spans="3:26" x14ac:dyDescent="0.35">
      <c r="C3072" s="15" t="s">
        <v>8</v>
      </c>
      <c r="D3072" s="15" t="s">
        <v>8</v>
      </c>
      <c r="E3072" s="15" t="s">
        <v>8</v>
      </c>
      <c r="F3072" s="15" t="s">
        <v>8</v>
      </c>
      <c r="H3072" s="15" t="s">
        <v>8</v>
      </c>
      <c r="I3072" s="15" t="s">
        <v>8</v>
      </c>
      <c r="J3072" s="15" t="s">
        <v>8</v>
      </c>
      <c r="M3072" s="15" t="s">
        <v>8</v>
      </c>
      <c r="N3072" s="15" t="s">
        <v>8</v>
      </c>
      <c r="O3072" s="15" t="s">
        <v>8</v>
      </c>
      <c r="R3072" s="15" t="s">
        <v>8</v>
      </c>
      <c r="U3072" s="20" t="str">
        <f>HYPERLINK("http://yeinfo.com/family/I09066168.html", "HARRIETT HUGHES 1388 EN-1461 EN ID:09065984")</f>
        <v>HARRIETT HUGHES 1388 EN-1461 EN ID:09065984</v>
      </c>
      <c r="V3072" s="17"/>
      <c r="W3072" s="17"/>
      <c r="X3072" s="17"/>
      <c r="Y3072" s="17"/>
    </row>
    <row r="3073" spans="3:26" x14ac:dyDescent="0.35">
      <c r="C3073" s="15" t="s">
        <v>8</v>
      </c>
      <c r="D3073" s="15" t="s">
        <v>8</v>
      </c>
      <c r="E3073" s="15" t="s">
        <v>8</v>
      </c>
      <c r="F3073" s="15" t="s">
        <v>8</v>
      </c>
      <c r="H3073" s="15" t="s">
        <v>8</v>
      </c>
      <c r="I3073" s="15" t="s">
        <v>8</v>
      </c>
      <c r="J3073" s="15" t="s">
        <v>8</v>
      </c>
      <c r="M3073" s="15" t="s">
        <v>8</v>
      </c>
      <c r="N3073" s="15" t="s">
        <v>8</v>
      </c>
      <c r="O3073" s="15" t="s">
        <v>8</v>
      </c>
      <c r="R3073" s="15" t="s">
        <v>8</v>
      </c>
      <c r="V3073" s="8" t="s">
        <v>6</v>
      </c>
    </row>
    <row r="3074" spans="3:26" x14ac:dyDescent="0.35">
      <c r="C3074" s="15" t="s">
        <v>8</v>
      </c>
      <c r="D3074" s="15" t="s">
        <v>8</v>
      </c>
      <c r="E3074" s="15" t="s">
        <v>8</v>
      </c>
      <c r="F3074" s="15" t="s">
        <v>8</v>
      </c>
      <c r="H3074" s="15" t="s">
        <v>8</v>
      </c>
      <c r="I3074" s="15" t="s">
        <v>8</v>
      </c>
      <c r="J3074" s="15" t="s">
        <v>8</v>
      </c>
      <c r="M3074" s="15" t="s">
        <v>8</v>
      </c>
      <c r="N3074" s="15" t="s">
        <v>8</v>
      </c>
      <c r="O3074" s="15" t="s">
        <v>8</v>
      </c>
      <c r="R3074" s="15" t="s">
        <v>8</v>
      </c>
      <c r="V3074" s="20" t="str">
        <f>HYPERLINK("http://yeinfo.com/family/I09066169.html", "ESTHER VICKES 1355 EN-1388 EN ID:09066170")</f>
        <v>ESTHER VICKES 1355 EN-1388 EN ID:09066170</v>
      </c>
      <c r="W3074" s="17"/>
      <c r="X3074" s="17"/>
      <c r="Y3074" s="17"/>
      <c r="Z3074" s="17"/>
    </row>
    <row r="3075" spans="3:26" x14ac:dyDescent="0.35">
      <c r="C3075" s="15" t="s">
        <v>8</v>
      </c>
      <c r="D3075" s="15" t="s">
        <v>8</v>
      </c>
      <c r="E3075" s="15" t="s">
        <v>8</v>
      </c>
      <c r="F3075" s="15" t="s">
        <v>8</v>
      </c>
      <c r="H3075" s="15" t="s">
        <v>8</v>
      </c>
      <c r="I3075" s="15" t="s">
        <v>8</v>
      </c>
      <c r="J3075" s="15" t="s">
        <v>8</v>
      </c>
      <c r="M3075" s="15" t="s">
        <v>8</v>
      </c>
      <c r="N3075" s="15" t="s">
        <v>8</v>
      </c>
      <c r="O3075" s="15" t="s">
        <v>8</v>
      </c>
      <c r="R3075" s="15" t="s">
        <v>8</v>
      </c>
    </row>
    <row r="3076" spans="3:26" x14ac:dyDescent="0.35">
      <c r="C3076" s="15" t="s">
        <v>8</v>
      </c>
      <c r="D3076" s="15" t="s">
        <v>8</v>
      </c>
      <c r="E3076" s="15" t="s">
        <v>8</v>
      </c>
      <c r="F3076" s="15" t="s">
        <v>8</v>
      </c>
      <c r="H3076" s="15" t="s">
        <v>8</v>
      </c>
      <c r="I3076" s="15" t="s">
        <v>8</v>
      </c>
      <c r="J3076" s="15" t="s">
        <v>8</v>
      </c>
      <c r="M3076" s="15" t="s">
        <v>8</v>
      </c>
      <c r="N3076" s="15" t="s">
        <v>8</v>
      </c>
      <c r="O3076" s="15" t="s">
        <v>8</v>
      </c>
      <c r="Q3076" s="19" t="str">
        <f>HYPERLINK("http://yeinfo.com/family/I09021690.html", "HUGH SARGENT 1528 EN-1595 EN ID:09043380")</f>
        <v>HUGH SARGENT 1528 EN-1595 EN ID:09043380</v>
      </c>
      <c r="R3076" s="9"/>
      <c r="S3076" s="9"/>
      <c r="T3076" s="9"/>
      <c r="U3076" s="9"/>
    </row>
    <row r="3077" spans="3:26" x14ac:dyDescent="0.35">
      <c r="C3077" s="15" t="s">
        <v>8</v>
      </c>
      <c r="D3077" s="15" t="s">
        <v>8</v>
      </c>
      <c r="E3077" s="15" t="s">
        <v>8</v>
      </c>
      <c r="F3077" s="15" t="s">
        <v>8</v>
      </c>
      <c r="H3077" s="15" t="s">
        <v>8</v>
      </c>
      <c r="I3077" s="15" t="s">
        <v>8</v>
      </c>
      <c r="J3077" s="15" t="s">
        <v>8</v>
      </c>
      <c r="M3077" s="15" t="s">
        <v>8</v>
      </c>
      <c r="N3077" s="15" t="s">
        <v>8</v>
      </c>
      <c r="O3077" s="15" t="s">
        <v>8</v>
      </c>
      <c r="Q3077" s="8" t="s">
        <v>3</v>
      </c>
      <c r="R3077" s="8" t="s">
        <v>6</v>
      </c>
    </row>
    <row r="3078" spans="3:26" x14ac:dyDescent="0.35">
      <c r="C3078" s="15" t="s">
        <v>8</v>
      </c>
      <c r="D3078" s="15" t="s">
        <v>8</v>
      </c>
      <c r="E3078" s="15" t="s">
        <v>8</v>
      </c>
      <c r="F3078" s="15" t="s">
        <v>8</v>
      </c>
      <c r="H3078" s="15" t="s">
        <v>8</v>
      </c>
      <c r="I3078" s="15" t="s">
        <v>8</v>
      </c>
      <c r="J3078" s="15" t="s">
        <v>8</v>
      </c>
      <c r="M3078" s="15" t="s">
        <v>8</v>
      </c>
      <c r="N3078" s="15" t="s">
        <v>8</v>
      </c>
      <c r="O3078" s="15" t="s">
        <v>8</v>
      </c>
      <c r="Q3078" s="15" t="s">
        <v>8</v>
      </c>
      <c r="R3078" s="20" t="str">
        <f>HYPERLINK("http://yeinfo.com/family/I09066170.html", "Mrs. ELIZABETH SARGENT 1508 EN-1530 EN ID:09065558")</f>
        <v>Mrs. ELIZABETH SARGENT 1508 EN-1530 EN ID:09065558</v>
      </c>
      <c r="S3078" s="17"/>
      <c r="T3078" s="17"/>
      <c r="U3078" s="17"/>
      <c r="V3078" s="17"/>
    </row>
    <row r="3079" spans="3:26" x14ac:dyDescent="0.35">
      <c r="C3079" s="15" t="s">
        <v>8</v>
      </c>
      <c r="D3079" s="15" t="s">
        <v>8</v>
      </c>
      <c r="E3079" s="15" t="s">
        <v>8</v>
      </c>
      <c r="F3079" s="15" t="s">
        <v>8</v>
      </c>
      <c r="H3079" s="15" t="s">
        <v>8</v>
      </c>
      <c r="I3079" s="15" t="s">
        <v>8</v>
      </c>
      <c r="J3079" s="15" t="s">
        <v>8</v>
      </c>
      <c r="M3079" s="15" t="s">
        <v>8</v>
      </c>
      <c r="N3079" s="15" t="s">
        <v>8</v>
      </c>
      <c r="O3079" s="15" t="s">
        <v>8</v>
      </c>
      <c r="Q3079" s="15" t="s">
        <v>8</v>
      </c>
    </row>
    <row r="3080" spans="3:26" x14ac:dyDescent="0.35">
      <c r="C3080" s="15" t="s">
        <v>8</v>
      </c>
      <c r="D3080" s="15" t="s">
        <v>8</v>
      </c>
      <c r="E3080" s="15" t="s">
        <v>8</v>
      </c>
      <c r="F3080" s="15" t="s">
        <v>8</v>
      </c>
      <c r="H3080" s="15" t="s">
        <v>8</v>
      </c>
      <c r="I3080" s="15" t="s">
        <v>8</v>
      </c>
      <c r="J3080" s="15" t="s">
        <v>8</v>
      </c>
      <c r="M3080" s="15" t="s">
        <v>8</v>
      </c>
      <c r="N3080" s="15" t="s">
        <v>8</v>
      </c>
      <c r="O3080" s="15" t="s">
        <v>8</v>
      </c>
      <c r="P3080" s="19" t="str">
        <f>HYPERLINK("http://yeinfo.com/family/I09010845.html", "RICHARD SARGENT 1575 EN-1675 EN ID:09021690")</f>
        <v>RICHARD SARGENT 1575 EN-1675 EN ID:09021690</v>
      </c>
      <c r="Q3080" s="9"/>
      <c r="R3080" s="9"/>
      <c r="S3080" s="9"/>
      <c r="T3080" s="9"/>
    </row>
    <row r="3081" spans="3:26" x14ac:dyDescent="0.35">
      <c r="C3081" s="15" t="s">
        <v>8</v>
      </c>
      <c r="D3081" s="15" t="s">
        <v>8</v>
      </c>
      <c r="E3081" s="15" t="s">
        <v>8</v>
      </c>
      <c r="F3081" s="15" t="s">
        <v>8</v>
      </c>
      <c r="H3081" s="15" t="s">
        <v>8</v>
      </c>
      <c r="I3081" s="15" t="s">
        <v>8</v>
      </c>
      <c r="J3081" s="15" t="s">
        <v>8</v>
      </c>
      <c r="M3081" s="15" t="s">
        <v>8</v>
      </c>
      <c r="N3081" s="15" t="s">
        <v>8</v>
      </c>
      <c r="O3081" s="15" t="s">
        <v>8</v>
      </c>
      <c r="P3081" s="8" t="s">
        <v>3</v>
      </c>
      <c r="Q3081" s="15" t="s">
        <v>8</v>
      </c>
    </row>
    <row r="3082" spans="3:26" x14ac:dyDescent="0.35">
      <c r="C3082" s="15" t="s">
        <v>8</v>
      </c>
      <c r="D3082" s="15" t="s">
        <v>8</v>
      </c>
      <c r="E3082" s="15" t="s">
        <v>8</v>
      </c>
      <c r="F3082" s="15" t="s">
        <v>8</v>
      </c>
      <c r="H3082" s="15" t="s">
        <v>8</v>
      </c>
      <c r="I3082" s="15" t="s">
        <v>8</v>
      </c>
      <c r="J3082" s="15" t="s">
        <v>8</v>
      </c>
      <c r="M3082" s="15" t="s">
        <v>8</v>
      </c>
      <c r="N3082" s="15" t="s">
        <v>8</v>
      </c>
      <c r="O3082" s="15" t="s">
        <v>8</v>
      </c>
      <c r="P3082" s="15" t="s">
        <v>8</v>
      </c>
      <c r="Q3082" s="15" t="s">
        <v>8</v>
      </c>
      <c r="V3082" s="19" t="str">
        <f>HYPERLINK("http://yeinfo.com/family/I09065985.html", "ROGER GIFFARD 1367 EN-1409 EN ID:09066171")</f>
        <v>ROGER GIFFARD 1367 EN-1409 EN ID:09066171</v>
      </c>
      <c r="W3082" s="9"/>
      <c r="X3082" s="9"/>
      <c r="Y3082" s="9"/>
      <c r="Z3082" s="9"/>
    </row>
    <row r="3083" spans="3:26" x14ac:dyDescent="0.35">
      <c r="C3083" s="15" t="s">
        <v>8</v>
      </c>
      <c r="D3083" s="15" t="s">
        <v>8</v>
      </c>
      <c r="E3083" s="15" t="s">
        <v>8</v>
      </c>
      <c r="F3083" s="15" t="s">
        <v>8</v>
      </c>
      <c r="H3083" s="15" t="s">
        <v>8</v>
      </c>
      <c r="I3083" s="15" t="s">
        <v>8</v>
      </c>
      <c r="J3083" s="15" t="s">
        <v>8</v>
      </c>
      <c r="M3083" s="15" t="s">
        <v>8</v>
      </c>
      <c r="N3083" s="15" t="s">
        <v>8</v>
      </c>
      <c r="O3083" s="15" t="s">
        <v>8</v>
      </c>
      <c r="P3083" s="15" t="s">
        <v>8</v>
      </c>
      <c r="Q3083" s="15" t="s">
        <v>8</v>
      </c>
      <c r="V3083" s="8" t="s">
        <v>3</v>
      </c>
    </row>
    <row r="3084" spans="3:26" x14ac:dyDescent="0.35">
      <c r="C3084" s="15" t="s">
        <v>8</v>
      </c>
      <c r="D3084" s="15" t="s">
        <v>8</v>
      </c>
      <c r="E3084" s="15" t="s">
        <v>8</v>
      </c>
      <c r="F3084" s="15" t="s">
        <v>8</v>
      </c>
      <c r="H3084" s="15" t="s">
        <v>8</v>
      </c>
      <c r="I3084" s="15" t="s">
        <v>8</v>
      </c>
      <c r="J3084" s="15" t="s">
        <v>8</v>
      </c>
      <c r="M3084" s="15" t="s">
        <v>8</v>
      </c>
      <c r="N3084" s="15" t="s">
        <v>8</v>
      </c>
      <c r="O3084" s="15" t="s">
        <v>8</v>
      </c>
      <c r="P3084" s="15" t="s">
        <v>8</v>
      </c>
      <c r="Q3084" s="15" t="s">
        <v>8</v>
      </c>
      <c r="U3084" s="19" t="str">
        <f>HYPERLINK("http://yeinfo.com/family/I09065823.html", "THOMAS GIFFARD 1408 EN-1469 EN ID:09065985")</f>
        <v>THOMAS GIFFARD 1408 EN-1469 EN ID:09065985</v>
      </c>
      <c r="V3084" s="9"/>
      <c r="W3084" s="9"/>
      <c r="X3084" s="9"/>
      <c r="Y3084" s="9"/>
    </row>
    <row r="3085" spans="3:26" x14ac:dyDescent="0.35">
      <c r="C3085" s="15" t="s">
        <v>8</v>
      </c>
      <c r="D3085" s="15" t="s">
        <v>8</v>
      </c>
      <c r="E3085" s="15" t="s">
        <v>8</v>
      </c>
      <c r="F3085" s="15" t="s">
        <v>8</v>
      </c>
      <c r="H3085" s="15" t="s">
        <v>8</v>
      </c>
      <c r="I3085" s="15" t="s">
        <v>8</v>
      </c>
      <c r="J3085" s="15" t="s">
        <v>8</v>
      </c>
      <c r="M3085" s="15" t="s">
        <v>8</v>
      </c>
      <c r="N3085" s="15" t="s">
        <v>8</v>
      </c>
      <c r="O3085" s="15" t="s">
        <v>8</v>
      </c>
      <c r="P3085" s="15" t="s">
        <v>8</v>
      </c>
      <c r="Q3085" s="15" t="s">
        <v>8</v>
      </c>
      <c r="U3085" s="8" t="s">
        <v>3</v>
      </c>
      <c r="V3085" s="8" t="s">
        <v>6</v>
      </c>
    </row>
    <row r="3086" spans="3:26" x14ac:dyDescent="0.35">
      <c r="C3086" s="15" t="s">
        <v>8</v>
      </c>
      <c r="D3086" s="15" t="s">
        <v>8</v>
      </c>
      <c r="E3086" s="15" t="s">
        <v>8</v>
      </c>
      <c r="F3086" s="15" t="s">
        <v>8</v>
      </c>
      <c r="H3086" s="15" t="s">
        <v>8</v>
      </c>
      <c r="I3086" s="15" t="s">
        <v>8</v>
      </c>
      <c r="J3086" s="15" t="s">
        <v>8</v>
      </c>
      <c r="M3086" s="15" t="s">
        <v>8</v>
      </c>
      <c r="N3086" s="15" t="s">
        <v>8</v>
      </c>
      <c r="O3086" s="15" t="s">
        <v>8</v>
      </c>
      <c r="P3086" s="15" t="s">
        <v>8</v>
      </c>
      <c r="Q3086" s="15" t="s">
        <v>8</v>
      </c>
      <c r="U3086" s="15" t="s">
        <v>8</v>
      </c>
      <c r="V3086" s="20" t="str">
        <f>HYPERLINK("http://yeinfo.com/family/I09066171.html", "ISABEL ELIZABETH STRETELE 1375 EN-1408 EN ID:09066172")</f>
        <v>ISABEL ELIZABETH STRETELE 1375 EN-1408 EN ID:09066172</v>
      </c>
      <c r="W3086" s="17"/>
      <c r="X3086" s="17"/>
      <c r="Y3086" s="17"/>
      <c r="Z3086" s="17"/>
    </row>
    <row r="3087" spans="3:26" x14ac:dyDescent="0.35">
      <c r="C3087" s="15" t="s">
        <v>8</v>
      </c>
      <c r="D3087" s="15" t="s">
        <v>8</v>
      </c>
      <c r="E3087" s="15" t="s">
        <v>8</v>
      </c>
      <c r="F3087" s="15" t="s">
        <v>8</v>
      </c>
      <c r="H3087" s="15" t="s">
        <v>8</v>
      </c>
      <c r="I3087" s="15" t="s">
        <v>8</v>
      </c>
      <c r="J3087" s="15" t="s">
        <v>8</v>
      </c>
      <c r="M3087" s="15" t="s">
        <v>8</v>
      </c>
      <c r="N3087" s="15" t="s">
        <v>8</v>
      </c>
      <c r="O3087" s="15" t="s">
        <v>8</v>
      </c>
      <c r="P3087" s="15" t="s">
        <v>8</v>
      </c>
      <c r="Q3087" s="15" t="s">
        <v>8</v>
      </c>
      <c r="U3087" s="15" t="s">
        <v>8</v>
      </c>
    </row>
    <row r="3088" spans="3:26" x14ac:dyDescent="0.35">
      <c r="C3088" s="15" t="s">
        <v>8</v>
      </c>
      <c r="D3088" s="15" t="s">
        <v>8</v>
      </c>
      <c r="E3088" s="15" t="s">
        <v>8</v>
      </c>
      <c r="F3088" s="15" t="s">
        <v>8</v>
      </c>
      <c r="H3088" s="15" t="s">
        <v>8</v>
      </c>
      <c r="I3088" s="15" t="s">
        <v>8</v>
      </c>
      <c r="J3088" s="15" t="s">
        <v>8</v>
      </c>
      <c r="M3088" s="15" t="s">
        <v>8</v>
      </c>
      <c r="N3088" s="15" t="s">
        <v>8</v>
      </c>
      <c r="O3088" s="15" t="s">
        <v>8</v>
      </c>
      <c r="P3088" s="15" t="s">
        <v>8</v>
      </c>
      <c r="Q3088" s="15" t="s">
        <v>8</v>
      </c>
      <c r="T3088" s="19" t="str">
        <f>HYPERLINK("http://yeinfo.com/family/I09065692.html", "JOHN GIFFARD 1431 EN-1463 EN ID:09065823")</f>
        <v>JOHN GIFFARD 1431 EN-1463 EN ID:09065823</v>
      </c>
      <c r="U3088" s="9"/>
      <c r="V3088" s="9"/>
      <c r="W3088" s="9"/>
      <c r="X3088" s="9"/>
    </row>
    <row r="3089" spans="3:28" x14ac:dyDescent="0.35">
      <c r="C3089" s="15" t="s">
        <v>8</v>
      </c>
      <c r="D3089" s="15" t="s">
        <v>8</v>
      </c>
      <c r="E3089" s="15" t="s">
        <v>8</v>
      </c>
      <c r="F3089" s="15" t="s">
        <v>8</v>
      </c>
      <c r="H3089" s="15" t="s">
        <v>8</v>
      </c>
      <c r="I3089" s="15" t="s">
        <v>8</v>
      </c>
      <c r="J3089" s="15" t="s">
        <v>8</v>
      </c>
      <c r="M3089" s="15" t="s">
        <v>8</v>
      </c>
      <c r="N3089" s="15" t="s">
        <v>8</v>
      </c>
      <c r="O3089" s="15" t="s">
        <v>8</v>
      </c>
      <c r="P3089" s="15" t="s">
        <v>8</v>
      </c>
      <c r="Q3089" s="15" t="s">
        <v>8</v>
      </c>
      <c r="T3089" s="8" t="s">
        <v>3</v>
      </c>
      <c r="U3089" s="15" t="s">
        <v>8</v>
      </c>
    </row>
    <row r="3090" spans="3:28" x14ac:dyDescent="0.35">
      <c r="C3090" s="15" t="s">
        <v>8</v>
      </c>
      <c r="D3090" s="15" t="s">
        <v>8</v>
      </c>
      <c r="E3090" s="15" t="s">
        <v>8</v>
      </c>
      <c r="F3090" s="15" t="s">
        <v>8</v>
      </c>
      <c r="H3090" s="15" t="s">
        <v>8</v>
      </c>
      <c r="I3090" s="15" t="s">
        <v>8</v>
      </c>
      <c r="J3090" s="15" t="s">
        <v>8</v>
      </c>
      <c r="M3090" s="15" t="s">
        <v>8</v>
      </c>
      <c r="N3090" s="15" t="s">
        <v>8</v>
      </c>
      <c r="O3090" s="15" t="s">
        <v>8</v>
      </c>
      <c r="P3090" s="15" t="s">
        <v>8</v>
      </c>
      <c r="Q3090" s="15" t="s">
        <v>8</v>
      </c>
      <c r="T3090" s="15" t="s">
        <v>8</v>
      </c>
      <c r="U3090" s="15" t="s">
        <v>8</v>
      </c>
      <c r="X3090" s="19" t="str">
        <f>HYPERLINK("http://yeinfo.com/family/I09066323.html", "WILLIAM VAUX 1324 EN-1373 EN ID:09066496")</f>
        <v>WILLIAM VAUX 1324 EN-1373 EN ID:09066496</v>
      </c>
      <c r="Y3090" s="9"/>
      <c r="Z3090" s="9"/>
      <c r="AA3090" s="9"/>
      <c r="AB3090" s="9"/>
    </row>
    <row r="3091" spans="3:28" x14ac:dyDescent="0.35">
      <c r="C3091" s="15" t="s">
        <v>8</v>
      </c>
      <c r="D3091" s="15" t="s">
        <v>8</v>
      </c>
      <c r="E3091" s="15" t="s">
        <v>8</v>
      </c>
      <c r="F3091" s="15" t="s">
        <v>8</v>
      </c>
      <c r="H3091" s="15" t="s">
        <v>8</v>
      </c>
      <c r="I3091" s="15" t="s">
        <v>8</v>
      </c>
      <c r="J3091" s="15" t="s">
        <v>8</v>
      </c>
      <c r="M3091" s="15" t="s">
        <v>8</v>
      </c>
      <c r="N3091" s="15" t="s">
        <v>8</v>
      </c>
      <c r="O3091" s="15" t="s">
        <v>8</v>
      </c>
      <c r="P3091" s="15" t="s">
        <v>8</v>
      </c>
      <c r="Q3091" s="15" t="s">
        <v>8</v>
      </c>
      <c r="T3091" s="15" t="s">
        <v>8</v>
      </c>
      <c r="U3091" s="15" t="s">
        <v>8</v>
      </c>
      <c r="X3091" s="8" t="s">
        <v>3</v>
      </c>
    </row>
    <row r="3092" spans="3:28" x14ac:dyDescent="0.35">
      <c r="C3092" s="15" t="s">
        <v>8</v>
      </c>
      <c r="D3092" s="15" t="s">
        <v>8</v>
      </c>
      <c r="E3092" s="15" t="s">
        <v>8</v>
      </c>
      <c r="F3092" s="15" t="s">
        <v>8</v>
      </c>
      <c r="H3092" s="15" t="s">
        <v>8</v>
      </c>
      <c r="I3092" s="15" t="s">
        <v>8</v>
      </c>
      <c r="J3092" s="15" t="s">
        <v>8</v>
      </c>
      <c r="M3092" s="15" t="s">
        <v>8</v>
      </c>
      <c r="N3092" s="15" t="s">
        <v>8</v>
      </c>
      <c r="O3092" s="15" t="s">
        <v>8</v>
      </c>
      <c r="P3092" s="15" t="s">
        <v>8</v>
      </c>
      <c r="Q3092" s="15" t="s">
        <v>8</v>
      </c>
      <c r="T3092" s="15" t="s">
        <v>8</v>
      </c>
      <c r="U3092" s="15" t="s">
        <v>8</v>
      </c>
      <c r="W3092" s="19" t="str">
        <f>HYPERLINK("http://yeinfo.com/family/I09066173.html", "WILLIAM VAUX II 1345 EN-1401 EN ID:09066323")</f>
        <v>WILLIAM VAUX II 1345 EN-1401 EN ID:09066323</v>
      </c>
      <c r="X3092" s="9"/>
      <c r="Y3092" s="9"/>
      <c r="Z3092" s="9"/>
      <c r="AA3092" s="9"/>
    </row>
    <row r="3093" spans="3:28" x14ac:dyDescent="0.35">
      <c r="C3093" s="15" t="s">
        <v>8</v>
      </c>
      <c r="D3093" s="15" t="s">
        <v>8</v>
      </c>
      <c r="E3093" s="15" t="s">
        <v>8</v>
      </c>
      <c r="F3093" s="15" t="s">
        <v>8</v>
      </c>
      <c r="H3093" s="15" t="s">
        <v>8</v>
      </c>
      <c r="I3093" s="15" t="s">
        <v>8</v>
      </c>
      <c r="J3093" s="15" t="s">
        <v>8</v>
      </c>
      <c r="M3093" s="15" t="s">
        <v>8</v>
      </c>
      <c r="N3093" s="15" t="s">
        <v>8</v>
      </c>
      <c r="O3093" s="15" t="s">
        <v>8</v>
      </c>
      <c r="P3093" s="15" t="s">
        <v>8</v>
      </c>
      <c r="Q3093" s="15" t="s">
        <v>8</v>
      </c>
      <c r="T3093" s="15" t="s">
        <v>8</v>
      </c>
      <c r="U3093" s="15" t="s">
        <v>8</v>
      </c>
      <c r="W3093" s="8" t="s">
        <v>3</v>
      </c>
      <c r="X3093" s="8" t="s">
        <v>6</v>
      </c>
    </row>
    <row r="3094" spans="3:28" x14ac:dyDescent="0.35">
      <c r="C3094" s="15" t="s">
        <v>8</v>
      </c>
      <c r="D3094" s="15" t="s">
        <v>8</v>
      </c>
      <c r="E3094" s="15" t="s">
        <v>8</v>
      </c>
      <c r="F3094" s="15" t="s">
        <v>8</v>
      </c>
      <c r="H3094" s="15" t="s">
        <v>8</v>
      </c>
      <c r="I3094" s="15" t="s">
        <v>8</v>
      </c>
      <c r="J3094" s="15" t="s">
        <v>8</v>
      </c>
      <c r="M3094" s="15" t="s">
        <v>8</v>
      </c>
      <c r="N3094" s="15" t="s">
        <v>8</v>
      </c>
      <c r="O3094" s="15" t="s">
        <v>8</v>
      </c>
      <c r="P3094" s="15" t="s">
        <v>8</v>
      </c>
      <c r="Q3094" s="15" t="s">
        <v>8</v>
      </c>
      <c r="T3094" s="15" t="s">
        <v>8</v>
      </c>
      <c r="U3094" s="15" t="s">
        <v>8</v>
      </c>
      <c r="W3094" s="15" t="s">
        <v>8</v>
      </c>
      <c r="X3094" s="20" t="str">
        <f>HYPERLINK("http://yeinfo.com/family/I09066496.html", "JOAN HARROWDEN 1325 EN-1345 EN ID:09066497")</f>
        <v>JOAN HARROWDEN 1325 EN-1345 EN ID:09066497</v>
      </c>
      <c r="Y3094" s="17"/>
      <c r="Z3094" s="17"/>
      <c r="AA3094" s="17"/>
      <c r="AB3094" s="17"/>
    </row>
    <row r="3095" spans="3:28" x14ac:dyDescent="0.35">
      <c r="C3095" s="15" t="s">
        <v>8</v>
      </c>
      <c r="D3095" s="15" t="s">
        <v>8</v>
      </c>
      <c r="E3095" s="15" t="s">
        <v>8</v>
      </c>
      <c r="F3095" s="15" t="s">
        <v>8</v>
      </c>
      <c r="H3095" s="15" t="s">
        <v>8</v>
      </c>
      <c r="I3095" s="15" t="s">
        <v>8</v>
      </c>
      <c r="J3095" s="15" t="s">
        <v>8</v>
      </c>
      <c r="M3095" s="15" t="s">
        <v>8</v>
      </c>
      <c r="N3095" s="15" t="s">
        <v>8</v>
      </c>
      <c r="O3095" s="15" t="s">
        <v>8</v>
      </c>
      <c r="P3095" s="15" t="s">
        <v>8</v>
      </c>
      <c r="Q3095" s="15" t="s">
        <v>8</v>
      </c>
      <c r="T3095" s="15" t="s">
        <v>8</v>
      </c>
      <c r="U3095" s="15" t="s">
        <v>8</v>
      </c>
      <c r="W3095" s="15" t="s">
        <v>8</v>
      </c>
    </row>
    <row r="3096" spans="3:28" x14ac:dyDescent="0.35">
      <c r="C3096" s="15" t="s">
        <v>8</v>
      </c>
      <c r="D3096" s="15" t="s">
        <v>8</v>
      </c>
      <c r="E3096" s="15" t="s">
        <v>8</v>
      </c>
      <c r="F3096" s="15" t="s">
        <v>8</v>
      </c>
      <c r="H3096" s="15" t="s">
        <v>8</v>
      </c>
      <c r="I3096" s="15" t="s">
        <v>8</v>
      </c>
      <c r="J3096" s="15" t="s">
        <v>8</v>
      </c>
      <c r="M3096" s="15" t="s">
        <v>8</v>
      </c>
      <c r="N3096" s="15" t="s">
        <v>8</v>
      </c>
      <c r="O3096" s="15" t="s">
        <v>8</v>
      </c>
      <c r="P3096" s="15" t="s">
        <v>8</v>
      </c>
      <c r="Q3096" s="15" t="s">
        <v>8</v>
      </c>
      <c r="T3096" s="15" t="s">
        <v>8</v>
      </c>
      <c r="U3096" s="15" t="s">
        <v>8</v>
      </c>
      <c r="V3096" s="19" t="str">
        <f>HYPERLINK("http://yeinfo.com/family/I09065986.html", "WILLIAM VAUX III 1379 EN-1405 EN ID:09066173")</f>
        <v>WILLIAM VAUX III 1379 EN-1405 EN ID:09066173</v>
      </c>
      <c r="W3096" s="9"/>
      <c r="X3096" s="9"/>
      <c r="Y3096" s="9"/>
      <c r="Z3096" s="9"/>
    </row>
    <row r="3097" spans="3:28" x14ac:dyDescent="0.35">
      <c r="C3097" s="15" t="s">
        <v>8</v>
      </c>
      <c r="D3097" s="15" t="s">
        <v>8</v>
      </c>
      <c r="E3097" s="15" t="s">
        <v>8</v>
      </c>
      <c r="F3097" s="15" t="s">
        <v>8</v>
      </c>
      <c r="H3097" s="15" t="s">
        <v>8</v>
      </c>
      <c r="I3097" s="15" t="s">
        <v>8</v>
      </c>
      <c r="J3097" s="15" t="s">
        <v>8</v>
      </c>
      <c r="M3097" s="15" t="s">
        <v>8</v>
      </c>
      <c r="N3097" s="15" t="s">
        <v>8</v>
      </c>
      <c r="O3097" s="15" t="s">
        <v>8</v>
      </c>
      <c r="P3097" s="15" t="s">
        <v>8</v>
      </c>
      <c r="Q3097" s="15" t="s">
        <v>8</v>
      </c>
      <c r="T3097" s="15" t="s">
        <v>8</v>
      </c>
      <c r="U3097" s="15" t="s">
        <v>8</v>
      </c>
      <c r="V3097" s="8" t="s">
        <v>3</v>
      </c>
      <c r="W3097" s="15" t="s">
        <v>8</v>
      </c>
    </row>
    <row r="3098" spans="3:28" x14ac:dyDescent="0.35">
      <c r="C3098" s="15" t="s">
        <v>8</v>
      </c>
      <c r="D3098" s="15" t="s">
        <v>8</v>
      </c>
      <c r="E3098" s="15" t="s">
        <v>8</v>
      </c>
      <c r="F3098" s="15" t="s">
        <v>8</v>
      </c>
      <c r="H3098" s="15" t="s">
        <v>8</v>
      </c>
      <c r="I3098" s="15" t="s">
        <v>8</v>
      </c>
      <c r="J3098" s="15" t="s">
        <v>8</v>
      </c>
      <c r="M3098" s="15" t="s">
        <v>8</v>
      </c>
      <c r="N3098" s="15" t="s">
        <v>8</v>
      </c>
      <c r="O3098" s="15" t="s">
        <v>8</v>
      </c>
      <c r="P3098" s="15" t="s">
        <v>8</v>
      </c>
      <c r="Q3098" s="15" t="s">
        <v>8</v>
      </c>
      <c r="T3098" s="15" t="s">
        <v>8</v>
      </c>
      <c r="U3098" s="15" t="s">
        <v>8</v>
      </c>
      <c r="V3098" s="15" t="s">
        <v>8</v>
      </c>
      <c r="W3098" s="15" t="s">
        <v>8</v>
      </c>
      <c r="X3098" s="19" t="str">
        <f>HYPERLINK("http://yeinfo.com/family/I09066324.html", "JOHN THIRNING 1318 EN-1353 EN ID:09066498")</f>
        <v>JOHN THIRNING 1318 EN-1353 EN ID:09066498</v>
      </c>
      <c r="Y3098" s="9"/>
      <c r="Z3098" s="9"/>
      <c r="AA3098" s="9"/>
      <c r="AB3098" s="9"/>
    </row>
    <row r="3099" spans="3:28" x14ac:dyDescent="0.35">
      <c r="C3099" s="15" t="s">
        <v>8</v>
      </c>
      <c r="D3099" s="15" t="s">
        <v>8</v>
      </c>
      <c r="E3099" s="15" t="s">
        <v>8</v>
      </c>
      <c r="F3099" s="15" t="s">
        <v>8</v>
      </c>
      <c r="H3099" s="15" t="s">
        <v>8</v>
      </c>
      <c r="I3099" s="15" t="s">
        <v>8</v>
      </c>
      <c r="J3099" s="15" t="s">
        <v>8</v>
      </c>
      <c r="M3099" s="15" t="s">
        <v>8</v>
      </c>
      <c r="N3099" s="15" t="s">
        <v>8</v>
      </c>
      <c r="O3099" s="15" t="s">
        <v>8</v>
      </c>
      <c r="P3099" s="15" t="s">
        <v>8</v>
      </c>
      <c r="Q3099" s="15" t="s">
        <v>8</v>
      </c>
      <c r="T3099" s="15" t="s">
        <v>8</v>
      </c>
      <c r="U3099" s="15" t="s">
        <v>8</v>
      </c>
      <c r="V3099" s="15" t="s">
        <v>8</v>
      </c>
      <c r="W3099" s="8" t="s">
        <v>6</v>
      </c>
      <c r="X3099" s="8" t="s">
        <v>3</v>
      </c>
    </row>
    <row r="3100" spans="3:28" x14ac:dyDescent="0.35">
      <c r="C3100" s="15" t="s">
        <v>8</v>
      </c>
      <c r="D3100" s="15" t="s">
        <v>8</v>
      </c>
      <c r="E3100" s="15" t="s">
        <v>8</v>
      </c>
      <c r="F3100" s="15" t="s">
        <v>8</v>
      </c>
      <c r="H3100" s="15" t="s">
        <v>8</v>
      </c>
      <c r="I3100" s="15" t="s">
        <v>8</v>
      </c>
      <c r="J3100" s="15" t="s">
        <v>8</v>
      </c>
      <c r="M3100" s="15" t="s">
        <v>8</v>
      </c>
      <c r="N3100" s="15" t="s">
        <v>8</v>
      </c>
      <c r="O3100" s="15" t="s">
        <v>8</v>
      </c>
      <c r="P3100" s="15" t="s">
        <v>8</v>
      </c>
      <c r="Q3100" s="15" t="s">
        <v>8</v>
      </c>
      <c r="T3100" s="15" t="s">
        <v>8</v>
      </c>
      <c r="U3100" s="15" t="s">
        <v>8</v>
      </c>
      <c r="V3100" s="15" t="s">
        <v>8</v>
      </c>
      <c r="W3100" s="20" t="str">
        <f>HYPERLINK("http://yeinfo.com/family/I09066497.html", "JOAN THIRNING 1353 EN-1438 EN ID:09066324")</f>
        <v>JOAN THIRNING 1353 EN-1438 EN ID:09066324</v>
      </c>
      <c r="X3100" s="17"/>
      <c r="Y3100" s="17"/>
      <c r="Z3100" s="17"/>
      <c r="AA3100" s="17"/>
    </row>
    <row r="3101" spans="3:28" x14ac:dyDescent="0.35">
      <c r="C3101" s="15" t="s">
        <v>8</v>
      </c>
      <c r="D3101" s="15" t="s">
        <v>8</v>
      </c>
      <c r="E3101" s="15" t="s">
        <v>8</v>
      </c>
      <c r="F3101" s="15" t="s">
        <v>8</v>
      </c>
      <c r="H3101" s="15" t="s">
        <v>8</v>
      </c>
      <c r="I3101" s="15" t="s">
        <v>8</v>
      </c>
      <c r="J3101" s="15" t="s">
        <v>8</v>
      </c>
      <c r="M3101" s="15" t="s">
        <v>8</v>
      </c>
      <c r="N3101" s="15" t="s">
        <v>8</v>
      </c>
      <c r="O3101" s="15" t="s">
        <v>8</v>
      </c>
      <c r="P3101" s="15" t="s">
        <v>8</v>
      </c>
      <c r="Q3101" s="15" t="s">
        <v>8</v>
      </c>
      <c r="T3101" s="15" t="s">
        <v>8</v>
      </c>
      <c r="U3101" s="15" t="s">
        <v>8</v>
      </c>
      <c r="V3101" s="15" t="s">
        <v>8</v>
      </c>
      <c r="X3101" s="8" t="s">
        <v>6</v>
      </c>
    </row>
    <row r="3102" spans="3:28" x14ac:dyDescent="0.35">
      <c r="C3102" s="15" t="s">
        <v>8</v>
      </c>
      <c r="D3102" s="15" t="s">
        <v>8</v>
      </c>
      <c r="E3102" s="15" t="s">
        <v>8</v>
      </c>
      <c r="F3102" s="15" t="s">
        <v>8</v>
      </c>
      <c r="H3102" s="15" t="s">
        <v>8</v>
      </c>
      <c r="I3102" s="15" t="s">
        <v>8</v>
      </c>
      <c r="J3102" s="15" t="s">
        <v>8</v>
      </c>
      <c r="M3102" s="15" t="s">
        <v>8</v>
      </c>
      <c r="N3102" s="15" t="s">
        <v>8</v>
      </c>
      <c r="O3102" s="15" t="s">
        <v>8</v>
      </c>
      <c r="P3102" s="15" t="s">
        <v>8</v>
      </c>
      <c r="Q3102" s="15" t="s">
        <v>8</v>
      </c>
      <c r="T3102" s="15" t="s">
        <v>8</v>
      </c>
      <c r="U3102" s="15" t="s">
        <v>8</v>
      </c>
      <c r="V3102" s="15" t="s">
        <v>8</v>
      </c>
      <c r="X3102" s="20" t="str">
        <f>HYPERLINK("http://yeinfo.com/family/I09066498.html", "Mrs. JOAN THIRNING 1322 EN-1353 EN ID:09066499")</f>
        <v>Mrs. JOAN THIRNING 1322 EN-1353 EN ID:09066499</v>
      </c>
      <c r="Y3102" s="17"/>
      <c r="Z3102" s="17"/>
      <c r="AA3102" s="17"/>
      <c r="AB3102" s="17"/>
    </row>
    <row r="3103" spans="3:28" x14ac:dyDescent="0.35">
      <c r="C3103" s="15" t="s">
        <v>8</v>
      </c>
      <c r="D3103" s="15" t="s">
        <v>8</v>
      </c>
      <c r="E3103" s="15" t="s">
        <v>8</v>
      </c>
      <c r="F3103" s="15" t="s">
        <v>8</v>
      </c>
      <c r="H3103" s="15" t="s">
        <v>8</v>
      </c>
      <c r="I3103" s="15" t="s">
        <v>8</v>
      </c>
      <c r="J3103" s="15" t="s">
        <v>8</v>
      </c>
      <c r="M3103" s="15" t="s">
        <v>8</v>
      </c>
      <c r="N3103" s="15" t="s">
        <v>8</v>
      </c>
      <c r="O3103" s="15" t="s">
        <v>8</v>
      </c>
      <c r="P3103" s="15" t="s">
        <v>8</v>
      </c>
      <c r="Q3103" s="15" t="s">
        <v>8</v>
      </c>
      <c r="T3103" s="15" t="s">
        <v>8</v>
      </c>
      <c r="U3103" s="8" t="s">
        <v>6</v>
      </c>
      <c r="V3103" s="15" t="s">
        <v>8</v>
      </c>
    </row>
    <row r="3104" spans="3:28" x14ac:dyDescent="0.35">
      <c r="C3104" s="15" t="s">
        <v>8</v>
      </c>
      <c r="D3104" s="15" t="s">
        <v>8</v>
      </c>
      <c r="E3104" s="15" t="s">
        <v>8</v>
      </c>
      <c r="F3104" s="15" t="s">
        <v>8</v>
      </c>
      <c r="H3104" s="15" t="s">
        <v>8</v>
      </c>
      <c r="I3104" s="15" t="s">
        <v>8</v>
      </c>
      <c r="J3104" s="15" t="s">
        <v>8</v>
      </c>
      <c r="M3104" s="15" t="s">
        <v>8</v>
      </c>
      <c r="N3104" s="15" t="s">
        <v>8</v>
      </c>
      <c r="O3104" s="15" t="s">
        <v>8</v>
      </c>
      <c r="P3104" s="15" t="s">
        <v>8</v>
      </c>
      <c r="Q3104" s="15" t="s">
        <v>8</v>
      </c>
      <c r="T3104" s="15" t="s">
        <v>8</v>
      </c>
      <c r="U3104" s="20" t="str">
        <f>HYPERLINK("http://yeinfo.com/family/I09066172.html", "ELEANOR VAUX 1405 EN-1478 EN ID:09065986")</f>
        <v>ELEANOR VAUX 1405 EN-1478 EN ID:09065986</v>
      </c>
      <c r="V3104" s="17"/>
      <c r="W3104" s="17"/>
      <c r="X3104" s="17"/>
      <c r="Y3104" s="17"/>
    </row>
    <row r="3105" spans="3:30" x14ac:dyDescent="0.35">
      <c r="C3105" s="15" t="s">
        <v>8</v>
      </c>
      <c r="D3105" s="15" t="s">
        <v>8</v>
      </c>
      <c r="E3105" s="15" t="s">
        <v>8</v>
      </c>
      <c r="F3105" s="15" t="s">
        <v>8</v>
      </c>
      <c r="H3105" s="15" t="s">
        <v>8</v>
      </c>
      <c r="I3105" s="15" t="s">
        <v>8</v>
      </c>
      <c r="J3105" s="15" t="s">
        <v>8</v>
      </c>
      <c r="M3105" s="15" t="s">
        <v>8</v>
      </c>
      <c r="N3105" s="15" t="s">
        <v>8</v>
      </c>
      <c r="O3105" s="15" t="s">
        <v>8</v>
      </c>
      <c r="P3105" s="15" t="s">
        <v>8</v>
      </c>
      <c r="Q3105" s="15" t="s">
        <v>8</v>
      </c>
      <c r="T3105" s="15" t="s">
        <v>8</v>
      </c>
      <c r="V3105" s="15" t="s">
        <v>8</v>
      </c>
    </row>
    <row r="3106" spans="3:30" x14ac:dyDescent="0.35">
      <c r="C3106" s="15" t="s">
        <v>8</v>
      </c>
      <c r="D3106" s="15" t="s">
        <v>8</v>
      </c>
      <c r="E3106" s="15" t="s">
        <v>8</v>
      </c>
      <c r="F3106" s="15" t="s">
        <v>8</v>
      </c>
      <c r="H3106" s="15" t="s">
        <v>8</v>
      </c>
      <c r="I3106" s="15" t="s">
        <v>8</v>
      </c>
      <c r="J3106" s="15" t="s">
        <v>8</v>
      </c>
      <c r="M3106" s="15" t="s">
        <v>8</v>
      </c>
      <c r="N3106" s="15" t="s">
        <v>8</v>
      </c>
      <c r="O3106" s="15" t="s">
        <v>8</v>
      </c>
      <c r="P3106" s="15" t="s">
        <v>8</v>
      </c>
      <c r="Q3106" s="15" t="s">
        <v>8</v>
      </c>
      <c r="T3106" s="15" t="s">
        <v>8</v>
      </c>
      <c r="V3106" s="15" t="s">
        <v>8</v>
      </c>
      <c r="X3106" s="19" t="str">
        <f>HYPERLINK("http://yeinfo.com/family/I09066325.html", "THOMAS DRAKELOWE 1320 EN-1369 EN ID:09066500")</f>
        <v>THOMAS DRAKELOWE 1320 EN-1369 EN ID:09066500</v>
      </c>
      <c r="Y3106" s="9"/>
      <c r="Z3106" s="9"/>
      <c r="AA3106" s="9"/>
      <c r="AB3106" s="9"/>
    </row>
    <row r="3107" spans="3:30" x14ac:dyDescent="0.35">
      <c r="C3107" s="15" t="s">
        <v>8</v>
      </c>
      <c r="D3107" s="15" t="s">
        <v>8</v>
      </c>
      <c r="E3107" s="15" t="s">
        <v>8</v>
      </c>
      <c r="F3107" s="15" t="s">
        <v>8</v>
      </c>
      <c r="H3107" s="15" t="s">
        <v>8</v>
      </c>
      <c r="I3107" s="15" t="s">
        <v>8</v>
      </c>
      <c r="J3107" s="15" t="s">
        <v>8</v>
      </c>
      <c r="M3107" s="15" t="s">
        <v>8</v>
      </c>
      <c r="N3107" s="15" t="s">
        <v>8</v>
      </c>
      <c r="O3107" s="15" t="s">
        <v>8</v>
      </c>
      <c r="P3107" s="15" t="s">
        <v>8</v>
      </c>
      <c r="Q3107" s="15" t="s">
        <v>8</v>
      </c>
      <c r="T3107" s="15" t="s">
        <v>8</v>
      </c>
      <c r="V3107" s="15" t="s">
        <v>8</v>
      </c>
      <c r="X3107" s="8" t="s">
        <v>3</v>
      </c>
    </row>
    <row r="3108" spans="3:30" x14ac:dyDescent="0.35">
      <c r="C3108" s="15" t="s">
        <v>8</v>
      </c>
      <c r="D3108" s="15" t="s">
        <v>8</v>
      </c>
      <c r="E3108" s="15" t="s">
        <v>8</v>
      </c>
      <c r="F3108" s="15" t="s">
        <v>8</v>
      </c>
      <c r="H3108" s="15" t="s">
        <v>8</v>
      </c>
      <c r="I3108" s="15" t="s">
        <v>8</v>
      </c>
      <c r="J3108" s="15" t="s">
        <v>8</v>
      </c>
      <c r="M3108" s="15" t="s">
        <v>8</v>
      </c>
      <c r="N3108" s="15" t="s">
        <v>8</v>
      </c>
      <c r="O3108" s="15" t="s">
        <v>8</v>
      </c>
      <c r="P3108" s="15" t="s">
        <v>8</v>
      </c>
      <c r="Q3108" s="15" t="s">
        <v>8</v>
      </c>
      <c r="T3108" s="15" t="s">
        <v>8</v>
      </c>
      <c r="V3108" s="15" t="s">
        <v>8</v>
      </c>
      <c r="W3108" s="19" t="str">
        <f>HYPERLINK("http://yeinfo.com/family/I09066174.html", "THOMAS DRAKELOWE 1351 EN-1378 EN ID:09066325")</f>
        <v>THOMAS DRAKELOWE 1351 EN-1378 EN ID:09066325</v>
      </c>
      <c r="X3108" s="9"/>
      <c r="Y3108" s="9"/>
      <c r="Z3108" s="9"/>
      <c r="AA3108" s="9"/>
    </row>
    <row r="3109" spans="3:30" x14ac:dyDescent="0.35">
      <c r="C3109" s="15" t="s">
        <v>8</v>
      </c>
      <c r="D3109" s="15" t="s">
        <v>8</v>
      </c>
      <c r="E3109" s="15" t="s">
        <v>8</v>
      </c>
      <c r="F3109" s="15" t="s">
        <v>8</v>
      </c>
      <c r="H3109" s="15" t="s">
        <v>8</v>
      </c>
      <c r="I3109" s="15" t="s">
        <v>8</v>
      </c>
      <c r="J3109" s="15" t="s">
        <v>8</v>
      </c>
      <c r="M3109" s="15" t="s">
        <v>8</v>
      </c>
      <c r="N3109" s="15" t="s">
        <v>8</v>
      </c>
      <c r="O3109" s="15" t="s">
        <v>8</v>
      </c>
      <c r="P3109" s="15" t="s">
        <v>8</v>
      </c>
      <c r="Q3109" s="15" t="s">
        <v>8</v>
      </c>
      <c r="T3109" s="15" t="s">
        <v>8</v>
      </c>
      <c r="V3109" s="15" t="s">
        <v>8</v>
      </c>
      <c r="W3109" s="8" t="s">
        <v>3</v>
      </c>
      <c r="X3109" s="15" t="s">
        <v>8</v>
      </c>
    </row>
    <row r="3110" spans="3:30" x14ac:dyDescent="0.35">
      <c r="C3110" s="15" t="s">
        <v>8</v>
      </c>
      <c r="D3110" s="15" t="s">
        <v>8</v>
      </c>
      <c r="E3110" s="15" t="s">
        <v>8</v>
      </c>
      <c r="F3110" s="15" t="s">
        <v>8</v>
      </c>
      <c r="H3110" s="15" t="s">
        <v>8</v>
      </c>
      <c r="I3110" s="15" t="s">
        <v>8</v>
      </c>
      <c r="J3110" s="15" t="s">
        <v>8</v>
      </c>
      <c r="M3110" s="15" t="s">
        <v>8</v>
      </c>
      <c r="N3110" s="15" t="s">
        <v>8</v>
      </c>
      <c r="O3110" s="15" t="s">
        <v>8</v>
      </c>
      <c r="P3110" s="15" t="s">
        <v>8</v>
      </c>
      <c r="Q3110" s="15" t="s">
        <v>8</v>
      </c>
      <c r="T3110" s="15" t="s">
        <v>8</v>
      </c>
      <c r="V3110" s="15" t="s">
        <v>8</v>
      </c>
      <c r="W3110" s="15" t="s">
        <v>8</v>
      </c>
      <c r="X3110" s="15" t="s">
        <v>8</v>
      </c>
      <c r="Z3110" s="19" t="str">
        <f>HYPERLINK("http://yeinfo.com/family/I09066552.html", "JOHN WYLEBY 1257 EN-1327 EN ID:09066604")</f>
        <v>JOHN WYLEBY 1257 EN-1327 EN ID:09066604</v>
      </c>
      <c r="AA3110" s="9"/>
      <c r="AB3110" s="9"/>
      <c r="AC3110" s="9"/>
      <c r="AD3110" s="9"/>
    </row>
    <row r="3111" spans="3:30" x14ac:dyDescent="0.35">
      <c r="C3111" s="15" t="s">
        <v>8</v>
      </c>
      <c r="D3111" s="15" t="s">
        <v>8</v>
      </c>
      <c r="E3111" s="15" t="s">
        <v>8</v>
      </c>
      <c r="F3111" s="15" t="s">
        <v>8</v>
      </c>
      <c r="H3111" s="15" t="s">
        <v>8</v>
      </c>
      <c r="I3111" s="15" t="s">
        <v>8</v>
      </c>
      <c r="J3111" s="15" t="s">
        <v>8</v>
      </c>
      <c r="M3111" s="15" t="s">
        <v>8</v>
      </c>
      <c r="N3111" s="15" t="s">
        <v>8</v>
      </c>
      <c r="O3111" s="15" t="s">
        <v>8</v>
      </c>
      <c r="P3111" s="15" t="s">
        <v>8</v>
      </c>
      <c r="Q3111" s="15" t="s">
        <v>8</v>
      </c>
      <c r="T3111" s="15" t="s">
        <v>8</v>
      </c>
      <c r="V3111" s="15" t="s">
        <v>8</v>
      </c>
      <c r="W3111" s="15" t="s">
        <v>8</v>
      </c>
      <c r="X3111" s="15" t="s">
        <v>8</v>
      </c>
      <c r="Z3111" s="8" t="s">
        <v>3</v>
      </c>
    </row>
    <row r="3112" spans="3:30" x14ac:dyDescent="0.35">
      <c r="C3112" s="15" t="s">
        <v>8</v>
      </c>
      <c r="D3112" s="15" t="s">
        <v>8</v>
      </c>
      <c r="E3112" s="15" t="s">
        <v>8</v>
      </c>
      <c r="F3112" s="15" t="s">
        <v>8</v>
      </c>
      <c r="H3112" s="15" t="s">
        <v>8</v>
      </c>
      <c r="I3112" s="15" t="s">
        <v>8</v>
      </c>
      <c r="J3112" s="15" t="s">
        <v>8</v>
      </c>
      <c r="M3112" s="15" t="s">
        <v>8</v>
      </c>
      <c r="N3112" s="15" t="s">
        <v>8</v>
      </c>
      <c r="O3112" s="15" t="s">
        <v>8</v>
      </c>
      <c r="P3112" s="15" t="s">
        <v>8</v>
      </c>
      <c r="Q3112" s="15" t="s">
        <v>8</v>
      </c>
      <c r="T3112" s="15" t="s">
        <v>8</v>
      </c>
      <c r="V3112" s="15" t="s">
        <v>8</v>
      </c>
      <c r="W3112" s="15" t="s">
        <v>8</v>
      </c>
      <c r="X3112" s="15" t="s">
        <v>8</v>
      </c>
      <c r="Y3112" s="19" t="str">
        <f>HYPERLINK("http://yeinfo.com/family/I09066501.html", "ROBERT WYLEBY 1295 EN-1323 EN ID:09066552")</f>
        <v>ROBERT WYLEBY 1295 EN-1323 EN ID:09066552</v>
      </c>
      <c r="Z3112" s="9"/>
      <c r="AA3112" s="9"/>
      <c r="AB3112" s="9"/>
      <c r="AC3112" s="9"/>
    </row>
    <row r="3113" spans="3:30" x14ac:dyDescent="0.35">
      <c r="C3113" s="15" t="s">
        <v>8</v>
      </c>
      <c r="D3113" s="15" t="s">
        <v>8</v>
      </c>
      <c r="E3113" s="15" t="s">
        <v>8</v>
      </c>
      <c r="F3113" s="15" t="s">
        <v>8</v>
      </c>
      <c r="H3113" s="15" t="s">
        <v>8</v>
      </c>
      <c r="I3113" s="15" t="s">
        <v>8</v>
      </c>
      <c r="J3113" s="15" t="s">
        <v>8</v>
      </c>
      <c r="M3113" s="15" t="s">
        <v>8</v>
      </c>
      <c r="N3113" s="15" t="s">
        <v>8</v>
      </c>
      <c r="O3113" s="15" t="s">
        <v>8</v>
      </c>
      <c r="P3113" s="15" t="s">
        <v>8</v>
      </c>
      <c r="Q3113" s="15" t="s">
        <v>8</v>
      </c>
      <c r="T3113" s="15" t="s">
        <v>8</v>
      </c>
      <c r="V3113" s="15" t="s">
        <v>8</v>
      </c>
      <c r="W3113" s="15" t="s">
        <v>8</v>
      </c>
      <c r="X3113" s="15" t="s">
        <v>8</v>
      </c>
      <c r="Y3113" s="8" t="s">
        <v>3</v>
      </c>
      <c r="Z3113" s="8" t="s">
        <v>6</v>
      </c>
    </row>
    <row r="3114" spans="3:30" x14ac:dyDescent="0.35">
      <c r="C3114" s="15" t="s">
        <v>8</v>
      </c>
      <c r="D3114" s="15" t="s">
        <v>8</v>
      </c>
      <c r="E3114" s="15" t="s">
        <v>8</v>
      </c>
      <c r="F3114" s="15" t="s">
        <v>8</v>
      </c>
      <c r="H3114" s="15" t="s">
        <v>8</v>
      </c>
      <c r="I3114" s="15" t="s">
        <v>8</v>
      </c>
      <c r="J3114" s="15" t="s">
        <v>8</v>
      </c>
      <c r="M3114" s="15" t="s">
        <v>8</v>
      </c>
      <c r="N3114" s="15" t="s">
        <v>8</v>
      </c>
      <c r="O3114" s="15" t="s">
        <v>8</v>
      </c>
      <c r="P3114" s="15" t="s">
        <v>8</v>
      </c>
      <c r="Q3114" s="15" t="s">
        <v>8</v>
      </c>
      <c r="T3114" s="15" t="s">
        <v>8</v>
      </c>
      <c r="V3114" s="15" t="s">
        <v>8</v>
      </c>
      <c r="W3114" s="15" t="s">
        <v>8</v>
      </c>
      <c r="X3114" s="15" t="s">
        <v>8</v>
      </c>
      <c r="Y3114" s="15" t="s">
        <v>8</v>
      </c>
      <c r="Z3114" s="20" t="str">
        <f>HYPERLINK("http://yeinfo.com/family/I09066604.html", "Mrs. JOAN WYLEBY 1279 EN-1299 EN ID:09066605")</f>
        <v>Mrs. JOAN WYLEBY 1279 EN-1299 EN ID:09066605</v>
      </c>
      <c r="AA3114" s="17"/>
      <c r="AB3114" s="17"/>
      <c r="AC3114" s="17"/>
      <c r="AD3114" s="17"/>
    </row>
    <row r="3115" spans="3:30" x14ac:dyDescent="0.35">
      <c r="C3115" s="15" t="s">
        <v>8</v>
      </c>
      <c r="D3115" s="15" t="s">
        <v>8</v>
      </c>
      <c r="E3115" s="15" t="s">
        <v>8</v>
      </c>
      <c r="F3115" s="15" t="s">
        <v>8</v>
      </c>
      <c r="H3115" s="15" t="s">
        <v>8</v>
      </c>
      <c r="I3115" s="15" t="s">
        <v>8</v>
      </c>
      <c r="J3115" s="15" t="s">
        <v>8</v>
      </c>
      <c r="M3115" s="15" t="s">
        <v>8</v>
      </c>
      <c r="N3115" s="15" t="s">
        <v>8</v>
      </c>
      <c r="O3115" s="15" t="s">
        <v>8</v>
      </c>
      <c r="P3115" s="15" t="s">
        <v>8</v>
      </c>
      <c r="Q3115" s="15" t="s">
        <v>8</v>
      </c>
      <c r="T3115" s="15" t="s">
        <v>8</v>
      </c>
      <c r="V3115" s="15" t="s">
        <v>8</v>
      </c>
      <c r="W3115" s="15" t="s">
        <v>8</v>
      </c>
      <c r="X3115" s="8" t="s">
        <v>6</v>
      </c>
      <c r="Y3115" s="15" t="s">
        <v>8</v>
      </c>
    </row>
    <row r="3116" spans="3:30" x14ac:dyDescent="0.35">
      <c r="C3116" s="15" t="s">
        <v>8</v>
      </c>
      <c r="D3116" s="15" t="s">
        <v>8</v>
      </c>
      <c r="E3116" s="15" t="s">
        <v>8</v>
      </c>
      <c r="F3116" s="15" t="s">
        <v>8</v>
      </c>
      <c r="H3116" s="15" t="s">
        <v>8</v>
      </c>
      <c r="I3116" s="15" t="s">
        <v>8</v>
      </c>
      <c r="J3116" s="15" t="s">
        <v>8</v>
      </c>
      <c r="M3116" s="15" t="s">
        <v>8</v>
      </c>
      <c r="N3116" s="15" t="s">
        <v>8</v>
      </c>
      <c r="O3116" s="15" t="s">
        <v>8</v>
      </c>
      <c r="P3116" s="15" t="s">
        <v>8</v>
      </c>
      <c r="Q3116" s="15" t="s">
        <v>8</v>
      </c>
      <c r="T3116" s="15" t="s">
        <v>8</v>
      </c>
      <c r="V3116" s="15" t="s">
        <v>8</v>
      </c>
      <c r="W3116" s="15" t="s">
        <v>8</v>
      </c>
      <c r="X3116" s="20" t="str">
        <f>HYPERLINK("http://yeinfo.com/family/I09066500.html", "ALICE\ALIX WYLEBY 1323 EN-1351 EN ID:09066501")</f>
        <v>ALICE\ALIX WYLEBY 1323 EN-1351 EN ID:09066501</v>
      </c>
      <c r="Y3116" s="17"/>
      <c r="Z3116" s="17"/>
      <c r="AA3116" s="17"/>
      <c r="AB3116" s="17"/>
      <c r="AC3116" s="17"/>
    </row>
    <row r="3117" spans="3:30" x14ac:dyDescent="0.35">
      <c r="C3117" s="15" t="s">
        <v>8</v>
      </c>
      <c r="D3117" s="15" t="s">
        <v>8</v>
      </c>
      <c r="E3117" s="15" t="s">
        <v>8</v>
      </c>
      <c r="F3117" s="15" t="s">
        <v>8</v>
      </c>
      <c r="H3117" s="15" t="s">
        <v>8</v>
      </c>
      <c r="I3117" s="15" t="s">
        <v>8</v>
      </c>
      <c r="J3117" s="15" t="s">
        <v>8</v>
      </c>
      <c r="M3117" s="15" t="s">
        <v>8</v>
      </c>
      <c r="N3117" s="15" t="s">
        <v>8</v>
      </c>
      <c r="O3117" s="15" t="s">
        <v>8</v>
      </c>
      <c r="P3117" s="15" t="s">
        <v>8</v>
      </c>
      <c r="Q3117" s="15" t="s">
        <v>8</v>
      </c>
      <c r="T3117" s="15" t="s">
        <v>8</v>
      </c>
      <c r="V3117" s="15" t="s">
        <v>8</v>
      </c>
      <c r="W3117" s="15" t="s">
        <v>8</v>
      </c>
      <c r="Y3117" s="8" t="s">
        <v>6</v>
      </c>
    </row>
    <row r="3118" spans="3:30" x14ac:dyDescent="0.35">
      <c r="C3118" s="15" t="s">
        <v>8</v>
      </c>
      <c r="D3118" s="15" t="s">
        <v>8</v>
      </c>
      <c r="E3118" s="15" t="s">
        <v>8</v>
      </c>
      <c r="F3118" s="15" t="s">
        <v>8</v>
      </c>
      <c r="H3118" s="15" t="s">
        <v>8</v>
      </c>
      <c r="I3118" s="15" t="s">
        <v>8</v>
      </c>
      <c r="J3118" s="15" t="s">
        <v>8</v>
      </c>
      <c r="M3118" s="15" t="s">
        <v>8</v>
      </c>
      <c r="N3118" s="15" t="s">
        <v>8</v>
      </c>
      <c r="O3118" s="15" t="s">
        <v>8</v>
      </c>
      <c r="P3118" s="15" t="s">
        <v>8</v>
      </c>
      <c r="Q3118" s="15" t="s">
        <v>8</v>
      </c>
      <c r="T3118" s="15" t="s">
        <v>8</v>
      </c>
      <c r="V3118" s="15" t="s">
        <v>8</v>
      </c>
      <c r="W3118" s="15" t="s">
        <v>8</v>
      </c>
      <c r="Y3118" s="20" t="str">
        <f>HYPERLINK("http://yeinfo.com/family/I09066605.html", "Mrs. EMMA WYLEBY 1298 EN-1388 EN ID:09066553")</f>
        <v>Mrs. EMMA WYLEBY 1298 EN-1388 EN ID:09066553</v>
      </c>
      <c r="Z3118" s="17"/>
      <c r="AA3118" s="17"/>
      <c r="AB3118" s="17"/>
      <c r="AC3118" s="17"/>
    </row>
    <row r="3119" spans="3:30" x14ac:dyDescent="0.35">
      <c r="C3119" s="15" t="s">
        <v>8</v>
      </c>
      <c r="D3119" s="15" t="s">
        <v>8</v>
      </c>
      <c r="E3119" s="15" t="s">
        <v>8</v>
      </c>
      <c r="F3119" s="15" t="s">
        <v>8</v>
      </c>
      <c r="H3119" s="15" t="s">
        <v>8</v>
      </c>
      <c r="I3119" s="15" t="s">
        <v>8</v>
      </c>
      <c r="J3119" s="15" t="s">
        <v>8</v>
      </c>
      <c r="M3119" s="15" t="s">
        <v>8</v>
      </c>
      <c r="N3119" s="15" t="s">
        <v>8</v>
      </c>
      <c r="O3119" s="15" t="s">
        <v>8</v>
      </c>
      <c r="P3119" s="15" t="s">
        <v>8</v>
      </c>
      <c r="Q3119" s="15" t="s">
        <v>8</v>
      </c>
      <c r="T3119" s="15" t="s">
        <v>8</v>
      </c>
      <c r="V3119" s="8" t="s">
        <v>6</v>
      </c>
      <c r="W3119" s="15" t="s">
        <v>8</v>
      </c>
    </row>
    <row r="3120" spans="3:30" x14ac:dyDescent="0.35">
      <c r="C3120" s="15" t="s">
        <v>8</v>
      </c>
      <c r="D3120" s="15" t="s">
        <v>8</v>
      </c>
      <c r="E3120" s="15" t="s">
        <v>8</v>
      </c>
      <c r="F3120" s="15" t="s">
        <v>8</v>
      </c>
      <c r="H3120" s="15" t="s">
        <v>8</v>
      </c>
      <c r="I3120" s="15" t="s">
        <v>8</v>
      </c>
      <c r="J3120" s="15" t="s">
        <v>8</v>
      </c>
      <c r="M3120" s="15" t="s">
        <v>8</v>
      </c>
      <c r="N3120" s="15" t="s">
        <v>8</v>
      </c>
      <c r="O3120" s="15" t="s">
        <v>8</v>
      </c>
      <c r="P3120" s="15" t="s">
        <v>8</v>
      </c>
      <c r="Q3120" s="15" t="s">
        <v>8</v>
      </c>
      <c r="T3120" s="15" t="s">
        <v>8</v>
      </c>
      <c r="V3120" s="20" t="str">
        <f>HYPERLINK("http://yeinfo.com/family/I09066499.html", "ELEANOR DRAKELOWE 1374 EN-1454 EN ID:09066174")</f>
        <v>ELEANOR DRAKELOWE 1374 EN-1454 EN ID:09066174</v>
      </c>
      <c r="W3120" s="17"/>
      <c r="X3120" s="17"/>
      <c r="Y3120" s="17"/>
      <c r="Z3120" s="17"/>
    </row>
    <row r="3121" spans="3:28" x14ac:dyDescent="0.35">
      <c r="C3121" s="15" t="s">
        <v>8</v>
      </c>
      <c r="D3121" s="15" t="s">
        <v>8</v>
      </c>
      <c r="E3121" s="15" t="s">
        <v>8</v>
      </c>
      <c r="F3121" s="15" t="s">
        <v>8</v>
      </c>
      <c r="H3121" s="15" t="s">
        <v>8</v>
      </c>
      <c r="I3121" s="15" t="s">
        <v>8</v>
      </c>
      <c r="J3121" s="15" t="s">
        <v>8</v>
      </c>
      <c r="M3121" s="15" t="s">
        <v>8</v>
      </c>
      <c r="N3121" s="15" t="s">
        <v>8</v>
      </c>
      <c r="O3121" s="15" t="s">
        <v>8</v>
      </c>
      <c r="P3121" s="15" t="s">
        <v>8</v>
      </c>
      <c r="Q3121" s="15" t="s">
        <v>8</v>
      </c>
      <c r="T3121" s="15" t="s">
        <v>8</v>
      </c>
      <c r="W3121" s="15" t="s">
        <v>8</v>
      </c>
    </row>
    <row r="3122" spans="3:28" x14ac:dyDescent="0.35">
      <c r="C3122" s="15" t="s">
        <v>8</v>
      </c>
      <c r="D3122" s="15" t="s">
        <v>8</v>
      </c>
      <c r="E3122" s="15" t="s">
        <v>8</v>
      </c>
      <c r="F3122" s="15" t="s">
        <v>8</v>
      </c>
      <c r="H3122" s="15" t="s">
        <v>8</v>
      </c>
      <c r="I3122" s="15" t="s">
        <v>8</v>
      </c>
      <c r="J3122" s="15" t="s">
        <v>8</v>
      </c>
      <c r="M3122" s="15" t="s">
        <v>8</v>
      </c>
      <c r="N3122" s="15" t="s">
        <v>8</v>
      </c>
      <c r="O3122" s="15" t="s">
        <v>8</v>
      </c>
      <c r="P3122" s="15" t="s">
        <v>8</v>
      </c>
      <c r="Q3122" s="15" t="s">
        <v>8</v>
      </c>
      <c r="T3122" s="15" t="s">
        <v>8</v>
      </c>
      <c r="W3122" s="15" t="s">
        <v>8</v>
      </c>
      <c r="X3122" s="19" t="str">
        <f>HYPERLINK("http://yeinfo.com/family/I09066326.html", "PETER SALFORD 1313 EN-1375 EN ID:09066502")</f>
        <v>PETER SALFORD 1313 EN-1375 EN ID:09066502</v>
      </c>
      <c r="Y3122" s="9"/>
      <c r="Z3122" s="9"/>
      <c r="AA3122" s="9"/>
      <c r="AB3122" s="9"/>
    </row>
    <row r="3123" spans="3:28" x14ac:dyDescent="0.35">
      <c r="C3123" s="15" t="s">
        <v>8</v>
      </c>
      <c r="D3123" s="15" t="s">
        <v>8</v>
      </c>
      <c r="E3123" s="15" t="s">
        <v>8</v>
      </c>
      <c r="F3123" s="15" t="s">
        <v>8</v>
      </c>
      <c r="H3123" s="15" t="s">
        <v>8</v>
      </c>
      <c r="I3123" s="15" t="s">
        <v>8</v>
      </c>
      <c r="J3123" s="15" t="s">
        <v>8</v>
      </c>
      <c r="M3123" s="15" t="s">
        <v>8</v>
      </c>
      <c r="N3123" s="15" t="s">
        <v>8</v>
      </c>
      <c r="O3123" s="15" t="s">
        <v>8</v>
      </c>
      <c r="P3123" s="15" t="s">
        <v>8</v>
      </c>
      <c r="Q3123" s="15" t="s">
        <v>8</v>
      </c>
      <c r="T3123" s="15" t="s">
        <v>8</v>
      </c>
      <c r="W3123" s="8" t="s">
        <v>6</v>
      </c>
      <c r="X3123" s="8" t="s">
        <v>3</v>
      </c>
    </row>
    <row r="3124" spans="3:28" x14ac:dyDescent="0.35">
      <c r="C3124" s="15" t="s">
        <v>8</v>
      </c>
      <c r="D3124" s="15" t="s">
        <v>8</v>
      </c>
      <c r="E3124" s="15" t="s">
        <v>8</v>
      </c>
      <c r="F3124" s="15" t="s">
        <v>8</v>
      </c>
      <c r="H3124" s="15" t="s">
        <v>8</v>
      </c>
      <c r="I3124" s="15" t="s">
        <v>8</v>
      </c>
      <c r="J3124" s="15" t="s">
        <v>8</v>
      </c>
      <c r="M3124" s="15" t="s">
        <v>8</v>
      </c>
      <c r="N3124" s="15" t="s">
        <v>8</v>
      </c>
      <c r="O3124" s="15" t="s">
        <v>8</v>
      </c>
      <c r="P3124" s="15" t="s">
        <v>8</v>
      </c>
      <c r="Q3124" s="15" t="s">
        <v>8</v>
      </c>
      <c r="T3124" s="15" t="s">
        <v>8</v>
      </c>
      <c r="W3124" s="20" t="str">
        <f>HYPERLINK("http://yeinfo.com/family/I09066553.html", "ANKARET SALFORD 1356 EN-1380 EN ID:09066326")</f>
        <v>ANKARET SALFORD 1356 EN-1380 EN ID:09066326</v>
      </c>
      <c r="X3124" s="17"/>
      <c r="Y3124" s="17"/>
      <c r="Z3124" s="17"/>
      <c r="AA3124" s="17"/>
    </row>
    <row r="3125" spans="3:28" x14ac:dyDescent="0.35">
      <c r="C3125" s="15" t="s">
        <v>8</v>
      </c>
      <c r="D3125" s="15" t="s">
        <v>8</v>
      </c>
      <c r="E3125" s="15" t="s">
        <v>8</v>
      </c>
      <c r="F3125" s="15" t="s">
        <v>8</v>
      </c>
      <c r="H3125" s="15" t="s">
        <v>8</v>
      </c>
      <c r="I3125" s="15" t="s">
        <v>8</v>
      </c>
      <c r="J3125" s="15" t="s">
        <v>8</v>
      </c>
      <c r="M3125" s="15" t="s">
        <v>8</v>
      </c>
      <c r="N3125" s="15" t="s">
        <v>8</v>
      </c>
      <c r="O3125" s="15" t="s">
        <v>8</v>
      </c>
      <c r="P3125" s="15" t="s">
        <v>8</v>
      </c>
      <c r="Q3125" s="15" t="s">
        <v>8</v>
      </c>
      <c r="T3125" s="15" t="s">
        <v>8</v>
      </c>
      <c r="X3125" s="8" t="s">
        <v>6</v>
      </c>
    </row>
    <row r="3126" spans="3:28" x14ac:dyDescent="0.35">
      <c r="C3126" s="15" t="s">
        <v>8</v>
      </c>
      <c r="D3126" s="15" t="s">
        <v>8</v>
      </c>
      <c r="E3126" s="15" t="s">
        <v>8</v>
      </c>
      <c r="F3126" s="15" t="s">
        <v>8</v>
      </c>
      <c r="H3126" s="15" t="s">
        <v>8</v>
      </c>
      <c r="I3126" s="15" t="s">
        <v>8</v>
      </c>
      <c r="J3126" s="15" t="s">
        <v>8</v>
      </c>
      <c r="M3126" s="15" t="s">
        <v>8</v>
      </c>
      <c r="N3126" s="15" t="s">
        <v>8</v>
      </c>
      <c r="O3126" s="15" t="s">
        <v>8</v>
      </c>
      <c r="P3126" s="15" t="s">
        <v>8</v>
      </c>
      <c r="Q3126" s="15" t="s">
        <v>8</v>
      </c>
      <c r="T3126" s="15" t="s">
        <v>8</v>
      </c>
      <c r="X3126" s="20" t="str">
        <f>HYPERLINK("http://yeinfo.com/family/I09066502.html", "Mrs. JOAN SALFORD 1320 EN-1356 EN ID:09066503")</f>
        <v>Mrs. JOAN SALFORD 1320 EN-1356 EN ID:09066503</v>
      </c>
      <c r="Y3126" s="17"/>
      <c r="Z3126" s="17"/>
      <c r="AA3126" s="17"/>
      <c r="AB3126" s="17"/>
    </row>
    <row r="3127" spans="3:28" x14ac:dyDescent="0.35">
      <c r="C3127" s="15" t="s">
        <v>8</v>
      </c>
      <c r="D3127" s="15" t="s">
        <v>8</v>
      </c>
      <c r="E3127" s="15" t="s">
        <v>8</v>
      </c>
      <c r="F3127" s="15" t="s">
        <v>8</v>
      </c>
      <c r="H3127" s="15" t="s">
        <v>8</v>
      </c>
      <c r="I3127" s="15" t="s">
        <v>8</v>
      </c>
      <c r="J3127" s="15" t="s">
        <v>8</v>
      </c>
      <c r="M3127" s="15" t="s">
        <v>8</v>
      </c>
      <c r="N3127" s="15" t="s">
        <v>8</v>
      </c>
      <c r="O3127" s="15" t="s">
        <v>8</v>
      </c>
      <c r="P3127" s="15" t="s">
        <v>8</v>
      </c>
      <c r="Q3127" s="15" t="s">
        <v>8</v>
      </c>
      <c r="T3127" s="15" t="s">
        <v>8</v>
      </c>
    </row>
    <row r="3128" spans="3:28" x14ac:dyDescent="0.35">
      <c r="C3128" s="15" t="s">
        <v>8</v>
      </c>
      <c r="D3128" s="15" t="s">
        <v>8</v>
      </c>
      <c r="E3128" s="15" t="s">
        <v>8</v>
      </c>
      <c r="F3128" s="15" t="s">
        <v>8</v>
      </c>
      <c r="H3128" s="15" t="s">
        <v>8</v>
      </c>
      <c r="I3128" s="15" t="s">
        <v>8</v>
      </c>
      <c r="J3128" s="15" t="s">
        <v>8</v>
      </c>
      <c r="M3128" s="15" t="s">
        <v>8</v>
      </c>
      <c r="N3128" s="15" t="s">
        <v>8</v>
      </c>
      <c r="O3128" s="15" t="s">
        <v>8</v>
      </c>
      <c r="P3128" s="15" t="s">
        <v>8</v>
      </c>
      <c r="Q3128" s="15" t="s">
        <v>8</v>
      </c>
      <c r="S3128" s="19" t="str">
        <f>HYPERLINK("http://yeinfo.com/family/I09065559.html", "ROGER GIFFARD 1463 EN-1542 EN ID:09065692")</f>
        <v>ROGER GIFFARD 1463 EN-1542 EN ID:09065692</v>
      </c>
      <c r="T3128" s="9"/>
      <c r="U3128" s="9"/>
      <c r="V3128" s="9"/>
      <c r="W3128" s="9"/>
    </row>
    <row r="3129" spans="3:28" x14ac:dyDescent="0.35">
      <c r="C3129" s="15" t="s">
        <v>8</v>
      </c>
      <c r="D3129" s="15" t="s">
        <v>8</v>
      </c>
      <c r="E3129" s="15" t="s">
        <v>8</v>
      </c>
      <c r="F3129" s="15" t="s">
        <v>8</v>
      </c>
      <c r="H3129" s="15" t="s">
        <v>8</v>
      </c>
      <c r="I3129" s="15" t="s">
        <v>8</v>
      </c>
      <c r="J3129" s="15" t="s">
        <v>8</v>
      </c>
      <c r="M3129" s="15" t="s">
        <v>8</v>
      </c>
      <c r="N3129" s="15" t="s">
        <v>8</v>
      </c>
      <c r="O3129" s="15" t="s">
        <v>8</v>
      </c>
      <c r="P3129" s="15" t="s">
        <v>8</v>
      </c>
      <c r="Q3129" s="15" t="s">
        <v>8</v>
      </c>
      <c r="S3129" s="8" t="s">
        <v>3</v>
      </c>
      <c r="T3129" s="15" t="s">
        <v>8</v>
      </c>
    </row>
    <row r="3130" spans="3:28" x14ac:dyDescent="0.35">
      <c r="C3130" s="15" t="s">
        <v>8</v>
      </c>
      <c r="D3130" s="15" t="s">
        <v>8</v>
      </c>
      <c r="E3130" s="15" t="s">
        <v>8</v>
      </c>
      <c r="F3130" s="15" t="s">
        <v>8</v>
      </c>
      <c r="H3130" s="15" t="s">
        <v>8</v>
      </c>
      <c r="I3130" s="15" t="s">
        <v>8</v>
      </c>
      <c r="J3130" s="15" t="s">
        <v>8</v>
      </c>
      <c r="M3130" s="15" t="s">
        <v>8</v>
      </c>
      <c r="N3130" s="15" t="s">
        <v>8</v>
      </c>
      <c r="O3130" s="15" t="s">
        <v>8</v>
      </c>
      <c r="P3130" s="15" t="s">
        <v>8</v>
      </c>
      <c r="Q3130" s="15" t="s">
        <v>8</v>
      </c>
      <c r="S3130" s="15" t="s">
        <v>8</v>
      </c>
      <c r="T3130" s="15" t="s">
        <v>8</v>
      </c>
      <c r="W3130" s="19" t="str">
        <f>HYPERLINK("http://yeinfo.com/family/I09066175.html", "JOHN WINSLOW 1333 EN-1372 EN ID:09066327")</f>
        <v>JOHN WINSLOW 1333 EN-1372 EN ID:09066327</v>
      </c>
      <c r="X3130" s="9"/>
      <c r="Y3130" s="9"/>
      <c r="Z3130" s="9"/>
      <c r="AA3130" s="9"/>
    </row>
    <row r="3131" spans="3:28" x14ac:dyDescent="0.35">
      <c r="C3131" s="15" t="s">
        <v>8</v>
      </c>
      <c r="D3131" s="15" t="s">
        <v>8</v>
      </c>
      <c r="E3131" s="15" t="s">
        <v>8</v>
      </c>
      <c r="F3131" s="15" t="s">
        <v>8</v>
      </c>
      <c r="H3131" s="15" t="s">
        <v>8</v>
      </c>
      <c r="I3131" s="15" t="s">
        <v>8</v>
      </c>
      <c r="J3131" s="15" t="s">
        <v>8</v>
      </c>
      <c r="M3131" s="15" t="s">
        <v>8</v>
      </c>
      <c r="N3131" s="15" t="s">
        <v>8</v>
      </c>
      <c r="O3131" s="15" t="s">
        <v>8</v>
      </c>
      <c r="P3131" s="15" t="s">
        <v>8</v>
      </c>
      <c r="Q3131" s="15" t="s">
        <v>8</v>
      </c>
      <c r="S3131" s="15" t="s">
        <v>8</v>
      </c>
      <c r="T3131" s="15" t="s">
        <v>8</v>
      </c>
      <c r="W3131" s="8" t="s">
        <v>3</v>
      </c>
    </row>
    <row r="3132" spans="3:28" x14ac:dyDescent="0.35">
      <c r="C3132" s="15" t="s">
        <v>8</v>
      </c>
      <c r="D3132" s="15" t="s">
        <v>8</v>
      </c>
      <c r="E3132" s="15" t="s">
        <v>8</v>
      </c>
      <c r="F3132" s="15" t="s">
        <v>8</v>
      </c>
      <c r="H3132" s="15" t="s">
        <v>8</v>
      </c>
      <c r="I3132" s="15" t="s">
        <v>8</v>
      </c>
      <c r="J3132" s="15" t="s">
        <v>8</v>
      </c>
      <c r="M3132" s="15" t="s">
        <v>8</v>
      </c>
      <c r="N3132" s="15" t="s">
        <v>8</v>
      </c>
      <c r="O3132" s="15" t="s">
        <v>8</v>
      </c>
      <c r="P3132" s="15" t="s">
        <v>8</v>
      </c>
      <c r="Q3132" s="15" t="s">
        <v>8</v>
      </c>
      <c r="S3132" s="15" t="s">
        <v>8</v>
      </c>
      <c r="T3132" s="15" t="s">
        <v>8</v>
      </c>
      <c r="V3132" s="19" t="str">
        <f>HYPERLINK("http://yeinfo.com/family/I09065987.html", "WILLIAM WINSLOW 1372 EN-1426  ID:09066175")</f>
        <v>WILLIAM WINSLOW 1372 EN-1426  ID:09066175</v>
      </c>
      <c r="W3132" s="9"/>
      <c r="X3132" s="9"/>
      <c r="Y3132" s="9"/>
      <c r="Z3132" s="9"/>
    </row>
    <row r="3133" spans="3:28" x14ac:dyDescent="0.35">
      <c r="C3133" s="15" t="s">
        <v>8</v>
      </c>
      <c r="D3133" s="15" t="s">
        <v>8</v>
      </c>
      <c r="E3133" s="15" t="s">
        <v>8</v>
      </c>
      <c r="F3133" s="15" t="s">
        <v>8</v>
      </c>
      <c r="H3133" s="15" t="s">
        <v>8</v>
      </c>
      <c r="I3133" s="15" t="s">
        <v>8</v>
      </c>
      <c r="J3133" s="15" t="s">
        <v>8</v>
      </c>
      <c r="M3133" s="15" t="s">
        <v>8</v>
      </c>
      <c r="N3133" s="15" t="s">
        <v>8</v>
      </c>
      <c r="O3133" s="15" t="s">
        <v>8</v>
      </c>
      <c r="P3133" s="15" t="s">
        <v>8</v>
      </c>
      <c r="Q3133" s="15" t="s">
        <v>8</v>
      </c>
      <c r="S3133" s="15" t="s">
        <v>8</v>
      </c>
      <c r="T3133" s="15" t="s">
        <v>8</v>
      </c>
      <c r="V3133" s="8" t="s">
        <v>3</v>
      </c>
      <c r="W3133" s="8" t="s">
        <v>6</v>
      </c>
    </row>
    <row r="3134" spans="3:28" x14ac:dyDescent="0.35">
      <c r="C3134" s="15" t="s">
        <v>8</v>
      </c>
      <c r="D3134" s="15" t="s">
        <v>8</v>
      </c>
      <c r="E3134" s="15" t="s">
        <v>8</v>
      </c>
      <c r="F3134" s="15" t="s">
        <v>8</v>
      </c>
      <c r="H3134" s="15" t="s">
        <v>8</v>
      </c>
      <c r="I3134" s="15" t="s">
        <v>8</v>
      </c>
      <c r="J3134" s="15" t="s">
        <v>8</v>
      </c>
      <c r="M3134" s="15" t="s">
        <v>8</v>
      </c>
      <c r="N3134" s="15" t="s">
        <v>8</v>
      </c>
      <c r="O3134" s="15" t="s">
        <v>8</v>
      </c>
      <c r="P3134" s="15" t="s">
        <v>8</v>
      </c>
      <c r="Q3134" s="15" t="s">
        <v>8</v>
      </c>
      <c r="S3134" s="15" t="s">
        <v>8</v>
      </c>
      <c r="T3134" s="15" t="s">
        <v>8</v>
      </c>
      <c r="V3134" s="15" t="s">
        <v>8</v>
      </c>
      <c r="W3134" s="20" t="str">
        <f>HYPERLINK("http://yeinfo.com/family/I09066327.html", "MARY\MARIOTA CROUCHMAN 1357 EN-1404 EN ID:09066328")</f>
        <v>MARY\MARIOTA CROUCHMAN 1357 EN-1404 EN ID:09066328</v>
      </c>
      <c r="X3134" s="17"/>
      <c r="Y3134" s="17"/>
      <c r="Z3134" s="17"/>
      <c r="AA3134" s="17"/>
      <c r="AB3134" s="17"/>
    </row>
    <row r="3135" spans="3:28" x14ac:dyDescent="0.35">
      <c r="C3135" s="15" t="s">
        <v>8</v>
      </c>
      <c r="D3135" s="15" t="s">
        <v>8</v>
      </c>
      <c r="E3135" s="15" t="s">
        <v>8</v>
      </c>
      <c r="F3135" s="15" t="s">
        <v>8</v>
      </c>
      <c r="H3135" s="15" t="s">
        <v>8</v>
      </c>
      <c r="I3135" s="15" t="s">
        <v>8</v>
      </c>
      <c r="J3135" s="15" t="s">
        <v>8</v>
      </c>
      <c r="M3135" s="15" t="s">
        <v>8</v>
      </c>
      <c r="N3135" s="15" t="s">
        <v>8</v>
      </c>
      <c r="O3135" s="15" t="s">
        <v>8</v>
      </c>
      <c r="P3135" s="15" t="s">
        <v>8</v>
      </c>
      <c r="Q3135" s="15" t="s">
        <v>8</v>
      </c>
      <c r="S3135" s="15" t="s">
        <v>8</v>
      </c>
      <c r="T3135" s="15" t="s">
        <v>8</v>
      </c>
      <c r="V3135" s="15" t="s">
        <v>8</v>
      </c>
    </row>
    <row r="3136" spans="3:28" x14ac:dyDescent="0.35">
      <c r="C3136" s="15" t="s">
        <v>8</v>
      </c>
      <c r="D3136" s="15" t="s">
        <v>8</v>
      </c>
      <c r="E3136" s="15" t="s">
        <v>8</v>
      </c>
      <c r="F3136" s="15" t="s">
        <v>8</v>
      </c>
      <c r="H3136" s="15" t="s">
        <v>8</v>
      </c>
      <c r="I3136" s="15" t="s">
        <v>8</v>
      </c>
      <c r="J3136" s="15" t="s">
        <v>8</v>
      </c>
      <c r="M3136" s="15" t="s">
        <v>8</v>
      </c>
      <c r="N3136" s="15" t="s">
        <v>8</v>
      </c>
      <c r="O3136" s="15" t="s">
        <v>8</v>
      </c>
      <c r="P3136" s="15" t="s">
        <v>8</v>
      </c>
      <c r="Q3136" s="15" t="s">
        <v>8</v>
      </c>
      <c r="S3136" s="15" t="s">
        <v>8</v>
      </c>
      <c r="T3136" s="15" t="s">
        <v>8</v>
      </c>
      <c r="U3136" s="19" t="str">
        <f>HYPERLINK("http://yeinfo.com/family/I09065824.html", "THOMAS WILLIAM WINSLOW 1416 EN-1463  ID:09065987")</f>
        <v>THOMAS WILLIAM WINSLOW 1416 EN-1463  ID:09065987</v>
      </c>
      <c r="V3136" s="9"/>
      <c r="W3136" s="9"/>
      <c r="X3136" s="9"/>
      <c r="Y3136" s="9"/>
    </row>
    <row r="3137" spans="3:27" x14ac:dyDescent="0.35">
      <c r="C3137" s="15" t="s">
        <v>8</v>
      </c>
      <c r="D3137" s="15" t="s">
        <v>8</v>
      </c>
      <c r="E3137" s="15" t="s">
        <v>8</v>
      </c>
      <c r="F3137" s="15" t="s">
        <v>8</v>
      </c>
      <c r="H3137" s="15" t="s">
        <v>8</v>
      </c>
      <c r="I3137" s="15" t="s">
        <v>8</v>
      </c>
      <c r="J3137" s="15" t="s">
        <v>8</v>
      </c>
      <c r="M3137" s="15" t="s">
        <v>8</v>
      </c>
      <c r="N3137" s="15" t="s">
        <v>8</v>
      </c>
      <c r="O3137" s="15" t="s">
        <v>8</v>
      </c>
      <c r="P3137" s="15" t="s">
        <v>8</v>
      </c>
      <c r="Q3137" s="15" t="s">
        <v>8</v>
      </c>
      <c r="S3137" s="15" t="s">
        <v>8</v>
      </c>
      <c r="T3137" s="15" t="s">
        <v>8</v>
      </c>
      <c r="U3137" s="8" t="s">
        <v>3</v>
      </c>
      <c r="V3137" s="15" t="s">
        <v>8</v>
      </c>
    </row>
    <row r="3138" spans="3:27" x14ac:dyDescent="0.35">
      <c r="C3138" s="15" t="s">
        <v>8</v>
      </c>
      <c r="D3138" s="15" t="s">
        <v>8</v>
      </c>
      <c r="E3138" s="15" t="s">
        <v>8</v>
      </c>
      <c r="F3138" s="15" t="s">
        <v>8</v>
      </c>
      <c r="H3138" s="15" t="s">
        <v>8</v>
      </c>
      <c r="I3138" s="15" t="s">
        <v>8</v>
      </c>
      <c r="J3138" s="15" t="s">
        <v>8</v>
      </c>
      <c r="M3138" s="15" t="s">
        <v>8</v>
      </c>
      <c r="N3138" s="15" t="s">
        <v>8</v>
      </c>
      <c r="O3138" s="15" t="s">
        <v>8</v>
      </c>
      <c r="P3138" s="15" t="s">
        <v>8</v>
      </c>
      <c r="Q3138" s="15" t="s">
        <v>8</v>
      </c>
      <c r="S3138" s="15" t="s">
        <v>8</v>
      </c>
      <c r="T3138" s="15" t="s">
        <v>8</v>
      </c>
      <c r="U3138" s="15" t="s">
        <v>8</v>
      </c>
      <c r="V3138" s="15" t="s">
        <v>8</v>
      </c>
      <c r="W3138" s="19" t="str">
        <f>HYPERLINK("http://yeinfo.com/family/I09066176.html", "THOMAS POORE 1346 EN-1379 EN ID:09066329")</f>
        <v>THOMAS POORE 1346 EN-1379 EN ID:09066329</v>
      </c>
      <c r="X3138" s="9"/>
      <c r="Y3138" s="9"/>
      <c r="Z3138" s="9"/>
      <c r="AA3138" s="9"/>
    </row>
    <row r="3139" spans="3:27" x14ac:dyDescent="0.35">
      <c r="C3139" s="15" t="s">
        <v>8</v>
      </c>
      <c r="D3139" s="15" t="s">
        <v>8</v>
      </c>
      <c r="E3139" s="15" t="s">
        <v>8</v>
      </c>
      <c r="F3139" s="15" t="s">
        <v>8</v>
      </c>
      <c r="H3139" s="15" t="s">
        <v>8</v>
      </c>
      <c r="I3139" s="15" t="s">
        <v>8</v>
      </c>
      <c r="J3139" s="15" t="s">
        <v>8</v>
      </c>
      <c r="M3139" s="15" t="s">
        <v>8</v>
      </c>
      <c r="N3139" s="15" t="s">
        <v>8</v>
      </c>
      <c r="O3139" s="15" t="s">
        <v>8</v>
      </c>
      <c r="P3139" s="15" t="s">
        <v>8</v>
      </c>
      <c r="Q3139" s="15" t="s">
        <v>8</v>
      </c>
      <c r="S3139" s="15" t="s">
        <v>8</v>
      </c>
      <c r="T3139" s="15" t="s">
        <v>8</v>
      </c>
      <c r="U3139" s="15" t="s">
        <v>8</v>
      </c>
      <c r="V3139" s="8" t="s">
        <v>6</v>
      </c>
      <c r="W3139" s="8" t="s">
        <v>3</v>
      </c>
    </row>
    <row r="3140" spans="3:27" x14ac:dyDescent="0.35">
      <c r="C3140" s="15" t="s">
        <v>8</v>
      </c>
      <c r="D3140" s="15" t="s">
        <v>8</v>
      </c>
      <c r="E3140" s="15" t="s">
        <v>8</v>
      </c>
      <c r="F3140" s="15" t="s">
        <v>8</v>
      </c>
      <c r="H3140" s="15" t="s">
        <v>8</v>
      </c>
      <c r="I3140" s="15" t="s">
        <v>8</v>
      </c>
      <c r="J3140" s="15" t="s">
        <v>8</v>
      </c>
      <c r="M3140" s="15" t="s">
        <v>8</v>
      </c>
      <c r="N3140" s="15" t="s">
        <v>8</v>
      </c>
      <c r="O3140" s="15" t="s">
        <v>8</v>
      </c>
      <c r="P3140" s="15" t="s">
        <v>8</v>
      </c>
      <c r="Q3140" s="15" t="s">
        <v>8</v>
      </c>
      <c r="S3140" s="15" t="s">
        <v>8</v>
      </c>
      <c r="T3140" s="15" t="s">
        <v>8</v>
      </c>
      <c r="U3140" s="15" t="s">
        <v>8</v>
      </c>
      <c r="V3140" s="20" t="str">
        <f>HYPERLINK("http://yeinfo.com/family/I09066328.html", "AGNES POORE 1379 EN-1448  ID:09066176")</f>
        <v>AGNES POORE 1379 EN-1448  ID:09066176</v>
      </c>
      <c r="W3140" s="17"/>
      <c r="X3140" s="17"/>
      <c r="Y3140" s="17"/>
      <c r="Z3140" s="17"/>
    </row>
    <row r="3141" spans="3:27" x14ac:dyDescent="0.35">
      <c r="C3141" s="15" t="s">
        <v>8</v>
      </c>
      <c r="D3141" s="15" t="s">
        <v>8</v>
      </c>
      <c r="E3141" s="15" t="s">
        <v>8</v>
      </c>
      <c r="F3141" s="15" t="s">
        <v>8</v>
      </c>
      <c r="H3141" s="15" t="s">
        <v>8</v>
      </c>
      <c r="I3141" s="15" t="s">
        <v>8</v>
      </c>
      <c r="J3141" s="15" t="s">
        <v>8</v>
      </c>
      <c r="M3141" s="15" t="s">
        <v>8</v>
      </c>
      <c r="N3141" s="15" t="s">
        <v>8</v>
      </c>
      <c r="O3141" s="15" t="s">
        <v>8</v>
      </c>
      <c r="P3141" s="15" t="s">
        <v>8</v>
      </c>
      <c r="Q3141" s="15" t="s">
        <v>8</v>
      </c>
      <c r="S3141" s="15" t="s">
        <v>8</v>
      </c>
      <c r="T3141" s="15" t="s">
        <v>8</v>
      </c>
      <c r="U3141" s="15" t="s">
        <v>8</v>
      </c>
      <c r="W3141" s="8" t="s">
        <v>6</v>
      </c>
    </row>
    <row r="3142" spans="3:27" x14ac:dyDescent="0.35">
      <c r="C3142" s="15" t="s">
        <v>8</v>
      </c>
      <c r="D3142" s="15" t="s">
        <v>8</v>
      </c>
      <c r="E3142" s="15" t="s">
        <v>8</v>
      </c>
      <c r="F3142" s="15" t="s">
        <v>8</v>
      </c>
      <c r="H3142" s="15" t="s">
        <v>8</v>
      </c>
      <c r="I3142" s="15" t="s">
        <v>8</v>
      </c>
      <c r="J3142" s="15" t="s">
        <v>8</v>
      </c>
      <c r="M3142" s="15" t="s">
        <v>8</v>
      </c>
      <c r="N3142" s="15" t="s">
        <v>8</v>
      </c>
      <c r="O3142" s="15" t="s">
        <v>8</v>
      </c>
      <c r="P3142" s="15" t="s">
        <v>8</v>
      </c>
      <c r="Q3142" s="15" t="s">
        <v>8</v>
      </c>
      <c r="S3142" s="15" t="s">
        <v>8</v>
      </c>
      <c r="T3142" s="15" t="s">
        <v>8</v>
      </c>
      <c r="U3142" s="15" t="s">
        <v>8</v>
      </c>
      <c r="W3142" s="20" t="str">
        <f>HYPERLINK("http://yeinfo.com/family/I09066329.html", "JOAN BURTON 1350 EN-1379 EN ID:09066330")</f>
        <v>JOAN BURTON 1350 EN-1379 EN ID:09066330</v>
      </c>
      <c r="X3142" s="17"/>
      <c r="Y3142" s="17"/>
      <c r="Z3142" s="17"/>
      <c r="AA3142" s="17"/>
    </row>
    <row r="3143" spans="3:27" x14ac:dyDescent="0.35">
      <c r="C3143" s="15" t="s">
        <v>8</v>
      </c>
      <c r="D3143" s="15" t="s">
        <v>8</v>
      </c>
      <c r="E3143" s="15" t="s">
        <v>8</v>
      </c>
      <c r="F3143" s="15" t="s">
        <v>8</v>
      </c>
      <c r="H3143" s="15" t="s">
        <v>8</v>
      </c>
      <c r="I3143" s="15" t="s">
        <v>8</v>
      </c>
      <c r="J3143" s="15" t="s">
        <v>8</v>
      </c>
      <c r="M3143" s="15" t="s">
        <v>8</v>
      </c>
      <c r="N3143" s="15" t="s">
        <v>8</v>
      </c>
      <c r="O3143" s="15" t="s">
        <v>8</v>
      </c>
      <c r="P3143" s="15" t="s">
        <v>8</v>
      </c>
      <c r="Q3143" s="15" t="s">
        <v>8</v>
      </c>
      <c r="S3143" s="15" t="s">
        <v>8</v>
      </c>
      <c r="T3143" s="8" t="s">
        <v>6</v>
      </c>
      <c r="U3143" s="15" t="s">
        <v>8</v>
      </c>
    </row>
    <row r="3144" spans="3:27" x14ac:dyDescent="0.35">
      <c r="C3144" s="15" t="s">
        <v>8</v>
      </c>
      <c r="D3144" s="15" t="s">
        <v>8</v>
      </c>
      <c r="E3144" s="15" t="s">
        <v>8</v>
      </c>
      <c r="F3144" s="15" t="s">
        <v>8</v>
      </c>
      <c r="H3144" s="15" t="s">
        <v>8</v>
      </c>
      <c r="I3144" s="15" t="s">
        <v>8</v>
      </c>
      <c r="J3144" s="15" t="s">
        <v>8</v>
      </c>
      <c r="M3144" s="15" t="s">
        <v>8</v>
      </c>
      <c r="N3144" s="15" t="s">
        <v>8</v>
      </c>
      <c r="O3144" s="15" t="s">
        <v>8</v>
      </c>
      <c r="P3144" s="15" t="s">
        <v>8</v>
      </c>
      <c r="Q3144" s="15" t="s">
        <v>8</v>
      </c>
      <c r="S3144" s="15" t="s">
        <v>8</v>
      </c>
      <c r="T3144" s="20" t="str">
        <f>HYPERLINK("http://yeinfo.com/family/I09066503.html", "AGNES WINSLOW 1439 EN-1506 EN ID:09065824")</f>
        <v>AGNES WINSLOW 1439 EN-1506 EN ID:09065824</v>
      </c>
      <c r="U3144" s="17"/>
      <c r="V3144" s="17"/>
      <c r="W3144" s="17"/>
      <c r="X3144" s="17"/>
    </row>
    <row r="3145" spans="3:27" x14ac:dyDescent="0.35">
      <c r="C3145" s="15" t="s">
        <v>8</v>
      </c>
      <c r="D3145" s="15" t="s">
        <v>8</v>
      </c>
      <c r="E3145" s="15" t="s">
        <v>8</v>
      </c>
      <c r="F3145" s="15" t="s">
        <v>8</v>
      </c>
      <c r="H3145" s="15" t="s">
        <v>8</v>
      </c>
      <c r="I3145" s="15" t="s">
        <v>8</v>
      </c>
      <c r="J3145" s="15" t="s">
        <v>8</v>
      </c>
      <c r="M3145" s="15" t="s">
        <v>8</v>
      </c>
      <c r="N3145" s="15" t="s">
        <v>8</v>
      </c>
      <c r="O3145" s="15" t="s">
        <v>8</v>
      </c>
      <c r="P3145" s="15" t="s">
        <v>8</v>
      </c>
      <c r="Q3145" s="15" t="s">
        <v>8</v>
      </c>
      <c r="S3145" s="15" t="s">
        <v>8</v>
      </c>
      <c r="U3145" s="15" t="s">
        <v>8</v>
      </c>
    </row>
    <row r="3146" spans="3:27" x14ac:dyDescent="0.35">
      <c r="C3146" s="15" t="s">
        <v>8</v>
      </c>
      <c r="D3146" s="15" t="s">
        <v>8</v>
      </c>
      <c r="E3146" s="15" t="s">
        <v>8</v>
      </c>
      <c r="F3146" s="15" t="s">
        <v>8</v>
      </c>
      <c r="H3146" s="15" t="s">
        <v>8</v>
      </c>
      <c r="I3146" s="15" t="s">
        <v>8</v>
      </c>
      <c r="J3146" s="15" t="s">
        <v>8</v>
      </c>
      <c r="M3146" s="15" t="s">
        <v>8</v>
      </c>
      <c r="N3146" s="15" t="s">
        <v>8</v>
      </c>
      <c r="O3146" s="15" t="s">
        <v>8</v>
      </c>
      <c r="P3146" s="15" t="s">
        <v>8</v>
      </c>
      <c r="Q3146" s="15" t="s">
        <v>8</v>
      </c>
      <c r="S3146" s="15" t="s">
        <v>8</v>
      </c>
      <c r="U3146" s="15" t="s">
        <v>8</v>
      </c>
      <c r="V3146" s="19" t="str">
        <f>HYPERLINK("http://yeinfo.com/family/I09065988.html", "JOHN THROCKMORTON 1382 EN-1420 EN ID:09066177")</f>
        <v>JOHN THROCKMORTON 1382 EN-1420 EN ID:09066177</v>
      </c>
      <c r="W3146" s="9"/>
      <c r="X3146" s="9"/>
      <c r="Y3146" s="9"/>
      <c r="Z3146" s="9"/>
    </row>
    <row r="3147" spans="3:27" x14ac:dyDescent="0.35">
      <c r="C3147" s="15" t="s">
        <v>8</v>
      </c>
      <c r="D3147" s="15" t="s">
        <v>8</v>
      </c>
      <c r="E3147" s="15" t="s">
        <v>8</v>
      </c>
      <c r="F3147" s="15" t="s">
        <v>8</v>
      </c>
      <c r="H3147" s="15" t="s">
        <v>8</v>
      </c>
      <c r="I3147" s="15" t="s">
        <v>8</v>
      </c>
      <c r="J3147" s="15" t="s">
        <v>8</v>
      </c>
      <c r="M3147" s="15" t="s">
        <v>8</v>
      </c>
      <c r="N3147" s="15" t="s">
        <v>8</v>
      </c>
      <c r="O3147" s="15" t="s">
        <v>8</v>
      </c>
      <c r="P3147" s="15" t="s">
        <v>8</v>
      </c>
      <c r="Q3147" s="15" t="s">
        <v>8</v>
      </c>
      <c r="S3147" s="15" t="s">
        <v>8</v>
      </c>
      <c r="U3147" s="8" t="s">
        <v>6</v>
      </c>
      <c r="V3147" s="8" t="s">
        <v>3</v>
      </c>
    </row>
    <row r="3148" spans="3:27" x14ac:dyDescent="0.35">
      <c r="C3148" s="15" t="s">
        <v>8</v>
      </c>
      <c r="D3148" s="15" t="s">
        <v>8</v>
      </c>
      <c r="E3148" s="15" t="s">
        <v>8</v>
      </c>
      <c r="F3148" s="15" t="s">
        <v>8</v>
      </c>
      <c r="H3148" s="15" t="s">
        <v>8</v>
      </c>
      <c r="I3148" s="15" t="s">
        <v>8</v>
      </c>
      <c r="J3148" s="15" t="s">
        <v>8</v>
      </c>
      <c r="M3148" s="15" t="s">
        <v>8</v>
      </c>
      <c r="N3148" s="15" t="s">
        <v>8</v>
      </c>
      <c r="O3148" s="15" t="s">
        <v>8</v>
      </c>
      <c r="P3148" s="15" t="s">
        <v>8</v>
      </c>
      <c r="Q3148" s="15" t="s">
        <v>8</v>
      </c>
      <c r="S3148" s="15" t="s">
        <v>8</v>
      </c>
      <c r="U3148" s="20" t="str">
        <f>HYPERLINK("http://yeinfo.com/family/I09066330.html", "AGNES THROCKMORTON 1420 EN-1463 EN ID:09065988")</f>
        <v>AGNES THROCKMORTON 1420 EN-1463 EN ID:09065988</v>
      </c>
      <c r="V3148" s="17"/>
      <c r="W3148" s="17"/>
      <c r="X3148" s="17"/>
      <c r="Y3148" s="17"/>
    </row>
    <row r="3149" spans="3:27" x14ac:dyDescent="0.35">
      <c r="C3149" s="15" t="s">
        <v>8</v>
      </c>
      <c r="D3149" s="15" t="s">
        <v>8</v>
      </c>
      <c r="E3149" s="15" t="s">
        <v>8</v>
      </c>
      <c r="F3149" s="15" t="s">
        <v>8</v>
      </c>
      <c r="H3149" s="15" t="s">
        <v>8</v>
      </c>
      <c r="I3149" s="15" t="s">
        <v>8</v>
      </c>
      <c r="J3149" s="15" t="s">
        <v>8</v>
      </c>
      <c r="M3149" s="15" t="s">
        <v>8</v>
      </c>
      <c r="N3149" s="15" t="s">
        <v>8</v>
      </c>
      <c r="O3149" s="15" t="s">
        <v>8</v>
      </c>
      <c r="P3149" s="15" t="s">
        <v>8</v>
      </c>
      <c r="Q3149" s="15" t="s">
        <v>8</v>
      </c>
      <c r="S3149" s="15" t="s">
        <v>8</v>
      </c>
      <c r="V3149" s="8" t="s">
        <v>6</v>
      </c>
    </row>
    <row r="3150" spans="3:27" x14ac:dyDescent="0.35">
      <c r="C3150" s="15" t="s">
        <v>8</v>
      </c>
      <c r="D3150" s="15" t="s">
        <v>8</v>
      </c>
      <c r="E3150" s="15" t="s">
        <v>8</v>
      </c>
      <c r="F3150" s="15" t="s">
        <v>8</v>
      </c>
      <c r="H3150" s="15" t="s">
        <v>8</v>
      </c>
      <c r="I3150" s="15" t="s">
        <v>8</v>
      </c>
      <c r="J3150" s="15" t="s">
        <v>8</v>
      </c>
      <c r="M3150" s="15" t="s">
        <v>8</v>
      </c>
      <c r="N3150" s="15" t="s">
        <v>8</v>
      </c>
      <c r="O3150" s="15" t="s">
        <v>8</v>
      </c>
      <c r="P3150" s="15" t="s">
        <v>8</v>
      </c>
      <c r="Q3150" s="15" t="s">
        <v>8</v>
      </c>
      <c r="S3150" s="15" t="s">
        <v>8</v>
      </c>
      <c r="V3150" s="20" t="str">
        <f>HYPERLINK("http://yeinfo.com/family/I09066177.html", "ELEANOR BELERS SPINE 1380 EN-1467 EN ID:09066178")</f>
        <v>ELEANOR BELERS SPINE 1380 EN-1467 EN ID:09066178</v>
      </c>
      <c r="W3150" s="17"/>
      <c r="X3150" s="17"/>
      <c r="Y3150" s="17"/>
      <c r="Z3150" s="17"/>
    </row>
    <row r="3151" spans="3:27" x14ac:dyDescent="0.35">
      <c r="C3151" s="15" t="s">
        <v>8</v>
      </c>
      <c r="D3151" s="15" t="s">
        <v>8</v>
      </c>
      <c r="E3151" s="15" t="s">
        <v>8</v>
      </c>
      <c r="F3151" s="15" t="s">
        <v>8</v>
      </c>
      <c r="H3151" s="15" t="s">
        <v>8</v>
      </c>
      <c r="I3151" s="15" t="s">
        <v>8</v>
      </c>
      <c r="J3151" s="15" t="s">
        <v>8</v>
      </c>
      <c r="M3151" s="15" t="s">
        <v>8</v>
      </c>
      <c r="N3151" s="15" t="s">
        <v>8</v>
      </c>
      <c r="O3151" s="15" t="s">
        <v>8</v>
      </c>
      <c r="P3151" s="15" t="s">
        <v>8</v>
      </c>
      <c r="Q3151" s="15" t="s">
        <v>8</v>
      </c>
      <c r="S3151" s="15" t="s">
        <v>8</v>
      </c>
    </row>
    <row r="3152" spans="3:27" x14ac:dyDescent="0.35">
      <c r="C3152" s="15" t="s">
        <v>8</v>
      </c>
      <c r="D3152" s="15" t="s">
        <v>8</v>
      </c>
      <c r="E3152" s="15" t="s">
        <v>8</v>
      </c>
      <c r="F3152" s="15" t="s">
        <v>8</v>
      </c>
      <c r="H3152" s="15" t="s">
        <v>8</v>
      </c>
      <c r="I3152" s="15" t="s">
        <v>8</v>
      </c>
      <c r="J3152" s="15" t="s">
        <v>8</v>
      </c>
      <c r="M3152" s="15" t="s">
        <v>8</v>
      </c>
      <c r="N3152" s="15" t="s">
        <v>8</v>
      </c>
      <c r="O3152" s="15" t="s">
        <v>8</v>
      </c>
      <c r="P3152" s="15" t="s">
        <v>8</v>
      </c>
      <c r="Q3152" s="15" t="s">
        <v>8</v>
      </c>
      <c r="R3152" s="19" t="str">
        <f>HYPERLINK("http://yeinfo.com/family/I09043381.html", "NICHOLAS GIFFARD 1508 EN-1546 EN ID:09065559")</f>
        <v>NICHOLAS GIFFARD 1508 EN-1546 EN ID:09065559</v>
      </c>
      <c r="S3152" s="9"/>
      <c r="T3152" s="9"/>
      <c r="U3152" s="9"/>
      <c r="V3152" s="9"/>
    </row>
    <row r="3153" spans="3:26" x14ac:dyDescent="0.35">
      <c r="C3153" s="15" t="s">
        <v>8</v>
      </c>
      <c r="D3153" s="15" t="s">
        <v>8</v>
      </c>
      <c r="E3153" s="15" t="s">
        <v>8</v>
      </c>
      <c r="F3153" s="15" t="s">
        <v>8</v>
      </c>
      <c r="H3153" s="15" t="s">
        <v>8</v>
      </c>
      <c r="I3153" s="15" t="s">
        <v>8</v>
      </c>
      <c r="J3153" s="15" t="s">
        <v>8</v>
      </c>
      <c r="M3153" s="15" t="s">
        <v>8</v>
      </c>
      <c r="N3153" s="15" t="s">
        <v>8</v>
      </c>
      <c r="O3153" s="15" t="s">
        <v>8</v>
      </c>
      <c r="P3153" s="15" t="s">
        <v>8</v>
      </c>
      <c r="Q3153" s="15" t="s">
        <v>8</v>
      </c>
      <c r="R3153" s="8" t="s">
        <v>3</v>
      </c>
      <c r="S3153" s="15" t="s">
        <v>8</v>
      </c>
    </row>
    <row r="3154" spans="3:26" x14ac:dyDescent="0.35">
      <c r="C3154" s="15" t="s">
        <v>8</v>
      </c>
      <c r="D3154" s="15" t="s">
        <v>8</v>
      </c>
      <c r="E3154" s="15" t="s">
        <v>8</v>
      </c>
      <c r="F3154" s="15" t="s">
        <v>8</v>
      </c>
      <c r="H3154" s="15" t="s">
        <v>8</v>
      </c>
      <c r="I3154" s="15" t="s">
        <v>8</v>
      </c>
      <c r="J3154" s="15" t="s">
        <v>8</v>
      </c>
      <c r="M3154" s="15" t="s">
        <v>8</v>
      </c>
      <c r="N3154" s="15" t="s">
        <v>8</v>
      </c>
      <c r="O3154" s="15" t="s">
        <v>8</v>
      </c>
      <c r="P3154" s="15" t="s">
        <v>8</v>
      </c>
      <c r="Q3154" s="15" t="s">
        <v>8</v>
      </c>
      <c r="R3154" s="15" t="s">
        <v>8</v>
      </c>
      <c r="S3154" s="15" t="s">
        <v>8</v>
      </c>
      <c r="V3154" s="19" t="str">
        <f>HYPERLINK("http://yeinfo.com/family/I09065989.html", "WILLIAM NANSIGLOS 1390 EN-1420 EN ID:09066179")</f>
        <v>WILLIAM NANSIGLOS 1390 EN-1420 EN ID:09066179</v>
      </c>
      <c r="W3154" s="9"/>
      <c r="X3154" s="9"/>
      <c r="Y3154" s="9"/>
      <c r="Z3154" s="9"/>
    </row>
    <row r="3155" spans="3:26" x14ac:dyDescent="0.35">
      <c r="C3155" s="15" t="s">
        <v>8</v>
      </c>
      <c r="D3155" s="15" t="s">
        <v>8</v>
      </c>
      <c r="E3155" s="15" t="s">
        <v>8</v>
      </c>
      <c r="F3155" s="15" t="s">
        <v>8</v>
      </c>
      <c r="H3155" s="15" t="s">
        <v>8</v>
      </c>
      <c r="I3155" s="15" t="s">
        <v>8</v>
      </c>
      <c r="J3155" s="15" t="s">
        <v>8</v>
      </c>
      <c r="M3155" s="15" t="s">
        <v>8</v>
      </c>
      <c r="N3155" s="15" t="s">
        <v>8</v>
      </c>
      <c r="O3155" s="15" t="s">
        <v>8</v>
      </c>
      <c r="P3155" s="15" t="s">
        <v>8</v>
      </c>
      <c r="Q3155" s="15" t="s">
        <v>8</v>
      </c>
      <c r="R3155" s="15" t="s">
        <v>8</v>
      </c>
      <c r="S3155" s="15" t="s">
        <v>8</v>
      </c>
      <c r="V3155" s="8" t="s">
        <v>3</v>
      </c>
    </row>
    <row r="3156" spans="3:26" x14ac:dyDescent="0.35">
      <c r="C3156" s="15" t="s">
        <v>8</v>
      </c>
      <c r="D3156" s="15" t="s">
        <v>8</v>
      </c>
      <c r="E3156" s="15" t="s">
        <v>8</v>
      </c>
      <c r="F3156" s="15" t="s">
        <v>8</v>
      </c>
      <c r="H3156" s="15" t="s">
        <v>8</v>
      </c>
      <c r="I3156" s="15" t="s">
        <v>8</v>
      </c>
      <c r="J3156" s="15" t="s">
        <v>8</v>
      </c>
      <c r="M3156" s="15" t="s">
        <v>8</v>
      </c>
      <c r="N3156" s="15" t="s">
        <v>8</v>
      </c>
      <c r="O3156" s="15" t="s">
        <v>8</v>
      </c>
      <c r="P3156" s="15" t="s">
        <v>8</v>
      </c>
      <c r="Q3156" s="15" t="s">
        <v>8</v>
      </c>
      <c r="R3156" s="15" t="s">
        <v>8</v>
      </c>
      <c r="S3156" s="15" t="s">
        <v>8</v>
      </c>
      <c r="U3156" s="19" t="str">
        <f>HYPERLINK("http://yeinfo.com/family/I09065825.html", "THOMAS NANSIGLOS 1420 EN-1443 EN ID:09065989")</f>
        <v>THOMAS NANSIGLOS 1420 EN-1443 EN ID:09065989</v>
      </c>
      <c r="V3156" s="9"/>
      <c r="W3156" s="9"/>
      <c r="X3156" s="9"/>
      <c r="Y3156" s="9"/>
    </row>
    <row r="3157" spans="3:26" x14ac:dyDescent="0.35">
      <c r="C3157" s="15" t="s">
        <v>8</v>
      </c>
      <c r="D3157" s="15" t="s">
        <v>8</v>
      </c>
      <c r="E3157" s="15" t="s">
        <v>8</v>
      </c>
      <c r="F3157" s="15" t="s">
        <v>8</v>
      </c>
      <c r="H3157" s="15" t="s">
        <v>8</v>
      </c>
      <c r="I3157" s="15" t="s">
        <v>8</v>
      </c>
      <c r="J3157" s="15" t="s">
        <v>8</v>
      </c>
      <c r="M3157" s="15" t="s">
        <v>8</v>
      </c>
      <c r="N3157" s="15" t="s">
        <v>8</v>
      </c>
      <c r="O3157" s="15" t="s">
        <v>8</v>
      </c>
      <c r="P3157" s="15" t="s">
        <v>8</v>
      </c>
      <c r="Q3157" s="15" t="s">
        <v>8</v>
      </c>
      <c r="R3157" s="15" t="s">
        <v>8</v>
      </c>
      <c r="S3157" s="15" t="s">
        <v>8</v>
      </c>
      <c r="U3157" s="8" t="s">
        <v>3</v>
      </c>
      <c r="V3157" s="8" t="s">
        <v>6</v>
      </c>
    </row>
    <row r="3158" spans="3:26" x14ac:dyDescent="0.35">
      <c r="C3158" s="15" t="s">
        <v>8</v>
      </c>
      <c r="D3158" s="15" t="s">
        <v>8</v>
      </c>
      <c r="E3158" s="15" t="s">
        <v>8</v>
      </c>
      <c r="F3158" s="15" t="s">
        <v>8</v>
      </c>
      <c r="H3158" s="15" t="s">
        <v>8</v>
      </c>
      <c r="I3158" s="15" t="s">
        <v>8</v>
      </c>
      <c r="J3158" s="15" t="s">
        <v>8</v>
      </c>
      <c r="M3158" s="15" t="s">
        <v>8</v>
      </c>
      <c r="N3158" s="15" t="s">
        <v>8</v>
      </c>
      <c r="O3158" s="15" t="s">
        <v>8</v>
      </c>
      <c r="P3158" s="15" t="s">
        <v>8</v>
      </c>
      <c r="Q3158" s="15" t="s">
        <v>8</v>
      </c>
      <c r="R3158" s="15" t="s">
        <v>8</v>
      </c>
      <c r="S3158" s="15" t="s">
        <v>8</v>
      </c>
      <c r="U3158" s="15" t="s">
        <v>8</v>
      </c>
      <c r="V3158" s="20" t="str">
        <f>HYPERLINK("http://yeinfo.com/family/I09066179.html", "Mrs. MARY NANSIGLOS 1395 -1420 EN ID:09066180")</f>
        <v>Mrs. MARY NANSIGLOS 1395 -1420 EN ID:09066180</v>
      </c>
      <c r="W3158" s="17"/>
      <c r="X3158" s="17"/>
      <c r="Y3158" s="17"/>
      <c r="Z3158" s="17"/>
    </row>
    <row r="3159" spans="3:26" x14ac:dyDescent="0.35">
      <c r="C3159" s="15" t="s">
        <v>8</v>
      </c>
      <c r="D3159" s="15" t="s">
        <v>8</v>
      </c>
      <c r="E3159" s="15" t="s">
        <v>8</v>
      </c>
      <c r="F3159" s="15" t="s">
        <v>8</v>
      </c>
      <c r="H3159" s="15" t="s">
        <v>8</v>
      </c>
      <c r="I3159" s="15" t="s">
        <v>8</v>
      </c>
      <c r="J3159" s="15" t="s">
        <v>8</v>
      </c>
      <c r="M3159" s="15" t="s">
        <v>8</v>
      </c>
      <c r="N3159" s="15" t="s">
        <v>8</v>
      </c>
      <c r="O3159" s="15" t="s">
        <v>8</v>
      </c>
      <c r="P3159" s="15" t="s">
        <v>8</v>
      </c>
      <c r="Q3159" s="15" t="s">
        <v>8</v>
      </c>
      <c r="R3159" s="15" t="s">
        <v>8</v>
      </c>
      <c r="S3159" s="15" t="s">
        <v>8</v>
      </c>
      <c r="U3159" s="15" t="s">
        <v>8</v>
      </c>
    </row>
    <row r="3160" spans="3:26" x14ac:dyDescent="0.35">
      <c r="C3160" s="15" t="s">
        <v>8</v>
      </c>
      <c r="D3160" s="15" t="s">
        <v>8</v>
      </c>
      <c r="E3160" s="15" t="s">
        <v>8</v>
      </c>
      <c r="F3160" s="15" t="s">
        <v>8</v>
      </c>
      <c r="H3160" s="15" t="s">
        <v>8</v>
      </c>
      <c r="I3160" s="15" t="s">
        <v>8</v>
      </c>
      <c r="J3160" s="15" t="s">
        <v>8</v>
      </c>
      <c r="M3160" s="15" t="s">
        <v>8</v>
      </c>
      <c r="N3160" s="15" t="s">
        <v>8</v>
      </c>
      <c r="O3160" s="15" t="s">
        <v>8</v>
      </c>
      <c r="P3160" s="15" t="s">
        <v>8</v>
      </c>
      <c r="Q3160" s="15" t="s">
        <v>8</v>
      </c>
      <c r="R3160" s="15" t="s">
        <v>8</v>
      </c>
      <c r="S3160" s="15" t="s">
        <v>8</v>
      </c>
      <c r="T3160" s="19" t="str">
        <f>HYPERLINK("http://yeinfo.com/family/I09065693.html", "WILLIAM NANSIGLOS 1443 EN-1477 EN ID:09065825")</f>
        <v>WILLIAM NANSIGLOS 1443 EN-1477 EN ID:09065825</v>
      </c>
      <c r="U3160" s="9"/>
      <c r="V3160" s="9"/>
      <c r="W3160" s="9"/>
      <c r="X3160" s="9"/>
    </row>
    <row r="3161" spans="3:26" x14ac:dyDescent="0.35">
      <c r="C3161" s="15" t="s">
        <v>8</v>
      </c>
      <c r="D3161" s="15" t="s">
        <v>8</v>
      </c>
      <c r="E3161" s="15" t="s">
        <v>8</v>
      </c>
      <c r="F3161" s="15" t="s">
        <v>8</v>
      </c>
      <c r="H3161" s="15" t="s">
        <v>8</v>
      </c>
      <c r="I3161" s="15" t="s">
        <v>8</v>
      </c>
      <c r="J3161" s="15" t="s">
        <v>8</v>
      </c>
      <c r="M3161" s="15" t="s">
        <v>8</v>
      </c>
      <c r="N3161" s="15" t="s">
        <v>8</v>
      </c>
      <c r="O3161" s="15" t="s">
        <v>8</v>
      </c>
      <c r="P3161" s="15" t="s">
        <v>8</v>
      </c>
      <c r="Q3161" s="15" t="s">
        <v>8</v>
      </c>
      <c r="R3161" s="15" t="s">
        <v>8</v>
      </c>
      <c r="S3161" s="15" t="s">
        <v>8</v>
      </c>
      <c r="T3161" s="8" t="s">
        <v>3</v>
      </c>
      <c r="U3161" s="8" t="s">
        <v>6</v>
      </c>
    </row>
    <row r="3162" spans="3:26" x14ac:dyDescent="0.35">
      <c r="C3162" s="15" t="s">
        <v>8</v>
      </c>
      <c r="D3162" s="15" t="s">
        <v>8</v>
      </c>
      <c r="E3162" s="15" t="s">
        <v>8</v>
      </c>
      <c r="F3162" s="15" t="s">
        <v>8</v>
      </c>
      <c r="H3162" s="15" t="s">
        <v>8</v>
      </c>
      <c r="I3162" s="15" t="s">
        <v>8</v>
      </c>
      <c r="J3162" s="15" t="s">
        <v>8</v>
      </c>
      <c r="M3162" s="15" t="s">
        <v>8</v>
      </c>
      <c r="N3162" s="15" t="s">
        <v>8</v>
      </c>
      <c r="O3162" s="15" t="s">
        <v>8</v>
      </c>
      <c r="P3162" s="15" t="s">
        <v>8</v>
      </c>
      <c r="Q3162" s="15" t="s">
        <v>8</v>
      </c>
      <c r="R3162" s="15" t="s">
        <v>8</v>
      </c>
      <c r="S3162" s="15" t="s">
        <v>8</v>
      </c>
      <c r="T3162" s="15" t="s">
        <v>8</v>
      </c>
      <c r="U3162" s="20" t="str">
        <f>HYPERLINK("http://yeinfo.com/family/I09066180.html", "MARY\MARGARET BIRKS 1422 EN-1443 EN ID:09065990")</f>
        <v>MARY\MARGARET BIRKS 1422 EN-1443 EN ID:09065990</v>
      </c>
      <c r="V3162" s="17"/>
      <c r="W3162" s="17"/>
      <c r="X3162" s="17"/>
      <c r="Y3162" s="17"/>
      <c r="Z3162" s="17"/>
    </row>
    <row r="3163" spans="3:26" x14ac:dyDescent="0.35">
      <c r="C3163" s="15" t="s">
        <v>8</v>
      </c>
      <c r="D3163" s="15" t="s">
        <v>8</v>
      </c>
      <c r="E3163" s="15" t="s">
        <v>8</v>
      </c>
      <c r="F3163" s="15" t="s">
        <v>8</v>
      </c>
      <c r="H3163" s="15" t="s">
        <v>8</v>
      </c>
      <c r="I3163" s="15" t="s">
        <v>8</v>
      </c>
      <c r="J3163" s="15" t="s">
        <v>8</v>
      </c>
      <c r="M3163" s="15" t="s">
        <v>8</v>
      </c>
      <c r="N3163" s="15" t="s">
        <v>8</v>
      </c>
      <c r="O3163" s="15" t="s">
        <v>8</v>
      </c>
      <c r="P3163" s="15" t="s">
        <v>8</v>
      </c>
      <c r="Q3163" s="15" t="s">
        <v>8</v>
      </c>
      <c r="R3163" s="15" t="s">
        <v>8</v>
      </c>
      <c r="S3163" s="8" t="s">
        <v>6</v>
      </c>
      <c r="T3163" s="15" t="s">
        <v>8</v>
      </c>
    </row>
    <row r="3164" spans="3:26" x14ac:dyDescent="0.35">
      <c r="C3164" s="15" t="s">
        <v>8</v>
      </c>
      <c r="D3164" s="15" t="s">
        <v>8</v>
      </c>
      <c r="E3164" s="15" t="s">
        <v>8</v>
      </c>
      <c r="F3164" s="15" t="s">
        <v>8</v>
      </c>
      <c r="H3164" s="15" t="s">
        <v>8</v>
      </c>
      <c r="I3164" s="15" t="s">
        <v>8</v>
      </c>
      <c r="J3164" s="15" t="s">
        <v>8</v>
      </c>
      <c r="M3164" s="15" t="s">
        <v>8</v>
      </c>
      <c r="N3164" s="15" t="s">
        <v>8</v>
      </c>
      <c r="O3164" s="15" t="s">
        <v>8</v>
      </c>
      <c r="P3164" s="15" t="s">
        <v>8</v>
      </c>
      <c r="Q3164" s="15" t="s">
        <v>8</v>
      </c>
      <c r="R3164" s="15" t="s">
        <v>8</v>
      </c>
      <c r="S3164" s="20" t="str">
        <f>HYPERLINK("http://yeinfo.com/family/I09066178.html", "MARY PAYNE NANSIGLOS 1466 EN-1542 EN ID:09065693")</f>
        <v>MARY PAYNE NANSIGLOS 1466 EN-1542 EN ID:09065693</v>
      </c>
      <c r="T3164" s="17"/>
      <c r="U3164" s="17"/>
      <c r="V3164" s="17"/>
      <c r="W3164" s="17"/>
    </row>
    <row r="3165" spans="3:26" x14ac:dyDescent="0.35">
      <c r="C3165" s="15" t="s">
        <v>8</v>
      </c>
      <c r="D3165" s="15" t="s">
        <v>8</v>
      </c>
      <c r="E3165" s="15" t="s">
        <v>8</v>
      </c>
      <c r="F3165" s="15" t="s">
        <v>8</v>
      </c>
      <c r="H3165" s="15" t="s">
        <v>8</v>
      </c>
      <c r="I3165" s="15" t="s">
        <v>8</v>
      </c>
      <c r="J3165" s="15" t="s">
        <v>8</v>
      </c>
      <c r="M3165" s="15" t="s">
        <v>8</v>
      </c>
      <c r="N3165" s="15" t="s">
        <v>8</v>
      </c>
      <c r="O3165" s="15" t="s">
        <v>8</v>
      </c>
      <c r="P3165" s="15" t="s">
        <v>8</v>
      </c>
      <c r="Q3165" s="15" t="s">
        <v>8</v>
      </c>
      <c r="R3165" s="15" t="s">
        <v>8</v>
      </c>
      <c r="T3165" s="8" t="s">
        <v>6</v>
      </c>
    </row>
    <row r="3166" spans="3:26" x14ac:dyDescent="0.35">
      <c r="C3166" s="15" t="s">
        <v>8</v>
      </c>
      <c r="D3166" s="15" t="s">
        <v>8</v>
      </c>
      <c r="E3166" s="15" t="s">
        <v>8</v>
      </c>
      <c r="F3166" s="15" t="s">
        <v>8</v>
      </c>
      <c r="H3166" s="15" t="s">
        <v>8</v>
      </c>
      <c r="I3166" s="15" t="s">
        <v>8</v>
      </c>
      <c r="J3166" s="15" t="s">
        <v>8</v>
      </c>
      <c r="M3166" s="15" t="s">
        <v>8</v>
      </c>
      <c r="N3166" s="15" t="s">
        <v>8</v>
      </c>
      <c r="O3166" s="15" t="s">
        <v>8</v>
      </c>
      <c r="P3166" s="15" t="s">
        <v>8</v>
      </c>
      <c r="Q3166" s="15" t="s">
        <v>8</v>
      </c>
      <c r="R3166" s="15" t="s">
        <v>8</v>
      </c>
      <c r="T3166" s="20" t="str">
        <f>HYPERLINK("http://yeinfo.com/family/I09065990.html", "LUCY BUCKHORN 1446 EN-1466 EN ID:09065826")</f>
        <v>LUCY BUCKHORN 1446 EN-1466 EN ID:09065826</v>
      </c>
      <c r="U3166" s="17"/>
      <c r="V3166" s="17"/>
      <c r="W3166" s="17"/>
      <c r="X3166" s="17"/>
    </row>
    <row r="3167" spans="3:26" x14ac:dyDescent="0.35">
      <c r="C3167" s="15" t="s">
        <v>8</v>
      </c>
      <c r="D3167" s="15" t="s">
        <v>8</v>
      </c>
      <c r="E3167" s="15" t="s">
        <v>8</v>
      </c>
      <c r="F3167" s="15" t="s">
        <v>8</v>
      </c>
      <c r="H3167" s="15" t="s">
        <v>8</v>
      </c>
      <c r="I3167" s="15" t="s">
        <v>8</v>
      </c>
      <c r="J3167" s="15" t="s">
        <v>8</v>
      </c>
      <c r="M3167" s="15" t="s">
        <v>8</v>
      </c>
      <c r="N3167" s="15" t="s">
        <v>8</v>
      </c>
      <c r="O3167" s="15" t="s">
        <v>8</v>
      </c>
      <c r="P3167" s="15" t="s">
        <v>8</v>
      </c>
      <c r="Q3167" s="8" t="s">
        <v>6</v>
      </c>
      <c r="R3167" s="15" t="s">
        <v>8</v>
      </c>
    </row>
    <row r="3168" spans="3:26" x14ac:dyDescent="0.35">
      <c r="C3168" s="15" t="s">
        <v>8</v>
      </c>
      <c r="D3168" s="15" t="s">
        <v>8</v>
      </c>
      <c r="E3168" s="15" t="s">
        <v>8</v>
      </c>
      <c r="F3168" s="15" t="s">
        <v>8</v>
      </c>
      <c r="H3168" s="15" t="s">
        <v>8</v>
      </c>
      <c r="I3168" s="15" t="s">
        <v>8</v>
      </c>
      <c r="J3168" s="15" t="s">
        <v>8</v>
      </c>
      <c r="M3168" s="15" t="s">
        <v>8</v>
      </c>
      <c r="N3168" s="15" t="s">
        <v>8</v>
      </c>
      <c r="O3168" s="15" t="s">
        <v>8</v>
      </c>
      <c r="P3168" s="15" t="s">
        <v>8</v>
      </c>
      <c r="Q3168" s="20" t="str">
        <f>HYPERLINK("http://yeinfo.com/family/I09065558.html", "MARGARET GIFFARD 1532 EN-1575 EN ID:09043381")</f>
        <v>MARGARET GIFFARD 1532 EN-1575 EN ID:09043381</v>
      </c>
      <c r="R3168" s="17"/>
      <c r="S3168" s="17"/>
      <c r="T3168" s="17"/>
      <c r="U3168" s="17"/>
    </row>
    <row r="3169" spans="3:30" x14ac:dyDescent="0.35">
      <c r="C3169" s="15" t="s">
        <v>8</v>
      </c>
      <c r="D3169" s="15" t="s">
        <v>8</v>
      </c>
      <c r="E3169" s="15" t="s">
        <v>8</v>
      </c>
      <c r="F3169" s="15" t="s">
        <v>8</v>
      </c>
      <c r="H3169" s="15" t="s">
        <v>8</v>
      </c>
      <c r="I3169" s="15" t="s">
        <v>8</v>
      </c>
      <c r="J3169" s="15" t="s">
        <v>8</v>
      </c>
      <c r="M3169" s="15" t="s">
        <v>8</v>
      </c>
      <c r="N3169" s="15" t="s">
        <v>8</v>
      </c>
      <c r="O3169" s="15" t="s">
        <v>8</v>
      </c>
      <c r="P3169" s="15" t="s">
        <v>8</v>
      </c>
      <c r="R3169" s="15" t="s">
        <v>8</v>
      </c>
    </row>
    <row r="3170" spans="3:30" x14ac:dyDescent="0.35">
      <c r="C3170" s="15" t="s">
        <v>8</v>
      </c>
      <c r="D3170" s="15" t="s">
        <v>8</v>
      </c>
      <c r="E3170" s="15" t="s">
        <v>8</v>
      </c>
      <c r="F3170" s="15" t="s">
        <v>8</v>
      </c>
      <c r="H3170" s="15" t="s">
        <v>8</v>
      </c>
      <c r="I3170" s="15" t="s">
        <v>8</v>
      </c>
      <c r="J3170" s="15" t="s">
        <v>8</v>
      </c>
      <c r="M3170" s="15" t="s">
        <v>8</v>
      </c>
      <c r="N3170" s="15" t="s">
        <v>8</v>
      </c>
      <c r="O3170" s="15" t="s">
        <v>8</v>
      </c>
      <c r="P3170" s="15" t="s">
        <v>8</v>
      </c>
      <c r="R3170" s="15" t="s">
        <v>8</v>
      </c>
      <c r="U3170" s="19" t="str">
        <f>HYPERLINK("http://yeinfo.com/family/I09065827.html", "THOMAS MASTER 1420 EN-1442 EN ID:09065991")</f>
        <v>THOMAS MASTER 1420 EN-1442 EN ID:09065991</v>
      </c>
      <c r="V3170" s="9"/>
      <c r="W3170" s="9"/>
      <c r="X3170" s="9"/>
      <c r="Y3170" s="9"/>
    </row>
    <row r="3171" spans="3:30" x14ac:dyDescent="0.35">
      <c r="C3171" s="15" t="s">
        <v>8</v>
      </c>
      <c r="D3171" s="15" t="s">
        <v>8</v>
      </c>
      <c r="E3171" s="15" t="s">
        <v>8</v>
      </c>
      <c r="F3171" s="15" t="s">
        <v>8</v>
      </c>
      <c r="H3171" s="15" t="s">
        <v>8</v>
      </c>
      <c r="I3171" s="15" t="s">
        <v>8</v>
      </c>
      <c r="J3171" s="15" t="s">
        <v>8</v>
      </c>
      <c r="M3171" s="15" t="s">
        <v>8</v>
      </c>
      <c r="N3171" s="15" t="s">
        <v>8</v>
      </c>
      <c r="O3171" s="15" t="s">
        <v>8</v>
      </c>
      <c r="P3171" s="15" t="s">
        <v>8</v>
      </c>
      <c r="R3171" s="15" t="s">
        <v>8</v>
      </c>
      <c r="U3171" s="8" t="s">
        <v>3</v>
      </c>
    </row>
    <row r="3172" spans="3:30" x14ac:dyDescent="0.35">
      <c r="C3172" s="15" t="s">
        <v>8</v>
      </c>
      <c r="D3172" s="15" t="s">
        <v>8</v>
      </c>
      <c r="E3172" s="15" t="s">
        <v>8</v>
      </c>
      <c r="F3172" s="15" t="s">
        <v>8</v>
      </c>
      <c r="H3172" s="15" t="s">
        <v>8</v>
      </c>
      <c r="I3172" s="15" t="s">
        <v>8</v>
      </c>
      <c r="J3172" s="15" t="s">
        <v>8</v>
      </c>
      <c r="M3172" s="15" t="s">
        <v>8</v>
      </c>
      <c r="N3172" s="15" t="s">
        <v>8</v>
      </c>
      <c r="O3172" s="15" t="s">
        <v>8</v>
      </c>
      <c r="P3172" s="15" t="s">
        <v>8</v>
      </c>
      <c r="R3172" s="15" t="s">
        <v>8</v>
      </c>
      <c r="T3172" s="19" t="str">
        <f>HYPERLINK("http://yeinfo.com/family/I09065694.html", "THOMAS MASTER 1442 EN-1509 EN ID:09065827")</f>
        <v>THOMAS MASTER 1442 EN-1509 EN ID:09065827</v>
      </c>
      <c r="U3172" s="9"/>
      <c r="V3172" s="9"/>
      <c r="W3172" s="9"/>
      <c r="X3172" s="9"/>
    </row>
    <row r="3173" spans="3:30" x14ac:dyDescent="0.35">
      <c r="C3173" s="15" t="s">
        <v>8</v>
      </c>
      <c r="D3173" s="15" t="s">
        <v>8</v>
      </c>
      <c r="E3173" s="15" t="s">
        <v>8</v>
      </c>
      <c r="F3173" s="15" t="s">
        <v>8</v>
      </c>
      <c r="H3173" s="15" t="s">
        <v>8</v>
      </c>
      <c r="I3173" s="15" t="s">
        <v>8</v>
      </c>
      <c r="J3173" s="15" t="s">
        <v>8</v>
      </c>
      <c r="M3173" s="15" t="s">
        <v>8</v>
      </c>
      <c r="N3173" s="15" t="s">
        <v>8</v>
      </c>
      <c r="O3173" s="15" t="s">
        <v>8</v>
      </c>
      <c r="P3173" s="15" t="s">
        <v>8</v>
      </c>
      <c r="R3173" s="15" t="s">
        <v>8</v>
      </c>
      <c r="T3173" s="8" t="s">
        <v>3</v>
      </c>
      <c r="U3173" s="8" t="s">
        <v>6</v>
      </c>
    </row>
    <row r="3174" spans="3:30" x14ac:dyDescent="0.35">
      <c r="C3174" s="15" t="s">
        <v>8</v>
      </c>
      <c r="D3174" s="15" t="s">
        <v>8</v>
      </c>
      <c r="E3174" s="15" t="s">
        <v>8</v>
      </c>
      <c r="F3174" s="15" t="s">
        <v>8</v>
      </c>
      <c r="H3174" s="15" t="s">
        <v>8</v>
      </c>
      <c r="I3174" s="15" t="s">
        <v>8</v>
      </c>
      <c r="J3174" s="15" t="s">
        <v>8</v>
      </c>
      <c r="M3174" s="15" t="s">
        <v>8</v>
      </c>
      <c r="N3174" s="15" t="s">
        <v>8</v>
      </c>
      <c r="O3174" s="15" t="s">
        <v>8</v>
      </c>
      <c r="P3174" s="15" t="s">
        <v>8</v>
      </c>
      <c r="R3174" s="15" t="s">
        <v>8</v>
      </c>
      <c r="T3174" s="15" t="s">
        <v>8</v>
      </c>
      <c r="U3174" s="20" t="str">
        <f>HYPERLINK("http://yeinfo.com/family/I09065991.html", "Mrs. DENYSE MASTER 1420 EN-1442 EN ID:09065992")</f>
        <v>Mrs. DENYSE MASTER 1420 EN-1442 EN ID:09065992</v>
      </c>
      <c r="V3174" s="17"/>
      <c r="W3174" s="17"/>
      <c r="X3174" s="17"/>
      <c r="Y3174" s="17"/>
    </row>
    <row r="3175" spans="3:30" x14ac:dyDescent="0.35">
      <c r="C3175" s="15" t="s">
        <v>8</v>
      </c>
      <c r="D3175" s="15" t="s">
        <v>8</v>
      </c>
      <c r="E3175" s="15" t="s">
        <v>8</v>
      </c>
      <c r="F3175" s="15" t="s">
        <v>8</v>
      </c>
      <c r="H3175" s="15" t="s">
        <v>8</v>
      </c>
      <c r="I3175" s="15" t="s">
        <v>8</v>
      </c>
      <c r="J3175" s="15" t="s">
        <v>8</v>
      </c>
      <c r="M3175" s="15" t="s">
        <v>8</v>
      </c>
      <c r="N3175" s="15" t="s">
        <v>8</v>
      </c>
      <c r="O3175" s="15" t="s">
        <v>8</v>
      </c>
      <c r="P3175" s="15" t="s">
        <v>8</v>
      </c>
      <c r="R3175" s="15" t="s">
        <v>8</v>
      </c>
      <c r="T3175" s="15" t="s">
        <v>8</v>
      </c>
    </row>
    <row r="3176" spans="3:30" x14ac:dyDescent="0.35">
      <c r="C3176" s="15" t="s">
        <v>8</v>
      </c>
      <c r="D3176" s="15" t="s">
        <v>8</v>
      </c>
      <c r="E3176" s="15" t="s">
        <v>8</v>
      </c>
      <c r="F3176" s="15" t="s">
        <v>8</v>
      </c>
      <c r="H3176" s="15" t="s">
        <v>8</v>
      </c>
      <c r="I3176" s="15" t="s">
        <v>8</v>
      </c>
      <c r="J3176" s="15" t="s">
        <v>8</v>
      </c>
      <c r="M3176" s="15" t="s">
        <v>8</v>
      </c>
      <c r="N3176" s="15" t="s">
        <v>8</v>
      </c>
      <c r="O3176" s="15" t="s">
        <v>8</v>
      </c>
      <c r="P3176" s="15" t="s">
        <v>8</v>
      </c>
      <c r="R3176" s="15" t="s">
        <v>8</v>
      </c>
      <c r="S3176" s="19" t="str">
        <f>HYPERLINK("http://yeinfo.com/family/I09065560.html", "JOHN MASTER 1485 -1558 EN ID:09065694")</f>
        <v>JOHN MASTER 1485 -1558 EN ID:09065694</v>
      </c>
      <c r="T3176" s="9"/>
      <c r="U3176" s="9"/>
      <c r="V3176" s="9"/>
      <c r="W3176" s="9"/>
    </row>
    <row r="3177" spans="3:30" x14ac:dyDescent="0.35">
      <c r="C3177" s="15" t="s">
        <v>8</v>
      </c>
      <c r="D3177" s="15" t="s">
        <v>8</v>
      </c>
      <c r="E3177" s="15" t="s">
        <v>8</v>
      </c>
      <c r="F3177" s="15" t="s">
        <v>8</v>
      </c>
      <c r="H3177" s="15" t="s">
        <v>8</v>
      </c>
      <c r="I3177" s="15" t="s">
        <v>8</v>
      </c>
      <c r="J3177" s="15" t="s">
        <v>8</v>
      </c>
      <c r="M3177" s="15" t="s">
        <v>8</v>
      </c>
      <c r="N3177" s="15" t="s">
        <v>8</v>
      </c>
      <c r="O3177" s="15" t="s">
        <v>8</v>
      </c>
      <c r="P3177" s="15" t="s">
        <v>8</v>
      </c>
      <c r="R3177" s="15" t="s">
        <v>8</v>
      </c>
      <c r="S3177" s="8" t="s">
        <v>3</v>
      </c>
      <c r="T3177" s="8" t="s">
        <v>6</v>
      </c>
    </row>
    <row r="3178" spans="3:30" x14ac:dyDescent="0.35">
      <c r="C3178" s="15" t="s">
        <v>8</v>
      </c>
      <c r="D3178" s="15" t="s">
        <v>8</v>
      </c>
      <c r="E3178" s="15" t="s">
        <v>8</v>
      </c>
      <c r="F3178" s="15" t="s">
        <v>8</v>
      </c>
      <c r="H3178" s="15" t="s">
        <v>8</v>
      </c>
      <c r="I3178" s="15" t="s">
        <v>8</v>
      </c>
      <c r="J3178" s="15" t="s">
        <v>8</v>
      </c>
      <c r="M3178" s="15" t="s">
        <v>8</v>
      </c>
      <c r="N3178" s="15" t="s">
        <v>8</v>
      </c>
      <c r="O3178" s="15" t="s">
        <v>8</v>
      </c>
      <c r="P3178" s="15" t="s">
        <v>8</v>
      </c>
      <c r="R3178" s="15" t="s">
        <v>8</v>
      </c>
      <c r="S3178" s="15" t="s">
        <v>8</v>
      </c>
      <c r="T3178" s="20" t="str">
        <f>HYPERLINK("http://yeinfo.com/family/I09065992.html", "Mrs. AGNES MASTER 1447 EN-1517 EN ID:09065828")</f>
        <v>Mrs. AGNES MASTER 1447 EN-1517 EN ID:09065828</v>
      </c>
      <c r="U3178" s="17"/>
      <c r="V3178" s="17"/>
      <c r="W3178" s="17"/>
      <c r="X3178" s="17"/>
    </row>
    <row r="3179" spans="3:30" x14ac:dyDescent="0.35">
      <c r="C3179" s="15" t="s">
        <v>8</v>
      </c>
      <c r="D3179" s="15" t="s">
        <v>8</v>
      </c>
      <c r="E3179" s="15" t="s">
        <v>8</v>
      </c>
      <c r="F3179" s="15" t="s">
        <v>8</v>
      </c>
      <c r="H3179" s="15" t="s">
        <v>8</v>
      </c>
      <c r="I3179" s="15" t="s">
        <v>8</v>
      </c>
      <c r="J3179" s="15" t="s">
        <v>8</v>
      </c>
      <c r="M3179" s="15" t="s">
        <v>8</v>
      </c>
      <c r="N3179" s="15" t="s">
        <v>8</v>
      </c>
      <c r="O3179" s="15" t="s">
        <v>8</v>
      </c>
      <c r="P3179" s="15" t="s">
        <v>8</v>
      </c>
      <c r="R3179" s="8" t="s">
        <v>6</v>
      </c>
      <c r="S3179" s="15" t="s">
        <v>8</v>
      </c>
    </row>
    <row r="3180" spans="3:30" x14ac:dyDescent="0.35">
      <c r="C3180" s="15" t="s">
        <v>8</v>
      </c>
      <c r="D3180" s="15" t="s">
        <v>8</v>
      </c>
      <c r="E3180" s="15" t="s">
        <v>8</v>
      </c>
      <c r="F3180" s="15" t="s">
        <v>8</v>
      </c>
      <c r="H3180" s="15" t="s">
        <v>8</v>
      </c>
      <c r="I3180" s="15" t="s">
        <v>8</v>
      </c>
      <c r="J3180" s="15" t="s">
        <v>8</v>
      </c>
      <c r="M3180" s="15" t="s">
        <v>8</v>
      </c>
      <c r="N3180" s="15" t="s">
        <v>8</v>
      </c>
      <c r="O3180" s="15" t="s">
        <v>8</v>
      </c>
      <c r="P3180" s="15" t="s">
        <v>8</v>
      </c>
      <c r="R3180" s="20" t="str">
        <f>HYPERLINK("http://yeinfo.com/family/I09065826.html", "AGNES ANNE MASTER 1510 EN-1581 EN ID:09065560")</f>
        <v>AGNES ANNE MASTER 1510 EN-1581 EN ID:09065560</v>
      </c>
      <c r="S3180" s="17"/>
      <c r="T3180" s="17"/>
      <c r="U3180" s="17"/>
      <c r="V3180" s="17"/>
    </row>
    <row r="3181" spans="3:30" x14ac:dyDescent="0.35">
      <c r="C3181" s="15" t="s">
        <v>8</v>
      </c>
      <c r="D3181" s="15" t="s">
        <v>8</v>
      </c>
      <c r="E3181" s="15" t="s">
        <v>8</v>
      </c>
      <c r="F3181" s="15" t="s">
        <v>8</v>
      </c>
      <c r="H3181" s="15" t="s">
        <v>8</v>
      </c>
      <c r="I3181" s="15" t="s">
        <v>8</v>
      </c>
      <c r="J3181" s="15" t="s">
        <v>8</v>
      </c>
      <c r="M3181" s="15" t="s">
        <v>8</v>
      </c>
      <c r="N3181" s="15" t="s">
        <v>8</v>
      </c>
      <c r="O3181" s="15" t="s">
        <v>8</v>
      </c>
      <c r="P3181" s="15" t="s">
        <v>8</v>
      </c>
      <c r="S3181" s="15" t="s">
        <v>8</v>
      </c>
    </row>
    <row r="3182" spans="3:30" x14ac:dyDescent="0.35">
      <c r="C3182" s="15" t="s">
        <v>8</v>
      </c>
      <c r="D3182" s="15" t="s">
        <v>8</v>
      </c>
      <c r="E3182" s="15" t="s">
        <v>8</v>
      </c>
      <c r="F3182" s="15" t="s">
        <v>8</v>
      </c>
      <c r="H3182" s="15" t="s">
        <v>8</v>
      </c>
      <c r="I3182" s="15" t="s">
        <v>8</v>
      </c>
      <c r="J3182" s="15" t="s">
        <v>8</v>
      </c>
      <c r="M3182" s="15" t="s">
        <v>8</v>
      </c>
      <c r="N3182" s="15" t="s">
        <v>8</v>
      </c>
      <c r="O3182" s="15" t="s">
        <v>8</v>
      </c>
      <c r="P3182" s="15" t="s">
        <v>8</v>
      </c>
      <c r="S3182" s="15" t="s">
        <v>8</v>
      </c>
      <c r="Z3182" s="19" t="str">
        <f>HYPERLINK("http://yeinfo.com/family/I09066554.html", "THOMAS PAYNE 1245 EN-1288 EN ID:09066606")</f>
        <v>THOMAS PAYNE 1245 EN-1288 EN ID:09066606</v>
      </c>
      <c r="AA3182" s="9"/>
      <c r="AB3182" s="9"/>
      <c r="AC3182" s="9"/>
      <c r="AD3182" s="9"/>
    </row>
    <row r="3183" spans="3:30" x14ac:dyDescent="0.35">
      <c r="C3183" s="15" t="s">
        <v>8</v>
      </c>
      <c r="D3183" s="15" t="s">
        <v>8</v>
      </c>
      <c r="E3183" s="15" t="s">
        <v>8</v>
      </c>
      <c r="F3183" s="15" t="s">
        <v>8</v>
      </c>
      <c r="H3183" s="15" t="s">
        <v>8</v>
      </c>
      <c r="I3183" s="15" t="s">
        <v>8</v>
      </c>
      <c r="J3183" s="15" t="s">
        <v>8</v>
      </c>
      <c r="M3183" s="15" t="s">
        <v>8</v>
      </c>
      <c r="N3183" s="15" t="s">
        <v>8</v>
      </c>
      <c r="O3183" s="15" t="s">
        <v>8</v>
      </c>
      <c r="P3183" s="15" t="s">
        <v>8</v>
      </c>
      <c r="S3183" s="15" t="s">
        <v>8</v>
      </c>
      <c r="Z3183" s="8" t="s">
        <v>3</v>
      </c>
    </row>
    <row r="3184" spans="3:30" x14ac:dyDescent="0.35">
      <c r="C3184" s="15" t="s">
        <v>8</v>
      </c>
      <c r="D3184" s="15" t="s">
        <v>8</v>
      </c>
      <c r="E3184" s="15" t="s">
        <v>8</v>
      </c>
      <c r="F3184" s="15" t="s">
        <v>8</v>
      </c>
      <c r="H3184" s="15" t="s">
        <v>8</v>
      </c>
      <c r="I3184" s="15" t="s">
        <v>8</v>
      </c>
      <c r="J3184" s="15" t="s">
        <v>8</v>
      </c>
      <c r="M3184" s="15" t="s">
        <v>8</v>
      </c>
      <c r="N3184" s="15" t="s">
        <v>8</v>
      </c>
      <c r="O3184" s="15" t="s">
        <v>8</v>
      </c>
      <c r="P3184" s="15" t="s">
        <v>8</v>
      </c>
      <c r="S3184" s="15" t="s">
        <v>8</v>
      </c>
      <c r="Y3184" s="19" t="str">
        <f>HYPERLINK("http://yeinfo.com/family/I09066504.html", "THOMAS PAYNE 1285 EN-1327 EN ID:09066554")</f>
        <v>THOMAS PAYNE 1285 EN-1327 EN ID:09066554</v>
      </c>
      <c r="Z3184" s="9"/>
      <c r="AA3184" s="9"/>
      <c r="AB3184" s="9"/>
      <c r="AC3184" s="9"/>
    </row>
    <row r="3185" spans="3:30" x14ac:dyDescent="0.35">
      <c r="C3185" s="15" t="s">
        <v>8</v>
      </c>
      <c r="D3185" s="15" t="s">
        <v>8</v>
      </c>
      <c r="E3185" s="15" t="s">
        <v>8</v>
      </c>
      <c r="F3185" s="15" t="s">
        <v>8</v>
      </c>
      <c r="H3185" s="15" t="s">
        <v>8</v>
      </c>
      <c r="I3185" s="15" t="s">
        <v>8</v>
      </c>
      <c r="J3185" s="15" t="s">
        <v>8</v>
      </c>
      <c r="M3185" s="15" t="s">
        <v>8</v>
      </c>
      <c r="N3185" s="15" t="s">
        <v>8</v>
      </c>
      <c r="O3185" s="15" t="s">
        <v>8</v>
      </c>
      <c r="P3185" s="15" t="s">
        <v>8</v>
      </c>
      <c r="S3185" s="15" t="s">
        <v>8</v>
      </c>
      <c r="Y3185" s="8" t="s">
        <v>3</v>
      </c>
      <c r="Z3185" s="8" t="s">
        <v>6</v>
      </c>
    </row>
    <row r="3186" spans="3:30" x14ac:dyDescent="0.35">
      <c r="C3186" s="15" t="s">
        <v>8</v>
      </c>
      <c r="D3186" s="15" t="s">
        <v>8</v>
      </c>
      <c r="E3186" s="15" t="s">
        <v>8</v>
      </c>
      <c r="F3186" s="15" t="s">
        <v>8</v>
      </c>
      <c r="H3186" s="15" t="s">
        <v>8</v>
      </c>
      <c r="I3186" s="15" t="s">
        <v>8</v>
      </c>
      <c r="J3186" s="15" t="s">
        <v>8</v>
      </c>
      <c r="M3186" s="15" t="s">
        <v>8</v>
      </c>
      <c r="N3186" s="15" t="s">
        <v>8</v>
      </c>
      <c r="O3186" s="15" t="s">
        <v>8</v>
      </c>
      <c r="P3186" s="15" t="s">
        <v>8</v>
      </c>
      <c r="S3186" s="15" t="s">
        <v>8</v>
      </c>
      <c r="Y3186" s="15" t="s">
        <v>8</v>
      </c>
      <c r="Z3186" s="20" t="str">
        <f>HYPERLINK("http://yeinfo.com/family/I09066606.html", "MARY JANE AVIS 1248 EN-1285 EN ID:09066607")</f>
        <v>MARY JANE AVIS 1248 EN-1285 EN ID:09066607</v>
      </c>
      <c r="AA3186" s="17"/>
      <c r="AB3186" s="17"/>
      <c r="AC3186" s="17"/>
      <c r="AD3186" s="17"/>
    </row>
    <row r="3187" spans="3:30" x14ac:dyDescent="0.35">
      <c r="C3187" s="15" t="s">
        <v>8</v>
      </c>
      <c r="D3187" s="15" t="s">
        <v>8</v>
      </c>
      <c r="E3187" s="15" t="s">
        <v>8</v>
      </c>
      <c r="F3187" s="15" t="s">
        <v>8</v>
      </c>
      <c r="H3187" s="15" t="s">
        <v>8</v>
      </c>
      <c r="I3187" s="15" t="s">
        <v>8</v>
      </c>
      <c r="J3187" s="15" t="s">
        <v>8</v>
      </c>
      <c r="M3187" s="15" t="s">
        <v>8</v>
      </c>
      <c r="N3187" s="15" t="s">
        <v>8</v>
      </c>
      <c r="O3187" s="15" t="s">
        <v>8</v>
      </c>
      <c r="P3187" s="15" t="s">
        <v>8</v>
      </c>
      <c r="S3187" s="15" t="s">
        <v>8</v>
      </c>
      <c r="Y3187" s="15" t="s">
        <v>8</v>
      </c>
    </row>
    <row r="3188" spans="3:30" x14ac:dyDescent="0.35">
      <c r="C3188" s="15" t="s">
        <v>8</v>
      </c>
      <c r="D3188" s="15" t="s">
        <v>8</v>
      </c>
      <c r="E3188" s="15" t="s">
        <v>8</v>
      </c>
      <c r="F3188" s="15" t="s">
        <v>8</v>
      </c>
      <c r="H3188" s="15" t="s">
        <v>8</v>
      </c>
      <c r="I3188" s="15" t="s">
        <v>8</v>
      </c>
      <c r="J3188" s="15" t="s">
        <v>8</v>
      </c>
      <c r="M3188" s="15" t="s">
        <v>8</v>
      </c>
      <c r="N3188" s="15" t="s">
        <v>8</v>
      </c>
      <c r="O3188" s="15" t="s">
        <v>8</v>
      </c>
      <c r="P3188" s="15" t="s">
        <v>8</v>
      </c>
      <c r="S3188" s="15" t="s">
        <v>8</v>
      </c>
      <c r="X3188" s="19" t="str">
        <f>HYPERLINK("http://yeinfo.com/family/I09066331.html", "THOMAS WILLIAM PAYNE 1327 EN-1364 EN ID:09066504")</f>
        <v>THOMAS WILLIAM PAYNE 1327 EN-1364 EN ID:09066504</v>
      </c>
      <c r="Y3188" s="9"/>
      <c r="Z3188" s="9"/>
      <c r="AA3188" s="9"/>
      <c r="AB3188" s="9"/>
    </row>
    <row r="3189" spans="3:30" x14ac:dyDescent="0.35">
      <c r="C3189" s="15" t="s">
        <v>8</v>
      </c>
      <c r="D3189" s="15" t="s">
        <v>8</v>
      </c>
      <c r="E3189" s="15" t="s">
        <v>8</v>
      </c>
      <c r="F3189" s="15" t="s">
        <v>8</v>
      </c>
      <c r="H3189" s="15" t="s">
        <v>8</v>
      </c>
      <c r="I3189" s="15" t="s">
        <v>8</v>
      </c>
      <c r="J3189" s="15" t="s">
        <v>8</v>
      </c>
      <c r="M3189" s="15" t="s">
        <v>8</v>
      </c>
      <c r="N3189" s="15" t="s">
        <v>8</v>
      </c>
      <c r="O3189" s="15" t="s">
        <v>8</v>
      </c>
      <c r="P3189" s="15" t="s">
        <v>8</v>
      </c>
      <c r="S3189" s="15" t="s">
        <v>8</v>
      </c>
      <c r="X3189" s="8" t="s">
        <v>3</v>
      </c>
      <c r="Y3189" s="8" t="s">
        <v>6</v>
      </c>
    </row>
    <row r="3190" spans="3:30" x14ac:dyDescent="0.35">
      <c r="C3190" s="15" t="s">
        <v>8</v>
      </c>
      <c r="D3190" s="15" t="s">
        <v>8</v>
      </c>
      <c r="E3190" s="15" t="s">
        <v>8</v>
      </c>
      <c r="F3190" s="15" t="s">
        <v>8</v>
      </c>
      <c r="H3190" s="15" t="s">
        <v>8</v>
      </c>
      <c r="I3190" s="15" t="s">
        <v>8</v>
      </c>
      <c r="J3190" s="15" t="s">
        <v>8</v>
      </c>
      <c r="M3190" s="15" t="s">
        <v>8</v>
      </c>
      <c r="N3190" s="15" t="s">
        <v>8</v>
      </c>
      <c r="O3190" s="15" t="s">
        <v>8</v>
      </c>
      <c r="P3190" s="15" t="s">
        <v>8</v>
      </c>
      <c r="S3190" s="15" t="s">
        <v>8</v>
      </c>
      <c r="X3190" s="15" t="s">
        <v>8</v>
      </c>
      <c r="Y3190" s="20" t="str">
        <f>HYPERLINK("http://yeinfo.com/family/I09066607.html", "CATHERINE\ELIZABETH ST.CLAIRE 1285 EN-1327 EN ID:09066555")</f>
        <v>CATHERINE\ELIZABETH ST.CLAIRE 1285 EN-1327 EN ID:09066555</v>
      </c>
      <c r="Z3190" s="17"/>
      <c r="AA3190" s="17"/>
      <c r="AB3190" s="17"/>
      <c r="AC3190" s="17"/>
      <c r="AD3190" s="17"/>
    </row>
    <row r="3191" spans="3:30" x14ac:dyDescent="0.35">
      <c r="C3191" s="15" t="s">
        <v>8</v>
      </c>
      <c r="D3191" s="15" t="s">
        <v>8</v>
      </c>
      <c r="E3191" s="15" t="s">
        <v>8</v>
      </c>
      <c r="F3191" s="15" t="s">
        <v>8</v>
      </c>
      <c r="H3191" s="15" t="s">
        <v>8</v>
      </c>
      <c r="I3191" s="15" t="s">
        <v>8</v>
      </c>
      <c r="J3191" s="15" t="s">
        <v>8</v>
      </c>
      <c r="M3191" s="15" t="s">
        <v>8</v>
      </c>
      <c r="N3191" s="15" t="s">
        <v>8</v>
      </c>
      <c r="O3191" s="15" t="s">
        <v>8</v>
      </c>
      <c r="P3191" s="15" t="s">
        <v>8</v>
      </c>
      <c r="S3191" s="15" t="s">
        <v>8</v>
      </c>
      <c r="X3191" s="15" t="s">
        <v>8</v>
      </c>
    </row>
    <row r="3192" spans="3:30" x14ac:dyDescent="0.35">
      <c r="C3192" s="15" t="s">
        <v>8</v>
      </c>
      <c r="D3192" s="15" t="s">
        <v>8</v>
      </c>
      <c r="E3192" s="15" t="s">
        <v>8</v>
      </c>
      <c r="F3192" s="15" t="s">
        <v>8</v>
      </c>
      <c r="H3192" s="15" t="s">
        <v>8</v>
      </c>
      <c r="I3192" s="15" t="s">
        <v>8</v>
      </c>
      <c r="J3192" s="15" t="s">
        <v>8</v>
      </c>
      <c r="M3192" s="15" t="s">
        <v>8</v>
      </c>
      <c r="N3192" s="15" t="s">
        <v>8</v>
      </c>
      <c r="O3192" s="15" t="s">
        <v>8</v>
      </c>
      <c r="P3192" s="15" t="s">
        <v>8</v>
      </c>
      <c r="S3192" s="15" t="s">
        <v>8</v>
      </c>
      <c r="W3192" s="19" t="str">
        <f>HYPERLINK("http://yeinfo.com/family/I09066181.html", "WILLIAM ROBERT PAYNE 1347 EN-1397 EN ID:09066331")</f>
        <v>WILLIAM ROBERT PAYNE 1347 EN-1397 EN ID:09066331</v>
      </c>
      <c r="X3192" s="9"/>
      <c r="Y3192" s="9"/>
      <c r="Z3192" s="9"/>
      <c r="AA3192" s="9"/>
    </row>
    <row r="3193" spans="3:30" x14ac:dyDescent="0.35">
      <c r="C3193" s="15" t="s">
        <v>8</v>
      </c>
      <c r="D3193" s="15" t="s">
        <v>8</v>
      </c>
      <c r="E3193" s="15" t="s">
        <v>8</v>
      </c>
      <c r="F3193" s="15" t="s">
        <v>8</v>
      </c>
      <c r="H3193" s="15" t="s">
        <v>8</v>
      </c>
      <c r="I3193" s="15" t="s">
        <v>8</v>
      </c>
      <c r="J3193" s="15" t="s">
        <v>8</v>
      </c>
      <c r="M3193" s="15" t="s">
        <v>8</v>
      </c>
      <c r="N3193" s="15" t="s">
        <v>8</v>
      </c>
      <c r="O3193" s="15" t="s">
        <v>8</v>
      </c>
      <c r="P3193" s="15" t="s">
        <v>8</v>
      </c>
      <c r="S3193" s="15" t="s">
        <v>8</v>
      </c>
      <c r="W3193" s="8" t="s">
        <v>3</v>
      </c>
      <c r="X3193" s="8" t="s">
        <v>6</v>
      </c>
    </row>
    <row r="3194" spans="3:30" x14ac:dyDescent="0.35">
      <c r="C3194" s="15" t="s">
        <v>8</v>
      </c>
      <c r="D3194" s="15" t="s">
        <v>8</v>
      </c>
      <c r="E3194" s="15" t="s">
        <v>8</v>
      </c>
      <c r="F3194" s="15" t="s">
        <v>8</v>
      </c>
      <c r="H3194" s="15" t="s">
        <v>8</v>
      </c>
      <c r="I3194" s="15" t="s">
        <v>8</v>
      </c>
      <c r="J3194" s="15" t="s">
        <v>8</v>
      </c>
      <c r="M3194" s="15" t="s">
        <v>8</v>
      </c>
      <c r="N3194" s="15" t="s">
        <v>8</v>
      </c>
      <c r="O3194" s="15" t="s">
        <v>8</v>
      </c>
      <c r="P3194" s="15" t="s">
        <v>8</v>
      </c>
      <c r="S3194" s="15" t="s">
        <v>8</v>
      </c>
      <c r="W3194" s="15" t="s">
        <v>8</v>
      </c>
      <c r="X3194" s="20" t="str">
        <f>HYPERLINK("http://yeinfo.com/family/I09066555.html", "Mrs. MARGARET PAYNE 1335 EN-1355 EN ID:09066505")</f>
        <v>Mrs. MARGARET PAYNE 1335 EN-1355 EN ID:09066505</v>
      </c>
      <c r="Y3194" s="17"/>
      <c r="Z3194" s="17"/>
      <c r="AA3194" s="17"/>
      <c r="AB3194" s="17"/>
    </row>
    <row r="3195" spans="3:30" x14ac:dyDescent="0.35">
      <c r="C3195" s="15" t="s">
        <v>8</v>
      </c>
      <c r="D3195" s="15" t="s">
        <v>8</v>
      </c>
      <c r="E3195" s="15" t="s">
        <v>8</v>
      </c>
      <c r="F3195" s="15" t="s">
        <v>8</v>
      </c>
      <c r="H3195" s="15" t="s">
        <v>8</v>
      </c>
      <c r="I3195" s="15" t="s">
        <v>8</v>
      </c>
      <c r="J3195" s="15" t="s">
        <v>8</v>
      </c>
      <c r="M3195" s="15" t="s">
        <v>8</v>
      </c>
      <c r="N3195" s="15" t="s">
        <v>8</v>
      </c>
      <c r="O3195" s="15" t="s">
        <v>8</v>
      </c>
      <c r="P3195" s="15" t="s">
        <v>8</v>
      </c>
      <c r="S3195" s="15" t="s">
        <v>8</v>
      </c>
      <c r="W3195" s="15" t="s">
        <v>8</v>
      </c>
    </row>
    <row r="3196" spans="3:30" x14ac:dyDescent="0.35">
      <c r="C3196" s="15" t="s">
        <v>8</v>
      </c>
      <c r="D3196" s="15" t="s">
        <v>8</v>
      </c>
      <c r="E3196" s="15" t="s">
        <v>8</v>
      </c>
      <c r="F3196" s="15" t="s">
        <v>8</v>
      </c>
      <c r="H3196" s="15" t="s">
        <v>8</v>
      </c>
      <c r="I3196" s="15" t="s">
        <v>8</v>
      </c>
      <c r="J3196" s="15" t="s">
        <v>8</v>
      </c>
      <c r="M3196" s="15" t="s">
        <v>8</v>
      </c>
      <c r="N3196" s="15" t="s">
        <v>8</v>
      </c>
      <c r="O3196" s="15" t="s">
        <v>8</v>
      </c>
      <c r="P3196" s="15" t="s">
        <v>8</v>
      </c>
      <c r="S3196" s="15" t="s">
        <v>8</v>
      </c>
      <c r="V3196" s="19" t="str">
        <f>HYPERLINK("http://yeinfo.com/family/I09065993.html", "JOHN CHARLES PAYNE 1395 EN-1439 EN ID:09066181")</f>
        <v>JOHN CHARLES PAYNE 1395 EN-1439 EN ID:09066181</v>
      </c>
      <c r="W3196" s="9"/>
      <c r="X3196" s="9"/>
      <c r="Y3196" s="9"/>
      <c r="Z3196" s="9"/>
    </row>
    <row r="3197" spans="3:30" x14ac:dyDescent="0.35">
      <c r="C3197" s="15" t="s">
        <v>8</v>
      </c>
      <c r="D3197" s="15" t="s">
        <v>8</v>
      </c>
      <c r="E3197" s="15" t="s">
        <v>8</v>
      </c>
      <c r="F3197" s="15" t="s">
        <v>8</v>
      </c>
      <c r="H3197" s="15" t="s">
        <v>8</v>
      </c>
      <c r="I3197" s="15" t="s">
        <v>8</v>
      </c>
      <c r="J3197" s="15" t="s">
        <v>8</v>
      </c>
      <c r="M3197" s="15" t="s">
        <v>8</v>
      </c>
      <c r="N3197" s="15" t="s">
        <v>8</v>
      </c>
      <c r="O3197" s="15" t="s">
        <v>8</v>
      </c>
      <c r="P3197" s="15" t="s">
        <v>8</v>
      </c>
      <c r="S3197" s="15" t="s">
        <v>8</v>
      </c>
      <c r="V3197" s="8" t="s">
        <v>3</v>
      </c>
      <c r="W3197" s="15" t="s">
        <v>8</v>
      </c>
    </row>
    <row r="3198" spans="3:30" x14ac:dyDescent="0.35">
      <c r="C3198" s="15" t="s">
        <v>8</v>
      </c>
      <c r="D3198" s="15" t="s">
        <v>8</v>
      </c>
      <c r="E3198" s="15" t="s">
        <v>8</v>
      </c>
      <c r="F3198" s="15" t="s">
        <v>8</v>
      </c>
      <c r="H3198" s="15" t="s">
        <v>8</v>
      </c>
      <c r="I3198" s="15" t="s">
        <v>8</v>
      </c>
      <c r="J3198" s="15" t="s">
        <v>8</v>
      </c>
      <c r="M3198" s="15" t="s">
        <v>8</v>
      </c>
      <c r="N3198" s="15" t="s">
        <v>8</v>
      </c>
      <c r="O3198" s="15" t="s">
        <v>8</v>
      </c>
      <c r="P3198" s="15" t="s">
        <v>8</v>
      </c>
      <c r="S3198" s="15" t="s">
        <v>8</v>
      </c>
      <c r="V3198" s="15" t="s">
        <v>8</v>
      </c>
      <c r="W3198" s="15" t="s">
        <v>8</v>
      </c>
      <c r="Y3198" s="19" t="str">
        <f>HYPERLINK("http://yeinfo.com/family/I09066506.html", "RICHARD TYAS 1230 EN-1252 EN ID:09066556")</f>
        <v>RICHARD TYAS 1230 EN-1252 EN ID:09066556</v>
      </c>
      <c r="Z3198" s="9"/>
      <c r="AA3198" s="9"/>
      <c r="AB3198" s="9"/>
      <c r="AC3198" s="9"/>
    </row>
    <row r="3199" spans="3:30" x14ac:dyDescent="0.35">
      <c r="C3199" s="15" t="s">
        <v>8</v>
      </c>
      <c r="D3199" s="15" t="s">
        <v>8</v>
      </c>
      <c r="E3199" s="15" t="s">
        <v>8</v>
      </c>
      <c r="F3199" s="15" t="s">
        <v>8</v>
      </c>
      <c r="H3199" s="15" t="s">
        <v>8</v>
      </c>
      <c r="I3199" s="15" t="s">
        <v>8</v>
      </c>
      <c r="J3199" s="15" t="s">
        <v>8</v>
      </c>
      <c r="M3199" s="15" t="s">
        <v>8</v>
      </c>
      <c r="N3199" s="15" t="s">
        <v>8</v>
      </c>
      <c r="O3199" s="15" t="s">
        <v>8</v>
      </c>
      <c r="P3199" s="15" t="s">
        <v>8</v>
      </c>
      <c r="S3199" s="15" t="s">
        <v>8</v>
      </c>
      <c r="V3199" s="15" t="s">
        <v>8</v>
      </c>
      <c r="W3199" s="15" t="s">
        <v>8</v>
      </c>
      <c r="Y3199" s="8" t="s">
        <v>3</v>
      </c>
    </row>
    <row r="3200" spans="3:30" x14ac:dyDescent="0.35">
      <c r="C3200" s="15" t="s">
        <v>8</v>
      </c>
      <c r="D3200" s="15" t="s">
        <v>8</v>
      </c>
      <c r="E3200" s="15" t="s">
        <v>8</v>
      </c>
      <c r="F3200" s="15" t="s">
        <v>8</v>
      </c>
      <c r="H3200" s="15" t="s">
        <v>8</v>
      </c>
      <c r="I3200" s="15" t="s">
        <v>8</v>
      </c>
      <c r="J3200" s="15" t="s">
        <v>8</v>
      </c>
      <c r="M3200" s="15" t="s">
        <v>8</v>
      </c>
      <c r="N3200" s="15" t="s">
        <v>8</v>
      </c>
      <c r="O3200" s="15" t="s">
        <v>8</v>
      </c>
      <c r="P3200" s="15" t="s">
        <v>8</v>
      </c>
      <c r="S3200" s="15" t="s">
        <v>8</v>
      </c>
      <c r="V3200" s="15" t="s">
        <v>8</v>
      </c>
      <c r="W3200" s="15" t="s">
        <v>8</v>
      </c>
      <c r="X3200" s="19" t="str">
        <f>HYPERLINK("http://yeinfo.com/family/I09066332.html", "RICHARD TYAS 1252 -1348  ID:09066506")</f>
        <v>RICHARD TYAS 1252 -1348  ID:09066506</v>
      </c>
      <c r="Y3200" s="9"/>
      <c r="Z3200" s="9"/>
      <c r="AA3200" s="9"/>
      <c r="AB3200" s="9"/>
    </row>
    <row r="3201" spans="3:30" x14ac:dyDescent="0.35">
      <c r="C3201" s="15" t="s">
        <v>8</v>
      </c>
      <c r="D3201" s="15" t="s">
        <v>8</v>
      </c>
      <c r="E3201" s="15" t="s">
        <v>8</v>
      </c>
      <c r="F3201" s="15" t="s">
        <v>8</v>
      </c>
      <c r="H3201" s="15" t="s">
        <v>8</v>
      </c>
      <c r="I3201" s="15" t="s">
        <v>8</v>
      </c>
      <c r="J3201" s="15" t="s">
        <v>8</v>
      </c>
      <c r="M3201" s="15" t="s">
        <v>8</v>
      </c>
      <c r="N3201" s="15" t="s">
        <v>8</v>
      </c>
      <c r="O3201" s="15" t="s">
        <v>8</v>
      </c>
      <c r="P3201" s="15" t="s">
        <v>8</v>
      </c>
      <c r="S3201" s="15" t="s">
        <v>8</v>
      </c>
      <c r="V3201" s="15" t="s">
        <v>8</v>
      </c>
      <c r="W3201" s="15" t="s">
        <v>8</v>
      </c>
      <c r="X3201" s="8" t="s">
        <v>3</v>
      </c>
      <c r="Y3201" s="15" t="s">
        <v>8</v>
      </c>
    </row>
    <row r="3202" spans="3:30" x14ac:dyDescent="0.35">
      <c r="C3202" s="15" t="s">
        <v>8</v>
      </c>
      <c r="D3202" s="15" t="s">
        <v>8</v>
      </c>
      <c r="E3202" s="15" t="s">
        <v>8</v>
      </c>
      <c r="F3202" s="15" t="s">
        <v>8</v>
      </c>
      <c r="H3202" s="15" t="s">
        <v>8</v>
      </c>
      <c r="I3202" s="15" t="s">
        <v>8</v>
      </c>
      <c r="J3202" s="15" t="s">
        <v>8</v>
      </c>
      <c r="M3202" s="15" t="s">
        <v>8</v>
      </c>
      <c r="N3202" s="15" t="s">
        <v>8</v>
      </c>
      <c r="O3202" s="15" t="s">
        <v>8</v>
      </c>
      <c r="P3202" s="15" t="s">
        <v>8</v>
      </c>
      <c r="S3202" s="15" t="s">
        <v>8</v>
      </c>
      <c r="V3202" s="15" t="s">
        <v>8</v>
      </c>
      <c r="W3202" s="15" t="s">
        <v>8</v>
      </c>
      <c r="X3202" s="15" t="s">
        <v>8</v>
      </c>
      <c r="Y3202" s="15" t="s">
        <v>8</v>
      </c>
      <c r="Z3202" s="19" t="str">
        <f>HYPERLINK("http://yeinfo.com/family/I09066557.html", "ALEXANDER NEVILLE II 1210 EN-1235 EN ID:09066608")</f>
        <v>ALEXANDER NEVILLE II 1210 EN-1235 EN ID:09066608</v>
      </c>
      <c r="AA3202" s="9"/>
      <c r="AB3202" s="9"/>
      <c r="AC3202" s="9"/>
      <c r="AD3202" s="9"/>
    </row>
    <row r="3203" spans="3:30" x14ac:dyDescent="0.35">
      <c r="C3203" s="15" t="s">
        <v>8</v>
      </c>
      <c r="D3203" s="15" t="s">
        <v>8</v>
      </c>
      <c r="E3203" s="15" t="s">
        <v>8</v>
      </c>
      <c r="F3203" s="15" t="s">
        <v>8</v>
      </c>
      <c r="H3203" s="15" t="s">
        <v>8</v>
      </c>
      <c r="I3203" s="15" t="s">
        <v>8</v>
      </c>
      <c r="J3203" s="15" t="s">
        <v>8</v>
      </c>
      <c r="M3203" s="15" t="s">
        <v>8</v>
      </c>
      <c r="N3203" s="15" t="s">
        <v>8</v>
      </c>
      <c r="O3203" s="15" t="s">
        <v>8</v>
      </c>
      <c r="P3203" s="15" t="s">
        <v>8</v>
      </c>
      <c r="S3203" s="15" t="s">
        <v>8</v>
      </c>
      <c r="V3203" s="15" t="s">
        <v>8</v>
      </c>
      <c r="W3203" s="15" t="s">
        <v>8</v>
      </c>
      <c r="X3203" s="15" t="s">
        <v>8</v>
      </c>
      <c r="Y3203" s="8" t="s">
        <v>6</v>
      </c>
      <c r="Z3203" s="8" t="s">
        <v>3</v>
      </c>
    </row>
    <row r="3204" spans="3:30" x14ac:dyDescent="0.35">
      <c r="C3204" s="15" t="s">
        <v>8</v>
      </c>
      <c r="D3204" s="15" t="s">
        <v>8</v>
      </c>
      <c r="E3204" s="15" t="s">
        <v>8</v>
      </c>
      <c r="F3204" s="15" t="s">
        <v>8</v>
      </c>
      <c r="H3204" s="15" t="s">
        <v>8</v>
      </c>
      <c r="I3204" s="15" t="s">
        <v>8</v>
      </c>
      <c r="J3204" s="15" t="s">
        <v>8</v>
      </c>
      <c r="M3204" s="15" t="s">
        <v>8</v>
      </c>
      <c r="N3204" s="15" t="s">
        <v>8</v>
      </c>
      <c r="O3204" s="15" t="s">
        <v>8</v>
      </c>
      <c r="P3204" s="15" t="s">
        <v>8</v>
      </c>
      <c r="S3204" s="15" t="s">
        <v>8</v>
      </c>
      <c r="V3204" s="15" t="s">
        <v>8</v>
      </c>
      <c r="W3204" s="15" t="s">
        <v>8</v>
      </c>
      <c r="X3204" s="15" t="s">
        <v>8</v>
      </c>
      <c r="Y3204" s="20" t="str">
        <f>HYPERLINK("http://yeinfo.com/family/I09066556.html", "ELLEN NEVILLE 1235 EN-1264 EN ID:09066557")</f>
        <v>ELLEN NEVILLE 1235 EN-1264 EN ID:09066557</v>
      </c>
      <c r="Z3204" s="17"/>
      <c r="AA3204" s="17"/>
      <c r="AB3204" s="17"/>
      <c r="AC3204" s="17"/>
    </row>
    <row r="3205" spans="3:30" x14ac:dyDescent="0.35">
      <c r="C3205" s="15" t="s">
        <v>8</v>
      </c>
      <c r="D3205" s="15" t="s">
        <v>8</v>
      </c>
      <c r="E3205" s="15" t="s">
        <v>8</v>
      </c>
      <c r="F3205" s="15" t="s">
        <v>8</v>
      </c>
      <c r="H3205" s="15" t="s">
        <v>8</v>
      </c>
      <c r="I3205" s="15" t="s">
        <v>8</v>
      </c>
      <c r="J3205" s="15" t="s">
        <v>8</v>
      </c>
      <c r="M3205" s="15" t="s">
        <v>8</v>
      </c>
      <c r="N3205" s="15" t="s">
        <v>8</v>
      </c>
      <c r="O3205" s="15" t="s">
        <v>8</v>
      </c>
      <c r="P3205" s="15" t="s">
        <v>8</v>
      </c>
      <c r="S3205" s="15" t="s">
        <v>8</v>
      </c>
      <c r="V3205" s="15" t="s">
        <v>8</v>
      </c>
      <c r="W3205" s="15" t="s">
        <v>8</v>
      </c>
      <c r="X3205" s="15" t="s">
        <v>8</v>
      </c>
      <c r="Z3205" s="8" t="s">
        <v>6</v>
      </c>
    </row>
    <row r="3206" spans="3:30" x14ac:dyDescent="0.35">
      <c r="C3206" s="15" t="s">
        <v>8</v>
      </c>
      <c r="D3206" s="15" t="s">
        <v>8</v>
      </c>
      <c r="E3206" s="15" t="s">
        <v>8</v>
      </c>
      <c r="F3206" s="15" t="s">
        <v>8</v>
      </c>
      <c r="H3206" s="15" t="s">
        <v>8</v>
      </c>
      <c r="I3206" s="15" t="s">
        <v>8</v>
      </c>
      <c r="J3206" s="15" t="s">
        <v>8</v>
      </c>
      <c r="M3206" s="15" t="s">
        <v>8</v>
      </c>
      <c r="N3206" s="15" t="s">
        <v>8</v>
      </c>
      <c r="O3206" s="15" t="s">
        <v>8</v>
      </c>
      <c r="P3206" s="15" t="s">
        <v>8</v>
      </c>
      <c r="S3206" s="15" t="s">
        <v>8</v>
      </c>
      <c r="V3206" s="15" t="s">
        <v>8</v>
      </c>
      <c r="W3206" s="15" t="s">
        <v>8</v>
      </c>
      <c r="X3206" s="15" t="s">
        <v>8</v>
      </c>
      <c r="Z3206" s="20" t="str">
        <f>HYPERLINK("http://yeinfo.com/family/I09066608.html", "JULIANA MONMOUTH 1210 EN-1235 EN ID:09066609")</f>
        <v>JULIANA MONMOUTH 1210 EN-1235 EN ID:09066609</v>
      </c>
      <c r="AA3206" s="17"/>
      <c r="AB3206" s="17"/>
      <c r="AC3206" s="17"/>
      <c r="AD3206" s="17"/>
    </row>
    <row r="3207" spans="3:30" x14ac:dyDescent="0.35">
      <c r="C3207" s="15" t="s">
        <v>8</v>
      </c>
      <c r="D3207" s="15" t="s">
        <v>8</v>
      </c>
      <c r="E3207" s="15" t="s">
        <v>8</v>
      </c>
      <c r="F3207" s="15" t="s">
        <v>8</v>
      </c>
      <c r="H3207" s="15" t="s">
        <v>8</v>
      </c>
      <c r="I3207" s="15" t="s">
        <v>8</v>
      </c>
      <c r="J3207" s="15" t="s">
        <v>8</v>
      </c>
      <c r="M3207" s="15" t="s">
        <v>8</v>
      </c>
      <c r="N3207" s="15" t="s">
        <v>8</v>
      </c>
      <c r="O3207" s="15" t="s">
        <v>8</v>
      </c>
      <c r="P3207" s="15" t="s">
        <v>8</v>
      </c>
      <c r="S3207" s="15" t="s">
        <v>8</v>
      </c>
      <c r="V3207" s="15" t="s">
        <v>8</v>
      </c>
      <c r="W3207" s="8" t="s">
        <v>6</v>
      </c>
      <c r="X3207" s="15" t="s">
        <v>8</v>
      </c>
    </row>
    <row r="3208" spans="3:30" x14ac:dyDescent="0.35">
      <c r="C3208" s="15" t="s">
        <v>8</v>
      </c>
      <c r="D3208" s="15" t="s">
        <v>8</v>
      </c>
      <c r="E3208" s="15" t="s">
        <v>8</v>
      </c>
      <c r="F3208" s="15" t="s">
        <v>8</v>
      </c>
      <c r="H3208" s="15" t="s">
        <v>8</v>
      </c>
      <c r="I3208" s="15" t="s">
        <v>8</v>
      </c>
      <c r="J3208" s="15" t="s">
        <v>8</v>
      </c>
      <c r="M3208" s="15" t="s">
        <v>8</v>
      </c>
      <c r="N3208" s="15" t="s">
        <v>8</v>
      </c>
      <c r="O3208" s="15" t="s">
        <v>8</v>
      </c>
      <c r="P3208" s="15" t="s">
        <v>8</v>
      </c>
      <c r="S3208" s="15" t="s">
        <v>8</v>
      </c>
      <c r="V3208" s="15" t="s">
        <v>8</v>
      </c>
      <c r="W3208" s="20" t="str">
        <f>HYPERLINK("http://yeinfo.com/family/I09066505.html", "JOAN\JANE TYAS 1340 EN-1395  ID:09066332")</f>
        <v>JOAN\JANE TYAS 1340 EN-1395  ID:09066332</v>
      </c>
      <c r="X3208" s="17"/>
      <c r="Y3208" s="17"/>
      <c r="Z3208" s="17"/>
      <c r="AA3208" s="17"/>
      <c r="AB3208" s="17"/>
    </row>
    <row r="3209" spans="3:30" x14ac:dyDescent="0.35">
      <c r="C3209" s="15" t="s">
        <v>8</v>
      </c>
      <c r="D3209" s="15" t="s">
        <v>8</v>
      </c>
      <c r="E3209" s="15" t="s">
        <v>8</v>
      </c>
      <c r="F3209" s="15" t="s">
        <v>8</v>
      </c>
      <c r="H3209" s="15" t="s">
        <v>8</v>
      </c>
      <c r="I3209" s="15" t="s">
        <v>8</v>
      </c>
      <c r="J3209" s="15" t="s">
        <v>8</v>
      </c>
      <c r="M3209" s="15" t="s">
        <v>8</v>
      </c>
      <c r="N3209" s="15" t="s">
        <v>8</v>
      </c>
      <c r="O3209" s="15" t="s">
        <v>8</v>
      </c>
      <c r="P3209" s="15" t="s">
        <v>8</v>
      </c>
      <c r="S3209" s="15" t="s">
        <v>8</v>
      </c>
      <c r="V3209" s="15" t="s">
        <v>8</v>
      </c>
      <c r="X3209" s="15" t="s">
        <v>8</v>
      </c>
    </row>
    <row r="3210" spans="3:30" x14ac:dyDescent="0.35">
      <c r="C3210" s="15" t="s">
        <v>8</v>
      </c>
      <c r="D3210" s="15" t="s">
        <v>8</v>
      </c>
      <c r="E3210" s="15" t="s">
        <v>8</v>
      </c>
      <c r="F3210" s="15" t="s">
        <v>8</v>
      </c>
      <c r="H3210" s="15" t="s">
        <v>8</v>
      </c>
      <c r="I3210" s="15" t="s">
        <v>8</v>
      </c>
      <c r="J3210" s="15" t="s">
        <v>8</v>
      </c>
      <c r="M3210" s="15" t="s">
        <v>8</v>
      </c>
      <c r="N3210" s="15" t="s">
        <v>8</v>
      </c>
      <c r="O3210" s="15" t="s">
        <v>8</v>
      </c>
      <c r="P3210" s="15" t="s">
        <v>8</v>
      </c>
      <c r="S3210" s="15" t="s">
        <v>8</v>
      </c>
      <c r="V3210" s="15" t="s">
        <v>8</v>
      </c>
      <c r="X3210" s="15" t="s">
        <v>8</v>
      </c>
      <c r="Z3210" s="19" t="str">
        <f>HYPERLINK("http://yeinfo.com/family/I09066558.html", "HENRY TANKERSLEY II 1205 EN-1233 EN ID:09066610")</f>
        <v>HENRY TANKERSLEY II 1205 EN-1233 EN ID:09066610</v>
      </c>
      <c r="AA3210" s="9"/>
      <c r="AB3210" s="9"/>
      <c r="AC3210" s="9"/>
      <c r="AD3210" s="9"/>
    </row>
    <row r="3211" spans="3:30" x14ac:dyDescent="0.35">
      <c r="C3211" s="15" t="s">
        <v>8</v>
      </c>
      <c r="D3211" s="15" t="s">
        <v>8</v>
      </c>
      <c r="E3211" s="15" t="s">
        <v>8</v>
      </c>
      <c r="F3211" s="15" t="s">
        <v>8</v>
      </c>
      <c r="H3211" s="15" t="s">
        <v>8</v>
      </c>
      <c r="I3211" s="15" t="s">
        <v>8</v>
      </c>
      <c r="J3211" s="15" t="s">
        <v>8</v>
      </c>
      <c r="M3211" s="15" t="s">
        <v>8</v>
      </c>
      <c r="N3211" s="15" t="s">
        <v>8</v>
      </c>
      <c r="O3211" s="15" t="s">
        <v>8</v>
      </c>
      <c r="P3211" s="15" t="s">
        <v>8</v>
      </c>
      <c r="S3211" s="15" t="s">
        <v>8</v>
      </c>
      <c r="V3211" s="15" t="s">
        <v>8</v>
      </c>
      <c r="X3211" s="15" t="s">
        <v>8</v>
      </c>
      <c r="Z3211" s="8" t="s">
        <v>3</v>
      </c>
    </row>
    <row r="3212" spans="3:30" x14ac:dyDescent="0.35">
      <c r="C3212" s="15" t="s">
        <v>8</v>
      </c>
      <c r="D3212" s="15" t="s">
        <v>8</v>
      </c>
      <c r="E3212" s="15" t="s">
        <v>8</v>
      </c>
      <c r="F3212" s="15" t="s">
        <v>8</v>
      </c>
      <c r="H3212" s="15" t="s">
        <v>8</v>
      </c>
      <c r="I3212" s="15" t="s">
        <v>8</v>
      </c>
      <c r="J3212" s="15" t="s">
        <v>8</v>
      </c>
      <c r="M3212" s="15" t="s">
        <v>8</v>
      </c>
      <c r="N3212" s="15" t="s">
        <v>8</v>
      </c>
      <c r="O3212" s="15" t="s">
        <v>8</v>
      </c>
      <c r="P3212" s="15" t="s">
        <v>8</v>
      </c>
      <c r="S3212" s="15" t="s">
        <v>8</v>
      </c>
      <c r="V3212" s="15" t="s">
        <v>8</v>
      </c>
      <c r="X3212" s="15" t="s">
        <v>8</v>
      </c>
      <c r="Y3212" s="19" t="str">
        <f>HYPERLINK("http://yeinfo.com/family/I09066507.html", "RICHARD TANKERSLEY 1233 EN-1269 EN ID:09066558")</f>
        <v>RICHARD TANKERSLEY 1233 EN-1269 EN ID:09066558</v>
      </c>
      <c r="Z3212" s="9"/>
      <c r="AA3212" s="9"/>
      <c r="AB3212" s="9"/>
      <c r="AC3212" s="9"/>
    </row>
    <row r="3213" spans="3:30" x14ac:dyDescent="0.35">
      <c r="C3213" s="15" t="s">
        <v>8</v>
      </c>
      <c r="D3213" s="15" t="s">
        <v>8</v>
      </c>
      <c r="E3213" s="15" t="s">
        <v>8</v>
      </c>
      <c r="F3213" s="15" t="s">
        <v>8</v>
      </c>
      <c r="H3213" s="15" t="s">
        <v>8</v>
      </c>
      <c r="I3213" s="15" t="s">
        <v>8</v>
      </c>
      <c r="J3213" s="15" t="s">
        <v>8</v>
      </c>
      <c r="M3213" s="15" t="s">
        <v>8</v>
      </c>
      <c r="N3213" s="15" t="s">
        <v>8</v>
      </c>
      <c r="O3213" s="15" t="s">
        <v>8</v>
      </c>
      <c r="P3213" s="15" t="s">
        <v>8</v>
      </c>
      <c r="S3213" s="15" t="s">
        <v>8</v>
      </c>
      <c r="V3213" s="15" t="s">
        <v>8</v>
      </c>
      <c r="X3213" s="15" t="s">
        <v>8</v>
      </c>
      <c r="Y3213" s="8" t="s">
        <v>3</v>
      </c>
      <c r="Z3213" s="8" t="s">
        <v>6</v>
      </c>
    </row>
    <row r="3214" spans="3:30" x14ac:dyDescent="0.35">
      <c r="C3214" s="15" t="s">
        <v>8</v>
      </c>
      <c r="D3214" s="15" t="s">
        <v>8</v>
      </c>
      <c r="E3214" s="15" t="s">
        <v>8</v>
      </c>
      <c r="F3214" s="15" t="s">
        <v>8</v>
      </c>
      <c r="H3214" s="15" t="s">
        <v>8</v>
      </c>
      <c r="I3214" s="15" t="s">
        <v>8</v>
      </c>
      <c r="J3214" s="15" t="s">
        <v>8</v>
      </c>
      <c r="M3214" s="15" t="s">
        <v>8</v>
      </c>
      <c r="N3214" s="15" t="s">
        <v>8</v>
      </c>
      <c r="O3214" s="15" t="s">
        <v>8</v>
      </c>
      <c r="P3214" s="15" t="s">
        <v>8</v>
      </c>
      <c r="S3214" s="15" t="s">
        <v>8</v>
      </c>
      <c r="V3214" s="15" t="s">
        <v>8</v>
      </c>
      <c r="X3214" s="15" t="s">
        <v>8</v>
      </c>
      <c r="Y3214" s="15" t="s">
        <v>8</v>
      </c>
      <c r="Z3214" s="20" t="str">
        <f>HYPERLINK("http://yeinfo.com/family/I09066610.html", "Mrs. AGNES TANKERSLEY 1210 -1233 EN ID:09066611")</f>
        <v>Mrs. AGNES TANKERSLEY 1210 -1233 EN ID:09066611</v>
      </c>
      <c r="AA3214" s="17"/>
      <c r="AB3214" s="17"/>
      <c r="AC3214" s="17"/>
      <c r="AD3214" s="17"/>
    </row>
    <row r="3215" spans="3:30" x14ac:dyDescent="0.35">
      <c r="C3215" s="15" t="s">
        <v>8</v>
      </c>
      <c r="D3215" s="15" t="s">
        <v>8</v>
      </c>
      <c r="E3215" s="15" t="s">
        <v>8</v>
      </c>
      <c r="F3215" s="15" t="s">
        <v>8</v>
      </c>
      <c r="H3215" s="15" t="s">
        <v>8</v>
      </c>
      <c r="I3215" s="15" t="s">
        <v>8</v>
      </c>
      <c r="J3215" s="15" t="s">
        <v>8</v>
      </c>
      <c r="M3215" s="15" t="s">
        <v>8</v>
      </c>
      <c r="N3215" s="15" t="s">
        <v>8</v>
      </c>
      <c r="O3215" s="15" t="s">
        <v>8</v>
      </c>
      <c r="P3215" s="15" t="s">
        <v>8</v>
      </c>
      <c r="S3215" s="15" t="s">
        <v>8</v>
      </c>
      <c r="V3215" s="15" t="s">
        <v>8</v>
      </c>
      <c r="X3215" s="8" t="s">
        <v>6</v>
      </c>
      <c r="Y3215" s="15" t="s">
        <v>8</v>
      </c>
    </row>
    <row r="3216" spans="3:30" x14ac:dyDescent="0.35">
      <c r="C3216" s="15" t="s">
        <v>8</v>
      </c>
      <c r="D3216" s="15" t="s">
        <v>8</v>
      </c>
      <c r="E3216" s="15" t="s">
        <v>8</v>
      </c>
      <c r="F3216" s="15" t="s">
        <v>8</v>
      </c>
      <c r="H3216" s="15" t="s">
        <v>8</v>
      </c>
      <c r="I3216" s="15" t="s">
        <v>8</v>
      </c>
      <c r="J3216" s="15" t="s">
        <v>8</v>
      </c>
      <c r="M3216" s="15" t="s">
        <v>8</v>
      </c>
      <c r="N3216" s="15" t="s">
        <v>8</v>
      </c>
      <c r="O3216" s="15" t="s">
        <v>8</v>
      </c>
      <c r="P3216" s="15" t="s">
        <v>8</v>
      </c>
      <c r="S3216" s="15" t="s">
        <v>8</v>
      </c>
      <c r="V3216" s="15" t="s">
        <v>8</v>
      </c>
      <c r="X3216" s="20" t="str">
        <f>HYPERLINK("http://yeinfo.com/family/I09066609.html", "ALICE TANKERSLEY 1269 -1312 EN ID:09066507")</f>
        <v>ALICE TANKERSLEY 1269 -1312 EN ID:09066507</v>
      </c>
      <c r="Y3216" s="17"/>
      <c r="Z3216" s="17"/>
      <c r="AA3216" s="17"/>
      <c r="AB3216" s="17"/>
    </row>
    <row r="3217" spans="3:31" x14ac:dyDescent="0.35">
      <c r="C3217" s="15" t="s">
        <v>8</v>
      </c>
      <c r="D3217" s="15" t="s">
        <v>8</v>
      </c>
      <c r="E3217" s="15" t="s">
        <v>8</v>
      </c>
      <c r="F3217" s="15" t="s">
        <v>8</v>
      </c>
      <c r="H3217" s="15" t="s">
        <v>8</v>
      </c>
      <c r="I3217" s="15" t="s">
        <v>8</v>
      </c>
      <c r="J3217" s="15" t="s">
        <v>8</v>
      </c>
      <c r="M3217" s="15" t="s">
        <v>8</v>
      </c>
      <c r="N3217" s="15" t="s">
        <v>8</v>
      </c>
      <c r="O3217" s="15" t="s">
        <v>8</v>
      </c>
      <c r="P3217" s="15" t="s">
        <v>8</v>
      </c>
      <c r="S3217" s="15" t="s">
        <v>8</v>
      </c>
      <c r="V3217" s="15" t="s">
        <v>8</v>
      </c>
      <c r="Y3217" s="15" t="s">
        <v>8</v>
      </c>
    </row>
    <row r="3218" spans="3:31" x14ac:dyDescent="0.35">
      <c r="C3218" s="15" t="s">
        <v>8</v>
      </c>
      <c r="D3218" s="15" t="s">
        <v>8</v>
      </c>
      <c r="E3218" s="15" t="s">
        <v>8</v>
      </c>
      <c r="F3218" s="15" t="s">
        <v>8</v>
      </c>
      <c r="H3218" s="15" t="s">
        <v>8</v>
      </c>
      <c r="I3218" s="15" t="s">
        <v>8</v>
      </c>
      <c r="J3218" s="15" t="s">
        <v>8</v>
      </c>
      <c r="M3218" s="15" t="s">
        <v>8</v>
      </c>
      <c r="N3218" s="15" t="s">
        <v>8</v>
      </c>
      <c r="O3218" s="15" t="s">
        <v>8</v>
      </c>
      <c r="P3218" s="15" t="s">
        <v>8</v>
      </c>
      <c r="S3218" s="15" t="s">
        <v>8</v>
      </c>
      <c r="V3218" s="15" t="s">
        <v>8</v>
      </c>
      <c r="Y3218" s="15" t="s">
        <v>8</v>
      </c>
      <c r="Z3218" s="19" t="str">
        <f>HYPERLINK("http://yeinfo.com/family/I09066559.html", "JOHN THORNHILL 1180 EN-1249 EN ID:09066612")</f>
        <v>JOHN THORNHILL 1180 EN-1249 EN ID:09066612</v>
      </c>
      <c r="AA3218" s="9"/>
      <c r="AB3218" s="9"/>
      <c r="AC3218" s="9"/>
      <c r="AD3218" s="9"/>
    </row>
    <row r="3219" spans="3:31" x14ac:dyDescent="0.35">
      <c r="C3219" s="15" t="s">
        <v>8</v>
      </c>
      <c r="D3219" s="15" t="s">
        <v>8</v>
      </c>
      <c r="E3219" s="15" t="s">
        <v>8</v>
      </c>
      <c r="F3219" s="15" t="s">
        <v>8</v>
      </c>
      <c r="H3219" s="15" t="s">
        <v>8</v>
      </c>
      <c r="I3219" s="15" t="s">
        <v>8</v>
      </c>
      <c r="J3219" s="15" t="s">
        <v>8</v>
      </c>
      <c r="M3219" s="15" t="s">
        <v>8</v>
      </c>
      <c r="N3219" s="15" t="s">
        <v>8</v>
      </c>
      <c r="O3219" s="15" t="s">
        <v>8</v>
      </c>
      <c r="P3219" s="15" t="s">
        <v>8</v>
      </c>
      <c r="S3219" s="15" t="s">
        <v>8</v>
      </c>
      <c r="V3219" s="15" t="s">
        <v>8</v>
      </c>
      <c r="Y3219" s="8" t="s">
        <v>6</v>
      </c>
      <c r="Z3219" s="8" t="s">
        <v>3</v>
      </c>
    </row>
    <row r="3220" spans="3:31" x14ac:dyDescent="0.35">
      <c r="C3220" s="15" t="s">
        <v>8</v>
      </c>
      <c r="D3220" s="15" t="s">
        <v>8</v>
      </c>
      <c r="E3220" s="15" t="s">
        <v>8</v>
      </c>
      <c r="F3220" s="15" t="s">
        <v>8</v>
      </c>
      <c r="H3220" s="15" t="s">
        <v>8</v>
      </c>
      <c r="I3220" s="15" t="s">
        <v>8</v>
      </c>
      <c r="J3220" s="15" t="s">
        <v>8</v>
      </c>
      <c r="M3220" s="15" t="s">
        <v>8</v>
      </c>
      <c r="N3220" s="15" t="s">
        <v>8</v>
      </c>
      <c r="O3220" s="15" t="s">
        <v>8</v>
      </c>
      <c r="P3220" s="15" t="s">
        <v>8</v>
      </c>
      <c r="S3220" s="15" t="s">
        <v>8</v>
      </c>
      <c r="V3220" s="15" t="s">
        <v>8</v>
      </c>
      <c r="Y3220" s="20" t="str">
        <f>HYPERLINK("http://yeinfo.com/family/I09066611.html", "SARAH THORNHILL 1233 EN-1269  ID:09066559")</f>
        <v>SARAH THORNHILL 1233 EN-1269  ID:09066559</v>
      </c>
      <c r="Z3220" s="17"/>
      <c r="AA3220" s="17"/>
      <c r="AB3220" s="17"/>
      <c r="AC3220" s="17"/>
    </row>
    <row r="3221" spans="3:31" x14ac:dyDescent="0.35">
      <c r="C3221" s="15" t="s">
        <v>8</v>
      </c>
      <c r="D3221" s="15" t="s">
        <v>8</v>
      </c>
      <c r="E3221" s="15" t="s">
        <v>8</v>
      </c>
      <c r="F3221" s="15" t="s">
        <v>8</v>
      </c>
      <c r="H3221" s="15" t="s">
        <v>8</v>
      </c>
      <c r="I3221" s="15" t="s">
        <v>8</v>
      </c>
      <c r="J3221" s="15" t="s">
        <v>8</v>
      </c>
      <c r="M3221" s="15" t="s">
        <v>8</v>
      </c>
      <c r="N3221" s="15" t="s">
        <v>8</v>
      </c>
      <c r="O3221" s="15" t="s">
        <v>8</v>
      </c>
      <c r="P3221" s="15" t="s">
        <v>8</v>
      </c>
      <c r="S3221" s="15" t="s">
        <v>8</v>
      </c>
      <c r="V3221" s="15" t="s">
        <v>8</v>
      </c>
      <c r="Z3221" s="8" t="s">
        <v>6</v>
      </c>
    </row>
    <row r="3222" spans="3:31" x14ac:dyDescent="0.35">
      <c r="C3222" s="15" t="s">
        <v>8</v>
      </c>
      <c r="D3222" s="15" t="s">
        <v>8</v>
      </c>
      <c r="E3222" s="15" t="s">
        <v>8</v>
      </c>
      <c r="F3222" s="15" t="s">
        <v>8</v>
      </c>
      <c r="H3222" s="15" t="s">
        <v>8</v>
      </c>
      <c r="I3222" s="15" t="s">
        <v>8</v>
      </c>
      <c r="J3222" s="15" t="s">
        <v>8</v>
      </c>
      <c r="M3222" s="15" t="s">
        <v>8</v>
      </c>
      <c r="N3222" s="15" t="s">
        <v>8</v>
      </c>
      <c r="O3222" s="15" t="s">
        <v>8</v>
      </c>
      <c r="P3222" s="15" t="s">
        <v>8</v>
      </c>
      <c r="S3222" s="15" t="s">
        <v>8</v>
      </c>
      <c r="V3222" s="15" t="s">
        <v>8</v>
      </c>
      <c r="Z3222" s="20" t="str">
        <f>HYPERLINK("http://yeinfo.com/family/I09066612.html", "OLIVE\OLIVIA MARE 1200 EN-1254 EN ID:09066613")</f>
        <v>OLIVE\OLIVIA MARE 1200 EN-1254 EN ID:09066613</v>
      </c>
      <c r="AA3222" s="17"/>
      <c r="AB3222" s="17"/>
      <c r="AC3222" s="17"/>
      <c r="AD3222" s="17"/>
      <c r="AE3222" s="17"/>
    </row>
    <row r="3223" spans="3:31" x14ac:dyDescent="0.35">
      <c r="C3223" s="15" t="s">
        <v>8</v>
      </c>
      <c r="D3223" s="15" t="s">
        <v>8</v>
      </c>
      <c r="E3223" s="15" t="s">
        <v>8</v>
      </c>
      <c r="F3223" s="15" t="s">
        <v>8</v>
      </c>
      <c r="H3223" s="15" t="s">
        <v>8</v>
      </c>
      <c r="I3223" s="15" t="s">
        <v>8</v>
      </c>
      <c r="J3223" s="15" t="s">
        <v>8</v>
      </c>
      <c r="M3223" s="15" t="s">
        <v>8</v>
      </c>
      <c r="N3223" s="15" t="s">
        <v>8</v>
      </c>
      <c r="O3223" s="15" t="s">
        <v>8</v>
      </c>
      <c r="P3223" s="15" t="s">
        <v>8</v>
      </c>
      <c r="S3223" s="15" t="s">
        <v>8</v>
      </c>
      <c r="V3223" s="15" t="s">
        <v>8</v>
      </c>
    </row>
    <row r="3224" spans="3:31" x14ac:dyDescent="0.35">
      <c r="C3224" s="15" t="s">
        <v>8</v>
      </c>
      <c r="D3224" s="15" t="s">
        <v>8</v>
      </c>
      <c r="E3224" s="15" t="s">
        <v>8</v>
      </c>
      <c r="F3224" s="15" t="s">
        <v>8</v>
      </c>
      <c r="H3224" s="15" t="s">
        <v>8</v>
      </c>
      <c r="I3224" s="15" t="s">
        <v>8</v>
      </c>
      <c r="J3224" s="15" t="s">
        <v>8</v>
      </c>
      <c r="M3224" s="15" t="s">
        <v>8</v>
      </c>
      <c r="N3224" s="15" t="s">
        <v>8</v>
      </c>
      <c r="O3224" s="15" t="s">
        <v>8</v>
      </c>
      <c r="P3224" s="15" t="s">
        <v>8</v>
      </c>
      <c r="S3224" s="15" t="s">
        <v>8</v>
      </c>
      <c r="U3224" s="19" t="str">
        <f>HYPERLINK("http://yeinfo.com/family/I09065829.html", "JOHN CHARLES PAYNE 1420 EN-1463 EN ID:09065993")</f>
        <v>JOHN CHARLES PAYNE 1420 EN-1463 EN ID:09065993</v>
      </c>
      <c r="V3224" s="9"/>
      <c r="W3224" s="9"/>
      <c r="X3224" s="9"/>
      <c r="Y3224" s="9"/>
    </row>
    <row r="3225" spans="3:31" x14ac:dyDescent="0.35">
      <c r="C3225" s="15" t="s">
        <v>8</v>
      </c>
      <c r="D3225" s="15" t="s">
        <v>8</v>
      </c>
      <c r="E3225" s="15" t="s">
        <v>8</v>
      </c>
      <c r="F3225" s="15" t="s">
        <v>8</v>
      </c>
      <c r="H3225" s="15" t="s">
        <v>8</v>
      </c>
      <c r="I3225" s="15" t="s">
        <v>8</v>
      </c>
      <c r="J3225" s="15" t="s">
        <v>8</v>
      </c>
      <c r="M3225" s="15" t="s">
        <v>8</v>
      </c>
      <c r="N3225" s="15" t="s">
        <v>8</v>
      </c>
      <c r="O3225" s="15" t="s">
        <v>8</v>
      </c>
      <c r="P3225" s="15" t="s">
        <v>8</v>
      </c>
      <c r="S3225" s="15" t="s">
        <v>8</v>
      </c>
      <c r="U3225" s="8" t="s">
        <v>3</v>
      </c>
      <c r="V3225" s="15" t="s">
        <v>8</v>
      </c>
    </row>
    <row r="3226" spans="3:31" x14ac:dyDescent="0.35">
      <c r="C3226" s="15" t="s">
        <v>8</v>
      </c>
      <c r="D3226" s="15" t="s">
        <v>8</v>
      </c>
      <c r="E3226" s="15" t="s">
        <v>8</v>
      </c>
      <c r="F3226" s="15" t="s">
        <v>8</v>
      </c>
      <c r="H3226" s="15" t="s">
        <v>8</v>
      </c>
      <c r="I3226" s="15" t="s">
        <v>8</v>
      </c>
      <c r="J3226" s="15" t="s">
        <v>8</v>
      </c>
      <c r="M3226" s="15" t="s">
        <v>8</v>
      </c>
      <c r="N3226" s="15" t="s">
        <v>8</v>
      </c>
      <c r="O3226" s="15" t="s">
        <v>8</v>
      </c>
      <c r="P3226" s="15" t="s">
        <v>8</v>
      </c>
      <c r="S3226" s="15" t="s">
        <v>8</v>
      </c>
      <c r="U3226" s="15" t="s">
        <v>8</v>
      </c>
      <c r="V3226" s="15" t="s">
        <v>8</v>
      </c>
      <c r="W3226" s="19" t="str">
        <f>HYPERLINK("http://yeinfo.com/family/I09066182.html", "JOHN MIDDLETON 1374 EN-1397  ID:09066430")</f>
        <v>JOHN MIDDLETON 1374 EN-1397  ID:09066430</v>
      </c>
      <c r="X3226" s="9"/>
      <c r="Y3226" s="9"/>
      <c r="Z3226" s="9"/>
      <c r="AA3226" s="9"/>
    </row>
    <row r="3227" spans="3:31" x14ac:dyDescent="0.35">
      <c r="C3227" s="15" t="s">
        <v>8</v>
      </c>
      <c r="D3227" s="15" t="s">
        <v>8</v>
      </c>
      <c r="E3227" s="15" t="s">
        <v>8</v>
      </c>
      <c r="F3227" s="15" t="s">
        <v>8</v>
      </c>
      <c r="H3227" s="15" t="s">
        <v>8</v>
      </c>
      <c r="I3227" s="15" t="s">
        <v>8</v>
      </c>
      <c r="J3227" s="15" t="s">
        <v>8</v>
      </c>
      <c r="M3227" s="15" t="s">
        <v>8</v>
      </c>
      <c r="N3227" s="15" t="s">
        <v>8</v>
      </c>
      <c r="O3227" s="15" t="s">
        <v>8</v>
      </c>
      <c r="P3227" s="15" t="s">
        <v>8</v>
      </c>
      <c r="S3227" s="15" t="s">
        <v>8</v>
      </c>
      <c r="U3227" s="15" t="s">
        <v>8</v>
      </c>
      <c r="V3227" s="8" t="s">
        <v>6</v>
      </c>
      <c r="W3227" s="8" t="s">
        <v>3</v>
      </c>
    </row>
    <row r="3228" spans="3:31" x14ac:dyDescent="0.35">
      <c r="C3228" s="15" t="s">
        <v>8</v>
      </c>
      <c r="D3228" s="15" t="s">
        <v>8</v>
      </c>
      <c r="E3228" s="15" t="s">
        <v>8</v>
      </c>
      <c r="F3228" s="15" t="s">
        <v>8</v>
      </c>
      <c r="H3228" s="15" t="s">
        <v>8</v>
      </c>
      <c r="I3228" s="15" t="s">
        <v>8</v>
      </c>
      <c r="J3228" s="15" t="s">
        <v>8</v>
      </c>
      <c r="M3228" s="15" t="s">
        <v>8</v>
      </c>
      <c r="N3228" s="15" t="s">
        <v>8</v>
      </c>
      <c r="O3228" s="15" t="s">
        <v>8</v>
      </c>
      <c r="P3228" s="15" t="s">
        <v>8</v>
      </c>
      <c r="S3228" s="15" t="s">
        <v>8</v>
      </c>
      <c r="U3228" s="15" t="s">
        <v>8</v>
      </c>
      <c r="V3228" s="20" t="str">
        <f>HYPERLINK("http://yeinfo.com/family/I09066613.html", "AGNES KATE MIDDLETON 1397 EN-1463 EN ID:09066182")</f>
        <v>AGNES KATE MIDDLETON 1397 EN-1463 EN ID:09066182</v>
      </c>
      <c r="W3228" s="17"/>
      <c r="X3228" s="17"/>
      <c r="Y3228" s="17"/>
      <c r="Z3228" s="17"/>
    </row>
    <row r="3229" spans="3:31" x14ac:dyDescent="0.35">
      <c r="C3229" s="15" t="s">
        <v>8</v>
      </c>
      <c r="D3229" s="15" t="s">
        <v>8</v>
      </c>
      <c r="E3229" s="15" t="s">
        <v>8</v>
      </c>
      <c r="F3229" s="15" t="s">
        <v>8</v>
      </c>
      <c r="H3229" s="15" t="s">
        <v>8</v>
      </c>
      <c r="I3229" s="15" t="s">
        <v>8</v>
      </c>
      <c r="J3229" s="15" t="s">
        <v>8</v>
      </c>
      <c r="M3229" s="15" t="s">
        <v>8</v>
      </c>
      <c r="N3229" s="15" t="s">
        <v>8</v>
      </c>
      <c r="O3229" s="15" t="s">
        <v>8</v>
      </c>
      <c r="P3229" s="15" t="s">
        <v>8</v>
      </c>
      <c r="S3229" s="15" t="s">
        <v>8</v>
      </c>
      <c r="U3229" s="15" t="s">
        <v>8</v>
      </c>
      <c r="W3229" s="8" t="s">
        <v>6</v>
      </c>
    </row>
    <row r="3230" spans="3:31" x14ac:dyDescent="0.35">
      <c r="C3230" s="15" t="s">
        <v>8</v>
      </c>
      <c r="D3230" s="15" t="s">
        <v>8</v>
      </c>
      <c r="E3230" s="15" t="s">
        <v>8</v>
      </c>
      <c r="F3230" s="15" t="s">
        <v>8</v>
      </c>
      <c r="H3230" s="15" t="s">
        <v>8</v>
      </c>
      <c r="I3230" s="15" t="s">
        <v>8</v>
      </c>
      <c r="J3230" s="15" t="s">
        <v>8</v>
      </c>
      <c r="M3230" s="15" t="s">
        <v>8</v>
      </c>
      <c r="N3230" s="15" t="s">
        <v>8</v>
      </c>
      <c r="O3230" s="15" t="s">
        <v>8</v>
      </c>
      <c r="P3230" s="15" t="s">
        <v>8</v>
      </c>
      <c r="S3230" s="15" t="s">
        <v>8</v>
      </c>
      <c r="U3230" s="15" t="s">
        <v>8</v>
      </c>
      <c r="W3230" s="20" t="str">
        <f>HYPERLINK("http://yeinfo.com/family/I09066430.html", "CHRISTIANA STRIVELYN 1375 EN-1397 EN ID:09066431")</f>
        <v>CHRISTIANA STRIVELYN 1375 EN-1397 EN ID:09066431</v>
      </c>
      <c r="X3230" s="17"/>
      <c r="Y3230" s="17"/>
      <c r="Z3230" s="17"/>
      <c r="AA3230" s="17"/>
    </row>
    <row r="3231" spans="3:31" x14ac:dyDescent="0.35">
      <c r="C3231" s="15" t="s">
        <v>8</v>
      </c>
      <c r="D3231" s="15" t="s">
        <v>8</v>
      </c>
      <c r="E3231" s="15" t="s">
        <v>8</v>
      </c>
      <c r="F3231" s="15" t="s">
        <v>8</v>
      </c>
      <c r="H3231" s="15" t="s">
        <v>8</v>
      </c>
      <c r="I3231" s="15" t="s">
        <v>8</v>
      </c>
      <c r="J3231" s="15" t="s">
        <v>8</v>
      </c>
      <c r="M3231" s="15" t="s">
        <v>8</v>
      </c>
      <c r="N3231" s="15" t="s">
        <v>8</v>
      </c>
      <c r="O3231" s="15" t="s">
        <v>8</v>
      </c>
      <c r="P3231" s="15" t="s">
        <v>8</v>
      </c>
      <c r="S3231" s="15" t="s">
        <v>8</v>
      </c>
      <c r="U3231" s="15" t="s">
        <v>8</v>
      </c>
    </row>
    <row r="3232" spans="3:31" x14ac:dyDescent="0.35">
      <c r="C3232" s="15" t="s">
        <v>8</v>
      </c>
      <c r="D3232" s="15" t="s">
        <v>8</v>
      </c>
      <c r="E3232" s="15" t="s">
        <v>8</v>
      </c>
      <c r="F3232" s="15" t="s">
        <v>8</v>
      </c>
      <c r="H3232" s="15" t="s">
        <v>8</v>
      </c>
      <c r="I3232" s="15" t="s">
        <v>8</v>
      </c>
      <c r="J3232" s="15" t="s">
        <v>8</v>
      </c>
      <c r="M3232" s="15" t="s">
        <v>8</v>
      </c>
      <c r="N3232" s="15" t="s">
        <v>8</v>
      </c>
      <c r="O3232" s="15" t="s">
        <v>8</v>
      </c>
      <c r="P3232" s="15" t="s">
        <v>8</v>
      </c>
      <c r="S3232" s="15" t="s">
        <v>8</v>
      </c>
      <c r="T3232" s="19" t="str">
        <f>HYPERLINK("http://yeinfo.com/family/I09065695.html", "STEPHEN GUILLAME PAYNE 1450 EN-1505 EN ID:09065829")</f>
        <v>STEPHEN GUILLAME PAYNE 1450 EN-1505 EN ID:09065829</v>
      </c>
      <c r="U3232" s="9"/>
      <c r="V3232" s="9"/>
      <c r="W3232" s="9"/>
      <c r="X3232" s="9"/>
    </row>
    <row r="3233" spans="3:27" x14ac:dyDescent="0.35">
      <c r="C3233" s="15" t="s">
        <v>8</v>
      </c>
      <c r="D3233" s="15" t="s">
        <v>8</v>
      </c>
      <c r="E3233" s="15" t="s">
        <v>8</v>
      </c>
      <c r="F3233" s="15" t="s">
        <v>8</v>
      </c>
      <c r="H3233" s="15" t="s">
        <v>8</v>
      </c>
      <c r="I3233" s="15" t="s">
        <v>8</v>
      </c>
      <c r="J3233" s="15" t="s">
        <v>8</v>
      </c>
      <c r="M3233" s="15" t="s">
        <v>8</v>
      </c>
      <c r="N3233" s="15" t="s">
        <v>8</v>
      </c>
      <c r="O3233" s="15" t="s">
        <v>8</v>
      </c>
      <c r="P3233" s="15" t="s">
        <v>8</v>
      </c>
      <c r="S3233" s="15" t="s">
        <v>8</v>
      </c>
      <c r="T3233" s="8" t="s">
        <v>3</v>
      </c>
      <c r="U3233" s="15" t="s">
        <v>8</v>
      </c>
    </row>
    <row r="3234" spans="3:27" x14ac:dyDescent="0.35">
      <c r="C3234" s="15" t="s">
        <v>8</v>
      </c>
      <c r="D3234" s="15" t="s">
        <v>8</v>
      </c>
      <c r="E3234" s="15" t="s">
        <v>8</v>
      </c>
      <c r="F3234" s="15" t="s">
        <v>8</v>
      </c>
      <c r="H3234" s="15" t="s">
        <v>8</v>
      </c>
      <c r="I3234" s="15" t="s">
        <v>8</v>
      </c>
      <c r="J3234" s="15" t="s">
        <v>8</v>
      </c>
      <c r="M3234" s="15" t="s">
        <v>8</v>
      </c>
      <c r="N3234" s="15" t="s">
        <v>8</v>
      </c>
      <c r="O3234" s="15" t="s">
        <v>8</v>
      </c>
      <c r="P3234" s="15" t="s">
        <v>8</v>
      </c>
      <c r="S3234" s="15" t="s">
        <v>8</v>
      </c>
      <c r="T3234" s="15" t="s">
        <v>8</v>
      </c>
      <c r="U3234" s="15" t="s">
        <v>8</v>
      </c>
      <c r="V3234" s="19" t="str">
        <f>HYPERLINK("http://yeinfo.com/family/I09065994.html", "JOHN WEBB 1405 EN-1455 EN ID:09066271")</f>
        <v>JOHN WEBB 1405 EN-1455 EN ID:09066271</v>
      </c>
      <c r="W3234" s="9"/>
      <c r="X3234" s="9"/>
      <c r="Y3234" s="9"/>
      <c r="Z3234" s="9"/>
    </row>
    <row r="3235" spans="3:27" x14ac:dyDescent="0.35">
      <c r="C3235" s="15" t="s">
        <v>8</v>
      </c>
      <c r="D3235" s="15" t="s">
        <v>8</v>
      </c>
      <c r="E3235" s="15" t="s">
        <v>8</v>
      </c>
      <c r="F3235" s="15" t="s">
        <v>8</v>
      </c>
      <c r="H3235" s="15" t="s">
        <v>8</v>
      </c>
      <c r="I3235" s="15" t="s">
        <v>8</v>
      </c>
      <c r="J3235" s="15" t="s">
        <v>8</v>
      </c>
      <c r="M3235" s="15" t="s">
        <v>8</v>
      </c>
      <c r="N3235" s="15" t="s">
        <v>8</v>
      </c>
      <c r="O3235" s="15" t="s">
        <v>8</v>
      </c>
      <c r="P3235" s="15" t="s">
        <v>8</v>
      </c>
      <c r="S3235" s="15" t="s">
        <v>8</v>
      </c>
      <c r="T3235" s="15" t="s">
        <v>8</v>
      </c>
      <c r="U3235" s="8" t="s">
        <v>6</v>
      </c>
      <c r="V3235" s="8" t="s">
        <v>3</v>
      </c>
    </row>
    <row r="3236" spans="3:27" x14ac:dyDescent="0.35">
      <c r="C3236" s="15" t="s">
        <v>8</v>
      </c>
      <c r="D3236" s="15" t="s">
        <v>8</v>
      </c>
      <c r="E3236" s="15" t="s">
        <v>8</v>
      </c>
      <c r="F3236" s="15" t="s">
        <v>8</v>
      </c>
      <c r="H3236" s="15" t="s">
        <v>8</v>
      </c>
      <c r="I3236" s="15" t="s">
        <v>8</v>
      </c>
      <c r="J3236" s="15" t="s">
        <v>8</v>
      </c>
      <c r="M3236" s="15" t="s">
        <v>8</v>
      </c>
      <c r="N3236" s="15" t="s">
        <v>8</v>
      </c>
      <c r="O3236" s="15" t="s">
        <v>8</v>
      </c>
      <c r="P3236" s="15" t="s">
        <v>8</v>
      </c>
      <c r="S3236" s="15" t="s">
        <v>8</v>
      </c>
      <c r="T3236" s="15" t="s">
        <v>8</v>
      </c>
      <c r="U3236" s="20" t="str">
        <f>HYPERLINK("http://yeinfo.com/family/I09066431.html", "JOANE MARGERY WEBB 1423 EN-1463 EN ID:09065994")</f>
        <v>JOANE MARGERY WEBB 1423 EN-1463 EN ID:09065994</v>
      </c>
      <c r="V3236" s="17"/>
      <c r="W3236" s="17"/>
      <c r="X3236" s="17"/>
      <c r="Y3236" s="17"/>
    </row>
    <row r="3237" spans="3:27" x14ac:dyDescent="0.35">
      <c r="C3237" s="15" t="s">
        <v>8</v>
      </c>
      <c r="D3237" s="15" t="s">
        <v>8</v>
      </c>
      <c r="E3237" s="15" t="s">
        <v>8</v>
      </c>
      <c r="F3237" s="15" t="s">
        <v>8</v>
      </c>
      <c r="H3237" s="15" t="s">
        <v>8</v>
      </c>
      <c r="I3237" s="15" t="s">
        <v>8</v>
      </c>
      <c r="J3237" s="15" t="s">
        <v>8</v>
      </c>
      <c r="M3237" s="15" t="s">
        <v>8</v>
      </c>
      <c r="N3237" s="15" t="s">
        <v>8</v>
      </c>
      <c r="O3237" s="15" t="s">
        <v>8</v>
      </c>
      <c r="P3237" s="15" t="s">
        <v>8</v>
      </c>
      <c r="S3237" s="15" t="s">
        <v>8</v>
      </c>
      <c r="T3237" s="15" t="s">
        <v>8</v>
      </c>
      <c r="V3237" s="8" t="s">
        <v>6</v>
      </c>
    </row>
    <row r="3238" spans="3:27" x14ac:dyDescent="0.35">
      <c r="C3238" s="15" t="s">
        <v>8</v>
      </c>
      <c r="D3238" s="15" t="s">
        <v>8</v>
      </c>
      <c r="E3238" s="15" t="s">
        <v>8</v>
      </c>
      <c r="F3238" s="15" t="s">
        <v>8</v>
      </c>
      <c r="H3238" s="15" t="s">
        <v>8</v>
      </c>
      <c r="I3238" s="15" t="s">
        <v>8</v>
      </c>
      <c r="J3238" s="15" t="s">
        <v>8</v>
      </c>
      <c r="M3238" s="15" t="s">
        <v>8</v>
      </c>
      <c r="N3238" s="15" t="s">
        <v>8</v>
      </c>
      <c r="O3238" s="15" t="s">
        <v>8</v>
      </c>
      <c r="P3238" s="15" t="s">
        <v>8</v>
      </c>
      <c r="S3238" s="15" t="s">
        <v>8</v>
      </c>
      <c r="T3238" s="15" t="s">
        <v>8</v>
      </c>
      <c r="V3238" s="20" t="str">
        <f>HYPERLINK("http://yeinfo.com/family/I09066271.html", "JOHANNE HALL 1405 EN-1425 EN ID:09066272")</f>
        <v>JOHANNE HALL 1405 EN-1425 EN ID:09066272</v>
      </c>
      <c r="W3238" s="17"/>
      <c r="X3238" s="17"/>
      <c r="Y3238" s="17"/>
      <c r="Z3238" s="17"/>
    </row>
    <row r="3239" spans="3:27" x14ac:dyDescent="0.35">
      <c r="C3239" s="15" t="s">
        <v>8</v>
      </c>
      <c r="D3239" s="15" t="s">
        <v>8</v>
      </c>
      <c r="E3239" s="15" t="s">
        <v>8</v>
      </c>
      <c r="F3239" s="15" t="s">
        <v>8</v>
      </c>
      <c r="H3239" s="15" t="s">
        <v>8</v>
      </c>
      <c r="I3239" s="15" t="s">
        <v>8</v>
      </c>
      <c r="J3239" s="15" t="s">
        <v>8</v>
      </c>
      <c r="M3239" s="15" t="s">
        <v>8</v>
      </c>
      <c r="N3239" s="15" t="s">
        <v>8</v>
      </c>
      <c r="O3239" s="15" t="s">
        <v>8</v>
      </c>
      <c r="P3239" s="15" t="s">
        <v>8</v>
      </c>
      <c r="S3239" s="8" t="s">
        <v>6</v>
      </c>
      <c r="T3239" s="15" t="s">
        <v>8</v>
      </c>
    </row>
    <row r="3240" spans="3:27" x14ac:dyDescent="0.35">
      <c r="C3240" s="15" t="s">
        <v>8</v>
      </c>
      <c r="D3240" s="15" t="s">
        <v>8</v>
      </c>
      <c r="E3240" s="15" t="s">
        <v>8</v>
      </c>
      <c r="F3240" s="15" t="s">
        <v>8</v>
      </c>
      <c r="H3240" s="15" t="s">
        <v>8</v>
      </c>
      <c r="I3240" s="15" t="s">
        <v>8</v>
      </c>
      <c r="J3240" s="15" t="s">
        <v>8</v>
      </c>
      <c r="M3240" s="15" t="s">
        <v>8</v>
      </c>
      <c r="N3240" s="15" t="s">
        <v>8</v>
      </c>
      <c r="O3240" s="15" t="s">
        <v>8</v>
      </c>
      <c r="P3240" s="15" t="s">
        <v>8</v>
      </c>
      <c r="S3240" s="20" t="str">
        <f>HYPERLINK("http://yeinfo.com/family/I09065828.html", "ELIZABETH PAYNE 1492 -1548 EN ID:09065695")</f>
        <v>ELIZABETH PAYNE 1492 -1548 EN ID:09065695</v>
      </c>
      <c r="T3240" s="17"/>
      <c r="U3240" s="17"/>
      <c r="V3240" s="17"/>
      <c r="W3240" s="17"/>
    </row>
    <row r="3241" spans="3:27" x14ac:dyDescent="0.35">
      <c r="C3241" s="15" t="s">
        <v>8</v>
      </c>
      <c r="D3241" s="15" t="s">
        <v>8</v>
      </c>
      <c r="E3241" s="15" t="s">
        <v>8</v>
      </c>
      <c r="F3241" s="15" t="s">
        <v>8</v>
      </c>
      <c r="H3241" s="15" t="s">
        <v>8</v>
      </c>
      <c r="I3241" s="15" t="s">
        <v>8</v>
      </c>
      <c r="J3241" s="15" t="s">
        <v>8</v>
      </c>
      <c r="M3241" s="15" t="s">
        <v>8</v>
      </c>
      <c r="N3241" s="15" t="s">
        <v>8</v>
      </c>
      <c r="O3241" s="15" t="s">
        <v>8</v>
      </c>
      <c r="P3241" s="15" t="s">
        <v>8</v>
      </c>
      <c r="T3241" s="15" t="s">
        <v>8</v>
      </c>
    </row>
    <row r="3242" spans="3:27" x14ac:dyDescent="0.35">
      <c r="C3242" s="15" t="s">
        <v>8</v>
      </c>
      <c r="D3242" s="15" t="s">
        <v>8</v>
      </c>
      <c r="E3242" s="15" t="s">
        <v>8</v>
      </c>
      <c r="F3242" s="15" t="s">
        <v>8</v>
      </c>
      <c r="H3242" s="15" t="s">
        <v>8</v>
      </c>
      <c r="I3242" s="15" t="s">
        <v>8</v>
      </c>
      <c r="J3242" s="15" t="s">
        <v>8</v>
      </c>
      <c r="M3242" s="15" t="s">
        <v>8</v>
      </c>
      <c r="N3242" s="15" t="s">
        <v>8</v>
      </c>
      <c r="O3242" s="15" t="s">
        <v>8</v>
      </c>
      <c r="P3242" s="15" t="s">
        <v>8</v>
      </c>
      <c r="T3242" s="15" t="s">
        <v>8</v>
      </c>
      <c r="U3242" s="19" t="str">
        <f>HYPERLINK("http://yeinfo.com/family/I09065830.html", "JOHN GAVIN WEBB 1435 -1495 EN ID:09065995")</f>
        <v>JOHN GAVIN WEBB 1435 -1495 EN ID:09065995</v>
      </c>
      <c r="V3242" s="9"/>
      <c r="W3242" s="9"/>
      <c r="X3242" s="9"/>
      <c r="Y3242" s="9"/>
    </row>
    <row r="3243" spans="3:27" x14ac:dyDescent="0.35">
      <c r="C3243" s="15" t="s">
        <v>8</v>
      </c>
      <c r="D3243" s="15" t="s">
        <v>8</v>
      </c>
      <c r="E3243" s="15" t="s">
        <v>8</v>
      </c>
      <c r="F3243" s="15" t="s">
        <v>8</v>
      </c>
      <c r="H3243" s="15" t="s">
        <v>8</v>
      </c>
      <c r="I3243" s="15" t="s">
        <v>8</v>
      </c>
      <c r="J3243" s="15" t="s">
        <v>8</v>
      </c>
      <c r="M3243" s="15" t="s">
        <v>8</v>
      </c>
      <c r="N3243" s="15" t="s">
        <v>8</v>
      </c>
      <c r="O3243" s="15" t="s">
        <v>8</v>
      </c>
      <c r="P3243" s="15" t="s">
        <v>8</v>
      </c>
      <c r="T3243" s="8" t="s">
        <v>6</v>
      </c>
      <c r="U3243" s="8" t="s">
        <v>3</v>
      </c>
    </row>
    <row r="3244" spans="3:27" x14ac:dyDescent="0.35">
      <c r="C3244" s="15" t="s">
        <v>8</v>
      </c>
      <c r="D3244" s="15" t="s">
        <v>8</v>
      </c>
      <c r="E3244" s="15" t="s">
        <v>8</v>
      </c>
      <c r="F3244" s="15" t="s">
        <v>8</v>
      </c>
      <c r="H3244" s="15" t="s">
        <v>8</v>
      </c>
      <c r="I3244" s="15" t="s">
        <v>8</v>
      </c>
      <c r="J3244" s="15" t="s">
        <v>8</v>
      </c>
      <c r="M3244" s="15" t="s">
        <v>8</v>
      </c>
      <c r="N3244" s="15" t="s">
        <v>8</v>
      </c>
      <c r="O3244" s="15" t="s">
        <v>8</v>
      </c>
      <c r="P3244" s="15" t="s">
        <v>8</v>
      </c>
      <c r="T3244" s="20" t="str">
        <f>HYPERLINK("http://yeinfo.com/family/I09066272.html", "ALICE\JOHANE MARGARET WEBB 1459 EN-1492 EN ID:09065830")</f>
        <v>ALICE\JOHANE MARGARET WEBB 1459 EN-1492 EN ID:09065830</v>
      </c>
      <c r="U3244" s="17"/>
      <c r="V3244" s="17"/>
      <c r="W3244" s="17"/>
      <c r="X3244" s="17"/>
      <c r="Y3244" s="17"/>
    </row>
    <row r="3245" spans="3:27" x14ac:dyDescent="0.35">
      <c r="C3245" s="15" t="s">
        <v>8</v>
      </c>
      <c r="D3245" s="15" t="s">
        <v>8</v>
      </c>
      <c r="E3245" s="15" t="s">
        <v>8</v>
      </c>
      <c r="F3245" s="15" t="s">
        <v>8</v>
      </c>
      <c r="H3245" s="15" t="s">
        <v>8</v>
      </c>
      <c r="I3245" s="15" t="s">
        <v>8</v>
      </c>
      <c r="J3245" s="15" t="s">
        <v>8</v>
      </c>
      <c r="M3245" s="15" t="s">
        <v>8</v>
      </c>
      <c r="N3245" s="15" t="s">
        <v>8</v>
      </c>
      <c r="O3245" s="15" t="s">
        <v>8</v>
      </c>
      <c r="P3245" s="15" t="s">
        <v>8</v>
      </c>
      <c r="U3245" s="8" t="s">
        <v>6</v>
      </c>
    </row>
    <row r="3246" spans="3:27" x14ac:dyDescent="0.35">
      <c r="C3246" s="15" t="s">
        <v>8</v>
      </c>
      <c r="D3246" s="15" t="s">
        <v>8</v>
      </c>
      <c r="E3246" s="15" t="s">
        <v>8</v>
      </c>
      <c r="F3246" s="15" t="s">
        <v>8</v>
      </c>
      <c r="H3246" s="15" t="s">
        <v>8</v>
      </c>
      <c r="I3246" s="15" t="s">
        <v>8</v>
      </c>
      <c r="J3246" s="15" t="s">
        <v>8</v>
      </c>
      <c r="M3246" s="15" t="s">
        <v>8</v>
      </c>
      <c r="N3246" s="15" t="s">
        <v>8</v>
      </c>
      <c r="O3246" s="15" t="s">
        <v>8</v>
      </c>
      <c r="P3246" s="15" t="s">
        <v>8</v>
      </c>
      <c r="U3246" s="20" t="str">
        <f>HYPERLINK("http://yeinfo.com/family/I09065995.html", "Mrs. JOHANE\JANE LEE WEBB 1430 EN-1459 EN ID:09065996")</f>
        <v>Mrs. JOHANE\JANE LEE WEBB 1430 EN-1459 EN ID:09065996</v>
      </c>
      <c r="V3246" s="17"/>
      <c r="W3246" s="17"/>
      <c r="X3246" s="17"/>
      <c r="Y3246" s="17"/>
      <c r="Z3246" s="17"/>
      <c r="AA3246" s="17"/>
    </row>
    <row r="3247" spans="3:27" x14ac:dyDescent="0.35">
      <c r="C3247" s="15" t="s">
        <v>8</v>
      </c>
      <c r="D3247" s="15" t="s">
        <v>8</v>
      </c>
      <c r="E3247" s="15" t="s">
        <v>8</v>
      </c>
      <c r="F3247" s="15" t="s">
        <v>8</v>
      </c>
      <c r="H3247" s="15" t="s">
        <v>8</v>
      </c>
      <c r="I3247" s="15" t="s">
        <v>8</v>
      </c>
      <c r="J3247" s="15" t="s">
        <v>8</v>
      </c>
      <c r="M3247" s="15" t="s">
        <v>8</v>
      </c>
      <c r="N3247" s="15" t="s">
        <v>8</v>
      </c>
      <c r="O3247" s="8" t="s">
        <v>6</v>
      </c>
      <c r="P3247" s="15" t="s">
        <v>8</v>
      </c>
    </row>
    <row r="3248" spans="3:27" x14ac:dyDescent="0.35">
      <c r="C3248" s="15" t="s">
        <v>8</v>
      </c>
      <c r="D3248" s="15" t="s">
        <v>8</v>
      </c>
      <c r="E3248" s="15" t="s">
        <v>8</v>
      </c>
      <c r="F3248" s="15" t="s">
        <v>8</v>
      </c>
      <c r="H3248" s="15" t="s">
        <v>8</v>
      </c>
      <c r="I3248" s="15" t="s">
        <v>8</v>
      </c>
      <c r="J3248" s="15" t="s">
        <v>8</v>
      </c>
      <c r="M3248" s="15" t="s">
        <v>8</v>
      </c>
      <c r="N3248" s="15" t="s">
        <v>8</v>
      </c>
      <c r="O3248" s="22" t="str">
        <f>HYPERLINK("http://yeinfo.com/family/I09066719.html", "ELIZABETH SARGENT 1603 EN-1636 MA ID:09010845")</f>
        <v>ELIZABETH SARGENT 1603 EN-1636 MA ID:09010845</v>
      </c>
      <c r="P3248" s="13"/>
      <c r="Q3248" s="13"/>
      <c r="R3248" s="13"/>
      <c r="S3248" s="13"/>
    </row>
    <row r="3249" spans="3:30" x14ac:dyDescent="0.35">
      <c r="C3249" s="15" t="s">
        <v>8</v>
      </c>
      <c r="D3249" s="15" t="s">
        <v>8</v>
      </c>
      <c r="E3249" s="15" t="s">
        <v>8</v>
      </c>
      <c r="F3249" s="15" t="s">
        <v>8</v>
      </c>
      <c r="H3249" s="15" t="s">
        <v>8</v>
      </c>
      <c r="I3249" s="15" t="s">
        <v>8</v>
      </c>
      <c r="J3249" s="15" t="s">
        <v>8</v>
      </c>
      <c r="M3249" s="15" t="s">
        <v>8</v>
      </c>
      <c r="N3249" s="15" t="s">
        <v>8</v>
      </c>
      <c r="P3249" s="15" t="s">
        <v>8</v>
      </c>
    </row>
    <row r="3250" spans="3:30" x14ac:dyDescent="0.35">
      <c r="C3250" s="15" t="s">
        <v>8</v>
      </c>
      <c r="D3250" s="15" t="s">
        <v>8</v>
      </c>
      <c r="E3250" s="15" t="s">
        <v>8</v>
      </c>
      <c r="F3250" s="15" t="s">
        <v>8</v>
      </c>
      <c r="H3250" s="15" t="s">
        <v>8</v>
      </c>
      <c r="I3250" s="15" t="s">
        <v>8</v>
      </c>
      <c r="J3250" s="15" t="s">
        <v>8</v>
      </c>
      <c r="M3250" s="15" t="s">
        <v>8</v>
      </c>
      <c r="N3250" s="15" t="s">
        <v>8</v>
      </c>
      <c r="P3250" s="15" t="s">
        <v>8</v>
      </c>
      <c r="R3250" s="19" t="str">
        <f>HYPERLINK("http://yeinfo.com/family/I09043382.html", "RICHARD STEVENS 1520 EN-1550 EN ID:09065561")</f>
        <v>RICHARD STEVENS 1520 EN-1550 EN ID:09065561</v>
      </c>
      <c r="S3250" s="9"/>
      <c r="T3250" s="9"/>
      <c r="U3250" s="9"/>
      <c r="V3250" s="9"/>
    </row>
    <row r="3251" spans="3:30" x14ac:dyDescent="0.35">
      <c r="C3251" s="15" t="s">
        <v>8</v>
      </c>
      <c r="D3251" s="15" t="s">
        <v>8</v>
      </c>
      <c r="E3251" s="15" t="s">
        <v>8</v>
      </c>
      <c r="F3251" s="15" t="s">
        <v>8</v>
      </c>
      <c r="H3251" s="15" t="s">
        <v>8</v>
      </c>
      <c r="I3251" s="15" t="s">
        <v>8</v>
      </c>
      <c r="J3251" s="15" t="s">
        <v>8</v>
      </c>
      <c r="M3251" s="15" t="s">
        <v>8</v>
      </c>
      <c r="N3251" s="15" t="s">
        <v>8</v>
      </c>
      <c r="P3251" s="15" t="s">
        <v>8</v>
      </c>
      <c r="R3251" s="8" t="s">
        <v>3</v>
      </c>
    </row>
    <row r="3252" spans="3:30" x14ac:dyDescent="0.35">
      <c r="C3252" s="15" t="s">
        <v>8</v>
      </c>
      <c r="D3252" s="15" t="s">
        <v>8</v>
      </c>
      <c r="E3252" s="15" t="s">
        <v>8</v>
      </c>
      <c r="F3252" s="15" t="s">
        <v>8</v>
      </c>
      <c r="H3252" s="15" t="s">
        <v>8</v>
      </c>
      <c r="I3252" s="15" t="s">
        <v>8</v>
      </c>
      <c r="J3252" s="15" t="s">
        <v>8</v>
      </c>
      <c r="M3252" s="15" t="s">
        <v>8</v>
      </c>
      <c r="N3252" s="15" t="s">
        <v>8</v>
      </c>
      <c r="P3252" s="15" t="s">
        <v>8</v>
      </c>
      <c r="Q3252" s="19" t="str">
        <f>HYPERLINK("http://yeinfo.com/family/I09021691.html", "GEORGE STEVENS 1550 EN-1574 EN ID:09043382")</f>
        <v>GEORGE STEVENS 1550 EN-1574 EN ID:09043382</v>
      </c>
      <c r="R3252" s="9"/>
      <c r="S3252" s="9"/>
      <c r="T3252" s="9"/>
      <c r="U3252" s="9"/>
    </row>
    <row r="3253" spans="3:30" x14ac:dyDescent="0.35">
      <c r="C3253" s="15" t="s">
        <v>8</v>
      </c>
      <c r="D3253" s="15" t="s">
        <v>8</v>
      </c>
      <c r="E3253" s="15" t="s">
        <v>8</v>
      </c>
      <c r="F3253" s="15" t="s">
        <v>8</v>
      </c>
      <c r="H3253" s="15" t="s">
        <v>8</v>
      </c>
      <c r="I3253" s="15" t="s">
        <v>8</v>
      </c>
      <c r="J3253" s="15" t="s">
        <v>8</v>
      </c>
      <c r="M3253" s="15" t="s">
        <v>8</v>
      </c>
      <c r="N3253" s="15" t="s">
        <v>8</v>
      </c>
      <c r="P3253" s="15" t="s">
        <v>8</v>
      </c>
      <c r="Q3253" s="8" t="s">
        <v>3</v>
      </c>
      <c r="R3253" s="8" t="s">
        <v>6</v>
      </c>
    </row>
    <row r="3254" spans="3:30" x14ac:dyDescent="0.35">
      <c r="C3254" s="15" t="s">
        <v>8</v>
      </c>
      <c r="D3254" s="15" t="s">
        <v>8</v>
      </c>
      <c r="E3254" s="15" t="s">
        <v>8</v>
      </c>
      <c r="F3254" s="15" t="s">
        <v>8</v>
      </c>
      <c r="H3254" s="15" t="s">
        <v>8</v>
      </c>
      <c r="I3254" s="15" t="s">
        <v>8</v>
      </c>
      <c r="J3254" s="15" t="s">
        <v>8</v>
      </c>
      <c r="M3254" s="15" t="s">
        <v>8</v>
      </c>
      <c r="N3254" s="15" t="s">
        <v>8</v>
      </c>
      <c r="P3254" s="15" t="s">
        <v>8</v>
      </c>
      <c r="Q3254" s="15" t="s">
        <v>8</v>
      </c>
      <c r="R3254" s="20" t="str">
        <f>HYPERLINK("http://yeinfo.com/family/I09065561.html", "SUSANNA\SARAH CLARK 1520 EN-1550 EN ID:09065562")</f>
        <v>SUSANNA\SARAH CLARK 1520 EN-1550 EN ID:09065562</v>
      </c>
      <c r="S3254" s="17"/>
      <c r="T3254" s="17"/>
      <c r="U3254" s="17"/>
      <c r="V3254" s="17"/>
      <c r="W3254" s="17"/>
    </row>
    <row r="3255" spans="3:30" x14ac:dyDescent="0.35">
      <c r="C3255" s="15" t="s">
        <v>8</v>
      </c>
      <c r="D3255" s="15" t="s">
        <v>8</v>
      </c>
      <c r="E3255" s="15" t="s">
        <v>8</v>
      </c>
      <c r="F3255" s="15" t="s">
        <v>8</v>
      </c>
      <c r="H3255" s="15" t="s">
        <v>8</v>
      </c>
      <c r="I3255" s="15" t="s">
        <v>8</v>
      </c>
      <c r="J3255" s="15" t="s">
        <v>8</v>
      </c>
      <c r="M3255" s="15" t="s">
        <v>8</v>
      </c>
      <c r="N3255" s="15" t="s">
        <v>8</v>
      </c>
      <c r="P3255" s="8" t="s">
        <v>6</v>
      </c>
      <c r="Q3255" s="15" t="s">
        <v>8</v>
      </c>
    </row>
    <row r="3256" spans="3:30" x14ac:dyDescent="0.35">
      <c r="C3256" s="15" t="s">
        <v>8</v>
      </c>
      <c r="D3256" s="15" t="s">
        <v>8</v>
      </c>
      <c r="E3256" s="15" t="s">
        <v>8</v>
      </c>
      <c r="F3256" s="15" t="s">
        <v>8</v>
      </c>
      <c r="H3256" s="15" t="s">
        <v>8</v>
      </c>
      <c r="I3256" s="15" t="s">
        <v>8</v>
      </c>
      <c r="J3256" s="15" t="s">
        <v>8</v>
      </c>
      <c r="M3256" s="15" t="s">
        <v>8</v>
      </c>
      <c r="N3256" s="15" t="s">
        <v>8</v>
      </c>
      <c r="P3256" s="20" t="str">
        <f>HYPERLINK("http://yeinfo.com/family/I09065996.html", "KATHERINE STEVENS 1573 EN-1609 EN ID:09021691")</f>
        <v>KATHERINE STEVENS 1573 EN-1609 EN ID:09021691</v>
      </c>
      <c r="Q3256" s="17"/>
      <c r="R3256" s="17"/>
      <c r="S3256" s="17"/>
      <c r="T3256" s="17"/>
    </row>
    <row r="3257" spans="3:30" x14ac:dyDescent="0.35">
      <c r="C3257" s="15" t="s">
        <v>8</v>
      </c>
      <c r="D3257" s="15" t="s">
        <v>8</v>
      </c>
      <c r="E3257" s="15" t="s">
        <v>8</v>
      </c>
      <c r="F3257" s="15" t="s">
        <v>8</v>
      </c>
      <c r="H3257" s="15" t="s">
        <v>8</v>
      </c>
      <c r="I3257" s="15" t="s">
        <v>8</v>
      </c>
      <c r="J3257" s="15" t="s">
        <v>8</v>
      </c>
      <c r="M3257" s="15" t="s">
        <v>8</v>
      </c>
      <c r="N3257" s="15" t="s">
        <v>8</v>
      </c>
      <c r="Q3257" s="15" t="s">
        <v>8</v>
      </c>
    </row>
    <row r="3258" spans="3:30" x14ac:dyDescent="0.35">
      <c r="C3258" s="15" t="s">
        <v>8</v>
      </c>
      <c r="D3258" s="15" t="s">
        <v>8</v>
      </c>
      <c r="E3258" s="15" t="s">
        <v>8</v>
      </c>
      <c r="F3258" s="15" t="s">
        <v>8</v>
      </c>
      <c r="H3258" s="15" t="s">
        <v>8</v>
      </c>
      <c r="I3258" s="15" t="s">
        <v>8</v>
      </c>
      <c r="J3258" s="15" t="s">
        <v>8</v>
      </c>
      <c r="M3258" s="15" t="s">
        <v>8</v>
      </c>
      <c r="N3258" s="15" t="s">
        <v>8</v>
      </c>
      <c r="Q3258" s="15" t="s">
        <v>8</v>
      </c>
      <c r="Z3258" s="19" t="str">
        <f>HYPERLINK("http://yeinfo.com/family/I09066560.html", "PETER WOODCHURCH CLERKE &lt;2&gt; 1291 EN-1368 EN ID:09066614")</f>
        <v>PETER WOODCHURCH CLERKE &lt;2&gt; 1291 EN-1368 EN ID:09066614</v>
      </c>
      <c r="AA3258" s="9"/>
      <c r="AB3258" s="9"/>
      <c r="AC3258" s="9"/>
      <c r="AD3258" s="9"/>
    </row>
    <row r="3259" spans="3:30" x14ac:dyDescent="0.35">
      <c r="C3259" s="15" t="s">
        <v>8</v>
      </c>
      <c r="D3259" s="15" t="s">
        <v>8</v>
      </c>
      <c r="E3259" s="15" t="s">
        <v>8</v>
      </c>
      <c r="F3259" s="15" t="s">
        <v>8</v>
      </c>
      <c r="H3259" s="15" t="s">
        <v>8</v>
      </c>
      <c r="I3259" s="15" t="s">
        <v>8</v>
      </c>
      <c r="J3259" s="15" t="s">
        <v>8</v>
      </c>
      <c r="M3259" s="15" t="s">
        <v>8</v>
      </c>
      <c r="N3259" s="15" t="s">
        <v>8</v>
      </c>
      <c r="Q3259" s="15" t="s">
        <v>8</v>
      </c>
      <c r="Z3259" s="8" t="s">
        <v>3</v>
      </c>
    </row>
    <row r="3260" spans="3:30" x14ac:dyDescent="0.35">
      <c r="C3260" s="15" t="s">
        <v>8</v>
      </c>
      <c r="D3260" s="15" t="s">
        <v>8</v>
      </c>
      <c r="E3260" s="15" t="s">
        <v>8</v>
      </c>
      <c r="F3260" s="15" t="s">
        <v>8</v>
      </c>
      <c r="H3260" s="15" t="s">
        <v>8</v>
      </c>
      <c r="I3260" s="15" t="s">
        <v>8</v>
      </c>
      <c r="J3260" s="15" t="s">
        <v>8</v>
      </c>
      <c r="M3260" s="15" t="s">
        <v>8</v>
      </c>
      <c r="N3260" s="15" t="s">
        <v>8</v>
      </c>
      <c r="Q3260" s="15" t="s">
        <v>8</v>
      </c>
      <c r="Y3260" s="19" t="str">
        <f>HYPERLINK("http://yeinfo.com/family/I09066508.html", "THOMAS CLERKE &lt;2&gt; 1315 EN-1347 EN ID:09066560")</f>
        <v>THOMAS CLERKE &lt;2&gt; 1315 EN-1347 EN ID:09066560</v>
      </c>
      <c r="Z3260" s="9"/>
      <c r="AA3260" s="9"/>
      <c r="AB3260" s="9"/>
      <c r="AC3260" s="9"/>
    </row>
    <row r="3261" spans="3:30" x14ac:dyDescent="0.35">
      <c r="C3261" s="15" t="s">
        <v>8</v>
      </c>
      <c r="D3261" s="15" t="s">
        <v>8</v>
      </c>
      <c r="E3261" s="15" t="s">
        <v>8</v>
      </c>
      <c r="F3261" s="15" t="s">
        <v>8</v>
      </c>
      <c r="H3261" s="15" t="s">
        <v>8</v>
      </c>
      <c r="I3261" s="15" t="s">
        <v>8</v>
      </c>
      <c r="J3261" s="15" t="s">
        <v>8</v>
      </c>
      <c r="M3261" s="15" t="s">
        <v>8</v>
      </c>
      <c r="N3261" s="15" t="s">
        <v>8</v>
      </c>
      <c r="Q3261" s="15" t="s">
        <v>8</v>
      </c>
      <c r="Y3261" s="8" t="s">
        <v>3</v>
      </c>
      <c r="Z3261" s="8" t="s">
        <v>6</v>
      </c>
    </row>
    <row r="3262" spans="3:30" x14ac:dyDescent="0.35">
      <c r="C3262" s="15" t="s">
        <v>8</v>
      </c>
      <c r="D3262" s="15" t="s">
        <v>8</v>
      </c>
      <c r="E3262" s="15" t="s">
        <v>8</v>
      </c>
      <c r="F3262" s="15" t="s">
        <v>8</v>
      </c>
      <c r="H3262" s="15" t="s">
        <v>8</v>
      </c>
      <c r="I3262" s="15" t="s">
        <v>8</v>
      </c>
      <c r="J3262" s="15" t="s">
        <v>8</v>
      </c>
      <c r="M3262" s="15" t="s">
        <v>8</v>
      </c>
      <c r="N3262" s="15" t="s">
        <v>8</v>
      </c>
      <c r="Q3262" s="15" t="s">
        <v>8</v>
      </c>
      <c r="Y3262" s="15" t="s">
        <v>8</v>
      </c>
      <c r="Z3262" s="20" t="str">
        <f>HYPERLINK("http://yeinfo.com/family/I09066614.html", "BENNETTA CHURCH &lt;2&gt; 1298 -1325 EN ID:09066615")</f>
        <v>BENNETTA CHURCH &lt;2&gt; 1298 -1325 EN ID:09066615</v>
      </c>
      <c r="AA3262" s="17"/>
      <c r="AB3262" s="17"/>
      <c r="AC3262" s="17"/>
      <c r="AD3262" s="17"/>
    </row>
    <row r="3263" spans="3:30" x14ac:dyDescent="0.35">
      <c r="C3263" s="15" t="s">
        <v>8</v>
      </c>
      <c r="D3263" s="15" t="s">
        <v>8</v>
      </c>
      <c r="E3263" s="15" t="s">
        <v>8</v>
      </c>
      <c r="F3263" s="15" t="s">
        <v>8</v>
      </c>
      <c r="H3263" s="15" t="s">
        <v>8</v>
      </c>
      <c r="I3263" s="15" t="s">
        <v>8</v>
      </c>
      <c r="J3263" s="15" t="s">
        <v>8</v>
      </c>
      <c r="M3263" s="15" t="s">
        <v>8</v>
      </c>
      <c r="N3263" s="15" t="s">
        <v>8</v>
      </c>
      <c r="Q3263" s="15" t="s">
        <v>8</v>
      </c>
      <c r="Y3263" s="15" t="s">
        <v>8</v>
      </c>
    </row>
    <row r="3264" spans="3:30" x14ac:dyDescent="0.35">
      <c r="C3264" s="15" t="s">
        <v>8</v>
      </c>
      <c r="D3264" s="15" t="s">
        <v>8</v>
      </c>
      <c r="E3264" s="15" t="s">
        <v>8</v>
      </c>
      <c r="F3264" s="15" t="s">
        <v>8</v>
      </c>
      <c r="H3264" s="15" t="s">
        <v>8</v>
      </c>
      <c r="I3264" s="15" t="s">
        <v>8</v>
      </c>
      <c r="J3264" s="15" t="s">
        <v>8</v>
      </c>
      <c r="M3264" s="15" t="s">
        <v>8</v>
      </c>
      <c r="N3264" s="15" t="s">
        <v>8</v>
      </c>
      <c r="Q3264" s="15" t="s">
        <v>8</v>
      </c>
      <c r="X3264" s="19" t="str">
        <f>HYPERLINK("http://yeinfo.com/family/I09066333.html", "THOMAS CLERKE II &lt;2&gt; 1347 EN-1377 EN ID:09066508")</f>
        <v>THOMAS CLERKE II &lt;2&gt; 1347 EN-1377 EN ID:09066508</v>
      </c>
      <c r="Y3264" s="9"/>
      <c r="Z3264" s="9"/>
      <c r="AA3264" s="9"/>
      <c r="AB3264" s="9"/>
    </row>
    <row r="3265" spans="3:30" x14ac:dyDescent="0.35">
      <c r="C3265" s="15" t="s">
        <v>8</v>
      </c>
      <c r="D3265" s="15" t="s">
        <v>8</v>
      </c>
      <c r="E3265" s="15" t="s">
        <v>8</v>
      </c>
      <c r="F3265" s="15" t="s">
        <v>8</v>
      </c>
      <c r="H3265" s="15" t="s">
        <v>8</v>
      </c>
      <c r="I3265" s="15" t="s">
        <v>8</v>
      </c>
      <c r="J3265" s="15" t="s">
        <v>8</v>
      </c>
      <c r="M3265" s="15" t="s">
        <v>8</v>
      </c>
      <c r="N3265" s="15" t="s">
        <v>8</v>
      </c>
      <c r="Q3265" s="15" t="s">
        <v>8</v>
      </c>
      <c r="X3265" s="8" t="s">
        <v>3</v>
      </c>
      <c r="Y3265" s="8" t="s">
        <v>6</v>
      </c>
    </row>
    <row r="3266" spans="3:30" x14ac:dyDescent="0.35">
      <c r="C3266" s="15" t="s">
        <v>8</v>
      </c>
      <c r="D3266" s="15" t="s">
        <v>8</v>
      </c>
      <c r="E3266" s="15" t="s">
        <v>8</v>
      </c>
      <c r="F3266" s="15" t="s">
        <v>8</v>
      </c>
      <c r="H3266" s="15" t="s">
        <v>8</v>
      </c>
      <c r="I3266" s="15" t="s">
        <v>8</v>
      </c>
      <c r="J3266" s="15" t="s">
        <v>8</v>
      </c>
      <c r="M3266" s="15" t="s">
        <v>8</v>
      </c>
      <c r="N3266" s="15" t="s">
        <v>8</v>
      </c>
      <c r="Q3266" s="15" t="s">
        <v>8</v>
      </c>
      <c r="X3266" s="15" t="s">
        <v>8</v>
      </c>
      <c r="Y3266" s="20" t="str">
        <f>HYPERLINK("http://yeinfo.com/family/I09066615.html", "MAUD\MATILDA BURGH &lt;2&gt; 1320 -1375 EN ID:09066561")</f>
        <v>MAUD\MATILDA BURGH &lt;2&gt; 1320 -1375 EN ID:09066561</v>
      </c>
      <c r="Z3266" s="17"/>
      <c r="AA3266" s="17"/>
      <c r="AB3266" s="17"/>
      <c r="AC3266" s="17"/>
      <c r="AD3266" s="17"/>
    </row>
    <row r="3267" spans="3:30" x14ac:dyDescent="0.35">
      <c r="C3267" s="15" t="s">
        <v>8</v>
      </c>
      <c r="D3267" s="15" t="s">
        <v>8</v>
      </c>
      <c r="E3267" s="15" t="s">
        <v>8</v>
      </c>
      <c r="F3267" s="15" t="s">
        <v>8</v>
      </c>
      <c r="H3267" s="15" t="s">
        <v>8</v>
      </c>
      <c r="I3267" s="15" t="s">
        <v>8</v>
      </c>
      <c r="J3267" s="15" t="s">
        <v>8</v>
      </c>
      <c r="M3267" s="15" t="s">
        <v>8</v>
      </c>
      <c r="N3267" s="15" t="s">
        <v>8</v>
      </c>
      <c r="Q3267" s="15" t="s">
        <v>8</v>
      </c>
      <c r="X3267" s="15" t="s">
        <v>8</v>
      </c>
    </row>
    <row r="3268" spans="3:30" x14ac:dyDescent="0.35">
      <c r="C3268" s="15" t="s">
        <v>8</v>
      </c>
      <c r="D3268" s="15" t="s">
        <v>8</v>
      </c>
      <c r="E3268" s="15" t="s">
        <v>8</v>
      </c>
      <c r="F3268" s="15" t="s">
        <v>8</v>
      </c>
      <c r="H3268" s="15" t="s">
        <v>8</v>
      </c>
      <c r="I3268" s="15" t="s">
        <v>8</v>
      </c>
      <c r="J3268" s="15" t="s">
        <v>8</v>
      </c>
      <c r="M3268" s="15" t="s">
        <v>8</v>
      </c>
      <c r="N3268" s="15" t="s">
        <v>8</v>
      </c>
      <c r="Q3268" s="15" t="s">
        <v>8</v>
      </c>
      <c r="W3268" s="19" t="str">
        <f>HYPERLINK("http://yeinfo.com/family/I09066183.html", "THOMAS CLERKE III &lt;2&gt; 1375 EN-1446 EN ID:09066333")</f>
        <v>THOMAS CLERKE III &lt;2&gt; 1375 EN-1446 EN ID:09066333</v>
      </c>
      <c r="X3268" s="9"/>
      <c r="Y3268" s="9"/>
      <c r="Z3268" s="9"/>
      <c r="AA3268" s="9"/>
    </row>
    <row r="3269" spans="3:30" x14ac:dyDescent="0.35">
      <c r="C3269" s="15" t="s">
        <v>8</v>
      </c>
      <c r="D3269" s="15" t="s">
        <v>8</v>
      </c>
      <c r="E3269" s="15" t="s">
        <v>8</v>
      </c>
      <c r="F3269" s="15" t="s">
        <v>8</v>
      </c>
      <c r="H3269" s="15" t="s">
        <v>8</v>
      </c>
      <c r="I3269" s="15" t="s">
        <v>8</v>
      </c>
      <c r="J3269" s="15" t="s">
        <v>8</v>
      </c>
      <c r="M3269" s="15" t="s">
        <v>8</v>
      </c>
      <c r="N3269" s="15" t="s">
        <v>8</v>
      </c>
      <c r="Q3269" s="15" t="s">
        <v>8</v>
      </c>
      <c r="W3269" s="8" t="s">
        <v>3</v>
      </c>
      <c r="X3269" s="8" t="s">
        <v>6</v>
      </c>
    </row>
    <row r="3270" spans="3:30" x14ac:dyDescent="0.35">
      <c r="C3270" s="15" t="s">
        <v>8</v>
      </c>
      <c r="D3270" s="15" t="s">
        <v>8</v>
      </c>
      <c r="E3270" s="15" t="s">
        <v>8</v>
      </c>
      <c r="F3270" s="15" t="s">
        <v>8</v>
      </c>
      <c r="H3270" s="15" t="s">
        <v>8</v>
      </c>
      <c r="I3270" s="15" t="s">
        <v>8</v>
      </c>
      <c r="J3270" s="15" t="s">
        <v>8</v>
      </c>
      <c r="M3270" s="15" t="s">
        <v>8</v>
      </c>
      <c r="N3270" s="15" t="s">
        <v>8</v>
      </c>
      <c r="Q3270" s="15" t="s">
        <v>8</v>
      </c>
      <c r="W3270" s="15" t="s">
        <v>8</v>
      </c>
      <c r="X3270" s="20" t="str">
        <f>HYPERLINK("http://yeinfo.com/family/I09066561.html", "BENNETTA MYERS CHURCH &lt;2&gt; 1355 -1375 EN ID:09066509")</f>
        <v>BENNETTA MYERS CHURCH &lt;2&gt; 1355 -1375 EN ID:09066509</v>
      </c>
      <c r="Y3270" s="17"/>
      <c r="Z3270" s="17"/>
      <c r="AA3270" s="17"/>
      <c r="AB3270" s="17"/>
    </row>
    <row r="3271" spans="3:30" x14ac:dyDescent="0.35">
      <c r="C3271" s="15" t="s">
        <v>8</v>
      </c>
      <c r="D3271" s="15" t="s">
        <v>8</v>
      </c>
      <c r="E3271" s="15" t="s">
        <v>8</v>
      </c>
      <c r="F3271" s="15" t="s">
        <v>8</v>
      </c>
      <c r="H3271" s="15" t="s">
        <v>8</v>
      </c>
      <c r="I3271" s="15" t="s">
        <v>8</v>
      </c>
      <c r="J3271" s="15" t="s">
        <v>8</v>
      </c>
      <c r="M3271" s="15" t="s">
        <v>8</v>
      </c>
      <c r="N3271" s="15" t="s">
        <v>8</v>
      </c>
      <c r="Q3271" s="15" t="s">
        <v>8</v>
      </c>
      <c r="W3271" s="15" t="s">
        <v>8</v>
      </c>
    </row>
    <row r="3272" spans="3:30" x14ac:dyDescent="0.35">
      <c r="C3272" s="15" t="s">
        <v>8</v>
      </c>
      <c r="D3272" s="15" t="s">
        <v>8</v>
      </c>
      <c r="E3272" s="15" t="s">
        <v>8</v>
      </c>
      <c r="F3272" s="15" t="s">
        <v>8</v>
      </c>
      <c r="H3272" s="15" t="s">
        <v>8</v>
      </c>
      <c r="I3272" s="15" t="s">
        <v>8</v>
      </c>
      <c r="J3272" s="15" t="s">
        <v>8</v>
      </c>
      <c r="M3272" s="15" t="s">
        <v>8</v>
      </c>
      <c r="N3272" s="15" t="s">
        <v>8</v>
      </c>
      <c r="Q3272" s="15" t="s">
        <v>8</v>
      </c>
      <c r="V3272" s="19" t="str">
        <f>HYPERLINK("http://yeinfo.com/family/I09065997.html", "JOHN CLERKE 1394 EN-1482 EN ID:09066183")</f>
        <v>JOHN CLERKE 1394 EN-1482 EN ID:09066183</v>
      </c>
      <c r="W3272" s="9"/>
      <c r="X3272" s="9"/>
      <c r="Y3272" s="9"/>
      <c r="Z3272" s="9"/>
    </row>
    <row r="3273" spans="3:30" x14ac:dyDescent="0.35">
      <c r="C3273" s="15" t="s">
        <v>8</v>
      </c>
      <c r="D3273" s="15" t="s">
        <v>8</v>
      </c>
      <c r="E3273" s="15" t="s">
        <v>8</v>
      </c>
      <c r="F3273" s="15" t="s">
        <v>8</v>
      </c>
      <c r="H3273" s="15" t="s">
        <v>8</v>
      </c>
      <c r="I3273" s="15" t="s">
        <v>8</v>
      </c>
      <c r="J3273" s="15" t="s">
        <v>8</v>
      </c>
      <c r="M3273" s="15" t="s">
        <v>8</v>
      </c>
      <c r="N3273" s="15" t="s">
        <v>8</v>
      </c>
      <c r="Q3273" s="15" t="s">
        <v>8</v>
      </c>
      <c r="V3273" s="8" t="s">
        <v>3</v>
      </c>
      <c r="W3273" s="15" t="s">
        <v>8</v>
      </c>
    </row>
    <row r="3274" spans="3:30" x14ac:dyDescent="0.35">
      <c r="C3274" s="15" t="s">
        <v>8</v>
      </c>
      <c r="D3274" s="15" t="s">
        <v>8</v>
      </c>
      <c r="E3274" s="15" t="s">
        <v>8</v>
      </c>
      <c r="F3274" s="15" t="s">
        <v>8</v>
      </c>
      <c r="H3274" s="15" t="s">
        <v>8</v>
      </c>
      <c r="I3274" s="15" t="s">
        <v>8</v>
      </c>
      <c r="J3274" s="15" t="s">
        <v>8</v>
      </c>
      <c r="M3274" s="15" t="s">
        <v>8</v>
      </c>
      <c r="N3274" s="15" t="s">
        <v>8</v>
      </c>
      <c r="Q3274" s="15" t="s">
        <v>8</v>
      </c>
      <c r="V3274" s="15" t="s">
        <v>8</v>
      </c>
      <c r="W3274" s="15" t="s">
        <v>8</v>
      </c>
      <c r="X3274" s="19" t="str">
        <f>HYPERLINK("http://yeinfo.com/family/I09066334.html", "HENRY FORDE &lt;3&gt; 1350 EN-1375 EN ID:09066510")</f>
        <v>HENRY FORDE &lt;3&gt; 1350 EN-1375 EN ID:09066510</v>
      </c>
      <c r="Y3274" s="9"/>
      <c r="Z3274" s="9"/>
      <c r="AA3274" s="9"/>
      <c r="AB3274" s="9"/>
    </row>
    <row r="3275" spans="3:30" x14ac:dyDescent="0.35">
      <c r="C3275" s="15" t="s">
        <v>8</v>
      </c>
      <c r="D3275" s="15" t="s">
        <v>8</v>
      </c>
      <c r="E3275" s="15" t="s">
        <v>8</v>
      </c>
      <c r="F3275" s="15" t="s">
        <v>8</v>
      </c>
      <c r="H3275" s="15" t="s">
        <v>8</v>
      </c>
      <c r="I3275" s="15" t="s">
        <v>8</v>
      </c>
      <c r="J3275" s="15" t="s">
        <v>8</v>
      </c>
      <c r="M3275" s="15" t="s">
        <v>8</v>
      </c>
      <c r="N3275" s="15" t="s">
        <v>8</v>
      </c>
      <c r="Q3275" s="15" t="s">
        <v>8</v>
      </c>
      <c r="V3275" s="15" t="s">
        <v>8</v>
      </c>
      <c r="W3275" s="8" t="s">
        <v>6</v>
      </c>
      <c r="X3275" s="8" t="s">
        <v>3</v>
      </c>
    </row>
    <row r="3276" spans="3:30" x14ac:dyDescent="0.35">
      <c r="C3276" s="15" t="s">
        <v>8</v>
      </c>
      <c r="D3276" s="15" t="s">
        <v>8</v>
      </c>
      <c r="E3276" s="15" t="s">
        <v>8</v>
      </c>
      <c r="F3276" s="15" t="s">
        <v>8</v>
      </c>
      <c r="H3276" s="15" t="s">
        <v>8</v>
      </c>
      <c r="I3276" s="15" t="s">
        <v>8</v>
      </c>
      <c r="J3276" s="15" t="s">
        <v>8</v>
      </c>
      <c r="M3276" s="15" t="s">
        <v>8</v>
      </c>
      <c r="N3276" s="15" t="s">
        <v>8</v>
      </c>
      <c r="Q3276" s="15" t="s">
        <v>8</v>
      </c>
      <c r="V3276" s="15" t="s">
        <v>8</v>
      </c>
      <c r="W3276" s="20" t="str">
        <f>HYPERLINK("http://yeinfo.com/family/I09066509.html", "SARAH FORDE &lt;2&gt; 1375 EN-1435 EN ID:09066334")</f>
        <v>SARAH FORDE &lt;2&gt; 1375 EN-1435 EN ID:09066334</v>
      </c>
      <c r="X3276" s="17"/>
      <c r="Y3276" s="17"/>
      <c r="Z3276" s="17"/>
      <c r="AA3276" s="17"/>
    </row>
    <row r="3277" spans="3:30" x14ac:dyDescent="0.35">
      <c r="C3277" s="15" t="s">
        <v>8</v>
      </c>
      <c r="D3277" s="15" t="s">
        <v>8</v>
      </c>
      <c r="E3277" s="15" t="s">
        <v>8</v>
      </c>
      <c r="F3277" s="15" t="s">
        <v>8</v>
      </c>
      <c r="H3277" s="15" t="s">
        <v>8</v>
      </c>
      <c r="I3277" s="15" t="s">
        <v>8</v>
      </c>
      <c r="J3277" s="15" t="s">
        <v>8</v>
      </c>
      <c r="M3277" s="15" t="s">
        <v>8</v>
      </c>
      <c r="N3277" s="15" t="s">
        <v>8</v>
      </c>
      <c r="Q3277" s="15" t="s">
        <v>8</v>
      </c>
      <c r="V3277" s="15" t="s">
        <v>8</v>
      </c>
      <c r="X3277" s="8" t="s">
        <v>6</v>
      </c>
    </row>
    <row r="3278" spans="3:30" x14ac:dyDescent="0.35">
      <c r="C3278" s="15" t="s">
        <v>8</v>
      </c>
      <c r="D3278" s="15" t="s">
        <v>8</v>
      </c>
      <c r="E3278" s="15" t="s">
        <v>8</v>
      </c>
      <c r="F3278" s="15" t="s">
        <v>8</v>
      </c>
      <c r="H3278" s="15" t="s">
        <v>8</v>
      </c>
      <c r="I3278" s="15" t="s">
        <v>8</v>
      </c>
      <c r="J3278" s="15" t="s">
        <v>8</v>
      </c>
      <c r="M3278" s="15" t="s">
        <v>8</v>
      </c>
      <c r="N3278" s="15" t="s">
        <v>8</v>
      </c>
      <c r="Q3278" s="15" t="s">
        <v>8</v>
      </c>
      <c r="V3278" s="15" t="s">
        <v>8</v>
      </c>
      <c r="X3278" s="20" t="str">
        <f>HYPERLINK("http://yeinfo.com/family/I09066510.html", "MAUD ECHINGHAM &lt;3&gt; 1352 EN-1375 EN ID:09066511")</f>
        <v>MAUD ECHINGHAM &lt;3&gt; 1352 EN-1375 EN ID:09066511</v>
      </c>
      <c r="Y3278" s="17"/>
      <c r="Z3278" s="17"/>
      <c r="AA3278" s="17"/>
      <c r="AB3278" s="17"/>
    </row>
    <row r="3279" spans="3:30" x14ac:dyDescent="0.35">
      <c r="C3279" s="15" t="s">
        <v>8</v>
      </c>
      <c r="D3279" s="15" t="s">
        <v>8</v>
      </c>
      <c r="E3279" s="15" t="s">
        <v>8</v>
      </c>
      <c r="F3279" s="15" t="s">
        <v>8</v>
      </c>
      <c r="H3279" s="15" t="s">
        <v>8</v>
      </c>
      <c r="I3279" s="15" t="s">
        <v>8</v>
      </c>
      <c r="J3279" s="15" t="s">
        <v>8</v>
      </c>
      <c r="M3279" s="15" t="s">
        <v>8</v>
      </c>
      <c r="N3279" s="15" t="s">
        <v>8</v>
      </c>
      <c r="Q3279" s="15" t="s">
        <v>8</v>
      </c>
      <c r="V3279" s="15" t="s">
        <v>8</v>
      </c>
    </row>
    <row r="3280" spans="3:30" x14ac:dyDescent="0.35">
      <c r="C3280" s="15" t="s">
        <v>8</v>
      </c>
      <c r="D3280" s="15" t="s">
        <v>8</v>
      </c>
      <c r="E3280" s="15" t="s">
        <v>8</v>
      </c>
      <c r="F3280" s="15" t="s">
        <v>8</v>
      </c>
      <c r="H3280" s="15" t="s">
        <v>8</v>
      </c>
      <c r="I3280" s="15" t="s">
        <v>8</v>
      </c>
      <c r="J3280" s="15" t="s">
        <v>8</v>
      </c>
      <c r="M3280" s="15" t="s">
        <v>8</v>
      </c>
      <c r="N3280" s="15" t="s">
        <v>8</v>
      </c>
      <c r="Q3280" s="15" t="s">
        <v>8</v>
      </c>
      <c r="U3280" s="19" t="str">
        <f>HYPERLINK("http://yeinfo.com/family/I09065831.html", "JOHN CLERKE II 1425 EN-1480 EN ID:09065997")</f>
        <v>JOHN CLERKE II 1425 EN-1480 EN ID:09065997</v>
      </c>
      <c r="V3280" s="9"/>
      <c r="W3280" s="9"/>
      <c r="X3280" s="9"/>
      <c r="Y3280" s="9"/>
    </row>
    <row r="3281" spans="3:28" x14ac:dyDescent="0.35">
      <c r="C3281" s="15" t="s">
        <v>8</v>
      </c>
      <c r="D3281" s="15" t="s">
        <v>8</v>
      </c>
      <c r="E3281" s="15" t="s">
        <v>8</v>
      </c>
      <c r="F3281" s="15" t="s">
        <v>8</v>
      </c>
      <c r="H3281" s="15" t="s">
        <v>8</v>
      </c>
      <c r="I3281" s="15" t="s">
        <v>8</v>
      </c>
      <c r="J3281" s="15" t="s">
        <v>8</v>
      </c>
      <c r="M3281" s="15" t="s">
        <v>8</v>
      </c>
      <c r="N3281" s="15" t="s">
        <v>8</v>
      </c>
      <c r="Q3281" s="15" t="s">
        <v>8</v>
      </c>
      <c r="U3281" s="8" t="s">
        <v>3</v>
      </c>
      <c r="V3281" s="15" t="s">
        <v>8</v>
      </c>
    </row>
    <row r="3282" spans="3:28" x14ac:dyDescent="0.35">
      <c r="C3282" s="15" t="s">
        <v>8</v>
      </c>
      <c r="D3282" s="15" t="s">
        <v>8</v>
      </c>
      <c r="E3282" s="15" t="s">
        <v>8</v>
      </c>
      <c r="F3282" s="15" t="s">
        <v>8</v>
      </c>
      <c r="H3282" s="15" t="s">
        <v>8</v>
      </c>
      <c r="I3282" s="15" t="s">
        <v>8</v>
      </c>
      <c r="J3282" s="15" t="s">
        <v>8</v>
      </c>
      <c r="M3282" s="15" t="s">
        <v>8</v>
      </c>
      <c r="N3282" s="15" t="s">
        <v>8</v>
      </c>
      <c r="Q3282" s="15" t="s">
        <v>8</v>
      </c>
      <c r="U3282" s="15" t="s">
        <v>8</v>
      </c>
      <c r="V3282" s="15" t="s">
        <v>8</v>
      </c>
      <c r="X3282" s="19" t="str">
        <f>HYPERLINK("http://yeinfo.com/family/I09066510.html", "HENRY FORDE &lt;3&gt; 1350 EN-1375 EN ID:09066510")</f>
        <v>HENRY FORDE &lt;3&gt; 1350 EN-1375 EN ID:09066510</v>
      </c>
      <c r="Y3282" s="9"/>
      <c r="Z3282" s="9"/>
      <c r="AA3282" s="9"/>
      <c r="AB3282" s="9"/>
    </row>
    <row r="3283" spans="3:28" x14ac:dyDescent="0.35">
      <c r="C3283" s="15" t="s">
        <v>8</v>
      </c>
      <c r="D3283" s="15" t="s">
        <v>8</v>
      </c>
      <c r="E3283" s="15" t="s">
        <v>8</v>
      </c>
      <c r="F3283" s="15" t="s">
        <v>8</v>
      </c>
      <c r="H3283" s="15" t="s">
        <v>8</v>
      </c>
      <c r="I3283" s="15" t="s">
        <v>8</v>
      </c>
      <c r="J3283" s="15" t="s">
        <v>8</v>
      </c>
      <c r="M3283" s="15" t="s">
        <v>8</v>
      </c>
      <c r="N3283" s="15" t="s">
        <v>8</v>
      </c>
      <c r="Q3283" s="15" t="s">
        <v>8</v>
      </c>
      <c r="U3283" s="15" t="s">
        <v>8</v>
      </c>
      <c r="V3283" s="15" t="s">
        <v>8</v>
      </c>
      <c r="X3283" s="8" t="s">
        <v>3</v>
      </c>
    </row>
    <row r="3284" spans="3:28" x14ac:dyDescent="0.35">
      <c r="C3284" s="15" t="s">
        <v>8</v>
      </c>
      <c r="D3284" s="15" t="s">
        <v>8</v>
      </c>
      <c r="E3284" s="15" t="s">
        <v>8</v>
      </c>
      <c r="F3284" s="15" t="s">
        <v>8</v>
      </c>
      <c r="H3284" s="15" t="s">
        <v>8</v>
      </c>
      <c r="I3284" s="15" t="s">
        <v>8</v>
      </c>
      <c r="J3284" s="15" t="s">
        <v>8</v>
      </c>
      <c r="M3284" s="15" t="s">
        <v>8</v>
      </c>
      <c r="N3284" s="15" t="s">
        <v>8</v>
      </c>
      <c r="Q3284" s="15" t="s">
        <v>8</v>
      </c>
      <c r="U3284" s="15" t="s">
        <v>8</v>
      </c>
      <c r="V3284" s="15" t="s">
        <v>8</v>
      </c>
      <c r="W3284" s="19" t="str">
        <f>HYPERLINK("http://yeinfo.com/family/I09066184.html", "THOMAS FORDE 1375 EN-1446 EN ID:09066458")</f>
        <v>THOMAS FORDE 1375 EN-1446 EN ID:09066458</v>
      </c>
      <c r="X3284" s="9"/>
      <c r="Y3284" s="9"/>
      <c r="Z3284" s="9"/>
      <c r="AA3284" s="9"/>
    </row>
    <row r="3285" spans="3:28" x14ac:dyDescent="0.35">
      <c r="C3285" s="15" t="s">
        <v>8</v>
      </c>
      <c r="D3285" s="15" t="s">
        <v>8</v>
      </c>
      <c r="E3285" s="15" t="s">
        <v>8</v>
      </c>
      <c r="F3285" s="15" t="s">
        <v>8</v>
      </c>
      <c r="H3285" s="15" t="s">
        <v>8</v>
      </c>
      <c r="I3285" s="15" t="s">
        <v>8</v>
      </c>
      <c r="J3285" s="15" t="s">
        <v>8</v>
      </c>
      <c r="M3285" s="15" t="s">
        <v>8</v>
      </c>
      <c r="N3285" s="15" t="s">
        <v>8</v>
      </c>
      <c r="Q3285" s="15" t="s">
        <v>8</v>
      </c>
      <c r="U3285" s="15" t="s">
        <v>8</v>
      </c>
      <c r="V3285" s="15" t="s">
        <v>8</v>
      </c>
      <c r="W3285" s="8" t="s">
        <v>3</v>
      </c>
      <c r="X3285" s="8" t="s">
        <v>6</v>
      </c>
    </row>
    <row r="3286" spans="3:28" x14ac:dyDescent="0.35">
      <c r="C3286" s="15" t="s">
        <v>8</v>
      </c>
      <c r="D3286" s="15" t="s">
        <v>8</v>
      </c>
      <c r="E3286" s="15" t="s">
        <v>8</v>
      </c>
      <c r="F3286" s="15" t="s">
        <v>8</v>
      </c>
      <c r="H3286" s="15" t="s">
        <v>8</v>
      </c>
      <c r="I3286" s="15" t="s">
        <v>8</v>
      </c>
      <c r="J3286" s="15" t="s">
        <v>8</v>
      </c>
      <c r="M3286" s="15" t="s">
        <v>8</v>
      </c>
      <c r="N3286" s="15" t="s">
        <v>8</v>
      </c>
      <c r="Q3286" s="15" t="s">
        <v>8</v>
      </c>
      <c r="U3286" s="15" t="s">
        <v>8</v>
      </c>
      <c r="V3286" s="15" t="s">
        <v>8</v>
      </c>
      <c r="W3286" s="15" t="s">
        <v>8</v>
      </c>
      <c r="X3286" s="20" t="str">
        <f>HYPERLINK("http://yeinfo.com/family/I09066511.html", "MAUD ECHINGHAM &lt;3&gt; 1352 EN-1375 EN ID:09066511")</f>
        <v>MAUD ECHINGHAM &lt;3&gt; 1352 EN-1375 EN ID:09066511</v>
      </c>
      <c r="Y3286" s="17"/>
      <c r="Z3286" s="17"/>
      <c r="AA3286" s="17"/>
      <c r="AB3286" s="17"/>
    </row>
    <row r="3287" spans="3:28" x14ac:dyDescent="0.35">
      <c r="C3287" s="15" t="s">
        <v>8</v>
      </c>
      <c r="D3287" s="15" t="s">
        <v>8</v>
      </c>
      <c r="E3287" s="15" t="s">
        <v>8</v>
      </c>
      <c r="F3287" s="15" t="s">
        <v>8</v>
      </c>
      <c r="H3287" s="15" t="s">
        <v>8</v>
      </c>
      <c r="I3287" s="15" t="s">
        <v>8</v>
      </c>
      <c r="J3287" s="15" t="s">
        <v>8</v>
      </c>
      <c r="M3287" s="15" t="s">
        <v>8</v>
      </c>
      <c r="N3287" s="15" t="s">
        <v>8</v>
      </c>
      <c r="Q3287" s="15" t="s">
        <v>8</v>
      </c>
      <c r="U3287" s="15" t="s">
        <v>8</v>
      </c>
      <c r="V3287" s="8" t="s">
        <v>6</v>
      </c>
      <c r="W3287" s="15" t="s">
        <v>8</v>
      </c>
    </row>
    <row r="3288" spans="3:28" x14ac:dyDescent="0.35">
      <c r="C3288" s="15" t="s">
        <v>8</v>
      </c>
      <c r="D3288" s="15" t="s">
        <v>8</v>
      </c>
      <c r="E3288" s="15" t="s">
        <v>8</v>
      </c>
      <c r="F3288" s="15" t="s">
        <v>8</v>
      </c>
      <c r="H3288" s="15" t="s">
        <v>8</v>
      </c>
      <c r="I3288" s="15" t="s">
        <v>8</v>
      </c>
      <c r="J3288" s="15" t="s">
        <v>8</v>
      </c>
      <c r="M3288" s="15" t="s">
        <v>8</v>
      </c>
      <c r="N3288" s="15" t="s">
        <v>8</v>
      </c>
      <c r="Q3288" s="15" t="s">
        <v>8</v>
      </c>
      <c r="U3288" s="15" t="s">
        <v>8</v>
      </c>
      <c r="V3288" s="20" t="str">
        <f>HYPERLINK("http://yeinfo.com/family/I09066511.html", "AGNES SUSAN FORDE 1399 EN-1482 EN ID:09066184")</f>
        <v>AGNES SUSAN FORDE 1399 EN-1482 EN ID:09066184</v>
      </c>
      <c r="W3288" s="17"/>
      <c r="X3288" s="17"/>
      <c r="Y3288" s="17"/>
      <c r="Z3288" s="17"/>
    </row>
    <row r="3289" spans="3:28" x14ac:dyDescent="0.35">
      <c r="C3289" s="15" t="s">
        <v>8</v>
      </c>
      <c r="D3289" s="15" t="s">
        <v>8</v>
      </c>
      <c r="E3289" s="15" t="s">
        <v>8</v>
      </c>
      <c r="F3289" s="15" t="s">
        <v>8</v>
      </c>
      <c r="H3289" s="15" t="s">
        <v>8</v>
      </c>
      <c r="I3289" s="15" t="s">
        <v>8</v>
      </c>
      <c r="J3289" s="15" t="s">
        <v>8</v>
      </c>
      <c r="M3289" s="15" t="s">
        <v>8</v>
      </c>
      <c r="N3289" s="15" t="s">
        <v>8</v>
      </c>
      <c r="Q3289" s="15" t="s">
        <v>8</v>
      </c>
      <c r="U3289" s="15" t="s">
        <v>8</v>
      </c>
      <c r="W3289" s="8" t="s">
        <v>6</v>
      </c>
    </row>
    <row r="3290" spans="3:28" x14ac:dyDescent="0.35">
      <c r="C3290" s="15" t="s">
        <v>8</v>
      </c>
      <c r="D3290" s="15" t="s">
        <v>8</v>
      </c>
      <c r="E3290" s="15" t="s">
        <v>8</v>
      </c>
      <c r="F3290" s="15" t="s">
        <v>8</v>
      </c>
      <c r="H3290" s="15" t="s">
        <v>8</v>
      </c>
      <c r="I3290" s="15" t="s">
        <v>8</v>
      </c>
      <c r="J3290" s="15" t="s">
        <v>8</v>
      </c>
      <c r="M3290" s="15" t="s">
        <v>8</v>
      </c>
      <c r="N3290" s="15" t="s">
        <v>8</v>
      </c>
      <c r="Q3290" s="15" t="s">
        <v>8</v>
      </c>
      <c r="U3290" s="15" t="s">
        <v>8</v>
      </c>
      <c r="W3290" s="20" t="str">
        <f>HYPERLINK("http://yeinfo.com/family/I09066458.html", "SARAH WARRETT 1378 EN-1418 EN ID:09066485")</f>
        <v>SARAH WARRETT 1378 EN-1418 EN ID:09066485</v>
      </c>
      <c r="X3290" s="17"/>
      <c r="Y3290" s="17"/>
      <c r="Z3290" s="17"/>
      <c r="AA3290" s="17"/>
    </row>
    <row r="3291" spans="3:28" x14ac:dyDescent="0.35">
      <c r="C3291" s="15" t="s">
        <v>8</v>
      </c>
      <c r="D3291" s="15" t="s">
        <v>8</v>
      </c>
      <c r="E3291" s="15" t="s">
        <v>8</v>
      </c>
      <c r="F3291" s="15" t="s">
        <v>8</v>
      </c>
      <c r="H3291" s="15" t="s">
        <v>8</v>
      </c>
      <c r="I3291" s="15" t="s">
        <v>8</v>
      </c>
      <c r="J3291" s="15" t="s">
        <v>8</v>
      </c>
      <c r="M3291" s="15" t="s">
        <v>8</v>
      </c>
      <c r="N3291" s="15" t="s">
        <v>8</v>
      </c>
      <c r="Q3291" s="15" t="s">
        <v>8</v>
      </c>
      <c r="U3291" s="15" t="s">
        <v>8</v>
      </c>
    </row>
    <row r="3292" spans="3:28" x14ac:dyDescent="0.35">
      <c r="C3292" s="15" t="s">
        <v>8</v>
      </c>
      <c r="D3292" s="15" t="s">
        <v>8</v>
      </c>
      <c r="E3292" s="15" t="s">
        <v>8</v>
      </c>
      <c r="F3292" s="15" t="s">
        <v>8</v>
      </c>
      <c r="H3292" s="15" t="s">
        <v>8</v>
      </c>
      <c r="I3292" s="15" t="s">
        <v>8</v>
      </c>
      <c r="J3292" s="15" t="s">
        <v>8</v>
      </c>
      <c r="M3292" s="15" t="s">
        <v>8</v>
      </c>
      <c r="N3292" s="15" t="s">
        <v>8</v>
      </c>
      <c r="Q3292" s="15" t="s">
        <v>8</v>
      </c>
      <c r="T3292" s="19" t="str">
        <f>HYPERLINK("http://yeinfo.com/family/I09065696.html", "JOHN CLERKE 1448 EN-1497 EN ID:09065831")</f>
        <v>JOHN CLERKE 1448 EN-1497 EN ID:09065831</v>
      </c>
      <c r="U3292" s="9"/>
      <c r="V3292" s="9"/>
      <c r="W3292" s="9"/>
      <c r="X3292" s="9"/>
    </row>
    <row r="3293" spans="3:28" x14ac:dyDescent="0.35">
      <c r="C3293" s="15" t="s">
        <v>8</v>
      </c>
      <c r="D3293" s="15" t="s">
        <v>8</v>
      </c>
      <c r="E3293" s="15" t="s">
        <v>8</v>
      </c>
      <c r="F3293" s="15" t="s">
        <v>8</v>
      </c>
      <c r="H3293" s="15" t="s">
        <v>8</v>
      </c>
      <c r="I3293" s="15" t="s">
        <v>8</v>
      </c>
      <c r="J3293" s="15" t="s">
        <v>8</v>
      </c>
      <c r="M3293" s="15" t="s">
        <v>8</v>
      </c>
      <c r="N3293" s="15" t="s">
        <v>8</v>
      </c>
      <c r="Q3293" s="15" t="s">
        <v>8</v>
      </c>
      <c r="T3293" s="8" t="s">
        <v>3</v>
      </c>
      <c r="U3293" s="15" t="s">
        <v>8</v>
      </c>
    </row>
    <row r="3294" spans="3:28" x14ac:dyDescent="0.35">
      <c r="C3294" s="15" t="s">
        <v>8</v>
      </c>
      <c r="D3294" s="15" t="s">
        <v>8</v>
      </c>
      <c r="E3294" s="15" t="s">
        <v>8</v>
      </c>
      <c r="F3294" s="15" t="s">
        <v>8</v>
      </c>
      <c r="H3294" s="15" t="s">
        <v>8</v>
      </c>
      <c r="I3294" s="15" t="s">
        <v>8</v>
      </c>
      <c r="J3294" s="15" t="s">
        <v>8</v>
      </c>
      <c r="M3294" s="15" t="s">
        <v>8</v>
      </c>
      <c r="N3294" s="15" t="s">
        <v>8</v>
      </c>
      <c r="Q3294" s="15" t="s">
        <v>8</v>
      </c>
      <c r="T3294" s="15" t="s">
        <v>8</v>
      </c>
      <c r="U3294" s="15" t="s">
        <v>8</v>
      </c>
      <c r="W3294" s="19" t="str">
        <f>HYPERLINK("http://yeinfo.com/family/I09066185.html", "THOMAS TATESHAM 1380 EN-1400 EN ID:09066335")</f>
        <v>THOMAS TATESHAM 1380 EN-1400 EN ID:09066335</v>
      </c>
      <c r="X3294" s="9"/>
      <c r="Y3294" s="9"/>
      <c r="Z3294" s="9"/>
      <c r="AA3294" s="9"/>
    </row>
    <row r="3295" spans="3:28" x14ac:dyDescent="0.35">
      <c r="C3295" s="15" t="s">
        <v>8</v>
      </c>
      <c r="D3295" s="15" t="s">
        <v>8</v>
      </c>
      <c r="E3295" s="15" t="s">
        <v>8</v>
      </c>
      <c r="F3295" s="15" t="s">
        <v>8</v>
      </c>
      <c r="H3295" s="15" t="s">
        <v>8</v>
      </c>
      <c r="I3295" s="15" t="s">
        <v>8</v>
      </c>
      <c r="J3295" s="15" t="s">
        <v>8</v>
      </c>
      <c r="M3295" s="15" t="s">
        <v>8</v>
      </c>
      <c r="N3295" s="15" t="s">
        <v>8</v>
      </c>
      <c r="Q3295" s="15" t="s">
        <v>8</v>
      </c>
      <c r="T3295" s="15" t="s">
        <v>8</v>
      </c>
      <c r="U3295" s="15" t="s">
        <v>8</v>
      </c>
      <c r="W3295" s="8" t="s">
        <v>3</v>
      </c>
    </row>
    <row r="3296" spans="3:28" x14ac:dyDescent="0.35">
      <c r="C3296" s="15" t="s">
        <v>8</v>
      </c>
      <c r="D3296" s="15" t="s">
        <v>8</v>
      </c>
      <c r="E3296" s="15" t="s">
        <v>8</v>
      </c>
      <c r="F3296" s="15" t="s">
        <v>8</v>
      </c>
      <c r="H3296" s="15" t="s">
        <v>8</v>
      </c>
      <c r="I3296" s="15" t="s">
        <v>8</v>
      </c>
      <c r="J3296" s="15" t="s">
        <v>8</v>
      </c>
      <c r="M3296" s="15" t="s">
        <v>8</v>
      </c>
      <c r="N3296" s="15" t="s">
        <v>8</v>
      </c>
      <c r="Q3296" s="15" t="s">
        <v>8</v>
      </c>
      <c r="T3296" s="15" t="s">
        <v>8</v>
      </c>
      <c r="U3296" s="15" t="s">
        <v>8</v>
      </c>
      <c r="V3296" s="19" t="str">
        <f>HYPERLINK("http://yeinfo.com/family/I09065998.html", "TALRAN TATESHAM 1400 EN-1485 EN ID:09066185")</f>
        <v>TALRAN TATESHAM 1400 EN-1485 EN ID:09066185</v>
      </c>
      <c r="W3296" s="9"/>
      <c r="X3296" s="9"/>
      <c r="Y3296" s="9"/>
      <c r="Z3296" s="9"/>
    </row>
    <row r="3297" spans="3:27" x14ac:dyDescent="0.35">
      <c r="C3297" s="15" t="s">
        <v>8</v>
      </c>
      <c r="D3297" s="15" t="s">
        <v>8</v>
      </c>
      <c r="E3297" s="15" t="s">
        <v>8</v>
      </c>
      <c r="F3297" s="15" t="s">
        <v>8</v>
      </c>
      <c r="H3297" s="15" t="s">
        <v>8</v>
      </c>
      <c r="I3297" s="15" t="s">
        <v>8</v>
      </c>
      <c r="J3297" s="15" t="s">
        <v>8</v>
      </c>
      <c r="M3297" s="15" t="s">
        <v>8</v>
      </c>
      <c r="N3297" s="15" t="s">
        <v>8</v>
      </c>
      <c r="Q3297" s="15" t="s">
        <v>8</v>
      </c>
      <c r="T3297" s="15" t="s">
        <v>8</v>
      </c>
      <c r="U3297" s="15" t="s">
        <v>8</v>
      </c>
      <c r="V3297" s="8" t="s">
        <v>3</v>
      </c>
      <c r="W3297" s="8" t="s">
        <v>6</v>
      </c>
    </row>
    <row r="3298" spans="3:27" x14ac:dyDescent="0.35">
      <c r="C3298" s="15" t="s">
        <v>8</v>
      </c>
      <c r="D3298" s="15" t="s">
        <v>8</v>
      </c>
      <c r="E3298" s="15" t="s">
        <v>8</v>
      </c>
      <c r="F3298" s="15" t="s">
        <v>8</v>
      </c>
      <c r="H3298" s="15" t="s">
        <v>8</v>
      </c>
      <c r="I3298" s="15" t="s">
        <v>8</v>
      </c>
      <c r="J3298" s="15" t="s">
        <v>8</v>
      </c>
      <c r="M3298" s="15" t="s">
        <v>8</v>
      </c>
      <c r="N3298" s="15" t="s">
        <v>8</v>
      </c>
      <c r="Q3298" s="15" t="s">
        <v>8</v>
      </c>
      <c r="T3298" s="15" t="s">
        <v>8</v>
      </c>
      <c r="U3298" s="15" t="s">
        <v>8</v>
      </c>
      <c r="V3298" s="15" t="s">
        <v>8</v>
      </c>
      <c r="W3298" s="20" t="str">
        <f>HYPERLINK("http://yeinfo.com/family/I09066335.html", "Mrs. {_?_} TATESHAM 1380 -1400 EN ID:09066336")</f>
        <v>Mrs. {_?_} TATESHAM 1380 -1400 EN ID:09066336</v>
      </c>
      <c r="X3298" s="17"/>
      <c r="Y3298" s="17"/>
      <c r="Z3298" s="17"/>
      <c r="AA3298" s="17"/>
    </row>
    <row r="3299" spans="3:27" x14ac:dyDescent="0.35">
      <c r="C3299" s="15" t="s">
        <v>8</v>
      </c>
      <c r="D3299" s="15" t="s">
        <v>8</v>
      </c>
      <c r="E3299" s="15" t="s">
        <v>8</v>
      </c>
      <c r="F3299" s="15" t="s">
        <v>8</v>
      </c>
      <c r="H3299" s="15" t="s">
        <v>8</v>
      </c>
      <c r="I3299" s="15" t="s">
        <v>8</v>
      </c>
      <c r="J3299" s="15" t="s">
        <v>8</v>
      </c>
      <c r="M3299" s="15" t="s">
        <v>8</v>
      </c>
      <c r="N3299" s="15" t="s">
        <v>8</v>
      </c>
      <c r="Q3299" s="15" t="s">
        <v>8</v>
      </c>
      <c r="T3299" s="15" t="s">
        <v>8</v>
      </c>
      <c r="U3299" s="8" t="s">
        <v>6</v>
      </c>
      <c r="V3299" s="15" t="s">
        <v>8</v>
      </c>
    </row>
    <row r="3300" spans="3:27" x14ac:dyDescent="0.35">
      <c r="C3300" s="15" t="s">
        <v>8</v>
      </c>
      <c r="D3300" s="15" t="s">
        <v>8</v>
      </c>
      <c r="E3300" s="15" t="s">
        <v>8</v>
      </c>
      <c r="F3300" s="15" t="s">
        <v>8</v>
      </c>
      <c r="H3300" s="15" t="s">
        <v>8</v>
      </c>
      <c r="I3300" s="15" t="s">
        <v>8</v>
      </c>
      <c r="J3300" s="15" t="s">
        <v>8</v>
      </c>
      <c r="M3300" s="15" t="s">
        <v>8</v>
      </c>
      <c r="N3300" s="15" t="s">
        <v>8</v>
      </c>
      <c r="Q3300" s="15" t="s">
        <v>8</v>
      </c>
      <c r="T3300" s="15" t="s">
        <v>8</v>
      </c>
      <c r="U3300" s="20" t="str">
        <f>HYPERLINK("http://yeinfo.com/family/I09066485.html", "ALICE TATESHAM 1425 EN-1480 EN ID:09065998")</f>
        <v>ALICE TATESHAM 1425 EN-1480 EN ID:09065998</v>
      </c>
      <c r="V3300" s="17"/>
      <c r="W3300" s="17"/>
      <c r="X3300" s="17"/>
      <c r="Y3300" s="17"/>
    </row>
    <row r="3301" spans="3:27" x14ac:dyDescent="0.35">
      <c r="C3301" s="15" t="s">
        <v>8</v>
      </c>
      <c r="D3301" s="15" t="s">
        <v>8</v>
      </c>
      <c r="E3301" s="15" t="s">
        <v>8</v>
      </c>
      <c r="F3301" s="15" t="s">
        <v>8</v>
      </c>
      <c r="H3301" s="15" t="s">
        <v>8</v>
      </c>
      <c r="I3301" s="15" t="s">
        <v>8</v>
      </c>
      <c r="J3301" s="15" t="s">
        <v>8</v>
      </c>
      <c r="M3301" s="15" t="s">
        <v>8</v>
      </c>
      <c r="N3301" s="15" t="s">
        <v>8</v>
      </c>
      <c r="Q3301" s="15" t="s">
        <v>8</v>
      </c>
      <c r="T3301" s="15" t="s">
        <v>8</v>
      </c>
      <c r="V3301" s="8" t="s">
        <v>6</v>
      </c>
    </row>
    <row r="3302" spans="3:27" x14ac:dyDescent="0.35">
      <c r="C3302" s="15" t="s">
        <v>8</v>
      </c>
      <c r="D3302" s="15" t="s">
        <v>8</v>
      </c>
      <c r="E3302" s="15" t="s">
        <v>8</v>
      </c>
      <c r="F3302" s="15" t="s">
        <v>8</v>
      </c>
      <c r="H3302" s="15" t="s">
        <v>8</v>
      </c>
      <c r="I3302" s="15" t="s">
        <v>8</v>
      </c>
      <c r="J3302" s="15" t="s">
        <v>8</v>
      </c>
      <c r="M3302" s="15" t="s">
        <v>8</v>
      </c>
      <c r="N3302" s="15" t="s">
        <v>8</v>
      </c>
      <c r="Q3302" s="15" t="s">
        <v>8</v>
      </c>
      <c r="T3302" s="15" t="s">
        <v>8</v>
      </c>
      <c r="V3302" s="20" t="str">
        <f>HYPERLINK("http://yeinfo.com/family/I09066336.html", "ALICE TALRAN 1405 EN-1480 EN ID:09066186")</f>
        <v>ALICE TALRAN 1405 EN-1480 EN ID:09066186</v>
      </c>
      <c r="W3302" s="17"/>
      <c r="X3302" s="17"/>
      <c r="Y3302" s="17"/>
      <c r="Z3302" s="17"/>
    </row>
    <row r="3303" spans="3:27" x14ac:dyDescent="0.35">
      <c r="C3303" s="15" t="s">
        <v>8</v>
      </c>
      <c r="D3303" s="15" t="s">
        <v>8</v>
      </c>
      <c r="E3303" s="15" t="s">
        <v>8</v>
      </c>
      <c r="F3303" s="15" t="s">
        <v>8</v>
      </c>
      <c r="H3303" s="15" t="s">
        <v>8</v>
      </c>
      <c r="I3303" s="15" t="s">
        <v>8</v>
      </c>
      <c r="J3303" s="15" t="s">
        <v>8</v>
      </c>
      <c r="M3303" s="15" t="s">
        <v>8</v>
      </c>
      <c r="N3303" s="15" t="s">
        <v>8</v>
      </c>
      <c r="Q3303" s="15" t="s">
        <v>8</v>
      </c>
      <c r="T3303" s="15" t="s">
        <v>8</v>
      </c>
    </row>
    <row r="3304" spans="3:27" x14ac:dyDescent="0.35">
      <c r="C3304" s="15" t="s">
        <v>8</v>
      </c>
      <c r="D3304" s="15" t="s">
        <v>8</v>
      </c>
      <c r="E3304" s="15" t="s">
        <v>8</v>
      </c>
      <c r="F3304" s="15" t="s">
        <v>8</v>
      </c>
      <c r="H3304" s="15" t="s">
        <v>8</v>
      </c>
      <c r="I3304" s="15" t="s">
        <v>8</v>
      </c>
      <c r="J3304" s="15" t="s">
        <v>8</v>
      </c>
      <c r="M3304" s="15" t="s">
        <v>8</v>
      </c>
      <c r="N3304" s="15" t="s">
        <v>8</v>
      </c>
      <c r="Q3304" s="15" t="s">
        <v>8</v>
      </c>
      <c r="S3304" s="19" t="str">
        <f>HYPERLINK("http://yeinfo.com/family/I09065563.html", "ROBERT CLERKE 1492 EN-1550 EN ID:09065696")</f>
        <v>ROBERT CLERKE 1492 EN-1550 EN ID:09065696</v>
      </c>
      <c r="T3304" s="9"/>
      <c r="U3304" s="9"/>
      <c r="V3304" s="9"/>
      <c r="W3304" s="9"/>
    </row>
    <row r="3305" spans="3:27" x14ac:dyDescent="0.35">
      <c r="C3305" s="15" t="s">
        <v>8</v>
      </c>
      <c r="D3305" s="15" t="s">
        <v>8</v>
      </c>
      <c r="E3305" s="15" t="s">
        <v>8</v>
      </c>
      <c r="F3305" s="15" t="s">
        <v>8</v>
      </c>
      <c r="H3305" s="15" t="s">
        <v>8</v>
      </c>
      <c r="I3305" s="15" t="s">
        <v>8</v>
      </c>
      <c r="J3305" s="15" t="s">
        <v>8</v>
      </c>
      <c r="M3305" s="15" t="s">
        <v>8</v>
      </c>
      <c r="N3305" s="15" t="s">
        <v>8</v>
      </c>
      <c r="Q3305" s="15" t="s">
        <v>8</v>
      </c>
      <c r="S3305" s="8" t="s">
        <v>3</v>
      </c>
      <c r="T3305" s="8" t="s">
        <v>6</v>
      </c>
    </row>
    <row r="3306" spans="3:27" x14ac:dyDescent="0.35">
      <c r="C3306" s="15" t="s">
        <v>8</v>
      </c>
      <c r="D3306" s="15" t="s">
        <v>8</v>
      </c>
      <c r="E3306" s="15" t="s">
        <v>8</v>
      </c>
      <c r="F3306" s="15" t="s">
        <v>8</v>
      </c>
      <c r="H3306" s="15" t="s">
        <v>8</v>
      </c>
      <c r="I3306" s="15" t="s">
        <v>8</v>
      </c>
      <c r="J3306" s="15" t="s">
        <v>8</v>
      </c>
      <c r="M3306" s="15" t="s">
        <v>8</v>
      </c>
      <c r="N3306" s="15" t="s">
        <v>8</v>
      </c>
      <c r="Q3306" s="15" t="s">
        <v>8</v>
      </c>
      <c r="S3306" s="15" t="s">
        <v>8</v>
      </c>
      <c r="T3306" s="20" t="str">
        <f>HYPERLINK("http://yeinfo.com/family/I09066186.html", "Mrs. AGNES CLERKE 1450 EN-1492 EN ID:09065832")</f>
        <v>Mrs. AGNES CLERKE 1450 EN-1492 EN ID:09065832</v>
      </c>
      <c r="U3306" s="17"/>
      <c r="V3306" s="17"/>
      <c r="W3306" s="17"/>
      <c r="X3306" s="17"/>
    </row>
    <row r="3307" spans="3:27" x14ac:dyDescent="0.35">
      <c r="C3307" s="15" t="s">
        <v>8</v>
      </c>
      <c r="D3307" s="15" t="s">
        <v>8</v>
      </c>
      <c r="E3307" s="15" t="s">
        <v>8</v>
      </c>
      <c r="F3307" s="15" t="s">
        <v>8</v>
      </c>
      <c r="H3307" s="15" t="s">
        <v>8</v>
      </c>
      <c r="I3307" s="15" t="s">
        <v>8</v>
      </c>
      <c r="J3307" s="15" t="s">
        <v>8</v>
      </c>
      <c r="M3307" s="15" t="s">
        <v>8</v>
      </c>
      <c r="N3307" s="15" t="s">
        <v>8</v>
      </c>
      <c r="Q3307" s="15" t="s">
        <v>8</v>
      </c>
      <c r="S3307" s="15" t="s">
        <v>8</v>
      </c>
    </row>
    <row r="3308" spans="3:27" x14ac:dyDescent="0.35">
      <c r="C3308" s="15" t="s">
        <v>8</v>
      </c>
      <c r="D3308" s="15" t="s">
        <v>8</v>
      </c>
      <c r="E3308" s="15" t="s">
        <v>8</v>
      </c>
      <c r="F3308" s="15" t="s">
        <v>8</v>
      </c>
      <c r="H3308" s="15" t="s">
        <v>8</v>
      </c>
      <c r="I3308" s="15" t="s">
        <v>8</v>
      </c>
      <c r="J3308" s="15" t="s">
        <v>8</v>
      </c>
      <c r="M3308" s="15" t="s">
        <v>8</v>
      </c>
      <c r="N3308" s="15" t="s">
        <v>8</v>
      </c>
      <c r="Q3308" s="15" t="s">
        <v>8</v>
      </c>
      <c r="R3308" s="19" t="str">
        <f>HYPERLINK("http://yeinfo.com/family/I09043383.html", "HENRY CLERKE 1518 EN-1567 EN ID:09065563")</f>
        <v>HENRY CLERKE 1518 EN-1567 EN ID:09065563</v>
      </c>
      <c r="S3308" s="9"/>
      <c r="T3308" s="9"/>
      <c r="U3308" s="9"/>
      <c r="V3308" s="9"/>
    </row>
    <row r="3309" spans="3:27" x14ac:dyDescent="0.35">
      <c r="C3309" s="15" t="s">
        <v>8</v>
      </c>
      <c r="D3309" s="15" t="s">
        <v>8</v>
      </c>
      <c r="E3309" s="15" t="s">
        <v>8</v>
      </c>
      <c r="F3309" s="15" t="s">
        <v>8</v>
      </c>
      <c r="H3309" s="15" t="s">
        <v>8</v>
      </c>
      <c r="I3309" s="15" t="s">
        <v>8</v>
      </c>
      <c r="J3309" s="15" t="s">
        <v>8</v>
      </c>
      <c r="M3309" s="15" t="s">
        <v>8</v>
      </c>
      <c r="N3309" s="15" t="s">
        <v>8</v>
      </c>
      <c r="Q3309" s="15" t="s">
        <v>8</v>
      </c>
      <c r="R3309" s="8" t="s">
        <v>3</v>
      </c>
      <c r="S3309" s="8" t="s">
        <v>6</v>
      </c>
    </row>
    <row r="3310" spans="3:27" x14ac:dyDescent="0.35">
      <c r="C3310" s="15" t="s">
        <v>8</v>
      </c>
      <c r="D3310" s="15" t="s">
        <v>8</v>
      </c>
      <c r="E3310" s="15" t="s">
        <v>8</v>
      </c>
      <c r="F3310" s="15" t="s">
        <v>8</v>
      </c>
      <c r="H3310" s="15" t="s">
        <v>8</v>
      </c>
      <c r="I3310" s="15" t="s">
        <v>8</v>
      </c>
      <c r="J3310" s="15" t="s">
        <v>8</v>
      </c>
      <c r="M3310" s="15" t="s">
        <v>8</v>
      </c>
      <c r="N3310" s="15" t="s">
        <v>8</v>
      </c>
      <c r="Q3310" s="15" t="s">
        <v>8</v>
      </c>
      <c r="R3310" s="15" t="s">
        <v>8</v>
      </c>
      <c r="S3310" s="20" t="str">
        <f>HYPERLINK("http://yeinfo.com/family/I09065832.html", "AGNES\ELIZABETH WILLOUGHBY 1485 -1518 EN ID:09065697")</f>
        <v>AGNES\ELIZABETH WILLOUGHBY 1485 -1518 EN ID:09065697</v>
      </c>
      <c r="T3310" s="17"/>
      <c r="U3310" s="17"/>
      <c r="V3310" s="17"/>
      <c r="W3310" s="17"/>
      <c r="X3310" s="17"/>
    </row>
    <row r="3311" spans="3:27" x14ac:dyDescent="0.35">
      <c r="C3311" s="15" t="s">
        <v>8</v>
      </c>
      <c r="D3311" s="15" t="s">
        <v>8</v>
      </c>
      <c r="E3311" s="15" t="s">
        <v>8</v>
      </c>
      <c r="F3311" s="15" t="s">
        <v>8</v>
      </c>
      <c r="H3311" s="15" t="s">
        <v>8</v>
      </c>
      <c r="I3311" s="15" t="s">
        <v>8</v>
      </c>
      <c r="J3311" s="15" t="s">
        <v>8</v>
      </c>
      <c r="M3311" s="15" t="s">
        <v>8</v>
      </c>
      <c r="N3311" s="15" t="s">
        <v>8</v>
      </c>
      <c r="Q3311" s="8" t="s">
        <v>6</v>
      </c>
      <c r="R3311" s="15" t="s">
        <v>8</v>
      </c>
    </row>
    <row r="3312" spans="3:27" x14ac:dyDescent="0.35">
      <c r="C3312" s="15" t="s">
        <v>8</v>
      </c>
      <c r="D3312" s="15" t="s">
        <v>8</v>
      </c>
      <c r="E3312" s="15" t="s">
        <v>8</v>
      </c>
      <c r="F3312" s="15" t="s">
        <v>8</v>
      </c>
      <c r="H3312" s="15" t="s">
        <v>8</v>
      </c>
      <c r="I3312" s="15" t="s">
        <v>8</v>
      </c>
      <c r="J3312" s="15" t="s">
        <v>8</v>
      </c>
      <c r="M3312" s="15" t="s">
        <v>8</v>
      </c>
      <c r="N3312" s="15" t="s">
        <v>8</v>
      </c>
      <c r="Q3312" s="20" t="str">
        <f>HYPERLINK("http://yeinfo.com/family/I09065562.html", "AMY CLERKE 1555 EN-1573 EN ID:09043383")</f>
        <v>AMY CLERKE 1555 EN-1573 EN ID:09043383</v>
      </c>
      <c r="R3312" s="17"/>
      <c r="S3312" s="17"/>
      <c r="T3312" s="17"/>
      <c r="U3312" s="17"/>
    </row>
    <row r="3313" spans="3:27" x14ac:dyDescent="0.35">
      <c r="C3313" s="15" t="s">
        <v>8</v>
      </c>
      <c r="D3313" s="15" t="s">
        <v>8</v>
      </c>
      <c r="E3313" s="15" t="s">
        <v>8</v>
      </c>
      <c r="F3313" s="15" t="s">
        <v>8</v>
      </c>
      <c r="H3313" s="15" t="s">
        <v>8</v>
      </c>
      <c r="I3313" s="15" t="s">
        <v>8</v>
      </c>
      <c r="J3313" s="15" t="s">
        <v>8</v>
      </c>
      <c r="M3313" s="15" t="s">
        <v>8</v>
      </c>
      <c r="N3313" s="15" t="s">
        <v>8</v>
      </c>
      <c r="R3313" s="8" t="s">
        <v>6</v>
      </c>
    </row>
    <row r="3314" spans="3:27" x14ac:dyDescent="0.35">
      <c r="C3314" s="15" t="s">
        <v>8</v>
      </c>
      <c r="D3314" s="15" t="s">
        <v>8</v>
      </c>
      <c r="E3314" s="15" t="s">
        <v>8</v>
      </c>
      <c r="F3314" s="15" t="s">
        <v>8</v>
      </c>
      <c r="H3314" s="15" t="s">
        <v>8</v>
      </c>
      <c r="I3314" s="15" t="s">
        <v>8</v>
      </c>
      <c r="J3314" s="15" t="s">
        <v>8</v>
      </c>
      <c r="M3314" s="15" t="s">
        <v>8</v>
      </c>
      <c r="N3314" s="15" t="s">
        <v>8</v>
      </c>
      <c r="R3314" s="20" t="str">
        <f>HYPERLINK("http://yeinfo.com/family/I09065697.html", "JOANE TULLY 1524 EN-1563 EN ID:09065564")</f>
        <v>JOANE TULLY 1524 EN-1563 EN ID:09065564</v>
      </c>
      <c r="S3314" s="17"/>
      <c r="T3314" s="17"/>
      <c r="U3314" s="17"/>
      <c r="V3314" s="17"/>
    </row>
    <row r="3315" spans="3:27" x14ac:dyDescent="0.35">
      <c r="C3315" s="15" t="s">
        <v>8</v>
      </c>
      <c r="D3315" s="15" t="s">
        <v>8</v>
      </c>
      <c r="E3315" s="15" t="s">
        <v>8</v>
      </c>
      <c r="F3315" s="15" t="s">
        <v>8</v>
      </c>
      <c r="H3315" s="15" t="s">
        <v>8</v>
      </c>
      <c r="I3315" s="15" t="s">
        <v>8</v>
      </c>
      <c r="J3315" s="15" t="s">
        <v>8</v>
      </c>
      <c r="M3315" s="8" t="s">
        <v>6</v>
      </c>
      <c r="N3315" s="15" t="s">
        <v>8</v>
      </c>
    </row>
    <row r="3316" spans="3:27" x14ac:dyDescent="0.35">
      <c r="C3316" s="15" t="s">
        <v>8</v>
      </c>
      <c r="D3316" s="15" t="s">
        <v>8</v>
      </c>
      <c r="E3316" s="15" t="s">
        <v>8</v>
      </c>
      <c r="F3316" s="15" t="s">
        <v>8</v>
      </c>
      <c r="H3316" s="15" t="s">
        <v>8</v>
      </c>
      <c r="I3316" s="15" t="s">
        <v>8</v>
      </c>
      <c r="J3316" s="15" t="s">
        <v>8</v>
      </c>
      <c r="M3316" s="16" t="str">
        <f>HYPERLINK("http://yeinfo.com/family/I09043375.html", "MARY PHILLIPS 1668 -1727  ID:09002711")</f>
        <v>MARY PHILLIPS 1668 -1727  ID:09002711</v>
      </c>
      <c r="N3316" s="11"/>
      <c r="O3316" s="11"/>
      <c r="P3316" s="11"/>
      <c r="Q3316" s="11"/>
    </row>
    <row r="3317" spans="3:27" x14ac:dyDescent="0.35">
      <c r="C3317" s="15" t="s">
        <v>8</v>
      </c>
      <c r="D3317" s="15" t="s">
        <v>8</v>
      </c>
      <c r="E3317" s="15" t="s">
        <v>8</v>
      </c>
      <c r="F3317" s="15" t="s">
        <v>8</v>
      </c>
      <c r="H3317" s="15" t="s">
        <v>8</v>
      </c>
      <c r="I3317" s="15" t="s">
        <v>8</v>
      </c>
      <c r="J3317" s="15" t="s">
        <v>8</v>
      </c>
      <c r="N3317" s="15" t="s">
        <v>8</v>
      </c>
    </row>
    <row r="3318" spans="3:27" x14ac:dyDescent="0.35">
      <c r="C3318" s="15" t="s">
        <v>8</v>
      </c>
      <c r="D3318" s="15" t="s">
        <v>8</v>
      </c>
      <c r="E3318" s="15" t="s">
        <v>8</v>
      </c>
      <c r="F3318" s="15" t="s">
        <v>8</v>
      </c>
      <c r="H3318" s="15" t="s">
        <v>8</v>
      </c>
      <c r="I3318" s="15" t="s">
        <v>8</v>
      </c>
      <c r="J3318" s="15" t="s">
        <v>8</v>
      </c>
      <c r="N3318" s="15" t="s">
        <v>8</v>
      </c>
      <c r="W3318" s="19" t="str">
        <f>HYPERLINK("http://yeinfo.com/family/I09066187.html", "WILLIAM APPLETON 1323 EN-1355 EN ID:09066337")</f>
        <v>WILLIAM APPLETON 1323 EN-1355 EN ID:09066337</v>
      </c>
      <c r="X3318" s="9"/>
      <c r="Y3318" s="9"/>
      <c r="Z3318" s="9"/>
      <c r="AA3318" s="9"/>
    </row>
    <row r="3319" spans="3:27" x14ac:dyDescent="0.35">
      <c r="C3319" s="15" t="s">
        <v>8</v>
      </c>
      <c r="D3319" s="15" t="s">
        <v>8</v>
      </c>
      <c r="E3319" s="15" t="s">
        <v>8</v>
      </c>
      <c r="F3319" s="15" t="s">
        <v>8</v>
      </c>
      <c r="H3319" s="15" t="s">
        <v>8</v>
      </c>
      <c r="I3319" s="15" t="s">
        <v>8</v>
      </c>
      <c r="J3319" s="15" t="s">
        <v>8</v>
      </c>
      <c r="N3319" s="15" t="s">
        <v>8</v>
      </c>
      <c r="W3319" s="8" t="s">
        <v>3</v>
      </c>
    </row>
    <row r="3320" spans="3:27" x14ac:dyDescent="0.35">
      <c r="C3320" s="15" t="s">
        <v>8</v>
      </c>
      <c r="D3320" s="15" t="s">
        <v>8</v>
      </c>
      <c r="E3320" s="15" t="s">
        <v>8</v>
      </c>
      <c r="F3320" s="15" t="s">
        <v>8</v>
      </c>
      <c r="H3320" s="15" t="s">
        <v>8</v>
      </c>
      <c r="I3320" s="15" t="s">
        <v>8</v>
      </c>
      <c r="J3320" s="15" t="s">
        <v>8</v>
      </c>
      <c r="N3320" s="15" t="s">
        <v>8</v>
      </c>
      <c r="V3320" s="19" t="str">
        <f>HYPERLINK("http://yeinfo.com/family/I09065999.html", "JOHN APPLETON 1355 EN-1416 EN ID:09066187")</f>
        <v>JOHN APPLETON 1355 EN-1416 EN ID:09066187</v>
      </c>
      <c r="W3320" s="9"/>
      <c r="X3320" s="9"/>
      <c r="Y3320" s="9"/>
      <c r="Z3320" s="9"/>
    </row>
    <row r="3321" spans="3:27" x14ac:dyDescent="0.35">
      <c r="C3321" s="15" t="s">
        <v>8</v>
      </c>
      <c r="D3321" s="15" t="s">
        <v>8</v>
      </c>
      <c r="E3321" s="15" t="s">
        <v>8</v>
      </c>
      <c r="F3321" s="15" t="s">
        <v>8</v>
      </c>
      <c r="H3321" s="15" t="s">
        <v>8</v>
      </c>
      <c r="I3321" s="15" t="s">
        <v>8</v>
      </c>
      <c r="J3321" s="15" t="s">
        <v>8</v>
      </c>
      <c r="N3321" s="15" t="s">
        <v>8</v>
      </c>
      <c r="V3321" s="8" t="s">
        <v>3</v>
      </c>
      <c r="W3321" s="8" t="s">
        <v>6</v>
      </c>
    </row>
    <row r="3322" spans="3:27" x14ac:dyDescent="0.35">
      <c r="C3322" s="15" t="s">
        <v>8</v>
      </c>
      <c r="D3322" s="15" t="s">
        <v>8</v>
      </c>
      <c r="E3322" s="15" t="s">
        <v>8</v>
      </c>
      <c r="F3322" s="15" t="s">
        <v>8</v>
      </c>
      <c r="H3322" s="15" t="s">
        <v>8</v>
      </c>
      <c r="I3322" s="15" t="s">
        <v>8</v>
      </c>
      <c r="J3322" s="15" t="s">
        <v>8</v>
      </c>
      <c r="N3322" s="15" t="s">
        <v>8</v>
      </c>
      <c r="V3322" s="15" t="s">
        <v>8</v>
      </c>
      <c r="W3322" s="20" t="str">
        <f>HYPERLINK("http://yeinfo.com/family/I09066337.html", "Mrs. {_?_} APPLETON 1325 -1355 EN ID:09066338")</f>
        <v>Mrs. {_?_} APPLETON 1325 -1355 EN ID:09066338</v>
      </c>
      <c r="X3322" s="17"/>
      <c r="Y3322" s="17"/>
      <c r="Z3322" s="17"/>
      <c r="AA3322" s="17"/>
    </row>
    <row r="3323" spans="3:27" x14ac:dyDescent="0.35">
      <c r="C3323" s="15" t="s">
        <v>8</v>
      </c>
      <c r="D3323" s="15" t="s">
        <v>8</v>
      </c>
      <c r="E3323" s="15" t="s">
        <v>8</v>
      </c>
      <c r="F3323" s="15" t="s">
        <v>8</v>
      </c>
      <c r="H3323" s="15" t="s">
        <v>8</v>
      </c>
      <c r="I3323" s="15" t="s">
        <v>8</v>
      </c>
      <c r="J3323" s="15" t="s">
        <v>8</v>
      </c>
      <c r="N3323" s="15" t="s">
        <v>8</v>
      </c>
      <c r="V3323" s="15" t="s">
        <v>8</v>
      </c>
    </row>
    <row r="3324" spans="3:27" x14ac:dyDescent="0.35">
      <c r="C3324" s="15" t="s">
        <v>8</v>
      </c>
      <c r="D3324" s="15" t="s">
        <v>8</v>
      </c>
      <c r="E3324" s="15" t="s">
        <v>8</v>
      </c>
      <c r="F3324" s="15" t="s">
        <v>8</v>
      </c>
      <c r="H3324" s="15" t="s">
        <v>8</v>
      </c>
      <c r="I3324" s="15" t="s">
        <v>8</v>
      </c>
      <c r="J3324" s="15" t="s">
        <v>8</v>
      </c>
      <c r="N3324" s="15" t="s">
        <v>8</v>
      </c>
      <c r="U3324" s="19" t="str">
        <f>HYPERLINK("http://yeinfo.com/family/I09065833.html", "JOHN APPLETON II 1375 EN-1459 EN ID:09065999")</f>
        <v>JOHN APPLETON II 1375 EN-1459 EN ID:09065999</v>
      </c>
      <c r="V3324" s="9"/>
      <c r="W3324" s="9"/>
      <c r="X3324" s="9"/>
      <c r="Y3324" s="9"/>
    </row>
    <row r="3325" spans="3:27" x14ac:dyDescent="0.35">
      <c r="C3325" s="15" t="s">
        <v>8</v>
      </c>
      <c r="D3325" s="15" t="s">
        <v>8</v>
      </c>
      <c r="E3325" s="15" t="s">
        <v>8</v>
      </c>
      <c r="F3325" s="15" t="s">
        <v>8</v>
      </c>
      <c r="H3325" s="15" t="s">
        <v>8</v>
      </c>
      <c r="I3325" s="15" t="s">
        <v>8</v>
      </c>
      <c r="J3325" s="15" t="s">
        <v>8</v>
      </c>
      <c r="N3325" s="15" t="s">
        <v>8</v>
      </c>
      <c r="U3325" s="8" t="s">
        <v>3</v>
      </c>
      <c r="V3325" s="8" t="s">
        <v>6</v>
      </c>
    </row>
    <row r="3326" spans="3:27" x14ac:dyDescent="0.35">
      <c r="C3326" s="15" t="s">
        <v>8</v>
      </c>
      <c r="D3326" s="15" t="s">
        <v>8</v>
      </c>
      <c r="E3326" s="15" t="s">
        <v>8</v>
      </c>
      <c r="F3326" s="15" t="s">
        <v>8</v>
      </c>
      <c r="H3326" s="15" t="s">
        <v>8</v>
      </c>
      <c r="I3326" s="15" t="s">
        <v>8</v>
      </c>
      <c r="J3326" s="15" t="s">
        <v>8</v>
      </c>
      <c r="N3326" s="15" t="s">
        <v>8</v>
      </c>
      <c r="U3326" s="15" t="s">
        <v>8</v>
      </c>
      <c r="V3326" s="20" t="str">
        <f>HYPERLINK("http://yeinfo.com/family/I09066338.html", "Mrs. {_?_} APPLETON 1355 -1375 EN ID:09066188")</f>
        <v>Mrs. {_?_} APPLETON 1355 -1375 EN ID:09066188</v>
      </c>
      <c r="W3326" s="17"/>
      <c r="X3326" s="17"/>
      <c r="Y3326" s="17"/>
      <c r="Z3326" s="17"/>
    </row>
    <row r="3327" spans="3:27" x14ac:dyDescent="0.35">
      <c r="C3327" s="15" t="s">
        <v>8</v>
      </c>
      <c r="D3327" s="15" t="s">
        <v>8</v>
      </c>
      <c r="E3327" s="15" t="s">
        <v>8</v>
      </c>
      <c r="F3327" s="15" t="s">
        <v>8</v>
      </c>
      <c r="H3327" s="15" t="s">
        <v>8</v>
      </c>
      <c r="I3327" s="15" t="s">
        <v>8</v>
      </c>
      <c r="J3327" s="15" t="s">
        <v>8</v>
      </c>
      <c r="N3327" s="15" t="s">
        <v>8</v>
      </c>
      <c r="U3327" s="15" t="s">
        <v>8</v>
      </c>
    </row>
    <row r="3328" spans="3:27" x14ac:dyDescent="0.35">
      <c r="C3328" s="15" t="s">
        <v>8</v>
      </c>
      <c r="D3328" s="15" t="s">
        <v>8</v>
      </c>
      <c r="E3328" s="15" t="s">
        <v>8</v>
      </c>
      <c r="F3328" s="15" t="s">
        <v>8</v>
      </c>
      <c r="H3328" s="15" t="s">
        <v>8</v>
      </c>
      <c r="I3328" s="15" t="s">
        <v>8</v>
      </c>
      <c r="J3328" s="15" t="s">
        <v>8</v>
      </c>
      <c r="N3328" s="15" t="s">
        <v>8</v>
      </c>
      <c r="T3328" s="19" t="str">
        <f>HYPERLINK("http://yeinfo.com/family/I09065698.html", "JOHN APPLETON III 1404 EN-1481 EN ID:09065833")</f>
        <v>JOHN APPLETON III 1404 EN-1481 EN ID:09065833</v>
      </c>
      <c r="U3328" s="9"/>
      <c r="V3328" s="9"/>
      <c r="W3328" s="9"/>
      <c r="X3328" s="9"/>
    </row>
    <row r="3329" spans="3:26" x14ac:dyDescent="0.35">
      <c r="C3329" s="15" t="s">
        <v>8</v>
      </c>
      <c r="D3329" s="15" t="s">
        <v>8</v>
      </c>
      <c r="E3329" s="15" t="s">
        <v>8</v>
      </c>
      <c r="F3329" s="15" t="s">
        <v>8</v>
      </c>
      <c r="H3329" s="15" t="s">
        <v>8</v>
      </c>
      <c r="I3329" s="15" t="s">
        <v>8</v>
      </c>
      <c r="J3329" s="15" t="s">
        <v>8</v>
      </c>
      <c r="N3329" s="15" t="s">
        <v>8</v>
      </c>
      <c r="T3329" s="8" t="s">
        <v>3</v>
      </c>
      <c r="U3329" s="8" t="s">
        <v>6</v>
      </c>
    </row>
    <row r="3330" spans="3:26" x14ac:dyDescent="0.35">
      <c r="C3330" s="15" t="s">
        <v>8</v>
      </c>
      <c r="D3330" s="15" t="s">
        <v>8</v>
      </c>
      <c r="E3330" s="15" t="s">
        <v>8</v>
      </c>
      <c r="F3330" s="15" t="s">
        <v>8</v>
      </c>
      <c r="H3330" s="15" t="s">
        <v>8</v>
      </c>
      <c r="I3330" s="15" t="s">
        <v>8</v>
      </c>
      <c r="J3330" s="15" t="s">
        <v>8</v>
      </c>
      <c r="N3330" s="15" t="s">
        <v>8</v>
      </c>
      <c r="T3330" s="15" t="s">
        <v>8</v>
      </c>
      <c r="U3330" s="20" t="str">
        <f>HYPERLINK("http://yeinfo.com/family/I09066188.html", "Mrs. {_?_} APPLETON 1375 -1404 EN ID:09066000")</f>
        <v>Mrs. {_?_} APPLETON 1375 -1404 EN ID:09066000</v>
      </c>
      <c r="V3330" s="17"/>
      <c r="W3330" s="17"/>
      <c r="X3330" s="17"/>
      <c r="Y3330" s="17"/>
    </row>
    <row r="3331" spans="3:26" x14ac:dyDescent="0.35">
      <c r="C3331" s="15" t="s">
        <v>8</v>
      </c>
      <c r="D3331" s="15" t="s">
        <v>8</v>
      </c>
      <c r="E3331" s="15" t="s">
        <v>8</v>
      </c>
      <c r="F3331" s="15" t="s">
        <v>8</v>
      </c>
      <c r="H3331" s="15" t="s">
        <v>8</v>
      </c>
      <c r="I3331" s="15" t="s">
        <v>8</v>
      </c>
      <c r="J3331" s="15" t="s">
        <v>8</v>
      </c>
      <c r="N3331" s="15" t="s">
        <v>8</v>
      </c>
      <c r="T3331" s="15" t="s">
        <v>8</v>
      </c>
    </row>
    <row r="3332" spans="3:26" x14ac:dyDescent="0.35">
      <c r="C3332" s="15" t="s">
        <v>8</v>
      </c>
      <c r="D3332" s="15" t="s">
        <v>8</v>
      </c>
      <c r="E3332" s="15" t="s">
        <v>8</v>
      </c>
      <c r="F3332" s="15" t="s">
        <v>8</v>
      </c>
      <c r="H3332" s="15" t="s">
        <v>8</v>
      </c>
      <c r="I3332" s="15" t="s">
        <v>8</v>
      </c>
      <c r="J3332" s="15" t="s">
        <v>8</v>
      </c>
      <c r="N3332" s="15" t="s">
        <v>8</v>
      </c>
      <c r="S3332" s="19" t="str">
        <f>HYPERLINK("http://yeinfo.com/family/I09065565.html", "THOMAS APPLETON 1452 EN-1507 EN ID:09065698")</f>
        <v>THOMAS APPLETON 1452 EN-1507 EN ID:09065698</v>
      </c>
      <c r="T3332" s="9"/>
      <c r="U3332" s="9"/>
      <c r="V3332" s="9"/>
      <c r="W3332" s="9"/>
    </row>
    <row r="3333" spans="3:26" x14ac:dyDescent="0.35">
      <c r="C3333" s="15" t="s">
        <v>8</v>
      </c>
      <c r="D3333" s="15" t="s">
        <v>8</v>
      </c>
      <c r="E3333" s="15" t="s">
        <v>8</v>
      </c>
      <c r="F3333" s="15" t="s">
        <v>8</v>
      </c>
      <c r="H3333" s="15" t="s">
        <v>8</v>
      </c>
      <c r="I3333" s="15" t="s">
        <v>8</v>
      </c>
      <c r="J3333" s="15" t="s">
        <v>8</v>
      </c>
      <c r="N3333" s="15" t="s">
        <v>8</v>
      </c>
      <c r="S3333" s="8" t="s">
        <v>3</v>
      </c>
      <c r="T3333" s="15" t="s">
        <v>8</v>
      </c>
    </row>
    <row r="3334" spans="3:26" x14ac:dyDescent="0.35">
      <c r="C3334" s="15" t="s">
        <v>8</v>
      </c>
      <c r="D3334" s="15" t="s">
        <v>8</v>
      </c>
      <c r="E3334" s="15" t="s">
        <v>8</v>
      </c>
      <c r="F3334" s="15" t="s">
        <v>8</v>
      </c>
      <c r="H3334" s="15" t="s">
        <v>8</v>
      </c>
      <c r="I3334" s="15" t="s">
        <v>8</v>
      </c>
      <c r="J3334" s="15" t="s">
        <v>8</v>
      </c>
      <c r="N3334" s="15" t="s">
        <v>8</v>
      </c>
      <c r="S3334" s="15" t="s">
        <v>8</v>
      </c>
      <c r="T3334" s="15" t="s">
        <v>8</v>
      </c>
      <c r="V3334" s="19" t="str">
        <f>HYPERLINK("http://yeinfo.com/family/I09066001.html", "WILLIAM WELLING 1360 EN-1387 EN ID:09066189")</f>
        <v>WILLIAM WELLING 1360 EN-1387 EN ID:09066189</v>
      </c>
      <c r="W3334" s="9"/>
      <c r="X3334" s="9"/>
      <c r="Y3334" s="9"/>
      <c r="Z3334" s="9"/>
    </row>
    <row r="3335" spans="3:26" x14ac:dyDescent="0.35">
      <c r="C3335" s="15" t="s">
        <v>8</v>
      </c>
      <c r="D3335" s="15" t="s">
        <v>8</v>
      </c>
      <c r="E3335" s="15" t="s">
        <v>8</v>
      </c>
      <c r="F3335" s="15" t="s">
        <v>8</v>
      </c>
      <c r="H3335" s="15" t="s">
        <v>8</v>
      </c>
      <c r="I3335" s="15" t="s">
        <v>8</v>
      </c>
      <c r="J3335" s="15" t="s">
        <v>8</v>
      </c>
      <c r="N3335" s="15" t="s">
        <v>8</v>
      </c>
      <c r="S3335" s="15" t="s">
        <v>8</v>
      </c>
      <c r="T3335" s="15" t="s">
        <v>8</v>
      </c>
      <c r="V3335" s="8" t="s">
        <v>3</v>
      </c>
    </row>
    <row r="3336" spans="3:26" x14ac:dyDescent="0.35">
      <c r="C3336" s="15" t="s">
        <v>8</v>
      </c>
      <c r="D3336" s="15" t="s">
        <v>8</v>
      </c>
      <c r="E3336" s="15" t="s">
        <v>8</v>
      </c>
      <c r="F3336" s="15" t="s">
        <v>8</v>
      </c>
      <c r="H3336" s="15" t="s">
        <v>8</v>
      </c>
      <c r="I3336" s="15" t="s">
        <v>8</v>
      </c>
      <c r="J3336" s="15" t="s">
        <v>8</v>
      </c>
      <c r="N3336" s="15" t="s">
        <v>8</v>
      </c>
      <c r="S3336" s="15" t="s">
        <v>8</v>
      </c>
      <c r="T3336" s="15" t="s">
        <v>8</v>
      </c>
      <c r="U3336" s="19" t="str">
        <f>HYPERLINK("http://yeinfo.com/family/I09065834.html", "ROBERT WELLING 1387 EN-1468 EN ID:09066001")</f>
        <v>ROBERT WELLING 1387 EN-1468 EN ID:09066001</v>
      </c>
      <c r="V3336" s="9"/>
      <c r="W3336" s="9"/>
      <c r="X3336" s="9"/>
      <c r="Y3336" s="9"/>
    </row>
    <row r="3337" spans="3:26" x14ac:dyDescent="0.35">
      <c r="C3337" s="15" t="s">
        <v>8</v>
      </c>
      <c r="D3337" s="15" t="s">
        <v>8</v>
      </c>
      <c r="E3337" s="15" t="s">
        <v>8</v>
      </c>
      <c r="F3337" s="15" t="s">
        <v>8</v>
      </c>
      <c r="H3337" s="15" t="s">
        <v>8</v>
      </c>
      <c r="I3337" s="15" t="s">
        <v>8</v>
      </c>
      <c r="J3337" s="15" t="s">
        <v>8</v>
      </c>
      <c r="N3337" s="15" t="s">
        <v>8</v>
      </c>
      <c r="S3337" s="15" t="s">
        <v>8</v>
      </c>
      <c r="T3337" s="15" t="s">
        <v>8</v>
      </c>
      <c r="U3337" s="8" t="s">
        <v>3</v>
      </c>
      <c r="V3337" s="8" t="s">
        <v>6</v>
      </c>
    </row>
    <row r="3338" spans="3:26" x14ac:dyDescent="0.35">
      <c r="C3338" s="15" t="s">
        <v>8</v>
      </c>
      <c r="D3338" s="15" t="s">
        <v>8</v>
      </c>
      <c r="E3338" s="15" t="s">
        <v>8</v>
      </c>
      <c r="F3338" s="15" t="s">
        <v>8</v>
      </c>
      <c r="H3338" s="15" t="s">
        <v>8</v>
      </c>
      <c r="I3338" s="15" t="s">
        <v>8</v>
      </c>
      <c r="J3338" s="15" t="s">
        <v>8</v>
      </c>
      <c r="N3338" s="15" t="s">
        <v>8</v>
      </c>
      <c r="S3338" s="15" t="s">
        <v>8</v>
      </c>
      <c r="T3338" s="15" t="s">
        <v>8</v>
      </c>
      <c r="U3338" s="15" t="s">
        <v>8</v>
      </c>
      <c r="V3338" s="20" t="str">
        <f>HYPERLINK("http://yeinfo.com/family/I09066189.html", "Mrs. ELIZABETH WELLING 1360 EN-1387 EN ID:09066190")</f>
        <v>Mrs. ELIZABETH WELLING 1360 EN-1387 EN ID:09066190</v>
      </c>
      <c r="W3338" s="17"/>
      <c r="X3338" s="17"/>
      <c r="Y3338" s="17"/>
      <c r="Z3338" s="17"/>
    </row>
    <row r="3339" spans="3:26" x14ac:dyDescent="0.35">
      <c r="C3339" s="15" t="s">
        <v>8</v>
      </c>
      <c r="D3339" s="15" t="s">
        <v>8</v>
      </c>
      <c r="E3339" s="15" t="s">
        <v>8</v>
      </c>
      <c r="F3339" s="15" t="s">
        <v>8</v>
      </c>
      <c r="H3339" s="15" t="s">
        <v>8</v>
      </c>
      <c r="I3339" s="15" t="s">
        <v>8</v>
      </c>
      <c r="J3339" s="15" t="s">
        <v>8</v>
      </c>
      <c r="N3339" s="15" t="s">
        <v>8</v>
      </c>
      <c r="S3339" s="15" t="s">
        <v>8</v>
      </c>
      <c r="T3339" s="8" t="s">
        <v>6</v>
      </c>
      <c r="U3339" s="15" t="s">
        <v>8</v>
      </c>
    </row>
    <row r="3340" spans="3:26" x14ac:dyDescent="0.35">
      <c r="C3340" s="15" t="s">
        <v>8</v>
      </c>
      <c r="D3340" s="15" t="s">
        <v>8</v>
      </c>
      <c r="E3340" s="15" t="s">
        <v>8</v>
      </c>
      <c r="F3340" s="15" t="s">
        <v>8</v>
      </c>
      <c r="H3340" s="15" t="s">
        <v>8</v>
      </c>
      <c r="I3340" s="15" t="s">
        <v>8</v>
      </c>
      <c r="J3340" s="15" t="s">
        <v>8</v>
      </c>
      <c r="N3340" s="15" t="s">
        <v>8</v>
      </c>
      <c r="S3340" s="15" t="s">
        <v>8</v>
      </c>
      <c r="T3340" s="20" t="str">
        <f>HYPERLINK("http://yeinfo.com/family/I09066000.html", "MARGARET WELLING 1413 EN-1468 EN ID:09065834")</f>
        <v>MARGARET WELLING 1413 EN-1468 EN ID:09065834</v>
      </c>
      <c r="U3340" s="17"/>
      <c r="V3340" s="17"/>
      <c r="W3340" s="17"/>
      <c r="X3340" s="17"/>
    </row>
    <row r="3341" spans="3:26" x14ac:dyDescent="0.35">
      <c r="C3341" s="15" t="s">
        <v>8</v>
      </c>
      <c r="D3341" s="15" t="s">
        <v>8</v>
      </c>
      <c r="E3341" s="15" t="s">
        <v>8</v>
      </c>
      <c r="F3341" s="15" t="s">
        <v>8</v>
      </c>
      <c r="H3341" s="15" t="s">
        <v>8</v>
      </c>
      <c r="I3341" s="15" t="s">
        <v>8</v>
      </c>
      <c r="J3341" s="15" t="s">
        <v>8</v>
      </c>
      <c r="N3341" s="15" t="s">
        <v>8</v>
      </c>
      <c r="S3341" s="15" t="s">
        <v>8</v>
      </c>
      <c r="U3341" s="8" t="s">
        <v>6</v>
      </c>
    </row>
    <row r="3342" spans="3:26" x14ac:dyDescent="0.35">
      <c r="C3342" s="15" t="s">
        <v>8</v>
      </c>
      <c r="D3342" s="15" t="s">
        <v>8</v>
      </c>
      <c r="E3342" s="15" t="s">
        <v>8</v>
      </c>
      <c r="F3342" s="15" t="s">
        <v>8</v>
      </c>
      <c r="H3342" s="15" t="s">
        <v>8</v>
      </c>
      <c r="I3342" s="15" t="s">
        <v>8</v>
      </c>
      <c r="J3342" s="15" t="s">
        <v>8</v>
      </c>
      <c r="N3342" s="15" t="s">
        <v>8</v>
      </c>
      <c r="S3342" s="15" t="s">
        <v>8</v>
      </c>
      <c r="U3342" s="20" t="str">
        <f>HYPERLINK("http://yeinfo.com/family/I09066190.html", "Mrs. ELIZABETH WELLING 1393 EN-1413  ID:09066002")</f>
        <v>Mrs. ELIZABETH WELLING 1393 EN-1413  ID:09066002</v>
      </c>
      <c r="V3342" s="17"/>
      <c r="W3342" s="17"/>
      <c r="X3342" s="17"/>
      <c r="Y3342" s="17"/>
    </row>
    <row r="3343" spans="3:26" x14ac:dyDescent="0.35">
      <c r="C3343" s="15" t="s">
        <v>8</v>
      </c>
      <c r="D3343" s="15" t="s">
        <v>8</v>
      </c>
      <c r="E3343" s="15" t="s">
        <v>8</v>
      </c>
      <c r="F3343" s="15" t="s">
        <v>8</v>
      </c>
      <c r="H3343" s="15" t="s">
        <v>8</v>
      </c>
      <c r="I3343" s="15" t="s">
        <v>8</v>
      </c>
      <c r="J3343" s="15" t="s">
        <v>8</v>
      </c>
      <c r="N3343" s="15" t="s">
        <v>8</v>
      </c>
      <c r="S3343" s="15" t="s">
        <v>8</v>
      </c>
    </row>
    <row r="3344" spans="3:26" x14ac:dyDescent="0.35">
      <c r="C3344" s="15" t="s">
        <v>8</v>
      </c>
      <c r="D3344" s="15" t="s">
        <v>8</v>
      </c>
      <c r="E3344" s="15" t="s">
        <v>8</v>
      </c>
      <c r="F3344" s="15" t="s">
        <v>8</v>
      </c>
      <c r="H3344" s="15" t="s">
        <v>8</v>
      </c>
      <c r="I3344" s="15" t="s">
        <v>8</v>
      </c>
      <c r="J3344" s="15" t="s">
        <v>8</v>
      </c>
      <c r="N3344" s="15" t="s">
        <v>8</v>
      </c>
      <c r="R3344" s="19" t="str">
        <f>HYPERLINK("http://yeinfo.com/family/I09043384.html", "ROBERT GILES APPLETON 1487 EN-1526 EN ID:09065565")</f>
        <v>ROBERT GILES APPLETON 1487 EN-1526 EN ID:09065565</v>
      </c>
      <c r="S3344" s="9"/>
      <c r="T3344" s="9"/>
      <c r="U3344" s="9"/>
      <c r="V3344" s="9"/>
    </row>
    <row r="3345" spans="3:30" x14ac:dyDescent="0.35">
      <c r="C3345" s="15" t="s">
        <v>8</v>
      </c>
      <c r="D3345" s="15" t="s">
        <v>8</v>
      </c>
      <c r="E3345" s="15" t="s">
        <v>8</v>
      </c>
      <c r="F3345" s="15" t="s">
        <v>8</v>
      </c>
      <c r="H3345" s="15" t="s">
        <v>8</v>
      </c>
      <c r="I3345" s="15" t="s">
        <v>8</v>
      </c>
      <c r="J3345" s="15" t="s">
        <v>8</v>
      </c>
      <c r="N3345" s="15" t="s">
        <v>8</v>
      </c>
      <c r="R3345" s="8" t="s">
        <v>3</v>
      </c>
      <c r="S3345" s="15" t="s">
        <v>8</v>
      </c>
    </row>
    <row r="3346" spans="3:30" x14ac:dyDescent="0.35">
      <c r="C3346" s="15" t="s">
        <v>8</v>
      </c>
      <c r="D3346" s="15" t="s">
        <v>8</v>
      </c>
      <c r="E3346" s="15" t="s">
        <v>8</v>
      </c>
      <c r="F3346" s="15" t="s">
        <v>8</v>
      </c>
      <c r="H3346" s="15" t="s">
        <v>8</v>
      </c>
      <c r="I3346" s="15" t="s">
        <v>8</v>
      </c>
      <c r="J3346" s="15" t="s">
        <v>8</v>
      </c>
      <c r="N3346" s="15" t="s">
        <v>8</v>
      </c>
      <c r="R3346" s="15" t="s">
        <v>8</v>
      </c>
      <c r="S3346" s="15" t="s">
        <v>8</v>
      </c>
      <c r="Z3346" s="19" t="str">
        <f>HYPERLINK("http://yeinfo.com/family/I09066562.html", "THOMAS CRANE 1245 EN-1274 EN ID:09066616")</f>
        <v>THOMAS CRANE 1245 EN-1274 EN ID:09066616</v>
      </c>
      <c r="AA3346" s="9"/>
      <c r="AB3346" s="9"/>
      <c r="AC3346" s="9"/>
      <c r="AD3346" s="9"/>
    </row>
    <row r="3347" spans="3:30" x14ac:dyDescent="0.35">
      <c r="C3347" s="15" t="s">
        <v>8</v>
      </c>
      <c r="D3347" s="15" t="s">
        <v>8</v>
      </c>
      <c r="E3347" s="15" t="s">
        <v>8</v>
      </c>
      <c r="F3347" s="15" t="s">
        <v>8</v>
      </c>
      <c r="H3347" s="15" t="s">
        <v>8</v>
      </c>
      <c r="I3347" s="15" t="s">
        <v>8</v>
      </c>
      <c r="J3347" s="15" t="s">
        <v>8</v>
      </c>
      <c r="N3347" s="15" t="s">
        <v>8</v>
      </c>
      <c r="R3347" s="15" t="s">
        <v>8</v>
      </c>
      <c r="S3347" s="15" t="s">
        <v>8</v>
      </c>
      <c r="Z3347" s="8" t="s">
        <v>3</v>
      </c>
    </row>
    <row r="3348" spans="3:30" x14ac:dyDescent="0.35">
      <c r="C3348" s="15" t="s">
        <v>8</v>
      </c>
      <c r="D3348" s="15" t="s">
        <v>8</v>
      </c>
      <c r="E3348" s="15" t="s">
        <v>8</v>
      </c>
      <c r="F3348" s="15" t="s">
        <v>8</v>
      </c>
      <c r="H3348" s="15" t="s">
        <v>8</v>
      </c>
      <c r="I3348" s="15" t="s">
        <v>8</v>
      </c>
      <c r="J3348" s="15" t="s">
        <v>8</v>
      </c>
      <c r="N3348" s="15" t="s">
        <v>8</v>
      </c>
      <c r="R3348" s="15" t="s">
        <v>8</v>
      </c>
      <c r="S3348" s="15" t="s">
        <v>8</v>
      </c>
      <c r="Y3348" s="19" t="str">
        <f>HYPERLINK("http://yeinfo.com/family/I09066512.html", "RICHARD CRANE 1274 EN-1305 EN ID:09066562")</f>
        <v>RICHARD CRANE 1274 EN-1305 EN ID:09066562</v>
      </c>
      <c r="Z3348" s="9"/>
      <c r="AA3348" s="9"/>
      <c r="AB3348" s="9"/>
      <c r="AC3348" s="9"/>
    </row>
    <row r="3349" spans="3:30" x14ac:dyDescent="0.35">
      <c r="C3349" s="15" t="s">
        <v>8</v>
      </c>
      <c r="D3349" s="15" t="s">
        <v>8</v>
      </c>
      <c r="E3349" s="15" t="s">
        <v>8</v>
      </c>
      <c r="F3349" s="15" t="s">
        <v>8</v>
      </c>
      <c r="H3349" s="15" t="s">
        <v>8</v>
      </c>
      <c r="I3349" s="15" t="s">
        <v>8</v>
      </c>
      <c r="J3349" s="15" t="s">
        <v>8</v>
      </c>
      <c r="N3349" s="15" t="s">
        <v>8</v>
      </c>
      <c r="R3349" s="15" t="s">
        <v>8</v>
      </c>
      <c r="S3349" s="15" t="s">
        <v>8</v>
      </c>
      <c r="Y3349" s="8" t="s">
        <v>3</v>
      </c>
      <c r="Z3349" s="8" t="s">
        <v>6</v>
      </c>
    </row>
    <row r="3350" spans="3:30" x14ac:dyDescent="0.35">
      <c r="C3350" s="15" t="s">
        <v>8</v>
      </c>
      <c r="D3350" s="15" t="s">
        <v>8</v>
      </c>
      <c r="E3350" s="15" t="s">
        <v>8</v>
      </c>
      <c r="F3350" s="15" t="s">
        <v>8</v>
      </c>
      <c r="H3350" s="15" t="s">
        <v>8</v>
      </c>
      <c r="I3350" s="15" t="s">
        <v>8</v>
      </c>
      <c r="J3350" s="15" t="s">
        <v>8</v>
      </c>
      <c r="N3350" s="15" t="s">
        <v>8</v>
      </c>
      <c r="R3350" s="15" t="s">
        <v>8</v>
      </c>
      <c r="S3350" s="15" t="s">
        <v>8</v>
      </c>
      <c r="Y3350" s="15" t="s">
        <v>8</v>
      </c>
      <c r="Z3350" s="20" t="str">
        <f>HYPERLINK("http://yeinfo.com/family/I09066616.html", "PETRONILLA BELLESLEY 1248 EN-1274 EN ID:09066617")</f>
        <v>PETRONILLA BELLESLEY 1248 EN-1274 EN ID:09066617</v>
      </c>
      <c r="AA3350" s="17"/>
      <c r="AB3350" s="17"/>
      <c r="AC3350" s="17"/>
      <c r="AD3350" s="17"/>
    </row>
    <row r="3351" spans="3:30" x14ac:dyDescent="0.35">
      <c r="C3351" s="15" t="s">
        <v>8</v>
      </c>
      <c r="D3351" s="15" t="s">
        <v>8</v>
      </c>
      <c r="E3351" s="15" t="s">
        <v>8</v>
      </c>
      <c r="F3351" s="15" t="s">
        <v>8</v>
      </c>
      <c r="H3351" s="15" t="s">
        <v>8</v>
      </c>
      <c r="I3351" s="15" t="s">
        <v>8</v>
      </c>
      <c r="J3351" s="15" t="s">
        <v>8</v>
      </c>
      <c r="N3351" s="15" t="s">
        <v>8</v>
      </c>
      <c r="R3351" s="15" t="s">
        <v>8</v>
      </c>
      <c r="S3351" s="15" t="s">
        <v>8</v>
      </c>
      <c r="Y3351" s="15" t="s">
        <v>8</v>
      </c>
    </row>
    <row r="3352" spans="3:30" x14ac:dyDescent="0.35">
      <c r="C3352" s="15" t="s">
        <v>8</v>
      </c>
      <c r="D3352" s="15" t="s">
        <v>8</v>
      </c>
      <c r="E3352" s="15" t="s">
        <v>8</v>
      </c>
      <c r="F3352" s="15" t="s">
        <v>8</v>
      </c>
      <c r="H3352" s="15" t="s">
        <v>8</v>
      </c>
      <c r="I3352" s="15" t="s">
        <v>8</v>
      </c>
      <c r="J3352" s="15" t="s">
        <v>8</v>
      </c>
      <c r="N3352" s="15" t="s">
        <v>8</v>
      </c>
      <c r="R3352" s="15" t="s">
        <v>8</v>
      </c>
      <c r="S3352" s="15" t="s">
        <v>8</v>
      </c>
      <c r="X3352" s="19" t="str">
        <f>HYPERLINK("http://yeinfo.com/family/I09066339.html", "JOHN CRANE 1305 EN-1342 EN ID:09066512")</f>
        <v>JOHN CRANE 1305 EN-1342 EN ID:09066512</v>
      </c>
      <c r="Y3352" s="9"/>
      <c r="Z3352" s="9"/>
      <c r="AA3352" s="9"/>
      <c r="AB3352" s="9"/>
    </row>
    <row r="3353" spans="3:30" x14ac:dyDescent="0.35">
      <c r="C3353" s="15" t="s">
        <v>8</v>
      </c>
      <c r="D3353" s="15" t="s">
        <v>8</v>
      </c>
      <c r="E3353" s="15" t="s">
        <v>8</v>
      </c>
      <c r="F3353" s="15" t="s">
        <v>8</v>
      </c>
      <c r="H3353" s="15" t="s">
        <v>8</v>
      </c>
      <c r="I3353" s="15" t="s">
        <v>8</v>
      </c>
      <c r="J3353" s="15" t="s">
        <v>8</v>
      </c>
      <c r="N3353" s="15" t="s">
        <v>8</v>
      </c>
      <c r="R3353" s="15" t="s">
        <v>8</v>
      </c>
      <c r="S3353" s="15" t="s">
        <v>8</v>
      </c>
      <c r="X3353" s="8" t="s">
        <v>3</v>
      </c>
      <c r="Y3353" s="8" t="s">
        <v>6</v>
      </c>
    </row>
    <row r="3354" spans="3:30" x14ac:dyDescent="0.35">
      <c r="C3354" s="15" t="s">
        <v>8</v>
      </c>
      <c r="D3354" s="15" t="s">
        <v>8</v>
      </c>
      <c r="E3354" s="15" t="s">
        <v>8</v>
      </c>
      <c r="F3354" s="15" t="s">
        <v>8</v>
      </c>
      <c r="H3354" s="15" t="s">
        <v>8</v>
      </c>
      <c r="I3354" s="15" t="s">
        <v>8</v>
      </c>
      <c r="J3354" s="15" t="s">
        <v>8</v>
      </c>
      <c r="N3354" s="15" t="s">
        <v>8</v>
      </c>
      <c r="R3354" s="15" t="s">
        <v>8</v>
      </c>
      <c r="S3354" s="15" t="s">
        <v>8</v>
      </c>
      <c r="X3354" s="15" t="s">
        <v>8</v>
      </c>
      <c r="Y3354" s="20" t="str">
        <f>HYPERLINK("http://yeinfo.com/family/I09066617.html", "Mrs. {_?_} CRANE 1275 EN-1305 EN ID:09066563")</f>
        <v>Mrs. {_?_} CRANE 1275 EN-1305 EN ID:09066563</v>
      </c>
      <c r="Z3354" s="17"/>
      <c r="AA3354" s="17"/>
      <c r="AB3354" s="17"/>
      <c r="AC3354" s="17"/>
    </row>
    <row r="3355" spans="3:30" x14ac:dyDescent="0.35">
      <c r="C3355" s="15" t="s">
        <v>8</v>
      </c>
      <c r="D3355" s="15" t="s">
        <v>8</v>
      </c>
      <c r="E3355" s="15" t="s">
        <v>8</v>
      </c>
      <c r="F3355" s="15" t="s">
        <v>8</v>
      </c>
      <c r="H3355" s="15" t="s">
        <v>8</v>
      </c>
      <c r="I3355" s="15" t="s">
        <v>8</v>
      </c>
      <c r="J3355" s="15" t="s">
        <v>8</v>
      </c>
      <c r="N3355" s="15" t="s">
        <v>8</v>
      </c>
      <c r="R3355" s="15" t="s">
        <v>8</v>
      </c>
      <c r="S3355" s="15" t="s">
        <v>8</v>
      </c>
      <c r="X3355" s="15" t="s">
        <v>8</v>
      </c>
    </row>
    <row r="3356" spans="3:30" x14ac:dyDescent="0.35">
      <c r="C3356" s="15" t="s">
        <v>8</v>
      </c>
      <c r="D3356" s="15" t="s">
        <v>8</v>
      </c>
      <c r="E3356" s="15" t="s">
        <v>8</v>
      </c>
      <c r="F3356" s="15" t="s">
        <v>8</v>
      </c>
      <c r="H3356" s="15" t="s">
        <v>8</v>
      </c>
      <c r="I3356" s="15" t="s">
        <v>8</v>
      </c>
      <c r="J3356" s="15" t="s">
        <v>8</v>
      </c>
      <c r="N3356" s="15" t="s">
        <v>8</v>
      </c>
      <c r="R3356" s="15" t="s">
        <v>8</v>
      </c>
      <c r="S3356" s="15" t="s">
        <v>8</v>
      </c>
      <c r="W3356" s="19" t="str">
        <f>HYPERLINK("http://yeinfo.com/family/I09066191.html", "SIMON CRANE 1342 EN-1369 EN ID:09066339")</f>
        <v>SIMON CRANE 1342 EN-1369 EN ID:09066339</v>
      </c>
      <c r="X3356" s="9"/>
      <c r="Y3356" s="9"/>
      <c r="Z3356" s="9"/>
      <c r="AA3356" s="9"/>
    </row>
    <row r="3357" spans="3:30" x14ac:dyDescent="0.35">
      <c r="C3357" s="15" t="s">
        <v>8</v>
      </c>
      <c r="D3357" s="15" t="s">
        <v>8</v>
      </c>
      <c r="E3357" s="15" t="s">
        <v>8</v>
      </c>
      <c r="F3357" s="15" t="s">
        <v>8</v>
      </c>
      <c r="H3357" s="15" t="s">
        <v>8</v>
      </c>
      <c r="I3357" s="15" t="s">
        <v>8</v>
      </c>
      <c r="J3357" s="15" t="s">
        <v>8</v>
      </c>
      <c r="N3357" s="15" t="s">
        <v>8</v>
      </c>
      <c r="R3357" s="15" t="s">
        <v>8</v>
      </c>
      <c r="S3357" s="15" t="s">
        <v>8</v>
      </c>
      <c r="W3357" s="8" t="s">
        <v>3</v>
      </c>
      <c r="X3357" s="15" t="s">
        <v>8</v>
      </c>
    </row>
    <row r="3358" spans="3:30" x14ac:dyDescent="0.35">
      <c r="C3358" s="15" t="s">
        <v>8</v>
      </c>
      <c r="D3358" s="15" t="s">
        <v>8</v>
      </c>
      <c r="E3358" s="15" t="s">
        <v>8</v>
      </c>
      <c r="F3358" s="15" t="s">
        <v>8</v>
      </c>
      <c r="H3358" s="15" t="s">
        <v>8</v>
      </c>
      <c r="I3358" s="15" t="s">
        <v>8</v>
      </c>
      <c r="J3358" s="15" t="s">
        <v>8</v>
      </c>
      <c r="N3358" s="15" t="s">
        <v>8</v>
      </c>
      <c r="R3358" s="15" t="s">
        <v>8</v>
      </c>
      <c r="S3358" s="15" t="s">
        <v>8</v>
      </c>
      <c r="W3358" s="15" t="s">
        <v>8</v>
      </c>
      <c r="X3358" s="15" t="s">
        <v>8</v>
      </c>
      <c r="Z3358" s="19" t="str">
        <f>HYPERLINK("http://yeinfo.com/family/I09066564.html", "JOHN BERRY 1259 EN-1279 EN ID:09066618")</f>
        <v>JOHN BERRY 1259 EN-1279 EN ID:09066618</v>
      </c>
      <c r="AA3358" s="9"/>
      <c r="AB3358" s="9"/>
      <c r="AC3358" s="9"/>
      <c r="AD3358" s="9"/>
    </row>
    <row r="3359" spans="3:30" x14ac:dyDescent="0.35">
      <c r="C3359" s="15" t="s">
        <v>8</v>
      </c>
      <c r="D3359" s="15" t="s">
        <v>8</v>
      </c>
      <c r="E3359" s="15" t="s">
        <v>8</v>
      </c>
      <c r="F3359" s="15" t="s">
        <v>8</v>
      </c>
      <c r="H3359" s="15" t="s">
        <v>8</v>
      </c>
      <c r="I3359" s="15" t="s">
        <v>8</v>
      </c>
      <c r="J3359" s="15" t="s">
        <v>8</v>
      </c>
      <c r="N3359" s="15" t="s">
        <v>8</v>
      </c>
      <c r="R3359" s="15" t="s">
        <v>8</v>
      </c>
      <c r="S3359" s="15" t="s">
        <v>8</v>
      </c>
      <c r="W3359" s="15" t="s">
        <v>8</v>
      </c>
      <c r="X3359" s="15" t="s">
        <v>8</v>
      </c>
      <c r="Z3359" s="8" t="s">
        <v>3</v>
      </c>
    </row>
    <row r="3360" spans="3:30" x14ac:dyDescent="0.35">
      <c r="C3360" s="15" t="s">
        <v>8</v>
      </c>
      <c r="D3360" s="15" t="s">
        <v>8</v>
      </c>
      <c r="E3360" s="15" t="s">
        <v>8</v>
      </c>
      <c r="F3360" s="15" t="s">
        <v>8</v>
      </c>
      <c r="H3360" s="15" t="s">
        <v>8</v>
      </c>
      <c r="I3360" s="15" t="s">
        <v>8</v>
      </c>
      <c r="J3360" s="15" t="s">
        <v>8</v>
      </c>
      <c r="N3360" s="15" t="s">
        <v>8</v>
      </c>
      <c r="R3360" s="15" t="s">
        <v>8</v>
      </c>
      <c r="S3360" s="15" t="s">
        <v>8</v>
      </c>
      <c r="W3360" s="15" t="s">
        <v>8</v>
      </c>
      <c r="X3360" s="15" t="s">
        <v>8</v>
      </c>
      <c r="Y3360" s="19" t="str">
        <f>HYPERLINK("http://yeinfo.com/family/I09066513.html", "EDMUND BERRY 1276 EN-1309 EN ID:09066564")</f>
        <v>EDMUND BERRY 1276 EN-1309 EN ID:09066564</v>
      </c>
      <c r="Z3360" s="9"/>
      <c r="AA3360" s="9"/>
      <c r="AB3360" s="9"/>
      <c r="AC3360" s="9"/>
    </row>
    <row r="3361" spans="3:30" x14ac:dyDescent="0.35">
      <c r="C3361" s="15" t="s">
        <v>8</v>
      </c>
      <c r="D3361" s="15" t="s">
        <v>8</v>
      </c>
      <c r="E3361" s="15" t="s">
        <v>8</v>
      </c>
      <c r="F3361" s="15" t="s">
        <v>8</v>
      </c>
      <c r="H3361" s="15" t="s">
        <v>8</v>
      </c>
      <c r="I3361" s="15" t="s">
        <v>8</v>
      </c>
      <c r="J3361" s="15" t="s">
        <v>8</v>
      </c>
      <c r="N3361" s="15" t="s">
        <v>8</v>
      </c>
      <c r="R3361" s="15" t="s">
        <v>8</v>
      </c>
      <c r="S3361" s="15" t="s">
        <v>8</v>
      </c>
      <c r="W3361" s="15" t="s">
        <v>8</v>
      </c>
      <c r="X3361" s="15" t="s">
        <v>8</v>
      </c>
      <c r="Y3361" s="8" t="s">
        <v>3</v>
      </c>
      <c r="Z3361" s="8" t="s">
        <v>6</v>
      </c>
    </row>
    <row r="3362" spans="3:30" x14ac:dyDescent="0.35">
      <c r="C3362" s="15" t="s">
        <v>8</v>
      </c>
      <c r="D3362" s="15" t="s">
        <v>8</v>
      </c>
      <c r="E3362" s="15" t="s">
        <v>8</v>
      </c>
      <c r="F3362" s="15" t="s">
        <v>8</v>
      </c>
      <c r="H3362" s="15" t="s">
        <v>8</v>
      </c>
      <c r="I3362" s="15" t="s">
        <v>8</v>
      </c>
      <c r="J3362" s="15" t="s">
        <v>8</v>
      </c>
      <c r="N3362" s="15" t="s">
        <v>8</v>
      </c>
      <c r="R3362" s="15" t="s">
        <v>8</v>
      </c>
      <c r="S3362" s="15" t="s">
        <v>8</v>
      </c>
      <c r="W3362" s="15" t="s">
        <v>8</v>
      </c>
      <c r="X3362" s="15" t="s">
        <v>8</v>
      </c>
      <c r="Y3362" s="15" t="s">
        <v>8</v>
      </c>
      <c r="Z3362" s="20" t="str">
        <f>HYPERLINK("http://yeinfo.com/family/I09066618.html", "ELIZABETH WALTHEHAM 1265 EN-1285 EN ID:09066619")</f>
        <v>ELIZABETH WALTHEHAM 1265 EN-1285 EN ID:09066619</v>
      </c>
      <c r="AA3362" s="17"/>
      <c r="AB3362" s="17"/>
      <c r="AC3362" s="17"/>
      <c r="AD3362" s="17"/>
    </row>
    <row r="3363" spans="3:30" x14ac:dyDescent="0.35">
      <c r="C3363" s="15" t="s">
        <v>8</v>
      </c>
      <c r="D3363" s="15" t="s">
        <v>8</v>
      </c>
      <c r="E3363" s="15" t="s">
        <v>8</v>
      </c>
      <c r="F3363" s="15" t="s">
        <v>8</v>
      </c>
      <c r="H3363" s="15" t="s">
        <v>8</v>
      </c>
      <c r="I3363" s="15" t="s">
        <v>8</v>
      </c>
      <c r="J3363" s="15" t="s">
        <v>8</v>
      </c>
      <c r="N3363" s="15" t="s">
        <v>8</v>
      </c>
      <c r="R3363" s="15" t="s">
        <v>8</v>
      </c>
      <c r="S3363" s="15" t="s">
        <v>8</v>
      </c>
      <c r="W3363" s="15" t="s">
        <v>8</v>
      </c>
      <c r="X3363" s="8" t="s">
        <v>6</v>
      </c>
      <c r="Y3363" s="15" t="s">
        <v>8</v>
      </c>
    </row>
    <row r="3364" spans="3:30" x14ac:dyDescent="0.35">
      <c r="C3364" s="15" t="s">
        <v>8</v>
      </c>
      <c r="D3364" s="15" t="s">
        <v>8</v>
      </c>
      <c r="E3364" s="15" t="s">
        <v>8</v>
      </c>
      <c r="F3364" s="15" t="s">
        <v>8</v>
      </c>
      <c r="H3364" s="15" t="s">
        <v>8</v>
      </c>
      <c r="I3364" s="15" t="s">
        <v>8</v>
      </c>
      <c r="J3364" s="15" t="s">
        <v>8</v>
      </c>
      <c r="N3364" s="15" t="s">
        <v>8</v>
      </c>
      <c r="R3364" s="15" t="s">
        <v>8</v>
      </c>
      <c r="S3364" s="15" t="s">
        <v>8</v>
      </c>
      <c r="W3364" s="15" t="s">
        <v>8</v>
      </c>
      <c r="X3364" s="20" t="str">
        <f>HYPERLINK("http://yeinfo.com/family/I09066563.html", "ALICE BERRY 1309 EN-1342 EN ID:09066513")</f>
        <v>ALICE BERRY 1309 EN-1342 EN ID:09066513</v>
      </c>
      <c r="Y3364" s="17"/>
      <c r="Z3364" s="17"/>
      <c r="AA3364" s="17"/>
      <c r="AB3364" s="17"/>
    </row>
    <row r="3365" spans="3:30" x14ac:dyDescent="0.35">
      <c r="C3365" s="15" t="s">
        <v>8</v>
      </c>
      <c r="D3365" s="15" t="s">
        <v>8</v>
      </c>
      <c r="E3365" s="15" t="s">
        <v>8</v>
      </c>
      <c r="F3365" s="15" t="s">
        <v>8</v>
      </c>
      <c r="H3365" s="15" t="s">
        <v>8</v>
      </c>
      <c r="I3365" s="15" t="s">
        <v>8</v>
      </c>
      <c r="J3365" s="15" t="s">
        <v>8</v>
      </c>
      <c r="N3365" s="15" t="s">
        <v>8</v>
      </c>
      <c r="R3365" s="15" t="s">
        <v>8</v>
      </c>
      <c r="S3365" s="15" t="s">
        <v>8</v>
      </c>
      <c r="W3365" s="15" t="s">
        <v>8</v>
      </c>
      <c r="Y3365" s="15" t="s">
        <v>8</v>
      </c>
    </row>
    <row r="3366" spans="3:30" x14ac:dyDescent="0.35">
      <c r="C3366" s="15" t="s">
        <v>8</v>
      </c>
      <c r="D3366" s="15" t="s">
        <v>8</v>
      </c>
      <c r="E3366" s="15" t="s">
        <v>8</v>
      </c>
      <c r="F3366" s="15" t="s">
        <v>8</v>
      </c>
      <c r="H3366" s="15" t="s">
        <v>8</v>
      </c>
      <c r="I3366" s="15" t="s">
        <v>8</v>
      </c>
      <c r="J3366" s="15" t="s">
        <v>8</v>
      </c>
      <c r="N3366" s="15" t="s">
        <v>8</v>
      </c>
      <c r="R3366" s="15" t="s">
        <v>8</v>
      </c>
      <c r="S3366" s="15" t="s">
        <v>8</v>
      </c>
      <c r="W3366" s="15" t="s">
        <v>8</v>
      </c>
      <c r="Y3366" s="15" t="s">
        <v>8</v>
      </c>
      <c r="Z3366" s="19" t="str">
        <f>HYPERLINK("http://yeinfo.com/family/I09066565.html", "THOMAS GERBRIDGE 1325 EN-1430 EN ID:09066620")</f>
        <v>THOMAS GERBRIDGE 1325 EN-1430 EN ID:09066620</v>
      </c>
      <c r="AA3366" s="9"/>
      <c r="AB3366" s="9"/>
      <c r="AC3366" s="9"/>
      <c r="AD3366" s="9"/>
    </row>
    <row r="3367" spans="3:30" x14ac:dyDescent="0.35">
      <c r="C3367" s="15" t="s">
        <v>8</v>
      </c>
      <c r="D3367" s="15" t="s">
        <v>8</v>
      </c>
      <c r="E3367" s="15" t="s">
        <v>8</v>
      </c>
      <c r="F3367" s="15" t="s">
        <v>8</v>
      </c>
      <c r="H3367" s="15" t="s">
        <v>8</v>
      </c>
      <c r="I3367" s="15" t="s">
        <v>8</v>
      </c>
      <c r="J3367" s="15" t="s">
        <v>8</v>
      </c>
      <c r="N3367" s="15" t="s">
        <v>8</v>
      </c>
      <c r="R3367" s="15" t="s">
        <v>8</v>
      </c>
      <c r="S3367" s="15" t="s">
        <v>8</v>
      </c>
      <c r="W3367" s="15" t="s">
        <v>8</v>
      </c>
      <c r="Y3367" s="8" t="s">
        <v>6</v>
      </c>
      <c r="Z3367" s="8" t="s">
        <v>3</v>
      </c>
    </row>
    <row r="3368" spans="3:30" x14ac:dyDescent="0.35">
      <c r="C3368" s="15" t="s">
        <v>8</v>
      </c>
      <c r="D3368" s="15" t="s">
        <v>8</v>
      </c>
      <c r="E3368" s="15" t="s">
        <v>8</v>
      </c>
      <c r="F3368" s="15" t="s">
        <v>8</v>
      </c>
      <c r="H3368" s="15" t="s">
        <v>8</v>
      </c>
      <c r="I3368" s="15" t="s">
        <v>8</v>
      </c>
      <c r="J3368" s="15" t="s">
        <v>8</v>
      </c>
      <c r="N3368" s="15" t="s">
        <v>8</v>
      </c>
      <c r="R3368" s="15" t="s">
        <v>8</v>
      </c>
      <c r="S3368" s="15" t="s">
        <v>8</v>
      </c>
      <c r="W3368" s="15" t="s">
        <v>8</v>
      </c>
      <c r="Y3368" s="20" t="str">
        <f>HYPERLINK("http://yeinfo.com/family/I09066619.html", "ALICE GERBRIDGE 1276 EN-1309 EN ID:09066565")</f>
        <v>ALICE GERBRIDGE 1276 EN-1309 EN ID:09066565</v>
      </c>
      <c r="Z3368" s="17"/>
      <c r="AA3368" s="17"/>
      <c r="AB3368" s="17"/>
      <c r="AC3368" s="17"/>
    </row>
    <row r="3369" spans="3:30" x14ac:dyDescent="0.35">
      <c r="C3369" s="15" t="s">
        <v>8</v>
      </c>
      <c r="D3369" s="15" t="s">
        <v>8</v>
      </c>
      <c r="E3369" s="15" t="s">
        <v>8</v>
      </c>
      <c r="F3369" s="15" t="s">
        <v>8</v>
      </c>
      <c r="H3369" s="15" t="s">
        <v>8</v>
      </c>
      <c r="I3369" s="15" t="s">
        <v>8</v>
      </c>
      <c r="J3369" s="15" t="s">
        <v>8</v>
      </c>
      <c r="N3369" s="15" t="s">
        <v>8</v>
      </c>
      <c r="R3369" s="15" t="s">
        <v>8</v>
      </c>
      <c r="S3369" s="15" t="s">
        <v>8</v>
      </c>
      <c r="W3369" s="15" t="s">
        <v>8</v>
      </c>
      <c r="Z3369" s="8" t="s">
        <v>6</v>
      </c>
    </row>
    <row r="3370" spans="3:30" x14ac:dyDescent="0.35">
      <c r="C3370" s="15" t="s">
        <v>8</v>
      </c>
      <c r="D3370" s="15" t="s">
        <v>8</v>
      </c>
      <c r="E3370" s="15" t="s">
        <v>8</v>
      </c>
      <c r="F3370" s="15" t="s">
        <v>8</v>
      </c>
      <c r="H3370" s="15" t="s">
        <v>8</v>
      </c>
      <c r="I3370" s="15" t="s">
        <v>8</v>
      </c>
      <c r="J3370" s="15" t="s">
        <v>8</v>
      </c>
      <c r="N3370" s="15" t="s">
        <v>8</v>
      </c>
      <c r="R3370" s="15" t="s">
        <v>8</v>
      </c>
      <c r="S3370" s="15" t="s">
        <v>8</v>
      </c>
      <c r="W3370" s="15" t="s">
        <v>8</v>
      </c>
      <c r="Z3370" s="20" t="str">
        <f>HYPERLINK("http://yeinfo.com/family/I09066620.html", "MARY MAXFIELD 1272 EN-1296 EN ID:09066621")</f>
        <v>MARY MAXFIELD 1272 EN-1296 EN ID:09066621</v>
      </c>
      <c r="AA3370" s="17"/>
      <c r="AB3370" s="17"/>
      <c r="AC3370" s="17"/>
      <c r="AD3370" s="17"/>
    </row>
    <row r="3371" spans="3:30" x14ac:dyDescent="0.35">
      <c r="C3371" s="15" t="s">
        <v>8</v>
      </c>
      <c r="D3371" s="15" t="s">
        <v>8</v>
      </c>
      <c r="E3371" s="15" t="s">
        <v>8</v>
      </c>
      <c r="F3371" s="15" t="s">
        <v>8</v>
      </c>
      <c r="H3371" s="15" t="s">
        <v>8</v>
      </c>
      <c r="I3371" s="15" t="s">
        <v>8</v>
      </c>
      <c r="J3371" s="15" t="s">
        <v>8</v>
      </c>
      <c r="N3371" s="15" t="s">
        <v>8</v>
      </c>
      <c r="R3371" s="15" t="s">
        <v>8</v>
      </c>
      <c r="S3371" s="15" t="s">
        <v>8</v>
      </c>
      <c r="W3371" s="15" t="s">
        <v>8</v>
      </c>
    </row>
    <row r="3372" spans="3:30" x14ac:dyDescent="0.35">
      <c r="C3372" s="15" t="s">
        <v>8</v>
      </c>
      <c r="D3372" s="15" t="s">
        <v>8</v>
      </c>
      <c r="E3372" s="15" t="s">
        <v>8</v>
      </c>
      <c r="F3372" s="15" t="s">
        <v>8</v>
      </c>
      <c r="H3372" s="15" t="s">
        <v>8</v>
      </c>
      <c r="I3372" s="15" t="s">
        <v>8</v>
      </c>
      <c r="J3372" s="15" t="s">
        <v>8</v>
      </c>
      <c r="N3372" s="15" t="s">
        <v>8</v>
      </c>
      <c r="R3372" s="15" t="s">
        <v>8</v>
      </c>
      <c r="S3372" s="15" t="s">
        <v>8</v>
      </c>
      <c r="V3372" s="19" t="str">
        <f>HYPERLINK("http://yeinfo.com/family/I09066003.html", "WILLIAM CRANE 1369 EN-1402 EN ID:09066191")</f>
        <v>WILLIAM CRANE 1369 EN-1402 EN ID:09066191</v>
      </c>
      <c r="W3372" s="9"/>
      <c r="X3372" s="9"/>
      <c r="Y3372" s="9"/>
      <c r="Z3372" s="9"/>
    </row>
    <row r="3373" spans="3:30" x14ac:dyDescent="0.35">
      <c r="C3373" s="15" t="s">
        <v>8</v>
      </c>
      <c r="D3373" s="15" t="s">
        <v>8</v>
      </c>
      <c r="E3373" s="15" t="s">
        <v>8</v>
      </c>
      <c r="F3373" s="15" t="s">
        <v>8</v>
      </c>
      <c r="H3373" s="15" t="s">
        <v>8</v>
      </c>
      <c r="I3373" s="15" t="s">
        <v>8</v>
      </c>
      <c r="J3373" s="15" t="s">
        <v>8</v>
      </c>
      <c r="N3373" s="15" t="s">
        <v>8</v>
      </c>
      <c r="R3373" s="15" t="s">
        <v>8</v>
      </c>
      <c r="S3373" s="15" t="s">
        <v>8</v>
      </c>
      <c r="V3373" s="8" t="s">
        <v>3</v>
      </c>
      <c r="W3373" s="15" t="s">
        <v>8</v>
      </c>
    </row>
    <row r="3374" spans="3:30" x14ac:dyDescent="0.35">
      <c r="C3374" s="15" t="s">
        <v>8</v>
      </c>
      <c r="D3374" s="15" t="s">
        <v>8</v>
      </c>
      <c r="E3374" s="15" t="s">
        <v>8</v>
      </c>
      <c r="F3374" s="15" t="s">
        <v>8</v>
      </c>
      <c r="H3374" s="15" t="s">
        <v>8</v>
      </c>
      <c r="I3374" s="15" t="s">
        <v>8</v>
      </c>
      <c r="J3374" s="15" t="s">
        <v>8</v>
      </c>
      <c r="N3374" s="15" t="s">
        <v>8</v>
      </c>
      <c r="R3374" s="15" t="s">
        <v>8</v>
      </c>
      <c r="S3374" s="15" t="s">
        <v>8</v>
      </c>
      <c r="V3374" s="15" t="s">
        <v>8</v>
      </c>
      <c r="W3374" s="15" t="s">
        <v>8</v>
      </c>
      <c r="X3374" s="19" t="str">
        <f>HYPERLINK("http://yeinfo.com/family/I09066340.html", "HENRY SMALLWOOD 1320 EN-1346 EN ID:09066514")</f>
        <v>HENRY SMALLWOOD 1320 EN-1346 EN ID:09066514</v>
      </c>
      <c r="Y3374" s="9"/>
      <c r="Z3374" s="9"/>
      <c r="AA3374" s="9"/>
      <c r="AB3374" s="9"/>
    </row>
    <row r="3375" spans="3:30" x14ac:dyDescent="0.35">
      <c r="C3375" s="15" t="s">
        <v>8</v>
      </c>
      <c r="D3375" s="15" t="s">
        <v>8</v>
      </c>
      <c r="E3375" s="15" t="s">
        <v>8</v>
      </c>
      <c r="F3375" s="15" t="s">
        <v>8</v>
      </c>
      <c r="H3375" s="15" t="s">
        <v>8</v>
      </c>
      <c r="I3375" s="15" t="s">
        <v>8</v>
      </c>
      <c r="J3375" s="15" t="s">
        <v>8</v>
      </c>
      <c r="N3375" s="15" t="s">
        <v>8</v>
      </c>
      <c r="R3375" s="15" t="s">
        <v>8</v>
      </c>
      <c r="S3375" s="15" t="s">
        <v>8</v>
      </c>
      <c r="V3375" s="15" t="s">
        <v>8</v>
      </c>
      <c r="W3375" s="8" t="s">
        <v>6</v>
      </c>
      <c r="X3375" s="8" t="s">
        <v>3</v>
      </c>
    </row>
    <row r="3376" spans="3:30" x14ac:dyDescent="0.35">
      <c r="C3376" s="15" t="s">
        <v>8</v>
      </c>
      <c r="D3376" s="15" t="s">
        <v>8</v>
      </c>
      <c r="E3376" s="15" t="s">
        <v>8</v>
      </c>
      <c r="F3376" s="15" t="s">
        <v>8</v>
      </c>
      <c r="H3376" s="15" t="s">
        <v>8</v>
      </c>
      <c r="I3376" s="15" t="s">
        <v>8</v>
      </c>
      <c r="J3376" s="15" t="s">
        <v>8</v>
      </c>
      <c r="N3376" s="15" t="s">
        <v>8</v>
      </c>
      <c r="R3376" s="15" t="s">
        <v>8</v>
      </c>
      <c r="S3376" s="15" t="s">
        <v>8</v>
      </c>
      <c r="V3376" s="15" t="s">
        <v>8</v>
      </c>
      <c r="W3376" s="20" t="str">
        <f>HYPERLINK("http://yeinfo.com/family/I09066621.html", "MARGERY SMALLWOOD 1346 EN-1369 EN ID:09066340")</f>
        <v>MARGERY SMALLWOOD 1346 EN-1369 EN ID:09066340</v>
      </c>
      <c r="X3376" s="17"/>
      <c r="Y3376" s="17"/>
      <c r="Z3376" s="17"/>
      <c r="AA3376" s="17"/>
    </row>
    <row r="3377" spans="3:30" x14ac:dyDescent="0.35">
      <c r="C3377" s="15" t="s">
        <v>8</v>
      </c>
      <c r="D3377" s="15" t="s">
        <v>8</v>
      </c>
      <c r="E3377" s="15" t="s">
        <v>8</v>
      </c>
      <c r="F3377" s="15" t="s">
        <v>8</v>
      </c>
      <c r="H3377" s="15" t="s">
        <v>8</v>
      </c>
      <c r="I3377" s="15" t="s">
        <v>8</v>
      </c>
      <c r="J3377" s="15" t="s">
        <v>8</v>
      </c>
      <c r="N3377" s="15" t="s">
        <v>8</v>
      </c>
      <c r="R3377" s="15" t="s">
        <v>8</v>
      </c>
      <c r="S3377" s="15" t="s">
        <v>8</v>
      </c>
      <c r="V3377" s="15" t="s">
        <v>8</v>
      </c>
      <c r="X3377" s="8" t="s">
        <v>6</v>
      </c>
    </row>
    <row r="3378" spans="3:30" x14ac:dyDescent="0.35">
      <c r="C3378" s="15" t="s">
        <v>8</v>
      </c>
      <c r="D3378" s="15" t="s">
        <v>8</v>
      </c>
      <c r="E3378" s="15" t="s">
        <v>8</v>
      </c>
      <c r="F3378" s="15" t="s">
        <v>8</v>
      </c>
      <c r="H3378" s="15" t="s">
        <v>8</v>
      </c>
      <c r="I3378" s="15" t="s">
        <v>8</v>
      </c>
      <c r="J3378" s="15" t="s">
        <v>8</v>
      </c>
      <c r="N3378" s="15" t="s">
        <v>8</v>
      </c>
      <c r="R3378" s="15" t="s">
        <v>8</v>
      </c>
      <c r="S3378" s="15" t="s">
        <v>8</v>
      </c>
      <c r="V3378" s="15" t="s">
        <v>8</v>
      </c>
      <c r="X3378" s="20" t="str">
        <f>HYPERLINK("http://yeinfo.com/family/I09066514.html", "Mrs. {_?_} SMALLWOOD 1320 EN-1346 EN ID:09066515")</f>
        <v>Mrs. {_?_} SMALLWOOD 1320 EN-1346 EN ID:09066515</v>
      </c>
      <c r="Y3378" s="17"/>
      <c r="Z3378" s="17"/>
      <c r="AA3378" s="17"/>
      <c r="AB3378" s="17"/>
    </row>
    <row r="3379" spans="3:30" x14ac:dyDescent="0.35">
      <c r="C3379" s="15" t="s">
        <v>8</v>
      </c>
      <c r="D3379" s="15" t="s">
        <v>8</v>
      </c>
      <c r="E3379" s="15" t="s">
        <v>8</v>
      </c>
      <c r="F3379" s="15" t="s">
        <v>8</v>
      </c>
      <c r="H3379" s="15" t="s">
        <v>8</v>
      </c>
      <c r="I3379" s="15" t="s">
        <v>8</v>
      </c>
      <c r="J3379" s="15" t="s">
        <v>8</v>
      </c>
      <c r="N3379" s="15" t="s">
        <v>8</v>
      </c>
      <c r="R3379" s="15" t="s">
        <v>8</v>
      </c>
      <c r="S3379" s="15" t="s">
        <v>8</v>
      </c>
      <c r="V3379" s="15" t="s">
        <v>8</v>
      </c>
    </row>
    <row r="3380" spans="3:30" x14ac:dyDescent="0.35">
      <c r="C3380" s="15" t="s">
        <v>8</v>
      </c>
      <c r="D3380" s="15" t="s">
        <v>8</v>
      </c>
      <c r="E3380" s="15" t="s">
        <v>8</v>
      </c>
      <c r="F3380" s="15" t="s">
        <v>8</v>
      </c>
      <c r="H3380" s="15" t="s">
        <v>8</v>
      </c>
      <c r="I3380" s="15" t="s">
        <v>8</v>
      </c>
      <c r="J3380" s="15" t="s">
        <v>8</v>
      </c>
      <c r="N3380" s="15" t="s">
        <v>8</v>
      </c>
      <c r="R3380" s="15" t="s">
        <v>8</v>
      </c>
      <c r="S3380" s="15" t="s">
        <v>8</v>
      </c>
      <c r="U3380" s="19" t="str">
        <f>HYPERLINK("http://yeinfo.com/family/I09065835.html", "ROBERT CRANE Sr. 1402 EN-1500 EN ID:09066003")</f>
        <v>ROBERT CRANE Sr. 1402 EN-1500 EN ID:09066003</v>
      </c>
      <c r="V3380" s="9"/>
      <c r="W3380" s="9"/>
      <c r="X3380" s="9"/>
      <c r="Y3380" s="9"/>
    </row>
    <row r="3381" spans="3:30" x14ac:dyDescent="0.35">
      <c r="C3381" s="15" t="s">
        <v>8</v>
      </c>
      <c r="D3381" s="15" t="s">
        <v>8</v>
      </c>
      <c r="E3381" s="15" t="s">
        <v>8</v>
      </c>
      <c r="F3381" s="15" t="s">
        <v>8</v>
      </c>
      <c r="H3381" s="15" t="s">
        <v>8</v>
      </c>
      <c r="I3381" s="15" t="s">
        <v>8</v>
      </c>
      <c r="J3381" s="15" t="s">
        <v>8</v>
      </c>
      <c r="N3381" s="15" t="s">
        <v>8</v>
      </c>
      <c r="R3381" s="15" t="s">
        <v>8</v>
      </c>
      <c r="S3381" s="15" t="s">
        <v>8</v>
      </c>
      <c r="U3381" s="8" t="s">
        <v>3</v>
      </c>
      <c r="V3381" s="15" t="s">
        <v>8</v>
      </c>
    </row>
    <row r="3382" spans="3:30" x14ac:dyDescent="0.35">
      <c r="C3382" s="15" t="s">
        <v>8</v>
      </c>
      <c r="D3382" s="15" t="s">
        <v>8</v>
      </c>
      <c r="E3382" s="15" t="s">
        <v>8</v>
      </c>
      <c r="F3382" s="15" t="s">
        <v>8</v>
      </c>
      <c r="H3382" s="15" t="s">
        <v>8</v>
      </c>
      <c r="I3382" s="15" t="s">
        <v>8</v>
      </c>
      <c r="J3382" s="15" t="s">
        <v>8</v>
      </c>
      <c r="N3382" s="15" t="s">
        <v>8</v>
      </c>
      <c r="R3382" s="15" t="s">
        <v>8</v>
      </c>
      <c r="S3382" s="15" t="s">
        <v>8</v>
      </c>
      <c r="U3382" s="15" t="s">
        <v>8</v>
      </c>
      <c r="V3382" s="15" t="s">
        <v>8</v>
      </c>
      <c r="Z3382" s="19" t="str">
        <f>HYPERLINK("http://yeinfo.com/family/I09066566.html", "WILLIAM FERRERS 1268 EN-1287 EN ID:09066622")</f>
        <v>WILLIAM FERRERS 1268 EN-1287 EN ID:09066622</v>
      </c>
      <c r="AA3382" s="9"/>
      <c r="AB3382" s="9"/>
      <c r="AC3382" s="9"/>
      <c r="AD3382" s="9"/>
    </row>
    <row r="3383" spans="3:30" x14ac:dyDescent="0.35">
      <c r="C3383" s="15" t="s">
        <v>8</v>
      </c>
      <c r="D3383" s="15" t="s">
        <v>8</v>
      </c>
      <c r="E3383" s="15" t="s">
        <v>8</v>
      </c>
      <c r="F3383" s="15" t="s">
        <v>8</v>
      </c>
      <c r="H3383" s="15" t="s">
        <v>8</v>
      </c>
      <c r="I3383" s="15" t="s">
        <v>8</v>
      </c>
      <c r="J3383" s="15" t="s">
        <v>8</v>
      </c>
      <c r="N3383" s="15" t="s">
        <v>8</v>
      </c>
      <c r="R3383" s="15" t="s">
        <v>8</v>
      </c>
      <c r="S3383" s="15" t="s">
        <v>8</v>
      </c>
      <c r="U3383" s="15" t="s">
        <v>8</v>
      </c>
      <c r="V3383" s="15" t="s">
        <v>8</v>
      </c>
      <c r="Z3383" s="8" t="s">
        <v>3</v>
      </c>
    </row>
    <row r="3384" spans="3:30" x14ac:dyDescent="0.35">
      <c r="C3384" s="15" t="s">
        <v>8</v>
      </c>
      <c r="D3384" s="15" t="s">
        <v>8</v>
      </c>
      <c r="E3384" s="15" t="s">
        <v>8</v>
      </c>
      <c r="F3384" s="15" t="s">
        <v>8</v>
      </c>
      <c r="H3384" s="15" t="s">
        <v>8</v>
      </c>
      <c r="I3384" s="15" t="s">
        <v>8</v>
      </c>
      <c r="J3384" s="15" t="s">
        <v>8</v>
      </c>
      <c r="N3384" s="15" t="s">
        <v>8</v>
      </c>
      <c r="R3384" s="15" t="s">
        <v>8</v>
      </c>
      <c r="S3384" s="15" t="s">
        <v>8</v>
      </c>
      <c r="U3384" s="15" t="s">
        <v>8</v>
      </c>
      <c r="V3384" s="15" t="s">
        <v>8</v>
      </c>
      <c r="Y3384" s="19" t="str">
        <f>HYPERLINK("http://yeinfo.com/family/I09066516.html", "WILLIAM FERRERS 1272 EN-1325 EN ID:09066566")</f>
        <v>WILLIAM FERRERS 1272 EN-1325 EN ID:09066566</v>
      </c>
      <c r="Z3384" s="9"/>
      <c r="AA3384" s="9"/>
      <c r="AB3384" s="9"/>
      <c r="AC3384" s="9"/>
    </row>
    <row r="3385" spans="3:30" x14ac:dyDescent="0.35">
      <c r="C3385" s="15" t="s">
        <v>8</v>
      </c>
      <c r="D3385" s="15" t="s">
        <v>8</v>
      </c>
      <c r="E3385" s="15" t="s">
        <v>8</v>
      </c>
      <c r="F3385" s="15" t="s">
        <v>8</v>
      </c>
      <c r="H3385" s="15" t="s">
        <v>8</v>
      </c>
      <c r="I3385" s="15" t="s">
        <v>8</v>
      </c>
      <c r="J3385" s="15" t="s">
        <v>8</v>
      </c>
      <c r="N3385" s="15" t="s">
        <v>8</v>
      </c>
      <c r="R3385" s="15" t="s">
        <v>8</v>
      </c>
      <c r="S3385" s="15" t="s">
        <v>8</v>
      </c>
      <c r="U3385" s="15" t="s">
        <v>8</v>
      </c>
      <c r="V3385" s="15" t="s">
        <v>8</v>
      </c>
      <c r="Y3385" s="8" t="s">
        <v>3</v>
      </c>
      <c r="Z3385" s="8" t="s">
        <v>6</v>
      </c>
    </row>
    <row r="3386" spans="3:30" x14ac:dyDescent="0.35">
      <c r="C3386" s="15" t="s">
        <v>8</v>
      </c>
      <c r="D3386" s="15" t="s">
        <v>8</v>
      </c>
      <c r="E3386" s="15" t="s">
        <v>8</v>
      </c>
      <c r="F3386" s="15" t="s">
        <v>8</v>
      </c>
      <c r="H3386" s="15" t="s">
        <v>8</v>
      </c>
      <c r="I3386" s="15" t="s">
        <v>8</v>
      </c>
      <c r="J3386" s="15" t="s">
        <v>8</v>
      </c>
      <c r="N3386" s="15" t="s">
        <v>8</v>
      </c>
      <c r="R3386" s="15" t="s">
        <v>8</v>
      </c>
      <c r="S3386" s="15" t="s">
        <v>8</v>
      </c>
      <c r="U3386" s="15" t="s">
        <v>8</v>
      </c>
      <c r="V3386" s="15" t="s">
        <v>8</v>
      </c>
      <c r="Y3386" s="15" t="s">
        <v>8</v>
      </c>
      <c r="Z3386" s="20" t="str">
        <f>HYPERLINK("http://yeinfo.com/family/I09066622.html", "ANNE DESPENSER 1248 EN-1334 EN ID:09066623")</f>
        <v>ANNE DESPENSER 1248 EN-1334 EN ID:09066623</v>
      </c>
      <c r="AA3386" s="17"/>
      <c r="AB3386" s="17"/>
      <c r="AC3386" s="17"/>
      <c r="AD3386" s="17"/>
    </row>
    <row r="3387" spans="3:30" x14ac:dyDescent="0.35">
      <c r="C3387" s="15" t="s">
        <v>8</v>
      </c>
      <c r="D3387" s="15" t="s">
        <v>8</v>
      </c>
      <c r="E3387" s="15" t="s">
        <v>8</v>
      </c>
      <c r="F3387" s="15" t="s">
        <v>8</v>
      </c>
      <c r="H3387" s="15" t="s">
        <v>8</v>
      </c>
      <c r="I3387" s="15" t="s">
        <v>8</v>
      </c>
      <c r="J3387" s="15" t="s">
        <v>8</v>
      </c>
      <c r="N3387" s="15" t="s">
        <v>8</v>
      </c>
      <c r="R3387" s="15" t="s">
        <v>8</v>
      </c>
      <c r="S3387" s="15" t="s">
        <v>8</v>
      </c>
      <c r="U3387" s="15" t="s">
        <v>8</v>
      </c>
      <c r="V3387" s="15" t="s">
        <v>8</v>
      </c>
      <c r="Y3387" s="15" t="s">
        <v>8</v>
      </c>
    </row>
    <row r="3388" spans="3:30" x14ac:dyDescent="0.35">
      <c r="C3388" s="15" t="s">
        <v>8</v>
      </c>
      <c r="D3388" s="15" t="s">
        <v>8</v>
      </c>
      <c r="E3388" s="15" t="s">
        <v>8</v>
      </c>
      <c r="F3388" s="15" t="s">
        <v>8</v>
      </c>
      <c r="H3388" s="15" t="s">
        <v>8</v>
      </c>
      <c r="I3388" s="15" t="s">
        <v>8</v>
      </c>
      <c r="J3388" s="15" t="s">
        <v>8</v>
      </c>
      <c r="N3388" s="15" t="s">
        <v>8</v>
      </c>
      <c r="R3388" s="15" t="s">
        <v>8</v>
      </c>
      <c r="S3388" s="15" t="s">
        <v>8</v>
      </c>
      <c r="U3388" s="15" t="s">
        <v>8</v>
      </c>
      <c r="V3388" s="15" t="s">
        <v>8</v>
      </c>
      <c r="X3388" s="19" t="str">
        <f>HYPERLINK("http://yeinfo.com/family/I09066341.html", "HENRY FERRERS 1303 EN-1343 EN ID:09066516")</f>
        <v>HENRY FERRERS 1303 EN-1343 EN ID:09066516</v>
      </c>
      <c r="Y3388" s="9"/>
      <c r="Z3388" s="9"/>
      <c r="AA3388" s="9"/>
      <c r="AB3388" s="9"/>
    </row>
    <row r="3389" spans="3:30" x14ac:dyDescent="0.35">
      <c r="C3389" s="15" t="s">
        <v>8</v>
      </c>
      <c r="D3389" s="15" t="s">
        <v>8</v>
      </c>
      <c r="E3389" s="15" t="s">
        <v>8</v>
      </c>
      <c r="F3389" s="15" t="s">
        <v>8</v>
      </c>
      <c r="H3389" s="15" t="s">
        <v>8</v>
      </c>
      <c r="I3389" s="15" t="s">
        <v>8</v>
      </c>
      <c r="J3389" s="15" t="s">
        <v>8</v>
      </c>
      <c r="N3389" s="15" t="s">
        <v>8</v>
      </c>
      <c r="R3389" s="15" t="s">
        <v>8</v>
      </c>
      <c r="S3389" s="15" t="s">
        <v>8</v>
      </c>
      <c r="U3389" s="15" t="s">
        <v>8</v>
      </c>
      <c r="V3389" s="15" t="s">
        <v>8</v>
      </c>
      <c r="X3389" s="8" t="s">
        <v>3</v>
      </c>
      <c r="Y3389" s="15" t="s">
        <v>8</v>
      </c>
    </row>
    <row r="3390" spans="3:30" x14ac:dyDescent="0.35">
      <c r="C3390" s="15" t="s">
        <v>8</v>
      </c>
      <c r="D3390" s="15" t="s">
        <v>8</v>
      </c>
      <c r="E3390" s="15" t="s">
        <v>8</v>
      </c>
      <c r="F3390" s="15" t="s">
        <v>8</v>
      </c>
      <c r="H3390" s="15" t="s">
        <v>8</v>
      </c>
      <c r="I3390" s="15" t="s">
        <v>8</v>
      </c>
      <c r="J3390" s="15" t="s">
        <v>8</v>
      </c>
      <c r="N3390" s="15" t="s">
        <v>8</v>
      </c>
      <c r="R3390" s="15" t="s">
        <v>8</v>
      </c>
      <c r="S3390" s="15" t="s">
        <v>8</v>
      </c>
      <c r="U3390" s="15" t="s">
        <v>8</v>
      </c>
      <c r="V3390" s="15" t="s">
        <v>8</v>
      </c>
      <c r="X3390" s="15" t="s">
        <v>8</v>
      </c>
      <c r="Y3390" s="15" t="s">
        <v>8</v>
      </c>
      <c r="Z3390" s="19" t="str">
        <f>HYPERLINK("http://yeinfo.com/family/I09066567.html", "JOHN SEGRAVE 1256 EN-1325 EN ID:09066624")</f>
        <v>JOHN SEGRAVE 1256 EN-1325 EN ID:09066624</v>
      </c>
      <c r="AA3390" s="9"/>
      <c r="AB3390" s="9"/>
      <c r="AC3390" s="9"/>
      <c r="AD3390" s="9"/>
    </row>
    <row r="3391" spans="3:30" x14ac:dyDescent="0.35">
      <c r="C3391" s="15" t="s">
        <v>8</v>
      </c>
      <c r="D3391" s="15" t="s">
        <v>8</v>
      </c>
      <c r="E3391" s="15" t="s">
        <v>8</v>
      </c>
      <c r="F3391" s="15" t="s">
        <v>8</v>
      </c>
      <c r="H3391" s="15" t="s">
        <v>8</v>
      </c>
      <c r="I3391" s="15" t="s">
        <v>8</v>
      </c>
      <c r="J3391" s="15" t="s">
        <v>8</v>
      </c>
      <c r="N3391" s="15" t="s">
        <v>8</v>
      </c>
      <c r="R3391" s="15" t="s">
        <v>8</v>
      </c>
      <c r="S3391" s="15" t="s">
        <v>8</v>
      </c>
      <c r="U3391" s="15" t="s">
        <v>8</v>
      </c>
      <c r="V3391" s="15" t="s">
        <v>8</v>
      </c>
      <c r="X3391" s="15" t="s">
        <v>8</v>
      </c>
      <c r="Y3391" s="8" t="s">
        <v>6</v>
      </c>
      <c r="Z3391" s="8" t="s">
        <v>3</v>
      </c>
    </row>
    <row r="3392" spans="3:30" x14ac:dyDescent="0.35">
      <c r="C3392" s="15" t="s">
        <v>8</v>
      </c>
      <c r="D3392" s="15" t="s">
        <v>8</v>
      </c>
      <c r="E3392" s="15" t="s">
        <v>8</v>
      </c>
      <c r="F3392" s="15" t="s">
        <v>8</v>
      </c>
      <c r="H3392" s="15" t="s">
        <v>8</v>
      </c>
      <c r="I3392" s="15" t="s">
        <v>8</v>
      </c>
      <c r="J3392" s="15" t="s">
        <v>8</v>
      </c>
      <c r="N3392" s="15" t="s">
        <v>8</v>
      </c>
      <c r="R3392" s="15" t="s">
        <v>8</v>
      </c>
      <c r="S3392" s="15" t="s">
        <v>8</v>
      </c>
      <c r="U3392" s="15" t="s">
        <v>8</v>
      </c>
      <c r="V3392" s="15" t="s">
        <v>8</v>
      </c>
      <c r="X3392" s="15" t="s">
        <v>8</v>
      </c>
      <c r="Y3392" s="20" t="str">
        <f>HYPERLINK("http://yeinfo.com/family/I09066623.html", "MARGARET ELLEN SEGRAVE 1271 EN-1316 EN ID:09066567")</f>
        <v>MARGARET ELLEN SEGRAVE 1271 EN-1316 EN ID:09066567</v>
      </c>
      <c r="Z3392" s="17"/>
      <c r="AA3392" s="17"/>
      <c r="AB3392" s="17"/>
      <c r="AC3392" s="17"/>
    </row>
    <row r="3393" spans="3:30" x14ac:dyDescent="0.35">
      <c r="C3393" s="15" t="s">
        <v>8</v>
      </c>
      <c r="D3393" s="15" t="s">
        <v>8</v>
      </c>
      <c r="E3393" s="15" t="s">
        <v>8</v>
      </c>
      <c r="F3393" s="15" t="s">
        <v>8</v>
      </c>
      <c r="H3393" s="15" t="s">
        <v>8</v>
      </c>
      <c r="I3393" s="15" t="s">
        <v>8</v>
      </c>
      <c r="J3393" s="15" t="s">
        <v>8</v>
      </c>
      <c r="N3393" s="15" t="s">
        <v>8</v>
      </c>
      <c r="R3393" s="15" t="s">
        <v>8</v>
      </c>
      <c r="S3393" s="15" t="s">
        <v>8</v>
      </c>
      <c r="U3393" s="15" t="s">
        <v>8</v>
      </c>
      <c r="V3393" s="15" t="s">
        <v>8</v>
      </c>
      <c r="X3393" s="15" t="s">
        <v>8</v>
      </c>
      <c r="Z3393" s="8" t="s">
        <v>6</v>
      </c>
    </row>
    <row r="3394" spans="3:30" x14ac:dyDescent="0.35">
      <c r="C3394" s="15" t="s">
        <v>8</v>
      </c>
      <c r="D3394" s="15" t="s">
        <v>8</v>
      </c>
      <c r="E3394" s="15" t="s">
        <v>8</v>
      </c>
      <c r="F3394" s="15" t="s">
        <v>8</v>
      </c>
      <c r="H3394" s="15" t="s">
        <v>8</v>
      </c>
      <c r="I3394" s="15" t="s">
        <v>8</v>
      </c>
      <c r="J3394" s="15" t="s">
        <v>8</v>
      </c>
      <c r="N3394" s="15" t="s">
        <v>8</v>
      </c>
      <c r="R3394" s="15" t="s">
        <v>8</v>
      </c>
      <c r="S3394" s="15" t="s">
        <v>8</v>
      </c>
      <c r="U3394" s="15" t="s">
        <v>8</v>
      </c>
      <c r="V3394" s="15" t="s">
        <v>8</v>
      </c>
      <c r="X3394" s="15" t="s">
        <v>8</v>
      </c>
      <c r="Z3394" s="20" t="str">
        <f>HYPERLINK("http://yeinfo.com/family/I09066624.html", "CHRISTIANE PLESSIS 1263 EN-1331 EN ID:09066625")</f>
        <v>CHRISTIANE PLESSIS 1263 EN-1331 EN ID:09066625</v>
      </c>
      <c r="AA3394" s="17"/>
      <c r="AB3394" s="17"/>
      <c r="AC3394" s="17"/>
      <c r="AD3394" s="17"/>
    </row>
    <row r="3395" spans="3:30" x14ac:dyDescent="0.35">
      <c r="C3395" s="15" t="s">
        <v>8</v>
      </c>
      <c r="D3395" s="15" t="s">
        <v>8</v>
      </c>
      <c r="E3395" s="15" t="s">
        <v>8</v>
      </c>
      <c r="F3395" s="15" t="s">
        <v>8</v>
      </c>
      <c r="H3395" s="15" t="s">
        <v>8</v>
      </c>
      <c r="I3395" s="15" t="s">
        <v>8</v>
      </c>
      <c r="J3395" s="15" t="s">
        <v>8</v>
      </c>
      <c r="N3395" s="15" t="s">
        <v>8</v>
      </c>
      <c r="R3395" s="15" t="s">
        <v>8</v>
      </c>
      <c r="S3395" s="15" t="s">
        <v>8</v>
      </c>
      <c r="U3395" s="15" t="s">
        <v>8</v>
      </c>
      <c r="V3395" s="15" t="s">
        <v>8</v>
      </c>
      <c r="X3395" s="15" t="s">
        <v>8</v>
      </c>
    </row>
    <row r="3396" spans="3:30" x14ac:dyDescent="0.35">
      <c r="C3396" s="15" t="s">
        <v>8</v>
      </c>
      <c r="D3396" s="15" t="s">
        <v>8</v>
      </c>
      <c r="E3396" s="15" t="s">
        <v>8</v>
      </c>
      <c r="F3396" s="15" t="s">
        <v>8</v>
      </c>
      <c r="H3396" s="15" t="s">
        <v>8</v>
      </c>
      <c r="I3396" s="15" t="s">
        <v>8</v>
      </c>
      <c r="J3396" s="15" t="s">
        <v>8</v>
      </c>
      <c r="N3396" s="15" t="s">
        <v>8</v>
      </c>
      <c r="R3396" s="15" t="s">
        <v>8</v>
      </c>
      <c r="S3396" s="15" t="s">
        <v>8</v>
      </c>
      <c r="U3396" s="15" t="s">
        <v>8</v>
      </c>
      <c r="V3396" s="15" t="s">
        <v>8</v>
      </c>
      <c r="W3396" s="19" t="str">
        <f>HYPERLINK("http://yeinfo.com/family/I09066192.html", "WILLIAM FERRERS 1333 EN-1373 EN ID:09066341")</f>
        <v>WILLIAM FERRERS 1333 EN-1373 EN ID:09066341</v>
      </c>
      <c r="X3396" s="9"/>
      <c r="Y3396" s="9"/>
      <c r="Z3396" s="9"/>
      <c r="AA3396" s="9"/>
    </row>
    <row r="3397" spans="3:30" x14ac:dyDescent="0.35">
      <c r="C3397" s="15" t="s">
        <v>8</v>
      </c>
      <c r="D3397" s="15" t="s">
        <v>8</v>
      </c>
      <c r="E3397" s="15" t="s">
        <v>8</v>
      </c>
      <c r="F3397" s="15" t="s">
        <v>8</v>
      </c>
      <c r="H3397" s="15" t="s">
        <v>8</v>
      </c>
      <c r="I3397" s="15" t="s">
        <v>8</v>
      </c>
      <c r="J3397" s="15" t="s">
        <v>8</v>
      </c>
      <c r="N3397" s="15" t="s">
        <v>8</v>
      </c>
      <c r="R3397" s="15" t="s">
        <v>8</v>
      </c>
      <c r="S3397" s="15" t="s">
        <v>8</v>
      </c>
      <c r="U3397" s="15" t="s">
        <v>8</v>
      </c>
      <c r="V3397" s="15" t="s">
        <v>8</v>
      </c>
      <c r="W3397" s="8" t="s">
        <v>3</v>
      </c>
      <c r="X3397" s="15" t="s">
        <v>8</v>
      </c>
    </row>
    <row r="3398" spans="3:30" x14ac:dyDescent="0.35">
      <c r="C3398" s="15" t="s">
        <v>8</v>
      </c>
      <c r="D3398" s="15" t="s">
        <v>8</v>
      </c>
      <c r="E3398" s="15" t="s">
        <v>8</v>
      </c>
      <c r="F3398" s="15" t="s">
        <v>8</v>
      </c>
      <c r="H3398" s="15" t="s">
        <v>8</v>
      </c>
      <c r="I3398" s="15" t="s">
        <v>8</v>
      </c>
      <c r="J3398" s="15" t="s">
        <v>8</v>
      </c>
      <c r="N3398" s="15" t="s">
        <v>8</v>
      </c>
      <c r="R3398" s="15" t="s">
        <v>8</v>
      </c>
      <c r="S3398" s="15" t="s">
        <v>8</v>
      </c>
      <c r="U3398" s="15" t="s">
        <v>8</v>
      </c>
      <c r="V3398" s="15" t="s">
        <v>8</v>
      </c>
      <c r="W3398" s="15" t="s">
        <v>8</v>
      </c>
      <c r="X3398" s="15" t="s">
        <v>8</v>
      </c>
      <c r="Z3398" s="19" t="str">
        <f>HYPERLINK("http://yeinfo.com/family/I09066568.html", "THEOBALD VERDUN 1248 IR-1309 EN ID:09066626")</f>
        <v>THEOBALD VERDUN 1248 IR-1309 EN ID:09066626</v>
      </c>
      <c r="AA3398" s="9"/>
      <c r="AB3398" s="9"/>
      <c r="AC3398" s="9"/>
      <c r="AD3398" s="9"/>
    </row>
    <row r="3399" spans="3:30" x14ac:dyDescent="0.35">
      <c r="C3399" s="15" t="s">
        <v>8</v>
      </c>
      <c r="D3399" s="15" t="s">
        <v>8</v>
      </c>
      <c r="E3399" s="15" t="s">
        <v>8</v>
      </c>
      <c r="F3399" s="15" t="s">
        <v>8</v>
      </c>
      <c r="H3399" s="15" t="s">
        <v>8</v>
      </c>
      <c r="I3399" s="15" t="s">
        <v>8</v>
      </c>
      <c r="J3399" s="15" t="s">
        <v>8</v>
      </c>
      <c r="N3399" s="15" t="s">
        <v>8</v>
      </c>
      <c r="R3399" s="15" t="s">
        <v>8</v>
      </c>
      <c r="S3399" s="15" t="s">
        <v>8</v>
      </c>
      <c r="U3399" s="15" t="s">
        <v>8</v>
      </c>
      <c r="V3399" s="15" t="s">
        <v>8</v>
      </c>
      <c r="W3399" s="15" t="s">
        <v>8</v>
      </c>
      <c r="X3399" s="15" t="s">
        <v>8</v>
      </c>
      <c r="Z3399" s="8" t="s">
        <v>3</v>
      </c>
    </row>
    <row r="3400" spans="3:30" x14ac:dyDescent="0.35">
      <c r="C3400" s="15" t="s">
        <v>8</v>
      </c>
      <c r="D3400" s="15" t="s">
        <v>8</v>
      </c>
      <c r="E3400" s="15" t="s">
        <v>8</v>
      </c>
      <c r="F3400" s="15" t="s">
        <v>8</v>
      </c>
      <c r="H3400" s="15" t="s">
        <v>8</v>
      </c>
      <c r="I3400" s="15" t="s">
        <v>8</v>
      </c>
      <c r="J3400" s="15" t="s">
        <v>8</v>
      </c>
      <c r="N3400" s="15" t="s">
        <v>8</v>
      </c>
      <c r="R3400" s="15" t="s">
        <v>8</v>
      </c>
      <c r="S3400" s="15" t="s">
        <v>8</v>
      </c>
      <c r="U3400" s="15" t="s">
        <v>8</v>
      </c>
      <c r="V3400" s="15" t="s">
        <v>8</v>
      </c>
      <c r="W3400" s="15" t="s">
        <v>8</v>
      </c>
      <c r="X3400" s="15" t="s">
        <v>8</v>
      </c>
      <c r="Y3400" s="19" t="str">
        <f>HYPERLINK("http://yeinfo.com/family/I09066517.html", "THEOBALD VERDUN 1278 EN-1316 EN ID:09066568")</f>
        <v>THEOBALD VERDUN 1278 EN-1316 EN ID:09066568</v>
      </c>
      <c r="Z3400" s="9"/>
      <c r="AA3400" s="9"/>
      <c r="AB3400" s="9"/>
      <c r="AC3400" s="9"/>
    </row>
    <row r="3401" spans="3:30" x14ac:dyDescent="0.35">
      <c r="C3401" s="15" t="s">
        <v>8</v>
      </c>
      <c r="D3401" s="15" t="s">
        <v>8</v>
      </c>
      <c r="E3401" s="15" t="s">
        <v>8</v>
      </c>
      <c r="F3401" s="15" t="s">
        <v>8</v>
      </c>
      <c r="H3401" s="15" t="s">
        <v>8</v>
      </c>
      <c r="I3401" s="15" t="s">
        <v>8</v>
      </c>
      <c r="J3401" s="15" t="s">
        <v>8</v>
      </c>
      <c r="N3401" s="15" t="s">
        <v>8</v>
      </c>
      <c r="R3401" s="15" t="s">
        <v>8</v>
      </c>
      <c r="S3401" s="15" t="s">
        <v>8</v>
      </c>
      <c r="U3401" s="15" t="s">
        <v>8</v>
      </c>
      <c r="V3401" s="15" t="s">
        <v>8</v>
      </c>
      <c r="W3401" s="15" t="s">
        <v>8</v>
      </c>
      <c r="X3401" s="15" t="s">
        <v>8</v>
      </c>
      <c r="Y3401" s="8" t="s">
        <v>3</v>
      </c>
      <c r="Z3401" s="8" t="s">
        <v>6</v>
      </c>
    </row>
    <row r="3402" spans="3:30" x14ac:dyDescent="0.35">
      <c r="C3402" s="15" t="s">
        <v>8</v>
      </c>
      <c r="D3402" s="15" t="s">
        <v>8</v>
      </c>
      <c r="E3402" s="15" t="s">
        <v>8</v>
      </c>
      <c r="F3402" s="15" t="s">
        <v>8</v>
      </c>
      <c r="H3402" s="15" t="s">
        <v>8</v>
      </c>
      <c r="I3402" s="15" t="s">
        <v>8</v>
      </c>
      <c r="J3402" s="15" t="s">
        <v>8</v>
      </c>
      <c r="N3402" s="15" t="s">
        <v>8</v>
      </c>
      <c r="R3402" s="15" t="s">
        <v>8</v>
      </c>
      <c r="S3402" s="15" t="s">
        <v>8</v>
      </c>
      <c r="U3402" s="15" t="s">
        <v>8</v>
      </c>
      <c r="V3402" s="15" t="s">
        <v>8</v>
      </c>
      <c r="W3402" s="15" t="s">
        <v>8</v>
      </c>
      <c r="X3402" s="15" t="s">
        <v>8</v>
      </c>
      <c r="Y3402" s="15" t="s">
        <v>8</v>
      </c>
      <c r="Z3402" s="20" t="str">
        <f>HYPERLINK("http://yeinfo.com/family/I09066626.html", "MARGERY BOHUN 1252 EN-1309 ST ID:09066627")</f>
        <v>MARGERY BOHUN 1252 EN-1309 ST ID:09066627</v>
      </c>
      <c r="AA3402" s="17"/>
      <c r="AB3402" s="17"/>
      <c r="AC3402" s="17"/>
      <c r="AD3402" s="17"/>
    </row>
    <row r="3403" spans="3:30" x14ac:dyDescent="0.35">
      <c r="C3403" s="15" t="s">
        <v>8</v>
      </c>
      <c r="D3403" s="15" t="s">
        <v>8</v>
      </c>
      <c r="E3403" s="15" t="s">
        <v>8</v>
      </c>
      <c r="F3403" s="15" t="s">
        <v>8</v>
      </c>
      <c r="H3403" s="15" t="s">
        <v>8</v>
      </c>
      <c r="I3403" s="15" t="s">
        <v>8</v>
      </c>
      <c r="J3403" s="15" t="s">
        <v>8</v>
      </c>
      <c r="N3403" s="15" t="s">
        <v>8</v>
      </c>
      <c r="R3403" s="15" t="s">
        <v>8</v>
      </c>
      <c r="S3403" s="15" t="s">
        <v>8</v>
      </c>
      <c r="U3403" s="15" t="s">
        <v>8</v>
      </c>
      <c r="V3403" s="15" t="s">
        <v>8</v>
      </c>
      <c r="W3403" s="15" t="s">
        <v>8</v>
      </c>
      <c r="X3403" s="8" t="s">
        <v>6</v>
      </c>
      <c r="Y3403" s="15" t="s">
        <v>8</v>
      </c>
    </row>
    <row r="3404" spans="3:30" x14ac:dyDescent="0.35">
      <c r="C3404" s="15" t="s">
        <v>8</v>
      </c>
      <c r="D3404" s="15" t="s">
        <v>8</v>
      </c>
      <c r="E3404" s="15" t="s">
        <v>8</v>
      </c>
      <c r="F3404" s="15" t="s">
        <v>8</v>
      </c>
      <c r="H3404" s="15" t="s">
        <v>8</v>
      </c>
      <c r="I3404" s="15" t="s">
        <v>8</v>
      </c>
      <c r="J3404" s="15" t="s">
        <v>8</v>
      </c>
      <c r="N3404" s="15" t="s">
        <v>8</v>
      </c>
      <c r="R3404" s="15" t="s">
        <v>8</v>
      </c>
      <c r="S3404" s="15" t="s">
        <v>8</v>
      </c>
      <c r="U3404" s="15" t="s">
        <v>8</v>
      </c>
      <c r="V3404" s="15" t="s">
        <v>8</v>
      </c>
      <c r="W3404" s="15" t="s">
        <v>8</v>
      </c>
      <c r="X3404" s="20" t="str">
        <f>HYPERLINK("http://yeinfo.com/family/I09066625.html", "ISABEL VERDUN 1316 EN-1349 EN ID:09066517")</f>
        <v>ISABEL VERDUN 1316 EN-1349 EN ID:09066517</v>
      </c>
      <c r="Y3404" s="17"/>
      <c r="Z3404" s="17"/>
      <c r="AA3404" s="17"/>
      <c r="AB3404" s="17"/>
    </row>
    <row r="3405" spans="3:30" x14ac:dyDescent="0.35">
      <c r="C3405" s="15" t="s">
        <v>8</v>
      </c>
      <c r="D3405" s="15" t="s">
        <v>8</v>
      </c>
      <c r="E3405" s="15" t="s">
        <v>8</v>
      </c>
      <c r="F3405" s="15" t="s">
        <v>8</v>
      </c>
      <c r="H3405" s="15" t="s">
        <v>8</v>
      </c>
      <c r="I3405" s="15" t="s">
        <v>8</v>
      </c>
      <c r="J3405" s="15" t="s">
        <v>8</v>
      </c>
      <c r="N3405" s="15" t="s">
        <v>8</v>
      </c>
      <c r="R3405" s="15" t="s">
        <v>8</v>
      </c>
      <c r="S3405" s="15" t="s">
        <v>8</v>
      </c>
      <c r="U3405" s="15" t="s">
        <v>8</v>
      </c>
      <c r="V3405" s="15" t="s">
        <v>8</v>
      </c>
      <c r="W3405" s="15" t="s">
        <v>8</v>
      </c>
      <c r="Y3405" s="15" t="s">
        <v>8</v>
      </c>
    </row>
    <row r="3406" spans="3:30" x14ac:dyDescent="0.35">
      <c r="C3406" s="15" t="s">
        <v>8</v>
      </c>
      <c r="D3406" s="15" t="s">
        <v>8</v>
      </c>
      <c r="E3406" s="15" t="s">
        <v>8</v>
      </c>
      <c r="F3406" s="15" t="s">
        <v>8</v>
      </c>
      <c r="H3406" s="15" t="s">
        <v>8</v>
      </c>
      <c r="I3406" s="15" t="s">
        <v>8</v>
      </c>
      <c r="J3406" s="15" t="s">
        <v>8</v>
      </c>
      <c r="N3406" s="15" t="s">
        <v>8</v>
      </c>
      <c r="R3406" s="15" t="s">
        <v>8</v>
      </c>
      <c r="S3406" s="15" t="s">
        <v>8</v>
      </c>
      <c r="U3406" s="15" t="s">
        <v>8</v>
      </c>
      <c r="V3406" s="15" t="s">
        <v>8</v>
      </c>
      <c r="W3406" s="15" t="s">
        <v>8</v>
      </c>
      <c r="Y3406" s="15" t="s">
        <v>8</v>
      </c>
      <c r="Z3406" s="19" t="str">
        <f>HYPERLINK("http://yeinfo.com/family/I09066569.html", "GILBERT CLARE 1243 EN-1295 EN ID:09066628")</f>
        <v>GILBERT CLARE 1243 EN-1295 EN ID:09066628</v>
      </c>
      <c r="AA3406" s="9"/>
      <c r="AB3406" s="9"/>
      <c r="AC3406" s="9"/>
      <c r="AD3406" s="9"/>
    </row>
    <row r="3407" spans="3:30" x14ac:dyDescent="0.35">
      <c r="C3407" s="15" t="s">
        <v>8</v>
      </c>
      <c r="D3407" s="15" t="s">
        <v>8</v>
      </c>
      <c r="E3407" s="15" t="s">
        <v>8</v>
      </c>
      <c r="F3407" s="15" t="s">
        <v>8</v>
      </c>
      <c r="H3407" s="15" t="s">
        <v>8</v>
      </c>
      <c r="I3407" s="15" t="s">
        <v>8</v>
      </c>
      <c r="J3407" s="15" t="s">
        <v>8</v>
      </c>
      <c r="N3407" s="15" t="s">
        <v>8</v>
      </c>
      <c r="R3407" s="15" t="s">
        <v>8</v>
      </c>
      <c r="S3407" s="15" t="s">
        <v>8</v>
      </c>
      <c r="U3407" s="15" t="s">
        <v>8</v>
      </c>
      <c r="V3407" s="15" t="s">
        <v>8</v>
      </c>
      <c r="W3407" s="15" t="s">
        <v>8</v>
      </c>
      <c r="Y3407" s="8" t="s">
        <v>6</v>
      </c>
      <c r="Z3407" s="8" t="s">
        <v>3</v>
      </c>
    </row>
    <row r="3408" spans="3:30" x14ac:dyDescent="0.35">
      <c r="C3408" s="15" t="s">
        <v>8</v>
      </c>
      <c r="D3408" s="15" t="s">
        <v>8</v>
      </c>
      <c r="E3408" s="15" t="s">
        <v>8</v>
      </c>
      <c r="F3408" s="15" t="s">
        <v>8</v>
      </c>
      <c r="H3408" s="15" t="s">
        <v>8</v>
      </c>
      <c r="I3408" s="15" t="s">
        <v>8</v>
      </c>
      <c r="J3408" s="15" t="s">
        <v>8</v>
      </c>
      <c r="N3408" s="15" t="s">
        <v>8</v>
      </c>
      <c r="R3408" s="15" t="s">
        <v>8</v>
      </c>
      <c r="S3408" s="15" t="s">
        <v>8</v>
      </c>
      <c r="U3408" s="15" t="s">
        <v>8</v>
      </c>
      <c r="V3408" s="15" t="s">
        <v>8</v>
      </c>
      <c r="W3408" s="15" t="s">
        <v>8</v>
      </c>
      <c r="Y3408" s="20" t="str">
        <f>HYPERLINK("http://yeinfo.com/family/I09066627.html", "ELIZABETH CLARE 1295 EN-1360 EN ID:09066569")</f>
        <v>ELIZABETH CLARE 1295 EN-1360 EN ID:09066569</v>
      </c>
      <c r="Z3408" s="17"/>
      <c r="AA3408" s="17"/>
      <c r="AB3408" s="17"/>
      <c r="AC3408" s="17"/>
    </row>
    <row r="3409" spans="3:31" x14ac:dyDescent="0.35">
      <c r="C3409" s="15" t="s">
        <v>8</v>
      </c>
      <c r="D3409" s="15" t="s">
        <v>8</v>
      </c>
      <c r="E3409" s="15" t="s">
        <v>8</v>
      </c>
      <c r="F3409" s="15" t="s">
        <v>8</v>
      </c>
      <c r="H3409" s="15" t="s">
        <v>8</v>
      </c>
      <c r="I3409" s="15" t="s">
        <v>8</v>
      </c>
      <c r="J3409" s="15" t="s">
        <v>8</v>
      </c>
      <c r="N3409" s="15" t="s">
        <v>8</v>
      </c>
      <c r="R3409" s="15" t="s">
        <v>8</v>
      </c>
      <c r="S3409" s="15" t="s">
        <v>8</v>
      </c>
      <c r="U3409" s="15" t="s">
        <v>8</v>
      </c>
      <c r="V3409" s="15" t="s">
        <v>8</v>
      </c>
      <c r="W3409" s="15" t="s">
        <v>8</v>
      </c>
      <c r="Z3409" s="15" t="s">
        <v>8</v>
      </c>
    </row>
    <row r="3410" spans="3:31" x14ac:dyDescent="0.35">
      <c r="C3410" s="15" t="s">
        <v>8</v>
      </c>
      <c r="D3410" s="15" t="s">
        <v>8</v>
      </c>
      <c r="E3410" s="15" t="s">
        <v>8</v>
      </c>
      <c r="F3410" s="15" t="s">
        <v>8</v>
      </c>
      <c r="H3410" s="15" t="s">
        <v>8</v>
      </c>
      <c r="I3410" s="15" t="s">
        <v>8</v>
      </c>
      <c r="J3410" s="15" t="s">
        <v>8</v>
      </c>
      <c r="N3410" s="15" t="s">
        <v>8</v>
      </c>
      <c r="R3410" s="15" t="s">
        <v>8</v>
      </c>
      <c r="S3410" s="15" t="s">
        <v>8</v>
      </c>
      <c r="U3410" s="15" t="s">
        <v>8</v>
      </c>
      <c r="V3410" s="15" t="s">
        <v>8</v>
      </c>
      <c r="W3410" s="15" t="s">
        <v>8</v>
      </c>
      <c r="Z3410" s="15" t="s">
        <v>8</v>
      </c>
      <c r="AA3410" s="19" t="str">
        <f>HYPERLINK("http://yeinfo.com/family/I09066629.html", "EDWARD PLANTAGENET I 1239 EN-1307 EN ID:09066720")</f>
        <v>EDWARD PLANTAGENET I 1239 EN-1307 EN ID:09066720</v>
      </c>
      <c r="AB3410" s="9"/>
      <c r="AC3410" s="9"/>
      <c r="AD3410" s="9"/>
      <c r="AE3410" s="9"/>
    </row>
    <row r="3411" spans="3:31" x14ac:dyDescent="0.35">
      <c r="C3411" s="15" t="s">
        <v>8</v>
      </c>
      <c r="D3411" s="15" t="s">
        <v>8</v>
      </c>
      <c r="E3411" s="15" t="s">
        <v>8</v>
      </c>
      <c r="F3411" s="15" t="s">
        <v>8</v>
      </c>
      <c r="H3411" s="15" t="s">
        <v>8</v>
      </c>
      <c r="I3411" s="15" t="s">
        <v>8</v>
      </c>
      <c r="J3411" s="15" t="s">
        <v>8</v>
      </c>
      <c r="N3411" s="15" t="s">
        <v>8</v>
      </c>
      <c r="R3411" s="15" t="s">
        <v>8</v>
      </c>
      <c r="S3411" s="15" t="s">
        <v>8</v>
      </c>
      <c r="U3411" s="15" t="s">
        <v>8</v>
      </c>
      <c r="V3411" s="15" t="s">
        <v>8</v>
      </c>
      <c r="W3411" s="15" t="s">
        <v>8</v>
      </c>
      <c r="Z3411" s="8" t="s">
        <v>6</v>
      </c>
      <c r="AA3411" s="8" t="s">
        <v>3</v>
      </c>
    </row>
    <row r="3412" spans="3:31" x14ac:dyDescent="0.35">
      <c r="C3412" s="15" t="s">
        <v>8</v>
      </c>
      <c r="D3412" s="15" t="s">
        <v>8</v>
      </c>
      <c r="E3412" s="15" t="s">
        <v>8</v>
      </c>
      <c r="F3412" s="15" t="s">
        <v>8</v>
      </c>
      <c r="H3412" s="15" t="s">
        <v>8</v>
      </c>
      <c r="I3412" s="15" t="s">
        <v>8</v>
      </c>
      <c r="J3412" s="15" t="s">
        <v>8</v>
      </c>
      <c r="N3412" s="15" t="s">
        <v>8</v>
      </c>
      <c r="R3412" s="15" t="s">
        <v>8</v>
      </c>
      <c r="S3412" s="15" t="s">
        <v>8</v>
      </c>
      <c r="U3412" s="15" t="s">
        <v>8</v>
      </c>
      <c r="V3412" s="15" t="s">
        <v>8</v>
      </c>
      <c r="W3412" s="15" t="s">
        <v>8</v>
      </c>
      <c r="Z3412" s="20" t="str">
        <f>HYPERLINK("http://yeinfo.com/family/I09066628.html", "JOAN PLANTAGENET 1272 IS-1307 EN ID:09066629")</f>
        <v>JOAN PLANTAGENET 1272 IS-1307 EN ID:09066629</v>
      </c>
      <c r="AA3412" s="17"/>
      <c r="AB3412" s="17"/>
      <c r="AC3412" s="17"/>
      <c r="AD3412" s="17"/>
    </row>
    <row r="3413" spans="3:31" x14ac:dyDescent="0.35">
      <c r="C3413" s="15" t="s">
        <v>8</v>
      </c>
      <c r="D3413" s="15" t="s">
        <v>8</v>
      </c>
      <c r="E3413" s="15" t="s">
        <v>8</v>
      </c>
      <c r="F3413" s="15" t="s">
        <v>8</v>
      </c>
      <c r="H3413" s="15" t="s">
        <v>8</v>
      </c>
      <c r="I3413" s="15" t="s">
        <v>8</v>
      </c>
      <c r="J3413" s="15" t="s">
        <v>8</v>
      </c>
      <c r="N3413" s="15" t="s">
        <v>8</v>
      </c>
      <c r="R3413" s="15" t="s">
        <v>8</v>
      </c>
      <c r="S3413" s="15" t="s">
        <v>8</v>
      </c>
      <c r="U3413" s="15" t="s">
        <v>8</v>
      </c>
      <c r="V3413" s="15" t="s">
        <v>8</v>
      </c>
      <c r="W3413" s="15" t="s">
        <v>8</v>
      </c>
      <c r="AA3413" s="8" t="s">
        <v>6</v>
      </c>
    </row>
    <row r="3414" spans="3:31" x14ac:dyDescent="0.35">
      <c r="C3414" s="15" t="s">
        <v>8</v>
      </c>
      <c r="D3414" s="15" t="s">
        <v>8</v>
      </c>
      <c r="E3414" s="15" t="s">
        <v>8</v>
      </c>
      <c r="F3414" s="15" t="s">
        <v>8</v>
      </c>
      <c r="H3414" s="15" t="s">
        <v>8</v>
      </c>
      <c r="I3414" s="15" t="s">
        <v>8</v>
      </c>
      <c r="J3414" s="15" t="s">
        <v>8</v>
      </c>
      <c r="N3414" s="15" t="s">
        <v>8</v>
      </c>
      <c r="R3414" s="15" t="s">
        <v>8</v>
      </c>
      <c r="S3414" s="15" t="s">
        <v>8</v>
      </c>
      <c r="U3414" s="15" t="s">
        <v>8</v>
      </c>
      <c r="V3414" s="15" t="s">
        <v>8</v>
      </c>
      <c r="W3414" s="15" t="s">
        <v>8</v>
      </c>
      <c r="AA3414" s="20" t="str">
        <f>HYPERLINK("http://yeinfo.com/family/I09066720.html", "ELEANOR CASTILE 1241 SP-1290 EN ID:09066721")</f>
        <v>ELEANOR CASTILE 1241 SP-1290 EN ID:09066721</v>
      </c>
      <c r="AB3414" s="17"/>
      <c r="AC3414" s="17"/>
      <c r="AD3414" s="17"/>
      <c r="AE3414" s="17"/>
    </row>
    <row r="3415" spans="3:31" x14ac:dyDescent="0.35">
      <c r="C3415" s="15" t="s">
        <v>8</v>
      </c>
      <c r="D3415" s="15" t="s">
        <v>8</v>
      </c>
      <c r="E3415" s="15" t="s">
        <v>8</v>
      </c>
      <c r="F3415" s="15" t="s">
        <v>8</v>
      </c>
      <c r="H3415" s="15" t="s">
        <v>8</v>
      </c>
      <c r="I3415" s="15" t="s">
        <v>8</v>
      </c>
      <c r="J3415" s="15" t="s">
        <v>8</v>
      </c>
      <c r="N3415" s="15" t="s">
        <v>8</v>
      </c>
      <c r="R3415" s="15" t="s">
        <v>8</v>
      </c>
      <c r="S3415" s="15" t="s">
        <v>8</v>
      </c>
      <c r="U3415" s="15" t="s">
        <v>8</v>
      </c>
      <c r="V3415" s="8" t="s">
        <v>6</v>
      </c>
      <c r="W3415" s="15" t="s">
        <v>8</v>
      </c>
    </row>
    <row r="3416" spans="3:31" x14ac:dyDescent="0.35">
      <c r="C3416" s="15" t="s">
        <v>8</v>
      </c>
      <c r="D3416" s="15" t="s">
        <v>8</v>
      </c>
      <c r="E3416" s="15" t="s">
        <v>8</v>
      </c>
      <c r="F3416" s="15" t="s">
        <v>8</v>
      </c>
      <c r="H3416" s="15" t="s">
        <v>8</v>
      </c>
      <c r="I3416" s="15" t="s">
        <v>8</v>
      </c>
      <c r="J3416" s="15" t="s">
        <v>8</v>
      </c>
      <c r="N3416" s="15" t="s">
        <v>8</v>
      </c>
      <c r="R3416" s="15" t="s">
        <v>8</v>
      </c>
      <c r="S3416" s="15" t="s">
        <v>8</v>
      </c>
      <c r="U3416" s="15" t="s">
        <v>8</v>
      </c>
      <c r="V3416" s="20" t="str">
        <f>HYPERLINK("http://yeinfo.com/family/I09066515.html", "ANNE FERRERS 1373 EN-1402 EN ID:09066192")</f>
        <v>ANNE FERRERS 1373 EN-1402 EN ID:09066192</v>
      </c>
      <c r="W3416" s="17"/>
      <c r="X3416" s="17"/>
      <c r="Y3416" s="17"/>
      <c r="Z3416" s="17"/>
    </row>
    <row r="3417" spans="3:31" x14ac:dyDescent="0.35">
      <c r="C3417" s="15" t="s">
        <v>8</v>
      </c>
      <c r="D3417" s="15" t="s">
        <v>8</v>
      </c>
      <c r="E3417" s="15" t="s">
        <v>8</v>
      </c>
      <c r="F3417" s="15" t="s">
        <v>8</v>
      </c>
      <c r="H3417" s="15" t="s">
        <v>8</v>
      </c>
      <c r="I3417" s="15" t="s">
        <v>8</v>
      </c>
      <c r="J3417" s="15" t="s">
        <v>8</v>
      </c>
      <c r="N3417" s="15" t="s">
        <v>8</v>
      </c>
      <c r="R3417" s="15" t="s">
        <v>8</v>
      </c>
      <c r="S3417" s="15" t="s">
        <v>8</v>
      </c>
      <c r="U3417" s="15" t="s">
        <v>8</v>
      </c>
      <c r="W3417" s="15" t="s">
        <v>8</v>
      </c>
    </row>
    <row r="3418" spans="3:31" x14ac:dyDescent="0.35">
      <c r="C3418" s="15" t="s">
        <v>8</v>
      </c>
      <c r="D3418" s="15" t="s">
        <v>8</v>
      </c>
      <c r="E3418" s="15" t="s">
        <v>8</v>
      </c>
      <c r="F3418" s="15" t="s">
        <v>8</v>
      </c>
      <c r="H3418" s="15" t="s">
        <v>8</v>
      </c>
      <c r="I3418" s="15" t="s">
        <v>8</v>
      </c>
      <c r="J3418" s="15" t="s">
        <v>8</v>
      </c>
      <c r="N3418" s="15" t="s">
        <v>8</v>
      </c>
      <c r="R3418" s="15" t="s">
        <v>8</v>
      </c>
      <c r="S3418" s="15" t="s">
        <v>8</v>
      </c>
      <c r="U3418" s="15" t="s">
        <v>8</v>
      </c>
      <c r="W3418" s="15" t="s">
        <v>8</v>
      </c>
      <c r="Z3418" s="19" t="str">
        <f>HYPERLINK("http://yeinfo.com/family/I09066570.html", "ROBERT UFFORD &lt;2&gt; 1236 EN-1286 EN ID:09066630")</f>
        <v>ROBERT UFFORD &lt;2&gt; 1236 EN-1286 EN ID:09066630</v>
      </c>
      <c r="AA3418" s="9"/>
      <c r="AB3418" s="9"/>
      <c r="AC3418" s="9"/>
      <c r="AD3418" s="9"/>
    </row>
    <row r="3419" spans="3:31" x14ac:dyDescent="0.35">
      <c r="C3419" s="15" t="s">
        <v>8</v>
      </c>
      <c r="D3419" s="15" t="s">
        <v>8</v>
      </c>
      <c r="E3419" s="15" t="s">
        <v>8</v>
      </c>
      <c r="F3419" s="15" t="s">
        <v>8</v>
      </c>
      <c r="H3419" s="15" t="s">
        <v>8</v>
      </c>
      <c r="I3419" s="15" t="s">
        <v>8</v>
      </c>
      <c r="J3419" s="15" t="s">
        <v>8</v>
      </c>
      <c r="N3419" s="15" t="s">
        <v>8</v>
      </c>
      <c r="R3419" s="15" t="s">
        <v>8</v>
      </c>
      <c r="S3419" s="15" t="s">
        <v>8</v>
      </c>
      <c r="U3419" s="15" t="s">
        <v>8</v>
      </c>
      <c r="W3419" s="15" t="s">
        <v>8</v>
      </c>
      <c r="Z3419" s="8" t="s">
        <v>3</v>
      </c>
    </row>
    <row r="3420" spans="3:31" x14ac:dyDescent="0.35">
      <c r="C3420" s="15" t="s">
        <v>8</v>
      </c>
      <c r="D3420" s="15" t="s">
        <v>8</v>
      </c>
      <c r="E3420" s="15" t="s">
        <v>8</v>
      </c>
      <c r="F3420" s="15" t="s">
        <v>8</v>
      </c>
      <c r="H3420" s="15" t="s">
        <v>8</v>
      </c>
      <c r="I3420" s="15" t="s">
        <v>8</v>
      </c>
      <c r="J3420" s="15" t="s">
        <v>8</v>
      </c>
      <c r="N3420" s="15" t="s">
        <v>8</v>
      </c>
      <c r="R3420" s="15" t="s">
        <v>8</v>
      </c>
      <c r="S3420" s="15" t="s">
        <v>8</v>
      </c>
      <c r="U3420" s="15" t="s">
        <v>8</v>
      </c>
      <c r="W3420" s="15" t="s">
        <v>8</v>
      </c>
      <c r="Y3420" s="19" t="str">
        <f>HYPERLINK("http://yeinfo.com/family/I09066518.html", "ROBERT UFFORD 1279 -1299  ID:09066570")</f>
        <v>ROBERT UFFORD 1279 -1299  ID:09066570</v>
      </c>
      <c r="Z3420" s="9"/>
      <c r="AA3420" s="9"/>
      <c r="AB3420" s="9"/>
      <c r="AC3420" s="9"/>
    </row>
    <row r="3421" spans="3:31" x14ac:dyDescent="0.35">
      <c r="C3421" s="15" t="s">
        <v>8</v>
      </c>
      <c r="D3421" s="15" t="s">
        <v>8</v>
      </c>
      <c r="E3421" s="15" t="s">
        <v>8</v>
      </c>
      <c r="F3421" s="15" t="s">
        <v>8</v>
      </c>
      <c r="H3421" s="15" t="s">
        <v>8</v>
      </c>
      <c r="I3421" s="15" t="s">
        <v>8</v>
      </c>
      <c r="J3421" s="15" t="s">
        <v>8</v>
      </c>
      <c r="N3421" s="15" t="s">
        <v>8</v>
      </c>
      <c r="R3421" s="15" t="s">
        <v>8</v>
      </c>
      <c r="S3421" s="15" t="s">
        <v>8</v>
      </c>
      <c r="U3421" s="15" t="s">
        <v>8</v>
      </c>
      <c r="W3421" s="15" t="s">
        <v>8</v>
      </c>
      <c r="Y3421" s="8" t="s">
        <v>3</v>
      </c>
      <c r="Z3421" s="8" t="s">
        <v>6</v>
      </c>
    </row>
    <row r="3422" spans="3:31" x14ac:dyDescent="0.35">
      <c r="C3422" s="15" t="s">
        <v>8</v>
      </c>
      <c r="D3422" s="15" t="s">
        <v>8</v>
      </c>
      <c r="E3422" s="15" t="s">
        <v>8</v>
      </c>
      <c r="F3422" s="15" t="s">
        <v>8</v>
      </c>
      <c r="H3422" s="15" t="s">
        <v>8</v>
      </c>
      <c r="I3422" s="15" t="s">
        <v>8</v>
      </c>
      <c r="J3422" s="15" t="s">
        <v>8</v>
      </c>
      <c r="N3422" s="15" t="s">
        <v>8</v>
      </c>
      <c r="R3422" s="15" t="s">
        <v>8</v>
      </c>
      <c r="S3422" s="15" t="s">
        <v>8</v>
      </c>
      <c r="U3422" s="15" t="s">
        <v>8</v>
      </c>
      <c r="W3422" s="15" t="s">
        <v>8</v>
      </c>
      <c r="Y3422" s="15" t="s">
        <v>8</v>
      </c>
      <c r="Z3422" s="20" t="str">
        <f>HYPERLINK("http://yeinfo.com/family/I09066630.html", "Mrs. MARY UFFORD 1235 EN-1279 EN ID:09066631")</f>
        <v>Mrs. MARY UFFORD 1235 EN-1279 EN ID:09066631</v>
      </c>
      <c r="AA3422" s="17"/>
      <c r="AB3422" s="17"/>
      <c r="AC3422" s="17"/>
      <c r="AD3422" s="17"/>
    </row>
    <row r="3423" spans="3:31" x14ac:dyDescent="0.35">
      <c r="C3423" s="15" t="s">
        <v>8</v>
      </c>
      <c r="D3423" s="15" t="s">
        <v>8</v>
      </c>
      <c r="E3423" s="15" t="s">
        <v>8</v>
      </c>
      <c r="F3423" s="15" t="s">
        <v>8</v>
      </c>
      <c r="H3423" s="15" t="s">
        <v>8</v>
      </c>
      <c r="I3423" s="15" t="s">
        <v>8</v>
      </c>
      <c r="J3423" s="15" t="s">
        <v>8</v>
      </c>
      <c r="N3423" s="15" t="s">
        <v>8</v>
      </c>
      <c r="R3423" s="15" t="s">
        <v>8</v>
      </c>
      <c r="S3423" s="15" t="s">
        <v>8</v>
      </c>
      <c r="U3423" s="15" t="s">
        <v>8</v>
      </c>
      <c r="W3423" s="15" t="s">
        <v>8</v>
      </c>
      <c r="Y3423" s="15" t="s">
        <v>8</v>
      </c>
    </row>
    <row r="3424" spans="3:31" x14ac:dyDescent="0.35">
      <c r="C3424" s="15" t="s">
        <v>8</v>
      </c>
      <c r="D3424" s="15" t="s">
        <v>8</v>
      </c>
      <c r="E3424" s="15" t="s">
        <v>8</v>
      </c>
      <c r="F3424" s="15" t="s">
        <v>8</v>
      </c>
      <c r="H3424" s="15" t="s">
        <v>8</v>
      </c>
      <c r="I3424" s="15" t="s">
        <v>8</v>
      </c>
      <c r="J3424" s="15" t="s">
        <v>8</v>
      </c>
      <c r="N3424" s="15" t="s">
        <v>8</v>
      </c>
      <c r="R3424" s="15" t="s">
        <v>8</v>
      </c>
      <c r="S3424" s="15" t="s">
        <v>8</v>
      </c>
      <c r="U3424" s="15" t="s">
        <v>8</v>
      </c>
      <c r="W3424" s="15" t="s">
        <v>8</v>
      </c>
      <c r="X3424" s="19" t="str">
        <f>HYPERLINK("http://yeinfo.com/family/I09066342.html", "ROBERT\WALTER UFFORD 1298 -1369  ID:09066518")</f>
        <v>ROBERT\WALTER UFFORD 1298 -1369  ID:09066518</v>
      </c>
      <c r="Y3424" s="9"/>
      <c r="Z3424" s="9"/>
      <c r="AA3424" s="9"/>
      <c r="AB3424" s="9"/>
      <c r="AC3424" s="9"/>
    </row>
    <row r="3425" spans="3:31" x14ac:dyDescent="0.35">
      <c r="C3425" s="15" t="s">
        <v>8</v>
      </c>
      <c r="D3425" s="15" t="s">
        <v>8</v>
      </c>
      <c r="E3425" s="15" t="s">
        <v>8</v>
      </c>
      <c r="F3425" s="15" t="s">
        <v>8</v>
      </c>
      <c r="H3425" s="15" t="s">
        <v>8</v>
      </c>
      <c r="I3425" s="15" t="s">
        <v>8</v>
      </c>
      <c r="J3425" s="15" t="s">
        <v>8</v>
      </c>
      <c r="N3425" s="15" t="s">
        <v>8</v>
      </c>
      <c r="R3425" s="15" t="s">
        <v>8</v>
      </c>
      <c r="S3425" s="15" t="s">
        <v>8</v>
      </c>
      <c r="U3425" s="15" t="s">
        <v>8</v>
      </c>
      <c r="W3425" s="15" t="s">
        <v>8</v>
      </c>
      <c r="X3425" s="8" t="s">
        <v>3</v>
      </c>
      <c r="Y3425" s="15" t="s">
        <v>8</v>
      </c>
    </row>
    <row r="3426" spans="3:31" x14ac:dyDescent="0.35">
      <c r="C3426" s="15" t="s">
        <v>8</v>
      </c>
      <c r="D3426" s="15" t="s">
        <v>8</v>
      </c>
      <c r="E3426" s="15" t="s">
        <v>8</v>
      </c>
      <c r="F3426" s="15" t="s">
        <v>8</v>
      </c>
      <c r="H3426" s="15" t="s">
        <v>8</v>
      </c>
      <c r="I3426" s="15" t="s">
        <v>8</v>
      </c>
      <c r="J3426" s="15" t="s">
        <v>8</v>
      </c>
      <c r="N3426" s="15" t="s">
        <v>8</v>
      </c>
      <c r="R3426" s="15" t="s">
        <v>8</v>
      </c>
      <c r="S3426" s="15" t="s">
        <v>8</v>
      </c>
      <c r="U3426" s="15" t="s">
        <v>8</v>
      </c>
      <c r="W3426" s="15" t="s">
        <v>8</v>
      </c>
      <c r="X3426" s="15" t="s">
        <v>8</v>
      </c>
      <c r="Y3426" s="15" t="s">
        <v>8</v>
      </c>
      <c r="Z3426" s="19" t="str">
        <f>HYPERLINK("http://yeinfo.com/family/I09066571.html", "ROBERT VALOINES &lt;2&gt; 1225 EN-1255 EN ID:09066632")</f>
        <v>ROBERT VALOINES &lt;2&gt; 1225 EN-1255 EN ID:09066632</v>
      </c>
      <c r="AA3426" s="9"/>
      <c r="AB3426" s="9"/>
      <c r="AC3426" s="9"/>
      <c r="AD3426" s="9"/>
    </row>
    <row r="3427" spans="3:31" x14ac:dyDescent="0.35">
      <c r="C3427" s="15" t="s">
        <v>8</v>
      </c>
      <c r="D3427" s="15" t="s">
        <v>8</v>
      </c>
      <c r="E3427" s="15" t="s">
        <v>8</v>
      </c>
      <c r="F3427" s="15" t="s">
        <v>8</v>
      </c>
      <c r="H3427" s="15" t="s">
        <v>8</v>
      </c>
      <c r="I3427" s="15" t="s">
        <v>8</v>
      </c>
      <c r="J3427" s="15" t="s">
        <v>8</v>
      </c>
      <c r="N3427" s="15" t="s">
        <v>8</v>
      </c>
      <c r="R3427" s="15" t="s">
        <v>8</v>
      </c>
      <c r="S3427" s="15" t="s">
        <v>8</v>
      </c>
      <c r="U3427" s="15" t="s">
        <v>8</v>
      </c>
      <c r="W3427" s="15" t="s">
        <v>8</v>
      </c>
      <c r="X3427" s="15" t="s">
        <v>8</v>
      </c>
      <c r="Y3427" s="8" t="s">
        <v>6</v>
      </c>
      <c r="Z3427" s="8" t="s">
        <v>3</v>
      </c>
    </row>
    <row r="3428" spans="3:31" x14ac:dyDescent="0.35">
      <c r="C3428" s="15" t="s">
        <v>8</v>
      </c>
      <c r="D3428" s="15" t="s">
        <v>8</v>
      </c>
      <c r="E3428" s="15" t="s">
        <v>8</v>
      </c>
      <c r="F3428" s="15" t="s">
        <v>8</v>
      </c>
      <c r="H3428" s="15" t="s">
        <v>8</v>
      </c>
      <c r="I3428" s="15" t="s">
        <v>8</v>
      </c>
      <c r="J3428" s="15" t="s">
        <v>8</v>
      </c>
      <c r="N3428" s="15" t="s">
        <v>8</v>
      </c>
      <c r="R3428" s="15" t="s">
        <v>8</v>
      </c>
      <c r="S3428" s="15" t="s">
        <v>8</v>
      </c>
      <c r="U3428" s="15" t="s">
        <v>8</v>
      </c>
      <c r="W3428" s="15" t="s">
        <v>8</v>
      </c>
      <c r="X3428" s="15" t="s">
        <v>8</v>
      </c>
      <c r="Y3428" s="20" t="str">
        <f>HYPERLINK("http://yeinfo.com/family/I09066631.html", "CECILY VALOINES &lt;2&gt; 1255 EN-1325 EN ID:09066571")</f>
        <v>CECILY VALOINES &lt;2&gt; 1255 EN-1325 EN ID:09066571</v>
      </c>
      <c r="Z3428" s="17"/>
      <c r="AA3428" s="17"/>
      <c r="AB3428" s="17"/>
      <c r="AC3428" s="17"/>
    </row>
    <row r="3429" spans="3:31" x14ac:dyDescent="0.35">
      <c r="C3429" s="15" t="s">
        <v>8</v>
      </c>
      <c r="D3429" s="15" t="s">
        <v>8</v>
      </c>
      <c r="E3429" s="15" t="s">
        <v>8</v>
      </c>
      <c r="F3429" s="15" t="s">
        <v>8</v>
      </c>
      <c r="H3429" s="15" t="s">
        <v>8</v>
      </c>
      <c r="I3429" s="15" t="s">
        <v>8</v>
      </c>
      <c r="J3429" s="15" t="s">
        <v>8</v>
      </c>
      <c r="N3429" s="15" t="s">
        <v>8</v>
      </c>
      <c r="R3429" s="15" t="s">
        <v>8</v>
      </c>
      <c r="S3429" s="15" t="s">
        <v>8</v>
      </c>
      <c r="U3429" s="15" t="s">
        <v>8</v>
      </c>
      <c r="W3429" s="15" t="s">
        <v>8</v>
      </c>
      <c r="X3429" s="15" t="s">
        <v>8</v>
      </c>
      <c r="Z3429" s="8" t="s">
        <v>6</v>
      </c>
    </row>
    <row r="3430" spans="3:31" x14ac:dyDescent="0.35">
      <c r="C3430" s="15" t="s">
        <v>8</v>
      </c>
      <c r="D3430" s="15" t="s">
        <v>8</v>
      </c>
      <c r="E3430" s="15" t="s">
        <v>8</v>
      </c>
      <c r="F3430" s="15" t="s">
        <v>8</v>
      </c>
      <c r="H3430" s="15" t="s">
        <v>8</v>
      </c>
      <c r="I3430" s="15" t="s">
        <v>8</v>
      </c>
      <c r="J3430" s="15" t="s">
        <v>8</v>
      </c>
      <c r="N3430" s="15" t="s">
        <v>8</v>
      </c>
      <c r="R3430" s="15" t="s">
        <v>8</v>
      </c>
      <c r="S3430" s="15" t="s">
        <v>8</v>
      </c>
      <c r="U3430" s="15" t="s">
        <v>8</v>
      </c>
      <c r="W3430" s="15" t="s">
        <v>8</v>
      </c>
      <c r="X3430" s="15" t="s">
        <v>8</v>
      </c>
      <c r="Z3430" s="20" t="str">
        <f>HYPERLINK("http://yeinfo.com/family/I09066632.html", "EVE CRIKETOT &lt;2&gt; 1255 EN-1316 EN ID:09066633")</f>
        <v>EVE CRIKETOT &lt;2&gt; 1255 EN-1316 EN ID:09066633</v>
      </c>
      <c r="AA3430" s="17"/>
      <c r="AB3430" s="17"/>
      <c r="AC3430" s="17"/>
      <c r="AD3430" s="17"/>
    </row>
    <row r="3431" spans="3:31" x14ac:dyDescent="0.35">
      <c r="C3431" s="15" t="s">
        <v>8</v>
      </c>
      <c r="D3431" s="15" t="s">
        <v>8</v>
      </c>
      <c r="E3431" s="15" t="s">
        <v>8</v>
      </c>
      <c r="F3431" s="15" t="s">
        <v>8</v>
      </c>
      <c r="H3431" s="15" t="s">
        <v>8</v>
      </c>
      <c r="I3431" s="15" t="s">
        <v>8</v>
      </c>
      <c r="J3431" s="15" t="s">
        <v>8</v>
      </c>
      <c r="N3431" s="15" t="s">
        <v>8</v>
      </c>
      <c r="R3431" s="15" t="s">
        <v>8</v>
      </c>
      <c r="S3431" s="15" t="s">
        <v>8</v>
      </c>
      <c r="U3431" s="15" t="s">
        <v>8</v>
      </c>
      <c r="W3431" s="8" t="s">
        <v>6</v>
      </c>
      <c r="X3431" s="15" t="s">
        <v>8</v>
      </c>
    </row>
    <row r="3432" spans="3:31" x14ac:dyDescent="0.35">
      <c r="C3432" s="15" t="s">
        <v>8</v>
      </c>
      <c r="D3432" s="15" t="s">
        <v>8</v>
      </c>
      <c r="E3432" s="15" t="s">
        <v>8</v>
      </c>
      <c r="F3432" s="15" t="s">
        <v>8</v>
      </c>
      <c r="H3432" s="15" t="s">
        <v>8</v>
      </c>
      <c r="I3432" s="15" t="s">
        <v>8</v>
      </c>
      <c r="J3432" s="15" t="s">
        <v>8</v>
      </c>
      <c r="N3432" s="15" t="s">
        <v>8</v>
      </c>
      <c r="R3432" s="15" t="s">
        <v>8</v>
      </c>
      <c r="S3432" s="15" t="s">
        <v>8</v>
      </c>
      <c r="U3432" s="15" t="s">
        <v>8</v>
      </c>
      <c r="W3432" s="20" t="str">
        <f>HYPERLINK("http://yeinfo.com/family/I09066721.html", "MARGARET\ALICE UFFORD 1330 EN-1373 EN ID:09066342")</f>
        <v>MARGARET\ALICE UFFORD 1330 EN-1373 EN ID:09066342</v>
      </c>
      <c r="X3432" s="17"/>
      <c r="Y3432" s="17"/>
      <c r="Z3432" s="17"/>
      <c r="AA3432" s="17"/>
      <c r="AB3432" s="17"/>
    </row>
    <row r="3433" spans="3:31" x14ac:dyDescent="0.35">
      <c r="C3433" s="15" t="s">
        <v>8</v>
      </c>
      <c r="D3433" s="15" t="s">
        <v>8</v>
      </c>
      <c r="E3433" s="15" t="s">
        <v>8</v>
      </c>
      <c r="F3433" s="15" t="s">
        <v>8</v>
      </c>
      <c r="H3433" s="15" t="s">
        <v>8</v>
      </c>
      <c r="I3433" s="15" t="s">
        <v>8</v>
      </c>
      <c r="J3433" s="15" t="s">
        <v>8</v>
      </c>
      <c r="N3433" s="15" t="s">
        <v>8</v>
      </c>
      <c r="R3433" s="15" t="s">
        <v>8</v>
      </c>
      <c r="S3433" s="15" t="s">
        <v>8</v>
      </c>
      <c r="U3433" s="15" t="s">
        <v>8</v>
      </c>
      <c r="X3433" s="15" t="s">
        <v>8</v>
      </c>
    </row>
    <row r="3434" spans="3:31" x14ac:dyDescent="0.35">
      <c r="C3434" s="15" t="s">
        <v>8</v>
      </c>
      <c r="D3434" s="15" t="s">
        <v>8</v>
      </c>
      <c r="E3434" s="15" t="s">
        <v>8</v>
      </c>
      <c r="F3434" s="15" t="s">
        <v>8</v>
      </c>
      <c r="H3434" s="15" t="s">
        <v>8</v>
      </c>
      <c r="I3434" s="15" t="s">
        <v>8</v>
      </c>
      <c r="J3434" s="15" t="s">
        <v>8</v>
      </c>
      <c r="N3434" s="15" t="s">
        <v>8</v>
      </c>
      <c r="R3434" s="15" t="s">
        <v>8</v>
      </c>
      <c r="S3434" s="15" t="s">
        <v>8</v>
      </c>
      <c r="U3434" s="15" t="s">
        <v>8</v>
      </c>
      <c r="X3434" s="15" t="s">
        <v>8</v>
      </c>
      <c r="Z3434" s="19" t="str">
        <f>HYPERLINK("http://yeinfo.com/family/I09066572.html", "GEOFFREY NORWICH 1250 EN-1274 EN ID:09066634")</f>
        <v>GEOFFREY NORWICH 1250 EN-1274 EN ID:09066634</v>
      </c>
      <c r="AA3434" s="9"/>
      <c r="AB3434" s="9"/>
      <c r="AC3434" s="9"/>
      <c r="AD3434" s="9"/>
    </row>
    <row r="3435" spans="3:31" x14ac:dyDescent="0.35">
      <c r="C3435" s="15" t="s">
        <v>8</v>
      </c>
      <c r="D3435" s="15" t="s">
        <v>8</v>
      </c>
      <c r="E3435" s="15" t="s">
        <v>8</v>
      </c>
      <c r="F3435" s="15" t="s">
        <v>8</v>
      </c>
      <c r="H3435" s="15" t="s">
        <v>8</v>
      </c>
      <c r="I3435" s="15" t="s">
        <v>8</v>
      </c>
      <c r="J3435" s="15" t="s">
        <v>8</v>
      </c>
      <c r="N3435" s="15" t="s">
        <v>8</v>
      </c>
      <c r="R3435" s="15" t="s">
        <v>8</v>
      </c>
      <c r="S3435" s="15" t="s">
        <v>8</v>
      </c>
      <c r="U3435" s="15" t="s">
        <v>8</v>
      </c>
      <c r="X3435" s="15" t="s">
        <v>8</v>
      </c>
      <c r="Z3435" s="8" t="s">
        <v>3</v>
      </c>
    </row>
    <row r="3436" spans="3:31" x14ac:dyDescent="0.35">
      <c r="C3436" s="15" t="s">
        <v>8</v>
      </c>
      <c r="D3436" s="15" t="s">
        <v>8</v>
      </c>
      <c r="E3436" s="15" t="s">
        <v>8</v>
      </c>
      <c r="F3436" s="15" t="s">
        <v>8</v>
      </c>
      <c r="H3436" s="15" t="s">
        <v>8</v>
      </c>
      <c r="I3436" s="15" t="s">
        <v>8</v>
      </c>
      <c r="J3436" s="15" t="s">
        <v>8</v>
      </c>
      <c r="N3436" s="15" t="s">
        <v>8</v>
      </c>
      <c r="R3436" s="15" t="s">
        <v>8</v>
      </c>
      <c r="S3436" s="15" t="s">
        <v>8</v>
      </c>
      <c r="U3436" s="15" t="s">
        <v>8</v>
      </c>
      <c r="X3436" s="15" t="s">
        <v>8</v>
      </c>
      <c r="Y3436" s="19" t="str">
        <f>HYPERLINK("http://yeinfo.com/family/I09066519.html", "WALTER NORWICH 1274 EN-1329 EN ID:09066572")</f>
        <v>WALTER NORWICH 1274 EN-1329 EN ID:09066572</v>
      </c>
      <c r="Z3436" s="9"/>
      <c r="AA3436" s="9"/>
      <c r="AB3436" s="9"/>
      <c r="AC3436" s="9"/>
    </row>
    <row r="3437" spans="3:31" x14ac:dyDescent="0.35">
      <c r="C3437" s="15" t="s">
        <v>8</v>
      </c>
      <c r="D3437" s="15" t="s">
        <v>8</v>
      </c>
      <c r="E3437" s="15" t="s">
        <v>8</v>
      </c>
      <c r="F3437" s="15" t="s">
        <v>8</v>
      </c>
      <c r="H3437" s="15" t="s">
        <v>8</v>
      </c>
      <c r="I3437" s="15" t="s">
        <v>8</v>
      </c>
      <c r="J3437" s="15" t="s">
        <v>8</v>
      </c>
      <c r="N3437" s="15" t="s">
        <v>8</v>
      </c>
      <c r="R3437" s="15" t="s">
        <v>8</v>
      </c>
      <c r="S3437" s="15" t="s">
        <v>8</v>
      </c>
      <c r="U3437" s="15" t="s">
        <v>8</v>
      </c>
      <c r="X3437" s="15" t="s">
        <v>8</v>
      </c>
      <c r="Y3437" s="8" t="s">
        <v>3</v>
      </c>
      <c r="Z3437" s="15" t="s">
        <v>8</v>
      </c>
    </row>
    <row r="3438" spans="3:31" x14ac:dyDescent="0.35">
      <c r="C3438" s="15" t="s">
        <v>8</v>
      </c>
      <c r="D3438" s="15" t="s">
        <v>8</v>
      </c>
      <c r="E3438" s="15" t="s">
        <v>8</v>
      </c>
      <c r="F3438" s="15" t="s">
        <v>8</v>
      </c>
      <c r="H3438" s="15" t="s">
        <v>8</v>
      </c>
      <c r="I3438" s="15" t="s">
        <v>8</v>
      </c>
      <c r="J3438" s="15" t="s">
        <v>8</v>
      </c>
      <c r="N3438" s="15" t="s">
        <v>8</v>
      </c>
      <c r="R3438" s="15" t="s">
        <v>8</v>
      </c>
      <c r="S3438" s="15" t="s">
        <v>8</v>
      </c>
      <c r="U3438" s="15" t="s">
        <v>8</v>
      </c>
      <c r="X3438" s="15" t="s">
        <v>8</v>
      </c>
      <c r="Y3438" s="15" t="s">
        <v>8</v>
      </c>
      <c r="Z3438" s="15" t="s">
        <v>8</v>
      </c>
      <c r="AA3438" s="19" t="str">
        <f>HYPERLINK("http://yeinfo.com/family/I09066632.html", "ROBERT VALOINES &lt;2&gt; 1225 EN-1255 EN ID:09066632")</f>
        <v>ROBERT VALOINES &lt;2&gt; 1225 EN-1255 EN ID:09066632</v>
      </c>
      <c r="AB3438" s="9"/>
      <c r="AC3438" s="9"/>
      <c r="AD3438" s="9"/>
      <c r="AE3438" s="9"/>
    </row>
    <row r="3439" spans="3:31" x14ac:dyDescent="0.35">
      <c r="C3439" s="15" t="s">
        <v>8</v>
      </c>
      <c r="D3439" s="15" t="s">
        <v>8</v>
      </c>
      <c r="E3439" s="15" t="s">
        <v>8</v>
      </c>
      <c r="F3439" s="15" t="s">
        <v>8</v>
      </c>
      <c r="H3439" s="15" t="s">
        <v>8</v>
      </c>
      <c r="I3439" s="15" t="s">
        <v>8</v>
      </c>
      <c r="J3439" s="15" t="s">
        <v>8</v>
      </c>
      <c r="N3439" s="15" t="s">
        <v>8</v>
      </c>
      <c r="R3439" s="15" t="s">
        <v>8</v>
      </c>
      <c r="S3439" s="15" t="s">
        <v>8</v>
      </c>
      <c r="U3439" s="15" t="s">
        <v>8</v>
      </c>
      <c r="X3439" s="15" t="s">
        <v>8</v>
      </c>
      <c r="Y3439" s="15" t="s">
        <v>8</v>
      </c>
      <c r="Z3439" s="8" t="s">
        <v>6</v>
      </c>
      <c r="AA3439" s="8" t="s">
        <v>3</v>
      </c>
    </row>
    <row r="3440" spans="3:31" x14ac:dyDescent="0.35">
      <c r="C3440" s="15" t="s">
        <v>8</v>
      </c>
      <c r="D3440" s="15" t="s">
        <v>8</v>
      </c>
      <c r="E3440" s="15" t="s">
        <v>8</v>
      </c>
      <c r="F3440" s="15" t="s">
        <v>8</v>
      </c>
      <c r="H3440" s="15" t="s">
        <v>8</v>
      </c>
      <c r="I3440" s="15" t="s">
        <v>8</v>
      </c>
      <c r="J3440" s="15" t="s">
        <v>8</v>
      </c>
      <c r="N3440" s="15" t="s">
        <v>8</v>
      </c>
      <c r="R3440" s="15" t="s">
        <v>8</v>
      </c>
      <c r="S3440" s="15" t="s">
        <v>8</v>
      </c>
      <c r="U3440" s="15" t="s">
        <v>8</v>
      </c>
      <c r="X3440" s="15" t="s">
        <v>8</v>
      </c>
      <c r="Y3440" s="15" t="s">
        <v>8</v>
      </c>
      <c r="Z3440" s="20" t="str">
        <f>HYPERLINK("http://yeinfo.com/family/I09066571.html", "CECILY VALOINES &lt;2&gt; 1255 EN-1325 EN ID:09066571")</f>
        <v>CECILY VALOINES &lt;2&gt; 1255 EN-1325 EN ID:09066571</v>
      </c>
      <c r="AA3440" s="17"/>
      <c r="AB3440" s="17"/>
      <c r="AC3440" s="17"/>
      <c r="AD3440" s="17"/>
    </row>
    <row r="3441" spans="3:31" x14ac:dyDescent="0.35">
      <c r="C3441" s="15" t="s">
        <v>8</v>
      </c>
      <c r="D3441" s="15" t="s">
        <v>8</v>
      </c>
      <c r="E3441" s="15" t="s">
        <v>8</v>
      </c>
      <c r="F3441" s="15" t="s">
        <v>8</v>
      </c>
      <c r="H3441" s="15" t="s">
        <v>8</v>
      </c>
      <c r="I3441" s="15" t="s">
        <v>8</v>
      </c>
      <c r="J3441" s="15" t="s">
        <v>8</v>
      </c>
      <c r="N3441" s="15" t="s">
        <v>8</v>
      </c>
      <c r="R3441" s="15" t="s">
        <v>8</v>
      </c>
      <c r="S3441" s="15" t="s">
        <v>8</v>
      </c>
      <c r="U3441" s="15" t="s">
        <v>8</v>
      </c>
      <c r="X3441" s="15" t="s">
        <v>8</v>
      </c>
      <c r="Y3441" s="15" t="s">
        <v>8</v>
      </c>
      <c r="AA3441" s="8" t="s">
        <v>6</v>
      </c>
    </row>
    <row r="3442" spans="3:31" x14ac:dyDescent="0.35">
      <c r="C3442" s="15" t="s">
        <v>8</v>
      </c>
      <c r="D3442" s="15" t="s">
        <v>8</v>
      </c>
      <c r="E3442" s="15" t="s">
        <v>8</v>
      </c>
      <c r="F3442" s="15" t="s">
        <v>8</v>
      </c>
      <c r="H3442" s="15" t="s">
        <v>8</v>
      </c>
      <c r="I3442" s="15" t="s">
        <v>8</v>
      </c>
      <c r="J3442" s="15" t="s">
        <v>8</v>
      </c>
      <c r="N3442" s="15" t="s">
        <v>8</v>
      </c>
      <c r="R3442" s="15" t="s">
        <v>8</v>
      </c>
      <c r="S3442" s="15" t="s">
        <v>8</v>
      </c>
      <c r="U3442" s="15" t="s">
        <v>8</v>
      </c>
      <c r="X3442" s="15" t="s">
        <v>8</v>
      </c>
      <c r="Y3442" s="15" t="s">
        <v>8</v>
      </c>
      <c r="AA3442" s="20" t="str">
        <f>HYPERLINK("http://yeinfo.com/family/I09066633.html", "EVE CRIKETOT &lt;2&gt; 1255 EN-1316 EN ID:09066633")</f>
        <v>EVE CRIKETOT &lt;2&gt; 1255 EN-1316 EN ID:09066633</v>
      </c>
      <c r="AB3442" s="17"/>
      <c r="AC3442" s="17"/>
      <c r="AD3442" s="17"/>
      <c r="AE3442" s="17"/>
    </row>
    <row r="3443" spans="3:31" x14ac:dyDescent="0.35">
      <c r="C3443" s="15" t="s">
        <v>8</v>
      </c>
      <c r="D3443" s="15" t="s">
        <v>8</v>
      </c>
      <c r="E3443" s="15" t="s">
        <v>8</v>
      </c>
      <c r="F3443" s="15" t="s">
        <v>8</v>
      </c>
      <c r="H3443" s="15" t="s">
        <v>8</v>
      </c>
      <c r="I3443" s="15" t="s">
        <v>8</v>
      </c>
      <c r="J3443" s="15" t="s">
        <v>8</v>
      </c>
      <c r="N3443" s="15" t="s">
        <v>8</v>
      </c>
      <c r="R3443" s="15" t="s">
        <v>8</v>
      </c>
      <c r="S3443" s="15" t="s">
        <v>8</v>
      </c>
      <c r="U3443" s="15" t="s">
        <v>8</v>
      </c>
      <c r="X3443" s="8" t="s">
        <v>6</v>
      </c>
      <c r="Y3443" s="15" t="s">
        <v>8</v>
      </c>
    </row>
    <row r="3444" spans="3:31" x14ac:dyDescent="0.35">
      <c r="C3444" s="15" t="s">
        <v>8</v>
      </c>
      <c r="D3444" s="15" t="s">
        <v>8</v>
      </c>
      <c r="E3444" s="15" t="s">
        <v>8</v>
      </c>
      <c r="F3444" s="15" t="s">
        <v>8</v>
      </c>
      <c r="H3444" s="15" t="s">
        <v>8</v>
      </c>
      <c r="I3444" s="15" t="s">
        <v>8</v>
      </c>
      <c r="J3444" s="15" t="s">
        <v>8</v>
      </c>
      <c r="N3444" s="15" t="s">
        <v>8</v>
      </c>
      <c r="R3444" s="15" t="s">
        <v>8</v>
      </c>
      <c r="S3444" s="15" t="s">
        <v>8</v>
      </c>
      <c r="U3444" s="15" t="s">
        <v>8</v>
      </c>
      <c r="X3444" s="20" t="str">
        <f>HYPERLINK("http://yeinfo.com/family/I09066633.html", "MARGARET\CATHERINE NORWICH 1300 EN-1368 EN ID:09066519")</f>
        <v>MARGARET\CATHERINE NORWICH 1300 EN-1368 EN ID:09066519</v>
      </c>
      <c r="Y3444" s="17"/>
      <c r="Z3444" s="17"/>
      <c r="AA3444" s="17"/>
      <c r="AB3444" s="17"/>
      <c r="AC3444" s="17"/>
    </row>
    <row r="3445" spans="3:31" x14ac:dyDescent="0.35">
      <c r="C3445" s="15" t="s">
        <v>8</v>
      </c>
      <c r="D3445" s="15" t="s">
        <v>8</v>
      </c>
      <c r="E3445" s="15" t="s">
        <v>8</v>
      </c>
      <c r="F3445" s="15" t="s">
        <v>8</v>
      </c>
      <c r="H3445" s="15" t="s">
        <v>8</v>
      </c>
      <c r="I3445" s="15" t="s">
        <v>8</v>
      </c>
      <c r="J3445" s="15" t="s">
        <v>8</v>
      </c>
      <c r="N3445" s="15" t="s">
        <v>8</v>
      </c>
      <c r="R3445" s="15" t="s">
        <v>8</v>
      </c>
      <c r="S3445" s="15" t="s">
        <v>8</v>
      </c>
      <c r="U3445" s="15" t="s">
        <v>8</v>
      </c>
      <c r="Y3445" s="15" t="s">
        <v>8</v>
      </c>
    </row>
    <row r="3446" spans="3:31" x14ac:dyDescent="0.35">
      <c r="C3446" s="15" t="s">
        <v>8</v>
      </c>
      <c r="D3446" s="15" t="s">
        <v>8</v>
      </c>
      <c r="E3446" s="15" t="s">
        <v>8</v>
      </c>
      <c r="F3446" s="15" t="s">
        <v>8</v>
      </c>
      <c r="H3446" s="15" t="s">
        <v>8</v>
      </c>
      <c r="I3446" s="15" t="s">
        <v>8</v>
      </c>
      <c r="J3446" s="15" t="s">
        <v>8</v>
      </c>
      <c r="N3446" s="15" t="s">
        <v>8</v>
      </c>
      <c r="R3446" s="15" t="s">
        <v>8</v>
      </c>
      <c r="S3446" s="15" t="s">
        <v>8</v>
      </c>
      <c r="U3446" s="15" t="s">
        <v>8</v>
      </c>
      <c r="Y3446" s="15" t="s">
        <v>8</v>
      </c>
      <c r="Z3446" s="19" t="str">
        <f>HYPERLINK("http://yeinfo.com/family/I09066573.html", "JOHN HEDERSETE 1252 EN-1300 EN ID:09066636")</f>
        <v>JOHN HEDERSETE 1252 EN-1300 EN ID:09066636</v>
      </c>
      <c r="AA3446" s="9"/>
      <c r="AB3446" s="9"/>
      <c r="AC3446" s="9"/>
      <c r="AD3446" s="9"/>
    </row>
    <row r="3447" spans="3:31" x14ac:dyDescent="0.35">
      <c r="C3447" s="15" t="s">
        <v>8</v>
      </c>
      <c r="D3447" s="15" t="s">
        <v>8</v>
      </c>
      <c r="E3447" s="15" t="s">
        <v>8</v>
      </c>
      <c r="F3447" s="15" t="s">
        <v>8</v>
      </c>
      <c r="H3447" s="15" t="s">
        <v>8</v>
      </c>
      <c r="I3447" s="15" t="s">
        <v>8</v>
      </c>
      <c r="J3447" s="15" t="s">
        <v>8</v>
      </c>
      <c r="N3447" s="15" t="s">
        <v>8</v>
      </c>
      <c r="R3447" s="15" t="s">
        <v>8</v>
      </c>
      <c r="S3447" s="15" t="s">
        <v>8</v>
      </c>
      <c r="U3447" s="15" t="s">
        <v>8</v>
      </c>
      <c r="Y3447" s="8" t="s">
        <v>6</v>
      </c>
      <c r="Z3447" s="8" t="s">
        <v>3</v>
      </c>
    </row>
    <row r="3448" spans="3:31" x14ac:dyDescent="0.35">
      <c r="C3448" s="15" t="s">
        <v>8</v>
      </c>
      <c r="D3448" s="15" t="s">
        <v>8</v>
      </c>
      <c r="E3448" s="15" t="s">
        <v>8</v>
      </c>
      <c r="F3448" s="15" t="s">
        <v>8</v>
      </c>
      <c r="H3448" s="15" t="s">
        <v>8</v>
      </c>
      <c r="I3448" s="15" t="s">
        <v>8</v>
      </c>
      <c r="J3448" s="15" t="s">
        <v>8</v>
      </c>
      <c r="N3448" s="15" t="s">
        <v>8</v>
      </c>
      <c r="R3448" s="15" t="s">
        <v>8</v>
      </c>
      <c r="S3448" s="15" t="s">
        <v>8</v>
      </c>
      <c r="U3448" s="15" t="s">
        <v>8</v>
      </c>
      <c r="Y3448" s="20" t="str">
        <f>HYPERLINK("http://yeinfo.com/family/I09066634.html", "CATHERINE HEDERSETE 1274 EN-1343  ID:09066573")</f>
        <v>CATHERINE HEDERSETE 1274 EN-1343  ID:09066573</v>
      </c>
      <c r="Z3448" s="17"/>
      <c r="AA3448" s="17"/>
      <c r="AB3448" s="17"/>
      <c r="AC3448" s="17"/>
    </row>
    <row r="3449" spans="3:31" x14ac:dyDescent="0.35">
      <c r="C3449" s="15" t="s">
        <v>8</v>
      </c>
      <c r="D3449" s="15" t="s">
        <v>8</v>
      </c>
      <c r="E3449" s="15" t="s">
        <v>8</v>
      </c>
      <c r="F3449" s="15" t="s">
        <v>8</v>
      </c>
      <c r="H3449" s="15" t="s">
        <v>8</v>
      </c>
      <c r="I3449" s="15" t="s">
        <v>8</v>
      </c>
      <c r="J3449" s="15" t="s">
        <v>8</v>
      </c>
      <c r="N3449" s="15" t="s">
        <v>8</v>
      </c>
      <c r="R3449" s="15" t="s">
        <v>8</v>
      </c>
      <c r="S3449" s="15" t="s">
        <v>8</v>
      </c>
      <c r="U3449" s="15" t="s">
        <v>8</v>
      </c>
      <c r="Z3449" s="8" t="s">
        <v>6</v>
      </c>
    </row>
    <row r="3450" spans="3:31" x14ac:dyDescent="0.35">
      <c r="C3450" s="15" t="s">
        <v>8</v>
      </c>
      <c r="D3450" s="15" t="s">
        <v>8</v>
      </c>
      <c r="E3450" s="15" t="s">
        <v>8</v>
      </c>
      <c r="F3450" s="15" t="s">
        <v>8</v>
      </c>
      <c r="H3450" s="15" t="s">
        <v>8</v>
      </c>
      <c r="I3450" s="15" t="s">
        <v>8</v>
      </c>
      <c r="J3450" s="15" t="s">
        <v>8</v>
      </c>
      <c r="N3450" s="15" t="s">
        <v>8</v>
      </c>
      <c r="R3450" s="15" t="s">
        <v>8</v>
      </c>
      <c r="S3450" s="15" t="s">
        <v>8</v>
      </c>
      <c r="U3450" s="15" t="s">
        <v>8</v>
      </c>
      <c r="Z3450" s="20" t="str">
        <f>HYPERLINK("http://yeinfo.com/family/I09066636.html", "Mrs. MARGERY HEDERSETE 1255 EN-1275 EN ID:09066635")</f>
        <v>Mrs. MARGERY HEDERSETE 1255 EN-1275 EN ID:09066635</v>
      </c>
      <c r="AA3450" s="17"/>
      <c r="AB3450" s="17"/>
      <c r="AC3450" s="17"/>
      <c r="AD3450" s="17"/>
    </row>
    <row r="3451" spans="3:31" x14ac:dyDescent="0.35">
      <c r="C3451" s="15" t="s">
        <v>8</v>
      </c>
      <c r="D3451" s="15" t="s">
        <v>8</v>
      </c>
      <c r="E3451" s="15" t="s">
        <v>8</v>
      </c>
      <c r="F3451" s="15" t="s">
        <v>8</v>
      </c>
      <c r="H3451" s="15" t="s">
        <v>8</v>
      </c>
      <c r="I3451" s="15" t="s">
        <v>8</v>
      </c>
      <c r="J3451" s="15" t="s">
        <v>8</v>
      </c>
      <c r="N3451" s="15" t="s">
        <v>8</v>
      </c>
      <c r="R3451" s="15" t="s">
        <v>8</v>
      </c>
      <c r="S3451" s="15" t="s">
        <v>8</v>
      </c>
      <c r="U3451" s="15" t="s">
        <v>8</v>
      </c>
    </row>
    <row r="3452" spans="3:31" x14ac:dyDescent="0.35">
      <c r="C3452" s="15" t="s">
        <v>8</v>
      </c>
      <c r="D3452" s="15" t="s">
        <v>8</v>
      </c>
      <c r="E3452" s="15" t="s">
        <v>8</v>
      </c>
      <c r="F3452" s="15" t="s">
        <v>8</v>
      </c>
      <c r="H3452" s="15" t="s">
        <v>8</v>
      </c>
      <c r="I3452" s="15" t="s">
        <v>8</v>
      </c>
      <c r="J3452" s="15" t="s">
        <v>8</v>
      </c>
      <c r="N3452" s="15" t="s">
        <v>8</v>
      </c>
      <c r="R3452" s="15" t="s">
        <v>8</v>
      </c>
      <c r="S3452" s="15" t="s">
        <v>8</v>
      </c>
      <c r="T3452" s="19" t="str">
        <f>HYPERLINK("http://yeinfo.com/family/I09065699.html", "ROBERT CRANE Jr. 1432 EN-1500 EN ID:09065835")</f>
        <v>ROBERT CRANE Jr. 1432 EN-1500 EN ID:09065835</v>
      </c>
      <c r="U3452" s="9"/>
      <c r="V3452" s="9"/>
      <c r="W3452" s="9"/>
      <c r="X3452" s="9"/>
    </row>
    <row r="3453" spans="3:31" x14ac:dyDescent="0.35">
      <c r="C3453" s="15" t="s">
        <v>8</v>
      </c>
      <c r="D3453" s="15" t="s">
        <v>8</v>
      </c>
      <c r="E3453" s="15" t="s">
        <v>8</v>
      </c>
      <c r="F3453" s="15" t="s">
        <v>8</v>
      </c>
      <c r="H3453" s="15" t="s">
        <v>8</v>
      </c>
      <c r="I3453" s="15" t="s">
        <v>8</v>
      </c>
      <c r="J3453" s="15" t="s">
        <v>8</v>
      </c>
      <c r="N3453" s="15" t="s">
        <v>8</v>
      </c>
      <c r="R3453" s="15" t="s">
        <v>8</v>
      </c>
      <c r="S3453" s="15" t="s">
        <v>8</v>
      </c>
      <c r="T3453" s="8" t="s">
        <v>3</v>
      </c>
      <c r="U3453" s="15" t="s">
        <v>8</v>
      </c>
    </row>
    <row r="3454" spans="3:31" x14ac:dyDescent="0.35">
      <c r="C3454" s="15" t="s">
        <v>8</v>
      </c>
      <c r="D3454" s="15" t="s">
        <v>8</v>
      </c>
      <c r="E3454" s="15" t="s">
        <v>8</v>
      </c>
      <c r="F3454" s="15" t="s">
        <v>8</v>
      </c>
      <c r="H3454" s="15" t="s">
        <v>8</v>
      </c>
      <c r="I3454" s="15" t="s">
        <v>8</v>
      </c>
      <c r="J3454" s="15" t="s">
        <v>8</v>
      </c>
      <c r="N3454" s="15" t="s">
        <v>8</v>
      </c>
      <c r="R3454" s="15" t="s">
        <v>8</v>
      </c>
      <c r="S3454" s="15" t="s">
        <v>8</v>
      </c>
      <c r="T3454" s="15" t="s">
        <v>8</v>
      </c>
      <c r="U3454" s="15" t="s">
        <v>8</v>
      </c>
      <c r="V3454" s="19" t="str">
        <f>HYPERLINK("http://yeinfo.com/family/I09066004.html", "THOMAS GREENE 1384 EN-1406 EN ID:09066193")</f>
        <v>THOMAS GREENE 1384 EN-1406 EN ID:09066193</v>
      </c>
      <c r="W3454" s="9"/>
      <c r="X3454" s="9"/>
      <c r="Y3454" s="9"/>
      <c r="Z3454" s="9"/>
    </row>
    <row r="3455" spans="3:31" x14ac:dyDescent="0.35">
      <c r="C3455" s="15" t="s">
        <v>8</v>
      </c>
      <c r="D3455" s="15" t="s">
        <v>8</v>
      </c>
      <c r="E3455" s="15" t="s">
        <v>8</v>
      </c>
      <c r="F3455" s="15" t="s">
        <v>8</v>
      </c>
      <c r="H3455" s="15" t="s">
        <v>8</v>
      </c>
      <c r="I3455" s="15" t="s">
        <v>8</v>
      </c>
      <c r="J3455" s="15" t="s">
        <v>8</v>
      </c>
      <c r="N3455" s="15" t="s">
        <v>8</v>
      </c>
      <c r="R3455" s="15" t="s">
        <v>8</v>
      </c>
      <c r="S3455" s="15" t="s">
        <v>8</v>
      </c>
      <c r="T3455" s="15" t="s">
        <v>8</v>
      </c>
      <c r="U3455" s="8" t="s">
        <v>6</v>
      </c>
      <c r="V3455" s="8" t="s">
        <v>3</v>
      </c>
    </row>
    <row r="3456" spans="3:31" x14ac:dyDescent="0.35">
      <c r="C3456" s="15" t="s">
        <v>8</v>
      </c>
      <c r="D3456" s="15" t="s">
        <v>8</v>
      </c>
      <c r="E3456" s="15" t="s">
        <v>8</v>
      </c>
      <c r="F3456" s="15" t="s">
        <v>8</v>
      </c>
      <c r="H3456" s="15" t="s">
        <v>8</v>
      </c>
      <c r="I3456" s="15" t="s">
        <v>8</v>
      </c>
      <c r="J3456" s="15" t="s">
        <v>8</v>
      </c>
      <c r="N3456" s="15" t="s">
        <v>8</v>
      </c>
      <c r="R3456" s="15" t="s">
        <v>8</v>
      </c>
      <c r="S3456" s="15" t="s">
        <v>8</v>
      </c>
      <c r="T3456" s="15" t="s">
        <v>8</v>
      </c>
      <c r="U3456" s="20" t="str">
        <f>HYPERLINK("http://yeinfo.com/family/I09066635.html", "AGNES GREENE 1406 EN-1500 EN ID:09066004")</f>
        <v>AGNES GREENE 1406 EN-1500 EN ID:09066004</v>
      </c>
      <c r="V3456" s="17"/>
      <c r="W3456" s="17"/>
      <c r="X3456" s="17"/>
      <c r="Y3456" s="17"/>
    </row>
    <row r="3457" spans="3:29" x14ac:dyDescent="0.35">
      <c r="C3457" s="15" t="s">
        <v>8</v>
      </c>
      <c r="D3457" s="15" t="s">
        <v>8</v>
      </c>
      <c r="E3457" s="15" t="s">
        <v>8</v>
      </c>
      <c r="F3457" s="15" t="s">
        <v>8</v>
      </c>
      <c r="H3457" s="15" t="s">
        <v>8</v>
      </c>
      <c r="I3457" s="15" t="s">
        <v>8</v>
      </c>
      <c r="J3457" s="15" t="s">
        <v>8</v>
      </c>
      <c r="N3457" s="15" t="s">
        <v>8</v>
      </c>
      <c r="R3457" s="15" t="s">
        <v>8</v>
      </c>
      <c r="S3457" s="15" t="s">
        <v>8</v>
      </c>
      <c r="T3457" s="15" t="s">
        <v>8</v>
      </c>
      <c r="V3457" s="8" t="s">
        <v>6</v>
      </c>
    </row>
    <row r="3458" spans="3:29" x14ac:dyDescent="0.35">
      <c r="C3458" s="15" t="s">
        <v>8</v>
      </c>
      <c r="D3458" s="15" t="s">
        <v>8</v>
      </c>
      <c r="E3458" s="15" t="s">
        <v>8</v>
      </c>
      <c r="F3458" s="15" t="s">
        <v>8</v>
      </c>
      <c r="H3458" s="15" t="s">
        <v>8</v>
      </c>
      <c r="I3458" s="15" t="s">
        <v>8</v>
      </c>
      <c r="J3458" s="15" t="s">
        <v>8</v>
      </c>
      <c r="N3458" s="15" t="s">
        <v>8</v>
      </c>
      <c r="R3458" s="15" t="s">
        <v>8</v>
      </c>
      <c r="S3458" s="15" t="s">
        <v>8</v>
      </c>
      <c r="T3458" s="15" t="s">
        <v>8</v>
      </c>
      <c r="V3458" s="20" t="str">
        <f>HYPERLINK("http://yeinfo.com/family/I09066193.html", "SUSANNAH BELL 1385 EN-1406 EN ID:09066194")</f>
        <v>SUSANNAH BELL 1385 EN-1406 EN ID:09066194</v>
      </c>
      <c r="W3458" s="17"/>
      <c r="X3458" s="17"/>
      <c r="Y3458" s="17"/>
      <c r="Z3458" s="17"/>
    </row>
    <row r="3459" spans="3:29" x14ac:dyDescent="0.35">
      <c r="C3459" s="15" t="s">
        <v>8</v>
      </c>
      <c r="D3459" s="15" t="s">
        <v>8</v>
      </c>
      <c r="E3459" s="15" t="s">
        <v>8</v>
      </c>
      <c r="F3459" s="15" t="s">
        <v>8</v>
      </c>
      <c r="H3459" s="15" t="s">
        <v>8</v>
      </c>
      <c r="I3459" s="15" t="s">
        <v>8</v>
      </c>
      <c r="J3459" s="15" t="s">
        <v>8</v>
      </c>
      <c r="N3459" s="15" t="s">
        <v>8</v>
      </c>
      <c r="R3459" s="15" t="s">
        <v>8</v>
      </c>
      <c r="S3459" s="8" t="s">
        <v>6</v>
      </c>
      <c r="T3459" s="15" t="s">
        <v>8</v>
      </c>
    </row>
    <row r="3460" spans="3:29" x14ac:dyDescent="0.35">
      <c r="C3460" s="15" t="s">
        <v>8</v>
      </c>
      <c r="D3460" s="15" t="s">
        <v>8</v>
      </c>
      <c r="E3460" s="15" t="s">
        <v>8</v>
      </c>
      <c r="F3460" s="15" t="s">
        <v>8</v>
      </c>
      <c r="H3460" s="15" t="s">
        <v>8</v>
      </c>
      <c r="I3460" s="15" t="s">
        <v>8</v>
      </c>
      <c r="J3460" s="15" t="s">
        <v>8</v>
      </c>
      <c r="N3460" s="15" t="s">
        <v>8</v>
      </c>
      <c r="R3460" s="15" t="s">
        <v>8</v>
      </c>
      <c r="S3460" s="20" t="str">
        <f>HYPERLINK("http://yeinfo.com/family/I09066002.html", "MARGARY CRANE 1453 EN-1504  ID:09065699")</f>
        <v>MARGARY CRANE 1453 EN-1504  ID:09065699</v>
      </c>
      <c r="T3460" s="17"/>
      <c r="U3460" s="17"/>
      <c r="V3460" s="17"/>
      <c r="W3460" s="17"/>
    </row>
    <row r="3461" spans="3:29" x14ac:dyDescent="0.35">
      <c r="C3461" s="15" t="s">
        <v>8</v>
      </c>
      <c r="D3461" s="15" t="s">
        <v>8</v>
      </c>
      <c r="E3461" s="15" t="s">
        <v>8</v>
      </c>
      <c r="F3461" s="15" t="s">
        <v>8</v>
      </c>
      <c r="H3461" s="15" t="s">
        <v>8</v>
      </c>
      <c r="I3461" s="15" t="s">
        <v>8</v>
      </c>
      <c r="J3461" s="15" t="s">
        <v>8</v>
      </c>
      <c r="N3461" s="15" t="s">
        <v>8</v>
      </c>
      <c r="R3461" s="15" t="s">
        <v>8</v>
      </c>
      <c r="T3461" s="15" t="s">
        <v>8</v>
      </c>
    </row>
    <row r="3462" spans="3:29" x14ac:dyDescent="0.35">
      <c r="C3462" s="15" t="s">
        <v>8</v>
      </c>
      <c r="D3462" s="15" t="s">
        <v>8</v>
      </c>
      <c r="E3462" s="15" t="s">
        <v>8</v>
      </c>
      <c r="F3462" s="15" t="s">
        <v>8</v>
      </c>
      <c r="H3462" s="15" t="s">
        <v>8</v>
      </c>
      <c r="I3462" s="15" t="s">
        <v>8</v>
      </c>
      <c r="J3462" s="15" t="s">
        <v>8</v>
      </c>
      <c r="N3462" s="15" t="s">
        <v>8</v>
      </c>
      <c r="R3462" s="15" t="s">
        <v>8</v>
      </c>
      <c r="T3462" s="15" t="s">
        <v>8</v>
      </c>
      <c r="V3462" s="19" t="str">
        <f>HYPERLINK("http://yeinfo.com/family/I09066005.html", "PEDER NIELSEN AGARD 1378 DN-1410 DN ID:09066722")</f>
        <v>PEDER NIELSEN AGARD 1378 DN-1410 DN ID:09066722</v>
      </c>
      <c r="W3462" s="9"/>
      <c r="X3462" s="9"/>
      <c r="Y3462" s="9"/>
      <c r="Z3462" s="9"/>
    </row>
    <row r="3463" spans="3:29" x14ac:dyDescent="0.35">
      <c r="C3463" s="15" t="s">
        <v>8</v>
      </c>
      <c r="D3463" s="15" t="s">
        <v>8</v>
      </c>
      <c r="E3463" s="15" t="s">
        <v>8</v>
      </c>
      <c r="F3463" s="15" t="s">
        <v>8</v>
      </c>
      <c r="H3463" s="15" t="s">
        <v>8</v>
      </c>
      <c r="I3463" s="15" t="s">
        <v>8</v>
      </c>
      <c r="J3463" s="15" t="s">
        <v>8</v>
      </c>
      <c r="N3463" s="15" t="s">
        <v>8</v>
      </c>
      <c r="R3463" s="15" t="s">
        <v>8</v>
      </c>
      <c r="T3463" s="15" t="s">
        <v>8</v>
      </c>
      <c r="V3463" s="8" t="s">
        <v>3</v>
      </c>
    </row>
    <row r="3464" spans="3:29" x14ac:dyDescent="0.35">
      <c r="C3464" s="15" t="s">
        <v>8</v>
      </c>
      <c r="D3464" s="15" t="s">
        <v>8</v>
      </c>
      <c r="E3464" s="15" t="s">
        <v>8</v>
      </c>
      <c r="F3464" s="15" t="s">
        <v>8</v>
      </c>
      <c r="H3464" s="15" t="s">
        <v>8</v>
      </c>
      <c r="I3464" s="15" t="s">
        <v>8</v>
      </c>
      <c r="J3464" s="15" t="s">
        <v>8</v>
      </c>
      <c r="N3464" s="15" t="s">
        <v>8</v>
      </c>
      <c r="R3464" s="15" t="s">
        <v>8</v>
      </c>
      <c r="T3464" s="15" t="s">
        <v>8</v>
      </c>
      <c r="U3464" s="19" t="str">
        <f>HYPERLINK("http://yeinfo.com/family/I09065836.html", "ANDREW AGARD 1409 EN-1454 EN ID:09066005")</f>
        <v>ANDREW AGARD 1409 EN-1454 EN ID:09066005</v>
      </c>
      <c r="V3464" s="9"/>
      <c r="W3464" s="9"/>
      <c r="X3464" s="9"/>
      <c r="Y3464" s="9"/>
    </row>
    <row r="3465" spans="3:29" x14ac:dyDescent="0.35">
      <c r="C3465" s="15" t="s">
        <v>8</v>
      </c>
      <c r="D3465" s="15" t="s">
        <v>8</v>
      </c>
      <c r="E3465" s="15" t="s">
        <v>8</v>
      </c>
      <c r="F3465" s="15" t="s">
        <v>8</v>
      </c>
      <c r="H3465" s="15" t="s">
        <v>8</v>
      </c>
      <c r="I3465" s="15" t="s">
        <v>8</v>
      </c>
      <c r="J3465" s="15" t="s">
        <v>8</v>
      </c>
      <c r="N3465" s="15" t="s">
        <v>8</v>
      </c>
      <c r="R3465" s="15" t="s">
        <v>8</v>
      </c>
      <c r="T3465" s="15" t="s">
        <v>8</v>
      </c>
      <c r="U3465" s="8" t="s">
        <v>3</v>
      </c>
      <c r="V3465" s="8" t="s">
        <v>6</v>
      </c>
    </row>
    <row r="3466" spans="3:29" x14ac:dyDescent="0.35">
      <c r="C3466" s="15" t="s">
        <v>8</v>
      </c>
      <c r="D3466" s="15" t="s">
        <v>8</v>
      </c>
      <c r="E3466" s="15" t="s">
        <v>8</v>
      </c>
      <c r="F3466" s="15" t="s">
        <v>8</v>
      </c>
      <c r="H3466" s="15" t="s">
        <v>8</v>
      </c>
      <c r="I3466" s="15" t="s">
        <v>8</v>
      </c>
      <c r="J3466" s="15" t="s">
        <v>8</v>
      </c>
      <c r="N3466" s="15" t="s">
        <v>8</v>
      </c>
      <c r="R3466" s="15" t="s">
        <v>8</v>
      </c>
      <c r="T3466" s="15" t="s">
        <v>8</v>
      </c>
      <c r="U3466" s="15" t="s">
        <v>8</v>
      </c>
      <c r="V3466" s="20" t="str">
        <f>HYPERLINK("http://yeinfo.com/family/I09066722.html", "ANNE JEPSDATTER LANGE 1368 DN-1440 GE ID:09066723")</f>
        <v>ANNE JEPSDATTER LANGE 1368 DN-1440 GE ID:09066723</v>
      </c>
      <c r="W3466" s="17"/>
      <c r="X3466" s="17"/>
      <c r="Y3466" s="17"/>
      <c r="Z3466" s="17"/>
    </row>
    <row r="3467" spans="3:29" x14ac:dyDescent="0.35">
      <c r="C3467" s="15" t="s">
        <v>8</v>
      </c>
      <c r="D3467" s="15" t="s">
        <v>8</v>
      </c>
      <c r="E3467" s="15" t="s">
        <v>8</v>
      </c>
      <c r="F3467" s="15" t="s">
        <v>8</v>
      </c>
      <c r="H3467" s="15" t="s">
        <v>8</v>
      </c>
      <c r="I3467" s="15" t="s">
        <v>8</v>
      </c>
      <c r="J3467" s="15" t="s">
        <v>8</v>
      </c>
      <c r="N3467" s="15" t="s">
        <v>8</v>
      </c>
      <c r="R3467" s="15" t="s">
        <v>8</v>
      </c>
      <c r="T3467" s="8" t="s">
        <v>6</v>
      </c>
      <c r="U3467" s="15" t="s">
        <v>8</v>
      </c>
    </row>
    <row r="3468" spans="3:29" x14ac:dyDescent="0.35">
      <c r="C3468" s="15" t="s">
        <v>8</v>
      </c>
      <c r="D3468" s="15" t="s">
        <v>8</v>
      </c>
      <c r="E3468" s="15" t="s">
        <v>8</v>
      </c>
      <c r="F3468" s="15" t="s">
        <v>8</v>
      </c>
      <c r="H3468" s="15" t="s">
        <v>8</v>
      </c>
      <c r="I3468" s="15" t="s">
        <v>8</v>
      </c>
      <c r="J3468" s="15" t="s">
        <v>8</v>
      </c>
      <c r="N3468" s="15" t="s">
        <v>8</v>
      </c>
      <c r="R3468" s="15" t="s">
        <v>8</v>
      </c>
      <c r="T3468" s="20" t="str">
        <f>HYPERLINK("http://yeinfo.com/family/I09066194.html", "ANNE AGARD 1438 EN-1521 EN ID:09065836")</f>
        <v>ANNE AGARD 1438 EN-1521 EN ID:09065836</v>
      </c>
      <c r="U3468" s="17"/>
      <c r="V3468" s="17"/>
      <c r="W3468" s="17"/>
      <c r="X3468" s="17"/>
    </row>
    <row r="3469" spans="3:29" x14ac:dyDescent="0.35">
      <c r="C3469" s="15" t="s">
        <v>8</v>
      </c>
      <c r="D3469" s="15" t="s">
        <v>8</v>
      </c>
      <c r="E3469" s="15" t="s">
        <v>8</v>
      </c>
      <c r="F3469" s="15" t="s">
        <v>8</v>
      </c>
      <c r="H3469" s="15" t="s">
        <v>8</v>
      </c>
      <c r="I3469" s="15" t="s">
        <v>8</v>
      </c>
      <c r="J3469" s="15" t="s">
        <v>8</v>
      </c>
      <c r="N3469" s="15" t="s">
        <v>8</v>
      </c>
      <c r="R3469" s="15" t="s">
        <v>8</v>
      </c>
      <c r="U3469" s="15" t="s">
        <v>8</v>
      </c>
    </row>
    <row r="3470" spans="3:29" x14ac:dyDescent="0.35">
      <c r="C3470" s="15" t="s">
        <v>8</v>
      </c>
      <c r="D3470" s="15" t="s">
        <v>8</v>
      </c>
      <c r="E3470" s="15" t="s">
        <v>8</v>
      </c>
      <c r="F3470" s="15" t="s">
        <v>8</v>
      </c>
      <c r="H3470" s="15" t="s">
        <v>8</v>
      </c>
      <c r="I3470" s="15" t="s">
        <v>8</v>
      </c>
      <c r="J3470" s="15" t="s">
        <v>8</v>
      </c>
      <c r="N3470" s="15" t="s">
        <v>8</v>
      </c>
      <c r="R3470" s="15" t="s">
        <v>8</v>
      </c>
      <c r="U3470" s="15" t="s">
        <v>8</v>
      </c>
      <c r="Y3470" s="19" t="str">
        <f>HYPERLINK("http://yeinfo.com/family/I09066520.html", "JOHN LOVELL 1288 EN-1314 EN ID:09066574")</f>
        <v>JOHN LOVELL 1288 EN-1314 EN ID:09066574</v>
      </c>
      <c r="Z3470" s="9"/>
      <c r="AA3470" s="9"/>
      <c r="AB3470" s="9"/>
      <c r="AC3470" s="9"/>
    </row>
    <row r="3471" spans="3:29" x14ac:dyDescent="0.35">
      <c r="C3471" s="15" t="s">
        <v>8</v>
      </c>
      <c r="D3471" s="15" t="s">
        <v>8</v>
      </c>
      <c r="E3471" s="15" t="s">
        <v>8</v>
      </c>
      <c r="F3471" s="15" t="s">
        <v>8</v>
      </c>
      <c r="H3471" s="15" t="s">
        <v>8</v>
      </c>
      <c r="I3471" s="15" t="s">
        <v>8</v>
      </c>
      <c r="J3471" s="15" t="s">
        <v>8</v>
      </c>
      <c r="N3471" s="15" t="s">
        <v>8</v>
      </c>
      <c r="R3471" s="15" t="s">
        <v>8</v>
      </c>
      <c r="U3471" s="15" t="s">
        <v>8</v>
      </c>
      <c r="Y3471" s="8" t="s">
        <v>3</v>
      </c>
    </row>
    <row r="3472" spans="3:29" x14ac:dyDescent="0.35">
      <c r="C3472" s="15" t="s">
        <v>8</v>
      </c>
      <c r="D3472" s="15" t="s">
        <v>8</v>
      </c>
      <c r="E3472" s="15" t="s">
        <v>8</v>
      </c>
      <c r="F3472" s="15" t="s">
        <v>8</v>
      </c>
      <c r="H3472" s="15" t="s">
        <v>8</v>
      </c>
      <c r="I3472" s="15" t="s">
        <v>8</v>
      </c>
      <c r="J3472" s="15" t="s">
        <v>8</v>
      </c>
      <c r="N3472" s="15" t="s">
        <v>8</v>
      </c>
      <c r="R3472" s="15" t="s">
        <v>8</v>
      </c>
      <c r="U3472" s="15" t="s">
        <v>8</v>
      </c>
      <c r="X3472" s="19" t="str">
        <f>HYPERLINK("http://yeinfo.com/family/I09066343.html", "JOHN LOVELL 1310 EN-1347 EN ID:09066520")</f>
        <v>JOHN LOVELL 1310 EN-1347 EN ID:09066520</v>
      </c>
      <c r="Y3472" s="9"/>
      <c r="Z3472" s="9"/>
      <c r="AA3472" s="9"/>
      <c r="AB3472" s="9"/>
    </row>
    <row r="3473" spans="3:29" x14ac:dyDescent="0.35">
      <c r="C3473" s="15" t="s">
        <v>8</v>
      </c>
      <c r="D3473" s="15" t="s">
        <v>8</v>
      </c>
      <c r="E3473" s="15" t="s">
        <v>8</v>
      </c>
      <c r="F3473" s="15" t="s">
        <v>8</v>
      </c>
      <c r="H3473" s="15" t="s">
        <v>8</v>
      </c>
      <c r="I3473" s="15" t="s">
        <v>8</v>
      </c>
      <c r="J3473" s="15" t="s">
        <v>8</v>
      </c>
      <c r="N3473" s="15" t="s">
        <v>8</v>
      </c>
      <c r="R3473" s="15" t="s">
        <v>8</v>
      </c>
      <c r="U3473" s="15" t="s">
        <v>8</v>
      </c>
      <c r="X3473" s="8" t="s">
        <v>3</v>
      </c>
      <c r="Y3473" s="8" t="s">
        <v>6</v>
      </c>
    </row>
    <row r="3474" spans="3:29" x14ac:dyDescent="0.35">
      <c r="C3474" s="15" t="s">
        <v>8</v>
      </c>
      <c r="D3474" s="15" t="s">
        <v>8</v>
      </c>
      <c r="E3474" s="15" t="s">
        <v>8</v>
      </c>
      <c r="F3474" s="15" t="s">
        <v>8</v>
      </c>
      <c r="H3474" s="15" t="s">
        <v>8</v>
      </c>
      <c r="I3474" s="15" t="s">
        <v>8</v>
      </c>
      <c r="J3474" s="15" t="s">
        <v>8</v>
      </c>
      <c r="N3474" s="15" t="s">
        <v>8</v>
      </c>
      <c r="R3474" s="15" t="s">
        <v>8</v>
      </c>
      <c r="U3474" s="15" t="s">
        <v>8</v>
      </c>
      <c r="X3474" s="15" t="s">
        <v>8</v>
      </c>
      <c r="Y3474" s="20" t="str">
        <f>HYPERLINK("http://yeinfo.com/family/I09066574.html", "MAUD BURNELL 1290 EN-1341 EN ID:09066575")</f>
        <v>MAUD BURNELL 1290 EN-1341 EN ID:09066575</v>
      </c>
      <c r="Z3474" s="17"/>
      <c r="AA3474" s="17"/>
      <c r="AB3474" s="17"/>
      <c r="AC3474" s="17"/>
    </row>
    <row r="3475" spans="3:29" x14ac:dyDescent="0.35">
      <c r="C3475" s="15" t="s">
        <v>8</v>
      </c>
      <c r="D3475" s="15" t="s">
        <v>8</v>
      </c>
      <c r="E3475" s="15" t="s">
        <v>8</v>
      </c>
      <c r="F3475" s="15" t="s">
        <v>8</v>
      </c>
      <c r="H3475" s="15" t="s">
        <v>8</v>
      </c>
      <c r="I3475" s="15" t="s">
        <v>8</v>
      </c>
      <c r="J3475" s="15" t="s">
        <v>8</v>
      </c>
      <c r="N3475" s="15" t="s">
        <v>8</v>
      </c>
      <c r="R3475" s="15" t="s">
        <v>8</v>
      </c>
      <c r="U3475" s="15" t="s">
        <v>8</v>
      </c>
      <c r="X3475" s="15" t="s">
        <v>8</v>
      </c>
    </row>
    <row r="3476" spans="3:29" x14ac:dyDescent="0.35">
      <c r="C3476" s="15" t="s">
        <v>8</v>
      </c>
      <c r="D3476" s="15" t="s">
        <v>8</v>
      </c>
      <c r="E3476" s="15" t="s">
        <v>8</v>
      </c>
      <c r="F3476" s="15" t="s">
        <v>8</v>
      </c>
      <c r="H3476" s="15" t="s">
        <v>8</v>
      </c>
      <c r="I3476" s="15" t="s">
        <v>8</v>
      </c>
      <c r="J3476" s="15" t="s">
        <v>8</v>
      </c>
      <c r="N3476" s="15" t="s">
        <v>8</v>
      </c>
      <c r="R3476" s="15" t="s">
        <v>8</v>
      </c>
      <c r="U3476" s="15" t="s">
        <v>8</v>
      </c>
      <c r="W3476" s="19" t="str">
        <f>HYPERLINK("http://yeinfo.com/family/I09066195.html", "JOHN LOVELL 1340 EN-1408 EN ID:09066343")</f>
        <v>JOHN LOVELL 1340 EN-1408 EN ID:09066343</v>
      </c>
      <c r="X3476" s="9"/>
      <c r="Y3476" s="9"/>
      <c r="Z3476" s="9"/>
      <c r="AA3476" s="9"/>
    </row>
    <row r="3477" spans="3:29" x14ac:dyDescent="0.35">
      <c r="C3477" s="15" t="s">
        <v>8</v>
      </c>
      <c r="D3477" s="15" t="s">
        <v>8</v>
      </c>
      <c r="E3477" s="15" t="s">
        <v>8</v>
      </c>
      <c r="F3477" s="15" t="s">
        <v>8</v>
      </c>
      <c r="H3477" s="15" t="s">
        <v>8</v>
      </c>
      <c r="I3477" s="15" t="s">
        <v>8</v>
      </c>
      <c r="J3477" s="15" t="s">
        <v>8</v>
      </c>
      <c r="N3477" s="15" t="s">
        <v>8</v>
      </c>
      <c r="R3477" s="15" t="s">
        <v>8</v>
      </c>
      <c r="U3477" s="15" t="s">
        <v>8</v>
      </c>
      <c r="W3477" s="8" t="s">
        <v>3</v>
      </c>
      <c r="X3477" s="15" t="s">
        <v>8</v>
      </c>
    </row>
    <row r="3478" spans="3:29" x14ac:dyDescent="0.35">
      <c r="C3478" s="15" t="s">
        <v>8</v>
      </c>
      <c r="D3478" s="15" t="s">
        <v>8</v>
      </c>
      <c r="E3478" s="15" t="s">
        <v>8</v>
      </c>
      <c r="F3478" s="15" t="s">
        <v>8</v>
      </c>
      <c r="H3478" s="15" t="s">
        <v>8</v>
      </c>
      <c r="I3478" s="15" t="s">
        <v>8</v>
      </c>
      <c r="J3478" s="15" t="s">
        <v>8</v>
      </c>
      <c r="N3478" s="15" t="s">
        <v>8</v>
      </c>
      <c r="R3478" s="15" t="s">
        <v>8</v>
      </c>
      <c r="U3478" s="15" t="s">
        <v>8</v>
      </c>
      <c r="W3478" s="15" t="s">
        <v>8</v>
      </c>
      <c r="X3478" s="15" t="s">
        <v>8</v>
      </c>
      <c r="Y3478" s="19" t="str">
        <f>HYPERLINK("http://yeinfo.com/family/I09066521.html", "EUDO ZOUCHE &lt;2&gt; 1297 EN-1326 FR ID:09066576")</f>
        <v>EUDO ZOUCHE &lt;2&gt; 1297 EN-1326 FR ID:09066576</v>
      </c>
      <c r="Z3478" s="9"/>
      <c r="AA3478" s="9"/>
      <c r="AB3478" s="9"/>
      <c r="AC3478" s="9"/>
    </row>
    <row r="3479" spans="3:29" x14ac:dyDescent="0.35">
      <c r="C3479" s="15" t="s">
        <v>8</v>
      </c>
      <c r="D3479" s="15" t="s">
        <v>8</v>
      </c>
      <c r="E3479" s="15" t="s">
        <v>8</v>
      </c>
      <c r="F3479" s="15" t="s">
        <v>8</v>
      </c>
      <c r="H3479" s="15" t="s">
        <v>8</v>
      </c>
      <c r="I3479" s="15" t="s">
        <v>8</v>
      </c>
      <c r="J3479" s="15" t="s">
        <v>8</v>
      </c>
      <c r="N3479" s="15" t="s">
        <v>8</v>
      </c>
      <c r="R3479" s="15" t="s">
        <v>8</v>
      </c>
      <c r="U3479" s="15" t="s">
        <v>8</v>
      </c>
      <c r="W3479" s="15" t="s">
        <v>8</v>
      </c>
      <c r="X3479" s="8" t="s">
        <v>6</v>
      </c>
      <c r="Y3479" s="8" t="s">
        <v>3</v>
      </c>
    </row>
    <row r="3480" spans="3:29" x14ac:dyDescent="0.35">
      <c r="C3480" s="15" t="s">
        <v>8</v>
      </c>
      <c r="D3480" s="15" t="s">
        <v>8</v>
      </c>
      <c r="E3480" s="15" t="s">
        <v>8</v>
      </c>
      <c r="F3480" s="15" t="s">
        <v>8</v>
      </c>
      <c r="H3480" s="15" t="s">
        <v>8</v>
      </c>
      <c r="I3480" s="15" t="s">
        <v>8</v>
      </c>
      <c r="J3480" s="15" t="s">
        <v>8</v>
      </c>
      <c r="N3480" s="15" t="s">
        <v>8</v>
      </c>
      <c r="R3480" s="15" t="s">
        <v>8</v>
      </c>
      <c r="U3480" s="15" t="s">
        <v>8</v>
      </c>
      <c r="W3480" s="15" t="s">
        <v>8</v>
      </c>
      <c r="X3480" s="20" t="str">
        <f>HYPERLINK("http://yeinfo.com/family/I09066575.html", "ISABEL ZOUCHE 1320 EN-1349 EN ID:09066521")</f>
        <v>ISABEL ZOUCHE 1320 EN-1349 EN ID:09066521</v>
      </c>
      <c r="Y3480" s="17"/>
      <c r="Z3480" s="17"/>
      <c r="AA3480" s="17"/>
      <c r="AB3480" s="17"/>
    </row>
    <row r="3481" spans="3:29" x14ac:dyDescent="0.35">
      <c r="C3481" s="15" t="s">
        <v>8</v>
      </c>
      <c r="D3481" s="15" t="s">
        <v>8</v>
      </c>
      <c r="E3481" s="15" t="s">
        <v>8</v>
      </c>
      <c r="F3481" s="15" t="s">
        <v>8</v>
      </c>
      <c r="H3481" s="15" t="s">
        <v>8</v>
      </c>
      <c r="I3481" s="15" t="s">
        <v>8</v>
      </c>
      <c r="J3481" s="15" t="s">
        <v>8</v>
      </c>
      <c r="N3481" s="15" t="s">
        <v>8</v>
      </c>
      <c r="R3481" s="15" t="s">
        <v>8</v>
      </c>
      <c r="U3481" s="15" t="s">
        <v>8</v>
      </c>
      <c r="W3481" s="15" t="s">
        <v>8</v>
      </c>
      <c r="Y3481" s="8" t="s">
        <v>6</v>
      </c>
    </row>
    <row r="3482" spans="3:29" x14ac:dyDescent="0.35">
      <c r="C3482" s="15" t="s">
        <v>8</v>
      </c>
      <c r="D3482" s="15" t="s">
        <v>8</v>
      </c>
      <c r="E3482" s="15" t="s">
        <v>8</v>
      </c>
      <c r="F3482" s="15" t="s">
        <v>8</v>
      </c>
      <c r="H3482" s="15" t="s">
        <v>8</v>
      </c>
      <c r="I3482" s="15" t="s">
        <v>8</v>
      </c>
      <c r="J3482" s="15" t="s">
        <v>8</v>
      </c>
      <c r="N3482" s="15" t="s">
        <v>8</v>
      </c>
      <c r="R3482" s="15" t="s">
        <v>8</v>
      </c>
      <c r="U3482" s="15" t="s">
        <v>8</v>
      </c>
      <c r="W3482" s="15" t="s">
        <v>8</v>
      </c>
      <c r="Y3482" s="20" t="str">
        <f>HYPERLINK("http://yeinfo.com/family/I09066576.html", "JOAN INGE &lt;2&gt; 1290 EN-1359 EN ID:09066577")</f>
        <v>JOAN INGE &lt;2&gt; 1290 EN-1359 EN ID:09066577</v>
      </c>
      <c r="Z3482" s="17"/>
      <c r="AA3482" s="17"/>
      <c r="AB3482" s="17"/>
      <c r="AC3482" s="17"/>
    </row>
    <row r="3483" spans="3:29" x14ac:dyDescent="0.35">
      <c r="C3483" s="15" t="s">
        <v>8</v>
      </c>
      <c r="D3483" s="15" t="s">
        <v>8</v>
      </c>
      <c r="E3483" s="15" t="s">
        <v>8</v>
      </c>
      <c r="F3483" s="15" t="s">
        <v>8</v>
      </c>
      <c r="H3483" s="15" t="s">
        <v>8</v>
      </c>
      <c r="I3483" s="15" t="s">
        <v>8</v>
      </c>
      <c r="J3483" s="15" t="s">
        <v>8</v>
      </c>
      <c r="N3483" s="15" t="s">
        <v>8</v>
      </c>
      <c r="R3483" s="15" t="s">
        <v>8</v>
      </c>
      <c r="U3483" s="15" t="s">
        <v>8</v>
      </c>
      <c r="W3483" s="15" t="s">
        <v>8</v>
      </c>
    </row>
    <row r="3484" spans="3:29" x14ac:dyDescent="0.35">
      <c r="C3484" s="15" t="s">
        <v>8</v>
      </c>
      <c r="D3484" s="15" t="s">
        <v>8</v>
      </c>
      <c r="E3484" s="15" t="s">
        <v>8</v>
      </c>
      <c r="F3484" s="15" t="s">
        <v>8</v>
      </c>
      <c r="H3484" s="15" t="s">
        <v>8</v>
      </c>
      <c r="I3484" s="15" t="s">
        <v>8</v>
      </c>
      <c r="J3484" s="15" t="s">
        <v>8</v>
      </c>
      <c r="N3484" s="15" t="s">
        <v>8</v>
      </c>
      <c r="R3484" s="15" t="s">
        <v>8</v>
      </c>
      <c r="U3484" s="15" t="s">
        <v>8</v>
      </c>
      <c r="V3484" s="19" t="str">
        <f>HYPERLINK("http://yeinfo.com/family/I09066006.html", "JOHN\JONATHAN\GEORGE LOVELL 1365 EN-1414 EN ID:09066195")</f>
        <v>JOHN\JONATHAN\GEORGE LOVELL 1365 EN-1414 EN ID:09066195</v>
      </c>
      <c r="W3484" s="9"/>
      <c r="X3484" s="9"/>
      <c r="Y3484" s="9"/>
      <c r="Z3484" s="9"/>
      <c r="AA3484" s="9"/>
    </row>
    <row r="3485" spans="3:29" x14ac:dyDescent="0.35">
      <c r="C3485" s="15" t="s">
        <v>8</v>
      </c>
      <c r="D3485" s="15" t="s">
        <v>8</v>
      </c>
      <c r="E3485" s="15" t="s">
        <v>8</v>
      </c>
      <c r="F3485" s="15" t="s">
        <v>8</v>
      </c>
      <c r="H3485" s="15" t="s">
        <v>8</v>
      </c>
      <c r="I3485" s="15" t="s">
        <v>8</v>
      </c>
      <c r="J3485" s="15" t="s">
        <v>8</v>
      </c>
      <c r="N3485" s="15" t="s">
        <v>8</v>
      </c>
      <c r="R3485" s="15" t="s">
        <v>8</v>
      </c>
      <c r="U3485" s="15" t="s">
        <v>8</v>
      </c>
      <c r="V3485" s="8" t="s">
        <v>3</v>
      </c>
      <c r="W3485" s="8" t="s">
        <v>6</v>
      </c>
    </row>
    <row r="3486" spans="3:29" x14ac:dyDescent="0.35">
      <c r="C3486" s="15" t="s">
        <v>8</v>
      </c>
      <c r="D3486" s="15" t="s">
        <v>8</v>
      </c>
      <c r="E3486" s="15" t="s">
        <v>8</v>
      </c>
      <c r="F3486" s="15" t="s">
        <v>8</v>
      </c>
      <c r="H3486" s="15" t="s">
        <v>8</v>
      </c>
      <c r="I3486" s="15" t="s">
        <v>8</v>
      </c>
      <c r="J3486" s="15" t="s">
        <v>8</v>
      </c>
      <c r="N3486" s="15" t="s">
        <v>8</v>
      </c>
      <c r="R3486" s="15" t="s">
        <v>8</v>
      </c>
      <c r="U3486" s="15" t="s">
        <v>8</v>
      </c>
      <c r="V3486" s="15" t="s">
        <v>8</v>
      </c>
      <c r="W3486" s="20" t="str">
        <f>HYPERLINK("http://yeinfo.com/family/I09066577.html", "MAUD HOLLAND 1356 EN-1376  ID:09066344")</f>
        <v>MAUD HOLLAND 1356 EN-1376  ID:09066344</v>
      </c>
      <c r="X3486" s="17"/>
      <c r="Y3486" s="17"/>
      <c r="Z3486" s="17"/>
      <c r="AA3486" s="17"/>
    </row>
    <row r="3487" spans="3:29" x14ac:dyDescent="0.35">
      <c r="C3487" s="15" t="s">
        <v>8</v>
      </c>
      <c r="D3487" s="15" t="s">
        <v>8</v>
      </c>
      <c r="E3487" s="15" t="s">
        <v>8</v>
      </c>
      <c r="F3487" s="15" t="s">
        <v>8</v>
      </c>
      <c r="H3487" s="15" t="s">
        <v>8</v>
      </c>
      <c r="I3487" s="15" t="s">
        <v>8</v>
      </c>
      <c r="J3487" s="15" t="s">
        <v>8</v>
      </c>
      <c r="N3487" s="15" t="s">
        <v>8</v>
      </c>
      <c r="R3487" s="15" t="s">
        <v>8</v>
      </c>
      <c r="U3487" s="8" t="s">
        <v>6</v>
      </c>
      <c r="V3487" s="15" t="s">
        <v>8</v>
      </c>
    </row>
    <row r="3488" spans="3:29" x14ac:dyDescent="0.35">
      <c r="C3488" s="15" t="s">
        <v>8</v>
      </c>
      <c r="D3488" s="15" t="s">
        <v>8</v>
      </c>
      <c r="E3488" s="15" t="s">
        <v>8</v>
      </c>
      <c r="F3488" s="15" t="s">
        <v>8</v>
      </c>
      <c r="H3488" s="15" t="s">
        <v>8</v>
      </c>
      <c r="I3488" s="15" t="s">
        <v>8</v>
      </c>
      <c r="J3488" s="15" t="s">
        <v>8</v>
      </c>
      <c r="N3488" s="15" t="s">
        <v>8</v>
      </c>
      <c r="R3488" s="15" t="s">
        <v>8</v>
      </c>
      <c r="U3488" s="20" t="str">
        <f>HYPERLINK("http://yeinfo.com/family/I09066723.html", "ALICE LOVELL 1408 EN-1474 EN ID:09066006")</f>
        <v>ALICE LOVELL 1408 EN-1474 EN ID:09066006</v>
      </c>
      <c r="V3488" s="17"/>
      <c r="W3488" s="17"/>
      <c r="X3488" s="17"/>
      <c r="Y3488" s="17"/>
    </row>
    <row r="3489" spans="3:31" x14ac:dyDescent="0.35">
      <c r="C3489" s="15" t="s">
        <v>8</v>
      </c>
      <c r="D3489" s="15" t="s">
        <v>8</v>
      </c>
      <c r="E3489" s="15" t="s">
        <v>8</v>
      </c>
      <c r="F3489" s="15" t="s">
        <v>8</v>
      </c>
      <c r="H3489" s="15" t="s">
        <v>8</v>
      </c>
      <c r="I3489" s="15" t="s">
        <v>8</v>
      </c>
      <c r="J3489" s="15" t="s">
        <v>8</v>
      </c>
      <c r="N3489" s="15" t="s">
        <v>8</v>
      </c>
      <c r="R3489" s="15" t="s">
        <v>8</v>
      </c>
      <c r="V3489" s="15" t="s">
        <v>8</v>
      </c>
    </row>
    <row r="3490" spans="3:31" x14ac:dyDescent="0.35">
      <c r="C3490" s="15" t="s">
        <v>8</v>
      </c>
      <c r="D3490" s="15" t="s">
        <v>8</v>
      </c>
      <c r="E3490" s="15" t="s">
        <v>8</v>
      </c>
      <c r="F3490" s="15" t="s">
        <v>8</v>
      </c>
      <c r="H3490" s="15" t="s">
        <v>8</v>
      </c>
      <c r="I3490" s="15" t="s">
        <v>8</v>
      </c>
      <c r="J3490" s="15" t="s">
        <v>8</v>
      </c>
      <c r="N3490" s="15" t="s">
        <v>8</v>
      </c>
      <c r="R3490" s="15" t="s">
        <v>8</v>
      </c>
      <c r="V3490" s="15" t="s">
        <v>8</v>
      </c>
      <c r="Y3490" s="19" t="str">
        <f>HYPERLINK("http://yeinfo.com/family/I09066576.html", "EUDO ZOUCHE &lt;2&gt; 1297 EN-1326 FR ID:09066576")</f>
        <v>EUDO ZOUCHE &lt;2&gt; 1297 EN-1326 FR ID:09066576</v>
      </c>
      <c r="Z3490" s="9"/>
      <c r="AA3490" s="9"/>
      <c r="AB3490" s="9"/>
      <c r="AC3490" s="9"/>
    </row>
    <row r="3491" spans="3:31" x14ac:dyDescent="0.35">
      <c r="C3491" s="15" t="s">
        <v>8</v>
      </c>
      <c r="D3491" s="15" t="s">
        <v>8</v>
      </c>
      <c r="E3491" s="15" t="s">
        <v>8</v>
      </c>
      <c r="F3491" s="15" t="s">
        <v>8</v>
      </c>
      <c r="H3491" s="15" t="s">
        <v>8</v>
      </c>
      <c r="I3491" s="15" t="s">
        <v>8</v>
      </c>
      <c r="J3491" s="15" t="s">
        <v>8</v>
      </c>
      <c r="N3491" s="15" t="s">
        <v>8</v>
      </c>
      <c r="R3491" s="15" t="s">
        <v>8</v>
      </c>
      <c r="V3491" s="15" t="s">
        <v>8</v>
      </c>
      <c r="Y3491" s="8" t="s">
        <v>3</v>
      </c>
    </row>
    <row r="3492" spans="3:31" x14ac:dyDescent="0.35">
      <c r="C3492" s="15" t="s">
        <v>8</v>
      </c>
      <c r="D3492" s="15" t="s">
        <v>8</v>
      </c>
      <c r="E3492" s="15" t="s">
        <v>8</v>
      </c>
      <c r="F3492" s="15" t="s">
        <v>8</v>
      </c>
      <c r="H3492" s="15" t="s">
        <v>8</v>
      </c>
      <c r="I3492" s="15" t="s">
        <v>8</v>
      </c>
      <c r="J3492" s="15" t="s">
        <v>8</v>
      </c>
      <c r="N3492" s="15" t="s">
        <v>8</v>
      </c>
      <c r="R3492" s="15" t="s">
        <v>8</v>
      </c>
      <c r="V3492" s="15" t="s">
        <v>8</v>
      </c>
      <c r="X3492" s="19" t="str">
        <f>HYPERLINK("http://yeinfo.com/family/I09066345.html", "WILLIAM ZOUCHE 1321 EN-1382 EN ID:09066522")</f>
        <v>WILLIAM ZOUCHE 1321 EN-1382 EN ID:09066522</v>
      </c>
      <c r="Y3492" s="9"/>
      <c r="Z3492" s="9"/>
      <c r="AA3492" s="9"/>
      <c r="AB3492" s="9"/>
    </row>
    <row r="3493" spans="3:31" x14ac:dyDescent="0.35">
      <c r="C3493" s="15" t="s">
        <v>8</v>
      </c>
      <c r="D3493" s="15" t="s">
        <v>8</v>
      </c>
      <c r="E3493" s="15" t="s">
        <v>8</v>
      </c>
      <c r="F3493" s="15" t="s">
        <v>8</v>
      </c>
      <c r="H3493" s="15" t="s">
        <v>8</v>
      </c>
      <c r="I3493" s="15" t="s">
        <v>8</v>
      </c>
      <c r="J3493" s="15" t="s">
        <v>8</v>
      </c>
      <c r="N3493" s="15" t="s">
        <v>8</v>
      </c>
      <c r="R3493" s="15" t="s">
        <v>8</v>
      </c>
      <c r="V3493" s="15" t="s">
        <v>8</v>
      </c>
      <c r="X3493" s="8" t="s">
        <v>3</v>
      </c>
      <c r="Y3493" s="8" t="s">
        <v>6</v>
      </c>
    </row>
    <row r="3494" spans="3:31" x14ac:dyDescent="0.35">
      <c r="C3494" s="15" t="s">
        <v>8</v>
      </c>
      <c r="D3494" s="15" t="s">
        <v>8</v>
      </c>
      <c r="E3494" s="15" t="s">
        <v>8</v>
      </c>
      <c r="F3494" s="15" t="s">
        <v>8</v>
      </c>
      <c r="H3494" s="15" t="s">
        <v>8</v>
      </c>
      <c r="I3494" s="15" t="s">
        <v>8</v>
      </c>
      <c r="J3494" s="15" t="s">
        <v>8</v>
      </c>
      <c r="N3494" s="15" t="s">
        <v>8</v>
      </c>
      <c r="R3494" s="15" t="s">
        <v>8</v>
      </c>
      <c r="V3494" s="15" t="s">
        <v>8</v>
      </c>
      <c r="X3494" s="15" t="s">
        <v>8</v>
      </c>
      <c r="Y3494" s="20" t="str">
        <f>HYPERLINK("http://yeinfo.com/family/I09066577.html", "JOAN INGE &lt;2&gt; 1290 EN-1359 EN ID:09066577")</f>
        <v>JOAN INGE &lt;2&gt; 1290 EN-1359 EN ID:09066577</v>
      </c>
      <c r="Z3494" s="17"/>
      <c r="AA3494" s="17"/>
      <c r="AB3494" s="17"/>
      <c r="AC3494" s="17"/>
    </row>
    <row r="3495" spans="3:31" x14ac:dyDescent="0.35">
      <c r="C3495" s="15" t="s">
        <v>8</v>
      </c>
      <c r="D3495" s="15" t="s">
        <v>8</v>
      </c>
      <c r="E3495" s="15" t="s">
        <v>8</v>
      </c>
      <c r="F3495" s="15" t="s">
        <v>8</v>
      </c>
      <c r="H3495" s="15" t="s">
        <v>8</v>
      </c>
      <c r="I3495" s="15" t="s">
        <v>8</v>
      </c>
      <c r="J3495" s="15" t="s">
        <v>8</v>
      </c>
      <c r="N3495" s="15" t="s">
        <v>8</v>
      </c>
      <c r="R3495" s="15" t="s">
        <v>8</v>
      </c>
      <c r="V3495" s="15" t="s">
        <v>8</v>
      </c>
      <c r="X3495" s="15" t="s">
        <v>8</v>
      </c>
    </row>
    <row r="3496" spans="3:31" x14ac:dyDescent="0.35">
      <c r="C3496" s="15" t="s">
        <v>8</v>
      </c>
      <c r="D3496" s="15" t="s">
        <v>8</v>
      </c>
      <c r="E3496" s="15" t="s">
        <v>8</v>
      </c>
      <c r="F3496" s="15" t="s">
        <v>8</v>
      </c>
      <c r="H3496" s="15" t="s">
        <v>8</v>
      </c>
      <c r="I3496" s="15" t="s">
        <v>8</v>
      </c>
      <c r="J3496" s="15" t="s">
        <v>8</v>
      </c>
      <c r="N3496" s="15" t="s">
        <v>8</v>
      </c>
      <c r="R3496" s="15" t="s">
        <v>8</v>
      </c>
      <c r="V3496" s="15" t="s">
        <v>8</v>
      </c>
      <c r="W3496" s="19" t="str">
        <f>HYPERLINK("http://yeinfo.com/family/I09066196.html", "WILLIAM ZOUCHE 1351 EN-1396 EN ID:09066345")</f>
        <v>WILLIAM ZOUCHE 1351 EN-1396 EN ID:09066345</v>
      </c>
      <c r="X3496" s="9"/>
      <c r="Y3496" s="9"/>
      <c r="Z3496" s="9"/>
      <c r="AA3496" s="9"/>
    </row>
    <row r="3497" spans="3:31" x14ac:dyDescent="0.35">
      <c r="C3497" s="15" t="s">
        <v>8</v>
      </c>
      <c r="D3497" s="15" t="s">
        <v>8</v>
      </c>
      <c r="E3497" s="15" t="s">
        <v>8</v>
      </c>
      <c r="F3497" s="15" t="s">
        <v>8</v>
      </c>
      <c r="H3497" s="15" t="s">
        <v>8</v>
      </c>
      <c r="I3497" s="15" t="s">
        <v>8</v>
      </c>
      <c r="J3497" s="15" t="s">
        <v>8</v>
      </c>
      <c r="N3497" s="15" t="s">
        <v>8</v>
      </c>
      <c r="R3497" s="15" t="s">
        <v>8</v>
      </c>
      <c r="V3497" s="15" t="s">
        <v>8</v>
      </c>
      <c r="W3497" s="8" t="s">
        <v>3</v>
      </c>
      <c r="X3497" s="15" t="s">
        <v>8</v>
      </c>
    </row>
    <row r="3498" spans="3:31" x14ac:dyDescent="0.35">
      <c r="C3498" s="15" t="s">
        <v>8</v>
      </c>
      <c r="D3498" s="15" t="s">
        <v>8</v>
      </c>
      <c r="E3498" s="15" t="s">
        <v>8</v>
      </c>
      <c r="F3498" s="15" t="s">
        <v>8</v>
      </c>
      <c r="H3498" s="15" t="s">
        <v>8</v>
      </c>
      <c r="I3498" s="15" t="s">
        <v>8</v>
      </c>
      <c r="J3498" s="15" t="s">
        <v>8</v>
      </c>
      <c r="N3498" s="15" t="s">
        <v>8</v>
      </c>
      <c r="R3498" s="15" t="s">
        <v>8</v>
      </c>
      <c r="V3498" s="15" t="s">
        <v>8</v>
      </c>
      <c r="W3498" s="15" t="s">
        <v>8</v>
      </c>
      <c r="X3498" s="15" t="s">
        <v>8</v>
      </c>
      <c r="Z3498" s="19" t="str">
        <f>HYPERLINK("http://yeinfo.com/family/I09066578.html", "WILLIAM ROS 1255 EN-1316 EN ID:09066637")</f>
        <v>WILLIAM ROS 1255 EN-1316 EN ID:09066637</v>
      </c>
      <c r="AA3498" s="9"/>
      <c r="AB3498" s="9"/>
      <c r="AC3498" s="9"/>
      <c r="AD3498" s="9"/>
    </row>
    <row r="3499" spans="3:31" x14ac:dyDescent="0.35">
      <c r="C3499" s="15" t="s">
        <v>8</v>
      </c>
      <c r="D3499" s="15" t="s">
        <v>8</v>
      </c>
      <c r="E3499" s="15" t="s">
        <v>8</v>
      </c>
      <c r="F3499" s="15" t="s">
        <v>8</v>
      </c>
      <c r="H3499" s="15" t="s">
        <v>8</v>
      </c>
      <c r="I3499" s="15" t="s">
        <v>8</v>
      </c>
      <c r="J3499" s="15" t="s">
        <v>8</v>
      </c>
      <c r="N3499" s="15" t="s">
        <v>8</v>
      </c>
      <c r="R3499" s="15" t="s">
        <v>8</v>
      </c>
      <c r="V3499" s="15" t="s">
        <v>8</v>
      </c>
      <c r="W3499" s="15" t="s">
        <v>8</v>
      </c>
      <c r="X3499" s="15" t="s">
        <v>8</v>
      </c>
      <c r="Z3499" s="8" t="s">
        <v>3</v>
      </c>
    </row>
    <row r="3500" spans="3:31" x14ac:dyDescent="0.35">
      <c r="C3500" s="15" t="s">
        <v>8</v>
      </c>
      <c r="D3500" s="15" t="s">
        <v>8</v>
      </c>
      <c r="E3500" s="15" t="s">
        <v>8</v>
      </c>
      <c r="F3500" s="15" t="s">
        <v>8</v>
      </c>
      <c r="H3500" s="15" t="s">
        <v>8</v>
      </c>
      <c r="I3500" s="15" t="s">
        <v>8</v>
      </c>
      <c r="J3500" s="15" t="s">
        <v>8</v>
      </c>
      <c r="N3500" s="15" t="s">
        <v>8</v>
      </c>
      <c r="R3500" s="15" t="s">
        <v>8</v>
      </c>
      <c r="V3500" s="15" t="s">
        <v>8</v>
      </c>
      <c r="W3500" s="15" t="s">
        <v>8</v>
      </c>
      <c r="X3500" s="15" t="s">
        <v>8</v>
      </c>
      <c r="Y3500" s="19" t="str">
        <f>HYPERLINK("http://yeinfo.com/family/I09066523.html", "WILLIAM ROS 1290 EN-1343 EN ID:09066578")</f>
        <v>WILLIAM ROS 1290 EN-1343 EN ID:09066578</v>
      </c>
      <c r="Z3500" s="9"/>
      <c r="AA3500" s="9"/>
      <c r="AB3500" s="9"/>
      <c r="AC3500" s="9"/>
    </row>
    <row r="3501" spans="3:31" x14ac:dyDescent="0.35">
      <c r="C3501" s="15" t="s">
        <v>8</v>
      </c>
      <c r="D3501" s="15" t="s">
        <v>8</v>
      </c>
      <c r="E3501" s="15" t="s">
        <v>8</v>
      </c>
      <c r="F3501" s="15" t="s">
        <v>8</v>
      </c>
      <c r="H3501" s="15" t="s">
        <v>8</v>
      </c>
      <c r="I3501" s="15" t="s">
        <v>8</v>
      </c>
      <c r="J3501" s="15" t="s">
        <v>8</v>
      </c>
      <c r="N3501" s="15" t="s">
        <v>8</v>
      </c>
      <c r="R3501" s="15" t="s">
        <v>8</v>
      </c>
      <c r="V3501" s="15" t="s">
        <v>8</v>
      </c>
      <c r="W3501" s="15" t="s">
        <v>8</v>
      </c>
      <c r="X3501" s="15" t="s">
        <v>8</v>
      </c>
      <c r="Y3501" s="8" t="s">
        <v>3</v>
      </c>
      <c r="Z3501" s="8" t="s">
        <v>6</v>
      </c>
    </row>
    <row r="3502" spans="3:31" x14ac:dyDescent="0.35">
      <c r="C3502" s="15" t="s">
        <v>8</v>
      </c>
      <c r="D3502" s="15" t="s">
        <v>8</v>
      </c>
      <c r="E3502" s="15" t="s">
        <v>8</v>
      </c>
      <c r="F3502" s="15" t="s">
        <v>8</v>
      </c>
      <c r="H3502" s="15" t="s">
        <v>8</v>
      </c>
      <c r="I3502" s="15" t="s">
        <v>8</v>
      </c>
      <c r="J3502" s="15" t="s">
        <v>8</v>
      </c>
      <c r="N3502" s="15" t="s">
        <v>8</v>
      </c>
      <c r="R3502" s="15" t="s">
        <v>8</v>
      </c>
      <c r="V3502" s="15" t="s">
        <v>8</v>
      </c>
      <c r="W3502" s="15" t="s">
        <v>8</v>
      </c>
      <c r="X3502" s="15" t="s">
        <v>8</v>
      </c>
      <c r="Y3502" s="15" t="s">
        <v>8</v>
      </c>
      <c r="Z3502" s="20" t="str">
        <f>HYPERLINK("http://yeinfo.com/family/I09066637.html", "MATILDA\MAUD VAUX 1257 EN-1316 EN ID:09066638")</f>
        <v>MATILDA\MAUD VAUX 1257 EN-1316 EN ID:09066638</v>
      </c>
      <c r="AA3502" s="17"/>
      <c r="AB3502" s="17"/>
      <c r="AC3502" s="17"/>
      <c r="AD3502" s="17"/>
      <c r="AE3502" s="17"/>
    </row>
    <row r="3503" spans="3:31" x14ac:dyDescent="0.35">
      <c r="C3503" s="15" t="s">
        <v>8</v>
      </c>
      <c r="D3503" s="15" t="s">
        <v>8</v>
      </c>
      <c r="E3503" s="15" t="s">
        <v>8</v>
      </c>
      <c r="F3503" s="15" t="s">
        <v>8</v>
      </c>
      <c r="H3503" s="15" t="s">
        <v>8</v>
      </c>
      <c r="I3503" s="15" t="s">
        <v>8</v>
      </c>
      <c r="J3503" s="15" t="s">
        <v>8</v>
      </c>
      <c r="N3503" s="15" t="s">
        <v>8</v>
      </c>
      <c r="R3503" s="15" t="s">
        <v>8</v>
      </c>
      <c r="V3503" s="15" t="s">
        <v>8</v>
      </c>
      <c r="W3503" s="15" t="s">
        <v>8</v>
      </c>
      <c r="X3503" s="8" t="s">
        <v>6</v>
      </c>
      <c r="Y3503" s="15" t="s">
        <v>8</v>
      </c>
    </row>
    <row r="3504" spans="3:31" x14ac:dyDescent="0.35">
      <c r="C3504" s="15" t="s">
        <v>8</v>
      </c>
      <c r="D3504" s="15" t="s">
        <v>8</v>
      </c>
      <c r="E3504" s="15" t="s">
        <v>8</v>
      </c>
      <c r="F3504" s="15" t="s">
        <v>8</v>
      </c>
      <c r="H3504" s="15" t="s">
        <v>8</v>
      </c>
      <c r="I3504" s="15" t="s">
        <v>8</v>
      </c>
      <c r="J3504" s="15" t="s">
        <v>8</v>
      </c>
      <c r="N3504" s="15" t="s">
        <v>8</v>
      </c>
      <c r="R3504" s="15" t="s">
        <v>8</v>
      </c>
      <c r="V3504" s="15" t="s">
        <v>8</v>
      </c>
      <c r="W3504" s="15" t="s">
        <v>8</v>
      </c>
      <c r="X3504" s="20" t="str">
        <f>HYPERLINK("http://yeinfo.com/family/I09066522.html", "ELIZABETH ROS 1325 EN-1380 EN ID:09066523")</f>
        <v>ELIZABETH ROS 1325 EN-1380 EN ID:09066523</v>
      </c>
      <c r="Y3504" s="17"/>
      <c r="Z3504" s="17"/>
      <c r="AA3504" s="17"/>
      <c r="AB3504" s="17"/>
    </row>
    <row r="3505" spans="3:30" x14ac:dyDescent="0.35">
      <c r="C3505" s="15" t="s">
        <v>8</v>
      </c>
      <c r="D3505" s="15" t="s">
        <v>8</v>
      </c>
      <c r="E3505" s="15" t="s">
        <v>8</v>
      </c>
      <c r="F3505" s="15" t="s">
        <v>8</v>
      </c>
      <c r="H3505" s="15" t="s">
        <v>8</v>
      </c>
      <c r="I3505" s="15" t="s">
        <v>8</v>
      </c>
      <c r="J3505" s="15" t="s">
        <v>8</v>
      </c>
      <c r="N3505" s="15" t="s">
        <v>8</v>
      </c>
      <c r="R3505" s="15" t="s">
        <v>8</v>
      </c>
      <c r="V3505" s="15" t="s">
        <v>8</v>
      </c>
      <c r="W3505" s="15" t="s">
        <v>8</v>
      </c>
      <c r="Y3505" s="15" t="s">
        <v>8</v>
      </c>
    </row>
    <row r="3506" spans="3:30" x14ac:dyDescent="0.35">
      <c r="C3506" s="15" t="s">
        <v>8</v>
      </c>
      <c r="D3506" s="15" t="s">
        <v>8</v>
      </c>
      <c r="E3506" s="15" t="s">
        <v>8</v>
      </c>
      <c r="F3506" s="15" t="s">
        <v>8</v>
      </c>
      <c r="H3506" s="15" t="s">
        <v>8</v>
      </c>
      <c r="I3506" s="15" t="s">
        <v>8</v>
      </c>
      <c r="J3506" s="15" t="s">
        <v>8</v>
      </c>
      <c r="N3506" s="15" t="s">
        <v>8</v>
      </c>
      <c r="R3506" s="15" t="s">
        <v>8</v>
      </c>
      <c r="V3506" s="15" t="s">
        <v>8</v>
      </c>
      <c r="W3506" s="15" t="s">
        <v>8</v>
      </c>
      <c r="Y3506" s="15" t="s">
        <v>8</v>
      </c>
      <c r="Z3506" s="19" t="str">
        <f>HYPERLINK("http://yeinfo.com/family/I09066579.html", "BARTHOLOMEW BADLESMERE 1275 EN-1322 EN ID:09066639")</f>
        <v>BARTHOLOMEW BADLESMERE 1275 EN-1322 EN ID:09066639</v>
      </c>
      <c r="AA3506" s="9"/>
      <c r="AB3506" s="9"/>
      <c r="AC3506" s="9"/>
      <c r="AD3506" s="9"/>
    </row>
    <row r="3507" spans="3:30" x14ac:dyDescent="0.35">
      <c r="C3507" s="15" t="s">
        <v>8</v>
      </c>
      <c r="D3507" s="15" t="s">
        <v>8</v>
      </c>
      <c r="E3507" s="15" t="s">
        <v>8</v>
      </c>
      <c r="F3507" s="15" t="s">
        <v>8</v>
      </c>
      <c r="H3507" s="15" t="s">
        <v>8</v>
      </c>
      <c r="I3507" s="15" t="s">
        <v>8</v>
      </c>
      <c r="J3507" s="15" t="s">
        <v>8</v>
      </c>
      <c r="N3507" s="15" t="s">
        <v>8</v>
      </c>
      <c r="R3507" s="15" t="s">
        <v>8</v>
      </c>
      <c r="V3507" s="15" t="s">
        <v>8</v>
      </c>
      <c r="W3507" s="15" t="s">
        <v>8</v>
      </c>
      <c r="Y3507" s="8" t="s">
        <v>6</v>
      </c>
      <c r="Z3507" s="8" t="s">
        <v>3</v>
      </c>
    </row>
    <row r="3508" spans="3:30" x14ac:dyDescent="0.35">
      <c r="C3508" s="15" t="s">
        <v>8</v>
      </c>
      <c r="D3508" s="15" t="s">
        <v>8</v>
      </c>
      <c r="E3508" s="15" t="s">
        <v>8</v>
      </c>
      <c r="F3508" s="15" t="s">
        <v>8</v>
      </c>
      <c r="H3508" s="15" t="s">
        <v>8</v>
      </c>
      <c r="I3508" s="15" t="s">
        <v>8</v>
      </c>
      <c r="J3508" s="15" t="s">
        <v>8</v>
      </c>
      <c r="N3508" s="15" t="s">
        <v>8</v>
      </c>
      <c r="R3508" s="15" t="s">
        <v>8</v>
      </c>
      <c r="V3508" s="15" t="s">
        <v>8</v>
      </c>
      <c r="W3508" s="15" t="s">
        <v>8</v>
      </c>
      <c r="Y3508" s="20" t="str">
        <f>HYPERLINK("http://yeinfo.com/family/I09066638.html", "MARGERY BADLESMERE 1290 EN-1363 EN ID:09066579")</f>
        <v>MARGERY BADLESMERE 1290 EN-1363 EN ID:09066579</v>
      </c>
      <c r="Z3508" s="17"/>
      <c r="AA3508" s="17"/>
      <c r="AB3508" s="17"/>
      <c r="AC3508" s="17"/>
    </row>
    <row r="3509" spans="3:30" x14ac:dyDescent="0.35">
      <c r="C3509" s="15" t="s">
        <v>8</v>
      </c>
      <c r="D3509" s="15" t="s">
        <v>8</v>
      </c>
      <c r="E3509" s="15" t="s">
        <v>8</v>
      </c>
      <c r="F3509" s="15" t="s">
        <v>8</v>
      </c>
      <c r="H3509" s="15" t="s">
        <v>8</v>
      </c>
      <c r="I3509" s="15" t="s">
        <v>8</v>
      </c>
      <c r="J3509" s="15" t="s">
        <v>8</v>
      </c>
      <c r="N3509" s="15" t="s">
        <v>8</v>
      </c>
      <c r="R3509" s="15" t="s">
        <v>8</v>
      </c>
      <c r="V3509" s="15" t="s">
        <v>8</v>
      </c>
      <c r="W3509" s="15" t="s">
        <v>8</v>
      </c>
      <c r="Z3509" s="8" t="s">
        <v>6</v>
      </c>
    </row>
    <row r="3510" spans="3:30" x14ac:dyDescent="0.35">
      <c r="C3510" s="15" t="s">
        <v>8</v>
      </c>
      <c r="D3510" s="15" t="s">
        <v>8</v>
      </c>
      <c r="E3510" s="15" t="s">
        <v>8</v>
      </c>
      <c r="F3510" s="15" t="s">
        <v>8</v>
      </c>
      <c r="H3510" s="15" t="s">
        <v>8</v>
      </c>
      <c r="I3510" s="15" t="s">
        <v>8</v>
      </c>
      <c r="J3510" s="15" t="s">
        <v>8</v>
      </c>
      <c r="N3510" s="15" t="s">
        <v>8</v>
      </c>
      <c r="R3510" s="15" t="s">
        <v>8</v>
      </c>
      <c r="V3510" s="15" t="s">
        <v>8</v>
      </c>
      <c r="W3510" s="15" t="s">
        <v>8</v>
      </c>
      <c r="Z3510" s="20" t="str">
        <f>HYPERLINK("http://yeinfo.com/family/I09066639.html", "MARGARET CLARE 1287 IR-1333 EN ID:09066640")</f>
        <v>MARGARET CLARE 1287 IR-1333 EN ID:09066640</v>
      </c>
      <c r="AA3510" s="17"/>
      <c r="AB3510" s="17"/>
      <c r="AC3510" s="17"/>
      <c r="AD3510" s="17"/>
    </row>
    <row r="3511" spans="3:30" x14ac:dyDescent="0.35">
      <c r="C3511" s="15" t="s">
        <v>8</v>
      </c>
      <c r="D3511" s="15" t="s">
        <v>8</v>
      </c>
      <c r="E3511" s="15" t="s">
        <v>8</v>
      </c>
      <c r="F3511" s="15" t="s">
        <v>8</v>
      </c>
      <c r="H3511" s="15" t="s">
        <v>8</v>
      </c>
      <c r="I3511" s="15" t="s">
        <v>8</v>
      </c>
      <c r="J3511" s="15" t="s">
        <v>8</v>
      </c>
      <c r="N3511" s="15" t="s">
        <v>8</v>
      </c>
      <c r="R3511" s="15" t="s">
        <v>8</v>
      </c>
      <c r="V3511" s="8" t="s">
        <v>6</v>
      </c>
      <c r="W3511" s="15" t="s">
        <v>8</v>
      </c>
    </row>
    <row r="3512" spans="3:30" x14ac:dyDescent="0.35">
      <c r="C3512" s="15" t="s">
        <v>8</v>
      </c>
      <c r="D3512" s="15" t="s">
        <v>8</v>
      </c>
      <c r="E3512" s="15" t="s">
        <v>8</v>
      </c>
      <c r="F3512" s="15" t="s">
        <v>8</v>
      </c>
      <c r="H3512" s="15" t="s">
        <v>8</v>
      </c>
      <c r="I3512" s="15" t="s">
        <v>8</v>
      </c>
      <c r="J3512" s="15" t="s">
        <v>8</v>
      </c>
      <c r="N3512" s="15" t="s">
        <v>8</v>
      </c>
      <c r="R3512" s="15" t="s">
        <v>8</v>
      </c>
      <c r="V3512" s="20" t="str">
        <f>HYPERLINK("http://yeinfo.com/family/I09066344.html", "ELEANOR ZOUCHE 1368 EN-1429 EN ID:09066196")</f>
        <v>ELEANOR ZOUCHE 1368 EN-1429 EN ID:09066196</v>
      </c>
      <c r="W3512" s="17"/>
      <c r="X3512" s="17"/>
      <c r="Y3512" s="17"/>
      <c r="Z3512" s="17"/>
    </row>
    <row r="3513" spans="3:30" x14ac:dyDescent="0.35">
      <c r="C3513" s="15" t="s">
        <v>8</v>
      </c>
      <c r="D3513" s="15" t="s">
        <v>8</v>
      </c>
      <c r="E3513" s="15" t="s">
        <v>8</v>
      </c>
      <c r="F3513" s="15" t="s">
        <v>8</v>
      </c>
      <c r="H3513" s="15" t="s">
        <v>8</v>
      </c>
      <c r="I3513" s="15" t="s">
        <v>8</v>
      </c>
      <c r="J3513" s="15" t="s">
        <v>8</v>
      </c>
      <c r="N3513" s="15" t="s">
        <v>8</v>
      </c>
      <c r="R3513" s="15" t="s">
        <v>8</v>
      </c>
      <c r="W3513" s="8" t="s">
        <v>6</v>
      </c>
    </row>
    <row r="3514" spans="3:30" x14ac:dyDescent="0.35">
      <c r="C3514" s="15" t="s">
        <v>8</v>
      </c>
      <c r="D3514" s="15" t="s">
        <v>8</v>
      </c>
      <c r="E3514" s="15" t="s">
        <v>8</v>
      </c>
      <c r="F3514" s="15" t="s">
        <v>8</v>
      </c>
      <c r="H3514" s="15" t="s">
        <v>8</v>
      </c>
      <c r="I3514" s="15" t="s">
        <v>8</v>
      </c>
      <c r="J3514" s="15" t="s">
        <v>8</v>
      </c>
      <c r="N3514" s="15" t="s">
        <v>8</v>
      </c>
      <c r="R3514" s="15" t="s">
        <v>8</v>
      </c>
      <c r="W3514" s="20" t="str">
        <f>HYPERLINK("http://yeinfo.com/family/I09066640.html", "AGNES\MARGARET GREEN 1341 EN-1391 EN ID:09066346")</f>
        <v>AGNES\MARGARET GREEN 1341 EN-1391 EN ID:09066346</v>
      </c>
      <c r="X3514" s="17"/>
      <c r="Y3514" s="17"/>
      <c r="Z3514" s="17"/>
      <c r="AA3514" s="17"/>
      <c r="AB3514" s="17"/>
    </row>
    <row r="3515" spans="3:30" x14ac:dyDescent="0.35">
      <c r="C3515" s="15" t="s">
        <v>8</v>
      </c>
      <c r="D3515" s="15" t="s">
        <v>8</v>
      </c>
      <c r="E3515" s="15" t="s">
        <v>8</v>
      </c>
      <c r="F3515" s="15" t="s">
        <v>8</v>
      </c>
      <c r="H3515" s="15" t="s">
        <v>8</v>
      </c>
      <c r="I3515" s="15" t="s">
        <v>8</v>
      </c>
      <c r="J3515" s="15" t="s">
        <v>8</v>
      </c>
      <c r="N3515" s="15" t="s">
        <v>8</v>
      </c>
      <c r="R3515" s="15" t="s">
        <v>8</v>
      </c>
    </row>
    <row r="3516" spans="3:30" x14ac:dyDescent="0.35">
      <c r="C3516" s="15" t="s">
        <v>8</v>
      </c>
      <c r="D3516" s="15" t="s">
        <v>8</v>
      </c>
      <c r="E3516" s="15" t="s">
        <v>8</v>
      </c>
      <c r="F3516" s="15" t="s">
        <v>8</v>
      </c>
      <c r="H3516" s="15" t="s">
        <v>8</v>
      </c>
      <c r="I3516" s="15" t="s">
        <v>8</v>
      </c>
      <c r="J3516" s="15" t="s">
        <v>8</v>
      </c>
      <c r="N3516" s="15" t="s">
        <v>8</v>
      </c>
      <c r="Q3516" s="19" t="str">
        <f>HYPERLINK("http://yeinfo.com/family/I09021692.html", "WILLIAM APPLETON 1506 EN-1536 EN ID:09043384")</f>
        <v>WILLIAM APPLETON 1506 EN-1536 EN ID:09043384</v>
      </c>
      <c r="R3516" s="9"/>
      <c r="S3516" s="9"/>
      <c r="T3516" s="9"/>
      <c r="U3516" s="9"/>
    </row>
    <row r="3517" spans="3:30" x14ac:dyDescent="0.35">
      <c r="C3517" s="15" t="s">
        <v>8</v>
      </c>
      <c r="D3517" s="15" t="s">
        <v>8</v>
      </c>
      <c r="E3517" s="15" t="s">
        <v>8</v>
      </c>
      <c r="F3517" s="15" t="s">
        <v>8</v>
      </c>
      <c r="H3517" s="15" t="s">
        <v>8</v>
      </c>
      <c r="I3517" s="15" t="s">
        <v>8</v>
      </c>
      <c r="J3517" s="15" t="s">
        <v>8</v>
      </c>
      <c r="N3517" s="15" t="s">
        <v>8</v>
      </c>
      <c r="Q3517" s="8" t="s">
        <v>3</v>
      </c>
      <c r="R3517" s="15" t="s">
        <v>8</v>
      </c>
    </row>
    <row r="3518" spans="3:30" x14ac:dyDescent="0.35">
      <c r="C3518" s="15" t="s">
        <v>8</v>
      </c>
      <c r="D3518" s="15" t="s">
        <v>8</v>
      </c>
      <c r="E3518" s="15" t="s">
        <v>8</v>
      </c>
      <c r="F3518" s="15" t="s">
        <v>8</v>
      </c>
      <c r="H3518" s="15" t="s">
        <v>8</v>
      </c>
      <c r="I3518" s="15" t="s">
        <v>8</v>
      </c>
      <c r="J3518" s="15" t="s">
        <v>8</v>
      </c>
      <c r="N3518" s="15" t="s">
        <v>8</v>
      </c>
      <c r="Q3518" s="15" t="s">
        <v>8</v>
      </c>
      <c r="R3518" s="15" t="s">
        <v>8</v>
      </c>
      <c r="S3518" s="19" t="str">
        <f>HYPERLINK("http://yeinfo.com/family/I09065566.html", "THOMAS MOUNTNEY 1470 EN-1533 EN ID:09065700")</f>
        <v>THOMAS MOUNTNEY 1470 EN-1533 EN ID:09065700</v>
      </c>
      <c r="T3518" s="9"/>
      <c r="U3518" s="9"/>
      <c r="V3518" s="9"/>
      <c r="W3518" s="9"/>
    </row>
    <row r="3519" spans="3:30" x14ac:dyDescent="0.35">
      <c r="C3519" s="15" t="s">
        <v>8</v>
      </c>
      <c r="D3519" s="15" t="s">
        <v>8</v>
      </c>
      <c r="E3519" s="15" t="s">
        <v>8</v>
      </c>
      <c r="F3519" s="15" t="s">
        <v>8</v>
      </c>
      <c r="H3519" s="15" t="s">
        <v>8</v>
      </c>
      <c r="I3519" s="15" t="s">
        <v>8</v>
      </c>
      <c r="J3519" s="15" t="s">
        <v>8</v>
      </c>
      <c r="N3519" s="15" t="s">
        <v>8</v>
      </c>
      <c r="Q3519" s="15" t="s">
        <v>8</v>
      </c>
      <c r="R3519" s="8" t="s">
        <v>6</v>
      </c>
      <c r="S3519" s="8" t="s">
        <v>3</v>
      </c>
    </row>
    <row r="3520" spans="3:30" x14ac:dyDescent="0.35">
      <c r="C3520" s="15" t="s">
        <v>8</v>
      </c>
      <c r="D3520" s="15" t="s">
        <v>8</v>
      </c>
      <c r="E3520" s="15" t="s">
        <v>8</v>
      </c>
      <c r="F3520" s="15" t="s">
        <v>8</v>
      </c>
      <c r="H3520" s="15" t="s">
        <v>8</v>
      </c>
      <c r="I3520" s="15" t="s">
        <v>8</v>
      </c>
      <c r="J3520" s="15" t="s">
        <v>8</v>
      </c>
      <c r="N3520" s="15" t="s">
        <v>8</v>
      </c>
      <c r="Q3520" s="15" t="s">
        <v>8</v>
      </c>
      <c r="R3520" s="20" t="str">
        <f>HYPERLINK("http://yeinfo.com/family/I09066346.html", "MARY MOUNTNEY 1491 EN-1526 EN ID:09065566")</f>
        <v>MARY MOUNTNEY 1491 EN-1526 EN ID:09065566</v>
      </c>
      <c r="S3520" s="17"/>
      <c r="T3520" s="17"/>
      <c r="U3520" s="17"/>
      <c r="V3520" s="17"/>
    </row>
    <row r="3521" spans="3:30" x14ac:dyDescent="0.35">
      <c r="C3521" s="15" t="s">
        <v>8</v>
      </c>
      <c r="D3521" s="15" t="s">
        <v>8</v>
      </c>
      <c r="E3521" s="15" t="s">
        <v>8</v>
      </c>
      <c r="F3521" s="15" t="s">
        <v>8</v>
      </c>
      <c r="H3521" s="15" t="s">
        <v>8</v>
      </c>
      <c r="I3521" s="15" t="s">
        <v>8</v>
      </c>
      <c r="J3521" s="15" t="s">
        <v>8</v>
      </c>
      <c r="N3521" s="15" t="s">
        <v>8</v>
      </c>
      <c r="Q3521" s="15" t="s">
        <v>8</v>
      </c>
      <c r="S3521" s="8" t="s">
        <v>6</v>
      </c>
    </row>
    <row r="3522" spans="3:30" x14ac:dyDescent="0.35">
      <c r="C3522" s="15" t="s">
        <v>8</v>
      </c>
      <c r="D3522" s="15" t="s">
        <v>8</v>
      </c>
      <c r="E3522" s="15" t="s">
        <v>8</v>
      </c>
      <c r="F3522" s="15" t="s">
        <v>8</v>
      </c>
      <c r="H3522" s="15" t="s">
        <v>8</v>
      </c>
      <c r="I3522" s="15" t="s">
        <v>8</v>
      </c>
      <c r="J3522" s="15" t="s">
        <v>8</v>
      </c>
      <c r="N3522" s="15" t="s">
        <v>8</v>
      </c>
      <c r="Q3522" s="15" t="s">
        <v>8</v>
      </c>
      <c r="S3522" s="20" t="str">
        <f>HYPERLINK("http://yeinfo.com/family/I09065700.html", "Mrs. MARY MOUNTNEY 1474 EN-1566 EN ID:09065701")</f>
        <v>Mrs. MARY MOUNTNEY 1474 EN-1566 EN ID:09065701</v>
      </c>
      <c r="T3522" s="17"/>
      <c r="U3522" s="17"/>
      <c r="V3522" s="17"/>
      <c r="W3522" s="17"/>
    </row>
    <row r="3523" spans="3:30" x14ac:dyDescent="0.35">
      <c r="C3523" s="15" t="s">
        <v>8</v>
      </c>
      <c r="D3523" s="15" t="s">
        <v>8</v>
      </c>
      <c r="E3523" s="15" t="s">
        <v>8</v>
      </c>
      <c r="F3523" s="15" t="s">
        <v>8</v>
      </c>
      <c r="H3523" s="15" t="s">
        <v>8</v>
      </c>
      <c r="I3523" s="15" t="s">
        <v>8</v>
      </c>
      <c r="J3523" s="15" t="s">
        <v>8</v>
      </c>
      <c r="N3523" s="15" t="s">
        <v>8</v>
      </c>
      <c r="Q3523" s="15" t="s">
        <v>8</v>
      </c>
    </row>
    <row r="3524" spans="3:30" x14ac:dyDescent="0.35">
      <c r="C3524" s="15" t="s">
        <v>8</v>
      </c>
      <c r="D3524" s="15" t="s">
        <v>8</v>
      </c>
      <c r="E3524" s="15" t="s">
        <v>8</v>
      </c>
      <c r="F3524" s="15" t="s">
        <v>8</v>
      </c>
      <c r="H3524" s="15" t="s">
        <v>8</v>
      </c>
      <c r="I3524" s="15" t="s">
        <v>8</v>
      </c>
      <c r="J3524" s="15" t="s">
        <v>8</v>
      </c>
      <c r="N3524" s="15" t="s">
        <v>8</v>
      </c>
      <c r="P3524" s="19" t="str">
        <f>HYPERLINK("http://yeinfo.com/family/I09010846.html", "THOMAS APPLETON 1536 EN-1603 EN ID:09021692")</f>
        <v>THOMAS APPLETON 1536 EN-1603 EN ID:09021692</v>
      </c>
      <c r="Q3524" s="9"/>
      <c r="R3524" s="9"/>
      <c r="S3524" s="9"/>
      <c r="T3524" s="9"/>
    </row>
    <row r="3525" spans="3:30" x14ac:dyDescent="0.35">
      <c r="C3525" s="15" t="s">
        <v>8</v>
      </c>
      <c r="D3525" s="15" t="s">
        <v>8</v>
      </c>
      <c r="E3525" s="15" t="s">
        <v>8</v>
      </c>
      <c r="F3525" s="15" t="s">
        <v>8</v>
      </c>
      <c r="H3525" s="15" t="s">
        <v>8</v>
      </c>
      <c r="I3525" s="15" t="s">
        <v>8</v>
      </c>
      <c r="J3525" s="15" t="s">
        <v>8</v>
      </c>
      <c r="N3525" s="15" t="s">
        <v>8</v>
      </c>
      <c r="P3525" s="8" t="s">
        <v>3</v>
      </c>
      <c r="Q3525" s="15" t="s">
        <v>8</v>
      </c>
    </row>
    <row r="3526" spans="3:30" x14ac:dyDescent="0.35">
      <c r="C3526" s="15" t="s">
        <v>8</v>
      </c>
      <c r="D3526" s="15" t="s">
        <v>8</v>
      </c>
      <c r="E3526" s="15" t="s">
        <v>8</v>
      </c>
      <c r="F3526" s="15" t="s">
        <v>8</v>
      </c>
      <c r="H3526" s="15" t="s">
        <v>8</v>
      </c>
      <c r="I3526" s="15" t="s">
        <v>8</v>
      </c>
      <c r="J3526" s="15" t="s">
        <v>8</v>
      </c>
      <c r="N3526" s="15" t="s">
        <v>8</v>
      </c>
      <c r="P3526" s="15" t="s">
        <v>8</v>
      </c>
      <c r="Q3526" s="15" t="s">
        <v>8</v>
      </c>
      <c r="S3526" s="19" t="str">
        <f>HYPERLINK("http://yeinfo.com/family/I09065567.html", "ALEYN SEXTON 1470 EN-1491 EN ID:09065702")</f>
        <v>ALEYN SEXTON 1470 EN-1491 EN ID:09065702</v>
      </c>
      <c r="T3526" s="9"/>
      <c r="U3526" s="9"/>
      <c r="V3526" s="9"/>
      <c r="W3526" s="9"/>
    </row>
    <row r="3527" spans="3:30" x14ac:dyDescent="0.35">
      <c r="C3527" s="15" t="s">
        <v>8</v>
      </c>
      <c r="D3527" s="15" t="s">
        <v>8</v>
      </c>
      <c r="E3527" s="15" t="s">
        <v>8</v>
      </c>
      <c r="F3527" s="15" t="s">
        <v>8</v>
      </c>
      <c r="H3527" s="15" t="s">
        <v>8</v>
      </c>
      <c r="I3527" s="15" t="s">
        <v>8</v>
      </c>
      <c r="J3527" s="15" t="s">
        <v>8</v>
      </c>
      <c r="N3527" s="15" t="s">
        <v>8</v>
      </c>
      <c r="P3527" s="15" t="s">
        <v>8</v>
      </c>
      <c r="Q3527" s="15" t="s">
        <v>8</v>
      </c>
      <c r="S3527" s="8" t="s">
        <v>3</v>
      </c>
    </row>
    <row r="3528" spans="3:30" x14ac:dyDescent="0.35">
      <c r="C3528" s="15" t="s">
        <v>8</v>
      </c>
      <c r="D3528" s="15" t="s">
        <v>8</v>
      </c>
      <c r="E3528" s="15" t="s">
        <v>8</v>
      </c>
      <c r="F3528" s="15" t="s">
        <v>8</v>
      </c>
      <c r="H3528" s="15" t="s">
        <v>8</v>
      </c>
      <c r="I3528" s="15" t="s">
        <v>8</v>
      </c>
      <c r="J3528" s="15" t="s">
        <v>8</v>
      </c>
      <c r="N3528" s="15" t="s">
        <v>8</v>
      </c>
      <c r="P3528" s="15" t="s">
        <v>8</v>
      </c>
      <c r="Q3528" s="15" t="s">
        <v>8</v>
      </c>
      <c r="R3528" s="19" t="str">
        <f>HYPERLINK("http://yeinfo.com/family/I09043385.html", "ROBERT SEXTON 1491 EN-1517 EN ID:09065567")</f>
        <v>ROBERT SEXTON 1491 EN-1517 EN ID:09065567</v>
      </c>
      <c r="S3528" s="9"/>
      <c r="T3528" s="9"/>
      <c r="U3528" s="9"/>
      <c r="V3528" s="9"/>
    </row>
    <row r="3529" spans="3:30" x14ac:dyDescent="0.35">
      <c r="C3529" s="15" t="s">
        <v>8</v>
      </c>
      <c r="D3529" s="15" t="s">
        <v>8</v>
      </c>
      <c r="E3529" s="15" t="s">
        <v>8</v>
      </c>
      <c r="F3529" s="15" t="s">
        <v>8</v>
      </c>
      <c r="H3529" s="15" t="s">
        <v>8</v>
      </c>
      <c r="I3529" s="15" t="s">
        <v>8</v>
      </c>
      <c r="J3529" s="15" t="s">
        <v>8</v>
      </c>
      <c r="N3529" s="15" t="s">
        <v>8</v>
      </c>
      <c r="P3529" s="15" t="s">
        <v>8</v>
      </c>
      <c r="Q3529" s="15" t="s">
        <v>8</v>
      </c>
      <c r="R3529" s="8" t="s">
        <v>3</v>
      </c>
      <c r="S3529" s="8" t="s">
        <v>6</v>
      </c>
    </row>
    <row r="3530" spans="3:30" x14ac:dyDescent="0.35">
      <c r="C3530" s="15" t="s">
        <v>8</v>
      </c>
      <c r="D3530" s="15" t="s">
        <v>8</v>
      </c>
      <c r="E3530" s="15" t="s">
        <v>8</v>
      </c>
      <c r="F3530" s="15" t="s">
        <v>8</v>
      </c>
      <c r="H3530" s="15" t="s">
        <v>8</v>
      </c>
      <c r="I3530" s="15" t="s">
        <v>8</v>
      </c>
      <c r="J3530" s="15" t="s">
        <v>8</v>
      </c>
      <c r="N3530" s="15" t="s">
        <v>8</v>
      </c>
      <c r="P3530" s="15" t="s">
        <v>8</v>
      </c>
      <c r="Q3530" s="15" t="s">
        <v>8</v>
      </c>
      <c r="R3530" s="15" t="s">
        <v>8</v>
      </c>
      <c r="S3530" s="20" t="str">
        <f>HYPERLINK("http://yeinfo.com/family/I09065702.html", "Mrs. ROSE SEXTON 1474 EN-1516 EN ID:09065703")</f>
        <v>Mrs. ROSE SEXTON 1474 EN-1516 EN ID:09065703</v>
      </c>
      <c r="T3530" s="17"/>
      <c r="U3530" s="17"/>
      <c r="V3530" s="17"/>
      <c r="W3530" s="17"/>
    </row>
    <row r="3531" spans="3:30" x14ac:dyDescent="0.35">
      <c r="C3531" s="15" t="s">
        <v>8</v>
      </c>
      <c r="D3531" s="15" t="s">
        <v>8</v>
      </c>
      <c r="E3531" s="15" t="s">
        <v>8</v>
      </c>
      <c r="F3531" s="15" t="s">
        <v>8</v>
      </c>
      <c r="H3531" s="15" t="s">
        <v>8</v>
      </c>
      <c r="I3531" s="15" t="s">
        <v>8</v>
      </c>
      <c r="J3531" s="15" t="s">
        <v>8</v>
      </c>
      <c r="N3531" s="15" t="s">
        <v>8</v>
      </c>
      <c r="P3531" s="15" t="s">
        <v>8</v>
      </c>
      <c r="Q3531" s="8" t="s">
        <v>6</v>
      </c>
      <c r="R3531" s="15" t="s">
        <v>8</v>
      </c>
    </row>
    <row r="3532" spans="3:30" x14ac:dyDescent="0.35">
      <c r="C3532" s="15" t="s">
        <v>8</v>
      </c>
      <c r="D3532" s="15" t="s">
        <v>8</v>
      </c>
      <c r="E3532" s="15" t="s">
        <v>8</v>
      </c>
      <c r="F3532" s="15" t="s">
        <v>8</v>
      </c>
      <c r="H3532" s="15" t="s">
        <v>8</v>
      </c>
      <c r="I3532" s="15" t="s">
        <v>8</v>
      </c>
      <c r="J3532" s="15" t="s">
        <v>8</v>
      </c>
      <c r="N3532" s="15" t="s">
        <v>8</v>
      </c>
      <c r="P3532" s="15" t="s">
        <v>8</v>
      </c>
      <c r="Q3532" s="20" t="str">
        <f>HYPERLINK("http://yeinfo.com/family/I09065701.html", "ROSE SEXTON 1517 EN-1538 EN ID:09043385")</f>
        <v>ROSE SEXTON 1517 EN-1538 EN ID:09043385</v>
      </c>
      <c r="R3532" s="17"/>
      <c r="S3532" s="17"/>
      <c r="T3532" s="17"/>
      <c r="U3532" s="17"/>
    </row>
    <row r="3533" spans="3:30" x14ac:dyDescent="0.35">
      <c r="C3533" s="15" t="s">
        <v>8</v>
      </c>
      <c r="D3533" s="15" t="s">
        <v>8</v>
      </c>
      <c r="E3533" s="15" t="s">
        <v>8</v>
      </c>
      <c r="F3533" s="15" t="s">
        <v>8</v>
      </c>
      <c r="H3533" s="15" t="s">
        <v>8</v>
      </c>
      <c r="I3533" s="15" t="s">
        <v>8</v>
      </c>
      <c r="J3533" s="15" t="s">
        <v>8</v>
      </c>
      <c r="N3533" s="15" t="s">
        <v>8</v>
      </c>
      <c r="P3533" s="15" t="s">
        <v>8</v>
      </c>
      <c r="R3533" s="15" t="s">
        <v>8</v>
      </c>
    </row>
    <row r="3534" spans="3:30" x14ac:dyDescent="0.35">
      <c r="C3534" s="15" t="s">
        <v>8</v>
      </c>
      <c r="D3534" s="15" t="s">
        <v>8</v>
      </c>
      <c r="E3534" s="15" t="s">
        <v>8</v>
      </c>
      <c r="F3534" s="15" t="s">
        <v>8</v>
      </c>
      <c r="H3534" s="15" t="s">
        <v>8</v>
      </c>
      <c r="I3534" s="15" t="s">
        <v>8</v>
      </c>
      <c r="J3534" s="15" t="s">
        <v>8</v>
      </c>
      <c r="N3534" s="15" t="s">
        <v>8</v>
      </c>
      <c r="P3534" s="15" t="s">
        <v>8</v>
      </c>
      <c r="R3534" s="15" t="s">
        <v>8</v>
      </c>
      <c r="Z3534" s="19" t="str">
        <f>HYPERLINK("http://yeinfo.com/family/I09066580.html", "THOMAS JERMYN 1245 EN-1267 EN ID:09066641")</f>
        <v>THOMAS JERMYN 1245 EN-1267 EN ID:09066641</v>
      </c>
      <c r="AA3534" s="9"/>
      <c r="AB3534" s="9"/>
      <c r="AC3534" s="9"/>
      <c r="AD3534" s="9"/>
    </row>
    <row r="3535" spans="3:30" x14ac:dyDescent="0.35">
      <c r="C3535" s="15" t="s">
        <v>8</v>
      </c>
      <c r="D3535" s="15" t="s">
        <v>8</v>
      </c>
      <c r="E3535" s="15" t="s">
        <v>8</v>
      </c>
      <c r="F3535" s="15" t="s">
        <v>8</v>
      </c>
      <c r="H3535" s="15" t="s">
        <v>8</v>
      </c>
      <c r="I3535" s="15" t="s">
        <v>8</v>
      </c>
      <c r="J3535" s="15" t="s">
        <v>8</v>
      </c>
      <c r="N3535" s="15" t="s">
        <v>8</v>
      </c>
      <c r="P3535" s="15" t="s">
        <v>8</v>
      </c>
      <c r="R3535" s="15" t="s">
        <v>8</v>
      </c>
      <c r="Z3535" s="8" t="s">
        <v>3</v>
      </c>
    </row>
    <row r="3536" spans="3:30" x14ac:dyDescent="0.35">
      <c r="C3536" s="15" t="s">
        <v>8</v>
      </c>
      <c r="D3536" s="15" t="s">
        <v>8</v>
      </c>
      <c r="E3536" s="15" t="s">
        <v>8</v>
      </c>
      <c r="F3536" s="15" t="s">
        <v>8</v>
      </c>
      <c r="H3536" s="15" t="s">
        <v>8</v>
      </c>
      <c r="I3536" s="15" t="s">
        <v>8</v>
      </c>
      <c r="J3536" s="15" t="s">
        <v>8</v>
      </c>
      <c r="N3536" s="15" t="s">
        <v>8</v>
      </c>
      <c r="P3536" s="15" t="s">
        <v>8</v>
      </c>
      <c r="R3536" s="15" t="s">
        <v>8</v>
      </c>
      <c r="Y3536" s="19" t="str">
        <f>HYPERLINK("http://yeinfo.com/family/I09066524.html", "JOHN JERMYN 1267 EN-1287 EN ID:09066580")</f>
        <v>JOHN JERMYN 1267 EN-1287 EN ID:09066580</v>
      </c>
      <c r="Z3536" s="9"/>
      <c r="AA3536" s="9"/>
      <c r="AB3536" s="9"/>
      <c r="AC3536" s="9"/>
    </row>
    <row r="3537" spans="3:30" x14ac:dyDescent="0.35">
      <c r="C3537" s="15" t="s">
        <v>8</v>
      </c>
      <c r="D3537" s="15" t="s">
        <v>8</v>
      </c>
      <c r="E3537" s="15" t="s">
        <v>8</v>
      </c>
      <c r="F3537" s="15" t="s">
        <v>8</v>
      </c>
      <c r="H3537" s="15" t="s">
        <v>8</v>
      </c>
      <c r="I3537" s="15" t="s">
        <v>8</v>
      </c>
      <c r="J3537" s="15" t="s">
        <v>8</v>
      </c>
      <c r="N3537" s="15" t="s">
        <v>8</v>
      </c>
      <c r="P3537" s="15" t="s">
        <v>8</v>
      </c>
      <c r="R3537" s="15" t="s">
        <v>8</v>
      </c>
      <c r="Y3537" s="8" t="s">
        <v>3</v>
      </c>
      <c r="Z3537" s="8" t="s">
        <v>6</v>
      </c>
    </row>
    <row r="3538" spans="3:30" x14ac:dyDescent="0.35">
      <c r="C3538" s="15" t="s">
        <v>8</v>
      </c>
      <c r="D3538" s="15" t="s">
        <v>8</v>
      </c>
      <c r="E3538" s="15" t="s">
        <v>8</v>
      </c>
      <c r="F3538" s="15" t="s">
        <v>8</v>
      </c>
      <c r="H3538" s="15" t="s">
        <v>8</v>
      </c>
      <c r="I3538" s="15" t="s">
        <v>8</v>
      </c>
      <c r="J3538" s="15" t="s">
        <v>8</v>
      </c>
      <c r="N3538" s="15" t="s">
        <v>8</v>
      </c>
      <c r="P3538" s="15" t="s">
        <v>8</v>
      </c>
      <c r="R3538" s="15" t="s">
        <v>8</v>
      </c>
      <c r="Y3538" s="15" t="s">
        <v>8</v>
      </c>
      <c r="Z3538" s="20" t="str">
        <f>HYPERLINK("http://yeinfo.com/family/I09066641.html", "AGNES RUSHBROOK 1246 EN-1267 EN ID:09066642")</f>
        <v>AGNES RUSHBROOK 1246 EN-1267 EN ID:09066642</v>
      </c>
      <c r="AA3538" s="17"/>
      <c r="AB3538" s="17"/>
      <c r="AC3538" s="17"/>
      <c r="AD3538" s="17"/>
    </row>
    <row r="3539" spans="3:30" x14ac:dyDescent="0.35">
      <c r="C3539" s="15" t="s">
        <v>8</v>
      </c>
      <c r="D3539" s="15" t="s">
        <v>8</v>
      </c>
      <c r="E3539" s="15" t="s">
        <v>8</v>
      </c>
      <c r="F3539" s="15" t="s">
        <v>8</v>
      </c>
      <c r="H3539" s="15" t="s">
        <v>8</v>
      </c>
      <c r="I3539" s="15" t="s">
        <v>8</v>
      </c>
      <c r="J3539" s="15" t="s">
        <v>8</v>
      </c>
      <c r="N3539" s="15" t="s">
        <v>8</v>
      </c>
      <c r="P3539" s="15" t="s">
        <v>8</v>
      </c>
      <c r="R3539" s="15" t="s">
        <v>8</v>
      </c>
      <c r="Y3539" s="15" t="s">
        <v>8</v>
      </c>
    </row>
    <row r="3540" spans="3:30" x14ac:dyDescent="0.35">
      <c r="C3540" s="15" t="s">
        <v>8</v>
      </c>
      <c r="D3540" s="15" t="s">
        <v>8</v>
      </c>
      <c r="E3540" s="15" t="s">
        <v>8</v>
      </c>
      <c r="F3540" s="15" t="s">
        <v>8</v>
      </c>
      <c r="H3540" s="15" t="s">
        <v>8</v>
      </c>
      <c r="I3540" s="15" t="s">
        <v>8</v>
      </c>
      <c r="J3540" s="15" t="s">
        <v>8</v>
      </c>
      <c r="N3540" s="15" t="s">
        <v>8</v>
      </c>
      <c r="P3540" s="15" t="s">
        <v>8</v>
      </c>
      <c r="R3540" s="15" t="s">
        <v>8</v>
      </c>
      <c r="X3540" s="19" t="str">
        <f>HYPERLINK("http://yeinfo.com/family/I09066347.html", "HUGH JERMYN 1284 EN-1310 EN ID:09066524")</f>
        <v>HUGH JERMYN 1284 EN-1310 EN ID:09066524</v>
      </c>
      <c r="Y3540" s="9"/>
      <c r="Z3540" s="9"/>
      <c r="AA3540" s="9"/>
      <c r="AB3540" s="9"/>
    </row>
    <row r="3541" spans="3:30" x14ac:dyDescent="0.35">
      <c r="C3541" s="15" t="s">
        <v>8</v>
      </c>
      <c r="D3541" s="15" t="s">
        <v>8</v>
      </c>
      <c r="E3541" s="15" t="s">
        <v>8</v>
      </c>
      <c r="F3541" s="15" t="s">
        <v>8</v>
      </c>
      <c r="H3541" s="15" t="s">
        <v>8</v>
      </c>
      <c r="I3541" s="15" t="s">
        <v>8</v>
      </c>
      <c r="J3541" s="15" t="s">
        <v>8</v>
      </c>
      <c r="N3541" s="15" t="s">
        <v>8</v>
      </c>
      <c r="P3541" s="15" t="s">
        <v>8</v>
      </c>
      <c r="R3541" s="15" t="s">
        <v>8</v>
      </c>
      <c r="X3541" s="8" t="s">
        <v>3</v>
      </c>
      <c r="Y3541" s="8" t="s">
        <v>6</v>
      </c>
    </row>
    <row r="3542" spans="3:30" x14ac:dyDescent="0.35">
      <c r="C3542" s="15" t="s">
        <v>8</v>
      </c>
      <c r="D3542" s="15" t="s">
        <v>8</v>
      </c>
      <c r="E3542" s="15" t="s">
        <v>8</v>
      </c>
      <c r="F3542" s="15" t="s">
        <v>8</v>
      </c>
      <c r="H3542" s="15" t="s">
        <v>8</v>
      </c>
      <c r="I3542" s="15" t="s">
        <v>8</v>
      </c>
      <c r="J3542" s="15" t="s">
        <v>8</v>
      </c>
      <c r="N3542" s="15" t="s">
        <v>8</v>
      </c>
      <c r="P3542" s="15" t="s">
        <v>8</v>
      </c>
      <c r="R3542" s="15" t="s">
        <v>8</v>
      </c>
      <c r="X3542" s="15" t="s">
        <v>8</v>
      </c>
      <c r="Y3542" s="20" t="str">
        <f>HYPERLINK("http://yeinfo.com/family/I09066642.html", "Mrs. {_?_} JERMYN 1267 -1287 EN ID:09066581")</f>
        <v>Mrs. {_?_} JERMYN 1267 -1287 EN ID:09066581</v>
      </c>
      <c r="Z3542" s="17"/>
      <c r="AA3542" s="17"/>
      <c r="AB3542" s="17"/>
      <c r="AC3542" s="17"/>
    </row>
    <row r="3543" spans="3:30" x14ac:dyDescent="0.35">
      <c r="C3543" s="15" t="s">
        <v>8</v>
      </c>
      <c r="D3543" s="15" t="s">
        <v>8</v>
      </c>
      <c r="E3543" s="15" t="s">
        <v>8</v>
      </c>
      <c r="F3543" s="15" t="s">
        <v>8</v>
      </c>
      <c r="H3543" s="15" t="s">
        <v>8</v>
      </c>
      <c r="I3543" s="15" t="s">
        <v>8</v>
      </c>
      <c r="J3543" s="15" t="s">
        <v>8</v>
      </c>
      <c r="N3543" s="15" t="s">
        <v>8</v>
      </c>
      <c r="P3543" s="15" t="s">
        <v>8</v>
      </c>
      <c r="R3543" s="15" t="s">
        <v>8</v>
      </c>
      <c r="X3543" s="15" t="s">
        <v>8</v>
      </c>
    </row>
    <row r="3544" spans="3:30" x14ac:dyDescent="0.35">
      <c r="C3544" s="15" t="s">
        <v>8</v>
      </c>
      <c r="D3544" s="15" t="s">
        <v>8</v>
      </c>
      <c r="E3544" s="15" t="s">
        <v>8</v>
      </c>
      <c r="F3544" s="15" t="s">
        <v>8</v>
      </c>
      <c r="H3544" s="15" t="s">
        <v>8</v>
      </c>
      <c r="I3544" s="15" t="s">
        <v>8</v>
      </c>
      <c r="J3544" s="15" t="s">
        <v>8</v>
      </c>
      <c r="N3544" s="15" t="s">
        <v>8</v>
      </c>
      <c r="P3544" s="15" t="s">
        <v>8</v>
      </c>
      <c r="R3544" s="15" t="s">
        <v>8</v>
      </c>
      <c r="W3544" s="19" t="str">
        <f>HYPERLINK("http://yeinfo.com/family/I09066197.html", "JOHN JERMYN 1310 EN-1363 EN ID:09066347")</f>
        <v>JOHN JERMYN 1310 EN-1363 EN ID:09066347</v>
      </c>
      <c r="X3544" s="9"/>
      <c r="Y3544" s="9"/>
      <c r="Z3544" s="9"/>
      <c r="AA3544" s="9"/>
    </row>
    <row r="3545" spans="3:30" x14ac:dyDescent="0.35">
      <c r="C3545" s="15" t="s">
        <v>8</v>
      </c>
      <c r="D3545" s="15" t="s">
        <v>8</v>
      </c>
      <c r="E3545" s="15" t="s">
        <v>8</v>
      </c>
      <c r="F3545" s="15" t="s">
        <v>8</v>
      </c>
      <c r="H3545" s="15" t="s">
        <v>8</v>
      </c>
      <c r="I3545" s="15" t="s">
        <v>8</v>
      </c>
      <c r="J3545" s="15" t="s">
        <v>8</v>
      </c>
      <c r="N3545" s="15" t="s">
        <v>8</v>
      </c>
      <c r="P3545" s="15" t="s">
        <v>8</v>
      </c>
      <c r="R3545" s="15" t="s">
        <v>8</v>
      </c>
      <c r="W3545" s="8" t="s">
        <v>3</v>
      </c>
      <c r="X3545" s="8" t="s">
        <v>6</v>
      </c>
    </row>
    <row r="3546" spans="3:30" x14ac:dyDescent="0.35">
      <c r="C3546" s="15" t="s">
        <v>8</v>
      </c>
      <c r="D3546" s="15" t="s">
        <v>8</v>
      </c>
      <c r="E3546" s="15" t="s">
        <v>8</v>
      </c>
      <c r="F3546" s="15" t="s">
        <v>8</v>
      </c>
      <c r="H3546" s="15" t="s">
        <v>8</v>
      </c>
      <c r="I3546" s="15" t="s">
        <v>8</v>
      </c>
      <c r="J3546" s="15" t="s">
        <v>8</v>
      </c>
      <c r="N3546" s="15" t="s">
        <v>8</v>
      </c>
      <c r="P3546" s="15" t="s">
        <v>8</v>
      </c>
      <c r="R3546" s="15" t="s">
        <v>8</v>
      </c>
      <c r="W3546" s="15" t="s">
        <v>8</v>
      </c>
      <c r="X3546" s="20" t="str">
        <f>HYPERLINK("http://yeinfo.com/family/I09066581.html", "Mrs. MAUD JERMYN 1286 EN-1310 EN ID:09066525")</f>
        <v>Mrs. MAUD JERMYN 1286 EN-1310 EN ID:09066525</v>
      </c>
      <c r="Y3546" s="17"/>
      <c r="Z3546" s="17"/>
      <c r="AA3546" s="17"/>
      <c r="AB3546" s="17"/>
    </row>
    <row r="3547" spans="3:30" x14ac:dyDescent="0.35">
      <c r="C3547" s="15" t="s">
        <v>8</v>
      </c>
      <c r="D3547" s="15" t="s">
        <v>8</v>
      </c>
      <c r="E3547" s="15" t="s">
        <v>8</v>
      </c>
      <c r="F3547" s="15" t="s">
        <v>8</v>
      </c>
      <c r="H3547" s="15" t="s">
        <v>8</v>
      </c>
      <c r="I3547" s="15" t="s">
        <v>8</v>
      </c>
      <c r="J3547" s="15" t="s">
        <v>8</v>
      </c>
      <c r="N3547" s="15" t="s">
        <v>8</v>
      </c>
      <c r="P3547" s="15" t="s">
        <v>8</v>
      </c>
      <c r="R3547" s="15" t="s">
        <v>8</v>
      </c>
      <c r="W3547" s="15" t="s">
        <v>8</v>
      </c>
    </row>
    <row r="3548" spans="3:30" x14ac:dyDescent="0.35">
      <c r="C3548" s="15" t="s">
        <v>8</v>
      </c>
      <c r="D3548" s="15" t="s">
        <v>8</v>
      </c>
      <c r="E3548" s="15" t="s">
        <v>8</v>
      </c>
      <c r="F3548" s="15" t="s">
        <v>8</v>
      </c>
      <c r="H3548" s="15" t="s">
        <v>8</v>
      </c>
      <c r="I3548" s="15" t="s">
        <v>8</v>
      </c>
      <c r="J3548" s="15" t="s">
        <v>8</v>
      </c>
      <c r="N3548" s="15" t="s">
        <v>8</v>
      </c>
      <c r="P3548" s="15" t="s">
        <v>8</v>
      </c>
      <c r="R3548" s="15" t="s">
        <v>8</v>
      </c>
      <c r="V3548" s="19" t="str">
        <f>HYPERLINK("http://yeinfo.com/family/I09066007.html", "WILLIAM JERMYN 1363 EN-1434 EN ID:09066197")</f>
        <v>WILLIAM JERMYN 1363 EN-1434 EN ID:09066197</v>
      </c>
      <c r="W3548" s="9"/>
      <c r="X3548" s="9"/>
      <c r="Y3548" s="9"/>
      <c r="Z3548" s="9"/>
    </row>
    <row r="3549" spans="3:30" x14ac:dyDescent="0.35">
      <c r="C3549" s="15" t="s">
        <v>8</v>
      </c>
      <c r="D3549" s="15" t="s">
        <v>8</v>
      </c>
      <c r="E3549" s="15" t="s">
        <v>8</v>
      </c>
      <c r="F3549" s="15" t="s">
        <v>8</v>
      </c>
      <c r="H3549" s="15" t="s">
        <v>8</v>
      </c>
      <c r="I3549" s="15" t="s">
        <v>8</v>
      </c>
      <c r="J3549" s="15" t="s">
        <v>8</v>
      </c>
      <c r="N3549" s="15" t="s">
        <v>8</v>
      </c>
      <c r="P3549" s="15" t="s">
        <v>8</v>
      </c>
      <c r="R3549" s="15" t="s">
        <v>8</v>
      </c>
      <c r="V3549" s="8" t="s">
        <v>3</v>
      </c>
      <c r="W3549" s="8" t="s">
        <v>6</v>
      </c>
    </row>
    <row r="3550" spans="3:30" x14ac:dyDescent="0.35">
      <c r="C3550" s="15" t="s">
        <v>8</v>
      </c>
      <c r="D3550" s="15" t="s">
        <v>8</v>
      </c>
      <c r="E3550" s="15" t="s">
        <v>8</v>
      </c>
      <c r="F3550" s="15" t="s">
        <v>8</v>
      </c>
      <c r="H3550" s="15" t="s">
        <v>8</v>
      </c>
      <c r="I3550" s="15" t="s">
        <v>8</v>
      </c>
      <c r="J3550" s="15" t="s">
        <v>8</v>
      </c>
      <c r="N3550" s="15" t="s">
        <v>8</v>
      </c>
      <c r="P3550" s="15" t="s">
        <v>8</v>
      </c>
      <c r="R3550" s="15" t="s">
        <v>8</v>
      </c>
      <c r="V3550" s="15" t="s">
        <v>8</v>
      </c>
      <c r="W3550" s="20" t="str">
        <f>HYPERLINK("http://yeinfo.com/family/I09066525.html", "Mrs. JOANNA JERMYN 1339 EN-1363 EN ID:09066348")</f>
        <v>Mrs. JOANNA JERMYN 1339 EN-1363 EN ID:09066348</v>
      </c>
      <c r="X3550" s="17"/>
      <c r="Y3550" s="17"/>
      <c r="Z3550" s="17"/>
      <c r="AA3550" s="17"/>
    </row>
    <row r="3551" spans="3:30" x14ac:dyDescent="0.35">
      <c r="C3551" s="15" t="s">
        <v>8</v>
      </c>
      <c r="D3551" s="15" t="s">
        <v>8</v>
      </c>
      <c r="E3551" s="15" t="s">
        <v>8</v>
      </c>
      <c r="F3551" s="15" t="s">
        <v>8</v>
      </c>
      <c r="H3551" s="15" t="s">
        <v>8</v>
      </c>
      <c r="I3551" s="15" t="s">
        <v>8</v>
      </c>
      <c r="J3551" s="15" t="s">
        <v>8</v>
      </c>
      <c r="N3551" s="15" t="s">
        <v>8</v>
      </c>
      <c r="P3551" s="15" t="s">
        <v>8</v>
      </c>
      <c r="R3551" s="15" t="s">
        <v>8</v>
      </c>
      <c r="V3551" s="15" t="s">
        <v>8</v>
      </c>
    </row>
    <row r="3552" spans="3:30" x14ac:dyDescent="0.35">
      <c r="C3552" s="15" t="s">
        <v>8</v>
      </c>
      <c r="D3552" s="15" t="s">
        <v>8</v>
      </c>
      <c r="E3552" s="15" t="s">
        <v>8</v>
      </c>
      <c r="F3552" s="15" t="s">
        <v>8</v>
      </c>
      <c r="H3552" s="15" t="s">
        <v>8</v>
      </c>
      <c r="I3552" s="15" t="s">
        <v>8</v>
      </c>
      <c r="J3552" s="15" t="s">
        <v>8</v>
      </c>
      <c r="N3552" s="15" t="s">
        <v>8</v>
      </c>
      <c r="P3552" s="15" t="s">
        <v>8</v>
      </c>
      <c r="R3552" s="15" t="s">
        <v>8</v>
      </c>
      <c r="U3552" s="19" t="str">
        <f>HYPERLINK("http://yeinfo.com/family/I09065837.html", "JOHN JERMYN 1396 EN-1441 EN ID:09066007")</f>
        <v>JOHN JERMYN 1396 EN-1441 EN ID:09066007</v>
      </c>
      <c r="V3552" s="9"/>
      <c r="W3552" s="9"/>
      <c r="X3552" s="9"/>
      <c r="Y3552" s="9"/>
    </row>
    <row r="3553" spans="3:26" x14ac:dyDescent="0.35">
      <c r="C3553" s="15" t="s">
        <v>8</v>
      </c>
      <c r="D3553" s="15" t="s">
        <v>8</v>
      </c>
      <c r="E3553" s="15" t="s">
        <v>8</v>
      </c>
      <c r="F3553" s="15" t="s">
        <v>8</v>
      </c>
      <c r="H3553" s="15" t="s">
        <v>8</v>
      </c>
      <c r="I3553" s="15" t="s">
        <v>8</v>
      </c>
      <c r="J3553" s="15" t="s">
        <v>8</v>
      </c>
      <c r="N3553" s="15" t="s">
        <v>8</v>
      </c>
      <c r="P3553" s="15" t="s">
        <v>8</v>
      </c>
      <c r="R3553" s="15" t="s">
        <v>8</v>
      </c>
      <c r="U3553" s="8" t="s">
        <v>3</v>
      </c>
      <c r="V3553" s="8" t="s">
        <v>6</v>
      </c>
    </row>
    <row r="3554" spans="3:26" x14ac:dyDescent="0.35">
      <c r="C3554" s="15" t="s">
        <v>8</v>
      </c>
      <c r="D3554" s="15" t="s">
        <v>8</v>
      </c>
      <c r="E3554" s="15" t="s">
        <v>8</v>
      </c>
      <c r="F3554" s="15" t="s">
        <v>8</v>
      </c>
      <c r="H3554" s="15" t="s">
        <v>8</v>
      </c>
      <c r="I3554" s="15" t="s">
        <v>8</v>
      </c>
      <c r="J3554" s="15" t="s">
        <v>8</v>
      </c>
      <c r="N3554" s="15" t="s">
        <v>8</v>
      </c>
      <c r="P3554" s="15" t="s">
        <v>8</v>
      </c>
      <c r="R3554" s="15" t="s">
        <v>8</v>
      </c>
      <c r="U3554" s="15" t="s">
        <v>8</v>
      </c>
      <c r="V3554" s="20" t="str">
        <f>HYPERLINK("http://yeinfo.com/family/I09066348.html", "Mrs. CHRISTIANA JERMYN 1378 EN-1432 EN ID:09066198")</f>
        <v>Mrs. CHRISTIANA JERMYN 1378 EN-1432 EN ID:09066198</v>
      </c>
      <c r="W3554" s="17"/>
      <c r="X3554" s="17"/>
      <c r="Y3554" s="17"/>
      <c r="Z3554" s="17"/>
    </row>
    <row r="3555" spans="3:26" x14ac:dyDescent="0.35">
      <c r="C3555" s="15" t="s">
        <v>8</v>
      </c>
      <c r="D3555" s="15" t="s">
        <v>8</v>
      </c>
      <c r="E3555" s="15" t="s">
        <v>8</v>
      </c>
      <c r="F3555" s="15" t="s">
        <v>8</v>
      </c>
      <c r="H3555" s="15" t="s">
        <v>8</v>
      </c>
      <c r="I3555" s="15" t="s">
        <v>8</v>
      </c>
      <c r="J3555" s="15" t="s">
        <v>8</v>
      </c>
      <c r="N3555" s="15" t="s">
        <v>8</v>
      </c>
      <c r="P3555" s="15" t="s">
        <v>8</v>
      </c>
      <c r="R3555" s="15" t="s">
        <v>8</v>
      </c>
      <c r="U3555" s="15" t="s">
        <v>8</v>
      </c>
    </row>
    <row r="3556" spans="3:26" x14ac:dyDescent="0.35">
      <c r="C3556" s="15" t="s">
        <v>8</v>
      </c>
      <c r="D3556" s="15" t="s">
        <v>8</v>
      </c>
      <c r="E3556" s="15" t="s">
        <v>8</v>
      </c>
      <c r="F3556" s="15" t="s">
        <v>8</v>
      </c>
      <c r="H3556" s="15" t="s">
        <v>8</v>
      </c>
      <c r="I3556" s="15" t="s">
        <v>8</v>
      </c>
      <c r="J3556" s="15" t="s">
        <v>8</v>
      </c>
      <c r="N3556" s="15" t="s">
        <v>8</v>
      </c>
      <c r="P3556" s="15" t="s">
        <v>8</v>
      </c>
      <c r="R3556" s="15" t="s">
        <v>8</v>
      </c>
      <c r="T3556" s="19" t="str">
        <f>HYPERLINK("http://yeinfo.com/family/I09065704.html", "THOMAS JERMYN II 1424 EN-1495 EN ID:09065837")</f>
        <v>THOMAS JERMYN II 1424 EN-1495 EN ID:09065837</v>
      </c>
      <c r="U3556" s="9"/>
      <c r="V3556" s="9"/>
      <c r="W3556" s="9"/>
      <c r="X3556" s="9"/>
    </row>
    <row r="3557" spans="3:26" x14ac:dyDescent="0.35">
      <c r="C3557" s="15" t="s">
        <v>8</v>
      </c>
      <c r="D3557" s="15" t="s">
        <v>8</v>
      </c>
      <c r="E3557" s="15" t="s">
        <v>8</v>
      </c>
      <c r="F3557" s="15" t="s">
        <v>8</v>
      </c>
      <c r="H3557" s="15" t="s">
        <v>8</v>
      </c>
      <c r="I3557" s="15" t="s">
        <v>8</v>
      </c>
      <c r="J3557" s="15" t="s">
        <v>8</v>
      </c>
      <c r="N3557" s="15" t="s">
        <v>8</v>
      </c>
      <c r="P3557" s="15" t="s">
        <v>8</v>
      </c>
      <c r="R3557" s="15" t="s">
        <v>8</v>
      </c>
      <c r="T3557" s="8" t="s">
        <v>3</v>
      </c>
      <c r="U3557" s="8" t="s">
        <v>6</v>
      </c>
    </row>
    <row r="3558" spans="3:26" x14ac:dyDescent="0.35">
      <c r="C3558" s="15" t="s">
        <v>8</v>
      </c>
      <c r="D3558" s="15" t="s">
        <v>8</v>
      </c>
      <c r="E3558" s="15" t="s">
        <v>8</v>
      </c>
      <c r="F3558" s="15" t="s">
        <v>8</v>
      </c>
      <c r="H3558" s="15" t="s">
        <v>8</v>
      </c>
      <c r="I3558" s="15" t="s">
        <v>8</v>
      </c>
      <c r="J3558" s="15" t="s">
        <v>8</v>
      </c>
      <c r="N3558" s="15" t="s">
        <v>8</v>
      </c>
      <c r="P3558" s="15" t="s">
        <v>8</v>
      </c>
      <c r="R3558" s="15" t="s">
        <v>8</v>
      </c>
      <c r="T3558" s="15" t="s">
        <v>8</v>
      </c>
      <c r="U3558" s="20" t="str">
        <f>HYPERLINK("http://yeinfo.com/family/I09066198.html", "Mrs. JOANNA JERMYN 1399 EN-1479 EN ID:09066008")</f>
        <v>Mrs. JOANNA JERMYN 1399 EN-1479 EN ID:09066008</v>
      </c>
      <c r="V3558" s="17"/>
      <c r="W3558" s="17"/>
      <c r="X3558" s="17"/>
      <c r="Y3558" s="17"/>
    </row>
    <row r="3559" spans="3:26" x14ac:dyDescent="0.35">
      <c r="C3559" s="15" t="s">
        <v>8</v>
      </c>
      <c r="D3559" s="15" t="s">
        <v>8</v>
      </c>
      <c r="E3559" s="15" t="s">
        <v>8</v>
      </c>
      <c r="F3559" s="15" t="s">
        <v>8</v>
      </c>
      <c r="H3559" s="15" t="s">
        <v>8</v>
      </c>
      <c r="I3559" s="15" t="s">
        <v>8</v>
      </c>
      <c r="J3559" s="15" t="s">
        <v>8</v>
      </c>
      <c r="N3559" s="15" t="s">
        <v>8</v>
      </c>
      <c r="P3559" s="15" t="s">
        <v>8</v>
      </c>
      <c r="R3559" s="15" t="s">
        <v>8</v>
      </c>
      <c r="T3559" s="15" t="s">
        <v>8</v>
      </c>
    </row>
    <row r="3560" spans="3:26" x14ac:dyDescent="0.35">
      <c r="C3560" s="15" t="s">
        <v>8</v>
      </c>
      <c r="D3560" s="15" t="s">
        <v>8</v>
      </c>
      <c r="E3560" s="15" t="s">
        <v>8</v>
      </c>
      <c r="F3560" s="15" t="s">
        <v>8</v>
      </c>
      <c r="H3560" s="15" t="s">
        <v>8</v>
      </c>
      <c r="I3560" s="15" t="s">
        <v>8</v>
      </c>
      <c r="J3560" s="15" t="s">
        <v>8</v>
      </c>
      <c r="N3560" s="15" t="s">
        <v>8</v>
      </c>
      <c r="P3560" s="15" t="s">
        <v>8</v>
      </c>
      <c r="R3560" s="15" t="s">
        <v>8</v>
      </c>
      <c r="S3560" s="19" t="str">
        <f>HYPERLINK("http://yeinfo.com/family/I09065568.html", "THOMAS JERMYN III 1460 EN-1520 EN ID:09065704")</f>
        <v>THOMAS JERMYN III 1460 EN-1520 EN ID:09065704</v>
      </c>
      <c r="T3560" s="9"/>
      <c r="U3560" s="9"/>
      <c r="V3560" s="9"/>
      <c r="W3560" s="9"/>
    </row>
    <row r="3561" spans="3:26" x14ac:dyDescent="0.35">
      <c r="C3561" s="15" t="s">
        <v>8</v>
      </c>
      <c r="D3561" s="15" t="s">
        <v>8</v>
      </c>
      <c r="E3561" s="15" t="s">
        <v>8</v>
      </c>
      <c r="F3561" s="15" t="s">
        <v>8</v>
      </c>
      <c r="H3561" s="15" t="s">
        <v>8</v>
      </c>
      <c r="I3561" s="15" t="s">
        <v>8</v>
      </c>
      <c r="J3561" s="15" t="s">
        <v>8</v>
      </c>
      <c r="N3561" s="15" t="s">
        <v>8</v>
      </c>
      <c r="P3561" s="15" t="s">
        <v>8</v>
      </c>
      <c r="R3561" s="15" t="s">
        <v>8</v>
      </c>
      <c r="S3561" s="8" t="s">
        <v>3</v>
      </c>
      <c r="T3561" s="15" t="s">
        <v>8</v>
      </c>
    </row>
    <row r="3562" spans="3:26" x14ac:dyDescent="0.35">
      <c r="C3562" s="15" t="s">
        <v>8</v>
      </c>
      <c r="D3562" s="15" t="s">
        <v>8</v>
      </c>
      <c r="E3562" s="15" t="s">
        <v>8</v>
      </c>
      <c r="F3562" s="15" t="s">
        <v>8</v>
      </c>
      <c r="H3562" s="15" t="s">
        <v>8</v>
      </c>
      <c r="I3562" s="15" t="s">
        <v>8</v>
      </c>
      <c r="J3562" s="15" t="s">
        <v>8</v>
      </c>
      <c r="N3562" s="15" t="s">
        <v>8</v>
      </c>
      <c r="P3562" s="15" t="s">
        <v>8</v>
      </c>
      <c r="R3562" s="15" t="s">
        <v>8</v>
      </c>
      <c r="S3562" s="15" t="s">
        <v>8</v>
      </c>
      <c r="T3562" s="15" t="s">
        <v>8</v>
      </c>
      <c r="U3562" s="19" t="str">
        <f>HYPERLINK("http://yeinfo.com/family/I09065838.html", "WILLIAM LAYMAN 1405 EN-1458 EN ID:09066009")</f>
        <v>WILLIAM LAYMAN 1405 EN-1458 EN ID:09066009</v>
      </c>
      <c r="V3562" s="9"/>
      <c r="W3562" s="9"/>
      <c r="X3562" s="9"/>
      <c r="Y3562" s="9"/>
    </row>
    <row r="3563" spans="3:26" x14ac:dyDescent="0.35">
      <c r="C3563" s="15" t="s">
        <v>8</v>
      </c>
      <c r="D3563" s="15" t="s">
        <v>8</v>
      </c>
      <c r="E3563" s="15" t="s">
        <v>8</v>
      </c>
      <c r="F3563" s="15" t="s">
        <v>8</v>
      </c>
      <c r="H3563" s="15" t="s">
        <v>8</v>
      </c>
      <c r="I3563" s="15" t="s">
        <v>8</v>
      </c>
      <c r="J3563" s="15" t="s">
        <v>8</v>
      </c>
      <c r="N3563" s="15" t="s">
        <v>8</v>
      </c>
      <c r="P3563" s="15" t="s">
        <v>8</v>
      </c>
      <c r="R3563" s="15" t="s">
        <v>8</v>
      </c>
      <c r="S3563" s="15" t="s">
        <v>8</v>
      </c>
      <c r="T3563" s="8" t="s">
        <v>6</v>
      </c>
      <c r="U3563" s="8" t="s">
        <v>3</v>
      </c>
    </row>
    <row r="3564" spans="3:26" x14ac:dyDescent="0.35">
      <c r="C3564" s="15" t="s">
        <v>8</v>
      </c>
      <c r="D3564" s="15" t="s">
        <v>8</v>
      </c>
      <c r="E3564" s="15" t="s">
        <v>8</v>
      </c>
      <c r="F3564" s="15" t="s">
        <v>8</v>
      </c>
      <c r="H3564" s="15" t="s">
        <v>8</v>
      </c>
      <c r="I3564" s="15" t="s">
        <v>8</v>
      </c>
      <c r="J3564" s="15" t="s">
        <v>8</v>
      </c>
      <c r="N3564" s="15" t="s">
        <v>8</v>
      </c>
      <c r="P3564" s="15" t="s">
        <v>8</v>
      </c>
      <c r="R3564" s="15" t="s">
        <v>8</v>
      </c>
      <c r="S3564" s="15" t="s">
        <v>8</v>
      </c>
      <c r="T3564" s="20" t="str">
        <f>HYPERLINK("http://yeinfo.com/family/I09066008.html", "MARGARET LAYMAN 1432 EN-1496 EN ID:09065838")</f>
        <v>MARGARET LAYMAN 1432 EN-1496 EN ID:09065838</v>
      </c>
      <c r="U3564" s="17"/>
      <c r="V3564" s="17"/>
      <c r="W3564" s="17"/>
      <c r="X3564" s="17"/>
    </row>
    <row r="3565" spans="3:26" x14ac:dyDescent="0.35">
      <c r="C3565" s="15" t="s">
        <v>8</v>
      </c>
      <c r="D3565" s="15" t="s">
        <v>8</v>
      </c>
      <c r="E3565" s="15" t="s">
        <v>8</v>
      </c>
      <c r="F3565" s="15" t="s">
        <v>8</v>
      </c>
      <c r="H3565" s="15" t="s">
        <v>8</v>
      </c>
      <c r="I3565" s="15" t="s">
        <v>8</v>
      </c>
      <c r="J3565" s="15" t="s">
        <v>8</v>
      </c>
      <c r="N3565" s="15" t="s">
        <v>8</v>
      </c>
      <c r="P3565" s="15" t="s">
        <v>8</v>
      </c>
      <c r="R3565" s="15" t="s">
        <v>8</v>
      </c>
      <c r="S3565" s="15" t="s">
        <v>8</v>
      </c>
      <c r="U3565" s="8" t="s">
        <v>6</v>
      </c>
    </row>
    <row r="3566" spans="3:26" x14ac:dyDescent="0.35">
      <c r="C3566" s="15" t="s">
        <v>8</v>
      </c>
      <c r="D3566" s="15" t="s">
        <v>8</v>
      </c>
      <c r="E3566" s="15" t="s">
        <v>8</v>
      </c>
      <c r="F3566" s="15" t="s">
        <v>8</v>
      </c>
      <c r="H3566" s="15" t="s">
        <v>8</v>
      </c>
      <c r="I3566" s="15" t="s">
        <v>8</v>
      </c>
      <c r="J3566" s="15" t="s">
        <v>8</v>
      </c>
      <c r="N3566" s="15" t="s">
        <v>8</v>
      </c>
      <c r="P3566" s="15" t="s">
        <v>8</v>
      </c>
      <c r="R3566" s="15" t="s">
        <v>8</v>
      </c>
      <c r="S3566" s="15" t="s">
        <v>8</v>
      </c>
      <c r="U3566" s="20" t="str">
        <f>HYPERLINK("http://yeinfo.com/family/I09066009.html", "MARGARET OLNEY 1405 -1432 EN ID:09066010")</f>
        <v>MARGARET OLNEY 1405 -1432 EN ID:09066010</v>
      </c>
      <c r="V3566" s="17"/>
      <c r="W3566" s="17"/>
      <c r="X3566" s="17"/>
      <c r="Y3566" s="17"/>
    </row>
    <row r="3567" spans="3:26" x14ac:dyDescent="0.35">
      <c r="C3567" s="15" t="s">
        <v>8</v>
      </c>
      <c r="D3567" s="15" t="s">
        <v>8</v>
      </c>
      <c r="E3567" s="15" t="s">
        <v>8</v>
      </c>
      <c r="F3567" s="15" t="s">
        <v>8</v>
      </c>
      <c r="H3567" s="15" t="s">
        <v>8</v>
      </c>
      <c r="I3567" s="15" t="s">
        <v>8</v>
      </c>
      <c r="J3567" s="15" t="s">
        <v>8</v>
      </c>
      <c r="N3567" s="15" t="s">
        <v>8</v>
      </c>
      <c r="P3567" s="15" t="s">
        <v>8</v>
      </c>
      <c r="R3567" s="8" t="s">
        <v>6</v>
      </c>
      <c r="S3567" s="15" t="s">
        <v>8</v>
      </c>
    </row>
    <row r="3568" spans="3:26" x14ac:dyDescent="0.35">
      <c r="C3568" s="15" t="s">
        <v>8</v>
      </c>
      <c r="D3568" s="15" t="s">
        <v>8</v>
      </c>
      <c r="E3568" s="15" t="s">
        <v>8</v>
      </c>
      <c r="F3568" s="15" t="s">
        <v>8</v>
      </c>
      <c r="H3568" s="15" t="s">
        <v>8</v>
      </c>
      <c r="I3568" s="15" t="s">
        <v>8</v>
      </c>
      <c r="J3568" s="15" t="s">
        <v>8</v>
      </c>
      <c r="N3568" s="15" t="s">
        <v>8</v>
      </c>
      <c r="P3568" s="15" t="s">
        <v>8</v>
      </c>
      <c r="R3568" s="20" t="str">
        <f>HYPERLINK("http://yeinfo.com/family/I09065703.html", "AGNES JERMYN 1495 EN-1520 EN ID:09065568")</f>
        <v>AGNES JERMYN 1495 EN-1520 EN ID:09065568</v>
      </c>
      <c r="S3568" s="17"/>
      <c r="T3568" s="17"/>
      <c r="U3568" s="17"/>
      <c r="V3568" s="17"/>
    </row>
    <row r="3569" spans="3:26" x14ac:dyDescent="0.35">
      <c r="C3569" s="15" t="s">
        <v>8</v>
      </c>
      <c r="D3569" s="15" t="s">
        <v>8</v>
      </c>
      <c r="E3569" s="15" t="s">
        <v>8</v>
      </c>
      <c r="F3569" s="15" t="s">
        <v>8</v>
      </c>
      <c r="H3569" s="15" t="s">
        <v>8</v>
      </c>
      <c r="I3569" s="15" t="s">
        <v>8</v>
      </c>
      <c r="J3569" s="15" t="s">
        <v>8</v>
      </c>
      <c r="N3569" s="15" t="s">
        <v>8</v>
      </c>
      <c r="P3569" s="15" t="s">
        <v>8</v>
      </c>
      <c r="S3569" s="15" t="s">
        <v>8</v>
      </c>
    </row>
    <row r="3570" spans="3:26" x14ac:dyDescent="0.35">
      <c r="C3570" s="15" t="s">
        <v>8</v>
      </c>
      <c r="D3570" s="15" t="s">
        <v>8</v>
      </c>
      <c r="E3570" s="15" t="s">
        <v>8</v>
      </c>
      <c r="F3570" s="15" t="s">
        <v>8</v>
      </c>
      <c r="H3570" s="15" t="s">
        <v>8</v>
      </c>
      <c r="I3570" s="15" t="s">
        <v>8</v>
      </c>
      <c r="J3570" s="15" t="s">
        <v>8</v>
      </c>
      <c r="N3570" s="15" t="s">
        <v>8</v>
      </c>
      <c r="P3570" s="15" t="s">
        <v>8</v>
      </c>
      <c r="S3570" s="15" t="s">
        <v>8</v>
      </c>
      <c r="U3570" s="19" t="str">
        <f>HYPERLINK("http://yeinfo.com/family/I09065839.html", "JOHN BERNARD 1400 EN-1426 EN ID:09066011")</f>
        <v>JOHN BERNARD 1400 EN-1426 EN ID:09066011</v>
      </c>
      <c r="V3570" s="9"/>
      <c r="W3570" s="9"/>
      <c r="X3570" s="9"/>
      <c r="Y3570" s="9"/>
    </row>
    <row r="3571" spans="3:26" x14ac:dyDescent="0.35">
      <c r="C3571" s="15" t="s">
        <v>8</v>
      </c>
      <c r="D3571" s="15" t="s">
        <v>8</v>
      </c>
      <c r="E3571" s="15" t="s">
        <v>8</v>
      </c>
      <c r="F3571" s="15" t="s">
        <v>8</v>
      </c>
      <c r="H3571" s="15" t="s">
        <v>8</v>
      </c>
      <c r="I3571" s="15" t="s">
        <v>8</v>
      </c>
      <c r="J3571" s="15" t="s">
        <v>8</v>
      </c>
      <c r="N3571" s="15" t="s">
        <v>8</v>
      </c>
      <c r="P3571" s="15" t="s">
        <v>8</v>
      </c>
      <c r="S3571" s="15" t="s">
        <v>8</v>
      </c>
      <c r="U3571" s="8" t="s">
        <v>3</v>
      </c>
    </row>
    <row r="3572" spans="3:26" x14ac:dyDescent="0.35">
      <c r="C3572" s="15" t="s">
        <v>8</v>
      </c>
      <c r="D3572" s="15" t="s">
        <v>8</v>
      </c>
      <c r="E3572" s="15" t="s">
        <v>8</v>
      </c>
      <c r="F3572" s="15" t="s">
        <v>8</v>
      </c>
      <c r="H3572" s="15" t="s">
        <v>8</v>
      </c>
      <c r="I3572" s="15" t="s">
        <v>8</v>
      </c>
      <c r="J3572" s="15" t="s">
        <v>8</v>
      </c>
      <c r="N3572" s="15" t="s">
        <v>8</v>
      </c>
      <c r="P3572" s="15" t="s">
        <v>8</v>
      </c>
      <c r="S3572" s="15" t="s">
        <v>8</v>
      </c>
      <c r="T3572" s="19" t="str">
        <f>HYPERLINK("http://yeinfo.com/family/I09065705.html", "JOHN BERNARD 1426 EN-1458 EN ID:09065839")</f>
        <v>JOHN BERNARD 1426 EN-1458 EN ID:09065839</v>
      </c>
      <c r="U3572" s="9"/>
      <c r="V3572" s="9"/>
      <c r="W3572" s="9"/>
      <c r="X3572" s="9"/>
    </row>
    <row r="3573" spans="3:26" x14ac:dyDescent="0.35">
      <c r="C3573" s="15" t="s">
        <v>8</v>
      </c>
      <c r="D3573" s="15" t="s">
        <v>8</v>
      </c>
      <c r="E3573" s="15" t="s">
        <v>8</v>
      </c>
      <c r="F3573" s="15" t="s">
        <v>8</v>
      </c>
      <c r="H3573" s="15" t="s">
        <v>8</v>
      </c>
      <c r="I3573" s="15" t="s">
        <v>8</v>
      </c>
      <c r="J3573" s="15" t="s">
        <v>8</v>
      </c>
      <c r="N3573" s="15" t="s">
        <v>8</v>
      </c>
      <c r="P3573" s="15" t="s">
        <v>8</v>
      </c>
      <c r="S3573" s="15" t="s">
        <v>8</v>
      </c>
      <c r="T3573" s="8" t="s">
        <v>3</v>
      </c>
      <c r="U3573" s="8" t="s">
        <v>6</v>
      </c>
    </row>
    <row r="3574" spans="3:26" x14ac:dyDescent="0.35">
      <c r="C3574" s="15" t="s">
        <v>8</v>
      </c>
      <c r="D3574" s="15" t="s">
        <v>8</v>
      </c>
      <c r="E3574" s="15" t="s">
        <v>8</v>
      </c>
      <c r="F3574" s="15" t="s">
        <v>8</v>
      </c>
      <c r="H3574" s="15" t="s">
        <v>8</v>
      </c>
      <c r="I3574" s="15" t="s">
        <v>8</v>
      </c>
      <c r="J3574" s="15" t="s">
        <v>8</v>
      </c>
      <c r="N3574" s="15" t="s">
        <v>8</v>
      </c>
      <c r="P3574" s="15" t="s">
        <v>8</v>
      </c>
      <c r="S3574" s="15" t="s">
        <v>8</v>
      </c>
      <c r="T3574" s="15" t="s">
        <v>8</v>
      </c>
      <c r="U3574" s="20" t="str">
        <f>HYPERLINK("http://yeinfo.com/family/I09066011.html", "ELEANOR SAKEVYLE 1405 EN-1426 EN ID:09066012")</f>
        <v>ELEANOR SAKEVYLE 1405 EN-1426 EN ID:09066012</v>
      </c>
      <c r="V3574" s="17"/>
      <c r="W3574" s="17"/>
      <c r="X3574" s="17"/>
      <c r="Y3574" s="17"/>
    </row>
    <row r="3575" spans="3:26" x14ac:dyDescent="0.35">
      <c r="C3575" s="15" t="s">
        <v>8</v>
      </c>
      <c r="D3575" s="15" t="s">
        <v>8</v>
      </c>
      <c r="E3575" s="15" t="s">
        <v>8</v>
      </c>
      <c r="F3575" s="15" t="s">
        <v>8</v>
      </c>
      <c r="H3575" s="15" t="s">
        <v>8</v>
      </c>
      <c r="I3575" s="15" t="s">
        <v>8</v>
      </c>
      <c r="J3575" s="15" t="s">
        <v>8</v>
      </c>
      <c r="N3575" s="15" t="s">
        <v>8</v>
      </c>
      <c r="P3575" s="15" t="s">
        <v>8</v>
      </c>
      <c r="S3575" s="8" t="s">
        <v>6</v>
      </c>
      <c r="T3575" s="15" t="s">
        <v>8</v>
      </c>
    </row>
    <row r="3576" spans="3:26" x14ac:dyDescent="0.35">
      <c r="C3576" s="15" t="s">
        <v>8</v>
      </c>
      <c r="D3576" s="15" t="s">
        <v>8</v>
      </c>
      <c r="E3576" s="15" t="s">
        <v>8</v>
      </c>
      <c r="F3576" s="15" t="s">
        <v>8</v>
      </c>
      <c r="H3576" s="15" t="s">
        <v>8</v>
      </c>
      <c r="I3576" s="15" t="s">
        <v>8</v>
      </c>
      <c r="J3576" s="15" t="s">
        <v>8</v>
      </c>
      <c r="N3576" s="15" t="s">
        <v>8</v>
      </c>
      <c r="P3576" s="15" t="s">
        <v>8</v>
      </c>
      <c r="S3576" s="20" t="str">
        <f>HYPERLINK("http://yeinfo.com/family/I09066010.html", "CATHERINE BERNARD 1458 EN-1519 EN ID:09065705")</f>
        <v>CATHERINE BERNARD 1458 EN-1519 EN ID:09065705</v>
      </c>
      <c r="T3576" s="17"/>
      <c r="U3576" s="17"/>
      <c r="V3576" s="17"/>
      <c r="W3576" s="17"/>
    </row>
    <row r="3577" spans="3:26" x14ac:dyDescent="0.35">
      <c r="C3577" s="15" t="s">
        <v>8</v>
      </c>
      <c r="D3577" s="15" t="s">
        <v>8</v>
      </c>
      <c r="E3577" s="15" t="s">
        <v>8</v>
      </c>
      <c r="F3577" s="15" t="s">
        <v>8</v>
      </c>
      <c r="H3577" s="15" t="s">
        <v>8</v>
      </c>
      <c r="I3577" s="15" t="s">
        <v>8</v>
      </c>
      <c r="J3577" s="15" t="s">
        <v>8</v>
      </c>
      <c r="N3577" s="15" t="s">
        <v>8</v>
      </c>
      <c r="P3577" s="15" t="s">
        <v>8</v>
      </c>
      <c r="T3577" s="8" t="s">
        <v>6</v>
      </c>
    </row>
    <row r="3578" spans="3:26" x14ac:dyDescent="0.35">
      <c r="C3578" s="15" t="s">
        <v>8</v>
      </c>
      <c r="D3578" s="15" t="s">
        <v>8</v>
      </c>
      <c r="E3578" s="15" t="s">
        <v>8</v>
      </c>
      <c r="F3578" s="15" t="s">
        <v>8</v>
      </c>
      <c r="H3578" s="15" t="s">
        <v>8</v>
      </c>
      <c r="I3578" s="15" t="s">
        <v>8</v>
      </c>
      <c r="J3578" s="15" t="s">
        <v>8</v>
      </c>
      <c r="N3578" s="15" t="s">
        <v>8</v>
      </c>
      <c r="P3578" s="15" t="s">
        <v>8</v>
      </c>
      <c r="T3578" s="20" t="str">
        <f>HYPERLINK("http://yeinfo.com/family/I09066012.html", "HELENA MALLORY 1435 EN-1495 EN ID:09065840")</f>
        <v>HELENA MALLORY 1435 EN-1495 EN ID:09065840</v>
      </c>
      <c r="U3578" s="17"/>
      <c r="V3578" s="17"/>
      <c r="W3578" s="17"/>
      <c r="X3578" s="17"/>
    </row>
    <row r="3579" spans="3:26" x14ac:dyDescent="0.35">
      <c r="C3579" s="15" t="s">
        <v>8</v>
      </c>
      <c r="D3579" s="15" t="s">
        <v>8</v>
      </c>
      <c r="E3579" s="15" t="s">
        <v>8</v>
      </c>
      <c r="F3579" s="15" t="s">
        <v>8</v>
      </c>
      <c r="H3579" s="15" t="s">
        <v>8</v>
      </c>
      <c r="I3579" s="15" t="s">
        <v>8</v>
      </c>
      <c r="J3579" s="15" t="s">
        <v>8</v>
      </c>
      <c r="N3579" s="15" t="s">
        <v>8</v>
      </c>
      <c r="P3579" s="15" t="s">
        <v>8</v>
      </c>
    </row>
    <row r="3580" spans="3:26" x14ac:dyDescent="0.35">
      <c r="C3580" s="15" t="s">
        <v>8</v>
      </c>
      <c r="D3580" s="15" t="s">
        <v>8</v>
      </c>
      <c r="E3580" s="15" t="s">
        <v>8</v>
      </c>
      <c r="F3580" s="15" t="s">
        <v>8</v>
      </c>
      <c r="H3580" s="15" t="s">
        <v>8</v>
      </c>
      <c r="I3580" s="15" t="s">
        <v>8</v>
      </c>
      <c r="J3580" s="15" t="s">
        <v>8</v>
      </c>
      <c r="N3580" s="15" t="s">
        <v>8</v>
      </c>
      <c r="O3580" s="21" t="str">
        <f>HYPERLINK("http://yeinfo.com/family/I09005423.html", "SAMUEL APPLETON 1585 EN-1670 MA ID:09010846")</f>
        <v>SAMUEL APPLETON 1585 EN-1670 MA ID:09010846</v>
      </c>
      <c r="P3580" s="6"/>
      <c r="Q3580" s="6"/>
      <c r="R3580" s="6"/>
      <c r="S3580" s="6"/>
    </row>
    <row r="3581" spans="3:26" x14ac:dyDescent="0.35">
      <c r="C3581" s="15" t="s">
        <v>8</v>
      </c>
      <c r="D3581" s="15" t="s">
        <v>8</v>
      </c>
      <c r="E3581" s="15" t="s">
        <v>8</v>
      </c>
      <c r="F3581" s="15" t="s">
        <v>8</v>
      </c>
      <c r="H3581" s="15" t="s">
        <v>8</v>
      </c>
      <c r="I3581" s="15" t="s">
        <v>8</v>
      </c>
      <c r="J3581" s="15" t="s">
        <v>8</v>
      </c>
      <c r="N3581" s="15" t="s">
        <v>8</v>
      </c>
      <c r="O3581" s="8" t="s">
        <v>3</v>
      </c>
      <c r="P3581" s="15" t="s">
        <v>8</v>
      </c>
    </row>
    <row r="3582" spans="3:26" x14ac:dyDescent="0.35">
      <c r="C3582" s="15" t="s">
        <v>8</v>
      </c>
      <c r="D3582" s="15" t="s">
        <v>8</v>
      </c>
      <c r="E3582" s="15" t="s">
        <v>8</v>
      </c>
      <c r="F3582" s="15" t="s">
        <v>8</v>
      </c>
      <c r="H3582" s="15" t="s">
        <v>8</v>
      </c>
      <c r="I3582" s="15" t="s">
        <v>8</v>
      </c>
      <c r="J3582" s="15" t="s">
        <v>8</v>
      </c>
      <c r="N3582" s="15" t="s">
        <v>8</v>
      </c>
      <c r="O3582" s="15" t="s">
        <v>8</v>
      </c>
      <c r="P3582" s="15" t="s">
        <v>8</v>
      </c>
      <c r="V3582" s="19" t="str">
        <f>HYPERLINK("http://yeinfo.com/family/I09066013.html", "JOHN ISAACKE Sr. 1350 EN-1419 EN ID:09066199")</f>
        <v>JOHN ISAACKE Sr. 1350 EN-1419 EN ID:09066199</v>
      </c>
      <c r="W3582" s="9"/>
      <c r="X3582" s="9"/>
      <c r="Y3582" s="9"/>
      <c r="Z3582" s="9"/>
    </row>
    <row r="3583" spans="3:26" x14ac:dyDescent="0.35">
      <c r="C3583" s="15" t="s">
        <v>8</v>
      </c>
      <c r="D3583" s="15" t="s">
        <v>8</v>
      </c>
      <c r="E3583" s="15" t="s">
        <v>8</v>
      </c>
      <c r="F3583" s="15" t="s">
        <v>8</v>
      </c>
      <c r="H3583" s="15" t="s">
        <v>8</v>
      </c>
      <c r="I3583" s="15" t="s">
        <v>8</v>
      </c>
      <c r="J3583" s="15" t="s">
        <v>8</v>
      </c>
      <c r="N3583" s="15" t="s">
        <v>8</v>
      </c>
      <c r="O3583" s="15" t="s">
        <v>8</v>
      </c>
      <c r="P3583" s="15" t="s">
        <v>8</v>
      </c>
      <c r="V3583" s="8" t="s">
        <v>3</v>
      </c>
    </row>
    <row r="3584" spans="3:26" x14ac:dyDescent="0.35">
      <c r="C3584" s="15" t="s">
        <v>8</v>
      </c>
      <c r="D3584" s="15" t="s">
        <v>8</v>
      </c>
      <c r="E3584" s="15" t="s">
        <v>8</v>
      </c>
      <c r="F3584" s="15" t="s">
        <v>8</v>
      </c>
      <c r="H3584" s="15" t="s">
        <v>8</v>
      </c>
      <c r="I3584" s="15" t="s">
        <v>8</v>
      </c>
      <c r="J3584" s="15" t="s">
        <v>8</v>
      </c>
      <c r="N3584" s="15" t="s">
        <v>8</v>
      </c>
      <c r="O3584" s="15" t="s">
        <v>8</v>
      </c>
      <c r="P3584" s="15" t="s">
        <v>8</v>
      </c>
      <c r="U3584" s="19" t="str">
        <f>HYPERLINK("http://yeinfo.com/family/I09065841.html", "JOHN ISAACKE Jr. 1380 EN-1433 EN ID:09066013")</f>
        <v>JOHN ISAACKE Jr. 1380 EN-1433 EN ID:09066013</v>
      </c>
      <c r="V3584" s="9"/>
      <c r="W3584" s="9"/>
      <c r="X3584" s="9"/>
      <c r="Y3584" s="9"/>
    </row>
    <row r="3585" spans="3:28" x14ac:dyDescent="0.35">
      <c r="C3585" s="15" t="s">
        <v>8</v>
      </c>
      <c r="D3585" s="15" t="s">
        <v>8</v>
      </c>
      <c r="E3585" s="15" t="s">
        <v>8</v>
      </c>
      <c r="F3585" s="15" t="s">
        <v>8</v>
      </c>
      <c r="H3585" s="15" t="s">
        <v>8</v>
      </c>
      <c r="I3585" s="15" t="s">
        <v>8</v>
      </c>
      <c r="J3585" s="15" t="s">
        <v>8</v>
      </c>
      <c r="N3585" s="15" t="s">
        <v>8</v>
      </c>
      <c r="O3585" s="15" t="s">
        <v>8</v>
      </c>
      <c r="P3585" s="15" t="s">
        <v>8</v>
      </c>
      <c r="U3585" s="8" t="s">
        <v>3</v>
      </c>
      <c r="V3585" s="15" t="s">
        <v>8</v>
      </c>
    </row>
    <row r="3586" spans="3:28" x14ac:dyDescent="0.35">
      <c r="C3586" s="15" t="s">
        <v>8</v>
      </c>
      <c r="D3586" s="15" t="s">
        <v>8</v>
      </c>
      <c r="E3586" s="15" t="s">
        <v>8</v>
      </c>
      <c r="F3586" s="15" t="s">
        <v>8</v>
      </c>
      <c r="H3586" s="15" t="s">
        <v>8</v>
      </c>
      <c r="I3586" s="15" t="s">
        <v>8</v>
      </c>
      <c r="J3586" s="15" t="s">
        <v>8</v>
      </c>
      <c r="N3586" s="15" t="s">
        <v>8</v>
      </c>
      <c r="O3586" s="15" t="s">
        <v>8</v>
      </c>
      <c r="P3586" s="15" t="s">
        <v>8</v>
      </c>
      <c r="U3586" s="15" t="s">
        <v>8</v>
      </c>
      <c r="V3586" s="15" t="s">
        <v>8</v>
      </c>
      <c r="X3586" s="19" t="str">
        <f>HYPERLINK("http://yeinfo.com/family/I09066349.html", "EUSTACE GRUBBE 1290 EN-1321 EN ID:09066526")</f>
        <v>EUSTACE GRUBBE 1290 EN-1321 EN ID:09066526</v>
      </c>
      <c r="Y3586" s="9"/>
      <c r="Z3586" s="9"/>
      <c r="AA3586" s="9"/>
      <c r="AB3586" s="9"/>
    </row>
    <row r="3587" spans="3:28" x14ac:dyDescent="0.35">
      <c r="C3587" s="15" t="s">
        <v>8</v>
      </c>
      <c r="D3587" s="15" t="s">
        <v>8</v>
      </c>
      <c r="E3587" s="15" t="s">
        <v>8</v>
      </c>
      <c r="F3587" s="15" t="s">
        <v>8</v>
      </c>
      <c r="H3587" s="15" t="s">
        <v>8</v>
      </c>
      <c r="I3587" s="15" t="s">
        <v>8</v>
      </c>
      <c r="J3587" s="15" t="s">
        <v>8</v>
      </c>
      <c r="N3587" s="15" t="s">
        <v>8</v>
      </c>
      <c r="O3587" s="15" t="s">
        <v>8</v>
      </c>
      <c r="P3587" s="15" t="s">
        <v>8</v>
      </c>
      <c r="U3587" s="15" t="s">
        <v>8</v>
      </c>
      <c r="V3587" s="15" t="s">
        <v>8</v>
      </c>
      <c r="X3587" s="8" t="s">
        <v>3</v>
      </c>
    </row>
    <row r="3588" spans="3:28" x14ac:dyDescent="0.35">
      <c r="C3588" s="15" t="s">
        <v>8</v>
      </c>
      <c r="D3588" s="15" t="s">
        <v>8</v>
      </c>
      <c r="E3588" s="15" t="s">
        <v>8</v>
      </c>
      <c r="F3588" s="15" t="s">
        <v>8</v>
      </c>
      <c r="H3588" s="15" t="s">
        <v>8</v>
      </c>
      <c r="I3588" s="15" t="s">
        <v>8</v>
      </c>
      <c r="J3588" s="15" t="s">
        <v>8</v>
      </c>
      <c r="N3588" s="15" t="s">
        <v>8</v>
      </c>
      <c r="O3588" s="15" t="s">
        <v>8</v>
      </c>
      <c r="P3588" s="15" t="s">
        <v>8</v>
      </c>
      <c r="U3588" s="15" t="s">
        <v>8</v>
      </c>
      <c r="V3588" s="15" t="s">
        <v>8</v>
      </c>
      <c r="W3588" s="19" t="str">
        <f>HYPERLINK("http://yeinfo.com/family/I09066200.html", "ROBERT GRUBBE 1315 EN-1377 EN ID:09066349")</f>
        <v>ROBERT GRUBBE 1315 EN-1377 EN ID:09066349</v>
      </c>
      <c r="X3588" s="9"/>
      <c r="Y3588" s="9"/>
      <c r="Z3588" s="9"/>
      <c r="AA3588" s="9"/>
    </row>
    <row r="3589" spans="3:28" x14ac:dyDescent="0.35">
      <c r="C3589" s="15" t="s">
        <v>8</v>
      </c>
      <c r="D3589" s="15" t="s">
        <v>8</v>
      </c>
      <c r="E3589" s="15" t="s">
        <v>8</v>
      </c>
      <c r="F3589" s="15" t="s">
        <v>8</v>
      </c>
      <c r="H3589" s="15" t="s">
        <v>8</v>
      </c>
      <c r="I3589" s="15" t="s">
        <v>8</v>
      </c>
      <c r="J3589" s="15" t="s">
        <v>8</v>
      </c>
      <c r="N3589" s="15" t="s">
        <v>8</v>
      </c>
      <c r="O3589" s="15" t="s">
        <v>8</v>
      </c>
      <c r="P3589" s="15" t="s">
        <v>8</v>
      </c>
      <c r="U3589" s="15" t="s">
        <v>8</v>
      </c>
      <c r="V3589" s="15" t="s">
        <v>8</v>
      </c>
      <c r="W3589" s="8" t="s">
        <v>3</v>
      </c>
      <c r="X3589" s="8" t="s">
        <v>6</v>
      </c>
    </row>
    <row r="3590" spans="3:28" x14ac:dyDescent="0.35">
      <c r="C3590" s="15" t="s">
        <v>8</v>
      </c>
      <c r="D3590" s="15" t="s">
        <v>8</v>
      </c>
      <c r="E3590" s="15" t="s">
        <v>8</v>
      </c>
      <c r="F3590" s="15" t="s">
        <v>8</v>
      </c>
      <c r="H3590" s="15" t="s">
        <v>8</v>
      </c>
      <c r="I3590" s="15" t="s">
        <v>8</v>
      </c>
      <c r="J3590" s="15" t="s">
        <v>8</v>
      </c>
      <c r="N3590" s="15" t="s">
        <v>8</v>
      </c>
      <c r="O3590" s="15" t="s">
        <v>8</v>
      </c>
      <c r="P3590" s="15" t="s">
        <v>8</v>
      </c>
      <c r="U3590" s="15" t="s">
        <v>8</v>
      </c>
      <c r="V3590" s="15" t="s">
        <v>8</v>
      </c>
      <c r="W3590" s="15" t="s">
        <v>8</v>
      </c>
      <c r="X3590" s="20" t="str">
        <f>HYPERLINK("http://yeinfo.com/family/I09066526.html", "LETTICE WARD 1295 EN-1321 EN ID:09066527")</f>
        <v>LETTICE WARD 1295 EN-1321 EN ID:09066527</v>
      </c>
      <c r="Y3590" s="17"/>
      <c r="Z3590" s="17"/>
      <c r="AA3590" s="17"/>
      <c r="AB3590" s="17"/>
    </row>
    <row r="3591" spans="3:28" x14ac:dyDescent="0.35">
      <c r="C3591" s="15" t="s">
        <v>8</v>
      </c>
      <c r="D3591" s="15" t="s">
        <v>8</v>
      </c>
      <c r="E3591" s="15" t="s">
        <v>8</v>
      </c>
      <c r="F3591" s="15" t="s">
        <v>8</v>
      </c>
      <c r="H3591" s="15" t="s">
        <v>8</v>
      </c>
      <c r="I3591" s="15" t="s">
        <v>8</v>
      </c>
      <c r="J3591" s="15" t="s">
        <v>8</v>
      </c>
      <c r="N3591" s="15" t="s">
        <v>8</v>
      </c>
      <c r="O3591" s="15" t="s">
        <v>8</v>
      </c>
      <c r="P3591" s="15" t="s">
        <v>8</v>
      </c>
      <c r="U3591" s="15" t="s">
        <v>8</v>
      </c>
      <c r="V3591" s="8" t="s">
        <v>6</v>
      </c>
      <c r="W3591" s="15" t="s">
        <v>8</v>
      </c>
    </row>
    <row r="3592" spans="3:28" x14ac:dyDescent="0.35">
      <c r="C3592" s="15" t="s">
        <v>8</v>
      </c>
      <c r="D3592" s="15" t="s">
        <v>8</v>
      </c>
      <c r="E3592" s="15" t="s">
        <v>8</v>
      </c>
      <c r="F3592" s="15" t="s">
        <v>8</v>
      </c>
      <c r="H3592" s="15" t="s">
        <v>8</v>
      </c>
      <c r="I3592" s="15" t="s">
        <v>8</v>
      </c>
      <c r="J3592" s="15" t="s">
        <v>8</v>
      </c>
      <c r="N3592" s="15" t="s">
        <v>8</v>
      </c>
      <c r="O3592" s="15" t="s">
        <v>8</v>
      </c>
      <c r="P3592" s="15" t="s">
        <v>8</v>
      </c>
      <c r="U3592" s="15" t="s">
        <v>8</v>
      </c>
      <c r="V3592" s="20" t="str">
        <f>HYPERLINK("http://yeinfo.com/family/I09066199.html", "AGNES GRUBBE 1355 EN-1426 EN ID:09066200")</f>
        <v>AGNES GRUBBE 1355 EN-1426 EN ID:09066200</v>
      </c>
      <c r="W3592" s="17"/>
      <c r="X3592" s="17"/>
      <c r="Y3592" s="17"/>
      <c r="Z3592" s="17"/>
    </row>
    <row r="3593" spans="3:28" x14ac:dyDescent="0.35">
      <c r="C3593" s="15" t="s">
        <v>8</v>
      </c>
      <c r="D3593" s="15" t="s">
        <v>8</v>
      </c>
      <c r="E3593" s="15" t="s">
        <v>8</v>
      </c>
      <c r="F3593" s="15" t="s">
        <v>8</v>
      </c>
      <c r="H3593" s="15" t="s">
        <v>8</v>
      </c>
      <c r="I3593" s="15" t="s">
        <v>8</v>
      </c>
      <c r="J3593" s="15" t="s">
        <v>8</v>
      </c>
      <c r="N3593" s="15" t="s">
        <v>8</v>
      </c>
      <c r="O3593" s="15" t="s">
        <v>8</v>
      </c>
      <c r="P3593" s="15" t="s">
        <v>8</v>
      </c>
      <c r="U3593" s="15" t="s">
        <v>8</v>
      </c>
      <c r="W3593" s="15" t="s">
        <v>8</v>
      </c>
    </row>
    <row r="3594" spans="3:28" x14ac:dyDescent="0.35">
      <c r="C3594" s="15" t="s">
        <v>8</v>
      </c>
      <c r="D3594" s="15" t="s">
        <v>8</v>
      </c>
      <c r="E3594" s="15" t="s">
        <v>8</v>
      </c>
      <c r="F3594" s="15" t="s">
        <v>8</v>
      </c>
      <c r="H3594" s="15" t="s">
        <v>8</v>
      </c>
      <c r="I3594" s="15" t="s">
        <v>8</v>
      </c>
      <c r="J3594" s="15" t="s">
        <v>8</v>
      </c>
      <c r="N3594" s="15" t="s">
        <v>8</v>
      </c>
      <c r="O3594" s="15" t="s">
        <v>8</v>
      </c>
      <c r="P3594" s="15" t="s">
        <v>8</v>
      </c>
      <c r="U3594" s="15" t="s">
        <v>8</v>
      </c>
      <c r="W3594" s="15" t="s">
        <v>8</v>
      </c>
      <c r="X3594" s="19" t="str">
        <f>HYPERLINK("http://yeinfo.com/family/I09066350.html", "JOHN CONDE 1300 EN-1345 EN ID:09066528")</f>
        <v>JOHN CONDE 1300 EN-1345 EN ID:09066528</v>
      </c>
      <c r="Y3594" s="9"/>
      <c r="Z3594" s="9"/>
      <c r="AA3594" s="9"/>
      <c r="AB3594" s="9"/>
    </row>
    <row r="3595" spans="3:28" x14ac:dyDescent="0.35">
      <c r="C3595" s="15" t="s">
        <v>8</v>
      </c>
      <c r="D3595" s="15" t="s">
        <v>8</v>
      </c>
      <c r="E3595" s="15" t="s">
        <v>8</v>
      </c>
      <c r="F3595" s="15" t="s">
        <v>8</v>
      </c>
      <c r="H3595" s="15" t="s">
        <v>8</v>
      </c>
      <c r="I3595" s="15" t="s">
        <v>8</v>
      </c>
      <c r="J3595" s="15" t="s">
        <v>8</v>
      </c>
      <c r="N3595" s="15" t="s">
        <v>8</v>
      </c>
      <c r="O3595" s="15" t="s">
        <v>8</v>
      </c>
      <c r="P3595" s="15" t="s">
        <v>8</v>
      </c>
      <c r="U3595" s="15" t="s">
        <v>8</v>
      </c>
      <c r="W3595" s="8" t="s">
        <v>6</v>
      </c>
      <c r="X3595" s="8" t="s">
        <v>3</v>
      </c>
    </row>
    <row r="3596" spans="3:28" x14ac:dyDescent="0.35">
      <c r="C3596" s="15" t="s">
        <v>8</v>
      </c>
      <c r="D3596" s="15" t="s">
        <v>8</v>
      </c>
      <c r="E3596" s="15" t="s">
        <v>8</v>
      </c>
      <c r="F3596" s="15" t="s">
        <v>8</v>
      </c>
      <c r="H3596" s="15" t="s">
        <v>8</v>
      </c>
      <c r="I3596" s="15" t="s">
        <v>8</v>
      </c>
      <c r="J3596" s="15" t="s">
        <v>8</v>
      </c>
      <c r="N3596" s="15" t="s">
        <v>8</v>
      </c>
      <c r="O3596" s="15" t="s">
        <v>8</v>
      </c>
      <c r="P3596" s="15" t="s">
        <v>8</v>
      </c>
      <c r="U3596" s="15" t="s">
        <v>8</v>
      </c>
      <c r="W3596" s="20" t="str">
        <f>HYPERLINK("http://yeinfo.com/family/I09066527.html", "MARGARET\MARY CONDE 1345 EN-1372  ID:09066350")</f>
        <v>MARGARET\MARY CONDE 1345 EN-1372  ID:09066350</v>
      </c>
      <c r="X3596" s="17"/>
      <c r="Y3596" s="17"/>
      <c r="Z3596" s="17"/>
      <c r="AA3596" s="17"/>
      <c r="AB3596" s="17"/>
    </row>
    <row r="3597" spans="3:28" x14ac:dyDescent="0.35">
      <c r="C3597" s="15" t="s">
        <v>8</v>
      </c>
      <c r="D3597" s="15" t="s">
        <v>8</v>
      </c>
      <c r="E3597" s="15" t="s">
        <v>8</v>
      </c>
      <c r="F3597" s="15" t="s">
        <v>8</v>
      </c>
      <c r="H3597" s="15" t="s">
        <v>8</v>
      </c>
      <c r="I3597" s="15" t="s">
        <v>8</v>
      </c>
      <c r="J3597" s="15" t="s">
        <v>8</v>
      </c>
      <c r="N3597" s="15" t="s">
        <v>8</v>
      </c>
      <c r="O3597" s="15" t="s">
        <v>8</v>
      </c>
      <c r="P3597" s="15" t="s">
        <v>8</v>
      </c>
      <c r="U3597" s="15" t="s">
        <v>8</v>
      </c>
      <c r="X3597" s="8" t="s">
        <v>6</v>
      </c>
    </row>
    <row r="3598" spans="3:28" x14ac:dyDescent="0.35">
      <c r="C3598" s="15" t="s">
        <v>8</v>
      </c>
      <c r="D3598" s="15" t="s">
        <v>8</v>
      </c>
      <c r="E3598" s="15" t="s">
        <v>8</v>
      </c>
      <c r="F3598" s="15" t="s">
        <v>8</v>
      </c>
      <c r="H3598" s="15" t="s">
        <v>8</v>
      </c>
      <c r="I3598" s="15" t="s">
        <v>8</v>
      </c>
      <c r="J3598" s="15" t="s">
        <v>8</v>
      </c>
      <c r="N3598" s="15" t="s">
        <v>8</v>
      </c>
      <c r="O3598" s="15" t="s">
        <v>8</v>
      </c>
      <c r="P3598" s="15" t="s">
        <v>8</v>
      </c>
      <c r="U3598" s="15" t="s">
        <v>8</v>
      </c>
      <c r="X3598" s="20" t="str">
        <f>HYPERLINK("http://yeinfo.com/family/I09066528.html", "Mrs. {_?_} CONDE 1310 -1345 EN ID:09066529")</f>
        <v>Mrs. {_?_} CONDE 1310 -1345 EN ID:09066529</v>
      </c>
      <c r="Y3598" s="17"/>
      <c r="Z3598" s="17"/>
      <c r="AA3598" s="17"/>
      <c r="AB3598" s="17"/>
    </row>
    <row r="3599" spans="3:28" x14ac:dyDescent="0.35">
      <c r="C3599" s="15" t="s">
        <v>8</v>
      </c>
      <c r="D3599" s="15" t="s">
        <v>8</v>
      </c>
      <c r="E3599" s="15" t="s">
        <v>8</v>
      </c>
      <c r="F3599" s="15" t="s">
        <v>8</v>
      </c>
      <c r="H3599" s="15" t="s">
        <v>8</v>
      </c>
      <c r="I3599" s="15" t="s">
        <v>8</v>
      </c>
      <c r="J3599" s="15" t="s">
        <v>8</v>
      </c>
      <c r="N3599" s="15" t="s">
        <v>8</v>
      </c>
      <c r="O3599" s="15" t="s">
        <v>8</v>
      </c>
      <c r="P3599" s="15" t="s">
        <v>8</v>
      </c>
      <c r="U3599" s="15" t="s">
        <v>8</v>
      </c>
    </row>
    <row r="3600" spans="3:28" x14ac:dyDescent="0.35">
      <c r="C3600" s="15" t="s">
        <v>8</v>
      </c>
      <c r="D3600" s="15" t="s">
        <v>8</v>
      </c>
      <c r="E3600" s="15" t="s">
        <v>8</v>
      </c>
      <c r="F3600" s="15" t="s">
        <v>8</v>
      </c>
      <c r="H3600" s="15" t="s">
        <v>8</v>
      </c>
      <c r="I3600" s="15" t="s">
        <v>8</v>
      </c>
      <c r="J3600" s="15" t="s">
        <v>8</v>
      </c>
      <c r="N3600" s="15" t="s">
        <v>8</v>
      </c>
      <c r="O3600" s="15" t="s">
        <v>8</v>
      </c>
      <c r="P3600" s="15" t="s">
        <v>8</v>
      </c>
      <c r="T3600" s="19" t="str">
        <f>HYPERLINK("http://yeinfo.com/family/I09065706.html", "JOHN\HUGH ISAACKE 1422 -1501  ID:09065841")</f>
        <v>JOHN\HUGH ISAACKE 1422 -1501  ID:09065841</v>
      </c>
      <c r="U3600" s="9"/>
      <c r="V3600" s="9"/>
      <c r="W3600" s="9"/>
      <c r="X3600" s="9"/>
      <c r="Y3600" s="9"/>
    </row>
    <row r="3601" spans="3:27" x14ac:dyDescent="0.35">
      <c r="C3601" s="15" t="s">
        <v>8</v>
      </c>
      <c r="D3601" s="15" t="s">
        <v>8</v>
      </c>
      <c r="E3601" s="15" t="s">
        <v>8</v>
      </c>
      <c r="F3601" s="15" t="s">
        <v>8</v>
      </c>
      <c r="H3601" s="15" t="s">
        <v>8</v>
      </c>
      <c r="I3601" s="15" t="s">
        <v>8</v>
      </c>
      <c r="J3601" s="15" t="s">
        <v>8</v>
      </c>
      <c r="N3601" s="15" t="s">
        <v>8</v>
      </c>
      <c r="O3601" s="15" t="s">
        <v>8</v>
      </c>
      <c r="P3601" s="15" t="s">
        <v>8</v>
      </c>
      <c r="T3601" s="8" t="s">
        <v>3</v>
      </c>
      <c r="U3601" s="8" t="s">
        <v>6</v>
      </c>
    </row>
    <row r="3602" spans="3:27" x14ac:dyDescent="0.35">
      <c r="C3602" s="15" t="s">
        <v>8</v>
      </c>
      <c r="D3602" s="15" t="s">
        <v>8</v>
      </c>
      <c r="E3602" s="15" t="s">
        <v>8</v>
      </c>
      <c r="F3602" s="15" t="s">
        <v>8</v>
      </c>
      <c r="H3602" s="15" t="s">
        <v>8</v>
      </c>
      <c r="I3602" s="15" t="s">
        <v>8</v>
      </c>
      <c r="J3602" s="15" t="s">
        <v>8</v>
      </c>
      <c r="N3602" s="15" t="s">
        <v>8</v>
      </c>
      <c r="O3602" s="15" t="s">
        <v>8</v>
      </c>
      <c r="P3602" s="15" t="s">
        <v>8</v>
      </c>
      <c r="T3602" s="15" t="s">
        <v>8</v>
      </c>
      <c r="U3602" s="20" t="str">
        <f>HYPERLINK("http://yeinfo.com/family/I09066529.html", "CICILLY HERSING 1385 EN-1449 EN ID:09066014")</f>
        <v>CICILLY HERSING 1385 EN-1449 EN ID:09066014</v>
      </c>
      <c r="V3602" s="17"/>
      <c r="W3602" s="17"/>
      <c r="X3602" s="17"/>
      <c r="Y3602" s="17"/>
    </row>
    <row r="3603" spans="3:27" x14ac:dyDescent="0.35">
      <c r="C3603" s="15" t="s">
        <v>8</v>
      </c>
      <c r="D3603" s="15" t="s">
        <v>8</v>
      </c>
      <c r="E3603" s="15" t="s">
        <v>8</v>
      </c>
      <c r="F3603" s="15" t="s">
        <v>8</v>
      </c>
      <c r="H3603" s="15" t="s">
        <v>8</v>
      </c>
      <c r="I3603" s="15" t="s">
        <v>8</v>
      </c>
      <c r="J3603" s="15" t="s">
        <v>8</v>
      </c>
      <c r="N3603" s="15" t="s">
        <v>8</v>
      </c>
      <c r="O3603" s="15" t="s">
        <v>8</v>
      </c>
      <c r="P3603" s="15" t="s">
        <v>8</v>
      </c>
      <c r="T3603" s="15" t="s">
        <v>8</v>
      </c>
    </row>
    <row r="3604" spans="3:27" x14ac:dyDescent="0.35">
      <c r="C3604" s="15" t="s">
        <v>8</v>
      </c>
      <c r="D3604" s="15" t="s">
        <v>8</v>
      </c>
      <c r="E3604" s="15" t="s">
        <v>8</v>
      </c>
      <c r="F3604" s="15" t="s">
        <v>8</v>
      </c>
      <c r="H3604" s="15" t="s">
        <v>8</v>
      </c>
      <c r="I3604" s="15" t="s">
        <v>8</v>
      </c>
      <c r="J3604" s="15" t="s">
        <v>8</v>
      </c>
      <c r="N3604" s="15" t="s">
        <v>8</v>
      </c>
      <c r="O3604" s="15" t="s">
        <v>8</v>
      </c>
      <c r="P3604" s="15" t="s">
        <v>8</v>
      </c>
      <c r="S3604" s="19" t="str">
        <f>HYPERLINK("http://yeinfo.com/family/I09065569.html", "JAMES ISAACKE 1461 EN-1501 EN ID:09065706")</f>
        <v>JAMES ISAACKE 1461 EN-1501 EN ID:09065706</v>
      </c>
      <c r="T3604" s="9"/>
      <c r="U3604" s="9"/>
      <c r="V3604" s="9"/>
      <c r="W3604" s="9"/>
    </row>
    <row r="3605" spans="3:27" x14ac:dyDescent="0.35">
      <c r="C3605" s="15" t="s">
        <v>8</v>
      </c>
      <c r="D3605" s="15" t="s">
        <v>8</v>
      </c>
      <c r="E3605" s="15" t="s">
        <v>8</v>
      </c>
      <c r="F3605" s="15" t="s">
        <v>8</v>
      </c>
      <c r="H3605" s="15" t="s">
        <v>8</v>
      </c>
      <c r="I3605" s="15" t="s">
        <v>8</v>
      </c>
      <c r="J3605" s="15" t="s">
        <v>8</v>
      </c>
      <c r="N3605" s="15" t="s">
        <v>8</v>
      </c>
      <c r="O3605" s="15" t="s">
        <v>8</v>
      </c>
      <c r="P3605" s="15" t="s">
        <v>8</v>
      </c>
      <c r="S3605" s="8" t="s">
        <v>3</v>
      </c>
      <c r="T3605" s="15" t="s">
        <v>8</v>
      </c>
    </row>
    <row r="3606" spans="3:27" x14ac:dyDescent="0.35">
      <c r="C3606" s="15" t="s">
        <v>8</v>
      </c>
      <c r="D3606" s="15" t="s">
        <v>8</v>
      </c>
      <c r="E3606" s="15" t="s">
        <v>8</v>
      </c>
      <c r="F3606" s="15" t="s">
        <v>8</v>
      </c>
      <c r="H3606" s="15" t="s">
        <v>8</v>
      </c>
      <c r="I3606" s="15" t="s">
        <v>8</v>
      </c>
      <c r="J3606" s="15" t="s">
        <v>8</v>
      </c>
      <c r="N3606" s="15" t="s">
        <v>8</v>
      </c>
      <c r="O3606" s="15" t="s">
        <v>8</v>
      </c>
      <c r="P3606" s="15" t="s">
        <v>8</v>
      </c>
      <c r="S3606" s="15" t="s">
        <v>8</v>
      </c>
      <c r="T3606" s="15" t="s">
        <v>8</v>
      </c>
      <c r="U3606" s="19" t="str">
        <f>HYPERLINK("http://yeinfo.com/family/I09065842.html", "RALPH TOKE 1400 EN-1422 EN ID:09066015")</f>
        <v>RALPH TOKE 1400 EN-1422 EN ID:09066015</v>
      </c>
      <c r="V3606" s="9"/>
      <c r="W3606" s="9"/>
      <c r="X3606" s="9"/>
      <c r="Y3606" s="9"/>
    </row>
    <row r="3607" spans="3:27" x14ac:dyDescent="0.35">
      <c r="C3607" s="15" t="s">
        <v>8</v>
      </c>
      <c r="D3607" s="15" t="s">
        <v>8</v>
      </c>
      <c r="E3607" s="15" t="s">
        <v>8</v>
      </c>
      <c r="F3607" s="15" t="s">
        <v>8</v>
      </c>
      <c r="H3607" s="15" t="s">
        <v>8</v>
      </c>
      <c r="I3607" s="15" t="s">
        <v>8</v>
      </c>
      <c r="J3607" s="15" t="s">
        <v>8</v>
      </c>
      <c r="N3607" s="15" t="s">
        <v>8</v>
      </c>
      <c r="O3607" s="15" t="s">
        <v>8</v>
      </c>
      <c r="P3607" s="15" t="s">
        <v>8</v>
      </c>
      <c r="S3607" s="15" t="s">
        <v>8</v>
      </c>
      <c r="T3607" s="8" t="s">
        <v>6</v>
      </c>
      <c r="U3607" s="8" t="s">
        <v>3</v>
      </c>
    </row>
    <row r="3608" spans="3:27" x14ac:dyDescent="0.35">
      <c r="C3608" s="15" t="s">
        <v>8</v>
      </c>
      <c r="D3608" s="15" t="s">
        <v>8</v>
      </c>
      <c r="E3608" s="15" t="s">
        <v>8</v>
      </c>
      <c r="F3608" s="15" t="s">
        <v>8</v>
      </c>
      <c r="H3608" s="15" t="s">
        <v>8</v>
      </c>
      <c r="I3608" s="15" t="s">
        <v>8</v>
      </c>
      <c r="J3608" s="15" t="s">
        <v>8</v>
      </c>
      <c r="N3608" s="15" t="s">
        <v>8</v>
      </c>
      <c r="O3608" s="15" t="s">
        <v>8</v>
      </c>
      <c r="P3608" s="15" t="s">
        <v>8</v>
      </c>
      <c r="S3608" s="15" t="s">
        <v>8</v>
      </c>
      <c r="T3608" s="20" t="str">
        <f>HYPERLINK("http://yeinfo.com/family/I09066014.html", "JOAN TOKE 1422 EN-1501  ID:09065842")</f>
        <v>JOAN TOKE 1422 EN-1501  ID:09065842</v>
      </c>
      <c r="U3608" s="17"/>
      <c r="V3608" s="17"/>
      <c r="W3608" s="17"/>
      <c r="X3608" s="17"/>
    </row>
    <row r="3609" spans="3:27" x14ac:dyDescent="0.35">
      <c r="C3609" s="15" t="s">
        <v>8</v>
      </c>
      <c r="D3609" s="15" t="s">
        <v>8</v>
      </c>
      <c r="E3609" s="15" t="s">
        <v>8</v>
      </c>
      <c r="F3609" s="15" t="s">
        <v>8</v>
      </c>
      <c r="H3609" s="15" t="s">
        <v>8</v>
      </c>
      <c r="I3609" s="15" t="s">
        <v>8</v>
      </c>
      <c r="J3609" s="15" t="s">
        <v>8</v>
      </c>
      <c r="N3609" s="15" t="s">
        <v>8</v>
      </c>
      <c r="O3609" s="15" t="s">
        <v>8</v>
      </c>
      <c r="P3609" s="15" t="s">
        <v>8</v>
      </c>
      <c r="S3609" s="15" t="s">
        <v>8</v>
      </c>
      <c r="U3609" s="8" t="s">
        <v>6</v>
      </c>
    </row>
    <row r="3610" spans="3:27" x14ac:dyDescent="0.35">
      <c r="C3610" s="15" t="s">
        <v>8</v>
      </c>
      <c r="D3610" s="15" t="s">
        <v>8</v>
      </c>
      <c r="E3610" s="15" t="s">
        <v>8</v>
      </c>
      <c r="F3610" s="15" t="s">
        <v>8</v>
      </c>
      <c r="H3610" s="15" t="s">
        <v>8</v>
      </c>
      <c r="I3610" s="15" t="s">
        <v>8</v>
      </c>
      <c r="J3610" s="15" t="s">
        <v>8</v>
      </c>
      <c r="N3610" s="15" t="s">
        <v>8</v>
      </c>
      <c r="O3610" s="15" t="s">
        <v>8</v>
      </c>
      <c r="P3610" s="15" t="s">
        <v>8</v>
      </c>
      <c r="S3610" s="15" t="s">
        <v>8</v>
      </c>
      <c r="U3610" s="20" t="str">
        <f>HYPERLINK("http://yeinfo.com/family/I09066015.html", "JANE HAWTE 1400 -1422 EN ID:09066016")</f>
        <v>JANE HAWTE 1400 -1422 EN ID:09066016</v>
      </c>
      <c r="V3610" s="17"/>
      <c r="W3610" s="17"/>
      <c r="X3610" s="17"/>
      <c r="Y3610" s="17"/>
    </row>
    <row r="3611" spans="3:27" x14ac:dyDescent="0.35">
      <c r="C3611" s="15" t="s">
        <v>8</v>
      </c>
      <c r="D3611" s="15" t="s">
        <v>8</v>
      </c>
      <c r="E3611" s="15" t="s">
        <v>8</v>
      </c>
      <c r="F3611" s="15" t="s">
        <v>8</v>
      </c>
      <c r="H3611" s="15" t="s">
        <v>8</v>
      </c>
      <c r="I3611" s="15" t="s">
        <v>8</v>
      </c>
      <c r="J3611" s="15" t="s">
        <v>8</v>
      </c>
      <c r="N3611" s="15" t="s">
        <v>8</v>
      </c>
      <c r="O3611" s="15" t="s">
        <v>8</v>
      </c>
      <c r="P3611" s="15" t="s">
        <v>8</v>
      </c>
      <c r="S3611" s="15" t="s">
        <v>8</v>
      </c>
    </row>
    <row r="3612" spans="3:27" x14ac:dyDescent="0.35">
      <c r="C3612" s="15" t="s">
        <v>8</v>
      </c>
      <c r="D3612" s="15" t="s">
        <v>8</v>
      </c>
      <c r="E3612" s="15" t="s">
        <v>8</v>
      </c>
      <c r="F3612" s="15" t="s">
        <v>8</v>
      </c>
      <c r="H3612" s="15" t="s">
        <v>8</v>
      </c>
      <c r="I3612" s="15" t="s">
        <v>8</v>
      </c>
      <c r="J3612" s="15" t="s">
        <v>8</v>
      </c>
      <c r="N3612" s="15" t="s">
        <v>8</v>
      </c>
      <c r="O3612" s="15" t="s">
        <v>8</v>
      </c>
      <c r="P3612" s="15" t="s">
        <v>8</v>
      </c>
      <c r="R3612" s="19" t="str">
        <f>HYPERLINK("http://yeinfo.com/family/I09043386.html", "WILLIAM ISAACKE 1483 EN-1510 EN ID:09065569")</f>
        <v>WILLIAM ISAACKE 1483 EN-1510 EN ID:09065569</v>
      </c>
      <c r="S3612" s="9"/>
      <c r="T3612" s="9"/>
      <c r="U3612" s="9"/>
      <c r="V3612" s="9"/>
    </row>
    <row r="3613" spans="3:27" x14ac:dyDescent="0.35">
      <c r="C3613" s="15" t="s">
        <v>8</v>
      </c>
      <c r="D3613" s="15" t="s">
        <v>8</v>
      </c>
      <c r="E3613" s="15" t="s">
        <v>8</v>
      </c>
      <c r="F3613" s="15" t="s">
        <v>8</v>
      </c>
      <c r="H3613" s="15" t="s">
        <v>8</v>
      </c>
      <c r="I3613" s="15" t="s">
        <v>8</v>
      </c>
      <c r="J3613" s="15" t="s">
        <v>8</v>
      </c>
      <c r="N3613" s="15" t="s">
        <v>8</v>
      </c>
      <c r="O3613" s="15" t="s">
        <v>8</v>
      </c>
      <c r="P3613" s="15" t="s">
        <v>8</v>
      </c>
      <c r="R3613" s="8" t="s">
        <v>3</v>
      </c>
      <c r="S3613" s="15" t="s">
        <v>8</v>
      </c>
    </row>
    <row r="3614" spans="3:27" x14ac:dyDescent="0.35">
      <c r="C3614" s="15" t="s">
        <v>8</v>
      </c>
      <c r="D3614" s="15" t="s">
        <v>8</v>
      </c>
      <c r="E3614" s="15" t="s">
        <v>8</v>
      </c>
      <c r="F3614" s="15" t="s">
        <v>8</v>
      </c>
      <c r="H3614" s="15" t="s">
        <v>8</v>
      </c>
      <c r="I3614" s="15" t="s">
        <v>8</v>
      </c>
      <c r="J3614" s="15" t="s">
        <v>8</v>
      </c>
      <c r="N3614" s="15" t="s">
        <v>8</v>
      </c>
      <c r="O3614" s="15" t="s">
        <v>8</v>
      </c>
      <c r="P3614" s="15" t="s">
        <v>8</v>
      </c>
      <c r="R3614" s="15" t="s">
        <v>8</v>
      </c>
      <c r="S3614" s="15" t="s">
        <v>8</v>
      </c>
      <c r="W3614" s="19" t="str">
        <f>HYPERLINK("http://yeinfo.com/family/I09066201.html", "EDWARD GUILDFORD &lt;2&gt; 1331 EN-1351 EN ID:09066351")</f>
        <v>EDWARD GUILDFORD &lt;2&gt; 1331 EN-1351 EN ID:09066351</v>
      </c>
      <c r="X3614" s="9"/>
      <c r="Y3614" s="9"/>
      <c r="Z3614" s="9"/>
      <c r="AA3614" s="9"/>
    </row>
    <row r="3615" spans="3:27" x14ac:dyDescent="0.35">
      <c r="C3615" s="15" t="s">
        <v>8</v>
      </c>
      <c r="D3615" s="15" t="s">
        <v>8</v>
      </c>
      <c r="E3615" s="15" t="s">
        <v>8</v>
      </c>
      <c r="F3615" s="15" t="s">
        <v>8</v>
      </c>
      <c r="H3615" s="15" t="s">
        <v>8</v>
      </c>
      <c r="I3615" s="15" t="s">
        <v>8</v>
      </c>
      <c r="J3615" s="15" t="s">
        <v>8</v>
      </c>
      <c r="N3615" s="15" t="s">
        <v>8</v>
      </c>
      <c r="O3615" s="15" t="s">
        <v>8</v>
      </c>
      <c r="P3615" s="15" t="s">
        <v>8</v>
      </c>
      <c r="R3615" s="15" t="s">
        <v>8</v>
      </c>
      <c r="S3615" s="15" t="s">
        <v>8</v>
      </c>
      <c r="W3615" s="8" t="s">
        <v>3</v>
      </c>
    </row>
    <row r="3616" spans="3:27" x14ac:dyDescent="0.35">
      <c r="C3616" s="15" t="s">
        <v>8</v>
      </c>
      <c r="D3616" s="15" t="s">
        <v>8</v>
      </c>
      <c r="E3616" s="15" t="s">
        <v>8</v>
      </c>
      <c r="F3616" s="15" t="s">
        <v>8</v>
      </c>
      <c r="H3616" s="15" t="s">
        <v>8</v>
      </c>
      <c r="I3616" s="15" t="s">
        <v>8</v>
      </c>
      <c r="J3616" s="15" t="s">
        <v>8</v>
      </c>
      <c r="N3616" s="15" t="s">
        <v>8</v>
      </c>
      <c r="O3616" s="15" t="s">
        <v>8</v>
      </c>
      <c r="P3616" s="15" t="s">
        <v>8</v>
      </c>
      <c r="R3616" s="15" t="s">
        <v>8</v>
      </c>
      <c r="S3616" s="15" t="s">
        <v>8</v>
      </c>
      <c r="V3616" s="19" t="str">
        <f>HYPERLINK("http://yeinfo.com/family/I09066017.html", "WILLIAM GUILDFORD &lt;2&gt; 1348 EN-1394 EN ID:09066201")</f>
        <v>WILLIAM GUILDFORD &lt;2&gt; 1348 EN-1394 EN ID:09066201</v>
      </c>
      <c r="W3616" s="9"/>
      <c r="X3616" s="9"/>
      <c r="Y3616" s="9"/>
      <c r="Z3616" s="9"/>
    </row>
    <row r="3617" spans="3:28" x14ac:dyDescent="0.35">
      <c r="C3617" s="15" t="s">
        <v>8</v>
      </c>
      <c r="D3617" s="15" t="s">
        <v>8</v>
      </c>
      <c r="E3617" s="15" t="s">
        <v>8</v>
      </c>
      <c r="F3617" s="15" t="s">
        <v>8</v>
      </c>
      <c r="H3617" s="15" t="s">
        <v>8</v>
      </c>
      <c r="I3617" s="15" t="s">
        <v>8</v>
      </c>
      <c r="J3617" s="15" t="s">
        <v>8</v>
      </c>
      <c r="N3617" s="15" t="s">
        <v>8</v>
      </c>
      <c r="O3617" s="15" t="s">
        <v>8</v>
      </c>
      <c r="P3617" s="15" t="s">
        <v>8</v>
      </c>
      <c r="R3617" s="15" t="s">
        <v>8</v>
      </c>
      <c r="S3617" s="15" t="s">
        <v>8</v>
      </c>
      <c r="V3617" s="8" t="s">
        <v>3</v>
      </c>
      <c r="W3617" s="8" t="s">
        <v>6</v>
      </c>
    </row>
    <row r="3618" spans="3:28" x14ac:dyDescent="0.35">
      <c r="C3618" s="15" t="s">
        <v>8</v>
      </c>
      <c r="D3618" s="15" t="s">
        <v>8</v>
      </c>
      <c r="E3618" s="15" t="s">
        <v>8</v>
      </c>
      <c r="F3618" s="15" t="s">
        <v>8</v>
      </c>
      <c r="H3618" s="15" t="s">
        <v>8</v>
      </c>
      <c r="I3618" s="15" t="s">
        <v>8</v>
      </c>
      <c r="J3618" s="15" t="s">
        <v>8</v>
      </c>
      <c r="N3618" s="15" t="s">
        <v>8</v>
      </c>
      <c r="O3618" s="15" t="s">
        <v>8</v>
      </c>
      <c r="P3618" s="15" t="s">
        <v>8</v>
      </c>
      <c r="R3618" s="15" t="s">
        <v>8</v>
      </c>
      <c r="S3618" s="15" t="s">
        <v>8</v>
      </c>
      <c r="V3618" s="15" t="s">
        <v>8</v>
      </c>
      <c r="W3618" s="20" t="str">
        <f>HYPERLINK("http://yeinfo.com/family/I09066351.html", "ALICE SAMBOURNE &lt;2&gt; 1338 EN-1358 EN ID:09066352")</f>
        <v>ALICE SAMBOURNE &lt;2&gt; 1338 EN-1358 EN ID:09066352</v>
      </c>
      <c r="X3618" s="17"/>
      <c r="Y3618" s="17"/>
      <c r="Z3618" s="17"/>
      <c r="AA3618" s="17"/>
    </row>
    <row r="3619" spans="3:28" x14ac:dyDescent="0.35">
      <c r="C3619" s="15" t="s">
        <v>8</v>
      </c>
      <c r="D3619" s="15" t="s">
        <v>8</v>
      </c>
      <c r="E3619" s="15" t="s">
        <v>8</v>
      </c>
      <c r="F3619" s="15" t="s">
        <v>8</v>
      </c>
      <c r="H3619" s="15" t="s">
        <v>8</v>
      </c>
      <c r="I3619" s="15" t="s">
        <v>8</v>
      </c>
      <c r="J3619" s="15" t="s">
        <v>8</v>
      </c>
      <c r="N3619" s="15" t="s">
        <v>8</v>
      </c>
      <c r="O3619" s="15" t="s">
        <v>8</v>
      </c>
      <c r="P3619" s="15" t="s">
        <v>8</v>
      </c>
      <c r="R3619" s="15" t="s">
        <v>8</v>
      </c>
      <c r="S3619" s="15" t="s">
        <v>8</v>
      </c>
      <c r="V3619" s="15" t="s">
        <v>8</v>
      </c>
    </row>
    <row r="3620" spans="3:28" x14ac:dyDescent="0.35">
      <c r="C3620" s="15" t="s">
        <v>8</v>
      </c>
      <c r="D3620" s="15" t="s">
        <v>8</v>
      </c>
      <c r="E3620" s="15" t="s">
        <v>8</v>
      </c>
      <c r="F3620" s="15" t="s">
        <v>8</v>
      </c>
      <c r="H3620" s="15" t="s">
        <v>8</v>
      </c>
      <c r="I3620" s="15" t="s">
        <v>8</v>
      </c>
      <c r="J3620" s="15" t="s">
        <v>8</v>
      </c>
      <c r="N3620" s="15" t="s">
        <v>8</v>
      </c>
      <c r="O3620" s="15" t="s">
        <v>8</v>
      </c>
      <c r="P3620" s="15" t="s">
        <v>8</v>
      </c>
      <c r="R3620" s="15" t="s">
        <v>8</v>
      </c>
      <c r="S3620" s="15" t="s">
        <v>8</v>
      </c>
      <c r="U3620" s="19" t="str">
        <f>HYPERLINK("http://yeinfo.com/family/I09065843.html", "EDWARD GUILDFORD &lt;2&gt; 1385 EN-1449 EN ID:09066017")</f>
        <v>EDWARD GUILDFORD &lt;2&gt; 1385 EN-1449 EN ID:09066017</v>
      </c>
      <c r="V3620" s="9"/>
      <c r="W3620" s="9"/>
      <c r="X3620" s="9"/>
      <c r="Y3620" s="9"/>
    </row>
    <row r="3621" spans="3:28" x14ac:dyDescent="0.35">
      <c r="C3621" s="15" t="s">
        <v>8</v>
      </c>
      <c r="D3621" s="15" t="s">
        <v>8</v>
      </c>
      <c r="E3621" s="15" t="s">
        <v>8</v>
      </c>
      <c r="F3621" s="15" t="s">
        <v>8</v>
      </c>
      <c r="H3621" s="15" t="s">
        <v>8</v>
      </c>
      <c r="I3621" s="15" t="s">
        <v>8</v>
      </c>
      <c r="J3621" s="15" t="s">
        <v>8</v>
      </c>
      <c r="N3621" s="15" t="s">
        <v>8</v>
      </c>
      <c r="O3621" s="15" t="s">
        <v>8</v>
      </c>
      <c r="P3621" s="15" t="s">
        <v>8</v>
      </c>
      <c r="R3621" s="15" t="s">
        <v>8</v>
      </c>
      <c r="S3621" s="15" t="s">
        <v>8</v>
      </c>
      <c r="U3621" s="8" t="s">
        <v>3</v>
      </c>
      <c r="V3621" s="15" t="s">
        <v>8</v>
      </c>
    </row>
    <row r="3622" spans="3:28" x14ac:dyDescent="0.35">
      <c r="C3622" s="15" t="s">
        <v>8</v>
      </c>
      <c r="D3622" s="15" t="s">
        <v>8</v>
      </c>
      <c r="E3622" s="15" t="s">
        <v>8</v>
      </c>
      <c r="F3622" s="15" t="s">
        <v>8</v>
      </c>
      <c r="H3622" s="15" t="s">
        <v>8</v>
      </c>
      <c r="I3622" s="15" t="s">
        <v>8</v>
      </c>
      <c r="J3622" s="15" t="s">
        <v>8</v>
      </c>
      <c r="N3622" s="15" t="s">
        <v>8</v>
      </c>
      <c r="O3622" s="15" t="s">
        <v>8</v>
      </c>
      <c r="P3622" s="15" t="s">
        <v>8</v>
      </c>
      <c r="R3622" s="15" t="s">
        <v>8</v>
      </c>
      <c r="S3622" s="15" t="s">
        <v>8</v>
      </c>
      <c r="U3622" s="15" t="s">
        <v>8</v>
      </c>
      <c r="V3622" s="15" t="s">
        <v>8</v>
      </c>
      <c r="W3622" s="19" t="str">
        <f>HYPERLINK("http://yeinfo.com/family/I09066202.html", "JOHN\WILLIAM HALDEN &lt;2&gt; 1325 EN-1346 EN ID:09066353")</f>
        <v>JOHN\WILLIAM HALDEN &lt;2&gt; 1325 EN-1346 EN ID:09066353</v>
      </c>
      <c r="X3622" s="9"/>
      <c r="Y3622" s="9"/>
      <c r="Z3622" s="9"/>
      <c r="AA3622" s="9"/>
      <c r="AB3622" s="9"/>
    </row>
    <row r="3623" spans="3:28" x14ac:dyDescent="0.35">
      <c r="C3623" s="15" t="s">
        <v>8</v>
      </c>
      <c r="D3623" s="15" t="s">
        <v>8</v>
      </c>
      <c r="E3623" s="15" t="s">
        <v>8</v>
      </c>
      <c r="F3623" s="15" t="s">
        <v>8</v>
      </c>
      <c r="H3623" s="15" t="s">
        <v>8</v>
      </c>
      <c r="I3623" s="15" t="s">
        <v>8</v>
      </c>
      <c r="J3623" s="15" t="s">
        <v>8</v>
      </c>
      <c r="N3623" s="15" t="s">
        <v>8</v>
      </c>
      <c r="O3623" s="15" t="s">
        <v>8</v>
      </c>
      <c r="P3623" s="15" t="s">
        <v>8</v>
      </c>
      <c r="R3623" s="15" t="s">
        <v>8</v>
      </c>
      <c r="S3623" s="15" t="s">
        <v>8</v>
      </c>
      <c r="U3623" s="15" t="s">
        <v>8</v>
      </c>
      <c r="V3623" s="8" t="s">
        <v>6</v>
      </c>
      <c r="W3623" s="8" t="s">
        <v>3</v>
      </c>
    </row>
    <row r="3624" spans="3:28" x14ac:dyDescent="0.35">
      <c r="C3624" s="15" t="s">
        <v>8</v>
      </c>
      <c r="D3624" s="15" t="s">
        <v>8</v>
      </c>
      <c r="E3624" s="15" t="s">
        <v>8</v>
      </c>
      <c r="F3624" s="15" t="s">
        <v>8</v>
      </c>
      <c r="H3624" s="15" t="s">
        <v>8</v>
      </c>
      <c r="I3624" s="15" t="s">
        <v>8</v>
      </c>
      <c r="J3624" s="15" t="s">
        <v>8</v>
      </c>
      <c r="N3624" s="15" t="s">
        <v>8</v>
      </c>
      <c r="O3624" s="15" t="s">
        <v>8</v>
      </c>
      <c r="P3624" s="15" t="s">
        <v>8</v>
      </c>
      <c r="R3624" s="15" t="s">
        <v>8</v>
      </c>
      <c r="S3624" s="15" t="s">
        <v>8</v>
      </c>
      <c r="U3624" s="15" t="s">
        <v>8</v>
      </c>
      <c r="V3624" s="20" t="str">
        <f>HYPERLINK("http://yeinfo.com/family/I09066352.html", "JOAN HALDEN &lt;2&gt; 1346 EN-1411 EN ID:09066202")</f>
        <v>JOAN HALDEN &lt;2&gt; 1346 EN-1411 EN ID:09066202</v>
      </c>
      <c r="W3624" s="17"/>
      <c r="X3624" s="17"/>
      <c r="Y3624" s="17"/>
      <c r="Z3624" s="17"/>
    </row>
    <row r="3625" spans="3:28" x14ac:dyDescent="0.35">
      <c r="C3625" s="15" t="s">
        <v>8</v>
      </c>
      <c r="D3625" s="15" t="s">
        <v>8</v>
      </c>
      <c r="E3625" s="15" t="s">
        <v>8</v>
      </c>
      <c r="F3625" s="15" t="s">
        <v>8</v>
      </c>
      <c r="H3625" s="15" t="s">
        <v>8</v>
      </c>
      <c r="I3625" s="15" t="s">
        <v>8</v>
      </c>
      <c r="J3625" s="15" t="s">
        <v>8</v>
      </c>
      <c r="N3625" s="15" t="s">
        <v>8</v>
      </c>
      <c r="O3625" s="15" t="s">
        <v>8</v>
      </c>
      <c r="P3625" s="15" t="s">
        <v>8</v>
      </c>
      <c r="R3625" s="15" t="s">
        <v>8</v>
      </c>
      <c r="S3625" s="15" t="s">
        <v>8</v>
      </c>
      <c r="U3625" s="15" t="s">
        <v>8</v>
      </c>
      <c r="W3625" s="8" t="s">
        <v>6</v>
      </c>
    </row>
    <row r="3626" spans="3:28" x14ac:dyDescent="0.35">
      <c r="C3626" s="15" t="s">
        <v>8</v>
      </c>
      <c r="D3626" s="15" t="s">
        <v>8</v>
      </c>
      <c r="E3626" s="15" t="s">
        <v>8</v>
      </c>
      <c r="F3626" s="15" t="s">
        <v>8</v>
      </c>
      <c r="H3626" s="15" t="s">
        <v>8</v>
      </c>
      <c r="I3626" s="15" t="s">
        <v>8</v>
      </c>
      <c r="J3626" s="15" t="s">
        <v>8</v>
      </c>
      <c r="N3626" s="15" t="s">
        <v>8</v>
      </c>
      <c r="O3626" s="15" t="s">
        <v>8</v>
      </c>
      <c r="P3626" s="15" t="s">
        <v>8</v>
      </c>
      <c r="R3626" s="15" t="s">
        <v>8</v>
      </c>
      <c r="S3626" s="15" t="s">
        <v>8</v>
      </c>
      <c r="U3626" s="15" t="s">
        <v>8</v>
      </c>
      <c r="W3626" s="20" t="str">
        <f>HYPERLINK("http://yeinfo.com/family/I09066353.html", "Mrs. EMMA HALDEN &lt;2&gt; 1325 -1346 EN ID:09066354")</f>
        <v>Mrs. EMMA HALDEN &lt;2&gt; 1325 -1346 EN ID:09066354</v>
      </c>
      <c r="X3626" s="17"/>
      <c r="Y3626" s="17"/>
      <c r="Z3626" s="17"/>
      <c r="AA3626" s="17"/>
    </row>
    <row r="3627" spans="3:28" x14ac:dyDescent="0.35">
      <c r="C3627" s="15" t="s">
        <v>8</v>
      </c>
      <c r="D3627" s="15" t="s">
        <v>8</v>
      </c>
      <c r="E3627" s="15" t="s">
        <v>8</v>
      </c>
      <c r="F3627" s="15" t="s">
        <v>8</v>
      </c>
      <c r="H3627" s="15" t="s">
        <v>8</v>
      </c>
      <c r="I3627" s="15" t="s">
        <v>8</v>
      </c>
      <c r="J3627" s="15" t="s">
        <v>8</v>
      </c>
      <c r="N3627" s="15" t="s">
        <v>8</v>
      </c>
      <c r="O3627" s="15" t="s">
        <v>8</v>
      </c>
      <c r="P3627" s="15" t="s">
        <v>8</v>
      </c>
      <c r="R3627" s="15" t="s">
        <v>8</v>
      </c>
      <c r="S3627" s="15" t="s">
        <v>8</v>
      </c>
      <c r="U3627" s="15" t="s">
        <v>8</v>
      </c>
    </row>
    <row r="3628" spans="3:28" x14ac:dyDescent="0.35">
      <c r="C3628" s="15" t="s">
        <v>8</v>
      </c>
      <c r="D3628" s="15" t="s">
        <v>8</v>
      </c>
      <c r="E3628" s="15" t="s">
        <v>8</v>
      </c>
      <c r="F3628" s="15" t="s">
        <v>8</v>
      </c>
      <c r="H3628" s="15" t="s">
        <v>8</v>
      </c>
      <c r="I3628" s="15" t="s">
        <v>8</v>
      </c>
      <c r="J3628" s="15" t="s">
        <v>8</v>
      </c>
      <c r="N3628" s="15" t="s">
        <v>8</v>
      </c>
      <c r="O3628" s="15" t="s">
        <v>8</v>
      </c>
      <c r="P3628" s="15" t="s">
        <v>8</v>
      </c>
      <c r="R3628" s="15" t="s">
        <v>8</v>
      </c>
      <c r="S3628" s="15" t="s">
        <v>8</v>
      </c>
      <c r="T3628" s="19" t="str">
        <f>HYPERLINK("http://yeinfo.com/family/I09065707.html", "JOHN GUILDFORD 1420 EN-1493 EN ID:09065843")</f>
        <v>JOHN GUILDFORD 1420 EN-1493 EN ID:09065843</v>
      </c>
      <c r="U3628" s="9"/>
      <c r="V3628" s="9"/>
      <c r="W3628" s="9"/>
      <c r="X3628" s="9"/>
    </row>
    <row r="3629" spans="3:28" x14ac:dyDescent="0.35">
      <c r="C3629" s="15" t="s">
        <v>8</v>
      </c>
      <c r="D3629" s="15" t="s">
        <v>8</v>
      </c>
      <c r="E3629" s="15" t="s">
        <v>8</v>
      </c>
      <c r="F3629" s="15" t="s">
        <v>8</v>
      </c>
      <c r="H3629" s="15" t="s">
        <v>8</v>
      </c>
      <c r="I3629" s="15" t="s">
        <v>8</v>
      </c>
      <c r="J3629" s="15" t="s">
        <v>8</v>
      </c>
      <c r="N3629" s="15" t="s">
        <v>8</v>
      </c>
      <c r="O3629" s="15" t="s">
        <v>8</v>
      </c>
      <c r="P3629" s="15" t="s">
        <v>8</v>
      </c>
      <c r="R3629" s="15" t="s">
        <v>8</v>
      </c>
      <c r="S3629" s="15" t="s">
        <v>8</v>
      </c>
      <c r="T3629" s="8" t="s">
        <v>3</v>
      </c>
      <c r="U3629" s="8" t="s">
        <v>6</v>
      </c>
    </row>
    <row r="3630" spans="3:28" x14ac:dyDescent="0.35">
      <c r="C3630" s="15" t="s">
        <v>8</v>
      </c>
      <c r="D3630" s="15" t="s">
        <v>8</v>
      </c>
      <c r="E3630" s="15" t="s">
        <v>8</v>
      </c>
      <c r="F3630" s="15" t="s">
        <v>8</v>
      </c>
      <c r="H3630" s="15" t="s">
        <v>8</v>
      </c>
      <c r="I3630" s="15" t="s">
        <v>8</v>
      </c>
      <c r="J3630" s="15" t="s">
        <v>8</v>
      </c>
      <c r="N3630" s="15" t="s">
        <v>8</v>
      </c>
      <c r="O3630" s="15" t="s">
        <v>8</v>
      </c>
      <c r="P3630" s="15" t="s">
        <v>8</v>
      </c>
      <c r="R3630" s="15" t="s">
        <v>8</v>
      </c>
      <c r="S3630" s="15" t="s">
        <v>8</v>
      </c>
      <c r="T3630" s="15" t="s">
        <v>8</v>
      </c>
      <c r="U3630" s="20" t="str">
        <f>HYPERLINK("http://yeinfo.com/family/I09066354.html", "JULIANA PITTLESDEN &lt;2&gt; 1387 EN-1422 EN ID:09066018")</f>
        <v>JULIANA PITTLESDEN &lt;2&gt; 1387 EN-1422 EN ID:09066018</v>
      </c>
      <c r="V3630" s="17"/>
      <c r="W3630" s="17"/>
      <c r="X3630" s="17"/>
      <c r="Y3630" s="17"/>
    </row>
    <row r="3631" spans="3:28" x14ac:dyDescent="0.35">
      <c r="C3631" s="15" t="s">
        <v>8</v>
      </c>
      <c r="D3631" s="15" t="s">
        <v>8</v>
      </c>
      <c r="E3631" s="15" t="s">
        <v>8</v>
      </c>
      <c r="F3631" s="15" t="s">
        <v>8</v>
      </c>
      <c r="H3631" s="15" t="s">
        <v>8</v>
      </c>
      <c r="I3631" s="15" t="s">
        <v>8</v>
      </c>
      <c r="J3631" s="15" t="s">
        <v>8</v>
      </c>
      <c r="N3631" s="15" t="s">
        <v>8</v>
      </c>
      <c r="O3631" s="15" t="s">
        <v>8</v>
      </c>
      <c r="P3631" s="15" t="s">
        <v>8</v>
      </c>
      <c r="R3631" s="15" t="s">
        <v>8</v>
      </c>
      <c r="S3631" s="8" t="s">
        <v>6</v>
      </c>
      <c r="T3631" s="15" t="s">
        <v>8</v>
      </c>
    </row>
    <row r="3632" spans="3:28" x14ac:dyDescent="0.35">
      <c r="C3632" s="15" t="s">
        <v>8</v>
      </c>
      <c r="D3632" s="15" t="s">
        <v>8</v>
      </c>
      <c r="E3632" s="15" t="s">
        <v>8</v>
      </c>
      <c r="F3632" s="15" t="s">
        <v>8</v>
      </c>
      <c r="H3632" s="15" t="s">
        <v>8</v>
      </c>
      <c r="I3632" s="15" t="s">
        <v>8</v>
      </c>
      <c r="J3632" s="15" t="s">
        <v>8</v>
      </c>
      <c r="N3632" s="15" t="s">
        <v>8</v>
      </c>
      <c r="O3632" s="15" t="s">
        <v>8</v>
      </c>
      <c r="P3632" s="15" t="s">
        <v>8</v>
      </c>
      <c r="R3632" s="15" t="s">
        <v>8</v>
      </c>
      <c r="S3632" s="20" t="str">
        <f>HYPERLINK("http://yeinfo.com/family/I09066016.html", "BENNETT\JANE GUILDFORD 1455 EN-1483 EN ID:09065707")</f>
        <v>BENNETT\JANE GUILDFORD 1455 EN-1483 EN ID:09065707</v>
      </c>
      <c r="T3632" s="17"/>
      <c r="U3632" s="17"/>
      <c r="V3632" s="17"/>
      <c r="W3632" s="17"/>
      <c r="X3632" s="17"/>
    </row>
    <row r="3633" spans="3:30" x14ac:dyDescent="0.35">
      <c r="C3633" s="15" t="s">
        <v>8</v>
      </c>
      <c r="D3633" s="15" t="s">
        <v>8</v>
      </c>
      <c r="E3633" s="15" t="s">
        <v>8</v>
      </c>
      <c r="F3633" s="15" t="s">
        <v>8</v>
      </c>
      <c r="H3633" s="15" t="s">
        <v>8</v>
      </c>
      <c r="I3633" s="15" t="s">
        <v>8</v>
      </c>
      <c r="J3633" s="15" t="s">
        <v>8</v>
      </c>
      <c r="N3633" s="15" t="s">
        <v>8</v>
      </c>
      <c r="O3633" s="15" t="s">
        <v>8</v>
      </c>
      <c r="P3633" s="15" t="s">
        <v>8</v>
      </c>
      <c r="R3633" s="15" t="s">
        <v>8</v>
      </c>
      <c r="T3633" s="15" t="s">
        <v>8</v>
      </c>
    </row>
    <row r="3634" spans="3:30" x14ac:dyDescent="0.35">
      <c r="C3634" s="15" t="s">
        <v>8</v>
      </c>
      <c r="D3634" s="15" t="s">
        <v>8</v>
      </c>
      <c r="E3634" s="15" t="s">
        <v>8</v>
      </c>
      <c r="F3634" s="15" t="s">
        <v>8</v>
      </c>
      <c r="H3634" s="15" t="s">
        <v>8</v>
      </c>
      <c r="I3634" s="15" t="s">
        <v>8</v>
      </c>
      <c r="J3634" s="15" t="s">
        <v>8</v>
      </c>
      <c r="N3634" s="15" t="s">
        <v>8</v>
      </c>
      <c r="O3634" s="15" t="s">
        <v>8</v>
      </c>
      <c r="P3634" s="15" t="s">
        <v>8</v>
      </c>
      <c r="R3634" s="15" t="s">
        <v>8</v>
      </c>
      <c r="T3634" s="15" t="s">
        <v>8</v>
      </c>
      <c r="X3634" s="19" t="str">
        <f>HYPERLINK("http://yeinfo.com/family/I09066355.html", "THOMAS\HENRY WALLER 1323 EN-1353 EN ID:09066530")</f>
        <v>THOMAS\HENRY WALLER 1323 EN-1353 EN ID:09066530</v>
      </c>
      <c r="Y3634" s="9"/>
      <c r="Z3634" s="9"/>
      <c r="AA3634" s="9"/>
      <c r="AB3634" s="9"/>
      <c r="AC3634" s="9"/>
    </row>
    <row r="3635" spans="3:30" x14ac:dyDescent="0.35">
      <c r="C3635" s="15" t="s">
        <v>8</v>
      </c>
      <c r="D3635" s="15" t="s">
        <v>8</v>
      </c>
      <c r="E3635" s="15" t="s">
        <v>8</v>
      </c>
      <c r="F3635" s="15" t="s">
        <v>8</v>
      </c>
      <c r="H3635" s="15" t="s">
        <v>8</v>
      </c>
      <c r="I3635" s="15" t="s">
        <v>8</v>
      </c>
      <c r="J3635" s="15" t="s">
        <v>8</v>
      </c>
      <c r="N3635" s="15" t="s">
        <v>8</v>
      </c>
      <c r="O3635" s="15" t="s">
        <v>8</v>
      </c>
      <c r="P3635" s="15" t="s">
        <v>8</v>
      </c>
      <c r="R3635" s="15" t="s">
        <v>8</v>
      </c>
      <c r="T3635" s="15" t="s">
        <v>8</v>
      </c>
      <c r="X3635" s="8" t="s">
        <v>3</v>
      </c>
    </row>
    <row r="3636" spans="3:30" x14ac:dyDescent="0.35">
      <c r="C3636" s="15" t="s">
        <v>8</v>
      </c>
      <c r="D3636" s="15" t="s">
        <v>8</v>
      </c>
      <c r="E3636" s="15" t="s">
        <v>8</v>
      </c>
      <c r="F3636" s="15" t="s">
        <v>8</v>
      </c>
      <c r="H3636" s="15" t="s">
        <v>8</v>
      </c>
      <c r="I3636" s="15" t="s">
        <v>8</v>
      </c>
      <c r="J3636" s="15" t="s">
        <v>8</v>
      </c>
      <c r="N3636" s="15" t="s">
        <v>8</v>
      </c>
      <c r="O3636" s="15" t="s">
        <v>8</v>
      </c>
      <c r="P3636" s="15" t="s">
        <v>8</v>
      </c>
      <c r="R3636" s="15" t="s">
        <v>8</v>
      </c>
      <c r="T3636" s="15" t="s">
        <v>8</v>
      </c>
      <c r="W3636" s="19" t="str">
        <f>HYPERLINK("http://yeinfo.com/family/I09066203.html", "THOMAS WALLER III 1341 EN-1390 EN ID:09066355")</f>
        <v>THOMAS WALLER III 1341 EN-1390 EN ID:09066355</v>
      </c>
      <c r="X3636" s="9"/>
      <c r="Y3636" s="9"/>
      <c r="Z3636" s="9"/>
      <c r="AA3636" s="9"/>
    </row>
    <row r="3637" spans="3:30" x14ac:dyDescent="0.35">
      <c r="C3637" s="15" t="s">
        <v>8</v>
      </c>
      <c r="D3637" s="15" t="s">
        <v>8</v>
      </c>
      <c r="E3637" s="15" t="s">
        <v>8</v>
      </c>
      <c r="F3637" s="15" t="s">
        <v>8</v>
      </c>
      <c r="H3637" s="15" t="s">
        <v>8</v>
      </c>
      <c r="I3637" s="15" t="s">
        <v>8</v>
      </c>
      <c r="J3637" s="15" t="s">
        <v>8</v>
      </c>
      <c r="N3637" s="15" t="s">
        <v>8</v>
      </c>
      <c r="O3637" s="15" t="s">
        <v>8</v>
      </c>
      <c r="P3637" s="15" t="s">
        <v>8</v>
      </c>
      <c r="R3637" s="15" t="s">
        <v>8</v>
      </c>
      <c r="T3637" s="15" t="s">
        <v>8</v>
      </c>
      <c r="W3637" s="8" t="s">
        <v>3</v>
      </c>
      <c r="X3637" s="15" t="s">
        <v>8</v>
      </c>
    </row>
    <row r="3638" spans="3:30" x14ac:dyDescent="0.35">
      <c r="C3638" s="15" t="s">
        <v>8</v>
      </c>
      <c r="D3638" s="15" t="s">
        <v>8</v>
      </c>
      <c r="E3638" s="15" t="s">
        <v>8</v>
      </c>
      <c r="F3638" s="15" t="s">
        <v>8</v>
      </c>
      <c r="H3638" s="15" t="s">
        <v>8</v>
      </c>
      <c r="I3638" s="15" t="s">
        <v>8</v>
      </c>
      <c r="J3638" s="15" t="s">
        <v>8</v>
      </c>
      <c r="N3638" s="15" t="s">
        <v>8</v>
      </c>
      <c r="O3638" s="15" t="s">
        <v>8</v>
      </c>
      <c r="P3638" s="15" t="s">
        <v>8</v>
      </c>
      <c r="R3638" s="15" t="s">
        <v>8</v>
      </c>
      <c r="T3638" s="15" t="s">
        <v>8</v>
      </c>
      <c r="W3638" s="15" t="s">
        <v>8</v>
      </c>
      <c r="X3638" s="15" t="s">
        <v>8</v>
      </c>
      <c r="Z3638" s="19" t="str">
        <f>HYPERLINK("http://yeinfo.com/family/I09066582.html", "ROBERT CLIFFORD 1274 EN-1314 ST ID:09066643")</f>
        <v>ROBERT CLIFFORD 1274 EN-1314 ST ID:09066643</v>
      </c>
      <c r="AA3638" s="9"/>
      <c r="AB3638" s="9"/>
      <c r="AC3638" s="9"/>
      <c r="AD3638" s="9"/>
    </row>
    <row r="3639" spans="3:30" x14ac:dyDescent="0.35">
      <c r="C3639" s="15" t="s">
        <v>8</v>
      </c>
      <c r="D3639" s="15" t="s">
        <v>8</v>
      </c>
      <c r="E3639" s="15" t="s">
        <v>8</v>
      </c>
      <c r="F3639" s="15" t="s">
        <v>8</v>
      </c>
      <c r="H3639" s="15" t="s">
        <v>8</v>
      </c>
      <c r="I3639" s="15" t="s">
        <v>8</v>
      </c>
      <c r="J3639" s="15" t="s">
        <v>8</v>
      </c>
      <c r="N3639" s="15" t="s">
        <v>8</v>
      </c>
      <c r="O3639" s="15" t="s">
        <v>8</v>
      </c>
      <c r="P3639" s="15" t="s">
        <v>8</v>
      </c>
      <c r="R3639" s="15" t="s">
        <v>8</v>
      </c>
      <c r="T3639" s="15" t="s">
        <v>8</v>
      </c>
      <c r="W3639" s="15" t="s">
        <v>8</v>
      </c>
      <c r="X3639" s="15" t="s">
        <v>8</v>
      </c>
      <c r="Z3639" s="8" t="s">
        <v>3</v>
      </c>
    </row>
    <row r="3640" spans="3:30" x14ac:dyDescent="0.35">
      <c r="C3640" s="15" t="s">
        <v>8</v>
      </c>
      <c r="D3640" s="15" t="s">
        <v>8</v>
      </c>
      <c r="E3640" s="15" t="s">
        <v>8</v>
      </c>
      <c r="F3640" s="15" t="s">
        <v>8</v>
      </c>
      <c r="H3640" s="15" t="s">
        <v>8</v>
      </c>
      <c r="I3640" s="15" t="s">
        <v>8</v>
      </c>
      <c r="J3640" s="15" t="s">
        <v>8</v>
      </c>
      <c r="N3640" s="15" t="s">
        <v>8</v>
      </c>
      <c r="O3640" s="15" t="s">
        <v>8</v>
      </c>
      <c r="P3640" s="15" t="s">
        <v>8</v>
      </c>
      <c r="R3640" s="15" t="s">
        <v>8</v>
      </c>
      <c r="T3640" s="15" t="s">
        <v>8</v>
      </c>
      <c r="W3640" s="15" t="s">
        <v>8</v>
      </c>
      <c r="X3640" s="15" t="s">
        <v>8</v>
      </c>
      <c r="Y3640" s="19" t="str">
        <f>HYPERLINK("http://yeinfo.com/family/I09066531.html", "ROGER CLIFFORD 1300 EN-1322 EN ID:09066582")</f>
        <v>ROGER CLIFFORD 1300 EN-1322 EN ID:09066582</v>
      </c>
      <c r="Z3640" s="9"/>
      <c r="AA3640" s="9"/>
      <c r="AB3640" s="9"/>
      <c r="AC3640" s="9"/>
    </row>
    <row r="3641" spans="3:30" x14ac:dyDescent="0.35">
      <c r="C3641" s="15" t="s">
        <v>8</v>
      </c>
      <c r="D3641" s="15" t="s">
        <v>8</v>
      </c>
      <c r="E3641" s="15" t="s">
        <v>8</v>
      </c>
      <c r="F3641" s="15" t="s">
        <v>8</v>
      </c>
      <c r="H3641" s="15" t="s">
        <v>8</v>
      </c>
      <c r="I3641" s="15" t="s">
        <v>8</v>
      </c>
      <c r="J3641" s="15" t="s">
        <v>8</v>
      </c>
      <c r="N3641" s="15" t="s">
        <v>8</v>
      </c>
      <c r="O3641" s="15" t="s">
        <v>8</v>
      </c>
      <c r="P3641" s="15" t="s">
        <v>8</v>
      </c>
      <c r="R3641" s="15" t="s">
        <v>8</v>
      </c>
      <c r="T3641" s="15" t="s">
        <v>8</v>
      </c>
      <c r="W3641" s="15" t="s">
        <v>8</v>
      </c>
      <c r="X3641" s="15" t="s">
        <v>8</v>
      </c>
      <c r="Y3641" s="8" t="s">
        <v>3</v>
      </c>
      <c r="Z3641" s="8" t="s">
        <v>6</v>
      </c>
    </row>
    <row r="3642" spans="3:30" x14ac:dyDescent="0.35">
      <c r="C3642" s="15" t="s">
        <v>8</v>
      </c>
      <c r="D3642" s="15" t="s">
        <v>8</v>
      </c>
      <c r="E3642" s="15" t="s">
        <v>8</v>
      </c>
      <c r="F3642" s="15" t="s">
        <v>8</v>
      </c>
      <c r="H3642" s="15" t="s">
        <v>8</v>
      </c>
      <c r="I3642" s="15" t="s">
        <v>8</v>
      </c>
      <c r="J3642" s="15" t="s">
        <v>8</v>
      </c>
      <c r="N3642" s="15" t="s">
        <v>8</v>
      </c>
      <c r="O3642" s="15" t="s">
        <v>8</v>
      </c>
      <c r="P3642" s="15" t="s">
        <v>8</v>
      </c>
      <c r="R3642" s="15" t="s">
        <v>8</v>
      </c>
      <c r="T3642" s="15" t="s">
        <v>8</v>
      </c>
      <c r="W3642" s="15" t="s">
        <v>8</v>
      </c>
      <c r="X3642" s="15" t="s">
        <v>8</v>
      </c>
      <c r="Y3642" s="15" t="s">
        <v>8</v>
      </c>
      <c r="Z3642" s="20" t="str">
        <f>HYPERLINK("http://yeinfo.com/family/I09066643.html", "MATILDA MAUD 1276 IR-1327 EN ID:09066644")</f>
        <v>MATILDA MAUD 1276 IR-1327 EN ID:09066644</v>
      </c>
      <c r="AA3642" s="17"/>
      <c r="AB3642" s="17"/>
      <c r="AC3642" s="17"/>
      <c r="AD3642" s="17"/>
    </row>
    <row r="3643" spans="3:30" x14ac:dyDescent="0.35">
      <c r="C3643" s="15" t="s">
        <v>8</v>
      </c>
      <c r="D3643" s="15" t="s">
        <v>8</v>
      </c>
      <c r="E3643" s="15" t="s">
        <v>8</v>
      </c>
      <c r="F3643" s="15" t="s">
        <v>8</v>
      </c>
      <c r="H3643" s="15" t="s">
        <v>8</v>
      </c>
      <c r="I3643" s="15" t="s">
        <v>8</v>
      </c>
      <c r="J3643" s="15" t="s">
        <v>8</v>
      </c>
      <c r="N3643" s="15" t="s">
        <v>8</v>
      </c>
      <c r="O3643" s="15" t="s">
        <v>8</v>
      </c>
      <c r="P3643" s="15" t="s">
        <v>8</v>
      </c>
      <c r="R3643" s="15" t="s">
        <v>8</v>
      </c>
      <c r="T3643" s="15" t="s">
        <v>8</v>
      </c>
      <c r="W3643" s="15" t="s">
        <v>8</v>
      </c>
      <c r="X3643" s="8" t="s">
        <v>6</v>
      </c>
      <c r="Y3643" s="15" t="s">
        <v>8</v>
      </c>
    </row>
    <row r="3644" spans="3:30" x14ac:dyDescent="0.35">
      <c r="C3644" s="15" t="s">
        <v>8</v>
      </c>
      <c r="D3644" s="15" t="s">
        <v>8</v>
      </c>
      <c r="E3644" s="15" t="s">
        <v>8</v>
      </c>
      <c r="F3644" s="15" t="s">
        <v>8</v>
      </c>
      <c r="H3644" s="15" t="s">
        <v>8</v>
      </c>
      <c r="I3644" s="15" t="s">
        <v>8</v>
      </c>
      <c r="J3644" s="15" t="s">
        <v>8</v>
      </c>
      <c r="N3644" s="15" t="s">
        <v>8</v>
      </c>
      <c r="O3644" s="15" t="s">
        <v>8</v>
      </c>
      <c r="P3644" s="15" t="s">
        <v>8</v>
      </c>
      <c r="R3644" s="15" t="s">
        <v>8</v>
      </c>
      <c r="T3644" s="15" t="s">
        <v>8</v>
      </c>
      <c r="W3644" s="15" t="s">
        <v>8</v>
      </c>
      <c r="X3644" s="20" t="str">
        <f>HYPERLINK("http://yeinfo.com/family/I09066530.html", "CATHERINE CLIFFORD 1322 EN-1342 EN ID:09066531")</f>
        <v>CATHERINE CLIFFORD 1322 EN-1342 EN ID:09066531</v>
      </c>
      <c r="Y3644" s="17"/>
      <c r="Z3644" s="17"/>
      <c r="AA3644" s="17"/>
      <c r="AB3644" s="17"/>
    </row>
    <row r="3645" spans="3:30" x14ac:dyDescent="0.35">
      <c r="C3645" s="15" t="s">
        <v>8</v>
      </c>
      <c r="D3645" s="15" t="s">
        <v>8</v>
      </c>
      <c r="E3645" s="15" t="s">
        <v>8</v>
      </c>
      <c r="F3645" s="15" t="s">
        <v>8</v>
      </c>
      <c r="H3645" s="15" t="s">
        <v>8</v>
      </c>
      <c r="I3645" s="15" t="s">
        <v>8</v>
      </c>
      <c r="J3645" s="15" t="s">
        <v>8</v>
      </c>
      <c r="N3645" s="15" t="s">
        <v>8</v>
      </c>
      <c r="O3645" s="15" t="s">
        <v>8</v>
      </c>
      <c r="P3645" s="15" t="s">
        <v>8</v>
      </c>
      <c r="R3645" s="15" t="s">
        <v>8</v>
      </c>
      <c r="T3645" s="15" t="s">
        <v>8</v>
      </c>
      <c r="W3645" s="15" t="s">
        <v>8</v>
      </c>
      <c r="Y3645" s="8" t="s">
        <v>6</v>
      </c>
    </row>
    <row r="3646" spans="3:30" x14ac:dyDescent="0.35">
      <c r="C3646" s="15" t="s">
        <v>8</v>
      </c>
      <c r="D3646" s="15" t="s">
        <v>8</v>
      </c>
      <c r="E3646" s="15" t="s">
        <v>8</v>
      </c>
      <c r="F3646" s="15" t="s">
        <v>8</v>
      </c>
      <c r="H3646" s="15" t="s">
        <v>8</v>
      </c>
      <c r="I3646" s="15" t="s">
        <v>8</v>
      </c>
      <c r="J3646" s="15" t="s">
        <v>8</v>
      </c>
      <c r="N3646" s="15" t="s">
        <v>8</v>
      </c>
      <c r="O3646" s="15" t="s">
        <v>8</v>
      </c>
      <c r="P3646" s="15" t="s">
        <v>8</v>
      </c>
      <c r="R3646" s="15" t="s">
        <v>8</v>
      </c>
      <c r="T3646" s="15" t="s">
        <v>8</v>
      </c>
      <c r="W3646" s="15" t="s">
        <v>8</v>
      </c>
      <c r="Y3646" s="20" t="str">
        <f>HYPERLINK("http://yeinfo.com/family/I09066644.html", "JULIAN BOWER 1300 EN-1322 EN ID:09066583")</f>
        <v>JULIAN BOWER 1300 EN-1322 EN ID:09066583</v>
      </c>
      <c r="Z3646" s="17"/>
      <c r="AA3646" s="17"/>
      <c r="AB3646" s="17"/>
      <c r="AC3646" s="17"/>
    </row>
    <row r="3647" spans="3:30" x14ac:dyDescent="0.35">
      <c r="C3647" s="15" t="s">
        <v>8</v>
      </c>
      <c r="D3647" s="15" t="s">
        <v>8</v>
      </c>
      <c r="E3647" s="15" t="s">
        <v>8</v>
      </c>
      <c r="F3647" s="15" t="s">
        <v>8</v>
      </c>
      <c r="H3647" s="15" t="s">
        <v>8</v>
      </c>
      <c r="I3647" s="15" t="s">
        <v>8</v>
      </c>
      <c r="J3647" s="15" t="s">
        <v>8</v>
      </c>
      <c r="N3647" s="15" t="s">
        <v>8</v>
      </c>
      <c r="O3647" s="15" t="s">
        <v>8</v>
      </c>
      <c r="P3647" s="15" t="s">
        <v>8</v>
      </c>
      <c r="R3647" s="15" t="s">
        <v>8</v>
      </c>
      <c r="T3647" s="15" t="s">
        <v>8</v>
      </c>
      <c r="W3647" s="15" t="s">
        <v>8</v>
      </c>
    </row>
    <row r="3648" spans="3:30" x14ac:dyDescent="0.35">
      <c r="C3648" s="15" t="s">
        <v>8</v>
      </c>
      <c r="D3648" s="15" t="s">
        <v>8</v>
      </c>
      <c r="E3648" s="15" t="s">
        <v>8</v>
      </c>
      <c r="F3648" s="15" t="s">
        <v>8</v>
      </c>
      <c r="H3648" s="15" t="s">
        <v>8</v>
      </c>
      <c r="I3648" s="15" t="s">
        <v>8</v>
      </c>
      <c r="J3648" s="15" t="s">
        <v>8</v>
      </c>
      <c r="N3648" s="15" t="s">
        <v>8</v>
      </c>
      <c r="O3648" s="15" t="s">
        <v>8</v>
      </c>
      <c r="P3648" s="15" t="s">
        <v>8</v>
      </c>
      <c r="R3648" s="15" t="s">
        <v>8</v>
      </c>
      <c r="T3648" s="15" t="s">
        <v>8</v>
      </c>
      <c r="V3648" s="19" t="str">
        <f>HYPERLINK("http://yeinfo.com/family/I09066019.html", "JOHN WALLER 1365 EN-1420 EN ID:09066203")</f>
        <v>JOHN WALLER 1365 EN-1420 EN ID:09066203</v>
      </c>
      <c r="W3648" s="9"/>
      <c r="X3648" s="9"/>
      <c r="Y3648" s="9"/>
      <c r="Z3648" s="9"/>
    </row>
    <row r="3649" spans="3:29" x14ac:dyDescent="0.35">
      <c r="C3649" s="15" t="s">
        <v>8</v>
      </c>
      <c r="D3649" s="15" t="s">
        <v>8</v>
      </c>
      <c r="E3649" s="15" t="s">
        <v>8</v>
      </c>
      <c r="F3649" s="15" t="s">
        <v>8</v>
      </c>
      <c r="H3649" s="15" t="s">
        <v>8</v>
      </c>
      <c r="I3649" s="15" t="s">
        <v>8</v>
      </c>
      <c r="J3649" s="15" t="s">
        <v>8</v>
      </c>
      <c r="N3649" s="15" t="s">
        <v>8</v>
      </c>
      <c r="O3649" s="15" t="s">
        <v>8</v>
      </c>
      <c r="P3649" s="15" t="s">
        <v>8</v>
      </c>
      <c r="R3649" s="15" t="s">
        <v>8</v>
      </c>
      <c r="T3649" s="15" t="s">
        <v>8</v>
      </c>
      <c r="V3649" s="8" t="s">
        <v>3</v>
      </c>
      <c r="W3649" s="15" t="s">
        <v>8</v>
      </c>
    </row>
    <row r="3650" spans="3:29" x14ac:dyDescent="0.35">
      <c r="C3650" s="15" t="s">
        <v>8</v>
      </c>
      <c r="D3650" s="15" t="s">
        <v>8</v>
      </c>
      <c r="E3650" s="15" t="s">
        <v>8</v>
      </c>
      <c r="F3650" s="15" t="s">
        <v>8</v>
      </c>
      <c r="H3650" s="15" t="s">
        <v>8</v>
      </c>
      <c r="I3650" s="15" t="s">
        <v>8</v>
      </c>
      <c r="J3650" s="15" t="s">
        <v>8</v>
      </c>
      <c r="N3650" s="15" t="s">
        <v>8</v>
      </c>
      <c r="O3650" s="15" t="s">
        <v>8</v>
      </c>
      <c r="P3650" s="15" t="s">
        <v>8</v>
      </c>
      <c r="R3650" s="15" t="s">
        <v>8</v>
      </c>
      <c r="T3650" s="15" t="s">
        <v>8</v>
      </c>
      <c r="V3650" s="15" t="s">
        <v>8</v>
      </c>
      <c r="W3650" s="15" t="s">
        <v>8</v>
      </c>
      <c r="Y3650" s="19" t="str">
        <f>HYPERLINK("http://yeinfo.com/family/I09066532.html", "HENRY CHALFUNT 1285 EN-1310 EN ID:09066584")</f>
        <v>HENRY CHALFUNT 1285 EN-1310 EN ID:09066584</v>
      </c>
      <c r="Z3650" s="9"/>
      <c r="AA3650" s="9"/>
      <c r="AB3650" s="9"/>
      <c r="AC3650" s="9"/>
    </row>
    <row r="3651" spans="3:29" x14ac:dyDescent="0.35">
      <c r="C3651" s="15" t="s">
        <v>8</v>
      </c>
      <c r="D3651" s="15" t="s">
        <v>8</v>
      </c>
      <c r="E3651" s="15" t="s">
        <v>8</v>
      </c>
      <c r="F3651" s="15" t="s">
        <v>8</v>
      </c>
      <c r="H3651" s="15" t="s">
        <v>8</v>
      </c>
      <c r="I3651" s="15" t="s">
        <v>8</v>
      </c>
      <c r="J3651" s="15" t="s">
        <v>8</v>
      </c>
      <c r="N3651" s="15" t="s">
        <v>8</v>
      </c>
      <c r="O3651" s="15" t="s">
        <v>8</v>
      </c>
      <c r="P3651" s="15" t="s">
        <v>8</v>
      </c>
      <c r="R3651" s="15" t="s">
        <v>8</v>
      </c>
      <c r="T3651" s="15" t="s">
        <v>8</v>
      </c>
      <c r="V3651" s="15" t="s">
        <v>8</v>
      </c>
      <c r="W3651" s="15" t="s">
        <v>8</v>
      </c>
      <c r="Y3651" s="8" t="s">
        <v>3</v>
      </c>
    </row>
    <row r="3652" spans="3:29" x14ac:dyDescent="0.35">
      <c r="C3652" s="15" t="s">
        <v>8</v>
      </c>
      <c r="D3652" s="15" t="s">
        <v>8</v>
      </c>
      <c r="E3652" s="15" t="s">
        <v>8</v>
      </c>
      <c r="F3652" s="15" t="s">
        <v>8</v>
      </c>
      <c r="H3652" s="15" t="s">
        <v>8</v>
      </c>
      <c r="I3652" s="15" t="s">
        <v>8</v>
      </c>
      <c r="J3652" s="15" t="s">
        <v>8</v>
      </c>
      <c r="N3652" s="15" t="s">
        <v>8</v>
      </c>
      <c r="O3652" s="15" t="s">
        <v>8</v>
      </c>
      <c r="P3652" s="15" t="s">
        <v>8</v>
      </c>
      <c r="R3652" s="15" t="s">
        <v>8</v>
      </c>
      <c r="T3652" s="15" t="s">
        <v>8</v>
      </c>
      <c r="V3652" s="15" t="s">
        <v>8</v>
      </c>
      <c r="W3652" s="15" t="s">
        <v>8</v>
      </c>
      <c r="X3652" s="19" t="str">
        <f>HYPERLINK("http://yeinfo.com/family/I09066356.html", "HENRY CHALFUNT 1310 EN-1365 EN ID:09066532")</f>
        <v>HENRY CHALFUNT 1310 EN-1365 EN ID:09066532</v>
      </c>
      <c r="Y3652" s="9"/>
      <c r="Z3652" s="9"/>
      <c r="AA3652" s="9"/>
      <c r="AB3652" s="9"/>
    </row>
    <row r="3653" spans="3:29" x14ac:dyDescent="0.35">
      <c r="C3653" s="15" t="s">
        <v>8</v>
      </c>
      <c r="D3653" s="15" t="s">
        <v>8</v>
      </c>
      <c r="E3653" s="15" t="s">
        <v>8</v>
      </c>
      <c r="F3653" s="15" t="s">
        <v>8</v>
      </c>
      <c r="H3653" s="15" t="s">
        <v>8</v>
      </c>
      <c r="I3653" s="15" t="s">
        <v>8</v>
      </c>
      <c r="J3653" s="15" t="s">
        <v>8</v>
      </c>
      <c r="N3653" s="15" t="s">
        <v>8</v>
      </c>
      <c r="O3653" s="15" t="s">
        <v>8</v>
      </c>
      <c r="P3653" s="15" t="s">
        <v>8</v>
      </c>
      <c r="R3653" s="15" t="s">
        <v>8</v>
      </c>
      <c r="T3653" s="15" t="s">
        <v>8</v>
      </c>
      <c r="V3653" s="15" t="s">
        <v>8</v>
      </c>
      <c r="W3653" s="15" t="s">
        <v>8</v>
      </c>
      <c r="X3653" s="8" t="s">
        <v>3</v>
      </c>
      <c r="Y3653" s="8" t="s">
        <v>6</v>
      </c>
    </row>
    <row r="3654" spans="3:29" x14ac:dyDescent="0.35">
      <c r="C3654" s="15" t="s">
        <v>8</v>
      </c>
      <c r="D3654" s="15" t="s">
        <v>8</v>
      </c>
      <c r="E3654" s="15" t="s">
        <v>8</v>
      </c>
      <c r="F3654" s="15" t="s">
        <v>8</v>
      </c>
      <c r="H3654" s="15" t="s">
        <v>8</v>
      </c>
      <c r="I3654" s="15" t="s">
        <v>8</v>
      </c>
      <c r="J3654" s="15" t="s">
        <v>8</v>
      </c>
      <c r="N3654" s="15" t="s">
        <v>8</v>
      </c>
      <c r="O3654" s="15" t="s">
        <v>8</v>
      </c>
      <c r="P3654" s="15" t="s">
        <v>8</v>
      </c>
      <c r="R3654" s="15" t="s">
        <v>8</v>
      </c>
      <c r="T3654" s="15" t="s">
        <v>8</v>
      </c>
      <c r="V3654" s="15" t="s">
        <v>8</v>
      </c>
      <c r="W3654" s="15" t="s">
        <v>8</v>
      </c>
      <c r="X3654" s="15" t="s">
        <v>8</v>
      </c>
      <c r="Y3654" s="20" t="str">
        <f>HYPERLINK("http://yeinfo.com/family/I09066584.html", "Mrs. {_?_} CHALFUNT 1285 EN-1310 EN ID:09066585")</f>
        <v>Mrs. {_?_} CHALFUNT 1285 EN-1310 EN ID:09066585</v>
      </c>
      <c r="Z3654" s="17"/>
      <c r="AA3654" s="17"/>
      <c r="AB3654" s="17"/>
      <c r="AC3654" s="17"/>
    </row>
    <row r="3655" spans="3:29" x14ac:dyDescent="0.35">
      <c r="C3655" s="15" t="s">
        <v>8</v>
      </c>
      <c r="D3655" s="15" t="s">
        <v>8</v>
      </c>
      <c r="E3655" s="15" t="s">
        <v>8</v>
      </c>
      <c r="F3655" s="15" t="s">
        <v>8</v>
      </c>
      <c r="H3655" s="15" t="s">
        <v>8</v>
      </c>
      <c r="I3655" s="15" t="s">
        <v>8</v>
      </c>
      <c r="J3655" s="15" t="s">
        <v>8</v>
      </c>
      <c r="N3655" s="15" t="s">
        <v>8</v>
      </c>
      <c r="O3655" s="15" t="s">
        <v>8</v>
      </c>
      <c r="P3655" s="15" t="s">
        <v>8</v>
      </c>
      <c r="R3655" s="15" t="s">
        <v>8</v>
      </c>
      <c r="T3655" s="15" t="s">
        <v>8</v>
      </c>
      <c r="V3655" s="15" t="s">
        <v>8</v>
      </c>
      <c r="W3655" s="8" t="s">
        <v>6</v>
      </c>
      <c r="X3655" s="15" t="s">
        <v>8</v>
      </c>
    </row>
    <row r="3656" spans="3:29" x14ac:dyDescent="0.35">
      <c r="C3656" s="15" t="s">
        <v>8</v>
      </c>
      <c r="D3656" s="15" t="s">
        <v>8</v>
      </c>
      <c r="E3656" s="15" t="s">
        <v>8</v>
      </c>
      <c r="F3656" s="15" t="s">
        <v>8</v>
      </c>
      <c r="H3656" s="15" t="s">
        <v>8</v>
      </c>
      <c r="I3656" s="15" t="s">
        <v>8</v>
      </c>
      <c r="J3656" s="15" t="s">
        <v>8</v>
      </c>
      <c r="N3656" s="15" t="s">
        <v>8</v>
      </c>
      <c r="O3656" s="15" t="s">
        <v>8</v>
      </c>
      <c r="P3656" s="15" t="s">
        <v>8</v>
      </c>
      <c r="R3656" s="15" t="s">
        <v>8</v>
      </c>
      <c r="T3656" s="15" t="s">
        <v>8</v>
      </c>
      <c r="V3656" s="15" t="s">
        <v>8</v>
      </c>
      <c r="W3656" s="20" t="str">
        <f>HYPERLINK("http://yeinfo.com/family/I09066583.html", "CHRISTINA CHALFUNT 1340 EN-1400 EN ID:09066356")</f>
        <v>CHRISTINA CHALFUNT 1340 EN-1400 EN ID:09066356</v>
      </c>
      <c r="X3656" s="17"/>
      <c r="Y3656" s="17"/>
      <c r="Z3656" s="17"/>
      <c r="AA3656" s="17"/>
    </row>
    <row r="3657" spans="3:29" x14ac:dyDescent="0.35">
      <c r="C3657" s="15" t="s">
        <v>8</v>
      </c>
      <c r="D3657" s="15" t="s">
        <v>8</v>
      </c>
      <c r="E3657" s="15" t="s">
        <v>8</v>
      </c>
      <c r="F3657" s="15" t="s">
        <v>8</v>
      </c>
      <c r="H3657" s="15" t="s">
        <v>8</v>
      </c>
      <c r="I3657" s="15" t="s">
        <v>8</v>
      </c>
      <c r="J3657" s="15" t="s">
        <v>8</v>
      </c>
      <c r="N3657" s="15" t="s">
        <v>8</v>
      </c>
      <c r="O3657" s="15" t="s">
        <v>8</v>
      </c>
      <c r="P3657" s="15" t="s">
        <v>8</v>
      </c>
      <c r="R3657" s="15" t="s">
        <v>8</v>
      </c>
      <c r="T3657" s="15" t="s">
        <v>8</v>
      </c>
      <c r="V3657" s="15" t="s">
        <v>8</v>
      </c>
      <c r="X3657" s="8" t="s">
        <v>6</v>
      </c>
    </row>
    <row r="3658" spans="3:29" x14ac:dyDescent="0.35">
      <c r="C3658" s="15" t="s">
        <v>8</v>
      </c>
      <c r="D3658" s="15" t="s">
        <v>8</v>
      </c>
      <c r="E3658" s="15" t="s">
        <v>8</v>
      </c>
      <c r="F3658" s="15" t="s">
        <v>8</v>
      </c>
      <c r="H3658" s="15" t="s">
        <v>8</v>
      </c>
      <c r="I3658" s="15" t="s">
        <v>8</v>
      </c>
      <c r="J3658" s="15" t="s">
        <v>8</v>
      </c>
      <c r="N3658" s="15" t="s">
        <v>8</v>
      </c>
      <c r="O3658" s="15" t="s">
        <v>8</v>
      </c>
      <c r="P3658" s="15" t="s">
        <v>8</v>
      </c>
      <c r="R3658" s="15" t="s">
        <v>8</v>
      </c>
      <c r="T3658" s="15" t="s">
        <v>8</v>
      </c>
      <c r="V3658" s="15" t="s">
        <v>8</v>
      </c>
      <c r="X3658" s="20" t="str">
        <f>HYPERLINK("http://yeinfo.com/family/I09066585.html", "Mrs. {_?_} CHALFUNT 1310 EN-1340 EN ID:09066533")</f>
        <v>Mrs. {_?_} CHALFUNT 1310 EN-1340 EN ID:09066533</v>
      </c>
      <c r="Y3658" s="17"/>
      <c r="Z3658" s="17"/>
      <c r="AA3658" s="17"/>
      <c r="AB3658" s="17"/>
    </row>
    <row r="3659" spans="3:29" x14ac:dyDescent="0.35">
      <c r="C3659" s="15" t="s">
        <v>8</v>
      </c>
      <c r="D3659" s="15" t="s">
        <v>8</v>
      </c>
      <c r="E3659" s="15" t="s">
        <v>8</v>
      </c>
      <c r="F3659" s="15" t="s">
        <v>8</v>
      </c>
      <c r="H3659" s="15" t="s">
        <v>8</v>
      </c>
      <c r="I3659" s="15" t="s">
        <v>8</v>
      </c>
      <c r="J3659" s="15" t="s">
        <v>8</v>
      </c>
      <c r="N3659" s="15" t="s">
        <v>8</v>
      </c>
      <c r="O3659" s="15" t="s">
        <v>8</v>
      </c>
      <c r="P3659" s="15" t="s">
        <v>8</v>
      </c>
      <c r="R3659" s="15" t="s">
        <v>8</v>
      </c>
      <c r="T3659" s="15" t="s">
        <v>8</v>
      </c>
      <c r="V3659" s="15" t="s">
        <v>8</v>
      </c>
    </row>
    <row r="3660" spans="3:29" x14ac:dyDescent="0.35">
      <c r="C3660" s="15" t="s">
        <v>8</v>
      </c>
      <c r="D3660" s="15" t="s">
        <v>8</v>
      </c>
      <c r="E3660" s="15" t="s">
        <v>8</v>
      </c>
      <c r="F3660" s="15" t="s">
        <v>8</v>
      </c>
      <c r="H3660" s="15" t="s">
        <v>8</v>
      </c>
      <c r="I3660" s="15" t="s">
        <v>8</v>
      </c>
      <c r="J3660" s="15" t="s">
        <v>8</v>
      </c>
      <c r="N3660" s="15" t="s">
        <v>8</v>
      </c>
      <c r="O3660" s="15" t="s">
        <v>8</v>
      </c>
      <c r="P3660" s="15" t="s">
        <v>8</v>
      </c>
      <c r="R3660" s="15" t="s">
        <v>8</v>
      </c>
      <c r="T3660" s="15" t="s">
        <v>8</v>
      </c>
      <c r="U3660" s="19" t="str">
        <f>HYPERLINK("http://yeinfo.com/family/I09065844.html", "RICHARD WALLER 1410 EN-1440 EN ID:09066019")</f>
        <v>RICHARD WALLER 1410 EN-1440 EN ID:09066019</v>
      </c>
      <c r="V3660" s="9"/>
      <c r="W3660" s="9"/>
      <c r="X3660" s="9"/>
      <c r="Y3660" s="9"/>
    </row>
    <row r="3661" spans="3:29" x14ac:dyDescent="0.35">
      <c r="C3661" s="15" t="s">
        <v>8</v>
      </c>
      <c r="D3661" s="15" t="s">
        <v>8</v>
      </c>
      <c r="E3661" s="15" t="s">
        <v>8</v>
      </c>
      <c r="F3661" s="15" t="s">
        <v>8</v>
      </c>
      <c r="H3661" s="15" t="s">
        <v>8</v>
      </c>
      <c r="I3661" s="15" t="s">
        <v>8</v>
      </c>
      <c r="J3661" s="15" t="s">
        <v>8</v>
      </c>
      <c r="N3661" s="15" t="s">
        <v>8</v>
      </c>
      <c r="O3661" s="15" t="s">
        <v>8</v>
      </c>
      <c r="P3661" s="15" t="s">
        <v>8</v>
      </c>
      <c r="R3661" s="15" t="s">
        <v>8</v>
      </c>
      <c r="T3661" s="15" t="s">
        <v>8</v>
      </c>
      <c r="U3661" s="8" t="s">
        <v>3</v>
      </c>
      <c r="V3661" s="15" t="s">
        <v>8</v>
      </c>
    </row>
    <row r="3662" spans="3:29" x14ac:dyDescent="0.35">
      <c r="C3662" s="15" t="s">
        <v>8</v>
      </c>
      <c r="D3662" s="15" t="s">
        <v>8</v>
      </c>
      <c r="E3662" s="15" t="s">
        <v>8</v>
      </c>
      <c r="F3662" s="15" t="s">
        <v>8</v>
      </c>
      <c r="H3662" s="15" t="s">
        <v>8</v>
      </c>
      <c r="I3662" s="15" t="s">
        <v>8</v>
      </c>
      <c r="J3662" s="15" t="s">
        <v>8</v>
      </c>
      <c r="N3662" s="15" t="s">
        <v>8</v>
      </c>
      <c r="O3662" s="15" t="s">
        <v>8</v>
      </c>
      <c r="P3662" s="15" t="s">
        <v>8</v>
      </c>
      <c r="R3662" s="15" t="s">
        <v>8</v>
      </c>
      <c r="T3662" s="15" t="s">
        <v>8</v>
      </c>
      <c r="U3662" s="15" t="s">
        <v>8</v>
      </c>
      <c r="V3662" s="15" t="s">
        <v>8</v>
      </c>
      <c r="W3662" s="19" t="str">
        <f>HYPERLINK("http://yeinfo.com/family/I09066204.html", "THOMAS LANSDALL 1334 EN-1386 EN ID:09066357")</f>
        <v>THOMAS LANSDALL 1334 EN-1386 EN ID:09066357</v>
      </c>
      <c r="X3662" s="9"/>
      <c r="Y3662" s="9"/>
      <c r="Z3662" s="9"/>
      <c r="AA3662" s="9"/>
    </row>
    <row r="3663" spans="3:29" x14ac:dyDescent="0.35">
      <c r="C3663" s="15" t="s">
        <v>8</v>
      </c>
      <c r="D3663" s="15" t="s">
        <v>8</v>
      </c>
      <c r="E3663" s="15" t="s">
        <v>8</v>
      </c>
      <c r="F3663" s="15" t="s">
        <v>8</v>
      </c>
      <c r="H3663" s="15" t="s">
        <v>8</v>
      </c>
      <c r="I3663" s="15" t="s">
        <v>8</v>
      </c>
      <c r="J3663" s="15" t="s">
        <v>8</v>
      </c>
      <c r="N3663" s="15" t="s">
        <v>8</v>
      </c>
      <c r="O3663" s="15" t="s">
        <v>8</v>
      </c>
      <c r="P3663" s="15" t="s">
        <v>8</v>
      </c>
      <c r="R3663" s="15" t="s">
        <v>8</v>
      </c>
      <c r="T3663" s="15" t="s">
        <v>8</v>
      </c>
      <c r="U3663" s="15" t="s">
        <v>8</v>
      </c>
      <c r="V3663" s="8" t="s">
        <v>6</v>
      </c>
      <c r="W3663" s="8" t="s">
        <v>3</v>
      </c>
    </row>
    <row r="3664" spans="3:29" x14ac:dyDescent="0.35">
      <c r="C3664" s="15" t="s">
        <v>8</v>
      </c>
      <c r="D3664" s="15" t="s">
        <v>8</v>
      </c>
      <c r="E3664" s="15" t="s">
        <v>8</v>
      </c>
      <c r="F3664" s="15" t="s">
        <v>8</v>
      </c>
      <c r="H3664" s="15" t="s">
        <v>8</v>
      </c>
      <c r="I3664" s="15" t="s">
        <v>8</v>
      </c>
      <c r="J3664" s="15" t="s">
        <v>8</v>
      </c>
      <c r="N3664" s="15" t="s">
        <v>8</v>
      </c>
      <c r="O3664" s="15" t="s">
        <v>8</v>
      </c>
      <c r="P3664" s="15" t="s">
        <v>8</v>
      </c>
      <c r="R3664" s="15" t="s">
        <v>8</v>
      </c>
      <c r="T3664" s="15" t="s">
        <v>8</v>
      </c>
      <c r="U3664" s="15" t="s">
        <v>8</v>
      </c>
      <c r="V3664" s="20" t="str">
        <f>HYPERLINK("http://yeinfo.com/family/I09066533.html", "MARGARET LANSDALL 1375 EN-1410 EN ID:09066204")</f>
        <v>MARGARET LANSDALL 1375 EN-1410 EN ID:09066204</v>
      </c>
      <c r="W3664" s="17"/>
      <c r="X3664" s="17"/>
      <c r="Y3664" s="17"/>
      <c r="Z3664" s="17"/>
    </row>
    <row r="3665" spans="3:28" x14ac:dyDescent="0.35">
      <c r="C3665" s="15" t="s">
        <v>8</v>
      </c>
      <c r="D3665" s="15" t="s">
        <v>8</v>
      </c>
      <c r="E3665" s="15" t="s">
        <v>8</v>
      </c>
      <c r="F3665" s="15" t="s">
        <v>8</v>
      </c>
      <c r="H3665" s="15" t="s">
        <v>8</v>
      </c>
      <c r="I3665" s="15" t="s">
        <v>8</v>
      </c>
      <c r="J3665" s="15" t="s">
        <v>8</v>
      </c>
      <c r="N3665" s="15" t="s">
        <v>8</v>
      </c>
      <c r="O3665" s="15" t="s">
        <v>8</v>
      </c>
      <c r="P3665" s="15" t="s">
        <v>8</v>
      </c>
      <c r="R3665" s="15" t="s">
        <v>8</v>
      </c>
      <c r="T3665" s="15" t="s">
        <v>8</v>
      </c>
      <c r="U3665" s="15" t="s">
        <v>8</v>
      </c>
      <c r="W3665" s="8" t="s">
        <v>6</v>
      </c>
    </row>
    <row r="3666" spans="3:28" x14ac:dyDescent="0.35">
      <c r="C3666" s="15" t="s">
        <v>8</v>
      </c>
      <c r="D3666" s="15" t="s">
        <v>8</v>
      </c>
      <c r="E3666" s="15" t="s">
        <v>8</v>
      </c>
      <c r="F3666" s="15" t="s">
        <v>8</v>
      </c>
      <c r="H3666" s="15" t="s">
        <v>8</v>
      </c>
      <c r="I3666" s="15" t="s">
        <v>8</v>
      </c>
      <c r="J3666" s="15" t="s">
        <v>8</v>
      </c>
      <c r="N3666" s="15" t="s">
        <v>8</v>
      </c>
      <c r="O3666" s="15" t="s">
        <v>8</v>
      </c>
      <c r="P3666" s="15" t="s">
        <v>8</v>
      </c>
      <c r="R3666" s="15" t="s">
        <v>8</v>
      </c>
      <c r="T3666" s="15" t="s">
        <v>8</v>
      </c>
      <c r="U3666" s="15" t="s">
        <v>8</v>
      </c>
      <c r="W3666" s="20" t="str">
        <f>HYPERLINK("http://yeinfo.com/family/I09066357.html", "Mrs. {_?_} LANSDALL 1335 EN-1375 EN ID:09066358")</f>
        <v>Mrs. {_?_} LANSDALL 1335 EN-1375 EN ID:09066358</v>
      </c>
      <c r="X3666" s="17"/>
      <c r="Y3666" s="17"/>
      <c r="Z3666" s="17"/>
      <c r="AA3666" s="17"/>
    </row>
    <row r="3667" spans="3:28" x14ac:dyDescent="0.35">
      <c r="C3667" s="15" t="s">
        <v>8</v>
      </c>
      <c r="D3667" s="15" t="s">
        <v>8</v>
      </c>
      <c r="E3667" s="15" t="s">
        <v>8</v>
      </c>
      <c r="F3667" s="15" t="s">
        <v>8</v>
      </c>
      <c r="H3667" s="15" t="s">
        <v>8</v>
      </c>
      <c r="I3667" s="15" t="s">
        <v>8</v>
      </c>
      <c r="J3667" s="15" t="s">
        <v>8</v>
      </c>
      <c r="N3667" s="15" t="s">
        <v>8</v>
      </c>
      <c r="O3667" s="15" t="s">
        <v>8</v>
      </c>
      <c r="P3667" s="15" t="s">
        <v>8</v>
      </c>
      <c r="R3667" s="15" t="s">
        <v>8</v>
      </c>
      <c r="T3667" s="8" t="s">
        <v>6</v>
      </c>
      <c r="U3667" s="15" t="s">
        <v>8</v>
      </c>
    </row>
    <row r="3668" spans="3:28" x14ac:dyDescent="0.35">
      <c r="C3668" s="15" t="s">
        <v>8</v>
      </c>
      <c r="D3668" s="15" t="s">
        <v>8</v>
      </c>
      <c r="E3668" s="15" t="s">
        <v>8</v>
      </c>
      <c r="F3668" s="15" t="s">
        <v>8</v>
      </c>
      <c r="H3668" s="15" t="s">
        <v>8</v>
      </c>
      <c r="I3668" s="15" t="s">
        <v>8</v>
      </c>
      <c r="J3668" s="15" t="s">
        <v>8</v>
      </c>
      <c r="N3668" s="15" t="s">
        <v>8</v>
      </c>
      <c r="O3668" s="15" t="s">
        <v>8</v>
      </c>
      <c r="P3668" s="15" t="s">
        <v>8</v>
      </c>
      <c r="R3668" s="15" t="s">
        <v>8</v>
      </c>
      <c r="T3668" s="20" t="str">
        <f>HYPERLINK("http://yeinfo.com/family/I09066018.html", "ALICE WALLER 1424 EN-1461 EN ID:09065844")</f>
        <v>ALICE WALLER 1424 EN-1461 EN ID:09065844</v>
      </c>
      <c r="U3668" s="17"/>
      <c r="V3668" s="17"/>
      <c r="W3668" s="17"/>
      <c r="X3668" s="17"/>
    </row>
    <row r="3669" spans="3:28" x14ac:dyDescent="0.35">
      <c r="C3669" s="15" t="s">
        <v>8</v>
      </c>
      <c r="D3669" s="15" t="s">
        <v>8</v>
      </c>
      <c r="E3669" s="15" t="s">
        <v>8</v>
      </c>
      <c r="F3669" s="15" t="s">
        <v>8</v>
      </c>
      <c r="H3669" s="15" t="s">
        <v>8</v>
      </c>
      <c r="I3669" s="15" t="s">
        <v>8</v>
      </c>
      <c r="J3669" s="15" t="s">
        <v>8</v>
      </c>
      <c r="N3669" s="15" t="s">
        <v>8</v>
      </c>
      <c r="O3669" s="15" t="s">
        <v>8</v>
      </c>
      <c r="P3669" s="15" t="s">
        <v>8</v>
      </c>
      <c r="R3669" s="15" t="s">
        <v>8</v>
      </c>
      <c r="U3669" s="15" t="s">
        <v>8</v>
      </c>
    </row>
    <row r="3670" spans="3:28" x14ac:dyDescent="0.35">
      <c r="C3670" s="15" t="s">
        <v>8</v>
      </c>
      <c r="D3670" s="15" t="s">
        <v>8</v>
      </c>
      <c r="E3670" s="15" t="s">
        <v>8</v>
      </c>
      <c r="F3670" s="15" t="s">
        <v>8</v>
      </c>
      <c r="H3670" s="15" t="s">
        <v>8</v>
      </c>
      <c r="I3670" s="15" t="s">
        <v>8</v>
      </c>
      <c r="J3670" s="15" t="s">
        <v>8</v>
      </c>
      <c r="N3670" s="15" t="s">
        <v>8</v>
      </c>
      <c r="O3670" s="15" t="s">
        <v>8</v>
      </c>
      <c r="P3670" s="15" t="s">
        <v>8</v>
      </c>
      <c r="R3670" s="15" t="s">
        <v>8</v>
      </c>
      <c r="U3670" s="15" t="s">
        <v>8</v>
      </c>
      <c r="V3670" s="19" t="str">
        <f>HYPERLINK("http://yeinfo.com/family/I09066020.html", "WILLIAM GULBY 1370 EN-1439 EN ID:09066205")</f>
        <v>WILLIAM GULBY 1370 EN-1439 EN ID:09066205</v>
      </c>
      <c r="W3670" s="9"/>
      <c r="X3670" s="9"/>
      <c r="Y3670" s="9"/>
      <c r="Z3670" s="9"/>
    </row>
    <row r="3671" spans="3:28" x14ac:dyDescent="0.35">
      <c r="C3671" s="15" t="s">
        <v>8</v>
      </c>
      <c r="D3671" s="15" t="s">
        <v>8</v>
      </c>
      <c r="E3671" s="15" t="s">
        <v>8</v>
      </c>
      <c r="F3671" s="15" t="s">
        <v>8</v>
      </c>
      <c r="H3671" s="15" t="s">
        <v>8</v>
      </c>
      <c r="I3671" s="15" t="s">
        <v>8</v>
      </c>
      <c r="J3671" s="15" t="s">
        <v>8</v>
      </c>
      <c r="N3671" s="15" t="s">
        <v>8</v>
      </c>
      <c r="O3671" s="15" t="s">
        <v>8</v>
      </c>
      <c r="P3671" s="15" t="s">
        <v>8</v>
      </c>
      <c r="R3671" s="15" t="s">
        <v>8</v>
      </c>
      <c r="U3671" s="8" t="s">
        <v>6</v>
      </c>
      <c r="V3671" s="8" t="s">
        <v>3</v>
      </c>
    </row>
    <row r="3672" spans="3:28" x14ac:dyDescent="0.35">
      <c r="C3672" s="15" t="s">
        <v>8</v>
      </c>
      <c r="D3672" s="15" t="s">
        <v>8</v>
      </c>
      <c r="E3672" s="15" t="s">
        <v>8</v>
      </c>
      <c r="F3672" s="15" t="s">
        <v>8</v>
      </c>
      <c r="H3672" s="15" t="s">
        <v>8</v>
      </c>
      <c r="I3672" s="15" t="s">
        <v>8</v>
      </c>
      <c r="J3672" s="15" t="s">
        <v>8</v>
      </c>
      <c r="N3672" s="15" t="s">
        <v>8</v>
      </c>
      <c r="O3672" s="15" t="s">
        <v>8</v>
      </c>
      <c r="P3672" s="15" t="s">
        <v>8</v>
      </c>
      <c r="R3672" s="15" t="s">
        <v>8</v>
      </c>
      <c r="U3672" s="20" t="str">
        <f>HYPERLINK("http://yeinfo.com/family/I09066358.html", "MARGARET\SYLVIA GULBY 1406 EN-1493 EN ID:09066020")</f>
        <v>MARGARET\SYLVIA GULBY 1406 EN-1493 EN ID:09066020</v>
      </c>
      <c r="V3672" s="17"/>
      <c r="W3672" s="17"/>
      <c r="X3672" s="17"/>
      <c r="Y3672" s="17"/>
      <c r="Z3672" s="17"/>
    </row>
    <row r="3673" spans="3:28" x14ac:dyDescent="0.35">
      <c r="C3673" s="15" t="s">
        <v>8</v>
      </c>
      <c r="D3673" s="15" t="s">
        <v>8</v>
      </c>
      <c r="E3673" s="15" t="s">
        <v>8</v>
      </c>
      <c r="F3673" s="15" t="s">
        <v>8</v>
      </c>
      <c r="H3673" s="15" t="s">
        <v>8</v>
      </c>
      <c r="I3673" s="15" t="s">
        <v>8</v>
      </c>
      <c r="J3673" s="15" t="s">
        <v>8</v>
      </c>
      <c r="N3673" s="15" t="s">
        <v>8</v>
      </c>
      <c r="O3673" s="15" t="s">
        <v>8</v>
      </c>
      <c r="P3673" s="15" t="s">
        <v>8</v>
      </c>
      <c r="R3673" s="15" t="s">
        <v>8</v>
      </c>
      <c r="V3673" s="8" t="s">
        <v>6</v>
      </c>
    </row>
    <row r="3674" spans="3:28" x14ac:dyDescent="0.35">
      <c r="C3674" s="15" t="s">
        <v>8</v>
      </c>
      <c r="D3674" s="15" t="s">
        <v>8</v>
      </c>
      <c r="E3674" s="15" t="s">
        <v>8</v>
      </c>
      <c r="F3674" s="15" t="s">
        <v>8</v>
      </c>
      <c r="H3674" s="15" t="s">
        <v>8</v>
      </c>
      <c r="I3674" s="15" t="s">
        <v>8</v>
      </c>
      <c r="J3674" s="15" t="s">
        <v>8</v>
      </c>
      <c r="N3674" s="15" t="s">
        <v>8</v>
      </c>
      <c r="O3674" s="15" t="s">
        <v>8</v>
      </c>
      <c r="P3674" s="15" t="s">
        <v>8</v>
      </c>
      <c r="R3674" s="15" t="s">
        <v>8</v>
      </c>
      <c r="V3674" s="20" t="str">
        <f>HYPERLINK("http://yeinfo.com/family/I09066205.html", "MARGARET LANDSALL 1370 EN-1406 EN ID:09066206")</f>
        <v>MARGARET LANDSALL 1370 EN-1406 EN ID:09066206</v>
      </c>
      <c r="W3674" s="17"/>
      <c r="X3674" s="17"/>
      <c r="Y3674" s="17"/>
      <c r="Z3674" s="17"/>
    </row>
    <row r="3675" spans="3:28" x14ac:dyDescent="0.35">
      <c r="C3675" s="15" t="s">
        <v>8</v>
      </c>
      <c r="D3675" s="15" t="s">
        <v>8</v>
      </c>
      <c r="E3675" s="15" t="s">
        <v>8</v>
      </c>
      <c r="F3675" s="15" t="s">
        <v>8</v>
      </c>
      <c r="H3675" s="15" t="s">
        <v>8</v>
      </c>
      <c r="I3675" s="15" t="s">
        <v>8</v>
      </c>
      <c r="J3675" s="15" t="s">
        <v>8</v>
      </c>
      <c r="N3675" s="15" t="s">
        <v>8</v>
      </c>
      <c r="O3675" s="15" t="s">
        <v>8</v>
      </c>
      <c r="P3675" s="15" t="s">
        <v>8</v>
      </c>
      <c r="R3675" s="15" t="s">
        <v>8</v>
      </c>
    </row>
    <row r="3676" spans="3:28" x14ac:dyDescent="0.35">
      <c r="C3676" s="15" t="s">
        <v>8</v>
      </c>
      <c r="D3676" s="15" t="s">
        <v>8</v>
      </c>
      <c r="E3676" s="15" t="s">
        <v>8</v>
      </c>
      <c r="F3676" s="15" t="s">
        <v>8</v>
      </c>
      <c r="H3676" s="15" t="s">
        <v>8</v>
      </c>
      <c r="I3676" s="15" t="s">
        <v>8</v>
      </c>
      <c r="J3676" s="15" t="s">
        <v>8</v>
      </c>
      <c r="N3676" s="15" t="s">
        <v>8</v>
      </c>
      <c r="O3676" s="15" t="s">
        <v>8</v>
      </c>
      <c r="P3676" s="15" t="s">
        <v>8</v>
      </c>
      <c r="Q3676" s="19" t="str">
        <f>HYPERLINK("http://yeinfo.com/family/I09021693.html", "EDWARD ISAACKE 1510 EN-1573 EN ID:09043386")</f>
        <v>EDWARD ISAACKE 1510 EN-1573 EN ID:09043386</v>
      </c>
      <c r="R3676" s="9"/>
      <c r="S3676" s="9"/>
      <c r="T3676" s="9"/>
      <c r="U3676" s="9"/>
    </row>
    <row r="3677" spans="3:28" x14ac:dyDescent="0.35">
      <c r="C3677" s="15" t="s">
        <v>8</v>
      </c>
      <c r="D3677" s="15" t="s">
        <v>8</v>
      </c>
      <c r="E3677" s="15" t="s">
        <v>8</v>
      </c>
      <c r="F3677" s="15" t="s">
        <v>8</v>
      </c>
      <c r="H3677" s="15" t="s">
        <v>8</v>
      </c>
      <c r="I3677" s="15" t="s">
        <v>8</v>
      </c>
      <c r="J3677" s="15" t="s">
        <v>8</v>
      </c>
      <c r="N3677" s="15" t="s">
        <v>8</v>
      </c>
      <c r="O3677" s="15" t="s">
        <v>8</v>
      </c>
      <c r="P3677" s="15" t="s">
        <v>8</v>
      </c>
      <c r="Q3677" s="8" t="s">
        <v>3</v>
      </c>
      <c r="R3677" s="15" t="s">
        <v>8</v>
      </c>
    </row>
    <row r="3678" spans="3:28" x14ac:dyDescent="0.35">
      <c r="C3678" s="15" t="s">
        <v>8</v>
      </c>
      <c r="D3678" s="15" t="s">
        <v>8</v>
      </c>
      <c r="E3678" s="15" t="s">
        <v>8</v>
      </c>
      <c r="F3678" s="15" t="s">
        <v>8</v>
      </c>
      <c r="H3678" s="15" t="s">
        <v>8</v>
      </c>
      <c r="I3678" s="15" t="s">
        <v>8</v>
      </c>
      <c r="J3678" s="15" t="s">
        <v>8</v>
      </c>
      <c r="N3678" s="15" t="s">
        <v>8</v>
      </c>
      <c r="O3678" s="15" t="s">
        <v>8</v>
      </c>
      <c r="P3678" s="15" t="s">
        <v>8</v>
      </c>
      <c r="Q3678" s="15" t="s">
        <v>8</v>
      </c>
      <c r="R3678" s="15" t="s">
        <v>8</v>
      </c>
      <c r="W3678" s="19" t="str">
        <f>HYPERLINK("http://yeinfo.com/family/I09066207.html", "EDMUND\WILLIAM HAUTE 1325 EN-1372 EN ID:09066359")</f>
        <v>EDMUND\WILLIAM HAUTE 1325 EN-1372 EN ID:09066359</v>
      </c>
      <c r="X3678" s="9"/>
      <c r="Y3678" s="9"/>
      <c r="Z3678" s="9"/>
      <c r="AA3678" s="9"/>
      <c r="AB3678" s="9"/>
    </row>
    <row r="3679" spans="3:28" x14ac:dyDescent="0.35">
      <c r="C3679" s="15" t="s">
        <v>8</v>
      </c>
      <c r="D3679" s="15" t="s">
        <v>8</v>
      </c>
      <c r="E3679" s="15" t="s">
        <v>8</v>
      </c>
      <c r="F3679" s="15" t="s">
        <v>8</v>
      </c>
      <c r="H3679" s="15" t="s">
        <v>8</v>
      </c>
      <c r="I3679" s="15" t="s">
        <v>8</v>
      </c>
      <c r="J3679" s="15" t="s">
        <v>8</v>
      </c>
      <c r="N3679" s="15" t="s">
        <v>8</v>
      </c>
      <c r="O3679" s="15" t="s">
        <v>8</v>
      </c>
      <c r="P3679" s="15" t="s">
        <v>8</v>
      </c>
      <c r="Q3679" s="15" t="s">
        <v>8</v>
      </c>
      <c r="R3679" s="15" t="s">
        <v>8</v>
      </c>
      <c r="W3679" s="8" t="s">
        <v>3</v>
      </c>
    </row>
    <row r="3680" spans="3:28" x14ac:dyDescent="0.35">
      <c r="C3680" s="15" t="s">
        <v>8</v>
      </c>
      <c r="D3680" s="15" t="s">
        <v>8</v>
      </c>
      <c r="E3680" s="15" t="s">
        <v>8</v>
      </c>
      <c r="F3680" s="15" t="s">
        <v>8</v>
      </c>
      <c r="H3680" s="15" t="s">
        <v>8</v>
      </c>
      <c r="I3680" s="15" t="s">
        <v>8</v>
      </c>
      <c r="J3680" s="15" t="s">
        <v>8</v>
      </c>
      <c r="N3680" s="15" t="s">
        <v>8</v>
      </c>
      <c r="O3680" s="15" t="s">
        <v>8</v>
      </c>
      <c r="P3680" s="15" t="s">
        <v>8</v>
      </c>
      <c r="Q3680" s="15" t="s">
        <v>8</v>
      </c>
      <c r="R3680" s="15" t="s">
        <v>8</v>
      </c>
      <c r="V3680" s="19" t="str">
        <f>HYPERLINK("http://yeinfo.com/family/I09066021.html", "NICHOLAS HAUTE 1357 EN-1413 EN ID:09066207")</f>
        <v>NICHOLAS HAUTE 1357 EN-1413 EN ID:09066207</v>
      </c>
      <c r="W3680" s="9"/>
      <c r="X3680" s="9"/>
      <c r="Y3680" s="9"/>
      <c r="Z3680" s="9"/>
    </row>
    <row r="3681" spans="3:27" x14ac:dyDescent="0.35">
      <c r="C3681" s="15" t="s">
        <v>8</v>
      </c>
      <c r="D3681" s="15" t="s">
        <v>8</v>
      </c>
      <c r="E3681" s="15" t="s">
        <v>8</v>
      </c>
      <c r="F3681" s="15" t="s">
        <v>8</v>
      </c>
      <c r="H3681" s="15" t="s">
        <v>8</v>
      </c>
      <c r="I3681" s="15" t="s">
        <v>8</v>
      </c>
      <c r="J3681" s="15" t="s">
        <v>8</v>
      </c>
      <c r="N3681" s="15" t="s">
        <v>8</v>
      </c>
      <c r="O3681" s="15" t="s">
        <v>8</v>
      </c>
      <c r="P3681" s="15" t="s">
        <v>8</v>
      </c>
      <c r="Q3681" s="15" t="s">
        <v>8</v>
      </c>
      <c r="R3681" s="15" t="s">
        <v>8</v>
      </c>
      <c r="V3681" s="8" t="s">
        <v>3</v>
      </c>
      <c r="W3681" s="8" t="s">
        <v>6</v>
      </c>
    </row>
    <row r="3682" spans="3:27" x14ac:dyDescent="0.35">
      <c r="C3682" s="15" t="s">
        <v>8</v>
      </c>
      <c r="D3682" s="15" t="s">
        <v>8</v>
      </c>
      <c r="E3682" s="15" t="s">
        <v>8</v>
      </c>
      <c r="F3682" s="15" t="s">
        <v>8</v>
      </c>
      <c r="H3682" s="15" t="s">
        <v>8</v>
      </c>
      <c r="I3682" s="15" t="s">
        <v>8</v>
      </c>
      <c r="J3682" s="15" t="s">
        <v>8</v>
      </c>
      <c r="N3682" s="15" t="s">
        <v>8</v>
      </c>
      <c r="O3682" s="15" t="s">
        <v>8</v>
      </c>
      <c r="P3682" s="15" t="s">
        <v>8</v>
      </c>
      <c r="Q3682" s="15" t="s">
        <v>8</v>
      </c>
      <c r="R3682" s="15" t="s">
        <v>8</v>
      </c>
      <c r="V3682" s="15" t="s">
        <v>8</v>
      </c>
      <c r="W3682" s="20" t="str">
        <f>HYPERLINK("http://yeinfo.com/family/I09066359.html", "BENEDICTA SHELVING 1326 EN-1391 EN ID:09066360")</f>
        <v>BENEDICTA SHELVING 1326 EN-1391 EN ID:09066360</v>
      </c>
      <c r="X3682" s="17"/>
      <c r="Y3682" s="17"/>
      <c r="Z3682" s="17"/>
      <c r="AA3682" s="17"/>
    </row>
    <row r="3683" spans="3:27" x14ac:dyDescent="0.35">
      <c r="C3683" s="15" t="s">
        <v>8</v>
      </c>
      <c r="D3683" s="15" t="s">
        <v>8</v>
      </c>
      <c r="E3683" s="15" t="s">
        <v>8</v>
      </c>
      <c r="F3683" s="15" t="s">
        <v>8</v>
      </c>
      <c r="H3683" s="15" t="s">
        <v>8</v>
      </c>
      <c r="I3683" s="15" t="s">
        <v>8</v>
      </c>
      <c r="J3683" s="15" t="s">
        <v>8</v>
      </c>
      <c r="N3683" s="15" t="s">
        <v>8</v>
      </c>
      <c r="O3683" s="15" t="s">
        <v>8</v>
      </c>
      <c r="P3683" s="15" t="s">
        <v>8</v>
      </c>
      <c r="Q3683" s="15" t="s">
        <v>8</v>
      </c>
      <c r="R3683" s="15" t="s">
        <v>8</v>
      </c>
      <c r="V3683" s="15" t="s">
        <v>8</v>
      </c>
    </row>
    <row r="3684" spans="3:27" x14ac:dyDescent="0.35">
      <c r="C3684" s="15" t="s">
        <v>8</v>
      </c>
      <c r="D3684" s="15" t="s">
        <v>8</v>
      </c>
      <c r="E3684" s="15" t="s">
        <v>8</v>
      </c>
      <c r="F3684" s="15" t="s">
        <v>8</v>
      </c>
      <c r="H3684" s="15" t="s">
        <v>8</v>
      </c>
      <c r="I3684" s="15" t="s">
        <v>8</v>
      </c>
      <c r="J3684" s="15" t="s">
        <v>8</v>
      </c>
      <c r="N3684" s="15" t="s">
        <v>8</v>
      </c>
      <c r="O3684" s="15" t="s">
        <v>8</v>
      </c>
      <c r="P3684" s="15" t="s">
        <v>8</v>
      </c>
      <c r="Q3684" s="15" t="s">
        <v>8</v>
      </c>
      <c r="R3684" s="15" t="s">
        <v>8</v>
      </c>
      <c r="U3684" s="19" t="str">
        <f>HYPERLINK("http://yeinfo.com/family/I09065845.html", "WILLIAM HAUTE 1390 EN-1462 EN ID:09066021")</f>
        <v>WILLIAM HAUTE 1390 EN-1462 EN ID:09066021</v>
      </c>
      <c r="V3684" s="9"/>
      <c r="W3684" s="9"/>
      <c r="X3684" s="9"/>
      <c r="Y3684" s="9"/>
    </row>
    <row r="3685" spans="3:27" x14ac:dyDescent="0.35">
      <c r="C3685" s="15" t="s">
        <v>8</v>
      </c>
      <c r="D3685" s="15" t="s">
        <v>8</v>
      </c>
      <c r="E3685" s="15" t="s">
        <v>8</v>
      </c>
      <c r="F3685" s="15" t="s">
        <v>8</v>
      </c>
      <c r="H3685" s="15" t="s">
        <v>8</v>
      </c>
      <c r="I3685" s="15" t="s">
        <v>8</v>
      </c>
      <c r="J3685" s="15" t="s">
        <v>8</v>
      </c>
      <c r="N3685" s="15" t="s">
        <v>8</v>
      </c>
      <c r="O3685" s="15" t="s">
        <v>8</v>
      </c>
      <c r="P3685" s="15" t="s">
        <v>8</v>
      </c>
      <c r="Q3685" s="15" t="s">
        <v>8</v>
      </c>
      <c r="R3685" s="15" t="s">
        <v>8</v>
      </c>
      <c r="U3685" s="8" t="s">
        <v>3</v>
      </c>
      <c r="V3685" s="15" t="s">
        <v>8</v>
      </c>
    </row>
    <row r="3686" spans="3:27" x14ac:dyDescent="0.35">
      <c r="C3686" s="15" t="s">
        <v>8</v>
      </c>
      <c r="D3686" s="15" t="s">
        <v>8</v>
      </c>
      <c r="E3686" s="15" t="s">
        <v>8</v>
      </c>
      <c r="F3686" s="15" t="s">
        <v>8</v>
      </c>
      <c r="H3686" s="15" t="s">
        <v>8</v>
      </c>
      <c r="I3686" s="15" t="s">
        <v>8</v>
      </c>
      <c r="J3686" s="15" t="s">
        <v>8</v>
      </c>
      <c r="N3686" s="15" t="s">
        <v>8</v>
      </c>
      <c r="O3686" s="15" t="s">
        <v>8</v>
      </c>
      <c r="P3686" s="15" t="s">
        <v>8</v>
      </c>
      <c r="Q3686" s="15" t="s">
        <v>8</v>
      </c>
      <c r="R3686" s="15" t="s">
        <v>8</v>
      </c>
      <c r="U3686" s="15" t="s">
        <v>8</v>
      </c>
      <c r="V3686" s="15" t="s">
        <v>8</v>
      </c>
      <c r="W3686" s="19" t="str">
        <f>HYPERLINK("http://yeinfo.com/family/I09066208.html", "THOMAS CAWNE 1340 EN-1374 EN ID:09066361")</f>
        <v>THOMAS CAWNE 1340 EN-1374 EN ID:09066361</v>
      </c>
      <c r="X3686" s="9"/>
      <c r="Y3686" s="9"/>
      <c r="Z3686" s="9"/>
      <c r="AA3686" s="9"/>
    </row>
    <row r="3687" spans="3:27" x14ac:dyDescent="0.35">
      <c r="C3687" s="15" t="s">
        <v>8</v>
      </c>
      <c r="D3687" s="15" t="s">
        <v>8</v>
      </c>
      <c r="E3687" s="15" t="s">
        <v>8</v>
      </c>
      <c r="F3687" s="15" t="s">
        <v>8</v>
      </c>
      <c r="H3687" s="15" t="s">
        <v>8</v>
      </c>
      <c r="I3687" s="15" t="s">
        <v>8</v>
      </c>
      <c r="J3687" s="15" t="s">
        <v>8</v>
      </c>
      <c r="N3687" s="15" t="s">
        <v>8</v>
      </c>
      <c r="O3687" s="15" t="s">
        <v>8</v>
      </c>
      <c r="P3687" s="15" t="s">
        <v>8</v>
      </c>
      <c r="Q3687" s="15" t="s">
        <v>8</v>
      </c>
      <c r="R3687" s="15" t="s">
        <v>8</v>
      </c>
      <c r="U3687" s="15" t="s">
        <v>8</v>
      </c>
      <c r="V3687" s="8" t="s">
        <v>6</v>
      </c>
      <c r="W3687" s="8" t="s">
        <v>3</v>
      </c>
    </row>
    <row r="3688" spans="3:27" x14ac:dyDescent="0.35">
      <c r="C3688" s="15" t="s">
        <v>8</v>
      </c>
      <c r="D3688" s="15" t="s">
        <v>8</v>
      </c>
      <c r="E3688" s="15" t="s">
        <v>8</v>
      </c>
      <c r="F3688" s="15" t="s">
        <v>8</v>
      </c>
      <c r="H3688" s="15" t="s">
        <v>8</v>
      </c>
      <c r="I3688" s="15" t="s">
        <v>8</v>
      </c>
      <c r="J3688" s="15" t="s">
        <v>8</v>
      </c>
      <c r="N3688" s="15" t="s">
        <v>8</v>
      </c>
      <c r="O3688" s="15" t="s">
        <v>8</v>
      </c>
      <c r="P3688" s="15" t="s">
        <v>8</v>
      </c>
      <c r="Q3688" s="15" t="s">
        <v>8</v>
      </c>
      <c r="R3688" s="15" t="s">
        <v>8</v>
      </c>
      <c r="U3688" s="15" t="s">
        <v>8</v>
      </c>
      <c r="V3688" s="20" t="str">
        <f>HYPERLINK("http://yeinfo.com/family/I09066360.html", "ALICE CAWNE 1373 EN-1400 EN ID:09066208")</f>
        <v>ALICE CAWNE 1373 EN-1400 EN ID:09066208</v>
      </c>
      <c r="W3688" s="17"/>
      <c r="X3688" s="17"/>
      <c r="Y3688" s="17"/>
      <c r="Z3688" s="17"/>
    </row>
    <row r="3689" spans="3:27" x14ac:dyDescent="0.35">
      <c r="C3689" s="15" t="s">
        <v>8</v>
      </c>
      <c r="D3689" s="15" t="s">
        <v>8</v>
      </c>
      <c r="E3689" s="15" t="s">
        <v>8</v>
      </c>
      <c r="F3689" s="15" t="s">
        <v>8</v>
      </c>
      <c r="H3689" s="15" t="s">
        <v>8</v>
      </c>
      <c r="I3689" s="15" t="s">
        <v>8</v>
      </c>
      <c r="J3689" s="15" t="s">
        <v>8</v>
      </c>
      <c r="N3689" s="15" t="s">
        <v>8</v>
      </c>
      <c r="O3689" s="15" t="s">
        <v>8</v>
      </c>
      <c r="P3689" s="15" t="s">
        <v>8</v>
      </c>
      <c r="Q3689" s="15" t="s">
        <v>8</v>
      </c>
      <c r="R3689" s="15" t="s">
        <v>8</v>
      </c>
      <c r="U3689" s="15" t="s">
        <v>8</v>
      </c>
      <c r="W3689" s="8" t="s">
        <v>6</v>
      </c>
    </row>
    <row r="3690" spans="3:27" x14ac:dyDescent="0.35">
      <c r="C3690" s="15" t="s">
        <v>8</v>
      </c>
      <c r="D3690" s="15" t="s">
        <v>8</v>
      </c>
      <c r="E3690" s="15" t="s">
        <v>8</v>
      </c>
      <c r="F3690" s="15" t="s">
        <v>8</v>
      </c>
      <c r="H3690" s="15" t="s">
        <v>8</v>
      </c>
      <c r="I3690" s="15" t="s">
        <v>8</v>
      </c>
      <c r="J3690" s="15" t="s">
        <v>8</v>
      </c>
      <c r="N3690" s="15" t="s">
        <v>8</v>
      </c>
      <c r="O3690" s="15" t="s">
        <v>8</v>
      </c>
      <c r="P3690" s="15" t="s">
        <v>8</v>
      </c>
      <c r="Q3690" s="15" t="s">
        <v>8</v>
      </c>
      <c r="R3690" s="15" t="s">
        <v>8</v>
      </c>
      <c r="U3690" s="15" t="s">
        <v>8</v>
      </c>
      <c r="W3690" s="20" t="str">
        <f>HYPERLINK("http://yeinfo.com/family/I09066361.html", "LORA MORAUNT 1330 EN-1373 EN ID:09066362")</f>
        <v>LORA MORAUNT 1330 EN-1373 EN ID:09066362</v>
      </c>
      <c r="X3690" s="17"/>
      <c r="Y3690" s="17"/>
      <c r="Z3690" s="17"/>
      <c r="AA3690" s="17"/>
    </row>
    <row r="3691" spans="3:27" x14ac:dyDescent="0.35">
      <c r="C3691" s="15" t="s">
        <v>8</v>
      </c>
      <c r="D3691" s="15" t="s">
        <v>8</v>
      </c>
      <c r="E3691" s="15" t="s">
        <v>8</v>
      </c>
      <c r="F3691" s="15" t="s">
        <v>8</v>
      </c>
      <c r="H3691" s="15" t="s">
        <v>8</v>
      </c>
      <c r="I3691" s="15" t="s">
        <v>8</v>
      </c>
      <c r="J3691" s="15" t="s">
        <v>8</v>
      </c>
      <c r="N3691" s="15" t="s">
        <v>8</v>
      </c>
      <c r="O3691" s="15" t="s">
        <v>8</v>
      </c>
      <c r="P3691" s="15" t="s">
        <v>8</v>
      </c>
      <c r="Q3691" s="15" t="s">
        <v>8</v>
      </c>
      <c r="R3691" s="15" t="s">
        <v>8</v>
      </c>
      <c r="U3691" s="15" t="s">
        <v>8</v>
      </c>
    </row>
    <row r="3692" spans="3:27" x14ac:dyDescent="0.35">
      <c r="C3692" s="15" t="s">
        <v>8</v>
      </c>
      <c r="D3692" s="15" t="s">
        <v>8</v>
      </c>
      <c r="E3692" s="15" t="s">
        <v>8</v>
      </c>
      <c r="F3692" s="15" t="s">
        <v>8</v>
      </c>
      <c r="H3692" s="15" t="s">
        <v>8</v>
      </c>
      <c r="I3692" s="15" t="s">
        <v>8</v>
      </c>
      <c r="J3692" s="15" t="s">
        <v>8</v>
      </c>
      <c r="N3692" s="15" t="s">
        <v>8</v>
      </c>
      <c r="O3692" s="15" t="s">
        <v>8</v>
      </c>
      <c r="P3692" s="15" t="s">
        <v>8</v>
      </c>
      <c r="Q3692" s="15" t="s">
        <v>8</v>
      </c>
      <c r="R3692" s="15" t="s">
        <v>8</v>
      </c>
      <c r="T3692" s="19" t="str">
        <f>HYPERLINK("http://yeinfo.com/family/I09065708.html", "WILLIAM HAUTE 1430 EN-1497 EN ID:09065845")</f>
        <v>WILLIAM HAUTE 1430 EN-1497 EN ID:09065845</v>
      </c>
      <c r="U3692" s="9"/>
      <c r="V3692" s="9"/>
      <c r="W3692" s="9"/>
      <c r="X3692" s="9"/>
    </row>
    <row r="3693" spans="3:27" x14ac:dyDescent="0.35">
      <c r="C3693" s="15" t="s">
        <v>8</v>
      </c>
      <c r="D3693" s="15" t="s">
        <v>8</v>
      </c>
      <c r="E3693" s="15" t="s">
        <v>8</v>
      </c>
      <c r="F3693" s="15" t="s">
        <v>8</v>
      </c>
      <c r="H3693" s="15" t="s">
        <v>8</v>
      </c>
      <c r="I3693" s="15" t="s">
        <v>8</v>
      </c>
      <c r="J3693" s="15" t="s">
        <v>8</v>
      </c>
      <c r="N3693" s="15" t="s">
        <v>8</v>
      </c>
      <c r="O3693" s="15" t="s">
        <v>8</v>
      </c>
      <c r="P3693" s="15" t="s">
        <v>8</v>
      </c>
      <c r="Q3693" s="15" t="s">
        <v>8</v>
      </c>
      <c r="R3693" s="15" t="s">
        <v>8</v>
      </c>
      <c r="T3693" s="8" t="s">
        <v>3</v>
      </c>
      <c r="U3693" s="15" t="s">
        <v>8</v>
      </c>
    </row>
    <row r="3694" spans="3:27" x14ac:dyDescent="0.35">
      <c r="C3694" s="15" t="s">
        <v>8</v>
      </c>
      <c r="D3694" s="15" t="s">
        <v>8</v>
      </c>
      <c r="E3694" s="15" t="s">
        <v>8</v>
      </c>
      <c r="F3694" s="15" t="s">
        <v>8</v>
      </c>
      <c r="H3694" s="15" t="s">
        <v>8</v>
      </c>
      <c r="I3694" s="15" t="s">
        <v>8</v>
      </c>
      <c r="J3694" s="15" t="s">
        <v>8</v>
      </c>
      <c r="N3694" s="15" t="s">
        <v>8</v>
      </c>
      <c r="O3694" s="15" t="s">
        <v>8</v>
      </c>
      <c r="P3694" s="15" t="s">
        <v>8</v>
      </c>
      <c r="Q3694" s="15" t="s">
        <v>8</v>
      </c>
      <c r="R3694" s="15" t="s">
        <v>8</v>
      </c>
      <c r="T3694" s="15" t="s">
        <v>8</v>
      </c>
      <c r="U3694" s="15" t="s">
        <v>8</v>
      </c>
      <c r="W3694" s="19" t="str">
        <f>HYPERLINK("http://yeinfo.com/family/I09066209.html", "JOHN WYDEVILLE 1341 EN-1401 EN ID:09066363")</f>
        <v>JOHN WYDEVILLE 1341 EN-1401 EN ID:09066363</v>
      </c>
      <c r="X3694" s="9"/>
      <c r="Y3694" s="9"/>
      <c r="Z3694" s="9"/>
      <c r="AA3694" s="9"/>
    </row>
    <row r="3695" spans="3:27" x14ac:dyDescent="0.35">
      <c r="C3695" s="15" t="s">
        <v>8</v>
      </c>
      <c r="D3695" s="15" t="s">
        <v>8</v>
      </c>
      <c r="E3695" s="15" t="s">
        <v>8</v>
      </c>
      <c r="F3695" s="15" t="s">
        <v>8</v>
      </c>
      <c r="H3695" s="15" t="s">
        <v>8</v>
      </c>
      <c r="I3695" s="15" t="s">
        <v>8</v>
      </c>
      <c r="J3695" s="15" t="s">
        <v>8</v>
      </c>
      <c r="N3695" s="15" t="s">
        <v>8</v>
      </c>
      <c r="O3695" s="15" t="s">
        <v>8</v>
      </c>
      <c r="P3695" s="15" t="s">
        <v>8</v>
      </c>
      <c r="Q3695" s="15" t="s">
        <v>8</v>
      </c>
      <c r="R3695" s="15" t="s">
        <v>8</v>
      </c>
      <c r="T3695" s="15" t="s">
        <v>8</v>
      </c>
      <c r="U3695" s="15" t="s">
        <v>8</v>
      </c>
      <c r="W3695" s="8" t="s">
        <v>3</v>
      </c>
    </row>
    <row r="3696" spans="3:27" x14ac:dyDescent="0.35">
      <c r="C3696" s="15" t="s">
        <v>8</v>
      </c>
      <c r="D3696" s="15" t="s">
        <v>8</v>
      </c>
      <c r="E3696" s="15" t="s">
        <v>8</v>
      </c>
      <c r="F3696" s="15" t="s">
        <v>8</v>
      </c>
      <c r="H3696" s="15" t="s">
        <v>8</v>
      </c>
      <c r="I3696" s="15" t="s">
        <v>8</v>
      </c>
      <c r="J3696" s="15" t="s">
        <v>8</v>
      </c>
      <c r="N3696" s="15" t="s">
        <v>8</v>
      </c>
      <c r="O3696" s="15" t="s">
        <v>8</v>
      </c>
      <c r="P3696" s="15" t="s">
        <v>8</v>
      </c>
      <c r="Q3696" s="15" t="s">
        <v>8</v>
      </c>
      <c r="R3696" s="15" t="s">
        <v>8</v>
      </c>
      <c r="T3696" s="15" t="s">
        <v>8</v>
      </c>
      <c r="U3696" s="15" t="s">
        <v>8</v>
      </c>
      <c r="V3696" s="19" t="str">
        <f>HYPERLINK("http://yeinfo.com/family/I09066022.html", "RICHARD WYDEVILLE 1380 EN-1441 EN ID:09066209")</f>
        <v>RICHARD WYDEVILLE 1380 EN-1441 EN ID:09066209</v>
      </c>
      <c r="W3696" s="9"/>
      <c r="X3696" s="9"/>
      <c r="Y3696" s="9"/>
      <c r="Z3696" s="9"/>
    </row>
    <row r="3697" spans="3:28" x14ac:dyDescent="0.35">
      <c r="C3697" s="15" t="s">
        <v>8</v>
      </c>
      <c r="D3697" s="15" t="s">
        <v>8</v>
      </c>
      <c r="E3697" s="15" t="s">
        <v>8</v>
      </c>
      <c r="F3697" s="15" t="s">
        <v>8</v>
      </c>
      <c r="H3697" s="15" t="s">
        <v>8</v>
      </c>
      <c r="I3697" s="15" t="s">
        <v>8</v>
      </c>
      <c r="J3697" s="15" t="s">
        <v>8</v>
      </c>
      <c r="N3697" s="15" t="s">
        <v>8</v>
      </c>
      <c r="O3697" s="15" t="s">
        <v>8</v>
      </c>
      <c r="P3697" s="15" t="s">
        <v>8</v>
      </c>
      <c r="Q3697" s="15" t="s">
        <v>8</v>
      </c>
      <c r="R3697" s="15" t="s">
        <v>8</v>
      </c>
      <c r="T3697" s="15" t="s">
        <v>8</v>
      </c>
      <c r="U3697" s="15" t="s">
        <v>8</v>
      </c>
      <c r="V3697" s="8" t="s">
        <v>3</v>
      </c>
      <c r="W3697" s="8" t="s">
        <v>6</v>
      </c>
    </row>
    <row r="3698" spans="3:28" x14ac:dyDescent="0.35">
      <c r="C3698" s="15" t="s">
        <v>8</v>
      </c>
      <c r="D3698" s="15" t="s">
        <v>8</v>
      </c>
      <c r="E3698" s="15" t="s">
        <v>8</v>
      </c>
      <c r="F3698" s="15" t="s">
        <v>8</v>
      </c>
      <c r="H3698" s="15" t="s">
        <v>8</v>
      </c>
      <c r="I3698" s="15" t="s">
        <v>8</v>
      </c>
      <c r="J3698" s="15" t="s">
        <v>8</v>
      </c>
      <c r="N3698" s="15" t="s">
        <v>8</v>
      </c>
      <c r="O3698" s="15" t="s">
        <v>8</v>
      </c>
      <c r="P3698" s="15" t="s">
        <v>8</v>
      </c>
      <c r="Q3698" s="15" t="s">
        <v>8</v>
      </c>
      <c r="R3698" s="15" t="s">
        <v>8</v>
      </c>
      <c r="T3698" s="15" t="s">
        <v>8</v>
      </c>
      <c r="U3698" s="15" t="s">
        <v>8</v>
      </c>
      <c r="V3698" s="15" t="s">
        <v>8</v>
      </c>
      <c r="W3698" s="20" t="str">
        <f>HYPERLINK("http://yeinfo.com/family/I09066363.html", "ISABEL GODDARD 1361 EN-1381 EN ID:09066364")</f>
        <v>ISABEL GODDARD 1361 EN-1381 EN ID:09066364</v>
      </c>
      <c r="X3698" s="17"/>
      <c r="Y3698" s="17"/>
      <c r="Z3698" s="17"/>
      <c r="AA3698" s="17"/>
    </row>
    <row r="3699" spans="3:28" x14ac:dyDescent="0.35">
      <c r="C3699" s="15" t="s">
        <v>8</v>
      </c>
      <c r="D3699" s="15" t="s">
        <v>8</v>
      </c>
      <c r="E3699" s="15" t="s">
        <v>8</v>
      </c>
      <c r="F3699" s="15" t="s">
        <v>8</v>
      </c>
      <c r="H3699" s="15" t="s">
        <v>8</v>
      </c>
      <c r="I3699" s="15" t="s">
        <v>8</v>
      </c>
      <c r="J3699" s="15" t="s">
        <v>8</v>
      </c>
      <c r="N3699" s="15" t="s">
        <v>8</v>
      </c>
      <c r="O3699" s="15" t="s">
        <v>8</v>
      </c>
      <c r="P3699" s="15" t="s">
        <v>8</v>
      </c>
      <c r="Q3699" s="15" t="s">
        <v>8</v>
      </c>
      <c r="R3699" s="15" t="s">
        <v>8</v>
      </c>
      <c r="T3699" s="15" t="s">
        <v>8</v>
      </c>
      <c r="U3699" s="8" t="s">
        <v>6</v>
      </c>
      <c r="V3699" s="15" t="s">
        <v>8</v>
      </c>
    </row>
    <row r="3700" spans="3:28" x14ac:dyDescent="0.35">
      <c r="C3700" s="15" t="s">
        <v>8</v>
      </c>
      <c r="D3700" s="15" t="s">
        <v>8</v>
      </c>
      <c r="E3700" s="15" t="s">
        <v>8</v>
      </c>
      <c r="F3700" s="15" t="s">
        <v>8</v>
      </c>
      <c r="H3700" s="15" t="s">
        <v>8</v>
      </c>
      <c r="I3700" s="15" t="s">
        <v>8</v>
      </c>
      <c r="J3700" s="15" t="s">
        <v>8</v>
      </c>
      <c r="N3700" s="15" t="s">
        <v>8</v>
      </c>
      <c r="O3700" s="15" t="s">
        <v>8</v>
      </c>
      <c r="P3700" s="15" t="s">
        <v>8</v>
      </c>
      <c r="Q3700" s="15" t="s">
        <v>8</v>
      </c>
      <c r="R3700" s="15" t="s">
        <v>8</v>
      </c>
      <c r="T3700" s="15" t="s">
        <v>8</v>
      </c>
      <c r="U3700" s="20" t="str">
        <f>HYPERLINK("http://yeinfo.com/family/I09066362.html", "JOAN WYDEVILLE 1406 EN-1462 EN ID:09066022")</f>
        <v>JOAN WYDEVILLE 1406 EN-1462 EN ID:09066022</v>
      </c>
      <c r="V3700" s="17"/>
      <c r="W3700" s="17"/>
      <c r="X3700" s="17"/>
      <c r="Y3700" s="17"/>
    </row>
    <row r="3701" spans="3:28" x14ac:dyDescent="0.35">
      <c r="C3701" s="15" t="s">
        <v>8</v>
      </c>
      <c r="D3701" s="15" t="s">
        <v>8</v>
      </c>
      <c r="E3701" s="15" t="s">
        <v>8</v>
      </c>
      <c r="F3701" s="15" t="s">
        <v>8</v>
      </c>
      <c r="H3701" s="15" t="s">
        <v>8</v>
      </c>
      <c r="I3701" s="15" t="s">
        <v>8</v>
      </c>
      <c r="J3701" s="15" t="s">
        <v>8</v>
      </c>
      <c r="N3701" s="15" t="s">
        <v>8</v>
      </c>
      <c r="O3701" s="15" t="s">
        <v>8</v>
      </c>
      <c r="P3701" s="15" t="s">
        <v>8</v>
      </c>
      <c r="Q3701" s="15" t="s">
        <v>8</v>
      </c>
      <c r="R3701" s="15" t="s">
        <v>8</v>
      </c>
      <c r="T3701" s="15" t="s">
        <v>8</v>
      </c>
      <c r="V3701" s="15" t="s">
        <v>8</v>
      </c>
    </row>
    <row r="3702" spans="3:28" x14ac:dyDescent="0.35">
      <c r="C3702" s="15" t="s">
        <v>8</v>
      </c>
      <c r="D3702" s="15" t="s">
        <v>8</v>
      </c>
      <c r="E3702" s="15" t="s">
        <v>8</v>
      </c>
      <c r="F3702" s="15" t="s">
        <v>8</v>
      </c>
      <c r="H3702" s="15" t="s">
        <v>8</v>
      </c>
      <c r="I3702" s="15" t="s">
        <v>8</v>
      </c>
      <c r="J3702" s="15" t="s">
        <v>8</v>
      </c>
      <c r="N3702" s="15" t="s">
        <v>8</v>
      </c>
      <c r="O3702" s="15" t="s">
        <v>8</v>
      </c>
      <c r="P3702" s="15" t="s">
        <v>8</v>
      </c>
      <c r="Q3702" s="15" t="s">
        <v>8</v>
      </c>
      <c r="R3702" s="15" t="s">
        <v>8</v>
      </c>
      <c r="T3702" s="15" t="s">
        <v>8</v>
      </c>
      <c r="V3702" s="15" t="s">
        <v>8</v>
      </c>
      <c r="W3702" s="19" t="str">
        <f>HYPERLINK("http://yeinfo.com/family/I09066210.html", "THOMAS BITTELESGATE 1360 EN-1396  ID:09066365")</f>
        <v>THOMAS BITTELESGATE 1360 EN-1396  ID:09066365</v>
      </c>
      <c r="X3702" s="9"/>
      <c r="Y3702" s="9"/>
      <c r="Z3702" s="9"/>
      <c r="AA3702" s="9"/>
    </row>
    <row r="3703" spans="3:28" x14ac:dyDescent="0.35">
      <c r="C3703" s="15" t="s">
        <v>8</v>
      </c>
      <c r="D3703" s="15" t="s">
        <v>8</v>
      </c>
      <c r="E3703" s="15" t="s">
        <v>8</v>
      </c>
      <c r="F3703" s="15" t="s">
        <v>8</v>
      </c>
      <c r="H3703" s="15" t="s">
        <v>8</v>
      </c>
      <c r="I3703" s="15" t="s">
        <v>8</v>
      </c>
      <c r="J3703" s="15" t="s">
        <v>8</v>
      </c>
      <c r="N3703" s="15" t="s">
        <v>8</v>
      </c>
      <c r="O3703" s="15" t="s">
        <v>8</v>
      </c>
      <c r="P3703" s="15" t="s">
        <v>8</v>
      </c>
      <c r="Q3703" s="15" t="s">
        <v>8</v>
      </c>
      <c r="R3703" s="15" t="s">
        <v>8</v>
      </c>
      <c r="T3703" s="15" t="s">
        <v>8</v>
      </c>
      <c r="V3703" s="8" t="s">
        <v>6</v>
      </c>
      <c r="W3703" s="8" t="s">
        <v>3</v>
      </c>
    </row>
    <row r="3704" spans="3:28" x14ac:dyDescent="0.35">
      <c r="C3704" s="15" t="s">
        <v>8</v>
      </c>
      <c r="D3704" s="15" t="s">
        <v>8</v>
      </c>
      <c r="E3704" s="15" t="s">
        <v>8</v>
      </c>
      <c r="F3704" s="15" t="s">
        <v>8</v>
      </c>
      <c r="H3704" s="15" t="s">
        <v>8</v>
      </c>
      <c r="I3704" s="15" t="s">
        <v>8</v>
      </c>
      <c r="J3704" s="15" t="s">
        <v>8</v>
      </c>
      <c r="N3704" s="15" t="s">
        <v>8</v>
      </c>
      <c r="O3704" s="15" t="s">
        <v>8</v>
      </c>
      <c r="P3704" s="15" t="s">
        <v>8</v>
      </c>
      <c r="Q3704" s="15" t="s">
        <v>8</v>
      </c>
      <c r="R3704" s="15" t="s">
        <v>8</v>
      </c>
      <c r="T3704" s="15" t="s">
        <v>8</v>
      </c>
      <c r="V3704" s="20" t="str">
        <f>HYPERLINK("http://yeinfo.com/family/I09066364.html", "JOAN BITTELESGATE 1390 EN-1488 EN ID:09066210")</f>
        <v>JOAN BITTELESGATE 1390 EN-1488 EN ID:09066210</v>
      </c>
      <c r="W3704" s="17"/>
      <c r="X3704" s="17"/>
      <c r="Y3704" s="17"/>
      <c r="Z3704" s="17"/>
    </row>
    <row r="3705" spans="3:28" x14ac:dyDescent="0.35">
      <c r="C3705" s="15" t="s">
        <v>8</v>
      </c>
      <c r="D3705" s="15" t="s">
        <v>8</v>
      </c>
      <c r="E3705" s="15" t="s">
        <v>8</v>
      </c>
      <c r="F3705" s="15" t="s">
        <v>8</v>
      </c>
      <c r="H3705" s="15" t="s">
        <v>8</v>
      </c>
      <c r="I3705" s="15" t="s">
        <v>8</v>
      </c>
      <c r="J3705" s="15" t="s">
        <v>8</v>
      </c>
      <c r="N3705" s="15" t="s">
        <v>8</v>
      </c>
      <c r="O3705" s="15" t="s">
        <v>8</v>
      </c>
      <c r="P3705" s="15" t="s">
        <v>8</v>
      </c>
      <c r="Q3705" s="15" t="s">
        <v>8</v>
      </c>
      <c r="R3705" s="15" t="s">
        <v>8</v>
      </c>
      <c r="T3705" s="15" t="s">
        <v>8</v>
      </c>
      <c r="W3705" s="8" t="s">
        <v>6</v>
      </c>
    </row>
    <row r="3706" spans="3:28" x14ac:dyDescent="0.35">
      <c r="C3706" s="15" t="s">
        <v>8</v>
      </c>
      <c r="D3706" s="15" t="s">
        <v>8</v>
      </c>
      <c r="E3706" s="15" t="s">
        <v>8</v>
      </c>
      <c r="F3706" s="15" t="s">
        <v>8</v>
      </c>
      <c r="H3706" s="15" t="s">
        <v>8</v>
      </c>
      <c r="I3706" s="15" t="s">
        <v>8</v>
      </c>
      <c r="J3706" s="15" t="s">
        <v>8</v>
      </c>
      <c r="N3706" s="15" t="s">
        <v>8</v>
      </c>
      <c r="O3706" s="15" t="s">
        <v>8</v>
      </c>
      <c r="P3706" s="15" t="s">
        <v>8</v>
      </c>
      <c r="Q3706" s="15" t="s">
        <v>8</v>
      </c>
      <c r="R3706" s="15" t="s">
        <v>8</v>
      </c>
      <c r="T3706" s="15" t="s">
        <v>8</v>
      </c>
      <c r="W3706" s="20" t="str">
        <f>HYPERLINK("http://yeinfo.com/family/I09066365.html", "JOAN\MARY MARY BEAUCHAMP 1363 EN-1390 EN ID:09066366")</f>
        <v>JOAN\MARY MARY BEAUCHAMP 1363 EN-1390 EN ID:09066366</v>
      </c>
      <c r="X3706" s="17"/>
      <c r="Y3706" s="17"/>
      <c r="Z3706" s="17"/>
      <c r="AA3706" s="17"/>
      <c r="AB3706" s="17"/>
    </row>
    <row r="3707" spans="3:28" x14ac:dyDescent="0.35">
      <c r="C3707" s="15" t="s">
        <v>8</v>
      </c>
      <c r="D3707" s="15" t="s">
        <v>8</v>
      </c>
      <c r="E3707" s="15" t="s">
        <v>8</v>
      </c>
      <c r="F3707" s="15" t="s">
        <v>8</v>
      </c>
      <c r="H3707" s="15" t="s">
        <v>8</v>
      </c>
      <c r="I3707" s="15" t="s">
        <v>8</v>
      </c>
      <c r="J3707" s="15" t="s">
        <v>8</v>
      </c>
      <c r="N3707" s="15" t="s">
        <v>8</v>
      </c>
      <c r="O3707" s="15" t="s">
        <v>8</v>
      </c>
      <c r="P3707" s="15" t="s">
        <v>8</v>
      </c>
      <c r="Q3707" s="15" t="s">
        <v>8</v>
      </c>
      <c r="R3707" s="15" t="s">
        <v>8</v>
      </c>
      <c r="T3707" s="15" t="s">
        <v>8</v>
      </c>
    </row>
    <row r="3708" spans="3:28" x14ac:dyDescent="0.35">
      <c r="C3708" s="15" t="s">
        <v>8</v>
      </c>
      <c r="D3708" s="15" t="s">
        <v>8</v>
      </c>
      <c r="E3708" s="15" t="s">
        <v>8</v>
      </c>
      <c r="F3708" s="15" t="s">
        <v>8</v>
      </c>
      <c r="H3708" s="15" t="s">
        <v>8</v>
      </c>
      <c r="I3708" s="15" t="s">
        <v>8</v>
      </c>
      <c r="J3708" s="15" t="s">
        <v>8</v>
      </c>
      <c r="N3708" s="15" t="s">
        <v>8</v>
      </c>
      <c r="O3708" s="15" t="s">
        <v>8</v>
      </c>
      <c r="P3708" s="15" t="s">
        <v>8</v>
      </c>
      <c r="Q3708" s="15" t="s">
        <v>8</v>
      </c>
      <c r="R3708" s="15" t="s">
        <v>8</v>
      </c>
      <c r="S3708" s="19" t="str">
        <f>HYPERLINK("http://yeinfo.com/family/I09065570.html", "THOMAS HAUTE 1453 EN-1502 EN ID:09065708")</f>
        <v>THOMAS HAUTE 1453 EN-1502 EN ID:09065708</v>
      </c>
      <c r="T3708" s="9"/>
      <c r="U3708" s="9"/>
      <c r="V3708" s="9"/>
      <c r="W3708" s="9"/>
    </row>
    <row r="3709" spans="3:28" x14ac:dyDescent="0.35">
      <c r="C3709" s="15" t="s">
        <v>8</v>
      </c>
      <c r="D3709" s="15" t="s">
        <v>8</v>
      </c>
      <c r="E3709" s="15" t="s">
        <v>8</v>
      </c>
      <c r="F3709" s="15" t="s">
        <v>8</v>
      </c>
      <c r="H3709" s="15" t="s">
        <v>8</v>
      </c>
      <c r="I3709" s="15" t="s">
        <v>8</v>
      </c>
      <c r="J3709" s="15" t="s">
        <v>8</v>
      </c>
      <c r="N3709" s="15" t="s">
        <v>8</v>
      </c>
      <c r="O3709" s="15" t="s">
        <v>8</v>
      </c>
      <c r="P3709" s="15" t="s">
        <v>8</v>
      </c>
      <c r="Q3709" s="15" t="s">
        <v>8</v>
      </c>
      <c r="R3709" s="15" t="s">
        <v>8</v>
      </c>
      <c r="S3709" s="8" t="s">
        <v>3</v>
      </c>
      <c r="T3709" s="15" t="s">
        <v>8</v>
      </c>
    </row>
    <row r="3710" spans="3:28" x14ac:dyDescent="0.35">
      <c r="C3710" s="15" t="s">
        <v>8</v>
      </c>
      <c r="D3710" s="15" t="s">
        <v>8</v>
      </c>
      <c r="E3710" s="15" t="s">
        <v>8</v>
      </c>
      <c r="F3710" s="15" t="s">
        <v>8</v>
      </c>
      <c r="H3710" s="15" t="s">
        <v>8</v>
      </c>
      <c r="I3710" s="15" t="s">
        <v>8</v>
      </c>
      <c r="J3710" s="15" t="s">
        <v>8</v>
      </c>
      <c r="N3710" s="15" t="s">
        <v>8</v>
      </c>
      <c r="O3710" s="15" t="s">
        <v>8</v>
      </c>
      <c r="P3710" s="15" t="s">
        <v>8</v>
      </c>
      <c r="Q3710" s="15" t="s">
        <v>8</v>
      </c>
      <c r="R3710" s="15" t="s">
        <v>8</v>
      </c>
      <c r="S3710" s="15" t="s">
        <v>8</v>
      </c>
      <c r="T3710" s="15" t="s">
        <v>8</v>
      </c>
      <c r="V3710" s="19" t="str">
        <f>HYPERLINK("http://yeinfo.com/family/I09066023.html", "HENRY HORNE 1382 EN-1404 EN ID:09066211")</f>
        <v>HENRY HORNE 1382 EN-1404 EN ID:09066211</v>
      </c>
      <c r="W3710" s="9"/>
      <c r="X3710" s="9"/>
      <c r="Y3710" s="9"/>
      <c r="Z3710" s="9"/>
    </row>
    <row r="3711" spans="3:28" x14ac:dyDescent="0.35">
      <c r="C3711" s="15" t="s">
        <v>8</v>
      </c>
      <c r="D3711" s="15" t="s">
        <v>8</v>
      </c>
      <c r="E3711" s="15" t="s">
        <v>8</v>
      </c>
      <c r="F3711" s="15" t="s">
        <v>8</v>
      </c>
      <c r="H3711" s="15" t="s">
        <v>8</v>
      </c>
      <c r="I3711" s="15" t="s">
        <v>8</v>
      </c>
      <c r="J3711" s="15" t="s">
        <v>8</v>
      </c>
      <c r="N3711" s="15" t="s">
        <v>8</v>
      </c>
      <c r="O3711" s="15" t="s">
        <v>8</v>
      </c>
      <c r="P3711" s="15" t="s">
        <v>8</v>
      </c>
      <c r="Q3711" s="15" t="s">
        <v>8</v>
      </c>
      <c r="R3711" s="15" t="s">
        <v>8</v>
      </c>
      <c r="S3711" s="15" t="s">
        <v>8</v>
      </c>
      <c r="T3711" s="15" t="s">
        <v>8</v>
      </c>
      <c r="V3711" s="8" t="s">
        <v>3</v>
      </c>
    </row>
    <row r="3712" spans="3:28" x14ac:dyDescent="0.35">
      <c r="C3712" s="15" t="s">
        <v>8</v>
      </c>
      <c r="D3712" s="15" t="s">
        <v>8</v>
      </c>
      <c r="E3712" s="15" t="s">
        <v>8</v>
      </c>
      <c r="F3712" s="15" t="s">
        <v>8</v>
      </c>
      <c r="H3712" s="15" t="s">
        <v>8</v>
      </c>
      <c r="I3712" s="15" t="s">
        <v>8</v>
      </c>
      <c r="J3712" s="15" t="s">
        <v>8</v>
      </c>
      <c r="N3712" s="15" t="s">
        <v>8</v>
      </c>
      <c r="O3712" s="15" t="s">
        <v>8</v>
      </c>
      <c r="P3712" s="15" t="s">
        <v>8</v>
      </c>
      <c r="Q3712" s="15" t="s">
        <v>8</v>
      </c>
      <c r="R3712" s="15" t="s">
        <v>8</v>
      </c>
      <c r="S3712" s="15" t="s">
        <v>8</v>
      </c>
      <c r="T3712" s="15" t="s">
        <v>8</v>
      </c>
      <c r="U3712" s="19" t="str">
        <f>HYPERLINK("http://yeinfo.com/family/I09065846.html", "HENRY HORNE 1404 EN-1497 EN ID:09066023")</f>
        <v>HENRY HORNE 1404 EN-1497 EN ID:09066023</v>
      </c>
      <c r="V3712" s="9"/>
      <c r="W3712" s="9"/>
      <c r="X3712" s="9"/>
      <c r="Y3712" s="9"/>
    </row>
    <row r="3713" spans="3:26" x14ac:dyDescent="0.35">
      <c r="C3713" s="15" t="s">
        <v>8</v>
      </c>
      <c r="D3713" s="15" t="s">
        <v>8</v>
      </c>
      <c r="E3713" s="15" t="s">
        <v>8</v>
      </c>
      <c r="F3713" s="15" t="s">
        <v>8</v>
      </c>
      <c r="H3713" s="15" t="s">
        <v>8</v>
      </c>
      <c r="I3713" s="15" t="s">
        <v>8</v>
      </c>
      <c r="J3713" s="15" t="s">
        <v>8</v>
      </c>
      <c r="N3713" s="15" t="s">
        <v>8</v>
      </c>
      <c r="O3713" s="15" t="s">
        <v>8</v>
      </c>
      <c r="P3713" s="15" t="s">
        <v>8</v>
      </c>
      <c r="Q3713" s="15" t="s">
        <v>8</v>
      </c>
      <c r="R3713" s="15" t="s">
        <v>8</v>
      </c>
      <c r="S3713" s="15" t="s">
        <v>8</v>
      </c>
      <c r="T3713" s="15" t="s">
        <v>8</v>
      </c>
      <c r="U3713" s="8" t="s">
        <v>3</v>
      </c>
      <c r="V3713" s="8" t="s">
        <v>6</v>
      </c>
    </row>
    <row r="3714" spans="3:26" x14ac:dyDescent="0.35">
      <c r="C3714" s="15" t="s">
        <v>8</v>
      </c>
      <c r="D3714" s="15" t="s">
        <v>8</v>
      </c>
      <c r="E3714" s="15" t="s">
        <v>8</v>
      </c>
      <c r="F3714" s="15" t="s">
        <v>8</v>
      </c>
      <c r="H3714" s="15" t="s">
        <v>8</v>
      </c>
      <c r="I3714" s="15" t="s">
        <v>8</v>
      </c>
      <c r="J3714" s="15" t="s">
        <v>8</v>
      </c>
      <c r="N3714" s="15" t="s">
        <v>8</v>
      </c>
      <c r="O3714" s="15" t="s">
        <v>8</v>
      </c>
      <c r="P3714" s="15" t="s">
        <v>8</v>
      </c>
      <c r="Q3714" s="15" t="s">
        <v>8</v>
      </c>
      <c r="R3714" s="15" t="s">
        <v>8</v>
      </c>
      <c r="S3714" s="15" t="s">
        <v>8</v>
      </c>
      <c r="T3714" s="15" t="s">
        <v>8</v>
      </c>
      <c r="U3714" s="15" t="s">
        <v>8</v>
      </c>
      <c r="V3714" s="20" t="str">
        <f>HYPERLINK("http://yeinfo.com/family/I09066211.html", "Mrs. ELIZABETH HORNE 1384 EN-1404 EN ID:09066212")</f>
        <v>Mrs. ELIZABETH HORNE 1384 EN-1404 EN ID:09066212</v>
      </c>
      <c r="W3714" s="17"/>
      <c r="X3714" s="17"/>
      <c r="Y3714" s="17"/>
      <c r="Z3714" s="17"/>
    </row>
    <row r="3715" spans="3:26" x14ac:dyDescent="0.35">
      <c r="C3715" s="15" t="s">
        <v>8</v>
      </c>
      <c r="D3715" s="15" t="s">
        <v>8</v>
      </c>
      <c r="E3715" s="15" t="s">
        <v>8</v>
      </c>
      <c r="F3715" s="15" t="s">
        <v>8</v>
      </c>
      <c r="H3715" s="15" t="s">
        <v>8</v>
      </c>
      <c r="I3715" s="15" t="s">
        <v>8</v>
      </c>
      <c r="J3715" s="15" t="s">
        <v>8</v>
      </c>
      <c r="N3715" s="15" t="s">
        <v>8</v>
      </c>
      <c r="O3715" s="15" t="s">
        <v>8</v>
      </c>
      <c r="P3715" s="15" t="s">
        <v>8</v>
      </c>
      <c r="Q3715" s="15" t="s">
        <v>8</v>
      </c>
      <c r="R3715" s="15" t="s">
        <v>8</v>
      </c>
      <c r="S3715" s="15" t="s">
        <v>8</v>
      </c>
      <c r="T3715" s="8" t="s">
        <v>6</v>
      </c>
      <c r="U3715" s="15" t="s">
        <v>8</v>
      </c>
    </row>
    <row r="3716" spans="3:26" x14ac:dyDescent="0.35">
      <c r="C3716" s="15" t="s">
        <v>8</v>
      </c>
      <c r="D3716" s="15" t="s">
        <v>8</v>
      </c>
      <c r="E3716" s="15" t="s">
        <v>8</v>
      </c>
      <c r="F3716" s="15" t="s">
        <v>8</v>
      </c>
      <c r="H3716" s="15" t="s">
        <v>8</v>
      </c>
      <c r="I3716" s="15" t="s">
        <v>8</v>
      </c>
      <c r="J3716" s="15" t="s">
        <v>8</v>
      </c>
      <c r="N3716" s="15" t="s">
        <v>8</v>
      </c>
      <c r="O3716" s="15" t="s">
        <v>8</v>
      </c>
      <c r="P3716" s="15" t="s">
        <v>8</v>
      </c>
      <c r="Q3716" s="15" t="s">
        <v>8</v>
      </c>
      <c r="R3716" s="15" t="s">
        <v>8</v>
      </c>
      <c r="S3716" s="15" t="s">
        <v>8</v>
      </c>
      <c r="T3716" s="20" t="str">
        <f>HYPERLINK("http://yeinfo.com/family/I09066366.html", "JOANE HORNE 1434 EN-1497 EN ID:09065846")</f>
        <v>JOANE HORNE 1434 EN-1497 EN ID:09065846</v>
      </c>
      <c r="U3716" s="17"/>
      <c r="V3716" s="17"/>
      <c r="W3716" s="17"/>
      <c r="X3716" s="17"/>
    </row>
    <row r="3717" spans="3:26" x14ac:dyDescent="0.35">
      <c r="C3717" s="15" t="s">
        <v>8</v>
      </c>
      <c r="D3717" s="15" t="s">
        <v>8</v>
      </c>
      <c r="E3717" s="15" t="s">
        <v>8</v>
      </c>
      <c r="F3717" s="15" t="s">
        <v>8</v>
      </c>
      <c r="H3717" s="15" t="s">
        <v>8</v>
      </c>
      <c r="I3717" s="15" t="s">
        <v>8</v>
      </c>
      <c r="J3717" s="15" t="s">
        <v>8</v>
      </c>
      <c r="N3717" s="15" t="s">
        <v>8</v>
      </c>
      <c r="O3717" s="15" t="s">
        <v>8</v>
      </c>
      <c r="P3717" s="15" t="s">
        <v>8</v>
      </c>
      <c r="Q3717" s="15" t="s">
        <v>8</v>
      </c>
      <c r="R3717" s="15" t="s">
        <v>8</v>
      </c>
      <c r="S3717" s="15" t="s">
        <v>8</v>
      </c>
      <c r="U3717" s="8" t="s">
        <v>6</v>
      </c>
    </row>
    <row r="3718" spans="3:26" x14ac:dyDescent="0.35">
      <c r="C3718" s="15" t="s">
        <v>8</v>
      </c>
      <c r="D3718" s="15" t="s">
        <v>8</v>
      </c>
      <c r="E3718" s="15" t="s">
        <v>8</v>
      </c>
      <c r="F3718" s="15" t="s">
        <v>8</v>
      </c>
      <c r="H3718" s="15" t="s">
        <v>8</v>
      </c>
      <c r="I3718" s="15" t="s">
        <v>8</v>
      </c>
      <c r="J3718" s="15" t="s">
        <v>8</v>
      </c>
      <c r="N3718" s="15" t="s">
        <v>8</v>
      </c>
      <c r="O3718" s="15" t="s">
        <v>8</v>
      </c>
      <c r="P3718" s="15" t="s">
        <v>8</v>
      </c>
      <c r="Q3718" s="15" t="s">
        <v>8</v>
      </c>
      <c r="R3718" s="15" t="s">
        <v>8</v>
      </c>
      <c r="S3718" s="15" t="s">
        <v>8</v>
      </c>
      <c r="U3718" s="20" t="str">
        <f>HYPERLINK("http://yeinfo.com/family/I09066212.html", "ELIZABETH WYDEVILLE 1410 -1434 EN ID:09066024")</f>
        <v>ELIZABETH WYDEVILLE 1410 -1434 EN ID:09066024</v>
      </c>
      <c r="V3718" s="17"/>
      <c r="W3718" s="17"/>
      <c r="X3718" s="17"/>
      <c r="Y3718" s="17"/>
    </row>
    <row r="3719" spans="3:26" x14ac:dyDescent="0.35">
      <c r="C3719" s="15" t="s">
        <v>8</v>
      </c>
      <c r="D3719" s="15" t="s">
        <v>8</v>
      </c>
      <c r="E3719" s="15" t="s">
        <v>8</v>
      </c>
      <c r="F3719" s="15" t="s">
        <v>8</v>
      </c>
      <c r="H3719" s="15" t="s">
        <v>8</v>
      </c>
      <c r="I3719" s="15" t="s">
        <v>8</v>
      </c>
      <c r="J3719" s="15" t="s">
        <v>8</v>
      </c>
      <c r="N3719" s="15" t="s">
        <v>8</v>
      </c>
      <c r="O3719" s="15" t="s">
        <v>8</v>
      </c>
      <c r="P3719" s="15" t="s">
        <v>8</v>
      </c>
      <c r="Q3719" s="15" t="s">
        <v>8</v>
      </c>
      <c r="R3719" s="8" t="s">
        <v>6</v>
      </c>
      <c r="S3719" s="15" t="s">
        <v>8</v>
      </c>
    </row>
    <row r="3720" spans="3:26" x14ac:dyDescent="0.35">
      <c r="C3720" s="15" t="s">
        <v>8</v>
      </c>
      <c r="D3720" s="15" t="s">
        <v>8</v>
      </c>
      <c r="E3720" s="15" t="s">
        <v>8</v>
      </c>
      <c r="F3720" s="15" t="s">
        <v>8</v>
      </c>
      <c r="H3720" s="15" t="s">
        <v>8</v>
      </c>
      <c r="I3720" s="15" t="s">
        <v>8</v>
      </c>
      <c r="J3720" s="15" t="s">
        <v>8</v>
      </c>
      <c r="N3720" s="15" t="s">
        <v>8</v>
      </c>
      <c r="O3720" s="15" t="s">
        <v>8</v>
      </c>
      <c r="P3720" s="15" t="s">
        <v>8</v>
      </c>
      <c r="Q3720" s="15" t="s">
        <v>8</v>
      </c>
      <c r="R3720" s="20" t="str">
        <f>HYPERLINK("http://yeinfo.com/family/I09066206.html", "MARGERY HAUTE 1492 EN-1540 EN ID:09065570")</f>
        <v>MARGERY HAUTE 1492 EN-1540 EN ID:09065570</v>
      </c>
      <c r="S3720" s="17"/>
      <c r="T3720" s="17"/>
      <c r="U3720" s="17"/>
      <c r="V3720" s="17"/>
    </row>
    <row r="3721" spans="3:26" x14ac:dyDescent="0.35">
      <c r="C3721" s="15" t="s">
        <v>8</v>
      </c>
      <c r="D3721" s="15" t="s">
        <v>8</v>
      </c>
      <c r="E3721" s="15" t="s">
        <v>8</v>
      </c>
      <c r="F3721" s="15" t="s">
        <v>8</v>
      </c>
      <c r="H3721" s="15" t="s">
        <v>8</v>
      </c>
      <c r="I3721" s="15" t="s">
        <v>8</v>
      </c>
      <c r="J3721" s="15" t="s">
        <v>8</v>
      </c>
      <c r="N3721" s="15" t="s">
        <v>8</v>
      </c>
      <c r="O3721" s="15" t="s">
        <v>8</v>
      </c>
      <c r="P3721" s="15" t="s">
        <v>8</v>
      </c>
      <c r="Q3721" s="15" t="s">
        <v>8</v>
      </c>
      <c r="S3721" s="15" t="s">
        <v>8</v>
      </c>
    </row>
    <row r="3722" spans="3:26" x14ac:dyDescent="0.35">
      <c r="C3722" s="15" t="s">
        <v>8</v>
      </c>
      <c r="D3722" s="15" t="s">
        <v>8</v>
      </c>
      <c r="E3722" s="15" t="s">
        <v>8</v>
      </c>
      <c r="F3722" s="15" t="s">
        <v>8</v>
      </c>
      <c r="H3722" s="15" t="s">
        <v>8</v>
      </c>
      <c r="I3722" s="15" t="s">
        <v>8</v>
      </c>
      <c r="J3722" s="15" t="s">
        <v>8</v>
      </c>
      <c r="N3722" s="15" t="s">
        <v>8</v>
      </c>
      <c r="O3722" s="15" t="s">
        <v>8</v>
      </c>
      <c r="P3722" s="15" t="s">
        <v>8</v>
      </c>
      <c r="Q3722" s="15" t="s">
        <v>8</v>
      </c>
      <c r="S3722" s="15" t="s">
        <v>8</v>
      </c>
      <c r="V3722" s="19" t="str">
        <f>HYPERLINK("http://yeinfo.com/family/I09065957.html", "HENRY FROWICKE &lt;2&gt; 1345 EN-1386 EN ID:09066131")</f>
        <v>HENRY FROWICKE &lt;2&gt; 1345 EN-1386 EN ID:09066131</v>
      </c>
      <c r="W3722" s="9"/>
      <c r="X3722" s="9"/>
      <c r="Y3722" s="9"/>
      <c r="Z3722" s="9"/>
    </row>
    <row r="3723" spans="3:26" x14ac:dyDescent="0.35">
      <c r="C3723" s="15" t="s">
        <v>8</v>
      </c>
      <c r="D3723" s="15" t="s">
        <v>8</v>
      </c>
      <c r="E3723" s="15" t="s">
        <v>8</v>
      </c>
      <c r="F3723" s="15" t="s">
        <v>8</v>
      </c>
      <c r="H3723" s="15" t="s">
        <v>8</v>
      </c>
      <c r="I3723" s="15" t="s">
        <v>8</v>
      </c>
      <c r="J3723" s="15" t="s">
        <v>8</v>
      </c>
      <c r="N3723" s="15" t="s">
        <v>8</v>
      </c>
      <c r="O3723" s="15" t="s">
        <v>8</v>
      </c>
      <c r="P3723" s="15" t="s">
        <v>8</v>
      </c>
      <c r="Q3723" s="15" t="s">
        <v>8</v>
      </c>
      <c r="S3723" s="15" t="s">
        <v>8</v>
      </c>
      <c r="V3723" s="8" t="s">
        <v>3</v>
      </c>
    </row>
    <row r="3724" spans="3:26" x14ac:dyDescent="0.35">
      <c r="C3724" s="15" t="s">
        <v>8</v>
      </c>
      <c r="D3724" s="15" t="s">
        <v>8</v>
      </c>
      <c r="E3724" s="15" t="s">
        <v>8</v>
      </c>
      <c r="F3724" s="15" t="s">
        <v>8</v>
      </c>
      <c r="H3724" s="15" t="s">
        <v>8</v>
      </c>
      <c r="I3724" s="15" t="s">
        <v>8</v>
      </c>
      <c r="J3724" s="15" t="s">
        <v>8</v>
      </c>
      <c r="N3724" s="15" t="s">
        <v>8</v>
      </c>
      <c r="O3724" s="15" t="s">
        <v>8</v>
      </c>
      <c r="P3724" s="15" t="s">
        <v>8</v>
      </c>
      <c r="Q3724" s="15" t="s">
        <v>8</v>
      </c>
      <c r="S3724" s="15" t="s">
        <v>8</v>
      </c>
      <c r="U3724" s="19" t="str">
        <f>HYPERLINK("http://yeinfo.com/family/I09065847.html", "HENRY FROWICKE &lt;2&gt; 1384 EN-1460 EN ID:09065957")</f>
        <v>HENRY FROWICKE &lt;2&gt; 1384 EN-1460 EN ID:09065957</v>
      </c>
      <c r="V3724" s="9"/>
      <c r="W3724" s="9"/>
      <c r="X3724" s="9"/>
      <c r="Y3724" s="9"/>
    </row>
    <row r="3725" spans="3:26" x14ac:dyDescent="0.35">
      <c r="C3725" s="15" t="s">
        <v>8</v>
      </c>
      <c r="D3725" s="15" t="s">
        <v>8</v>
      </c>
      <c r="E3725" s="15" t="s">
        <v>8</v>
      </c>
      <c r="F3725" s="15" t="s">
        <v>8</v>
      </c>
      <c r="H3725" s="15" t="s">
        <v>8</v>
      </c>
      <c r="I3725" s="15" t="s">
        <v>8</v>
      </c>
      <c r="J3725" s="15" t="s">
        <v>8</v>
      </c>
      <c r="N3725" s="15" t="s">
        <v>8</v>
      </c>
      <c r="O3725" s="15" t="s">
        <v>8</v>
      </c>
      <c r="P3725" s="15" t="s">
        <v>8</v>
      </c>
      <c r="Q3725" s="15" t="s">
        <v>8</v>
      </c>
      <c r="S3725" s="15" t="s">
        <v>8</v>
      </c>
      <c r="U3725" s="8" t="s">
        <v>3</v>
      </c>
      <c r="V3725" s="8" t="s">
        <v>6</v>
      </c>
    </row>
    <row r="3726" spans="3:26" x14ac:dyDescent="0.35">
      <c r="C3726" s="15" t="s">
        <v>8</v>
      </c>
      <c r="D3726" s="15" t="s">
        <v>8</v>
      </c>
      <c r="E3726" s="15" t="s">
        <v>8</v>
      </c>
      <c r="F3726" s="15" t="s">
        <v>8</v>
      </c>
      <c r="H3726" s="15" t="s">
        <v>8</v>
      </c>
      <c r="I3726" s="15" t="s">
        <v>8</v>
      </c>
      <c r="J3726" s="15" t="s">
        <v>8</v>
      </c>
      <c r="N3726" s="15" t="s">
        <v>8</v>
      </c>
      <c r="O3726" s="15" t="s">
        <v>8</v>
      </c>
      <c r="P3726" s="15" t="s">
        <v>8</v>
      </c>
      <c r="Q3726" s="15" t="s">
        <v>8</v>
      </c>
      <c r="S3726" s="15" t="s">
        <v>8</v>
      </c>
      <c r="U3726" s="15" t="s">
        <v>8</v>
      </c>
      <c r="V3726" s="20" t="str">
        <f>HYPERLINK("http://yeinfo.com/family/I09066131.html", "ALICE CORNWALL &lt;2&gt; 1350 EN-1416 EN ID:09066132")</f>
        <v>ALICE CORNWALL &lt;2&gt; 1350 EN-1416 EN ID:09066132</v>
      </c>
      <c r="W3726" s="17"/>
      <c r="X3726" s="17"/>
      <c r="Y3726" s="17"/>
      <c r="Z3726" s="17"/>
    </row>
    <row r="3727" spans="3:26" x14ac:dyDescent="0.35">
      <c r="C3727" s="15" t="s">
        <v>8</v>
      </c>
      <c r="D3727" s="15" t="s">
        <v>8</v>
      </c>
      <c r="E3727" s="15" t="s">
        <v>8</v>
      </c>
      <c r="F3727" s="15" t="s">
        <v>8</v>
      </c>
      <c r="H3727" s="15" t="s">
        <v>8</v>
      </c>
      <c r="I3727" s="15" t="s">
        <v>8</v>
      </c>
      <c r="J3727" s="15" t="s">
        <v>8</v>
      </c>
      <c r="N3727" s="15" t="s">
        <v>8</v>
      </c>
      <c r="O3727" s="15" t="s">
        <v>8</v>
      </c>
      <c r="P3727" s="15" t="s">
        <v>8</v>
      </c>
      <c r="Q3727" s="15" t="s">
        <v>8</v>
      </c>
      <c r="S3727" s="15" t="s">
        <v>8</v>
      </c>
      <c r="U3727" s="15" t="s">
        <v>8</v>
      </c>
    </row>
    <row r="3728" spans="3:26" x14ac:dyDescent="0.35">
      <c r="C3728" s="15" t="s">
        <v>8</v>
      </c>
      <c r="D3728" s="15" t="s">
        <v>8</v>
      </c>
      <c r="E3728" s="15" t="s">
        <v>8</v>
      </c>
      <c r="F3728" s="15" t="s">
        <v>8</v>
      </c>
      <c r="H3728" s="15" t="s">
        <v>8</v>
      </c>
      <c r="I3728" s="15" t="s">
        <v>8</v>
      </c>
      <c r="J3728" s="15" t="s">
        <v>8</v>
      </c>
      <c r="N3728" s="15" t="s">
        <v>8</v>
      </c>
      <c r="O3728" s="15" t="s">
        <v>8</v>
      </c>
      <c r="P3728" s="15" t="s">
        <v>8</v>
      </c>
      <c r="Q3728" s="15" t="s">
        <v>8</v>
      </c>
      <c r="S3728" s="15" t="s">
        <v>8</v>
      </c>
      <c r="T3728" s="19" t="str">
        <f>HYPERLINK("http://yeinfo.com/family/I09065709.html", "THOMAS FROWICKE 1423 EN-1485 EN ID:09065847")</f>
        <v>THOMAS FROWICKE 1423 EN-1485 EN ID:09065847</v>
      </c>
      <c r="U3728" s="9"/>
      <c r="V3728" s="9"/>
      <c r="W3728" s="9"/>
      <c r="X3728" s="9"/>
    </row>
    <row r="3729" spans="3:27" x14ac:dyDescent="0.35">
      <c r="C3729" s="15" t="s">
        <v>8</v>
      </c>
      <c r="D3729" s="15" t="s">
        <v>8</v>
      </c>
      <c r="E3729" s="15" t="s">
        <v>8</v>
      </c>
      <c r="F3729" s="15" t="s">
        <v>8</v>
      </c>
      <c r="H3729" s="15" t="s">
        <v>8</v>
      </c>
      <c r="I3729" s="15" t="s">
        <v>8</v>
      </c>
      <c r="J3729" s="15" t="s">
        <v>8</v>
      </c>
      <c r="N3729" s="15" t="s">
        <v>8</v>
      </c>
      <c r="O3729" s="15" t="s">
        <v>8</v>
      </c>
      <c r="P3729" s="15" t="s">
        <v>8</v>
      </c>
      <c r="Q3729" s="15" t="s">
        <v>8</v>
      </c>
      <c r="S3729" s="15" t="s">
        <v>8</v>
      </c>
      <c r="T3729" s="8" t="s">
        <v>3</v>
      </c>
      <c r="U3729" s="15" t="s">
        <v>8</v>
      </c>
    </row>
    <row r="3730" spans="3:27" x14ac:dyDescent="0.35">
      <c r="C3730" s="15" t="s">
        <v>8</v>
      </c>
      <c r="D3730" s="15" t="s">
        <v>8</v>
      </c>
      <c r="E3730" s="15" t="s">
        <v>8</v>
      </c>
      <c r="F3730" s="15" t="s">
        <v>8</v>
      </c>
      <c r="H3730" s="15" t="s">
        <v>8</v>
      </c>
      <c r="I3730" s="15" t="s">
        <v>8</v>
      </c>
      <c r="J3730" s="15" t="s">
        <v>8</v>
      </c>
      <c r="N3730" s="15" t="s">
        <v>8</v>
      </c>
      <c r="O3730" s="15" t="s">
        <v>8</v>
      </c>
      <c r="P3730" s="15" t="s">
        <v>8</v>
      </c>
      <c r="Q3730" s="15" t="s">
        <v>8</v>
      </c>
      <c r="S3730" s="15" t="s">
        <v>8</v>
      </c>
      <c r="T3730" s="15" t="s">
        <v>8</v>
      </c>
      <c r="U3730" s="15" t="s">
        <v>8</v>
      </c>
      <c r="V3730" s="19" t="str">
        <f>HYPERLINK("http://yeinfo.com/family/I09065958.html", "WILLIAM OTIS &lt;2&gt; 1375 EN-1399 EN ID:09066133")</f>
        <v>WILLIAM OTIS &lt;2&gt; 1375 EN-1399 EN ID:09066133</v>
      </c>
      <c r="W3730" s="9"/>
      <c r="X3730" s="9"/>
      <c r="Y3730" s="9"/>
      <c r="Z3730" s="9"/>
    </row>
    <row r="3731" spans="3:27" x14ac:dyDescent="0.35">
      <c r="C3731" s="15" t="s">
        <v>8</v>
      </c>
      <c r="D3731" s="15" t="s">
        <v>8</v>
      </c>
      <c r="E3731" s="15" t="s">
        <v>8</v>
      </c>
      <c r="F3731" s="15" t="s">
        <v>8</v>
      </c>
      <c r="H3731" s="15" t="s">
        <v>8</v>
      </c>
      <c r="I3731" s="15" t="s">
        <v>8</v>
      </c>
      <c r="J3731" s="15" t="s">
        <v>8</v>
      </c>
      <c r="N3731" s="15" t="s">
        <v>8</v>
      </c>
      <c r="O3731" s="15" t="s">
        <v>8</v>
      </c>
      <c r="P3731" s="15" t="s">
        <v>8</v>
      </c>
      <c r="Q3731" s="15" t="s">
        <v>8</v>
      </c>
      <c r="S3731" s="15" t="s">
        <v>8</v>
      </c>
      <c r="T3731" s="15" t="s">
        <v>8</v>
      </c>
      <c r="U3731" s="8" t="s">
        <v>6</v>
      </c>
      <c r="V3731" s="8" t="s">
        <v>3</v>
      </c>
    </row>
    <row r="3732" spans="3:27" x14ac:dyDescent="0.35">
      <c r="C3732" s="15" t="s">
        <v>8</v>
      </c>
      <c r="D3732" s="15" t="s">
        <v>8</v>
      </c>
      <c r="E3732" s="15" t="s">
        <v>8</v>
      </c>
      <c r="F3732" s="15" t="s">
        <v>8</v>
      </c>
      <c r="H3732" s="15" t="s">
        <v>8</v>
      </c>
      <c r="I3732" s="15" t="s">
        <v>8</v>
      </c>
      <c r="J3732" s="15" t="s">
        <v>8</v>
      </c>
      <c r="N3732" s="15" t="s">
        <v>8</v>
      </c>
      <c r="O3732" s="15" t="s">
        <v>8</v>
      </c>
      <c r="P3732" s="15" t="s">
        <v>8</v>
      </c>
      <c r="Q3732" s="15" t="s">
        <v>8</v>
      </c>
      <c r="S3732" s="15" t="s">
        <v>8</v>
      </c>
      <c r="T3732" s="15" t="s">
        <v>8</v>
      </c>
      <c r="U3732" s="20" t="str">
        <f>HYPERLINK("http://yeinfo.com/family/I09066132.html", "ISABEL OTIS &lt;2&gt; 1399 EN-1465 EN ID:09065958")</f>
        <v>ISABEL OTIS &lt;2&gt; 1399 EN-1465 EN ID:09065958</v>
      </c>
      <c r="V3732" s="17"/>
      <c r="W3732" s="17"/>
      <c r="X3732" s="17"/>
      <c r="Y3732" s="17"/>
    </row>
    <row r="3733" spans="3:27" x14ac:dyDescent="0.35">
      <c r="C3733" s="15" t="s">
        <v>8</v>
      </c>
      <c r="D3733" s="15" t="s">
        <v>8</v>
      </c>
      <c r="E3733" s="15" t="s">
        <v>8</v>
      </c>
      <c r="F3733" s="15" t="s">
        <v>8</v>
      </c>
      <c r="H3733" s="15" t="s">
        <v>8</v>
      </c>
      <c r="I3733" s="15" t="s">
        <v>8</v>
      </c>
      <c r="J3733" s="15" t="s">
        <v>8</v>
      </c>
      <c r="N3733" s="15" t="s">
        <v>8</v>
      </c>
      <c r="O3733" s="15" t="s">
        <v>8</v>
      </c>
      <c r="P3733" s="15" t="s">
        <v>8</v>
      </c>
      <c r="Q3733" s="15" t="s">
        <v>8</v>
      </c>
      <c r="S3733" s="15" t="s">
        <v>8</v>
      </c>
      <c r="T3733" s="15" t="s">
        <v>8</v>
      </c>
      <c r="V3733" s="8" t="s">
        <v>6</v>
      </c>
    </row>
    <row r="3734" spans="3:27" x14ac:dyDescent="0.35">
      <c r="C3734" s="15" t="s">
        <v>8</v>
      </c>
      <c r="D3734" s="15" t="s">
        <v>8</v>
      </c>
      <c r="E3734" s="15" t="s">
        <v>8</v>
      </c>
      <c r="F3734" s="15" t="s">
        <v>8</v>
      </c>
      <c r="H3734" s="15" t="s">
        <v>8</v>
      </c>
      <c r="I3734" s="15" t="s">
        <v>8</v>
      </c>
      <c r="J3734" s="15" t="s">
        <v>8</v>
      </c>
      <c r="N3734" s="15" t="s">
        <v>8</v>
      </c>
      <c r="O3734" s="15" t="s">
        <v>8</v>
      </c>
      <c r="P3734" s="15" t="s">
        <v>8</v>
      </c>
      <c r="Q3734" s="15" t="s">
        <v>8</v>
      </c>
      <c r="S3734" s="15" t="s">
        <v>8</v>
      </c>
      <c r="T3734" s="15" t="s">
        <v>8</v>
      </c>
      <c r="V3734" s="20" t="str">
        <f>HYPERLINK("http://yeinfo.com/family/I09066133.html", "Mrs. {_?_} OTIS &lt;2&gt; 1375 EN-1399 EN ID:09066134")</f>
        <v>Mrs. {_?_} OTIS &lt;2&gt; 1375 EN-1399 EN ID:09066134</v>
      </c>
      <c r="W3734" s="17"/>
      <c r="X3734" s="17"/>
      <c r="Y3734" s="17"/>
      <c r="Z3734" s="17"/>
    </row>
    <row r="3735" spans="3:27" x14ac:dyDescent="0.35">
      <c r="C3735" s="15" t="s">
        <v>8</v>
      </c>
      <c r="D3735" s="15" t="s">
        <v>8</v>
      </c>
      <c r="E3735" s="15" t="s">
        <v>8</v>
      </c>
      <c r="F3735" s="15" t="s">
        <v>8</v>
      </c>
      <c r="H3735" s="15" t="s">
        <v>8</v>
      </c>
      <c r="I3735" s="15" t="s">
        <v>8</v>
      </c>
      <c r="J3735" s="15" t="s">
        <v>8</v>
      </c>
      <c r="N3735" s="15" t="s">
        <v>8</v>
      </c>
      <c r="O3735" s="15" t="s">
        <v>8</v>
      </c>
      <c r="P3735" s="15" t="s">
        <v>8</v>
      </c>
      <c r="Q3735" s="15" t="s">
        <v>8</v>
      </c>
      <c r="S3735" s="8" t="s">
        <v>6</v>
      </c>
      <c r="T3735" s="15" t="s">
        <v>8</v>
      </c>
    </row>
    <row r="3736" spans="3:27" x14ac:dyDescent="0.35">
      <c r="C3736" s="15" t="s">
        <v>8</v>
      </c>
      <c r="D3736" s="15" t="s">
        <v>8</v>
      </c>
      <c r="E3736" s="15" t="s">
        <v>8</v>
      </c>
      <c r="F3736" s="15" t="s">
        <v>8</v>
      </c>
      <c r="H3736" s="15" t="s">
        <v>8</v>
      </c>
      <c r="I3736" s="15" t="s">
        <v>8</v>
      </c>
      <c r="J3736" s="15" t="s">
        <v>8</v>
      </c>
      <c r="N3736" s="15" t="s">
        <v>8</v>
      </c>
      <c r="O3736" s="15" t="s">
        <v>8</v>
      </c>
      <c r="P3736" s="15" t="s">
        <v>8</v>
      </c>
      <c r="Q3736" s="15" t="s">
        <v>8</v>
      </c>
      <c r="S3736" s="20" t="str">
        <f>HYPERLINK("http://yeinfo.com/family/I09066024.html", "ISABEL FROWICKE 1464 EN-1492 EN ID:09065709")</f>
        <v>ISABEL FROWICKE 1464 EN-1492 EN ID:09065709</v>
      </c>
      <c r="T3736" s="17"/>
      <c r="U3736" s="17"/>
      <c r="V3736" s="17"/>
      <c r="W3736" s="17"/>
    </row>
    <row r="3737" spans="3:27" x14ac:dyDescent="0.35">
      <c r="C3737" s="15" t="s">
        <v>8</v>
      </c>
      <c r="D3737" s="15" t="s">
        <v>8</v>
      </c>
      <c r="E3737" s="15" t="s">
        <v>8</v>
      </c>
      <c r="F3737" s="15" t="s">
        <v>8</v>
      </c>
      <c r="H3737" s="15" t="s">
        <v>8</v>
      </c>
      <c r="I3737" s="15" t="s">
        <v>8</v>
      </c>
      <c r="J3737" s="15" t="s">
        <v>8</v>
      </c>
      <c r="N3737" s="15" t="s">
        <v>8</v>
      </c>
      <c r="O3737" s="15" t="s">
        <v>8</v>
      </c>
      <c r="P3737" s="15" t="s">
        <v>8</v>
      </c>
      <c r="Q3737" s="15" t="s">
        <v>8</v>
      </c>
      <c r="T3737" s="15" t="s">
        <v>8</v>
      </c>
    </row>
    <row r="3738" spans="3:27" x14ac:dyDescent="0.35">
      <c r="C3738" s="15" t="s">
        <v>8</v>
      </c>
      <c r="D3738" s="15" t="s">
        <v>8</v>
      </c>
      <c r="E3738" s="15" t="s">
        <v>8</v>
      </c>
      <c r="F3738" s="15" t="s">
        <v>8</v>
      </c>
      <c r="H3738" s="15" t="s">
        <v>8</v>
      </c>
      <c r="I3738" s="15" t="s">
        <v>8</v>
      </c>
      <c r="J3738" s="15" t="s">
        <v>8</v>
      </c>
      <c r="N3738" s="15" t="s">
        <v>8</v>
      </c>
      <c r="O3738" s="15" t="s">
        <v>8</v>
      </c>
      <c r="P3738" s="15" t="s">
        <v>8</v>
      </c>
      <c r="Q3738" s="15" t="s">
        <v>8</v>
      </c>
      <c r="T3738" s="15" t="s">
        <v>8</v>
      </c>
      <c r="V3738" s="19" t="str">
        <f>HYPERLINK("http://yeinfo.com/family/I09066025.html", "JOHN STOURTON 1361 EN-1405 EN ID:09066213")</f>
        <v>JOHN STOURTON 1361 EN-1405 EN ID:09066213</v>
      </c>
      <c r="W3738" s="9"/>
      <c r="X3738" s="9"/>
      <c r="Y3738" s="9"/>
      <c r="Z3738" s="9"/>
    </row>
    <row r="3739" spans="3:27" x14ac:dyDescent="0.35">
      <c r="C3739" s="15" t="s">
        <v>8</v>
      </c>
      <c r="D3739" s="15" t="s">
        <v>8</v>
      </c>
      <c r="E3739" s="15" t="s">
        <v>8</v>
      </c>
      <c r="F3739" s="15" t="s">
        <v>8</v>
      </c>
      <c r="H3739" s="15" t="s">
        <v>8</v>
      </c>
      <c r="I3739" s="15" t="s">
        <v>8</v>
      </c>
      <c r="J3739" s="15" t="s">
        <v>8</v>
      </c>
      <c r="N3739" s="15" t="s">
        <v>8</v>
      </c>
      <c r="O3739" s="15" t="s">
        <v>8</v>
      </c>
      <c r="P3739" s="15" t="s">
        <v>8</v>
      </c>
      <c r="Q3739" s="15" t="s">
        <v>8</v>
      </c>
      <c r="T3739" s="15" t="s">
        <v>8</v>
      </c>
      <c r="V3739" s="8" t="s">
        <v>3</v>
      </c>
    </row>
    <row r="3740" spans="3:27" x14ac:dyDescent="0.35">
      <c r="C3740" s="15" t="s">
        <v>8</v>
      </c>
      <c r="D3740" s="15" t="s">
        <v>8</v>
      </c>
      <c r="E3740" s="15" t="s">
        <v>8</v>
      </c>
      <c r="F3740" s="15" t="s">
        <v>8</v>
      </c>
      <c r="H3740" s="15" t="s">
        <v>8</v>
      </c>
      <c r="I3740" s="15" t="s">
        <v>8</v>
      </c>
      <c r="J3740" s="15" t="s">
        <v>8</v>
      </c>
      <c r="N3740" s="15" t="s">
        <v>8</v>
      </c>
      <c r="O3740" s="15" t="s">
        <v>8</v>
      </c>
      <c r="P3740" s="15" t="s">
        <v>8</v>
      </c>
      <c r="Q3740" s="15" t="s">
        <v>8</v>
      </c>
      <c r="T3740" s="15" t="s">
        <v>8</v>
      </c>
      <c r="U3740" s="19" t="str">
        <f>HYPERLINK("http://yeinfo.com/family/I09065848.html", "RICHARD STOURTON 1390 EN-1457 EN ID:09066025")</f>
        <v>RICHARD STOURTON 1390 EN-1457 EN ID:09066025</v>
      </c>
      <c r="V3740" s="9"/>
      <c r="W3740" s="9"/>
      <c r="X3740" s="9"/>
      <c r="Y3740" s="9"/>
    </row>
    <row r="3741" spans="3:27" x14ac:dyDescent="0.35">
      <c r="C3741" s="15" t="s">
        <v>8</v>
      </c>
      <c r="D3741" s="15" t="s">
        <v>8</v>
      </c>
      <c r="E3741" s="15" t="s">
        <v>8</v>
      </c>
      <c r="F3741" s="15" t="s">
        <v>8</v>
      </c>
      <c r="H3741" s="15" t="s">
        <v>8</v>
      </c>
      <c r="I3741" s="15" t="s">
        <v>8</v>
      </c>
      <c r="J3741" s="15" t="s">
        <v>8</v>
      </c>
      <c r="N3741" s="15" t="s">
        <v>8</v>
      </c>
      <c r="O3741" s="15" t="s">
        <v>8</v>
      </c>
      <c r="P3741" s="15" t="s">
        <v>8</v>
      </c>
      <c r="Q3741" s="15" t="s">
        <v>8</v>
      </c>
      <c r="T3741" s="15" t="s">
        <v>8</v>
      </c>
      <c r="U3741" s="8" t="s">
        <v>3</v>
      </c>
      <c r="V3741" s="15" t="s">
        <v>8</v>
      </c>
    </row>
    <row r="3742" spans="3:27" x14ac:dyDescent="0.35">
      <c r="C3742" s="15" t="s">
        <v>8</v>
      </c>
      <c r="D3742" s="15" t="s">
        <v>8</v>
      </c>
      <c r="E3742" s="15" t="s">
        <v>8</v>
      </c>
      <c r="F3742" s="15" t="s">
        <v>8</v>
      </c>
      <c r="H3742" s="15" t="s">
        <v>8</v>
      </c>
      <c r="I3742" s="15" t="s">
        <v>8</v>
      </c>
      <c r="J3742" s="15" t="s">
        <v>8</v>
      </c>
      <c r="N3742" s="15" t="s">
        <v>8</v>
      </c>
      <c r="O3742" s="15" t="s">
        <v>8</v>
      </c>
      <c r="P3742" s="15" t="s">
        <v>8</v>
      </c>
      <c r="Q3742" s="15" t="s">
        <v>8</v>
      </c>
      <c r="T3742" s="15" t="s">
        <v>8</v>
      </c>
      <c r="U3742" s="15" t="s">
        <v>8</v>
      </c>
      <c r="V3742" s="15" t="s">
        <v>8</v>
      </c>
      <c r="W3742" s="19" t="str">
        <f>HYPERLINK("http://yeinfo.com/family/I09066214.html", "RALPH BASSET 1335 EN-1390 EN ID:09066367")</f>
        <v>RALPH BASSET 1335 EN-1390 EN ID:09066367</v>
      </c>
      <c r="X3742" s="9"/>
      <c r="Y3742" s="9"/>
      <c r="Z3742" s="9"/>
      <c r="AA3742" s="9"/>
    </row>
    <row r="3743" spans="3:27" x14ac:dyDescent="0.35">
      <c r="C3743" s="15" t="s">
        <v>8</v>
      </c>
      <c r="D3743" s="15" t="s">
        <v>8</v>
      </c>
      <c r="E3743" s="15" t="s">
        <v>8</v>
      </c>
      <c r="F3743" s="15" t="s">
        <v>8</v>
      </c>
      <c r="H3743" s="15" t="s">
        <v>8</v>
      </c>
      <c r="I3743" s="15" t="s">
        <v>8</v>
      </c>
      <c r="J3743" s="15" t="s">
        <v>8</v>
      </c>
      <c r="N3743" s="15" t="s">
        <v>8</v>
      </c>
      <c r="O3743" s="15" t="s">
        <v>8</v>
      </c>
      <c r="P3743" s="15" t="s">
        <v>8</v>
      </c>
      <c r="Q3743" s="15" t="s">
        <v>8</v>
      </c>
      <c r="T3743" s="15" t="s">
        <v>8</v>
      </c>
      <c r="U3743" s="15" t="s">
        <v>8</v>
      </c>
      <c r="V3743" s="8" t="s">
        <v>6</v>
      </c>
      <c r="W3743" s="8" t="s">
        <v>3</v>
      </c>
    </row>
    <row r="3744" spans="3:27" x14ac:dyDescent="0.35">
      <c r="C3744" s="15" t="s">
        <v>8</v>
      </c>
      <c r="D3744" s="15" t="s">
        <v>8</v>
      </c>
      <c r="E3744" s="15" t="s">
        <v>8</v>
      </c>
      <c r="F3744" s="15" t="s">
        <v>8</v>
      </c>
      <c r="H3744" s="15" t="s">
        <v>8</v>
      </c>
      <c r="I3744" s="15" t="s">
        <v>8</v>
      </c>
      <c r="J3744" s="15" t="s">
        <v>8</v>
      </c>
      <c r="N3744" s="15" t="s">
        <v>8</v>
      </c>
      <c r="O3744" s="15" t="s">
        <v>8</v>
      </c>
      <c r="P3744" s="15" t="s">
        <v>8</v>
      </c>
      <c r="Q3744" s="15" t="s">
        <v>8</v>
      </c>
      <c r="T3744" s="15" t="s">
        <v>8</v>
      </c>
      <c r="U3744" s="15" t="s">
        <v>8</v>
      </c>
      <c r="V3744" s="20" t="str">
        <f>HYPERLINK("http://yeinfo.com/family/I09066213.html", "JANE BASSET 1368 EN-1394  ID:09066214")</f>
        <v>JANE BASSET 1368 EN-1394  ID:09066214</v>
      </c>
      <c r="W3744" s="17"/>
      <c r="X3744" s="17"/>
      <c r="Y3744" s="17"/>
      <c r="Z3744" s="17"/>
    </row>
    <row r="3745" spans="3:31" x14ac:dyDescent="0.35">
      <c r="C3745" s="15" t="s">
        <v>8</v>
      </c>
      <c r="D3745" s="15" t="s">
        <v>8</v>
      </c>
      <c r="E3745" s="15" t="s">
        <v>8</v>
      </c>
      <c r="F3745" s="15" t="s">
        <v>8</v>
      </c>
      <c r="H3745" s="15" t="s">
        <v>8</v>
      </c>
      <c r="I3745" s="15" t="s">
        <v>8</v>
      </c>
      <c r="J3745" s="15" t="s">
        <v>8</v>
      </c>
      <c r="N3745" s="15" t="s">
        <v>8</v>
      </c>
      <c r="O3745" s="15" t="s">
        <v>8</v>
      </c>
      <c r="P3745" s="15" t="s">
        <v>8</v>
      </c>
      <c r="Q3745" s="15" t="s">
        <v>8</v>
      </c>
      <c r="T3745" s="15" t="s">
        <v>8</v>
      </c>
      <c r="U3745" s="15" t="s">
        <v>8</v>
      </c>
      <c r="W3745" s="15" t="s">
        <v>8</v>
      </c>
    </row>
    <row r="3746" spans="3:31" x14ac:dyDescent="0.35">
      <c r="C3746" s="15" t="s">
        <v>8</v>
      </c>
      <c r="D3746" s="15" t="s">
        <v>8</v>
      </c>
      <c r="E3746" s="15" t="s">
        <v>8</v>
      </c>
      <c r="F3746" s="15" t="s">
        <v>8</v>
      </c>
      <c r="H3746" s="15" t="s">
        <v>8</v>
      </c>
      <c r="I3746" s="15" t="s">
        <v>8</v>
      </c>
      <c r="J3746" s="15" t="s">
        <v>8</v>
      </c>
      <c r="N3746" s="15" t="s">
        <v>8</v>
      </c>
      <c r="O3746" s="15" t="s">
        <v>8</v>
      </c>
      <c r="P3746" s="15" t="s">
        <v>8</v>
      </c>
      <c r="Q3746" s="15" t="s">
        <v>8</v>
      </c>
      <c r="T3746" s="15" t="s">
        <v>8</v>
      </c>
      <c r="U3746" s="15" t="s">
        <v>8</v>
      </c>
      <c r="W3746" s="15" t="s">
        <v>8</v>
      </c>
      <c r="AA3746" s="19" t="str">
        <f>HYPERLINK("http://yeinfo.com/family/I09066667.html", "WILLIAM BEAUCHAMP &lt;5&gt; 1215 EN-1268 EN ID:09066667")</f>
        <v>WILLIAM BEAUCHAMP &lt;5&gt; 1215 EN-1268 EN ID:09066667</v>
      </c>
      <c r="AB3746" s="9"/>
      <c r="AC3746" s="9"/>
      <c r="AD3746" s="9"/>
      <c r="AE3746" s="9"/>
    </row>
    <row r="3747" spans="3:31" x14ac:dyDescent="0.35">
      <c r="C3747" s="15" t="s">
        <v>8</v>
      </c>
      <c r="D3747" s="15" t="s">
        <v>8</v>
      </c>
      <c r="E3747" s="15" t="s">
        <v>8</v>
      </c>
      <c r="F3747" s="15" t="s">
        <v>8</v>
      </c>
      <c r="H3747" s="15" t="s">
        <v>8</v>
      </c>
      <c r="I3747" s="15" t="s">
        <v>8</v>
      </c>
      <c r="J3747" s="15" t="s">
        <v>8</v>
      </c>
      <c r="N3747" s="15" t="s">
        <v>8</v>
      </c>
      <c r="O3747" s="15" t="s">
        <v>8</v>
      </c>
      <c r="P3747" s="15" t="s">
        <v>8</v>
      </c>
      <c r="Q3747" s="15" t="s">
        <v>8</v>
      </c>
      <c r="T3747" s="15" t="s">
        <v>8</v>
      </c>
      <c r="U3747" s="15" t="s">
        <v>8</v>
      </c>
      <c r="W3747" s="15" t="s">
        <v>8</v>
      </c>
      <c r="AA3747" s="8" t="s">
        <v>3</v>
      </c>
    </row>
    <row r="3748" spans="3:31" x14ac:dyDescent="0.35">
      <c r="C3748" s="15" t="s">
        <v>8</v>
      </c>
      <c r="D3748" s="15" t="s">
        <v>8</v>
      </c>
      <c r="E3748" s="15" t="s">
        <v>8</v>
      </c>
      <c r="F3748" s="15" t="s">
        <v>8</v>
      </c>
      <c r="H3748" s="15" t="s">
        <v>8</v>
      </c>
      <c r="I3748" s="15" t="s">
        <v>8</v>
      </c>
      <c r="J3748" s="15" t="s">
        <v>8</v>
      </c>
      <c r="N3748" s="15" t="s">
        <v>8</v>
      </c>
      <c r="O3748" s="15" t="s">
        <v>8</v>
      </c>
      <c r="P3748" s="15" t="s">
        <v>8</v>
      </c>
      <c r="Q3748" s="15" t="s">
        <v>8</v>
      </c>
      <c r="T3748" s="15" t="s">
        <v>8</v>
      </c>
      <c r="U3748" s="15" t="s">
        <v>8</v>
      </c>
      <c r="W3748" s="15" t="s">
        <v>8</v>
      </c>
      <c r="Z3748" s="19" t="str">
        <f>HYPERLINK("http://yeinfo.com/family/I09066645.html", "WILLIAM BEAUCHAMP &lt;5&gt; 1237 EN-1262  ID:09066645")</f>
        <v>WILLIAM BEAUCHAMP &lt;5&gt; 1237 EN-1262  ID:09066645</v>
      </c>
      <c r="AA3748" s="9"/>
      <c r="AB3748" s="9"/>
      <c r="AC3748" s="9"/>
      <c r="AD3748" s="9"/>
    </row>
    <row r="3749" spans="3:31" x14ac:dyDescent="0.35">
      <c r="C3749" s="15" t="s">
        <v>8</v>
      </c>
      <c r="D3749" s="15" t="s">
        <v>8</v>
      </c>
      <c r="E3749" s="15" t="s">
        <v>8</v>
      </c>
      <c r="F3749" s="15" t="s">
        <v>8</v>
      </c>
      <c r="H3749" s="15" t="s">
        <v>8</v>
      </c>
      <c r="I3749" s="15" t="s">
        <v>8</v>
      </c>
      <c r="J3749" s="15" t="s">
        <v>8</v>
      </c>
      <c r="N3749" s="15" t="s">
        <v>8</v>
      </c>
      <c r="O3749" s="15" t="s">
        <v>8</v>
      </c>
      <c r="P3749" s="15" t="s">
        <v>8</v>
      </c>
      <c r="Q3749" s="15" t="s">
        <v>8</v>
      </c>
      <c r="T3749" s="15" t="s">
        <v>8</v>
      </c>
      <c r="U3749" s="15" t="s">
        <v>8</v>
      </c>
      <c r="W3749" s="15" t="s">
        <v>8</v>
      </c>
      <c r="Z3749" s="8" t="s">
        <v>3</v>
      </c>
      <c r="AA3749" s="8" t="s">
        <v>6</v>
      </c>
    </row>
    <row r="3750" spans="3:31" x14ac:dyDescent="0.35">
      <c r="C3750" s="15" t="s">
        <v>8</v>
      </c>
      <c r="D3750" s="15" t="s">
        <v>8</v>
      </c>
      <c r="E3750" s="15" t="s">
        <v>8</v>
      </c>
      <c r="F3750" s="15" t="s">
        <v>8</v>
      </c>
      <c r="H3750" s="15" t="s">
        <v>8</v>
      </c>
      <c r="I3750" s="15" t="s">
        <v>8</v>
      </c>
      <c r="J3750" s="15" t="s">
        <v>8</v>
      </c>
      <c r="N3750" s="15" t="s">
        <v>8</v>
      </c>
      <c r="O3750" s="15" t="s">
        <v>8</v>
      </c>
      <c r="P3750" s="15" t="s">
        <v>8</v>
      </c>
      <c r="Q3750" s="15" t="s">
        <v>8</v>
      </c>
      <c r="T3750" s="15" t="s">
        <v>8</v>
      </c>
      <c r="U3750" s="15" t="s">
        <v>8</v>
      </c>
      <c r="W3750" s="15" t="s">
        <v>8</v>
      </c>
      <c r="Z3750" s="15" t="s">
        <v>8</v>
      </c>
      <c r="AA3750" s="20" t="str">
        <f>HYPERLINK("http://yeinfo.com/family/I09066668.html", "ISABEL MAUDUIT &lt;5&gt; 1216 EN-1268 EN ID:09066668")</f>
        <v>ISABEL MAUDUIT &lt;5&gt; 1216 EN-1268 EN ID:09066668</v>
      </c>
      <c r="AB3750" s="17"/>
      <c r="AC3750" s="17"/>
      <c r="AD3750" s="17"/>
      <c r="AE3750" s="17"/>
    </row>
    <row r="3751" spans="3:31" x14ac:dyDescent="0.35">
      <c r="C3751" s="15" t="s">
        <v>8</v>
      </c>
      <c r="D3751" s="15" t="s">
        <v>8</v>
      </c>
      <c r="E3751" s="15" t="s">
        <v>8</v>
      </c>
      <c r="F3751" s="15" t="s">
        <v>8</v>
      </c>
      <c r="H3751" s="15" t="s">
        <v>8</v>
      </c>
      <c r="I3751" s="15" t="s">
        <v>8</v>
      </c>
      <c r="J3751" s="15" t="s">
        <v>8</v>
      </c>
      <c r="N3751" s="15" t="s">
        <v>8</v>
      </c>
      <c r="O3751" s="15" t="s">
        <v>8</v>
      </c>
      <c r="P3751" s="15" t="s">
        <v>8</v>
      </c>
      <c r="Q3751" s="15" t="s">
        <v>8</v>
      </c>
      <c r="T3751" s="15" t="s">
        <v>8</v>
      </c>
      <c r="U3751" s="15" t="s">
        <v>8</v>
      </c>
      <c r="W3751" s="15" t="s">
        <v>8</v>
      </c>
      <c r="Z3751" s="15" t="s">
        <v>8</v>
      </c>
    </row>
    <row r="3752" spans="3:31" x14ac:dyDescent="0.35">
      <c r="C3752" s="15" t="s">
        <v>8</v>
      </c>
      <c r="D3752" s="15" t="s">
        <v>8</v>
      </c>
      <c r="E3752" s="15" t="s">
        <v>8</v>
      </c>
      <c r="F3752" s="15" t="s">
        <v>8</v>
      </c>
      <c r="H3752" s="15" t="s">
        <v>8</v>
      </c>
      <c r="I3752" s="15" t="s">
        <v>8</v>
      </c>
      <c r="J3752" s="15" t="s">
        <v>8</v>
      </c>
      <c r="N3752" s="15" t="s">
        <v>8</v>
      </c>
      <c r="O3752" s="15" t="s">
        <v>8</v>
      </c>
      <c r="P3752" s="15" t="s">
        <v>8</v>
      </c>
      <c r="Q3752" s="15" t="s">
        <v>8</v>
      </c>
      <c r="T3752" s="15" t="s">
        <v>8</v>
      </c>
      <c r="U3752" s="15" t="s">
        <v>8</v>
      </c>
      <c r="W3752" s="15" t="s">
        <v>8</v>
      </c>
      <c r="Y3752" s="19" t="str">
        <f>HYPERLINK("http://yeinfo.com/family/I09066586.html", "GUY BEAUCHAMP &lt;5&gt; 1262 EN-1315 EN ID:09066586")</f>
        <v>GUY BEAUCHAMP &lt;5&gt; 1262 EN-1315 EN ID:09066586</v>
      </c>
      <c r="Z3752" s="9"/>
      <c r="AA3752" s="9"/>
      <c r="AB3752" s="9"/>
      <c r="AC3752" s="9"/>
    </row>
    <row r="3753" spans="3:31" x14ac:dyDescent="0.35">
      <c r="C3753" s="15" t="s">
        <v>8</v>
      </c>
      <c r="D3753" s="15" t="s">
        <v>8</v>
      </c>
      <c r="E3753" s="15" t="s">
        <v>8</v>
      </c>
      <c r="F3753" s="15" t="s">
        <v>8</v>
      </c>
      <c r="H3753" s="15" t="s">
        <v>8</v>
      </c>
      <c r="I3753" s="15" t="s">
        <v>8</v>
      </c>
      <c r="J3753" s="15" t="s">
        <v>8</v>
      </c>
      <c r="N3753" s="15" t="s">
        <v>8</v>
      </c>
      <c r="O3753" s="15" t="s">
        <v>8</v>
      </c>
      <c r="P3753" s="15" t="s">
        <v>8</v>
      </c>
      <c r="Q3753" s="15" t="s">
        <v>8</v>
      </c>
      <c r="T3753" s="15" t="s">
        <v>8</v>
      </c>
      <c r="U3753" s="15" t="s">
        <v>8</v>
      </c>
      <c r="W3753" s="15" t="s">
        <v>8</v>
      </c>
      <c r="Y3753" s="8" t="s">
        <v>3</v>
      </c>
      <c r="Z3753" s="8" t="s">
        <v>6</v>
      </c>
    </row>
    <row r="3754" spans="3:31" x14ac:dyDescent="0.35">
      <c r="C3754" s="15" t="s">
        <v>8</v>
      </c>
      <c r="D3754" s="15" t="s">
        <v>8</v>
      </c>
      <c r="E3754" s="15" t="s">
        <v>8</v>
      </c>
      <c r="F3754" s="15" t="s">
        <v>8</v>
      </c>
      <c r="H3754" s="15" t="s">
        <v>8</v>
      </c>
      <c r="I3754" s="15" t="s">
        <v>8</v>
      </c>
      <c r="J3754" s="15" t="s">
        <v>8</v>
      </c>
      <c r="N3754" s="15" t="s">
        <v>8</v>
      </c>
      <c r="O3754" s="15" t="s">
        <v>8</v>
      </c>
      <c r="P3754" s="15" t="s">
        <v>8</v>
      </c>
      <c r="Q3754" s="15" t="s">
        <v>8</v>
      </c>
      <c r="T3754" s="15" t="s">
        <v>8</v>
      </c>
      <c r="U3754" s="15" t="s">
        <v>8</v>
      </c>
      <c r="W3754" s="15" t="s">
        <v>8</v>
      </c>
      <c r="Y3754" s="15" t="s">
        <v>8</v>
      </c>
      <c r="Z3754" s="20" t="str">
        <f>HYPERLINK("http://yeinfo.com/family/I09066646.html", "MAUD FITZJOHN &lt;5&gt; 1237 EN-1301 EN ID:09066646")</f>
        <v>MAUD FITZJOHN &lt;5&gt; 1237 EN-1301 EN ID:09066646</v>
      </c>
      <c r="AA3754" s="17"/>
      <c r="AB3754" s="17"/>
      <c r="AC3754" s="17"/>
      <c r="AD3754" s="17"/>
    </row>
    <row r="3755" spans="3:31" x14ac:dyDescent="0.35">
      <c r="C3755" s="15" t="s">
        <v>8</v>
      </c>
      <c r="D3755" s="15" t="s">
        <v>8</v>
      </c>
      <c r="E3755" s="15" t="s">
        <v>8</v>
      </c>
      <c r="F3755" s="15" t="s">
        <v>8</v>
      </c>
      <c r="H3755" s="15" t="s">
        <v>8</v>
      </c>
      <c r="I3755" s="15" t="s">
        <v>8</v>
      </c>
      <c r="J3755" s="15" t="s">
        <v>8</v>
      </c>
      <c r="N3755" s="15" t="s">
        <v>8</v>
      </c>
      <c r="O3755" s="15" t="s">
        <v>8</v>
      </c>
      <c r="P3755" s="15" t="s">
        <v>8</v>
      </c>
      <c r="Q3755" s="15" t="s">
        <v>8</v>
      </c>
      <c r="T3755" s="15" t="s">
        <v>8</v>
      </c>
      <c r="U3755" s="15" t="s">
        <v>8</v>
      </c>
      <c r="W3755" s="15" t="s">
        <v>8</v>
      </c>
      <c r="Y3755" s="15" t="s">
        <v>8</v>
      </c>
    </row>
    <row r="3756" spans="3:31" x14ac:dyDescent="0.35">
      <c r="C3756" s="15" t="s">
        <v>8</v>
      </c>
      <c r="D3756" s="15" t="s">
        <v>8</v>
      </c>
      <c r="E3756" s="15" t="s">
        <v>8</v>
      </c>
      <c r="F3756" s="15" t="s">
        <v>8</v>
      </c>
      <c r="H3756" s="15" t="s">
        <v>8</v>
      </c>
      <c r="I3756" s="15" t="s">
        <v>8</v>
      </c>
      <c r="J3756" s="15" t="s">
        <v>8</v>
      </c>
      <c r="N3756" s="15" t="s">
        <v>8</v>
      </c>
      <c r="O3756" s="15" t="s">
        <v>8</v>
      </c>
      <c r="P3756" s="15" t="s">
        <v>8</v>
      </c>
      <c r="Q3756" s="15" t="s">
        <v>8</v>
      </c>
      <c r="T3756" s="15" t="s">
        <v>8</v>
      </c>
      <c r="U3756" s="15" t="s">
        <v>8</v>
      </c>
      <c r="W3756" s="15" t="s">
        <v>8</v>
      </c>
      <c r="X3756" s="19" t="str">
        <f>HYPERLINK("http://yeinfo.com/family/I09066534.html", "THOMAS BEAUCHAMP &lt;5&gt; 1313 EN-1369  ID:09066534")</f>
        <v>THOMAS BEAUCHAMP &lt;5&gt; 1313 EN-1369  ID:09066534</v>
      </c>
      <c r="Y3756" s="9"/>
      <c r="Z3756" s="9"/>
      <c r="AA3756" s="9"/>
      <c r="AB3756" s="9"/>
    </row>
    <row r="3757" spans="3:31" x14ac:dyDescent="0.35">
      <c r="C3757" s="15" t="s">
        <v>8</v>
      </c>
      <c r="D3757" s="15" t="s">
        <v>8</v>
      </c>
      <c r="E3757" s="15" t="s">
        <v>8</v>
      </c>
      <c r="F3757" s="15" t="s">
        <v>8</v>
      </c>
      <c r="H3757" s="15" t="s">
        <v>8</v>
      </c>
      <c r="I3757" s="15" t="s">
        <v>8</v>
      </c>
      <c r="J3757" s="15" t="s">
        <v>8</v>
      </c>
      <c r="N3757" s="15" t="s">
        <v>8</v>
      </c>
      <c r="O3757" s="15" t="s">
        <v>8</v>
      </c>
      <c r="P3757" s="15" t="s">
        <v>8</v>
      </c>
      <c r="Q3757" s="15" t="s">
        <v>8</v>
      </c>
      <c r="T3757" s="15" t="s">
        <v>8</v>
      </c>
      <c r="U3757" s="15" t="s">
        <v>8</v>
      </c>
      <c r="W3757" s="15" t="s">
        <v>8</v>
      </c>
      <c r="X3757" s="8" t="s">
        <v>3</v>
      </c>
      <c r="Y3757" s="15" t="s">
        <v>8</v>
      </c>
    </row>
    <row r="3758" spans="3:31" x14ac:dyDescent="0.35">
      <c r="C3758" s="15" t="s">
        <v>8</v>
      </c>
      <c r="D3758" s="15" t="s">
        <v>8</v>
      </c>
      <c r="E3758" s="15" t="s">
        <v>8</v>
      </c>
      <c r="F3758" s="15" t="s">
        <v>8</v>
      </c>
      <c r="H3758" s="15" t="s">
        <v>8</v>
      </c>
      <c r="I3758" s="15" t="s">
        <v>8</v>
      </c>
      <c r="J3758" s="15" t="s">
        <v>8</v>
      </c>
      <c r="N3758" s="15" t="s">
        <v>8</v>
      </c>
      <c r="O3758" s="15" t="s">
        <v>8</v>
      </c>
      <c r="P3758" s="15" t="s">
        <v>8</v>
      </c>
      <c r="Q3758" s="15" t="s">
        <v>8</v>
      </c>
      <c r="T3758" s="15" t="s">
        <v>8</v>
      </c>
      <c r="U3758" s="15" t="s">
        <v>8</v>
      </c>
      <c r="W3758" s="15" t="s">
        <v>8</v>
      </c>
      <c r="X3758" s="15" t="s">
        <v>8</v>
      </c>
      <c r="Y3758" s="15" t="s">
        <v>8</v>
      </c>
      <c r="AA3758" s="19" t="str">
        <f>HYPERLINK("http://yeinfo.com/family/I09066669.html", "ROGER TOENI &lt;5&gt; 1235 EN-1255 EN ID:09066669")</f>
        <v>ROGER TOENI &lt;5&gt; 1235 EN-1255 EN ID:09066669</v>
      </c>
      <c r="AB3758" s="9"/>
      <c r="AC3758" s="9"/>
      <c r="AD3758" s="9"/>
      <c r="AE3758" s="9"/>
    </row>
    <row r="3759" spans="3:31" x14ac:dyDescent="0.35">
      <c r="C3759" s="15" t="s">
        <v>8</v>
      </c>
      <c r="D3759" s="15" t="s">
        <v>8</v>
      </c>
      <c r="E3759" s="15" t="s">
        <v>8</v>
      </c>
      <c r="F3759" s="15" t="s">
        <v>8</v>
      </c>
      <c r="H3759" s="15" t="s">
        <v>8</v>
      </c>
      <c r="I3759" s="15" t="s">
        <v>8</v>
      </c>
      <c r="J3759" s="15" t="s">
        <v>8</v>
      </c>
      <c r="N3759" s="15" t="s">
        <v>8</v>
      </c>
      <c r="O3759" s="15" t="s">
        <v>8</v>
      </c>
      <c r="P3759" s="15" t="s">
        <v>8</v>
      </c>
      <c r="Q3759" s="15" t="s">
        <v>8</v>
      </c>
      <c r="T3759" s="15" t="s">
        <v>8</v>
      </c>
      <c r="U3759" s="15" t="s">
        <v>8</v>
      </c>
      <c r="W3759" s="15" t="s">
        <v>8</v>
      </c>
      <c r="X3759" s="15" t="s">
        <v>8</v>
      </c>
      <c r="Y3759" s="15" t="s">
        <v>8</v>
      </c>
      <c r="AA3759" s="8" t="s">
        <v>3</v>
      </c>
    </row>
    <row r="3760" spans="3:31" x14ac:dyDescent="0.35">
      <c r="C3760" s="15" t="s">
        <v>8</v>
      </c>
      <c r="D3760" s="15" t="s">
        <v>8</v>
      </c>
      <c r="E3760" s="15" t="s">
        <v>8</v>
      </c>
      <c r="F3760" s="15" t="s">
        <v>8</v>
      </c>
      <c r="H3760" s="15" t="s">
        <v>8</v>
      </c>
      <c r="I3760" s="15" t="s">
        <v>8</v>
      </c>
      <c r="J3760" s="15" t="s">
        <v>8</v>
      </c>
      <c r="N3760" s="15" t="s">
        <v>8</v>
      </c>
      <c r="O3760" s="15" t="s">
        <v>8</v>
      </c>
      <c r="P3760" s="15" t="s">
        <v>8</v>
      </c>
      <c r="Q3760" s="15" t="s">
        <v>8</v>
      </c>
      <c r="T3760" s="15" t="s">
        <v>8</v>
      </c>
      <c r="U3760" s="15" t="s">
        <v>8</v>
      </c>
      <c r="W3760" s="15" t="s">
        <v>8</v>
      </c>
      <c r="X3760" s="15" t="s">
        <v>8</v>
      </c>
      <c r="Y3760" s="15" t="s">
        <v>8</v>
      </c>
      <c r="Z3760" s="19" t="str">
        <f>HYPERLINK("http://yeinfo.com/family/I09066647.html", "RALPH\RAOUI TOENI &lt;5&gt; 1253 EN-1295 FR ID:09066647")</f>
        <v>RALPH\RAOUI TOENI &lt;5&gt; 1253 EN-1295 FR ID:09066647</v>
      </c>
      <c r="AA3760" s="9"/>
      <c r="AB3760" s="9"/>
      <c r="AC3760" s="9"/>
      <c r="AD3760" s="9"/>
      <c r="AE3760" s="9"/>
    </row>
    <row r="3761" spans="3:34" x14ac:dyDescent="0.35">
      <c r="C3761" s="15" t="s">
        <v>8</v>
      </c>
      <c r="D3761" s="15" t="s">
        <v>8</v>
      </c>
      <c r="E3761" s="15" t="s">
        <v>8</v>
      </c>
      <c r="F3761" s="15" t="s">
        <v>8</v>
      </c>
      <c r="H3761" s="15" t="s">
        <v>8</v>
      </c>
      <c r="I3761" s="15" t="s">
        <v>8</v>
      </c>
      <c r="J3761" s="15" t="s">
        <v>8</v>
      </c>
      <c r="N3761" s="15" t="s">
        <v>8</v>
      </c>
      <c r="O3761" s="15" t="s">
        <v>8</v>
      </c>
      <c r="P3761" s="15" t="s">
        <v>8</v>
      </c>
      <c r="Q3761" s="15" t="s">
        <v>8</v>
      </c>
      <c r="T3761" s="15" t="s">
        <v>8</v>
      </c>
      <c r="U3761" s="15" t="s">
        <v>8</v>
      </c>
      <c r="W3761" s="15" t="s">
        <v>8</v>
      </c>
      <c r="X3761" s="15" t="s">
        <v>8</v>
      </c>
      <c r="Y3761" s="15" t="s">
        <v>8</v>
      </c>
      <c r="Z3761" s="8" t="s">
        <v>3</v>
      </c>
      <c r="AA3761" s="15" t="s">
        <v>8</v>
      </c>
    </row>
    <row r="3762" spans="3:34" x14ac:dyDescent="0.35">
      <c r="C3762" s="15" t="s">
        <v>8</v>
      </c>
      <c r="D3762" s="15" t="s">
        <v>8</v>
      </c>
      <c r="E3762" s="15" t="s">
        <v>8</v>
      </c>
      <c r="F3762" s="15" t="s">
        <v>8</v>
      </c>
      <c r="H3762" s="15" t="s">
        <v>8</v>
      </c>
      <c r="I3762" s="15" t="s">
        <v>8</v>
      </c>
      <c r="J3762" s="15" t="s">
        <v>8</v>
      </c>
      <c r="N3762" s="15" t="s">
        <v>8</v>
      </c>
      <c r="O3762" s="15" t="s">
        <v>8</v>
      </c>
      <c r="P3762" s="15" t="s">
        <v>8</v>
      </c>
      <c r="Q3762" s="15" t="s">
        <v>8</v>
      </c>
      <c r="T3762" s="15" t="s">
        <v>8</v>
      </c>
      <c r="U3762" s="15" t="s">
        <v>8</v>
      </c>
      <c r="W3762" s="15" t="s">
        <v>8</v>
      </c>
      <c r="X3762" s="15" t="s">
        <v>8</v>
      </c>
      <c r="Y3762" s="15" t="s">
        <v>8</v>
      </c>
      <c r="Z3762" s="15" t="s">
        <v>8</v>
      </c>
      <c r="AA3762" s="15" t="s">
        <v>8</v>
      </c>
      <c r="AD3762" s="19" t="str">
        <f>HYPERLINK("http://yeinfo.com/family/I09066676.html", "FRANCIS BOHUN &lt;5&gt; 1165 EN-1185 EN ID:09066676")</f>
        <v>FRANCIS BOHUN &lt;5&gt; 1165 EN-1185 EN ID:09066676</v>
      </c>
      <c r="AE3762" s="9"/>
      <c r="AF3762" s="9"/>
      <c r="AG3762" s="9"/>
      <c r="AH3762" s="9"/>
    </row>
    <row r="3763" spans="3:34" x14ac:dyDescent="0.35">
      <c r="C3763" s="15" t="s">
        <v>8</v>
      </c>
      <c r="D3763" s="15" t="s">
        <v>8</v>
      </c>
      <c r="E3763" s="15" t="s">
        <v>8</v>
      </c>
      <c r="F3763" s="15" t="s">
        <v>8</v>
      </c>
      <c r="H3763" s="15" t="s">
        <v>8</v>
      </c>
      <c r="I3763" s="15" t="s">
        <v>8</v>
      </c>
      <c r="J3763" s="15" t="s">
        <v>8</v>
      </c>
      <c r="N3763" s="15" t="s">
        <v>8</v>
      </c>
      <c r="O3763" s="15" t="s">
        <v>8</v>
      </c>
      <c r="P3763" s="15" t="s">
        <v>8</v>
      </c>
      <c r="Q3763" s="15" t="s">
        <v>8</v>
      </c>
      <c r="T3763" s="15" t="s">
        <v>8</v>
      </c>
      <c r="U3763" s="15" t="s">
        <v>8</v>
      </c>
      <c r="W3763" s="15" t="s">
        <v>8</v>
      </c>
      <c r="X3763" s="15" t="s">
        <v>8</v>
      </c>
      <c r="Y3763" s="15" t="s">
        <v>8</v>
      </c>
      <c r="Z3763" s="15" t="s">
        <v>8</v>
      </c>
      <c r="AA3763" s="15" t="s">
        <v>8</v>
      </c>
      <c r="AD3763" s="8" t="s">
        <v>3</v>
      </c>
    </row>
    <row r="3764" spans="3:34" x14ac:dyDescent="0.35">
      <c r="C3764" s="15" t="s">
        <v>8</v>
      </c>
      <c r="D3764" s="15" t="s">
        <v>8</v>
      </c>
      <c r="E3764" s="15" t="s">
        <v>8</v>
      </c>
      <c r="F3764" s="15" t="s">
        <v>8</v>
      </c>
      <c r="H3764" s="15" t="s">
        <v>8</v>
      </c>
      <c r="I3764" s="15" t="s">
        <v>8</v>
      </c>
      <c r="J3764" s="15" t="s">
        <v>8</v>
      </c>
      <c r="N3764" s="15" t="s">
        <v>8</v>
      </c>
      <c r="O3764" s="15" t="s">
        <v>8</v>
      </c>
      <c r="P3764" s="15" t="s">
        <v>8</v>
      </c>
      <c r="Q3764" s="15" t="s">
        <v>8</v>
      </c>
      <c r="T3764" s="15" t="s">
        <v>8</v>
      </c>
      <c r="U3764" s="15" t="s">
        <v>8</v>
      </c>
      <c r="W3764" s="15" t="s">
        <v>8</v>
      </c>
      <c r="X3764" s="15" t="s">
        <v>8</v>
      </c>
      <c r="Y3764" s="15" t="s">
        <v>8</v>
      </c>
      <c r="Z3764" s="15" t="s">
        <v>8</v>
      </c>
      <c r="AA3764" s="15" t="s">
        <v>8</v>
      </c>
      <c r="AC3764" s="19" t="str">
        <f>HYPERLINK("http://yeinfo.com/family/I09066674.html", "JAMES BOHUN &lt;5&gt; 1185 EN-1208 EN ID:09066674")</f>
        <v>JAMES BOHUN &lt;5&gt; 1185 EN-1208 EN ID:09066674</v>
      </c>
      <c r="AD3764" s="9"/>
      <c r="AE3764" s="9"/>
      <c r="AF3764" s="9"/>
      <c r="AG3764" s="9"/>
    </row>
    <row r="3765" spans="3:34" x14ac:dyDescent="0.35">
      <c r="C3765" s="15" t="s">
        <v>8</v>
      </c>
      <c r="D3765" s="15" t="s">
        <v>8</v>
      </c>
      <c r="E3765" s="15" t="s">
        <v>8</v>
      </c>
      <c r="F3765" s="15" t="s">
        <v>8</v>
      </c>
      <c r="H3765" s="15" t="s">
        <v>8</v>
      </c>
      <c r="I3765" s="15" t="s">
        <v>8</v>
      </c>
      <c r="J3765" s="15" t="s">
        <v>8</v>
      </c>
      <c r="N3765" s="15" t="s">
        <v>8</v>
      </c>
      <c r="O3765" s="15" t="s">
        <v>8</v>
      </c>
      <c r="P3765" s="15" t="s">
        <v>8</v>
      </c>
      <c r="Q3765" s="15" t="s">
        <v>8</v>
      </c>
      <c r="T3765" s="15" t="s">
        <v>8</v>
      </c>
      <c r="U3765" s="15" t="s">
        <v>8</v>
      </c>
      <c r="W3765" s="15" t="s">
        <v>8</v>
      </c>
      <c r="X3765" s="15" t="s">
        <v>8</v>
      </c>
      <c r="Y3765" s="15" t="s">
        <v>8</v>
      </c>
      <c r="Z3765" s="15" t="s">
        <v>8</v>
      </c>
      <c r="AA3765" s="15" t="s">
        <v>8</v>
      </c>
      <c r="AC3765" s="8" t="s">
        <v>3</v>
      </c>
      <c r="AD3765" s="8" t="s">
        <v>6</v>
      </c>
    </row>
    <row r="3766" spans="3:34" x14ac:dyDescent="0.35">
      <c r="C3766" s="15" t="s">
        <v>8</v>
      </c>
      <c r="D3766" s="15" t="s">
        <v>8</v>
      </c>
      <c r="E3766" s="15" t="s">
        <v>8</v>
      </c>
      <c r="F3766" s="15" t="s">
        <v>8</v>
      </c>
      <c r="H3766" s="15" t="s">
        <v>8</v>
      </c>
      <c r="I3766" s="15" t="s">
        <v>8</v>
      </c>
      <c r="J3766" s="15" t="s">
        <v>8</v>
      </c>
      <c r="N3766" s="15" t="s">
        <v>8</v>
      </c>
      <c r="O3766" s="15" t="s">
        <v>8</v>
      </c>
      <c r="P3766" s="15" t="s">
        <v>8</v>
      </c>
      <c r="Q3766" s="15" t="s">
        <v>8</v>
      </c>
      <c r="T3766" s="15" t="s">
        <v>8</v>
      </c>
      <c r="U3766" s="15" t="s">
        <v>8</v>
      </c>
      <c r="W3766" s="15" t="s">
        <v>8</v>
      </c>
      <c r="X3766" s="15" t="s">
        <v>8</v>
      </c>
      <c r="Y3766" s="15" t="s">
        <v>8</v>
      </c>
      <c r="Z3766" s="15" t="s">
        <v>8</v>
      </c>
      <c r="AA3766" s="15" t="s">
        <v>8</v>
      </c>
      <c r="AC3766" s="15" t="s">
        <v>8</v>
      </c>
      <c r="AD3766" s="20" t="str">
        <f>HYPERLINK("http://yeinfo.com/family/I09066677.html", "MARGERY LACY &lt;5&gt; 1165 -1185 EN ID:09066677")</f>
        <v>MARGERY LACY &lt;5&gt; 1165 -1185 EN ID:09066677</v>
      </c>
      <c r="AE3766" s="17"/>
      <c r="AF3766" s="17"/>
      <c r="AG3766" s="17"/>
      <c r="AH3766" s="17"/>
    </row>
    <row r="3767" spans="3:34" x14ac:dyDescent="0.35">
      <c r="C3767" s="15" t="s">
        <v>8</v>
      </c>
      <c r="D3767" s="15" t="s">
        <v>8</v>
      </c>
      <c r="E3767" s="15" t="s">
        <v>8</v>
      </c>
      <c r="F3767" s="15" t="s">
        <v>8</v>
      </c>
      <c r="H3767" s="15" t="s">
        <v>8</v>
      </c>
      <c r="I3767" s="15" t="s">
        <v>8</v>
      </c>
      <c r="J3767" s="15" t="s">
        <v>8</v>
      </c>
      <c r="N3767" s="15" t="s">
        <v>8</v>
      </c>
      <c r="O3767" s="15" t="s">
        <v>8</v>
      </c>
      <c r="P3767" s="15" t="s">
        <v>8</v>
      </c>
      <c r="Q3767" s="15" t="s">
        <v>8</v>
      </c>
      <c r="T3767" s="15" t="s">
        <v>8</v>
      </c>
      <c r="U3767" s="15" t="s">
        <v>8</v>
      </c>
      <c r="W3767" s="15" t="s">
        <v>8</v>
      </c>
      <c r="X3767" s="15" t="s">
        <v>8</v>
      </c>
      <c r="Y3767" s="15" t="s">
        <v>8</v>
      </c>
      <c r="Z3767" s="15" t="s">
        <v>8</v>
      </c>
      <c r="AA3767" s="15" t="s">
        <v>8</v>
      </c>
      <c r="AC3767" s="15" t="s">
        <v>8</v>
      </c>
    </row>
    <row r="3768" spans="3:34" x14ac:dyDescent="0.35">
      <c r="C3768" s="15" t="s">
        <v>8</v>
      </c>
      <c r="D3768" s="15" t="s">
        <v>8</v>
      </c>
      <c r="E3768" s="15" t="s">
        <v>8</v>
      </c>
      <c r="F3768" s="15" t="s">
        <v>8</v>
      </c>
      <c r="H3768" s="15" t="s">
        <v>8</v>
      </c>
      <c r="I3768" s="15" t="s">
        <v>8</v>
      </c>
      <c r="J3768" s="15" t="s">
        <v>8</v>
      </c>
      <c r="N3768" s="15" t="s">
        <v>8</v>
      </c>
      <c r="O3768" s="15" t="s">
        <v>8</v>
      </c>
      <c r="P3768" s="15" t="s">
        <v>8</v>
      </c>
      <c r="Q3768" s="15" t="s">
        <v>8</v>
      </c>
      <c r="T3768" s="15" t="s">
        <v>8</v>
      </c>
      <c r="U3768" s="15" t="s">
        <v>8</v>
      </c>
      <c r="W3768" s="15" t="s">
        <v>8</v>
      </c>
      <c r="X3768" s="15" t="s">
        <v>8</v>
      </c>
      <c r="Y3768" s="15" t="s">
        <v>8</v>
      </c>
      <c r="Z3768" s="15" t="s">
        <v>8</v>
      </c>
      <c r="AA3768" s="15" t="s">
        <v>8</v>
      </c>
      <c r="AB3768" s="19" t="str">
        <f>HYPERLINK("http://yeinfo.com/family/I09066672.html", "HUMPHREY BOHUN &lt;5&gt; 1208 EN-1275 EN ID:09066672")</f>
        <v>HUMPHREY BOHUN &lt;5&gt; 1208 EN-1275 EN ID:09066672</v>
      </c>
      <c r="AC3768" s="9"/>
      <c r="AD3768" s="9"/>
      <c r="AE3768" s="9"/>
      <c r="AF3768" s="9"/>
    </row>
    <row r="3769" spans="3:34" x14ac:dyDescent="0.35">
      <c r="C3769" s="15" t="s">
        <v>8</v>
      </c>
      <c r="D3769" s="15" t="s">
        <v>8</v>
      </c>
      <c r="E3769" s="15" t="s">
        <v>8</v>
      </c>
      <c r="F3769" s="15" t="s">
        <v>8</v>
      </c>
      <c r="H3769" s="15" t="s">
        <v>8</v>
      </c>
      <c r="I3769" s="15" t="s">
        <v>8</v>
      </c>
      <c r="J3769" s="15" t="s">
        <v>8</v>
      </c>
      <c r="N3769" s="15" t="s">
        <v>8</v>
      </c>
      <c r="O3769" s="15" t="s">
        <v>8</v>
      </c>
      <c r="P3769" s="15" t="s">
        <v>8</v>
      </c>
      <c r="Q3769" s="15" t="s">
        <v>8</v>
      </c>
      <c r="T3769" s="15" t="s">
        <v>8</v>
      </c>
      <c r="U3769" s="15" t="s">
        <v>8</v>
      </c>
      <c r="W3769" s="15" t="s">
        <v>8</v>
      </c>
      <c r="X3769" s="15" t="s">
        <v>8</v>
      </c>
      <c r="Y3769" s="15" t="s">
        <v>8</v>
      </c>
      <c r="Z3769" s="15" t="s">
        <v>8</v>
      </c>
      <c r="AA3769" s="15" t="s">
        <v>8</v>
      </c>
      <c r="AB3769" s="8" t="s">
        <v>3</v>
      </c>
      <c r="AC3769" s="8" t="s">
        <v>6</v>
      </c>
    </row>
    <row r="3770" spans="3:34" x14ac:dyDescent="0.35">
      <c r="C3770" s="15" t="s">
        <v>8</v>
      </c>
      <c r="D3770" s="15" t="s">
        <v>8</v>
      </c>
      <c r="E3770" s="15" t="s">
        <v>8</v>
      </c>
      <c r="F3770" s="15" t="s">
        <v>8</v>
      </c>
      <c r="H3770" s="15" t="s">
        <v>8</v>
      </c>
      <c r="I3770" s="15" t="s">
        <v>8</v>
      </c>
      <c r="J3770" s="15" t="s">
        <v>8</v>
      </c>
      <c r="N3770" s="15" t="s">
        <v>8</v>
      </c>
      <c r="O3770" s="15" t="s">
        <v>8</v>
      </c>
      <c r="P3770" s="15" t="s">
        <v>8</v>
      </c>
      <c r="Q3770" s="15" t="s">
        <v>8</v>
      </c>
      <c r="T3770" s="15" t="s">
        <v>8</v>
      </c>
      <c r="U3770" s="15" t="s">
        <v>8</v>
      </c>
      <c r="W3770" s="15" t="s">
        <v>8</v>
      </c>
      <c r="X3770" s="15" t="s">
        <v>8</v>
      </c>
      <c r="Y3770" s="15" t="s">
        <v>8</v>
      </c>
      <c r="Z3770" s="15" t="s">
        <v>8</v>
      </c>
      <c r="AA3770" s="15" t="s">
        <v>8</v>
      </c>
      <c r="AB3770" s="15" t="s">
        <v>8</v>
      </c>
      <c r="AC3770" s="20" t="str">
        <f>HYPERLINK("http://yeinfo.com/family/I09066675.html", "Mrs. {_?_} BOHUN &lt;5&gt; 1185 -1208 EN ID:09066675")</f>
        <v>Mrs. {_?_} BOHUN &lt;5&gt; 1185 -1208 EN ID:09066675</v>
      </c>
      <c r="AD3770" s="17"/>
      <c r="AE3770" s="17"/>
      <c r="AF3770" s="17"/>
      <c r="AG3770" s="17"/>
    </row>
    <row r="3771" spans="3:34" x14ac:dyDescent="0.35">
      <c r="C3771" s="15" t="s">
        <v>8</v>
      </c>
      <c r="D3771" s="15" t="s">
        <v>8</v>
      </c>
      <c r="E3771" s="15" t="s">
        <v>8</v>
      </c>
      <c r="F3771" s="15" t="s">
        <v>8</v>
      </c>
      <c r="H3771" s="15" t="s">
        <v>8</v>
      </c>
      <c r="I3771" s="15" t="s">
        <v>8</v>
      </c>
      <c r="J3771" s="15" t="s">
        <v>8</v>
      </c>
      <c r="N3771" s="15" t="s">
        <v>8</v>
      </c>
      <c r="O3771" s="15" t="s">
        <v>8</v>
      </c>
      <c r="P3771" s="15" t="s">
        <v>8</v>
      </c>
      <c r="Q3771" s="15" t="s">
        <v>8</v>
      </c>
      <c r="T3771" s="15" t="s">
        <v>8</v>
      </c>
      <c r="U3771" s="15" t="s">
        <v>8</v>
      </c>
      <c r="W3771" s="15" t="s">
        <v>8</v>
      </c>
      <c r="X3771" s="15" t="s">
        <v>8</v>
      </c>
      <c r="Y3771" s="15" t="s">
        <v>8</v>
      </c>
      <c r="Z3771" s="15" t="s">
        <v>8</v>
      </c>
      <c r="AA3771" s="8" t="s">
        <v>6</v>
      </c>
      <c r="AB3771" s="15" t="s">
        <v>8</v>
      </c>
    </row>
    <row r="3772" spans="3:34" x14ac:dyDescent="0.35">
      <c r="C3772" s="15" t="s">
        <v>8</v>
      </c>
      <c r="D3772" s="15" t="s">
        <v>8</v>
      </c>
      <c r="E3772" s="15" t="s">
        <v>8</v>
      </c>
      <c r="F3772" s="15" t="s">
        <v>8</v>
      </c>
      <c r="H3772" s="15" t="s">
        <v>8</v>
      </c>
      <c r="I3772" s="15" t="s">
        <v>8</v>
      </c>
      <c r="J3772" s="15" t="s">
        <v>8</v>
      </c>
      <c r="N3772" s="15" t="s">
        <v>8</v>
      </c>
      <c r="O3772" s="15" t="s">
        <v>8</v>
      </c>
      <c r="P3772" s="15" t="s">
        <v>8</v>
      </c>
      <c r="Q3772" s="15" t="s">
        <v>8</v>
      </c>
      <c r="T3772" s="15" t="s">
        <v>8</v>
      </c>
      <c r="U3772" s="15" t="s">
        <v>8</v>
      </c>
      <c r="W3772" s="15" t="s">
        <v>8</v>
      </c>
      <c r="X3772" s="15" t="s">
        <v>8</v>
      </c>
      <c r="Y3772" s="15" t="s">
        <v>8</v>
      </c>
      <c r="Z3772" s="15" t="s">
        <v>8</v>
      </c>
      <c r="AA3772" s="20" t="str">
        <f>HYPERLINK("http://yeinfo.com/family/I09066670.html", "ALICE\CECILIA BOHUN &lt;5&gt; 1242 EN-1262  ID:09066670")</f>
        <v>ALICE\CECILIA BOHUN &lt;5&gt; 1242 EN-1262  ID:09066670</v>
      </c>
      <c r="AB3772" s="17"/>
      <c r="AC3772" s="17"/>
      <c r="AD3772" s="17"/>
      <c r="AE3772" s="17"/>
      <c r="AF3772" s="17"/>
    </row>
    <row r="3773" spans="3:34" x14ac:dyDescent="0.35">
      <c r="C3773" s="15" t="s">
        <v>8</v>
      </c>
      <c r="D3773" s="15" t="s">
        <v>8</v>
      </c>
      <c r="E3773" s="15" t="s">
        <v>8</v>
      </c>
      <c r="F3773" s="15" t="s">
        <v>8</v>
      </c>
      <c r="H3773" s="15" t="s">
        <v>8</v>
      </c>
      <c r="I3773" s="15" t="s">
        <v>8</v>
      </c>
      <c r="J3773" s="15" t="s">
        <v>8</v>
      </c>
      <c r="N3773" s="15" t="s">
        <v>8</v>
      </c>
      <c r="O3773" s="15" t="s">
        <v>8</v>
      </c>
      <c r="P3773" s="15" t="s">
        <v>8</v>
      </c>
      <c r="Q3773" s="15" t="s">
        <v>8</v>
      </c>
      <c r="T3773" s="15" t="s">
        <v>8</v>
      </c>
      <c r="U3773" s="15" t="s">
        <v>8</v>
      </c>
      <c r="W3773" s="15" t="s">
        <v>8</v>
      </c>
      <c r="X3773" s="15" t="s">
        <v>8</v>
      </c>
      <c r="Y3773" s="15" t="s">
        <v>8</v>
      </c>
      <c r="Z3773" s="15" t="s">
        <v>8</v>
      </c>
      <c r="AB3773" s="8" t="s">
        <v>6</v>
      </c>
    </row>
    <row r="3774" spans="3:34" x14ac:dyDescent="0.35">
      <c r="C3774" s="15" t="s">
        <v>8</v>
      </c>
      <c r="D3774" s="15" t="s">
        <v>8</v>
      </c>
      <c r="E3774" s="15" t="s">
        <v>8</v>
      </c>
      <c r="F3774" s="15" t="s">
        <v>8</v>
      </c>
      <c r="H3774" s="15" t="s">
        <v>8</v>
      </c>
      <c r="I3774" s="15" t="s">
        <v>8</v>
      </c>
      <c r="J3774" s="15" t="s">
        <v>8</v>
      </c>
      <c r="N3774" s="15" t="s">
        <v>8</v>
      </c>
      <c r="O3774" s="15" t="s">
        <v>8</v>
      </c>
      <c r="P3774" s="15" t="s">
        <v>8</v>
      </c>
      <c r="Q3774" s="15" t="s">
        <v>8</v>
      </c>
      <c r="T3774" s="15" t="s">
        <v>8</v>
      </c>
      <c r="U3774" s="15" t="s">
        <v>8</v>
      </c>
      <c r="W3774" s="15" t="s">
        <v>8</v>
      </c>
      <c r="X3774" s="15" t="s">
        <v>8</v>
      </c>
      <c r="Y3774" s="15" t="s">
        <v>8</v>
      </c>
      <c r="Z3774" s="15" t="s">
        <v>8</v>
      </c>
      <c r="AB3774" s="20" t="str">
        <f>HYPERLINK("http://yeinfo.com/family/I09066673.html", "MAUD LUSIGNAN &lt;5&gt; 1220 -1242 EN ID:09066673")</f>
        <v>MAUD LUSIGNAN &lt;5&gt; 1220 -1242 EN ID:09066673</v>
      </c>
      <c r="AC3774" s="17"/>
      <c r="AD3774" s="17"/>
      <c r="AE3774" s="17"/>
      <c r="AF3774" s="17"/>
    </row>
    <row r="3775" spans="3:34" x14ac:dyDescent="0.35">
      <c r="C3775" s="15" t="s">
        <v>8</v>
      </c>
      <c r="D3775" s="15" t="s">
        <v>8</v>
      </c>
      <c r="E3775" s="15" t="s">
        <v>8</v>
      </c>
      <c r="F3775" s="15" t="s">
        <v>8</v>
      </c>
      <c r="H3775" s="15" t="s">
        <v>8</v>
      </c>
      <c r="I3775" s="15" t="s">
        <v>8</v>
      </c>
      <c r="J3775" s="15" t="s">
        <v>8</v>
      </c>
      <c r="N3775" s="15" t="s">
        <v>8</v>
      </c>
      <c r="O3775" s="15" t="s">
        <v>8</v>
      </c>
      <c r="P3775" s="15" t="s">
        <v>8</v>
      </c>
      <c r="Q3775" s="15" t="s">
        <v>8</v>
      </c>
      <c r="T3775" s="15" t="s">
        <v>8</v>
      </c>
      <c r="U3775" s="15" t="s">
        <v>8</v>
      </c>
      <c r="W3775" s="15" t="s">
        <v>8</v>
      </c>
      <c r="X3775" s="15" t="s">
        <v>8</v>
      </c>
      <c r="Y3775" s="8" t="s">
        <v>6</v>
      </c>
      <c r="Z3775" s="15" t="s">
        <v>8</v>
      </c>
    </row>
    <row r="3776" spans="3:34" x14ac:dyDescent="0.35">
      <c r="C3776" s="15" t="s">
        <v>8</v>
      </c>
      <c r="D3776" s="15" t="s">
        <v>8</v>
      </c>
      <c r="E3776" s="15" t="s">
        <v>8</v>
      </c>
      <c r="F3776" s="15" t="s">
        <v>8</v>
      </c>
      <c r="H3776" s="15" t="s">
        <v>8</v>
      </c>
      <c r="I3776" s="15" t="s">
        <v>8</v>
      </c>
      <c r="J3776" s="15" t="s">
        <v>8</v>
      </c>
      <c r="N3776" s="15" t="s">
        <v>8</v>
      </c>
      <c r="O3776" s="15" t="s">
        <v>8</v>
      </c>
      <c r="P3776" s="15" t="s">
        <v>8</v>
      </c>
      <c r="Q3776" s="15" t="s">
        <v>8</v>
      </c>
      <c r="T3776" s="15" t="s">
        <v>8</v>
      </c>
      <c r="U3776" s="15" t="s">
        <v>8</v>
      </c>
      <c r="W3776" s="15" t="s">
        <v>8</v>
      </c>
      <c r="X3776" s="15" t="s">
        <v>8</v>
      </c>
      <c r="Y3776" s="20" t="str">
        <f>HYPERLINK("http://yeinfo.com/family/I09066587.html", "ALICE TOENI &lt;5&gt; 1284 EN-1313 EN ID:09066587")</f>
        <v>ALICE TOENI &lt;5&gt; 1284 EN-1313 EN ID:09066587</v>
      </c>
      <c r="Z3776" s="17"/>
      <c r="AA3776" s="17"/>
      <c r="AB3776" s="17"/>
      <c r="AC3776" s="17"/>
    </row>
    <row r="3777" spans="3:30" x14ac:dyDescent="0.35">
      <c r="C3777" s="15" t="s">
        <v>8</v>
      </c>
      <c r="D3777" s="15" t="s">
        <v>8</v>
      </c>
      <c r="E3777" s="15" t="s">
        <v>8</v>
      </c>
      <c r="F3777" s="15" t="s">
        <v>8</v>
      </c>
      <c r="H3777" s="15" t="s">
        <v>8</v>
      </c>
      <c r="I3777" s="15" t="s">
        <v>8</v>
      </c>
      <c r="J3777" s="15" t="s">
        <v>8</v>
      </c>
      <c r="N3777" s="15" t="s">
        <v>8</v>
      </c>
      <c r="O3777" s="15" t="s">
        <v>8</v>
      </c>
      <c r="P3777" s="15" t="s">
        <v>8</v>
      </c>
      <c r="Q3777" s="15" t="s">
        <v>8</v>
      </c>
      <c r="T3777" s="15" t="s">
        <v>8</v>
      </c>
      <c r="U3777" s="15" t="s">
        <v>8</v>
      </c>
      <c r="W3777" s="15" t="s">
        <v>8</v>
      </c>
      <c r="X3777" s="15" t="s">
        <v>8</v>
      </c>
      <c r="Z3777" s="8" t="s">
        <v>6</v>
      </c>
    </row>
    <row r="3778" spans="3:30" x14ac:dyDescent="0.35">
      <c r="C3778" s="15" t="s">
        <v>8</v>
      </c>
      <c r="D3778" s="15" t="s">
        <v>8</v>
      </c>
      <c r="E3778" s="15" t="s">
        <v>8</v>
      </c>
      <c r="F3778" s="15" t="s">
        <v>8</v>
      </c>
      <c r="H3778" s="15" t="s">
        <v>8</v>
      </c>
      <c r="I3778" s="15" t="s">
        <v>8</v>
      </c>
      <c r="J3778" s="15" t="s">
        <v>8</v>
      </c>
      <c r="N3778" s="15" t="s">
        <v>8</v>
      </c>
      <c r="O3778" s="15" t="s">
        <v>8</v>
      </c>
      <c r="P3778" s="15" t="s">
        <v>8</v>
      </c>
      <c r="Q3778" s="15" t="s">
        <v>8</v>
      </c>
      <c r="T3778" s="15" t="s">
        <v>8</v>
      </c>
      <c r="U3778" s="15" t="s">
        <v>8</v>
      </c>
      <c r="W3778" s="15" t="s">
        <v>8</v>
      </c>
      <c r="X3778" s="15" t="s">
        <v>8</v>
      </c>
      <c r="Z3778" s="20" t="str">
        <f>HYPERLINK("http://yeinfo.com/family/I09066648.html", "MARY CLARISSA BRUCE &lt;5&gt; 1255 EN-1284 EN ID:09066648")</f>
        <v>MARY CLARISSA BRUCE &lt;5&gt; 1255 EN-1284 EN ID:09066648</v>
      </c>
      <c r="AA3778" s="17"/>
      <c r="AB3778" s="17"/>
      <c r="AC3778" s="17"/>
      <c r="AD3778" s="17"/>
    </row>
    <row r="3779" spans="3:30" x14ac:dyDescent="0.35">
      <c r="C3779" s="15" t="s">
        <v>8</v>
      </c>
      <c r="D3779" s="15" t="s">
        <v>8</v>
      </c>
      <c r="E3779" s="15" t="s">
        <v>8</v>
      </c>
      <c r="F3779" s="15" t="s">
        <v>8</v>
      </c>
      <c r="H3779" s="15" t="s">
        <v>8</v>
      </c>
      <c r="I3779" s="15" t="s">
        <v>8</v>
      </c>
      <c r="J3779" s="15" t="s">
        <v>8</v>
      </c>
      <c r="N3779" s="15" t="s">
        <v>8</v>
      </c>
      <c r="O3779" s="15" t="s">
        <v>8</v>
      </c>
      <c r="P3779" s="15" t="s">
        <v>8</v>
      </c>
      <c r="Q3779" s="15" t="s">
        <v>8</v>
      </c>
      <c r="T3779" s="15" t="s">
        <v>8</v>
      </c>
      <c r="U3779" s="15" t="s">
        <v>8</v>
      </c>
      <c r="W3779" s="8" t="s">
        <v>6</v>
      </c>
      <c r="X3779" s="15" t="s">
        <v>8</v>
      </c>
    </row>
    <row r="3780" spans="3:30" x14ac:dyDescent="0.35">
      <c r="C3780" s="15" t="s">
        <v>8</v>
      </c>
      <c r="D3780" s="15" t="s">
        <v>8</v>
      </c>
      <c r="E3780" s="15" t="s">
        <v>8</v>
      </c>
      <c r="F3780" s="15" t="s">
        <v>8</v>
      </c>
      <c r="H3780" s="15" t="s">
        <v>8</v>
      </c>
      <c r="I3780" s="15" t="s">
        <v>8</v>
      </c>
      <c r="J3780" s="15" t="s">
        <v>8</v>
      </c>
      <c r="N3780" s="15" t="s">
        <v>8</v>
      </c>
      <c r="O3780" s="15" t="s">
        <v>8</v>
      </c>
      <c r="P3780" s="15" t="s">
        <v>8</v>
      </c>
      <c r="Q3780" s="15" t="s">
        <v>8</v>
      </c>
      <c r="T3780" s="15" t="s">
        <v>8</v>
      </c>
      <c r="U3780" s="15" t="s">
        <v>8</v>
      </c>
      <c r="W3780" s="20" t="str">
        <f>HYPERLINK("http://yeinfo.com/family/I09066367.html", "JOAN BEAUCHAMP 1338 EN-1392 EN ID:09066368")</f>
        <v>JOAN BEAUCHAMP 1338 EN-1392 EN ID:09066368</v>
      </c>
      <c r="X3780" s="17"/>
      <c r="Y3780" s="17"/>
      <c r="Z3780" s="17"/>
      <c r="AA3780" s="17"/>
    </row>
    <row r="3781" spans="3:30" x14ac:dyDescent="0.35">
      <c r="C3781" s="15" t="s">
        <v>8</v>
      </c>
      <c r="D3781" s="15" t="s">
        <v>8</v>
      </c>
      <c r="E3781" s="15" t="s">
        <v>8</v>
      </c>
      <c r="F3781" s="15" t="s">
        <v>8</v>
      </c>
      <c r="H3781" s="15" t="s">
        <v>8</v>
      </c>
      <c r="I3781" s="15" t="s">
        <v>8</v>
      </c>
      <c r="J3781" s="15" t="s">
        <v>8</v>
      </c>
      <c r="N3781" s="15" t="s">
        <v>8</v>
      </c>
      <c r="O3781" s="15" t="s">
        <v>8</v>
      </c>
      <c r="P3781" s="15" t="s">
        <v>8</v>
      </c>
      <c r="Q3781" s="15" t="s">
        <v>8</v>
      </c>
      <c r="T3781" s="15" t="s">
        <v>8</v>
      </c>
      <c r="U3781" s="15" t="s">
        <v>8</v>
      </c>
      <c r="X3781" s="15" t="s">
        <v>8</v>
      </c>
    </row>
    <row r="3782" spans="3:30" x14ac:dyDescent="0.35">
      <c r="C3782" s="15" t="s">
        <v>8</v>
      </c>
      <c r="D3782" s="15" t="s">
        <v>8</v>
      </c>
      <c r="E3782" s="15" t="s">
        <v>8</v>
      </c>
      <c r="F3782" s="15" t="s">
        <v>8</v>
      </c>
      <c r="H3782" s="15" t="s">
        <v>8</v>
      </c>
      <c r="I3782" s="15" t="s">
        <v>8</v>
      </c>
      <c r="J3782" s="15" t="s">
        <v>8</v>
      </c>
      <c r="N3782" s="15" t="s">
        <v>8</v>
      </c>
      <c r="O3782" s="15" t="s">
        <v>8</v>
      </c>
      <c r="P3782" s="15" t="s">
        <v>8</v>
      </c>
      <c r="Q3782" s="15" t="s">
        <v>8</v>
      </c>
      <c r="T3782" s="15" t="s">
        <v>8</v>
      </c>
      <c r="U3782" s="15" t="s">
        <v>8</v>
      </c>
      <c r="X3782" s="15" t="s">
        <v>8</v>
      </c>
      <c r="Z3782" s="19" t="str">
        <f>HYPERLINK("http://yeinfo.com/family/I09066649.html", "EDMUND MORTIMER &lt;5&gt; 1252 EN-1287 EN ID:09066649")</f>
        <v>EDMUND MORTIMER &lt;5&gt; 1252 EN-1287 EN ID:09066649</v>
      </c>
      <c r="AA3782" s="9"/>
      <c r="AB3782" s="9"/>
      <c r="AC3782" s="9"/>
      <c r="AD3782" s="9"/>
    </row>
    <row r="3783" spans="3:30" x14ac:dyDescent="0.35">
      <c r="C3783" s="15" t="s">
        <v>8</v>
      </c>
      <c r="D3783" s="15" t="s">
        <v>8</v>
      </c>
      <c r="E3783" s="15" t="s">
        <v>8</v>
      </c>
      <c r="F3783" s="15" t="s">
        <v>8</v>
      </c>
      <c r="H3783" s="15" t="s">
        <v>8</v>
      </c>
      <c r="I3783" s="15" t="s">
        <v>8</v>
      </c>
      <c r="J3783" s="15" t="s">
        <v>8</v>
      </c>
      <c r="N3783" s="15" t="s">
        <v>8</v>
      </c>
      <c r="O3783" s="15" t="s">
        <v>8</v>
      </c>
      <c r="P3783" s="15" t="s">
        <v>8</v>
      </c>
      <c r="Q3783" s="15" t="s">
        <v>8</v>
      </c>
      <c r="T3783" s="15" t="s">
        <v>8</v>
      </c>
      <c r="U3783" s="15" t="s">
        <v>8</v>
      </c>
      <c r="X3783" s="15" t="s">
        <v>8</v>
      </c>
      <c r="Z3783" s="8" t="s">
        <v>3</v>
      </c>
    </row>
    <row r="3784" spans="3:30" x14ac:dyDescent="0.35">
      <c r="C3784" s="15" t="s">
        <v>8</v>
      </c>
      <c r="D3784" s="15" t="s">
        <v>8</v>
      </c>
      <c r="E3784" s="15" t="s">
        <v>8</v>
      </c>
      <c r="F3784" s="15" t="s">
        <v>8</v>
      </c>
      <c r="H3784" s="15" t="s">
        <v>8</v>
      </c>
      <c r="I3784" s="15" t="s">
        <v>8</v>
      </c>
      <c r="J3784" s="15" t="s">
        <v>8</v>
      </c>
      <c r="N3784" s="15" t="s">
        <v>8</v>
      </c>
      <c r="O3784" s="15" t="s">
        <v>8</v>
      </c>
      <c r="P3784" s="15" t="s">
        <v>8</v>
      </c>
      <c r="Q3784" s="15" t="s">
        <v>8</v>
      </c>
      <c r="T3784" s="15" t="s">
        <v>8</v>
      </c>
      <c r="U3784" s="15" t="s">
        <v>8</v>
      </c>
      <c r="X3784" s="15" t="s">
        <v>8</v>
      </c>
      <c r="Y3784" s="19" t="str">
        <f>HYPERLINK("http://yeinfo.com/family/I09066588.html", "ROGER MORTIMER &lt;5&gt; 1287 EN-1330 EN ID:09066588")</f>
        <v>ROGER MORTIMER &lt;5&gt; 1287 EN-1330 EN ID:09066588</v>
      </c>
      <c r="Z3784" s="9"/>
      <c r="AA3784" s="9"/>
      <c r="AB3784" s="9"/>
      <c r="AC3784" s="9"/>
    </row>
    <row r="3785" spans="3:30" x14ac:dyDescent="0.35">
      <c r="C3785" s="15" t="s">
        <v>8</v>
      </c>
      <c r="D3785" s="15" t="s">
        <v>8</v>
      </c>
      <c r="E3785" s="15" t="s">
        <v>8</v>
      </c>
      <c r="F3785" s="15" t="s">
        <v>8</v>
      </c>
      <c r="H3785" s="15" t="s">
        <v>8</v>
      </c>
      <c r="I3785" s="15" t="s">
        <v>8</v>
      </c>
      <c r="J3785" s="15" t="s">
        <v>8</v>
      </c>
      <c r="N3785" s="15" t="s">
        <v>8</v>
      </c>
      <c r="O3785" s="15" t="s">
        <v>8</v>
      </c>
      <c r="P3785" s="15" t="s">
        <v>8</v>
      </c>
      <c r="Q3785" s="15" t="s">
        <v>8</v>
      </c>
      <c r="T3785" s="15" t="s">
        <v>8</v>
      </c>
      <c r="U3785" s="15" t="s">
        <v>8</v>
      </c>
      <c r="X3785" s="15" t="s">
        <v>8</v>
      </c>
      <c r="Y3785" s="8" t="s">
        <v>3</v>
      </c>
      <c r="Z3785" s="8" t="s">
        <v>6</v>
      </c>
    </row>
    <row r="3786" spans="3:30" x14ac:dyDescent="0.35">
      <c r="C3786" s="15" t="s">
        <v>8</v>
      </c>
      <c r="D3786" s="15" t="s">
        <v>8</v>
      </c>
      <c r="E3786" s="15" t="s">
        <v>8</v>
      </c>
      <c r="F3786" s="15" t="s">
        <v>8</v>
      </c>
      <c r="H3786" s="15" t="s">
        <v>8</v>
      </c>
      <c r="I3786" s="15" t="s">
        <v>8</v>
      </c>
      <c r="J3786" s="15" t="s">
        <v>8</v>
      </c>
      <c r="N3786" s="15" t="s">
        <v>8</v>
      </c>
      <c r="O3786" s="15" t="s">
        <v>8</v>
      </c>
      <c r="P3786" s="15" t="s">
        <v>8</v>
      </c>
      <c r="Q3786" s="15" t="s">
        <v>8</v>
      </c>
      <c r="T3786" s="15" t="s">
        <v>8</v>
      </c>
      <c r="U3786" s="15" t="s">
        <v>8</v>
      </c>
      <c r="X3786" s="15" t="s">
        <v>8</v>
      </c>
      <c r="Y3786" s="15" t="s">
        <v>8</v>
      </c>
      <c r="Z3786" s="20" t="str">
        <f>HYPERLINK("http://yeinfo.com/family/I09066650.html", "MARGARET FIENNES &lt;5&gt; 1262 EN-1334 EN ID:09066650")</f>
        <v>MARGARET FIENNES &lt;5&gt; 1262 EN-1334 EN ID:09066650</v>
      </c>
      <c r="AA3786" s="17"/>
      <c r="AB3786" s="17"/>
      <c r="AC3786" s="17"/>
      <c r="AD3786" s="17"/>
    </row>
    <row r="3787" spans="3:30" x14ac:dyDescent="0.35">
      <c r="C3787" s="15" t="s">
        <v>8</v>
      </c>
      <c r="D3787" s="15" t="s">
        <v>8</v>
      </c>
      <c r="E3787" s="15" t="s">
        <v>8</v>
      </c>
      <c r="F3787" s="15" t="s">
        <v>8</v>
      </c>
      <c r="H3787" s="15" t="s">
        <v>8</v>
      </c>
      <c r="I3787" s="15" t="s">
        <v>8</v>
      </c>
      <c r="J3787" s="15" t="s">
        <v>8</v>
      </c>
      <c r="N3787" s="15" t="s">
        <v>8</v>
      </c>
      <c r="O3787" s="15" t="s">
        <v>8</v>
      </c>
      <c r="P3787" s="15" t="s">
        <v>8</v>
      </c>
      <c r="Q3787" s="15" t="s">
        <v>8</v>
      </c>
      <c r="T3787" s="15" t="s">
        <v>8</v>
      </c>
      <c r="U3787" s="15" t="s">
        <v>8</v>
      </c>
      <c r="X3787" s="8" t="s">
        <v>6</v>
      </c>
      <c r="Y3787" s="15" t="s">
        <v>8</v>
      </c>
    </row>
    <row r="3788" spans="3:30" x14ac:dyDescent="0.35">
      <c r="C3788" s="15" t="s">
        <v>8</v>
      </c>
      <c r="D3788" s="15" t="s">
        <v>8</v>
      </c>
      <c r="E3788" s="15" t="s">
        <v>8</v>
      </c>
      <c r="F3788" s="15" t="s">
        <v>8</v>
      </c>
      <c r="H3788" s="15" t="s">
        <v>8</v>
      </c>
      <c r="I3788" s="15" t="s">
        <v>8</v>
      </c>
      <c r="J3788" s="15" t="s">
        <v>8</v>
      </c>
      <c r="N3788" s="15" t="s">
        <v>8</v>
      </c>
      <c r="O3788" s="15" t="s">
        <v>8</v>
      </c>
      <c r="P3788" s="15" t="s">
        <v>8</v>
      </c>
      <c r="Q3788" s="15" t="s">
        <v>8</v>
      </c>
      <c r="T3788" s="15" t="s">
        <v>8</v>
      </c>
      <c r="U3788" s="15" t="s">
        <v>8</v>
      </c>
      <c r="X3788" s="20" t="str">
        <f>HYPERLINK("http://yeinfo.com/family/I09066535.html", "KATHERINE MORTIMER &lt;5&gt; 1314 EN-1369  ID:09066535")</f>
        <v>KATHERINE MORTIMER &lt;5&gt; 1314 EN-1369  ID:09066535</v>
      </c>
      <c r="Y3788" s="17"/>
      <c r="Z3788" s="17"/>
      <c r="AA3788" s="17"/>
      <c r="AB3788" s="17"/>
    </row>
    <row r="3789" spans="3:30" x14ac:dyDescent="0.35">
      <c r="C3789" s="15" t="s">
        <v>8</v>
      </c>
      <c r="D3789" s="15" t="s">
        <v>8</v>
      </c>
      <c r="E3789" s="15" t="s">
        <v>8</v>
      </c>
      <c r="F3789" s="15" t="s">
        <v>8</v>
      </c>
      <c r="H3789" s="15" t="s">
        <v>8</v>
      </c>
      <c r="I3789" s="15" t="s">
        <v>8</v>
      </c>
      <c r="J3789" s="15" t="s">
        <v>8</v>
      </c>
      <c r="N3789" s="15" t="s">
        <v>8</v>
      </c>
      <c r="O3789" s="15" t="s">
        <v>8</v>
      </c>
      <c r="P3789" s="15" t="s">
        <v>8</v>
      </c>
      <c r="Q3789" s="15" t="s">
        <v>8</v>
      </c>
      <c r="T3789" s="15" t="s">
        <v>8</v>
      </c>
      <c r="U3789" s="15" t="s">
        <v>8</v>
      </c>
      <c r="Y3789" s="15" t="s">
        <v>8</v>
      </c>
    </row>
    <row r="3790" spans="3:30" x14ac:dyDescent="0.35">
      <c r="C3790" s="15" t="s">
        <v>8</v>
      </c>
      <c r="D3790" s="15" t="s">
        <v>8</v>
      </c>
      <c r="E3790" s="15" t="s">
        <v>8</v>
      </c>
      <c r="F3790" s="15" t="s">
        <v>8</v>
      </c>
      <c r="H3790" s="15" t="s">
        <v>8</v>
      </c>
      <c r="I3790" s="15" t="s">
        <v>8</v>
      </c>
      <c r="J3790" s="15" t="s">
        <v>8</v>
      </c>
      <c r="N3790" s="15" t="s">
        <v>8</v>
      </c>
      <c r="O3790" s="15" t="s">
        <v>8</v>
      </c>
      <c r="P3790" s="15" t="s">
        <v>8</v>
      </c>
      <c r="Q3790" s="15" t="s">
        <v>8</v>
      </c>
      <c r="T3790" s="15" t="s">
        <v>8</v>
      </c>
      <c r="U3790" s="15" t="s">
        <v>8</v>
      </c>
      <c r="Y3790" s="15" t="s">
        <v>8</v>
      </c>
      <c r="Z3790" s="19" t="str">
        <f>HYPERLINK("http://yeinfo.com/family/I09066651.html", "PIERS GENEVILLE &lt;5&gt; 1256 IR-1292 FR ID:09066651")</f>
        <v>PIERS GENEVILLE &lt;5&gt; 1256 IR-1292 FR ID:09066651</v>
      </c>
      <c r="AA3790" s="9"/>
      <c r="AB3790" s="9"/>
      <c r="AC3790" s="9"/>
      <c r="AD3790" s="9"/>
    </row>
    <row r="3791" spans="3:30" x14ac:dyDescent="0.35">
      <c r="C3791" s="15" t="s">
        <v>8</v>
      </c>
      <c r="D3791" s="15" t="s">
        <v>8</v>
      </c>
      <c r="E3791" s="15" t="s">
        <v>8</v>
      </c>
      <c r="F3791" s="15" t="s">
        <v>8</v>
      </c>
      <c r="H3791" s="15" t="s">
        <v>8</v>
      </c>
      <c r="I3791" s="15" t="s">
        <v>8</v>
      </c>
      <c r="J3791" s="15" t="s">
        <v>8</v>
      </c>
      <c r="N3791" s="15" t="s">
        <v>8</v>
      </c>
      <c r="O3791" s="15" t="s">
        <v>8</v>
      </c>
      <c r="P3791" s="15" t="s">
        <v>8</v>
      </c>
      <c r="Q3791" s="15" t="s">
        <v>8</v>
      </c>
      <c r="T3791" s="15" t="s">
        <v>8</v>
      </c>
      <c r="U3791" s="15" t="s">
        <v>8</v>
      </c>
      <c r="Y3791" s="8" t="s">
        <v>6</v>
      </c>
      <c r="Z3791" s="8" t="s">
        <v>3</v>
      </c>
    </row>
    <row r="3792" spans="3:30" x14ac:dyDescent="0.35">
      <c r="C3792" s="15" t="s">
        <v>8</v>
      </c>
      <c r="D3792" s="15" t="s">
        <v>8</v>
      </c>
      <c r="E3792" s="15" t="s">
        <v>8</v>
      </c>
      <c r="F3792" s="15" t="s">
        <v>8</v>
      </c>
      <c r="H3792" s="15" t="s">
        <v>8</v>
      </c>
      <c r="I3792" s="15" t="s">
        <v>8</v>
      </c>
      <c r="J3792" s="15" t="s">
        <v>8</v>
      </c>
      <c r="N3792" s="15" t="s">
        <v>8</v>
      </c>
      <c r="O3792" s="15" t="s">
        <v>8</v>
      </c>
      <c r="P3792" s="15" t="s">
        <v>8</v>
      </c>
      <c r="Q3792" s="15" t="s">
        <v>8</v>
      </c>
      <c r="T3792" s="15" t="s">
        <v>8</v>
      </c>
      <c r="U3792" s="15" t="s">
        <v>8</v>
      </c>
      <c r="Y3792" s="20" t="str">
        <f>HYPERLINK("http://yeinfo.com/family/I09066589.html", "JOAN GENEVILLE &lt;5&gt; 1286 EN-1325 EN ID:09066589")</f>
        <v>JOAN GENEVILLE &lt;5&gt; 1286 EN-1325 EN ID:09066589</v>
      </c>
      <c r="Z3792" s="17"/>
      <c r="AA3792" s="17"/>
      <c r="AB3792" s="17"/>
      <c r="AC3792" s="17"/>
    </row>
    <row r="3793" spans="3:31" x14ac:dyDescent="0.35">
      <c r="C3793" s="15" t="s">
        <v>8</v>
      </c>
      <c r="D3793" s="15" t="s">
        <v>8</v>
      </c>
      <c r="E3793" s="15" t="s">
        <v>8</v>
      </c>
      <c r="F3793" s="15" t="s">
        <v>8</v>
      </c>
      <c r="H3793" s="15" t="s">
        <v>8</v>
      </c>
      <c r="I3793" s="15" t="s">
        <v>8</v>
      </c>
      <c r="J3793" s="15" t="s">
        <v>8</v>
      </c>
      <c r="N3793" s="15" t="s">
        <v>8</v>
      </c>
      <c r="O3793" s="15" t="s">
        <v>8</v>
      </c>
      <c r="P3793" s="15" t="s">
        <v>8</v>
      </c>
      <c r="Q3793" s="15" t="s">
        <v>8</v>
      </c>
      <c r="T3793" s="15" t="s">
        <v>8</v>
      </c>
      <c r="U3793" s="15" t="s">
        <v>8</v>
      </c>
      <c r="Z3793" s="8" t="s">
        <v>6</v>
      </c>
    </row>
    <row r="3794" spans="3:31" x14ac:dyDescent="0.35">
      <c r="C3794" s="15" t="s">
        <v>8</v>
      </c>
      <c r="D3794" s="15" t="s">
        <v>8</v>
      </c>
      <c r="E3794" s="15" t="s">
        <v>8</v>
      </c>
      <c r="F3794" s="15" t="s">
        <v>8</v>
      </c>
      <c r="H3794" s="15" t="s">
        <v>8</v>
      </c>
      <c r="I3794" s="15" t="s">
        <v>8</v>
      </c>
      <c r="J3794" s="15" t="s">
        <v>8</v>
      </c>
      <c r="N3794" s="15" t="s">
        <v>8</v>
      </c>
      <c r="O3794" s="15" t="s">
        <v>8</v>
      </c>
      <c r="P3794" s="15" t="s">
        <v>8</v>
      </c>
      <c r="Q3794" s="15" t="s">
        <v>8</v>
      </c>
      <c r="T3794" s="15" t="s">
        <v>8</v>
      </c>
      <c r="U3794" s="15" t="s">
        <v>8</v>
      </c>
      <c r="Z3794" s="20" t="str">
        <f>HYPERLINK("http://yeinfo.com/family/I09066652.html", "JEANNE\JOAN LUSIGNAN &lt;5&gt; 1260 FR-1286  ID:09066652")</f>
        <v>JEANNE\JOAN LUSIGNAN &lt;5&gt; 1260 FR-1286  ID:09066652</v>
      </c>
      <c r="AA3794" s="17"/>
      <c r="AB3794" s="17"/>
      <c r="AC3794" s="17"/>
      <c r="AD3794" s="17"/>
      <c r="AE3794" s="17"/>
    </row>
    <row r="3795" spans="3:31" x14ac:dyDescent="0.35">
      <c r="C3795" s="15" t="s">
        <v>8</v>
      </c>
      <c r="D3795" s="15" t="s">
        <v>8</v>
      </c>
      <c r="E3795" s="15" t="s">
        <v>8</v>
      </c>
      <c r="F3795" s="15" t="s">
        <v>8</v>
      </c>
      <c r="H3795" s="15" t="s">
        <v>8</v>
      </c>
      <c r="I3795" s="15" t="s">
        <v>8</v>
      </c>
      <c r="J3795" s="15" t="s">
        <v>8</v>
      </c>
      <c r="N3795" s="15" t="s">
        <v>8</v>
      </c>
      <c r="O3795" s="15" t="s">
        <v>8</v>
      </c>
      <c r="P3795" s="15" t="s">
        <v>8</v>
      </c>
      <c r="Q3795" s="15" t="s">
        <v>8</v>
      </c>
      <c r="T3795" s="8" t="s">
        <v>6</v>
      </c>
      <c r="U3795" s="15" t="s">
        <v>8</v>
      </c>
    </row>
    <row r="3796" spans="3:31" x14ac:dyDescent="0.35">
      <c r="C3796" s="15" t="s">
        <v>8</v>
      </c>
      <c r="D3796" s="15" t="s">
        <v>8</v>
      </c>
      <c r="E3796" s="15" t="s">
        <v>8</v>
      </c>
      <c r="F3796" s="15" t="s">
        <v>8</v>
      </c>
      <c r="H3796" s="15" t="s">
        <v>8</v>
      </c>
      <c r="I3796" s="15" t="s">
        <v>8</v>
      </c>
      <c r="J3796" s="15" t="s">
        <v>8</v>
      </c>
      <c r="N3796" s="15" t="s">
        <v>8</v>
      </c>
      <c r="O3796" s="15" t="s">
        <v>8</v>
      </c>
      <c r="P3796" s="15" t="s">
        <v>8</v>
      </c>
      <c r="Q3796" s="15" t="s">
        <v>8</v>
      </c>
      <c r="T3796" s="20" t="str">
        <f>HYPERLINK("http://yeinfo.com/family/I09066134.html", "JOAN STOURTON 1427 EN-1500 EN ID:09065848")</f>
        <v>JOAN STOURTON 1427 EN-1500 EN ID:09065848</v>
      </c>
      <c r="U3796" s="17"/>
      <c r="V3796" s="17"/>
      <c r="W3796" s="17"/>
      <c r="X3796" s="17"/>
    </row>
    <row r="3797" spans="3:31" x14ac:dyDescent="0.35">
      <c r="C3797" s="15" t="s">
        <v>8</v>
      </c>
      <c r="D3797" s="15" t="s">
        <v>8</v>
      </c>
      <c r="E3797" s="15" t="s">
        <v>8</v>
      </c>
      <c r="F3797" s="15" t="s">
        <v>8</v>
      </c>
      <c r="H3797" s="15" t="s">
        <v>8</v>
      </c>
      <c r="I3797" s="15" t="s">
        <v>8</v>
      </c>
      <c r="J3797" s="15" t="s">
        <v>8</v>
      </c>
      <c r="N3797" s="15" t="s">
        <v>8</v>
      </c>
      <c r="O3797" s="15" t="s">
        <v>8</v>
      </c>
      <c r="P3797" s="15" t="s">
        <v>8</v>
      </c>
      <c r="Q3797" s="15" t="s">
        <v>8</v>
      </c>
      <c r="U3797" s="15" t="s">
        <v>8</v>
      </c>
    </row>
    <row r="3798" spans="3:31" x14ac:dyDescent="0.35">
      <c r="C3798" s="15" t="s">
        <v>8</v>
      </c>
      <c r="D3798" s="15" t="s">
        <v>8</v>
      </c>
      <c r="E3798" s="15" t="s">
        <v>8</v>
      </c>
      <c r="F3798" s="15" t="s">
        <v>8</v>
      </c>
      <c r="H3798" s="15" t="s">
        <v>8</v>
      </c>
      <c r="I3798" s="15" t="s">
        <v>8</v>
      </c>
      <c r="J3798" s="15" t="s">
        <v>8</v>
      </c>
      <c r="N3798" s="15" t="s">
        <v>8</v>
      </c>
      <c r="O3798" s="15" t="s">
        <v>8</v>
      </c>
      <c r="P3798" s="15" t="s">
        <v>8</v>
      </c>
      <c r="Q3798" s="15" t="s">
        <v>8</v>
      </c>
      <c r="U3798" s="15" t="s">
        <v>8</v>
      </c>
      <c r="Z3798" s="19" t="str">
        <f>HYPERLINK("http://yeinfo.com/family/I09066590.html", "THOMAS COTTON 1275 EN-1342 EN ID:09066653")</f>
        <v>THOMAS COTTON 1275 EN-1342 EN ID:09066653</v>
      </c>
      <c r="AA3798" s="9"/>
      <c r="AB3798" s="9"/>
      <c r="AC3798" s="9"/>
      <c r="AD3798" s="9"/>
    </row>
    <row r="3799" spans="3:31" x14ac:dyDescent="0.35">
      <c r="C3799" s="15" t="s">
        <v>8</v>
      </c>
      <c r="D3799" s="15" t="s">
        <v>8</v>
      </c>
      <c r="E3799" s="15" t="s">
        <v>8</v>
      </c>
      <c r="F3799" s="15" t="s">
        <v>8</v>
      </c>
      <c r="H3799" s="15" t="s">
        <v>8</v>
      </c>
      <c r="I3799" s="15" t="s">
        <v>8</v>
      </c>
      <c r="J3799" s="15" t="s">
        <v>8</v>
      </c>
      <c r="N3799" s="15" t="s">
        <v>8</v>
      </c>
      <c r="O3799" s="15" t="s">
        <v>8</v>
      </c>
      <c r="P3799" s="15" t="s">
        <v>8</v>
      </c>
      <c r="Q3799" s="15" t="s">
        <v>8</v>
      </c>
      <c r="U3799" s="15" t="s">
        <v>8</v>
      </c>
      <c r="Z3799" s="8" t="s">
        <v>3</v>
      </c>
    </row>
    <row r="3800" spans="3:31" x14ac:dyDescent="0.35">
      <c r="C3800" s="15" t="s">
        <v>8</v>
      </c>
      <c r="D3800" s="15" t="s">
        <v>8</v>
      </c>
      <c r="E3800" s="15" t="s">
        <v>8</v>
      </c>
      <c r="F3800" s="15" t="s">
        <v>8</v>
      </c>
      <c r="H3800" s="15" t="s">
        <v>8</v>
      </c>
      <c r="I3800" s="15" t="s">
        <v>8</v>
      </c>
      <c r="J3800" s="15" t="s">
        <v>8</v>
      </c>
      <c r="N3800" s="15" t="s">
        <v>8</v>
      </c>
      <c r="O3800" s="15" t="s">
        <v>8</v>
      </c>
      <c r="P3800" s="15" t="s">
        <v>8</v>
      </c>
      <c r="Q3800" s="15" t="s">
        <v>8</v>
      </c>
      <c r="U3800" s="15" t="s">
        <v>8</v>
      </c>
      <c r="Y3800" s="19" t="str">
        <f>HYPERLINK("http://yeinfo.com/family/I09066536.html", "HUMPHREY COTTON 1296 EN-1363 EN ID:09066590")</f>
        <v>HUMPHREY COTTON 1296 EN-1363 EN ID:09066590</v>
      </c>
      <c r="Z3800" s="9"/>
      <c r="AA3800" s="9"/>
      <c r="AB3800" s="9"/>
      <c r="AC3800" s="9"/>
    </row>
    <row r="3801" spans="3:31" x14ac:dyDescent="0.35">
      <c r="C3801" s="15" t="s">
        <v>8</v>
      </c>
      <c r="D3801" s="15" t="s">
        <v>8</v>
      </c>
      <c r="E3801" s="15" t="s">
        <v>8</v>
      </c>
      <c r="F3801" s="15" t="s">
        <v>8</v>
      </c>
      <c r="H3801" s="15" t="s">
        <v>8</v>
      </c>
      <c r="I3801" s="15" t="s">
        <v>8</v>
      </c>
      <c r="J3801" s="15" t="s">
        <v>8</v>
      </c>
      <c r="N3801" s="15" t="s">
        <v>8</v>
      </c>
      <c r="O3801" s="15" t="s">
        <v>8</v>
      </c>
      <c r="P3801" s="15" t="s">
        <v>8</v>
      </c>
      <c r="Q3801" s="15" t="s">
        <v>8</v>
      </c>
      <c r="U3801" s="15" t="s">
        <v>8</v>
      </c>
      <c r="Y3801" s="8" t="s">
        <v>3</v>
      </c>
      <c r="Z3801" s="8" t="s">
        <v>6</v>
      </c>
    </row>
    <row r="3802" spans="3:31" x14ac:dyDescent="0.35">
      <c r="C3802" s="15" t="s">
        <v>8</v>
      </c>
      <c r="D3802" s="15" t="s">
        <v>8</v>
      </c>
      <c r="E3802" s="15" t="s">
        <v>8</v>
      </c>
      <c r="F3802" s="15" t="s">
        <v>8</v>
      </c>
      <c r="H3802" s="15" t="s">
        <v>8</v>
      </c>
      <c r="I3802" s="15" t="s">
        <v>8</v>
      </c>
      <c r="J3802" s="15" t="s">
        <v>8</v>
      </c>
      <c r="N3802" s="15" t="s">
        <v>8</v>
      </c>
      <c r="O3802" s="15" t="s">
        <v>8</v>
      </c>
      <c r="P3802" s="15" t="s">
        <v>8</v>
      </c>
      <c r="Q3802" s="15" t="s">
        <v>8</v>
      </c>
      <c r="U3802" s="15" t="s">
        <v>8</v>
      </c>
      <c r="Y3802" s="15" t="s">
        <v>8</v>
      </c>
      <c r="Z3802" s="20" t="str">
        <f>HYPERLINK("http://yeinfo.com/family/I09066653.html", "MAGALENA FORBE 1275 EN-1296 EN ID:09066654")</f>
        <v>MAGALENA FORBE 1275 EN-1296 EN ID:09066654</v>
      </c>
      <c r="AA3802" s="17"/>
      <c r="AB3802" s="17"/>
      <c r="AC3802" s="17"/>
      <c r="AD3802" s="17"/>
    </row>
    <row r="3803" spans="3:31" x14ac:dyDescent="0.35">
      <c r="C3803" s="15" t="s">
        <v>8</v>
      </c>
      <c r="D3803" s="15" t="s">
        <v>8</v>
      </c>
      <c r="E3803" s="15" t="s">
        <v>8</v>
      </c>
      <c r="F3803" s="15" t="s">
        <v>8</v>
      </c>
      <c r="H3803" s="15" t="s">
        <v>8</v>
      </c>
      <c r="I3803" s="15" t="s">
        <v>8</v>
      </c>
      <c r="J3803" s="15" t="s">
        <v>8</v>
      </c>
      <c r="N3803" s="15" t="s">
        <v>8</v>
      </c>
      <c r="O3803" s="15" t="s">
        <v>8</v>
      </c>
      <c r="P3803" s="15" t="s">
        <v>8</v>
      </c>
      <c r="Q3803" s="15" t="s">
        <v>8</v>
      </c>
      <c r="U3803" s="15" t="s">
        <v>8</v>
      </c>
      <c r="Y3803" s="15" t="s">
        <v>8</v>
      </c>
    </row>
    <row r="3804" spans="3:31" x14ac:dyDescent="0.35">
      <c r="C3804" s="15" t="s">
        <v>8</v>
      </c>
      <c r="D3804" s="15" t="s">
        <v>8</v>
      </c>
      <c r="E3804" s="15" t="s">
        <v>8</v>
      </c>
      <c r="F3804" s="15" t="s">
        <v>8</v>
      </c>
      <c r="H3804" s="15" t="s">
        <v>8</v>
      </c>
      <c r="I3804" s="15" t="s">
        <v>8</v>
      </c>
      <c r="J3804" s="15" t="s">
        <v>8</v>
      </c>
      <c r="N3804" s="15" t="s">
        <v>8</v>
      </c>
      <c r="O3804" s="15" t="s">
        <v>8</v>
      </c>
      <c r="P3804" s="15" t="s">
        <v>8</v>
      </c>
      <c r="Q3804" s="15" t="s">
        <v>8</v>
      </c>
      <c r="U3804" s="15" t="s">
        <v>8</v>
      </c>
      <c r="X3804" s="19" t="str">
        <f>HYPERLINK("http://yeinfo.com/family/I09066369.html", "THOMAS COTTON 1335 EN-1397 EN ID:09066536")</f>
        <v>THOMAS COTTON 1335 EN-1397 EN ID:09066536</v>
      </c>
      <c r="Y3804" s="9"/>
      <c r="Z3804" s="9"/>
      <c r="AA3804" s="9"/>
      <c r="AB3804" s="9"/>
    </row>
    <row r="3805" spans="3:31" x14ac:dyDescent="0.35">
      <c r="C3805" s="15" t="s">
        <v>8</v>
      </c>
      <c r="D3805" s="15" t="s">
        <v>8</v>
      </c>
      <c r="E3805" s="15" t="s">
        <v>8</v>
      </c>
      <c r="F3805" s="15" t="s">
        <v>8</v>
      </c>
      <c r="H3805" s="15" t="s">
        <v>8</v>
      </c>
      <c r="I3805" s="15" t="s">
        <v>8</v>
      </c>
      <c r="J3805" s="15" t="s">
        <v>8</v>
      </c>
      <c r="N3805" s="15" t="s">
        <v>8</v>
      </c>
      <c r="O3805" s="15" t="s">
        <v>8</v>
      </c>
      <c r="P3805" s="15" t="s">
        <v>8</v>
      </c>
      <c r="Q3805" s="15" t="s">
        <v>8</v>
      </c>
      <c r="U3805" s="15" t="s">
        <v>8</v>
      </c>
      <c r="X3805" s="8" t="s">
        <v>3</v>
      </c>
      <c r="Y3805" s="15" t="s">
        <v>8</v>
      </c>
    </row>
    <row r="3806" spans="3:31" x14ac:dyDescent="0.35">
      <c r="C3806" s="15" t="s">
        <v>8</v>
      </c>
      <c r="D3806" s="15" t="s">
        <v>8</v>
      </c>
      <c r="E3806" s="15" t="s">
        <v>8</v>
      </c>
      <c r="F3806" s="15" t="s">
        <v>8</v>
      </c>
      <c r="H3806" s="15" t="s">
        <v>8</v>
      </c>
      <c r="I3806" s="15" t="s">
        <v>8</v>
      </c>
      <c r="J3806" s="15" t="s">
        <v>8</v>
      </c>
      <c r="N3806" s="15" t="s">
        <v>8</v>
      </c>
      <c r="O3806" s="15" t="s">
        <v>8</v>
      </c>
      <c r="P3806" s="15" t="s">
        <v>8</v>
      </c>
      <c r="Q3806" s="15" t="s">
        <v>8</v>
      </c>
      <c r="U3806" s="15" t="s">
        <v>8</v>
      </c>
      <c r="X3806" s="15" t="s">
        <v>8</v>
      </c>
      <c r="Y3806" s="15" t="s">
        <v>8</v>
      </c>
      <c r="Z3806" s="19" t="str">
        <f>HYPERLINK("http://yeinfo.com/family/I09066591.html", "THOMAS HOLBROOKE 1275 EN-1342 EN ID:09066655")</f>
        <v>THOMAS HOLBROOKE 1275 EN-1342 EN ID:09066655</v>
      </c>
      <c r="AA3806" s="9"/>
      <c r="AB3806" s="9"/>
      <c r="AC3806" s="9"/>
      <c r="AD3806" s="9"/>
    </row>
    <row r="3807" spans="3:31" x14ac:dyDescent="0.35">
      <c r="C3807" s="15" t="s">
        <v>8</v>
      </c>
      <c r="D3807" s="15" t="s">
        <v>8</v>
      </c>
      <c r="E3807" s="15" t="s">
        <v>8</v>
      </c>
      <c r="F3807" s="15" t="s">
        <v>8</v>
      </c>
      <c r="H3807" s="15" t="s">
        <v>8</v>
      </c>
      <c r="I3807" s="15" t="s">
        <v>8</v>
      </c>
      <c r="J3807" s="15" t="s">
        <v>8</v>
      </c>
      <c r="N3807" s="15" t="s">
        <v>8</v>
      </c>
      <c r="O3807" s="15" t="s">
        <v>8</v>
      </c>
      <c r="P3807" s="15" t="s">
        <v>8</v>
      </c>
      <c r="Q3807" s="15" t="s">
        <v>8</v>
      </c>
      <c r="U3807" s="15" t="s">
        <v>8</v>
      </c>
      <c r="X3807" s="15" t="s">
        <v>8</v>
      </c>
      <c r="Y3807" s="8" t="s">
        <v>6</v>
      </c>
      <c r="Z3807" s="8" t="s">
        <v>3</v>
      </c>
    </row>
    <row r="3808" spans="3:31" x14ac:dyDescent="0.35">
      <c r="C3808" s="15" t="s">
        <v>8</v>
      </c>
      <c r="D3808" s="15" t="s">
        <v>8</v>
      </c>
      <c r="E3808" s="15" t="s">
        <v>8</v>
      </c>
      <c r="F3808" s="15" t="s">
        <v>8</v>
      </c>
      <c r="H3808" s="15" t="s">
        <v>8</v>
      </c>
      <c r="I3808" s="15" t="s">
        <v>8</v>
      </c>
      <c r="J3808" s="15" t="s">
        <v>8</v>
      </c>
      <c r="N3808" s="15" t="s">
        <v>8</v>
      </c>
      <c r="O3808" s="15" t="s">
        <v>8</v>
      </c>
      <c r="P3808" s="15" t="s">
        <v>8</v>
      </c>
      <c r="Q3808" s="15" t="s">
        <v>8</v>
      </c>
      <c r="U3808" s="15" t="s">
        <v>8</v>
      </c>
      <c r="X3808" s="15" t="s">
        <v>8</v>
      </c>
      <c r="Y3808" s="20" t="str">
        <f>HYPERLINK("http://yeinfo.com/family/I09066654.html", "ANN HOLBROOKE 1305 EN-1365 EN ID:09066591")</f>
        <v>ANN HOLBROOKE 1305 EN-1365 EN ID:09066591</v>
      </c>
      <c r="Z3808" s="17"/>
      <c r="AA3808" s="17"/>
      <c r="AB3808" s="17"/>
      <c r="AC3808" s="17"/>
    </row>
    <row r="3809" spans="3:30" x14ac:dyDescent="0.35">
      <c r="C3809" s="15" t="s">
        <v>8</v>
      </c>
      <c r="D3809" s="15" t="s">
        <v>8</v>
      </c>
      <c r="E3809" s="15" t="s">
        <v>8</v>
      </c>
      <c r="F3809" s="15" t="s">
        <v>8</v>
      </c>
      <c r="H3809" s="15" t="s">
        <v>8</v>
      </c>
      <c r="I3809" s="15" t="s">
        <v>8</v>
      </c>
      <c r="J3809" s="15" t="s">
        <v>8</v>
      </c>
      <c r="N3809" s="15" t="s">
        <v>8</v>
      </c>
      <c r="O3809" s="15" t="s">
        <v>8</v>
      </c>
      <c r="P3809" s="15" t="s">
        <v>8</v>
      </c>
      <c r="Q3809" s="15" t="s">
        <v>8</v>
      </c>
      <c r="U3809" s="15" t="s">
        <v>8</v>
      </c>
      <c r="X3809" s="15" t="s">
        <v>8</v>
      </c>
      <c r="Z3809" s="8" t="s">
        <v>6</v>
      </c>
    </row>
    <row r="3810" spans="3:30" x14ac:dyDescent="0.35">
      <c r="C3810" s="15" t="s">
        <v>8</v>
      </c>
      <c r="D3810" s="15" t="s">
        <v>8</v>
      </c>
      <c r="E3810" s="15" t="s">
        <v>8</v>
      </c>
      <c r="F3810" s="15" t="s">
        <v>8</v>
      </c>
      <c r="H3810" s="15" t="s">
        <v>8</v>
      </c>
      <c r="I3810" s="15" t="s">
        <v>8</v>
      </c>
      <c r="J3810" s="15" t="s">
        <v>8</v>
      </c>
      <c r="N3810" s="15" t="s">
        <v>8</v>
      </c>
      <c r="O3810" s="15" t="s">
        <v>8</v>
      </c>
      <c r="P3810" s="15" t="s">
        <v>8</v>
      </c>
      <c r="Q3810" s="15" t="s">
        <v>8</v>
      </c>
      <c r="U3810" s="15" t="s">
        <v>8</v>
      </c>
      <c r="X3810" s="15" t="s">
        <v>8</v>
      </c>
      <c r="Z3810" s="20" t="str">
        <f>HYPERLINK("http://yeinfo.com/family/I09066655.html", "MARGARET PETRONILLA MAYNARD 1275 EN-1305 EN ID:09066656")</f>
        <v>MARGARET PETRONILLA MAYNARD 1275 EN-1305 EN ID:09066656</v>
      </c>
      <c r="AA3810" s="17"/>
      <c r="AB3810" s="17"/>
      <c r="AC3810" s="17"/>
      <c r="AD3810" s="17"/>
    </row>
    <row r="3811" spans="3:30" x14ac:dyDescent="0.35">
      <c r="C3811" s="15" t="s">
        <v>8</v>
      </c>
      <c r="D3811" s="15" t="s">
        <v>8</v>
      </c>
      <c r="E3811" s="15" t="s">
        <v>8</v>
      </c>
      <c r="F3811" s="15" t="s">
        <v>8</v>
      </c>
      <c r="H3811" s="15" t="s">
        <v>8</v>
      </c>
      <c r="I3811" s="15" t="s">
        <v>8</v>
      </c>
      <c r="J3811" s="15" t="s">
        <v>8</v>
      </c>
      <c r="N3811" s="15" t="s">
        <v>8</v>
      </c>
      <c r="O3811" s="15" t="s">
        <v>8</v>
      </c>
      <c r="P3811" s="15" t="s">
        <v>8</v>
      </c>
      <c r="Q3811" s="15" t="s">
        <v>8</v>
      </c>
      <c r="U3811" s="15" t="s">
        <v>8</v>
      </c>
      <c r="X3811" s="15" t="s">
        <v>8</v>
      </c>
    </row>
    <row r="3812" spans="3:30" x14ac:dyDescent="0.35">
      <c r="C3812" s="15" t="s">
        <v>8</v>
      </c>
      <c r="D3812" s="15" t="s">
        <v>8</v>
      </c>
      <c r="E3812" s="15" t="s">
        <v>8</v>
      </c>
      <c r="F3812" s="15" t="s">
        <v>8</v>
      </c>
      <c r="H3812" s="15" t="s">
        <v>8</v>
      </c>
      <c r="I3812" s="15" t="s">
        <v>8</v>
      </c>
      <c r="J3812" s="15" t="s">
        <v>8</v>
      </c>
      <c r="N3812" s="15" t="s">
        <v>8</v>
      </c>
      <c r="O3812" s="15" t="s">
        <v>8</v>
      </c>
      <c r="P3812" s="15" t="s">
        <v>8</v>
      </c>
      <c r="Q3812" s="15" t="s">
        <v>8</v>
      </c>
      <c r="U3812" s="15" t="s">
        <v>8</v>
      </c>
      <c r="W3812" s="19" t="str">
        <f>HYPERLINK("http://yeinfo.com/family/I09066215.html", "JOHN COTTON 1365 EN-1397 EN ID:09066369")</f>
        <v>JOHN COTTON 1365 EN-1397 EN ID:09066369</v>
      </c>
      <c r="X3812" s="9"/>
      <c r="Y3812" s="9"/>
      <c r="Z3812" s="9"/>
      <c r="AA3812" s="9"/>
    </row>
    <row r="3813" spans="3:30" x14ac:dyDescent="0.35">
      <c r="C3813" s="15" t="s">
        <v>8</v>
      </c>
      <c r="D3813" s="15" t="s">
        <v>8</v>
      </c>
      <c r="E3813" s="15" t="s">
        <v>8</v>
      </c>
      <c r="F3813" s="15" t="s">
        <v>8</v>
      </c>
      <c r="H3813" s="15" t="s">
        <v>8</v>
      </c>
      <c r="I3813" s="15" t="s">
        <v>8</v>
      </c>
      <c r="J3813" s="15" t="s">
        <v>8</v>
      </c>
      <c r="N3813" s="15" t="s">
        <v>8</v>
      </c>
      <c r="O3813" s="15" t="s">
        <v>8</v>
      </c>
      <c r="P3813" s="15" t="s">
        <v>8</v>
      </c>
      <c r="Q3813" s="15" t="s">
        <v>8</v>
      </c>
      <c r="U3813" s="15" t="s">
        <v>8</v>
      </c>
      <c r="W3813" s="8" t="s">
        <v>3</v>
      </c>
      <c r="X3813" s="15" t="s">
        <v>8</v>
      </c>
    </row>
    <row r="3814" spans="3:30" x14ac:dyDescent="0.35">
      <c r="C3814" s="15" t="s">
        <v>8</v>
      </c>
      <c r="D3814" s="15" t="s">
        <v>8</v>
      </c>
      <c r="E3814" s="15" t="s">
        <v>8</v>
      </c>
      <c r="F3814" s="15" t="s">
        <v>8</v>
      </c>
      <c r="H3814" s="15" t="s">
        <v>8</v>
      </c>
      <c r="I3814" s="15" t="s">
        <v>8</v>
      </c>
      <c r="J3814" s="15" t="s">
        <v>8</v>
      </c>
      <c r="N3814" s="15" t="s">
        <v>8</v>
      </c>
      <c r="O3814" s="15" t="s">
        <v>8</v>
      </c>
      <c r="P3814" s="15" t="s">
        <v>8</v>
      </c>
      <c r="Q3814" s="15" t="s">
        <v>8</v>
      </c>
      <c r="U3814" s="15" t="s">
        <v>8</v>
      </c>
      <c r="W3814" s="15" t="s">
        <v>8</v>
      </c>
      <c r="X3814" s="15" t="s">
        <v>8</v>
      </c>
      <c r="Y3814" s="19" t="str">
        <f>HYPERLINK("http://yeinfo.com/family/I09066537.html", "JOHN HASTINGS 1285 EN-1310 EN ID:09066592")</f>
        <v>JOHN HASTINGS 1285 EN-1310 EN ID:09066592</v>
      </c>
      <c r="Z3814" s="9"/>
      <c r="AA3814" s="9"/>
      <c r="AB3814" s="9"/>
      <c r="AC3814" s="9"/>
    </row>
    <row r="3815" spans="3:30" x14ac:dyDescent="0.35">
      <c r="C3815" s="15" t="s">
        <v>8</v>
      </c>
      <c r="D3815" s="15" t="s">
        <v>8</v>
      </c>
      <c r="E3815" s="15" t="s">
        <v>8</v>
      </c>
      <c r="F3815" s="15" t="s">
        <v>8</v>
      </c>
      <c r="H3815" s="15" t="s">
        <v>8</v>
      </c>
      <c r="I3815" s="15" t="s">
        <v>8</v>
      </c>
      <c r="J3815" s="15" t="s">
        <v>8</v>
      </c>
      <c r="N3815" s="15" t="s">
        <v>8</v>
      </c>
      <c r="O3815" s="15" t="s">
        <v>8</v>
      </c>
      <c r="P3815" s="15" t="s">
        <v>8</v>
      </c>
      <c r="Q3815" s="15" t="s">
        <v>8</v>
      </c>
      <c r="U3815" s="15" t="s">
        <v>8</v>
      </c>
      <c r="W3815" s="15" t="s">
        <v>8</v>
      </c>
      <c r="X3815" s="8" t="s">
        <v>6</v>
      </c>
      <c r="Y3815" s="8" t="s">
        <v>3</v>
      </c>
    </row>
    <row r="3816" spans="3:30" x14ac:dyDescent="0.35">
      <c r="C3816" s="15" t="s">
        <v>8</v>
      </c>
      <c r="D3816" s="15" t="s">
        <v>8</v>
      </c>
      <c r="E3816" s="15" t="s">
        <v>8</v>
      </c>
      <c r="F3816" s="15" t="s">
        <v>8</v>
      </c>
      <c r="H3816" s="15" t="s">
        <v>8</v>
      </c>
      <c r="I3816" s="15" t="s">
        <v>8</v>
      </c>
      <c r="J3816" s="15" t="s">
        <v>8</v>
      </c>
      <c r="N3816" s="15" t="s">
        <v>8</v>
      </c>
      <c r="O3816" s="15" t="s">
        <v>8</v>
      </c>
      <c r="P3816" s="15" t="s">
        <v>8</v>
      </c>
      <c r="Q3816" s="15" t="s">
        <v>8</v>
      </c>
      <c r="U3816" s="15" t="s">
        <v>8</v>
      </c>
      <c r="W3816" s="15" t="s">
        <v>8</v>
      </c>
      <c r="X3816" s="20" t="str">
        <f>HYPERLINK("http://yeinfo.com/family/I09066656.html", "ALICE HASTINGS 1310 EN-1365 EN ID:09066537")</f>
        <v>ALICE HASTINGS 1310 EN-1365 EN ID:09066537</v>
      </c>
      <c r="Y3816" s="17"/>
      <c r="Z3816" s="17"/>
      <c r="AA3816" s="17"/>
      <c r="AB3816" s="17"/>
    </row>
    <row r="3817" spans="3:30" x14ac:dyDescent="0.35">
      <c r="C3817" s="15" t="s">
        <v>8</v>
      </c>
      <c r="D3817" s="15" t="s">
        <v>8</v>
      </c>
      <c r="E3817" s="15" t="s">
        <v>8</v>
      </c>
      <c r="F3817" s="15" t="s">
        <v>8</v>
      </c>
      <c r="H3817" s="15" t="s">
        <v>8</v>
      </c>
      <c r="I3817" s="15" t="s">
        <v>8</v>
      </c>
      <c r="J3817" s="15" t="s">
        <v>8</v>
      </c>
      <c r="N3817" s="15" t="s">
        <v>8</v>
      </c>
      <c r="O3817" s="15" t="s">
        <v>8</v>
      </c>
      <c r="P3817" s="15" t="s">
        <v>8</v>
      </c>
      <c r="Q3817" s="15" t="s">
        <v>8</v>
      </c>
      <c r="U3817" s="15" t="s">
        <v>8</v>
      </c>
      <c r="W3817" s="15" t="s">
        <v>8</v>
      </c>
      <c r="Y3817" s="8" t="s">
        <v>6</v>
      </c>
    </row>
    <row r="3818" spans="3:30" x14ac:dyDescent="0.35">
      <c r="C3818" s="15" t="s">
        <v>8</v>
      </c>
      <c r="D3818" s="15" t="s">
        <v>8</v>
      </c>
      <c r="E3818" s="15" t="s">
        <v>8</v>
      </c>
      <c r="F3818" s="15" t="s">
        <v>8</v>
      </c>
      <c r="H3818" s="15" t="s">
        <v>8</v>
      </c>
      <c r="I3818" s="15" t="s">
        <v>8</v>
      </c>
      <c r="J3818" s="15" t="s">
        <v>8</v>
      </c>
      <c r="N3818" s="15" t="s">
        <v>8</v>
      </c>
      <c r="O3818" s="15" t="s">
        <v>8</v>
      </c>
      <c r="P3818" s="15" t="s">
        <v>8</v>
      </c>
      <c r="Q3818" s="15" t="s">
        <v>8</v>
      </c>
      <c r="U3818" s="15" t="s">
        <v>8</v>
      </c>
      <c r="W3818" s="15" t="s">
        <v>8</v>
      </c>
      <c r="Y3818" s="20" t="str">
        <f>HYPERLINK("http://yeinfo.com/family/I09066592.html", "JULIANA LEYBURNE 1285 EN-1310 EN ID:09066593")</f>
        <v>JULIANA LEYBURNE 1285 EN-1310 EN ID:09066593</v>
      </c>
      <c r="Z3818" s="17"/>
      <c r="AA3818" s="17"/>
      <c r="AB3818" s="17"/>
      <c r="AC3818" s="17"/>
    </row>
    <row r="3819" spans="3:30" x14ac:dyDescent="0.35">
      <c r="C3819" s="15" t="s">
        <v>8</v>
      </c>
      <c r="D3819" s="15" t="s">
        <v>8</v>
      </c>
      <c r="E3819" s="15" t="s">
        <v>8</v>
      </c>
      <c r="F3819" s="15" t="s">
        <v>8</v>
      </c>
      <c r="H3819" s="15" t="s">
        <v>8</v>
      </c>
      <c r="I3819" s="15" t="s">
        <v>8</v>
      </c>
      <c r="J3819" s="15" t="s">
        <v>8</v>
      </c>
      <c r="N3819" s="15" t="s">
        <v>8</v>
      </c>
      <c r="O3819" s="15" t="s">
        <v>8</v>
      </c>
      <c r="P3819" s="15" t="s">
        <v>8</v>
      </c>
      <c r="Q3819" s="15" t="s">
        <v>8</v>
      </c>
      <c r="U3819" s="15" t="s">
        <v>8</v>
      </c>
      <c r="W3819" s="15" t="s">
        <v>8</v>
      </c>
    </row>
    <row r="3820" spans="3:30" x14ac:dyDescent="0.35">
      <c r="C3820" s="15" t="s">
        <v>8</v>
      </c>
      <c r="D3820" s="15" t="s">
        <v>8</v>
      </c>
      <c r="E3820" s="15" t="s">
        <v>8</v>
      </c>
      <c r="F3820" s="15" t="s">
        <v>8</v>
      </c>
      <c r="H3820" s="15" t="s">
        <v>8</v>
      </c>
      <c r="I3820" s="15" t="s">
        <v>8</v>
      </c>
      <c r="J3820" s="15" t="s">
        <v>8</v>
      </c>
      <c r="N3820" s="15" t="s">
        <v>8</v>
      </c>
      <c r="O3820" s="15" t="s">
        <v>8</v>
      </c>
      <c r="P3820" s="15" t="s">
        <v>8</v>
      </c>
      <c r="Q3820" s="15" t="s">
        <v>8</v>
      </c>
      <c r="U3820" s="15" t="s">
        <v>8</v>
      </c>
      <c r="V3820" s="19" t="str">
        <f>HYPERLINK("http://yeinfo.com/family/I09066026.html", "WALTER COTTON 1389 EN-1445  ID:09066215")</f>
        <v>WALTER COTTON 1389 EN-1445  ID:09066215</v>
      </c>
      <c r="W3820" s="9"/>
      <c r="X3820" s="9"/>
      <c r="Y3820" s="9"/>
      <c r="Z3820" s="9"/>
    </row>
    <row r="3821" spans="3:30" x14ac:dyDescent="0.35">
      <c r="C3821" s="15" t="s">
        <v>8</v>
      </c>
      <c r="D3821" s="15" t="s">
        <v>8</v>
      </c>
      <c r="E3821" s="15" t="s">
        <v>8</v>
      </c>
      <c r="F3821" s="15" t="s">
        <v>8</v>
      </c>
      <c r="H3821" s="15" t="s">
        <v>8</v>
      </c>
      <c r="I3821" s="15" t="s">
        <v>8</v>
      </c>
      <c r="J3821" s="15" t="s">
        <v>8</v>
      </c>
      <c r="N3821" s="15" t="s">
        <v>8</v>
      </c>
      <c r="O3821" s="15" t="s">
        <v>8</v>
      </c>
      <c r="P3821" s="15" t="s">
        <v>8</v>
      </c>
      <c r="Q3821" s="15" t="s">
        <v>8</v>
      </c>
      <c r="U3821" s="15" t="s">
        <v>8</v>
      </c>
      <c r="V3821" s="8" t="s">
        <v>3</v>
      </c>
      <c r="W3821" s="15" t="s">
        <v>8</v>
      </c>
    </row>
    <row r="3822" spans="3:30" x14ac:dyDescent="0.35">
      <c r="C3822" s="15" t="s">
        <v>8</v>
      </c>
      <c r="D3822" s="15" t="s">
        <v>8</v>
      </c>
      <c r="E3822" s="15" t="s">
        <v>8</v>
      </c>
      <c r="F3822" s="15" t="s">
        <v>8</v>
      </c>
      <c r="H3822" s="15" t="s">
        <v>8</v>
      </c>
      <c r="I3822" s="15" t="s">
        <v>8</v>
      </c>
      <c r="J3822" s="15" t="s">
        <v>8</v>
      </c>
      <c r="N3822" s="15" t="s">
        <v>8</v>
      </c>
      <c r="O3822" s="15" t="s">
        <v>8</v>
      </c>
      <c r="P3822" s="15" t="s">
        <v>8</v>
      </c>
      <c r="Q3822" s="15" t="s">
        <v>8</v>
      </c>
      <c r="U3822" s="15" t="s">
        <v>8</v>
      </c>
      <c r="V3822" s="15" t="s">
        <v>8</v>
      </c>
      <c r="W3822" s="15" t="s">
        <v>8</v>
      </c>
      <c r="X3822" s="19" t="str">
        <f>HYPERLINK("http://yeinfo.com/family/I09066370.html", "RICHARD GRACE 1335 EN-1381 EN ID:09066538")</f>
        <v>RICHARD GRACE 1335 EN-1381 EN ID:09066538</v>
      </c>
      <c r="Y3822" s="9"/>
      <c r="Z3822" s="9"/>
      <c r="AA3822" s="9"/>
      <c r="AB3822" s="9"/>
    </row>
    <row r="3823" spans="3:30" x14ac:dyDescent="0.35">
      <c r="C3823" s="15" t="s">
        <v>8</v>
      </c>
      <c r="D3823" s="15" t="s">
        <v>8</v>
      </c>
      <c r="E3823" s="15" t="s">
        <v>8</v>
      </c>
      <c r="F3823" s="15" t="s">
        <v>8</v>
      </c>
      <c r="H3823" s="15" t="s">
        <v>8</v>
      </c>
      <c r="I3823" s="15" t="s">
        <v>8</v>
      </c>
      <c r="J3823" s="15" t="s">
        <v>8</v>
      </c>
      <c r="N3823" s="15" t="s">
        <v>8</v>
      </c>
      <c r="O3823" s="15" t="s">
        <v>8</v>
      </c>
      <c r="P3823" s="15" t="s">
        <v>8</v>
      </c>
      <c r="Q3823" s="15" t="s">
        <v>8</v>
      </c>
      <c r="U3823" s="15" t="s">
        <v>8</v>
      </c>
      <c r="V3823" s="15" t="s">
        <v>8</v>
      </c>
      <c r="W3823" s="8" t="s">
        <v>6</v>
      </c>
      <c r="X3823" s="8" t="s">
        <v>3</v>
      </c>
    </row>
    <row r="3824" spans="3:30" x14ac:dyDescent="0.35">
      <c r="C3824" s="15" t="s">
        <v>8</v>
      </c>
      <c r="D3824" s="15" t="s">
        <v>8</v>
      </c>
      <c r="E3824" s="15" t="s">
        <v>8</v>
      </c>
      <c r="F3824" s="15" t="s">
        <v>8</v>
      </c>
      <c r="H3824" s="15" t="s">
        <v>8</v>
      </c>
      <c r="I3824" s="15" t="s">
        <v>8</v>
      </c>
      <c r="J3824" s="15" t="s">
        <v>8</v>
      </c>
      <c r="N3824" s="15" t="s">
        <v>8</v>
      </c>
      <c r="O3824" s="15" t="s">
        <v>8</v>
      </c>
      <c r="P3824" s="15" t="s">
        <v>8</v>
      </c>
      <c r="Q3824" s="15" t="s">
        <v>8</v>
      </c>
      <c r="U3824" s="15" t="s">
        <v>8</v>
      </c>
      <c r="V3824" s="15" t="s">
        <v>8</v>
      </c>
      <c r="W3824" s="20" t="str">
        <f>HYPERLINK("http://yeinfo.com/family/I09066593.html", "BRIDGET\MARGARE GRACE 1356 EN-1389 EN ID:09066370")</f>
        <v>BRIDGET\MARGARE GRACE 1356 EN-1389 EN ID:09066370</v>
      </c>
      <c r="X3824" s="17"/>
      <c r="Y3824" s="17"/>
      <c r="Z3824" s="17"/>
      <c r="AA3824" s="17"/>
      <c r="AB3824" s="17"/>
    </row>
    <row r="3825" spans="3:30" x14ac:dyDescent="0.35">
      <c r="C3825" s="15" t="s">
        <v>8</v>
      </c>
      <c r="D3825" s="15" t="s">
        <v>8</v>
      </c>
      <c r="E3825" s="15" t="s">
        <v>8</v>
      </c>
      <c r="F3825" s="15" t="s">
        <v>8</v>
      </c>
      <c r="H3825" s="15" t="s">
        <v>8</v>
      </c>
      <c r="I3825" s="15" t="s">
        <v>8</v>
      </c>
      <c r="J3825" s="15" t="s">
        <v>8</v>
      </c>
      <c r="N3825" s="15" t="s">
        <v>8</v>
      </c>
      <c r="O3825" s="15" t="s">
        <v>8</v>
      </c>
      <c r="P3825" s="15" t="s">
        <v>8</v>
      </c>
      <c r="Q3825" s="15" t="s">
        <v>8</v>
      </c>
      <c r="U3825" s="15" t="s">
        <v>8</v>
      </c>
      <c r="V3825" s="15" t="s">
        <v>8</v>
      </c>
      <c r="X3825" s="8" t="s">
        <v>6</v>
      </c>
    </row>
    <row r="3826" spans="3:30" x14ac:dyDescent="0.35">
      <c r="C3826" s="15" t="s">
        <v>8</v>
      </c>
      <c r="D3826" s="15" t="s">
        <v>8</v>
      </c>
      <c r="E3826" s="15" t="s">
        <v>8</v>
      </c>
      <c r="F3826" s="15" t="s">
        <v>8</v>
      </c>
      <c r="H3826" s="15" t="s">
        <v>8</v>
      </c>
      <c r="I3826" s="15" t="s">
        <v>8</v>
      </c>
      <c r="J3826" s="15" t="s">
        <v>8</v>
      </c>
      <c r="N3826" s="15" t="s">
        <v>8</v>
      </c>
      <c r="O3826" s="15" t="s">
        <v>8</v>
      </c>
      <c r="P3826" s="15" t="s">
        <v>8</v>
      </c>
      <c r="Q3826" s="15" t="s">
        <v>8</v>
      </c>
      <c r="U3826" s="15" t="s">
        <v>8</v>
      </c>
      <c r="V3826" s="15" t="s">
        <v>8</v>
      </c>
      <c r="X3826" s="20" t="str">
        <f>HYPERLINK("http://yeinfo.com/family/I09066538.html", "Mrs. BRIDGETT GRACE 1330 EN-1391 EN ID:09066539")</f>
        <v>Mrs. BRIDGETT GRACE 1330 EN-1391 EN ID:09066539</v>
      </c>
      <c r="Y3826" s="17"/>
      <c r="Z3826" s="17"/>
      <c r="AA3826" s="17"/>
      <c r="AB3826" s="17"/>
    </row>
    <row r="3827" spans="3:30" x14ac:dyDescent="0.35">
      <c r="C3827" s="15" t="s">
        <v>8</v>
      </c>
      <c r="D3827" s="15" t="s">
        <v>8</v>
      </c>
      <c r="E3827" s="15" t="s">
        <v>8</v>
      </c>
      <c r="F3827" s="15" t="s">
        <v>8</v>
      </c>
      <c r="H3827" s="15" t="s">
        <v>8</v>
      </c>
      <c r="I3827" s="15" t="s">
        <v>8</v>
      </c>
      <c r="J3827" s="15" t="s">
        <v>8</v>
      </c>
      <c r="N3827" s="15" t="s">
        <v>8</v>
      </c>
      <c r="O3827" s="15" t="s">
        <v>8</v>
      </c>
      <c r="P3827" s="15" t="s">
        <v>8</v>
      </c>
      <c r="Q3827" s="15" t="s">
        <v>8</v>
      </c>
      <c r="U3827" s="8" t="s">
        <v>6</v>
      </c>
      <c r="V3827" s="15" t="s">
        <v>8</v>
      </c>
    </row>
    <row r="3828" spans="3:30" x14ac:dyDescent="0.35">
      <c r="C3828" s="15" t="s">
        <v>8</v>
      </c>
      <c r="D3828" s="15" t="s">
        <v>8</v>
      </c>
      <c r="E3828" s="15" t="s">
        <v>8</v>
      </c>
      <c r="F3828" s="15" t="s">
        <v>8</v>
      </c>
      <c r="H3828" s="15" t="s">
        <v>8</v>
      </c>
      <c r="I3828" s="15" t="s">
        <v>8</v>
      </c>
      <c r="J3828" s="15" t="s">
        <v>8</v>
      </c>
      <c r="N3828" s="15" t="s">
        <v>8</v>
      </c>
      <c r="O3828" s="15" t="s">
        <v>8</v>
      </c>
      <c r="P3828" s="15" t="s">
        <v>8</v>
      </c>
      <c r="Q3828" s="15" t="s">
        <v>8</v>
      </c>
      <c r="U3828" s="20" t="str">
        <f>HYPERLINK("http://yeinfo.com/family/I09066368.html", "JOAN COTTON 1412 EN-1456 EN ID:09066026")</f>
        <v>JOAN COTTON 1412 EN-1456 EN ID:09066026</v>
      </c>
      <c r="V3828" s="17"/>
      <c r="W3828" s="17"/>
      <c r="X3828" s="17"/>
      <c r="Y3828" s="17"/>
    </row>
    <row r="3829" spans="3:30" x14ac:dyDescent="0.35">
      <c r="C3829" s="15" t="s">
        <v>8</v>
      </c>
      <c r="D3829" s="15" t="s">
        <v>8</v>
      </c>
      <c r="E3829" s="15" t="s">
        <v>8</v>
      </c>
      <c r="F3829" s="15" t="s">
        <v>8</v>
      </c>
      <c r="H3829" s="15" t="s">
        <v>8</v>
      </c>
      <c r="I3829" s="15" t="s">
        <v>8</v>
      </c>
      <c r="J3829" s="15" t="s">
        <v>8</v>
      </c>
      <c r="N3829" s="15" t="s">
        <v>8</v>
      </c>
      <c r="O3829" s="15" t="s">
        <v>8</v>
      </c>
      <c r="P3829" s="15" t="s">
        <v>8</v>
      </c>
      <c r="Q3829" s="15" t="s">
        <v>8</v>
      </c>
      <c r="V3829" s="15" t="s">
        <v>8</v>
      </c>
    </row>
    <row r="3830" spans="3:30" x14ac:dyDescent="0.35">
      <c r="C3830" s="15" t="s">
        <v>8</v>
      </c>
      <c r="D3830" s="15" t="s">
        <v>8</v>
      </c>
      <c r="E3830" s="15" t="s">
        <v>8</v>
      </c>
      <c r="F3830" s="15" t="s">
        <v>8</v>
      </c>
      <c r="H3830" s="15" t="s">
        <v>8</v>
      </c>
      <c r="I3830" s="15" t="s">
        <v>8</v>
      </c>
      <c r="J3830" s="15" t="s">
        <v>8</v>
      </c>
      <c r="N3830" s="15" t="s">
        <v>8</v>
      </c>
      <c r="O3830" s="15" t="s">
        <v>8</v>
      </c>
      <c r="P3830" s="15" t="s">
        <v>8</v>
      </c>
      <c r="Q3830" s="15" t="s">
        <v>8</v>
      </c>
      <c r="V3830" s="15" t="s">
        <v>8</v>
      </c>
      <c r="Z3830" s="19" t="str">
        <f>HYPERLINK("http://yeinfo.com/family/I09066594.html", "THOMAS READE 1261 WL-1283  ID:09066657")</f>
        <v>THOMAS READE 1261 WL-1283  ID:09066657</v>
      </c>
      <c r="AA3830" s="9"/>
      <c r="AB3830" s="9"/>
      <c r="AC3830" s="9"/>
      <c r="AD3830" s="9"/>
    </row>
    <row r="3831" spans="3:30" x14ac:dyDescent="0.35">
      <c r="C3831" s="15" t="s">
        <v>8</v>
      </c>
      <c r="D3831" s="15" t="s">
        <v>8</v>
      </c>
      <c r="E3831" s="15" t="s">
        <v>8</v>
      </c>
      <c r="F3831" s="15" t="s">
        <v>8</v>
      </c>
      <c r="H3831" s="15" t="s">
        <v>8</v>
      </c>
      <c r="I3831" s="15" t="s">
        <v>8</v>
      </c>
      <c r="J3831" s="15" t="s">
        <v>8</v>
      </c>
      <c r="N3831" s="15" t="s">
        <v>8</v>
      </c>
      <c r="O3831" s="15" t="s">
        <v>8</v>
      </c>
      <c r="P3831" s="15" t="s">
        <v>8</v>
      </c>
      <c r="Q3831" s="15" t="s">
        <v>8</v>
      </c>
      <c r="V3831" s="15" t="s">
        <v>8</v>
      </c>
      <c r="Z3831" s="8" t="s">
        <v>3</v>
      </c>
    </row>
    <row r="3832" spans="3:30" x14ac:dyDescent="0.35">
      <c r="C3832" s="15" t="s">
        <v>8</v>
      </c>
      <c r="D3832" s="15" t="s">
        <v>8</v>
      </c>
      <c r="E3832" s="15" t="s">
        <v>8</v>
      </c>
      <c r="F3832" s="15" t="s">
        <v>8</v>
      </c>
      <c r="H3832" s="15" t="s">
        <v>8</v>
      </c>
      <c r="I3832" s="15" t="s">
        <v>8</v>
      </c>
      <c r="J3832" s="15" t="s">
        <v>8</v>
      </c>
      <c r="N3832" s="15" t="s">
        <v>8</v>
      </c>
      <c r="O3832" s="15" t="s">
        <v>8</v>
      </c>
      <c r="P3832" s="15" t="s">
        <v>8</v>
      </c>
      <c r="Q3832" s="15" t="s">
        <v>8</v>
      </c>
      <c r="V3832" s="15" t="s">
        <v>8</v>
      </c>
      <c r="Y3832" s="19" t="str">
        <f>HYPERLINK("http://yeinfo.com/family/I09066540.html", "THOMAS READE 1278 WL-1340  ID:09066594")</f>
        <v>THOMAS READE 1278 WL-1340  ID:09066594</v>
      </c>
      <c r="Z3832" s="9"/>
      <c r="AA3832" s="9"/>
      <c r="AB3832" s="9"/>
      <c r="AC3832" s="9"/>
    </row>
    <row r="3833" spans="3:30" x14ac:dyDescent="0.35">
      <c r="C3833" s="15" t="s">
        <v>8</v>
      </c>
      <c r="D3833" s="15" t="s">
        <v>8</v>
      </c>
      <c r="E3833" s="15" t="s">
        <v>8</v>
      </c>
      <c r="F3833" s="15" t="s">
        <v>8</v>
      </c>
      <c r="H3833" s="15" t="s">
        <v>8</v>
      </c>
      <c r="I3833" s="15" t="s">
        <v>8</v>
      </c>
      <c r="J3833" s="15" t="s">
        <v>8</v>
      </c>
      <c r="N3833" s="15" t="s">
        <v>8</v>
      </c>
      <c r="O3833" s="15" t="s">
        <v>8</v>
      </c>
      <c r="P3833" s="15" t="s">
        <v>8</v>
      </c>
      <c r="Q3833" s="15" t="s">
        <v>8</v>
      </c>
      <c r="V3833" s="15" t="s">
        <v>8</v>
      </c>
      <c r="Y3833" s="8" t="s">
        <v>3</v>
      </c>
      <c r="Z3833" s="8" t="s">
        <v>6</v>
      </c>
    </row>
    <row r="3834" spans="3:30" x14ac:dyDescent="0.35">
      <c r="C3834" s="15" t="s">
        <v>8</v>
      </c>
      <c r="D3834" s="15" t="s">
        <v>8</v>
      </c>
      <c r="E3834" s="15" t="s">
        <v>8</v>
      </c>
      <c r="F3834" s="15" t="s">
        <v>8</v>
      </c>
      <c r="H3834" s="15" t="s">
        <v>8</v>
      </c>
      <c r="I3834" s="15" t="s">
        <v>8</v>
      </c>
      <c r="J3834" s="15" t="s">
        <v>8</v>
      </c>
      <c r="N3834" s="15" t="s">
        <v>8</v>
      </c>
      <c r="O3834" s="15" t="s">
        <v>8</v>
      </c>
      <c r="P3834" s="15" t="s">
        <v>8</v>
      </c>
      <c r="Q3834" s="15" t="s">
        <v>8</v>
      </c>
      <c r="V3834" s="15" t="s">
        <v>8</v>
      </c>
      <c r="Y3834" s="15" t="s">
        <v>8</v>
      </c>
      <c r="Z3834" s="20" t="str">
        <f>HYPERLINK("http://yeinfo.com/family/I09066657.html", "Mrs. {_?_} READE 1261 WL-1281  ID:09066658")</f>
        <v>Mrs. {_?_} READE 1261 WL-1281  ID:09066658</v>
      </c>
      <c r="AA3834" s="17"/>
      <c r="AB3834" s="17"/>
      <c r="AC3834" s="17"/>
      <c r="AD3834" s="17"/>
    </row>
    <row r="3835" spans="3:30" x14ac:dyDescent="0.35">
      <c r="C3835" s="15" t="s">
        <v>8</v>
      </c>
      <c r="D3835" s="15" t="s">
        <v>8</v>
      </c>
      <c r="E3835" s="15" t="s">
        <v>8</v>
      </c>
      <c r="F3835" s="15" t="s">
        <v>8</v>
      </c>
      <c r="H3835" s="15" t="s">
        <v>8</v>
      </c>
      <c r="I3835" s="15" t="s">
        <v>8</v>
      </c>
      <c r="J3835" s="15" t="s">
        <v>8</v>
      </c>
      <c r="N3835" s="15" t="s">
        <v>8</v>
      </c>
      <c r="O3835" s="15" t="s">
        <v>8</v>
      </c>
      <c r="P3835" s="15" t="s">
        <v>8</v>
      </c>
      <c r="Q3835" s="15" t="s">
        <v>8</v>
      </c>
      <c r="V3835" s="15" t="s">
        <v>8</v>
      </c>
      <c r="Y3835" s="15" t="s">
        <v>8</v>
      </c>
    </row>
    <row r="3836" spans="3:30" x14ac:dyDescent="0.35">
      <c r="C3836" s="15" t="s">
        <v>8</v>
      </c>
      <c r="D3836" s="15" t="s">
        <v>8</v>
      </c>
      <c r="E3836" s="15" t="s">
        <v>8</v>
      </c>
      <c r="F3836" s="15" t="s">
        <v>8</v>
      </c>
      <c r="H3836" s="15" t="s">
        <v>8</v>
      </c>
      <c r="I3836" s="15" t="s">
        <v>8</v>
      </c>
      <c r="J3836" s="15" t="s">
        <v>8</v>
      </c>
      <c r="N3836" s="15" t="s">
        <v>8</v>
      </c>
      <c r="O3836" s="15" t="s">
        <v>8</v>
      </c>
      <c r="P3836" s="15" t="s">
        <v>8</v>
      </c>
      <c r="Q3836" s="15" t="s">
        <v>8</v>
      </c>
      <c r="V3836" s="15" t="s">
        <v>8</v>
      </c>
      <c r="X3836" s="19" t="str">
        <f>HYPERLINK("http://yeinfo.com/family/I09066371.html", "THOMAS READE 1300 EN-1360 EN ID:09066540")</f>
        <v>THOMAS READE 1300 EN-1360 EN ID:09066540</v>
      </c>
      <c r="Y3836" s="9"/>
      <c r="Z3836" s="9"/>
      <c r="AA3836" s="9"/>
      <c r="AB3836" s="9"/>
    </row>
    <row r="3837" spans="3:30" x14ac:dyDescent="0.35">
      <c r="C3837" s="15" t="s">
        <v>8</v>
      </c>
      <c r="D3837" s="15" t="s">
        <v>8</v>
      </c>
      <c r="E3837" s="15" t="s">
        <v>8</v>
      </c>
      <c r="F3837" s="15" t="s">
        <v>8</v>
      </c>
      <c r="H3837" s="15" t="s">
        <v>8</v>
      </c>
      <c r="I3837" s="15" t="s">
        <v>8</v>
      </c>
      <c r="J3837" s="15" t="s">
        <v>8</v>
      </c>
      <c r="N3837" s="15" t="s">
        <v>8</v>
      </c>
      <c r="O3837" s="15" t="s">
        <v>8</v>
      </c>
      <c r="P3837" s="15" t="s">
        <v>8</v>
      </c>
      <c r="Q3837" s="15" t="s">
        <v>8</v>
      </c>
      <c r="V3837" s="15" t="s">
        <v>8</v>
      </c>
      <c r="X3837" s="8" t="s">
        <v>3</v>
      </c>
      <c r="Y3837" s="8" t="s">
        <v>6</v>
      </c>
    </row>
    <row r="3838" spans="3:30" x14ac:dyDescent="0.35">
      <c r="C3838" s="15" t="s">
        <v>8</v>
      </c>
      <c r="D3838" s="15" t="s">
        <v>8</v>
      </c>
      <c r="E3838" s="15" t="s">
        <v>8</v>
      </c>
      <c r="F3838" s="15" t="s">
        <v>8</v>
      </c>
      <c r="H3838" s="15" t="s">
        <v>8</v>
      </c>
      <c r="I3838" s="15" t="s">
        <v>8</v>
      </c>
      <c r="J3838" s="15" t="s">
        <v>8</v>
      </c>
      <c r="N3838" s="15" t="s">
        <v>8</v>
      </c>
      <c r="O3838" s="15" t="s">
        <v>8</v>
      </c>
      <c r="P3838" s="15" t="s">
        <v>8</v>
      </c>
      <c r="Q3838" s="15" t="s">
        <v>8</v>
      </c>
      <c r="V3838" s="15" t="s">
        <v>8</v>
      </c>
      <c r="X3838" s="15" t="s">
        <v>8</v>
      </c>
      <c r="Y3838" s="20" t="str">
        <f>HYPERLINK("http://yeinfo.com/family/I09066658.html", "ALICE\ELIZABETH ROCHE 1287 WL-1360  ID:09066595")</f>
        <v>ALICE\ELIZABETH ROCHE 1287 WL-1360  ID:09066595</v>
      </c>
      <c r="Z3838" s="17"/>
      <c r="AA3838" s="17"/>
      <c r="AB3838" s="17"/>
      <c r="AC3838" s="17"/>
      <c r="AD3838" s="17"/>
    </row>
    <row r="3839" spans="3:30" x14ac:dyDescent="0.35">
      <c r="C3839" s="15" t="s">
        <v>8</v>
      </c>
      <c r="D3839" s="15" t="s">
        <v>8</v>
      </c>
      <c r="E3839" s="15" t="s">
        <v>8</v>
      </c>
      <c r="F3839" s="15" t="s">
        <v>8</v>
      </c>
      <c r="H3839" s="15" t="s">
        <v>8</v>
      </c>
      <c r="I3839" s="15" t="s">
        <v>8</v>
      </c>
      <c r="J3839" s="15" t="s">
        <v>8</v>
      </c>
      <c r="N3839" s="15" t="s">
        <v>8</v>
      </c>
      <c r="O3839" s="15" t="s">
        <v>8</v>
      </c>
      <c r="P3839" s="15" t="s">
        <v>8</v>
      </c>
      <c r="Q3839" s="15" t="s">
        <v>8</v>
      </c>
      <c r="V3839" s="15" t="s">
        <v>8</v>
      </c>
      <c r="X3839" s="15" t="s">
        <v>8</v>
      </c>
    </row>
    <row r="3840" spans="3:30" x14ac:dyDescent="0.35">
      <c r="C3840" s="15" t="s">
        <v>8</v>
      </c>
      <c r="D3840" s="15" t="s">
        <v>8</v>
      </c>
      <c r="E3840" s="15" t="s">
        <v>8</v>
      </c>
      <c r="F3840" s="15" t="s">
        <v>8</v>
      </c>
      <c r="H3840" s="15" t="s">
        <v>8</v>
      </c>
      <c r="I3840" s="15" t="s">
        <v>8</v>
      </c>
      <c r="J3840" s="15" t="s">
        <v>8</v>
      </c>
      <c r="N3840" s="15" t="s">
        <v>8</v>
      </c>
      <c r="O3840" s="15" t="s">
        <v>8</v>
      </c>
      <c r="P3840" s="15" t="s">
        <v>8</v>
      </c>
      <c r="Q3840" s="15" t="s">
        <v>8</v>
      </c>
      <c r="V3840" s="15" t="s">
        <v>8</v>
      </c>
      <c r="W3840" s="19" t="str">
        <f>HYPERLINK("http://yeinfo.com/family/I09066216.html", "JOHN READE 1336 -1404 EN ID:09066371")</f>
        <v>JOHN READE 1336 -1404 EN ID:09066371</v>
      </c>
      <c r="X3840" s="9"/>
      <c r="Y3840" s="9"/>
      <c r="Z3840" s="9"/>
      <c r="AA3840" s="9"/>
    </row>
    <row r="3841" spans="3:30" x14ac:dyDescent="0.35">
      <c r="C3841" s="15" t="s">
        <v>8</v>
      </c>
      <c r="D3841" s="15" t="s">
        <v>8</v>
      </c>
      <c r="E3841" s="15" t="s">
        <v>8</v>
      </c>
      <c r="F3841" s="15" t="s">
        <v>8</v>
      </c>
      <c r="H3841" s="15" t="s">
        <v>8</v>
      </c>
      <c r="I3841" s="15" t="s">
        <v>8</v>
      </c>
      <c r="J3841" s="15" t="s">
        <v>8</v>
      </c>
      <c r="N3841" s="15" t="s">
        <v>8</v>
      </c>
      <c r="O3841" s="15" t="s">
        <v>8</v>
      </c>
      <c r="P3841" s="15" t="s">
        <v>8</v>
      </c>
      <c r="Q3841" s="15" t="s">
        <v>8</v>
      </c>
      <c r="V3841" s="15" t="s">
        <v>8</v>
      </c>
      <c r="W3841" s="8" t="s">
        <v>3</v>
      </c>
      <c r="X3841" s="8" t="s">
        <v>6</v>
      </c>
    </row>
    <row r="3842" spans="3:30" x14ac:dyDescent="0.35">
      <c r="C3842" s="15" t="s">
        <v>8</v>
      </c>
      <c r="D3842" s="15" t="s">
        <v>8</v>
      </c>
      <c r="E3842" s="15" t="s">
        <v>8</v>
      </c>
      <c r="F3842" s="15" t="s">
        <v>8</v>
      </c>
      <c r="H3842" s="15" t="s">
        <v>8</v>
      </c>
      <c r="I3842" s="15" t="s">
        <v>8</v>
      </c>
      <c r="J3842" s="15" t="s">
        <v>8</v>
      </c>
      <c r="N3842" s="15" t="s">
        <v>8</v>
      </c>
      <c r="O3842" s="15" t="s">
        <v>8</v>
      </c>
      <c r="P3842" s="15" t="s">
        <v>8</v>
      </c>
      <c r="Q3842" s="15" t="s">
        <v>8</v>
      </c>
      <c r="V3842" s="15" t="s">
        <v>8</v>
      </c>
      <c r="W3842" s="15" t="s">
        <v>8</v>
      </c>
      <c r="X3842" s="20" t="str">
        <f>HYPERLINK("http://yeinfo.com/family/I09066595.html", "Mrs. MARGERY READE 1319 EN-1380 EN ID:09066541")</f>
        <v>Mrs. MARGERY READE 1319 EN-1380 EN ID:09066541</v>
      </c>
      <c r="Y3842" s="17"/>
      <c r="Z3842" s="17"/>
      <c r="AA3842" s="17"/>
      <c r="AB3842" s="17"/>
    </row>
    <row r="3843" spans="3:30" x14ac:dyDescent="0.35">
      <c r="C3843" s="15" t="s">
        <v>8</v>
      </c>
      <c r="D3843" s="15" t="s">
        <v>8</v>
      </c>
      <c r="E3843" s="15" t="s">
        <v>8</v>
      </c>
      <c r="F3843" s="15" t="s">
        <v>8</v>
      </c>
      <c r="H3843" s="15" t="s">
        <v>8</v>
      </c>
      <c r="I3843" s="15" t="s">
        <v>8</v>
      </c>
      <c r="J3843" s="15" t="s">
        <v>8</v>
      </c>
      <c r="N3843" s="15" t="s">
        <v>8</v>
      </c>
      <c r="O3843" s="15" t="s">
        <v>8</v>
      </c>
      <c r="P3843" s="15" t="s">
        <v>8</v>
      </c>
      <c r="Q3843" s="15" t="s">
        <v>8</v>
      </c>
      <c r="V3843" s="8" t="s">
        <v>6</v>
      </c>
      <c r="W3843" s="15" t="s">
        <v>8</v>
      </c>
    </row>
    <row r="3844" spans="3:30" x14ac:dyDescent="0.35">
      <c r="C3844" s="15" t="s">
        <v>8</v>
      </c>
      <c r="D3844" s="15" t="s">
        <v>8</v>
      </c>
      <c r="E3844" s="15" t="s">
        <v>8</v>
      </c>
      <c r="F3844" s="15" t="s">
        <v>8</v>
      </c>
      <c r="H3844" s="15" t="s">
        <v>8</v>
      </c>
      <c r="I3844" s="15" t="s">
        <v>8</v>
      </c>
      <c r="J3844" s="15" t="s">
        <v>8</v>
      </c>
      <c r="N3844" s="15" t="s">
        <v>8</v>
      </c>
      <c r="O3844" s="15" t="s">
        <v>8</v>
      </c>
      <c r="P3844" s="15" t="s">
        <v>8</v>
      </c>
      <c r="Q3844" s="15" t="s">
        <v>8</v>
      </c>
      <c r="V3844" s="20" t="str">
        <f>HYPERLINK("http://yeinfo.com/family/I09066539.html", "JOAN READE 1378 EN-1412 EN ID:09066216")</f>
        <v>JOAN READE 1378 EN-1412 EN ID:09066216</v>
      </c>
      <c r="W3844" s="17"/>
      <c r="X3844" s="17"/>
      <c r="Y3844" s="17"/>
      <c r="Z3844" s="17"/>
    </row>
    <row r="3845" spans="3:30" x14ac:dyDescent="0.35">
      <c r="C3845" s="15" t="s">
        <v>8</v>
      </c>
      <c r="D3845" s="15" t="s">
        <v>8</v>
      </c>
      <c r="E3845" s="15" t="s">
        <v>8</v>
      </c>
      <c r="F3845" s="15" t="s">
        <v>8</v>
      </c>
      <c r="H3845" s="15" t="s">
        <v>8</v>
      </c>
      <c r="I3845" s="15" t="s">
        <v>8</v>
      </c>
      <c r="J3845" s="15" t="s">
        <v>8</v>
      </c>
      <c r="N3845" s="15" t="s">
        <v>8</v>
      </c>
      <c r="O3845" s="15" t="s">
        <v>8</v>
      </c>
      <c r="P3845" s="15" t="s">
        <v>8</v>
      </c>
      <c r="Q3845" s="15" t="s">
        <v>8</v>
      </c>
      <c r="W3845" s="15" t="s">
        <v>8</v>
      </c>
    </row>
    <row r="3846" spans="3:30" x14ac:dyDescent="0.35">
      <c r="C3846" s="15" t="s">
        <v>8</v>
      </c>
      <c r="D3846" s="15" t="s">
        <v>8</v>
      </c>
      <c r="E3846" s="15" t="s">
        <v>8</v>
      </c>
      <c r="F3846" s="15" t="s">
        <v>8</v>
      </c>
      <c r="H3846" s="15" t="s">
        <v>8</v>
      </c>
      <c r="I3846" s="15" t="s">
        <v>8</v>
      </c>
      <c r="J3846" s="15" t="s">
        <v>8</v>
      </c>
      <c r="N3846" s="15" t="s">
        <v>8</v>
      </c>
      <c r="O3846" s="15" t="s">
        <v>8</v>
      </c>
      <c r="P3846" s="15" t="s">
        <v>8</v>
      </c>
      <c r="Q3846" s="15" t="s">
        <v>8</v>
      </c>
      <c r="W3846" s="15" t="s">
        <v>8</v>
      </c>
      <c r="X3846" s="19" t="str">
        <f>HYPERLINK("http://yeinfo.com/family/I09066372.html", "WILLIAM HARLYNGRUGGE 1315 EN-1394  ID:09066542")</f>
        <v>WILLIAM HARLYNGRUGGE 1315 EN-1394  ID:09066542</v>
      </c>
      <c r="Y3846" s="9"/>
      <c r="Z3846" s="9"/>
      <c r="AA3846" s="9"/>
      <c r="AB3846" s="9"/>
    </row>
    <row r="3847" spans="3:30" x14ac:dyDescent="0.35">
      <c r="C3847" s="15" t="s">
        <v>8</v>
      </c>
      <c r="D3847" s="15" t="s">
        <v>8</v>
      </c>
      <c r="E3847" s="15" t="s">
        <v>8</v>
      </c>
      <c r="F3847" s="15" t="s">
        <v>8</v>
      </c>
      <c r="H3847" s="15" t="s">
        <v>8</v>
      </c>
      <c r="I3847" s="15" t="s">
        <v>8</v>
      </c>
      <c r="J3847" s="15" t="s">
        <v>8</v>
      </c>
      <c r="N3847" s="15" t="s">
        <v>8</v>
      </c>
      <c r="O3847" s="15" t="s">
        <v>8</v>
      </c>
      <c r="P3847" s="15" t="s">
        <v>8</v>
      </c>
      <c r="Q3847" s="15" t="s">
        <v>8</v>
      </c>
      <c r="W3847" s="8" t="s">
        <v>6</v>
      </c>
      <c r="X3847" s="8" t="s">
        <v>3</v>
      </c>
    </row>
    <row r="3848" spans="3:30" x14ac:dyDescent="0.35">
      <c r="C3848" s="15" t="s">
        <v>8</v>
      </c>
      <c r="D3848" s="15" t="s">
        <v>8</v>
      </c>
      <c r="E3848" s="15" t="s">
        <v>8</v>
      </c>
      <c r="F3848" s="15" t="s">
        <v>8</v>
      </c>
      <c r="H3848" s="15" t="s">
        <v>8</v>
      </c>
      <c r="I3848" s="15" t="s">
        <v>8</v>
      </c>
      <c r="J3848" s="15" t="s">
        <v>8</v>
      </c>
      <c r="N3848" s="15" t="s">
        <v>8</v>
      </c>
      <c r="O3848" s="15" t="s">
        <v>8</v>
      </c>
      <c r="P3848" s="15" t="s">
        <v>8</v>
      </c>
      <c r="Q3848" s="15" t="s">
        <v>8</v>
      </c>
      <c r="W3848" s="20" t="str">
        <f>HYPERLINK("http://yeinfo.com/family/I09066541.html", "CECILIA HARLYNGRUGGE 1344 EN-1428 EN ID:09066372")</f>
        <v>CECILIA HARLYNGRUGGE 1344 EN-1428 EN ID:09066372</v>
      </c>
      <c r="X3848" s="17"/>
      <c r="Y3848" s="17"/>
      <c r="Z3848" s="17"/>
      <c r="AA3848" s="17"/>
    </row>
    <row r="3849" spans="3:30" x14ac:dyDescent="0.35">
      <c r="C3849" s="15" t="s">
        <v>8</v>
      </c>
      <c r="D3849" s="15" t="s">
        <v>8</v>
      </c>
      <c r="E3849" s="15" t="s">
        <v>8</v>
      </c>
      <c r="F3849" s="15" t="s">
        <v>8</v>
      </c>
      <c r="H3849" s="15" t="s">
        <v>8</v>
      </c>
      <c r="I3849" s="15" t="s">
        <v>8</v>
      </c>
      <c r="J3849" s="15" t="s">
        <v>8</v>
      </c>
      <c r="N3849" s="15" t="s">
        <v>8</v>
      </c>
      <c r="O3849" s="15" t="s">
        <v>8</v>
      </c>
      <c r="P3849" s="15" t="s">
        <v>8</v>
      </c>
      <c r="Q3849" s="15" t="s">
        <v>8</v>
      </c>
      <c r="X3849" s="15" t="s">
        <v>8</v>
      </c>
    </row>
    <row r="3850" spans="3:30" x14ac:dyDescent="0.35">
      <c r="C3850" s="15" t="s">
        <v>8</v>
      </c>
      <c r="D3850" s="15" t="s">
        <v>8</v>
      </c>
      <c r="E3850" s="15" t="s">
        <v>8</v>
      </c>
      <c r="F3850" s="15" t="s">
        <v>8</v>
      </c>
      <c r="H3850" s="15" t="s">
        <v>8</v>
      </c>
      <c r="I3850" s="15" t="s">
        <v>8</v>
      </c>
      <c r="J3850" s="15" t="s">
        <v>8</v>
      </c>
      <c r="N3850" s="15" t="s">
        <v>8</v>
      </c>
      <c r="O3850" s="15" t="s">
        <v>8</v>
      </c>
      <c r="P3850" s="15" t="s">
        <v>8</v>
      </c>
      <c r="Q3850" s="15" t="s">
        <v>8</v>
      </c>
      <c r="X3850" s="15" t="s">
        <v>8</v>
      </c>
      <c r="Z3850" s="19" t="str">
        <f>HYPERLINK("http://yeinfo.com/family/I09066596.html", "JOHN MARMION 1260 EN-1331 EN ID:09066659")</f>
        <v>JOHN MARMION 1260 EN-1331 EN ID:09066659</v>
      </c>
      <c r="AA3850" s="9"/>
      <c r="AB3850" s="9"/>
      <c r="AC3850" s="9"/>
      <c r="AD3850" s="9"/>
    </row>
    <row r="3851" spans="3:30" x14ac:dyDescent="0.35">
      <c r="C3851" s="15" t="s">
        <v>8</v>
      </c>
      <c r="D3851" s="15" t="s">
        <v>8</v>
      </c>
      <c r="E3851" s="15" t="s">
        <v>8</v>
      </c>
      <c r="F3851" s="15" t="s">
        <v>8</v>
      </c>
      <c r="H3851" s="15" t="s">
        <v>8</v>
      </c>
      <c r="I3851" s="15" t="s">
        <v>8</v>
      </c>
      <c r="J3851" s="15" t="s">
        <v>8</v>
      </c>
      <c r="N3851" s="15" t="s">
        <v>8</v>
      </c>
      <c r="O3851" s="15" t="s">
        <v>8</v>
      </c>
      <c r="P3851" s="15" t="s">
        <v>8</v>
      </c>
      <c r="Q3851" s="15" t="s">
        <v>8</v>
      </c>
      <c r="X3851" s="15" t="s">
        <v>8</v>
      </c>
      <c r="Z3851" s="8" t="s">
        <v>3</v>
      </c>
    </row>
    <row r="3852" spans="3:30" x14ac:dyDescent="0.35">
      <c r="C3852" s="15" t="s">
        <v>8</v>
      </c>
      <c r="D3852" s="15" t="s">
        <v>8</v>
      </c>
      <c r="E3852" s="15" t="s">
        <v>8</v>
      </c>
      <c r="F3852" s="15" t="s">
        <v>8</v>
      </c>
      <c r="H3852" s="15" t="s">
        <v>8</v>
      </c>
      <c r="I3852" s="15" t="s">
        <v>8</v>
      </c>
      <c r="J3852" s="15" t="s">
        <v>8</v>
      </c>
      <c r="N3852" s="15" t="s">
        <v>8</v>
      </c>
      <c r="O3852" s="15" t="s">
        <v>8</v>
      </c>
      <c r="P3852" s="15" t="s">
        <v>8</v>
      </c>
      <c r="Q3852" s="15" t="s">
        <v>8</v>
      </c>
      <c r="X3852" s="15" t="s">
        <v>8</v>
      </c>
      <c r="Y3852" s="19" t="str">
        <f>HYPERLINK("http://yeinfo.com/family/I09066543.html", "THOMAS MARMION 1286 EN-1350  ID:09066596")</f>
        <v>THOMAS MARMION 1286 EN-1350  ID:09066596</v>
      </c>
      <c r="Z3852" s="9"/>
      <c r="AA3852" s="9"/>
      <c r="AB3852" s="9"/>
      <c r="AC3852" s="9"/>
    </row>
    <row r="3853" spans="3:30" x14ac:dyDescent="0.35">
      <c r="C3853" s="15" t="s">
        <v>8</v>
      </c>
      <c r="D3853" s="15" t="s">
        <v>8</v>
      </c>
      <c r="E3853" s="15" t="s">
        <v>8</v>
      </c>
      <c r="F3853" s="15" t="s">
        <v>8</v>
      </c>
      <c r="H3853" s="15" t="s">
        <v>8</v>
      </c>
      <c r="I3853" s="15" t="s">
        <v>8</v>
      </c>
      <c r="J3853" s="15" t="s">
        <v>8</v>
      </c>
      <c r="N3853" s="15" t="s">
        <v>8</v>
      </c>
      <c r="O3853" s="15" t="s">
        <v>8</v>
      </c>
      <c r="P3853" s="15" t="s">
        <v>8</v>
      </c>
      <c r="Q3853" s="15" t="s">
        <v>8</v>
      </c>
      <c r="X3853" s="15" t="s">
        <v>8</v>
      </c>
      <c r="Y3853" s="8" t="s">
        <v>3</v>
      </c>
      <c r="Z3853" s="8" t="s">
        <v>6</v>
      </c>
    </row>
    <row r="3854" spans="3:30" x14ac:dyDescent="0.35">
      <c r="C3854" s="15" t="s">
        <v>8</v>
      </c>
      <c r="D3854" s="15" t="s">
        <v>8</v>
      </c>
      <c r="E3854" s="15" t="s">
        <v>8</v>
      </c>
      <c r="F3854" s="15" t="s">
        <v>8</v>
      </c>
      <c r="H3854" s="15" t="s">
        <v>8</v>
      </c>
      <c r="I3854" s="15" t="s">
        <v>8</v>
      </c>
      <c r="J3854" s="15" t="s">
        <v>8</v>
      </c>
      <c r="N3854" s="15" t="s">
        <v>8</v>
      </c>
      <c r="O3854" s="15" t="s">
        <v>8</v>
      </c>
      <c r="P3854" s="15" t="s">
        <v>8</v>
      </c>
      <c r="Q3854" s="15" t="s">
        <v>8</v>
      </c>
      <c r="X3854" s="15" t="s">
        <v>8</v>
      </c>
      <c r="Y3854" s="15" t="s">
        <v>8</v>
      </c>
      <c r="Z3854" s="20" t="str">
        <f>HYPERLINK("http://yeinfo.com/family/I09066659.html", "MARGERY NOTTINGHAM 1263 EN-1300 EN ID:09066660")</f>
        <v>MARGERY NOTTINGHAM 1263 EN-1300 EN ID:09066660</v>
      </c>
      <c r="AA3854" s="17"/>
      <c r="AB3854" s="17"/>
      <c r="AC3854" s="17"/>
      <c r="AD3854" s="17"/>
    </row>
    <row r="3855" spans="3:30" x14ac:dyDescent="0.35">
      <c r="C3855" s="15" t="s">
        <v>8</v>
      </c>
      <c r="D3855" s="15" t="s">
        <v>8</v>
      </c>
      <c r="E3855" s="15" t="s">
        <v>8</v>
      </c>
      <c r="F3855" s="15" t="s">
        <v>8</v>
      </c>
      <c r="H3855" s="15" t="s">
        <v>8</v>
      </c>
      <c r="I3855" s="15" t="s">
        <v>8</v>
      </c>
      <c r="J3855" s="15" t="s">
        <v>8</v>
      </c>
      <c r="N3855" s="15" t="s">
        <v>8</v>
      </c>
      <c r="O3855" s="15" t="s">
        <v>8</v>
      </c>
      <c r="P3855" s="15" t="s">
        <v>8</v>
      </c>
      <c r="Q3855" s="15" t="s">
        <v>8</v>
      </c>
      <c r="X3855" s="8" t="s">
        <v>6</v>
      </c>
      <c r="Y3855" s="15" t="s">
        <v>8</v>
      </c>
    </row>
    <row r="3856" spans="3:30" x14ac:dyDescent="0.35">
      <c r="C3856" s="15" t="s">
        <v>8</v>
      </c>
      <c r="D3856" s="15" t="s">
        <v>8</v>
      </c>
      <c r="E3856" s="15" t="s">
        <v>8</v>
      </c>
      <c r="F3856" s="15" t="s">
        <v>8</v>
      </c>
      <c r="H3856" s="15" t="s">
        <v>8</v>
      </c>
      <c r="I3856" s="15" t="s">
        <v>8</v>
      </c>
      <c r="J3856" s="15" t="s">
        <v>8</v>
      </c>
      <c r="N3856" s="15" t="s">
        <v>8</v>
      </c>
      <c r="O3856" s="15" t="s">
        <v>8</v>
      </c>
      <c r="P3856" s="15" t="s">
        <v>8</v>
      </c>
      <c r="Q3856" s="15" t="s">
        <v>8</v>
      </c>
      <c r="X3856" s="20" t="str">
        <f>HYPERLINK("http://yeinfo.com/family/I09066542.html", "ALICE MARMION 1320 EN-1367  ID:09066543")</f>
        <v>ALICE MARMION 1320 EN-1367  ID:09066543</v>
      </c>
      <c r="Y3856" s="17"/>
      <c r="Z3856" s="17"/>
      <c r="AA3856" s="17"/>
      <c r="AB3856" s="17"/>
    </row>
    <row r="3857" spans="3:29" x14ac:dyDescent="0.35">
      <c r="C3857" s="15" t="s">
        <v>8</v>
      </c>
      <c r="D3857" s="15" t="s">
        <v>8</v>
      </c>
      <c r="E3857" s="15" t="s">
        <v>8</v>
      </c>
      <c r="F3857" s="15" t="s">
        <v>8</v>
      </c>
      <c r="H3857" s="15" t="s">
        <v>8</v>
      </c>
      <c r="I3857" s="15" t="s">
        <v>8</v>
      </c>
      <c r="J3857" s="15" t="s">
        <v>8</v>
      </c>
      <c r="N3857" s="15" t="s">
        <v>8</v>
      </c>
      <c r="O3857" s="15" t="s">
        <v>8</v>
      </c>
      <c r="P3857" s="15" t="s">
        <v>8</v>
      </c>
      <c r="Q3857" s="15" t="s">
        <v>8</v>
      </c>
      <c r="Y3857" s="8" t="s">
        <v>6</v>
      </c>
    </row>
    <row r="3858" spans="3:29" x14ac:dyDescent="0.35">
      <c r="C3858" s="15" t="s">
        <v>8</v>
      </c>
      <c r="D3858" s="15" t="s">
        <v>8</v>
      </c>
      <c r="E3858" s="15" t="s">
        <v>8</v>
      </c>
      <c r="F3858" s="15" t="s">
        <v>8</v>
      </c>
      <c r="H3858" s="15" t="s">
        <v>8</v>
      </c>
      <c r="I3858" s="15" t="s">
        <v>8</v>
      </c>
      <c r="J3858" s="15" t="s">
        <v>8</v>
      </c>
      <c r="N3858" s="15" t="s">
        <v>8</v>
      </c>
      <c r="O3858" s="15" t="s">
        <v>8</v>
      </c>
      <c r="P3858" s="15" t="s">
        <v>8</v>
      </c>
      <c r="Q3858" s="15" t="s">
        <v>8</v>
      </c>
      <c r="Y3858" s="20" t="str">
        <f>HYPERLINK("http://yeinfo.com/family/I09066660.html", "Mrs. AGNES MARMION 1298 EN-1320 EN ID:09066597")</f>
        <v>Mrs. AGNES MARMION 1298 EN-1320 EN ID:09066597</v>
      </c>
      <c r="Z3858" s="17"/>
      <c r="AA3858" s="17"/>
      <c r="AB3858" s="17"/>
      <c r="AC3858" s="17"/>
    </row>
    <row r="3859" spans="3:29" x14ac:dyDescent="0.35">
      <c r="C3859" s="15" t="s">
        <v>8</v>
      </c>
      <c r="D3859" s="15" t="s">
        <v>8</v>
      </c>
      <c r="E3859" s="15" t="s">
        <v>8</v>
      </c>
      <c r="F3859" s="15" t="s">
        <v>8</v>
      </c>
      <c r="H3859" s="15" t="s">
        <v>8</v>
      </c>
      <c r="I3859" s="15" t="s">
        <v>8</v>
      </c>
      <c r="J3859" s="15" t="s">
        <v>8</v>
      </c>
      <c r="N3859" s="15" t="s">
        <v>8</v>
      </c>
      <c r="O3859" s="15" t="s">
        <v>8</v>
      </c>
      <c r="P3859" s="8" t="s">
        <v>6</v>
      </c>
      <c r="Q3859" s="15" t="s">
        <v>8</v>
      </c>
    </row>
    <row r="3860" spans="3:29" x14ac:dyDescent="0.35">
      <c r="C3860" s="15" t="s">
        <v>8</v>
      </c>
      <c r="D3860" s="15" t="s">
        <v>8</v>
      </c>
      <c r="E3860" s="15" t="s">
        <v>8</v>
      </c>
      <c r="F3860" s="15" t="s">
        <v>8</v>
      </c>
      <c r="H3860" s="15" t="s">
        <v>8</v>
      </c>
      <c r="I3860" s="15" t="s">
        <v>8</v>
      </c>
      <c r="J3860" s="15" t="s">
        <v>8</v>
      </c>
      <c r="N3860" s="15" t="s">
        <v>8</v>
      </c>
      <c r="O3860" s="15" t="s">
        <v>8</v>
      </c>
      <c r="P3860" s="20" t="str">
        <f>HYPERLINK("http://yeinfo.com/family/I09065840.html", "MARY ISAACKE 1552 EN-1613 EN ID:09021693")</f>
        <v>MARY ISAACKE 1552 EN-1613 EN ID:09021693</v>
      </c>
      <c r="Q3860" s="17"/>
      <c r="R3860" s="17"/>
      <c r="S3860" s="17"/>
      <c r="T3860" s="17"/>
    </row>
    <row r="3861" spans="3:29" x14ac:dyDescent="0.35">
      <c r="C3861" s="15" t="s">
        <v>8</v>
      </c>
      <c r="D3861" s="15" t="s">
        <v>8</v>
      </c>
      <c r="E3861" s="15" t="s">
        <v>8</v>
      </c>
      <c r="F3861" s="15" t="s">
        <v>8</v>
      </c>
      <c r="H3861" s="15" t="s">
        <v>8</v>
      </c>
      <c r="I3861" s="15" t="s">
        <v>8</v>
      </c>
      <c r="J3861" s="15" t="s">
        <v>8</v>
      </c>
      <c r="N3861" s="15" t="s">
        <v>8</v>
      </c>
      <c r="O3861" s="15" t="s">
        <v>8</v>
      </c>
      <c r="Q3861" s="15" t="s">
        <v>8</v>
      </c>
    </row>
    <row r="3862" spans="3:29" x14ac:dyDescent="0.35">
      <c r="C3862" s="15" t="s">
        <v>8</v>
      </c>
      <c r="D3862" s="15" t="s">
        <v>8</v>
      </c>
      <c r="E3862" s="15" t="s">
        <v>8</v>
      </c>
      <c r="F3862" s="15" t="s">
        <v>8</v>
      </c>
      <c r="H3862" s="15" t="s">
        <v>8</v>
      </c>
      <c r="I3862" s="15" t="s">
        <v>8</v>
      </c>
      <c r="J3862" s="15" t="s">
        <v>8</v>
      </c>
      <c r="N3862" s="15" t="s">
        <v>8</v>
      </c>
      <c r="O3862" s="15" t="s">
        <v>8</v>
      </c>
      <c r="Q3862" s="15" t="s">
        <v>8</v>
      </c>
      <c r="T3862" s="19" t="str">
        <f>HYPERLINK("http://yeinfo.com/family/I09065710.html", "RICHARD WHETEHILL 1410 EN-1485 FR ID:09065849")</f>
        <v>RICHARD WHETEHILL 1410 EN-1485 FR ID:09065849</v>
      </c>
      <c r="U3862" s="9"/>
      <c r="V3862" s="9"/>
      <c r="W3862" s="9"/>
      <c r="X3862" s="9"/>
    </row>
    <row r="3863" spans="3:29" x14ac:dyDescent="0.35">
      <c r="C3863" s="15" t="s">
        <v>8</v>
      </c>
      <c r="D3863" s="15" t="s">
        <v>8</v>
      </c>
      <c r="E3863" s="15" t="s">
        <v>8</v>
      </c>
      <c r="F3863" s="15" t="s">
        <v>8</v>
      </c>
      <c r="H3863" s="15" t="s">
        <v>8</v>
      </c>
      <c r="I3863" s="15" t="s">
        <v>8</v>
      </c>
      <c r="J3863" s="15" t="s">
        <v>8</v>
      </c>
      <c r="N3863" s="15" t="s">
        <v>8</v>
      </c>
      <c r="O3863" s="15" t="s">
        <v>8</v>
      </c>
      <c r="Q3863" s="15" t="s">
        <v>8</v>
      </c>
      <c r="T3863" s="8" t="s">
        <v>3</v>
      </c>
    </row>
    <row r="3864" spans="3:29" x14ac:dyDescent="0.35">
      <c r="C3864" s="15" t="s">
        <v>8</v>
      </c>
      <c r="D3864" s="15" t="s">
        <v>8</v>
      </c>
      <c r="E3864" s="15" t="s">
        <v>8</v>
      </c>
      <c r="F3864" s="15" t="s">
        <v>8</v>
      </c>
      <c r="H3864" s="15" t="s">
        <v>8</v>
      </c>
      <c r="I3864" s="15" t="s">
        <v>8</v>
      </c>
      <c r="J3864" s="15" t="s">
        <v>8</v>
      </c>
      <c r="N3864" s="15" t="s">
        <v>8</v>
      </c>
      <c r="O3864" s="15" t="s">
        <v>8</v>
      </c>
      <c r="Q3864" s="15" t="s">
        <v>8</v>
      </c>
      <c r="S3864" s="19" t="str">
        <f>HYPERLINK("http://yeinfo.com/family/I09065571.html", "ADRIAN WHETEHILL 1435 FR-1503 EN ID:09065710")</f>
        <v>ADRIAN WHETEHILL 1435 FR-1503 EN ID:09065710</v>
      </c>
      <c r="T3864" s="9"/>
      <c r="U3864" s="9"/>
      <c r="V3864" s="9"/>
      <c r="W3864" s="9"/>
    </row>
    <row r="3865" spans="3:29" x14ac:dyDescent="0.35">
      <c r="C3865" s="15" t="s">
        <v>8</v>
      </c>
      <c r="D3865" s="15" t="s">
        <v>8</v>
      </c>
      <c r="E3865" s="15" t="s">
        <v>8</v>
      </c>
      <c r="F3865" s="15" t="s">
        <v>8</v>
      </c>
      <c r="H3865" s="15" t="s">
        <v>8</v>
      </c>
      <c r="I3865" s="15" t="s">
        <v>8</v>
      </c>
      <c r="J3865" s="15" t="s">
        <v>8</v>
      </c>
      <c r="N3865" s="15" t="s">
        <v>8</v>
      </c>
      <c r="O3865" s="15" t="s">
        <v>8</v>
      </c>
      <c r="Q3865" s="15" t="s">
        <v>8</v>
      </c>
      <c r="S3865" s="8" t="s">
        <v>3</v>
      </c>
      <c r="T3865" s="8" t="s">
        <v>6</v>
      </c>
    </row>
    <row r="3866" spans="3:29" x14ac:dyDescent="0.35">
      <c r="C3866" s="15" t="s">
        <v>8</v>
      </c>
      <c r="D3866" s="15" t="s">
        <v>8</v>
      </c>
      <c r="E3866" s="15" t="s">
        <v>8</v>
      </c>
      <c r="F3866" s="15" t="s">
        <v>8</v>
      </c>
      <c r="H3866" s="15" t="s">
        <v>8</v>
      </c>
      <c r="I3866" s="15" t="s">
        <v>8</v>
      </c>
      <c r="J3866" s="15" t="s">
        <v>8</v>
      </c>
      <c r="N3866" s="15" t="s">
        <v>8</v>
      </c>
      <c r="O3866" s="15" t="s">
        <v>8</v>
      </c>
      <c r="Q3866" s="15" t="s">
        <v>8</v>
      </c>
      <c r="S3866" s="15" t="s">
        <v>8</v>
      </c>
      <c r="T3866" s="20" t="str">
        <f>HYPERLINK("http://yeinfo.com/family/I09065849.html", "JOAN MARROW 1410 EN-1448 WL ID:09065850")</f>
        <v>JOAN MARROW 1410 EN-1448 WL ID:09065850</v>
      </c>
      <c r="U3866" s="17"/>
      <c r="V3866" s="17"/>
      <c r="W3866" s="17"/>
      <c r="X3866" s="17"/>
    </row>
    <row r="3867" spans="3:29" x14ac:dyDescent="0.35">
      <c r="C3867" s="15" t="s">
        <v>8</v>
      </c>
      <c r="D3867" s="15" t="s">
        <v>8</v>
      </c>
      <c r="E3867" s="15" t="s">
        <v>8</v>
      </c>
      <c r="F3867" s="15" t="s">
        <v>8</v>
      </c>
      <c r="H3867" s="15" t="s">
        <v>8</v>
      </c>
      <c r="I3867" s="15" t="s">
        <v>8</v>
      </c>
      <c r="J3867" s="15" t="s">
        <v>8</v>
      </c>
      <c r="N3867" s="15" t="s">
        <v>8</v>
      </c>
      <c r="O3867" s="15" t="s">
        <v>8</v>
      </c>
      <c r="Q3867" s="15" t="s">
        <v>8</v>
      </c>
      <c r="S3867" s="15" t="s">
        <v>8</v>
      </c>
    </row>
    <row r="3868" spans="3:29" x14ac:dyDescent="0.35">
      <c r="C3868" s="15" t="s">
        <v>8</v>
      </c>
      <c r="D3868" s="15" t="s">
        <v>8</v>
      </c>
      <c r="E3868" s="15" t="s">
        <v>8</v>
      </c>
      <c r="F3868" s="15" t="s">
        <v>8</v>
      </c>
      <c r="H3868" s="15" t="s">
        <v>8</v>
      </c>
      <c r="I3868" s="15" t="s">
        <v>8</v>
      </c>
      <c r="J3868" s="15" t="s">
        <v>8</v>
      </c>
      <c r="N3868" s="15" t="s">
        <v>8</v>
      </c>
      <c r="O3868" s="15" t="s">
        <v>8</v>
      </c>
      <c r="Q3868" s="15" t="s">
        <v>8</v>
      </c>
      <c r="R3868" s="19" t="str">
        <f>HYPERLINK("http://yeinfo.com/family/I09043387.html", "RICHARD WHETEHILL 1465 FR-1537 FR ID:09065571")</f>
        <v>RICHARD WHETEHILL 1465 FR-1537 FR ID:09065571</v>
      </c>
      <c r="S3868" s="9"/>
      <c r="T3868" s="9"/>
      <c r="U3868" s="9"/>
      <c r="V3868" s="9"/>
    </row>
    <row r="3869" spans="3:29" x14ac:dyDescent="0.35">
      <c r="C3869" s="15" t="s">
        <v>8</v>
      </c>
      <c r="D3869" s="15" t="s">
        <v>8</v>
      </c>
      <c r="E3869" s="15" t="s">
        <v>8</v>
      </c>
      <c r="F3869" s="15" t="s">
        <v>8</v>
      </c>
      <c r="H3869" s="15" t="s">
        <v>8</v>
      </c>
      <c r="I3869" s="15" t="s">
        <v>8</v>
      </c>
      <c r="J3869" s="15" t="s">
        <v>8</v>
      </c>
      <c r="N3869" s="15" t="s">
        <v>8</v>
      </c>
      <c r="O3869" s="15" t="s">
        <v>8</v>
      </c>
      <c r="Q3869" s="15" t="s">
        <v>8</v>
      </c>
      <c r="R3869" s="8" t="s">
        <v>3</v>
      </c>
      <c r="S3869" s="15" t="s">
        <v>8</v>
      </c>
    </row>
    <row r="3870" spans="3:29" x14ac:dyDescent="0.35">
      <c r="C3870" s="15" t="s">
        <v>8</v>
      </c>
      <c r="D3870" s="15" t="s">
        <v>8</v>
      </c>
      <c r="E3870" s="15" t="s">
        <v>8</v>
      </c>
      <c r="F3870" s="15" t="s">
        <v>8</v>
      </c>
      <c r="H3870" s="15" t="s">
        <v>8</v>
      </c>
      <c r="I3870" s="15" t="s">
        <v>8</v>
      </c>
      <c r="J3870" s="15" t="s">
        <v>8</v>
      </c>
      <c r="N3870" s="15" t="s">
        <v>8</v>
      </c>
      <c r="O3870" s="15" t="s">
        <v>8</v>
      </c>
      <c r="Q3870" s="15" t="s">
        <v>8</v>
      </c>
      <c r="R3870" s="15" t="s">
        <v>8</v>
      </c>
      <c r="S3870" s="15" t="s">
        <v>8</v>
      </c>
      <c r="V3870" s="19" t="str">
        <f>HYPERLINK("http://yeinfo.com/family/I09066027.html", "ROBERT WORSLEY 1345 EN-1402 EN ID:09066217")</f>
        <v>ROBERT WORSLEY 1345 EN-1402 EN ID:09066217</v>
      </c>
      <c r="W3870" s="9"/>
      <c r="X3870" s="9"/>
      <c r="Y3870" s="9"/>
      <c r="Z3870" s="9"/>
    </row>
    <row r="3871" spans="3:29" x14ac:dyDescent="0.35">
      <c r="C3871" s="15" t="s">
        <v>8</v>
      </c>
      <c r="D3871" s="15" t="s">
        <v>8</v>
      </c>
      <c r="E3871" s="15" t="s">
        <v>8</v>
      </c>
      <c r="F3871" s="15" t="s">
        <v>8</v>
      </c>
      <c r="H3871" s="15" t="s">
        <v>8</v>
      </c>
      <c r="I3871" s="15" t="s">
        <v>8</v>
      </c>
      <c r="J3871" s="15" t="s">
        <v>8</v>
      </c>
      <c r="N3871" s="15" t="s">
        <v>8</v>
      </c>
      <c r="O3871" s="15" t="s">
        <v>8</v>
      </c>
      <c r="Q3871" s="15" t="s">
        <v>8</v>
      </c>
      <c r="R3871" s="15" t="s">
        <v>8</v>
      </c>
      <c r="S3871" s="15" t="s">
        <v>8</v>
      </c>
      <c r="V3871" s="8" t="s">
        <v>3</v>
      </c>
    </row>
    <row r="3872" spans="3:29" x14ac:dyDescent="0.35">
      <c r="C3872" s="15" t="s">
        <v>8</v>
      </c>
      <c r="D3872" s="15" t="s">
        <v>8</v>
      </c>
      <c r="E3872" s="15" t="s">
        <v>8</v>
      </c>
      <c r="F3872" s="15" t="s">
        <v>8</v>
      </c>
      <c r="H3872" s="15" t="s">
        <v>8</v>
      </c>
      <c r="I3872" s="15" t="s">
        <v>8</v>
      </c>
      <c r="J3872" s="15" t="s">
        <v>8</v>
      </c>
      <c r="N3872" s="15" t="s">
        <v>8</v>
      </c>
      <c r="O3872" s="15" t="s">
        <v>8</v>
      </c>
      <c r="Q3872" s="15" t="s">
        <v>8</v>
      </c>
      <c r="R3872" s="15" t="s">
        <v>8</v>
      </c>
      <c r="S3872" s="15" t="s">
        <v>8</v>
      </c>
      <c r="U3872" s="19" t="str">
        <f>HYPERLINK("http://yeinfo.com/family/I09065851.html", "RICHARD WORSLEY 1358 -1414 EN ID:09066027")</f>
        <v>RICHARD WORSLEY 1358 -1414 EN ID:09066027</v>
      </c>
      <c r="V3872" s="9"/>
      <c r="W3872" s="9"/>
      <c r="X3872" s="9"/>
      <c r="Y3872" s="9"/>
    </row>
    <row r="3873" spans="3:29" x14ac:dyDescent="0.35">
      <c r="C3873" s="15" t="s">
        <v>8</v>
      </c>
      <c r="D3873" s="15" t="s">
        <v>8</v>
      </c>
      <c r="E3873" s="15" t="s">
        <v>8</v>
      </c>
      <c r="F3873" s="15" t="s">
        <v>8</v>
      </c>
      <c r="H3873" s="15" t="s">
        <v>8</v>
      </c>
      <c r="I3873" s="15" t="s">
        <v>8</v>
      </c>
      <c r="J3873" s="15" t="s">
        <v>8</v>
      </c>
      <c r="N3873" s="15" t="s">
        <v>8</v>
      </c>
      <c r="O3873" s="15" t="s">
        <v>8</v>
      </c>
      <c r="Q3873" s="15" t="s">
        <v>8</v>
      </c>
      <c r="R3873" s="15" t="s">
        <v>8</v>
      </c>
      <c r="S3873" s="15" t="s">
        <v>8</v>
      </c>
      <c r="U3873" s="8" t="s">
        <v>3</v>
      </c>
      <c r="V3873" s="15" t="s">
        <v>8</v>
      </c>
    </row>
    <row r="3874" spans="3:29" x14ac:dyDescent="0.35">
      <c r="C3874" s="15" t="s">
        <v>8</v>
      </c>
      <c r="D3874" s="15" t="s">
        <v>8</v>
      </c>
      <c r="E3874" s="15" t="s">
        <v>8</v>
      </c>
      <c r="F3874" s="15" t="s">
        <v>8</v>
      </c>
      <c r="H3874" s="15" t="s">
        <v>8</v>
      </c>
      <c r="I3874" s="15" t="s">
        <v>8</v>
      </c>
      <c r="J3874" s="15" t="s">
        <v>8</v>
      </c>
      <c r="N3874" s="15" t="s">
        <v>8</v>
      </c>
      <c r="O3874" s="15" t="s">
        <v>8</v>
      </c>
      <c r="Q3874" s="15" t="s">
        <v>8</v>
      </c>
      <c r="R3874" s="15" t="s">
        <v>8</v>
      </c>
      <c r="S3874" s="15" t="s">
        <v>8</v>
      </c>
      <c r="U3874" s="15" t="s">
        <v>8</v>
      </c>
      <c r="V3874" s="15" t="s">
        <v>8</v>
      </c>
      <c r="Y3874" s="19" t="str">
        <f>HYPERLINK("http://yeinfo.com/family/I09066981.html", "HENRY TRAFFORD &lt;9&gt; 1225 EN-1264 EN ID:09066981")</f>
        <v>HENRY TRAFFORD &lt;9&gt; 1225 EN-1264 EN ID:09066981</v>
      </c>
      <c r="Z3874" s="9"/>
      <c r="AA3874" s="9"/>
      <c r="AB3874" s="9"/>
      <c r="AC3874" s="9"/>
    </row>
    <row r="3875" spans="3:29" x14ac:dyDescent="0.35">
      <c r="C3875" s="15" t="s">
        <v>8</v>
      </c>
      <c r="D3875" s="15" t="s">
        <v>8</v>
      </c>
      <c r="E3875" s="15" t="s">
        <v>8</v>
      </c>
      <c r="F3875" s="15" t="s">
        <v>8</v>
      </c>
      <c r="H3875" s="15" t="s">
        <v>8</v>
      </c>
      <c r="I3875" s="15" t="s">
        <v>8</v>
      </c>
      <c r="J3875" s="15" t="s">
        <v>8</v>
      </c>
      <c r="N3875" s="15" t="s">
        <v>8</v>
      </c>
      <c r="O3875" s="15" t="s">
        <v>8</v>
      </c>
      <c r="Q3875" s="15" t="s">
        <v>8</v>
      </c>
      <c r="R3875" s="15" t="s">
        <v>8</v>
      </c>
      <c r="S3875" s="15" t="s">
        <v>8</v>
      </c>
      <c r="U3875" s="15" t="s">
        <v>8</v>
      </c>
      <c r="V3875" s="15" t="s">
        <v>8</v>
      </c>
      <c r="Y3875" s="8" t="s">
        <v>3</v>
      </c>
    </row>
    <row r="3876" spans="3:29" x14ac:dyDescent="0.35">
      <c r="C3876" s="15" t="s">
        <v>8</v>
      </c>
      <c r="D3876" s="15" t="s">
        <v>8</v>
      </c>
      <c r="E3876" s="15" t="s">
        <v>8</v>
      </c>
      <c r="F3876" s="15" t="s">
        <v>8</v>
      </c>
      <c r="H3876" s="15" t="s">
        <v>8</v>
      </c>
      <c r="I3876" s="15" t="s">
        <v>8</v>
      </c>
      <c r="J3876" s="15" t="s">
        <v>8</v>
      </c>
      <c r="N3876" s="15" t="s">
        <v>8</v>
      </c>
      <c r="O3876" s="15" t="s">
        <v>8</v>
      </c>
      <c r="Q3876" s="15" t="s">
        <v>8</v>
      </c>
      <c r="R3876" s="15" t="s">
        <v>8</v>
      </c>
      <c r="S3876" s="15" t="s">
        <v>8</v>
      </c>
      <c r="U3876" s="15" t="s">
        <v>8</v>
      </c>
      <c r="V3876" s="15" t="s">
        <v>8</v>
      </c>
      <c r="X3876" s="19" t="str">
        <f>HYPERLINK("http://yeinfo.com/family/I09066434.html", "JOHN TRAFFORD &lt;9&gt; 1264 EN-1340 EN ID:09066434")</f>
        <v>JOHN TRAFFORD &lt;9&gt; 1264 EN-1340 EN ID:09066434</v>
      </c>
      <c r="Y3876" s="9"/>
      <c r="Z3876" s="9"/>
      <c r="AA3876" s="9"/>
      <c r="AB3876" s="9"/>
    </row>
    <row r="3877" spans="3:29" x14ac:dyDescent="0.35">
      <c r="C3877" s="15" t="s">
        <v>8</v>
      </c>
      <c r="D3877" s="15" t="s">
        <v>8</v>
      </c>
      <c r="E3877" s="15" t="s">
        <v>8</v>
      </c>
      <c r="F3877" s="15" t="s">
        <v>8</v>
      </c>
      <c r="H3877" s="15" t="s">
        <v>8</v>
      </c>
      <c r="I3877" s="15" t="s">
        <v>8</v>
      </c>
      <c r="J3877" s="15" t="s">
        <v>8</v>
      </c>
      <c r="N3877" s="15" t="s">
        <v>8</v>
      </c>
      <c r="O3877" s="15" t="s">
        <v>8</v>
      </c>
      <c r="Q3877" s="15" t="s">
        <v>8</v>
      </c>
      <c r="R3877" s="15" t="s">
        <v>8</v>
      </c>
      <c r="S3877" s="15" t="s">
        <v>8</v>
      </c>
      <c r="U3877" s="15" t="s">
        <v>8</v>
      </c>
      <c r="V3877" s="15" t="s">
        <v>8</v>
      </c>
      <c r="X3877" s="8" t="s">
        <v>3</v>
      </c>
      <c r="Y3877" s="8" t="s">
        <v>6</v>
      </c>
    </row>
    <row r="3878" spans="3:29" x14ac:dyDescent="0.35">
      <c r="C3878" s="15" t="s">
        <v>8</v>
      </c>
      <c r="D3878" s="15" t="s">
        <v>8</v>
      </c>
      <c r="E3878" s="15" t="s">
        <v>8</v>
      </c>
      <c r="F3878" s="15" t="s">
        <v>8</v>
      </c>
      <c r="H3878" s="15" t="s">
        <v>8</v>
      </c>
      <c r="I3878" s="15" t="s">
        <v>8</v>
      </c>
      <c r="J3878" s="15" t="s">
        <v>8</v>
      </c>
      <c r="N3878" s="15" t="s">
        <v>8</v>
      </c>
      <c r="O3878" s="15" t="s">
        <v>8</v>
      </c>
      <c r="Q3878" s="15" t="s">
        <v>8</v>
      </c>
      <c r="R3878" s="15" t="s">
        <v>8</v>
      </c>
      <c r="S3878" s="15" t="s">
        <v>8</v>
      </c>
      <c r="U3878" s="15" t="s">
        <v>8</v>
      </c>
      <c r="V3878" s="15" t="s">
        <v>8</v>
      </c>
      <c r="X3878" s="15" t="s">
        <v>8</v>
      </c>
      <c r="Y3878" s="20" t="str">
        <f>HYPERLINK("http://yeinfo.com/family/I09066980.html", "Mrs. MARGARET TRAFFORD &lt;9&gt; 1236 EN-1334 EN ID:09066980")</f>
        <v>Mrs. MARGARET TRAFFORD &lt;9&gt; 1236 EN-1334 EN ID:09066980</v>
      </c>
      <c r="Z3878" s="17"/>
      <c r="AA3878" s="17"/>
      <c r="AB3878" s="17"/>
      <c r="AC3878" s="17"/>
    </row>
    <row r="3879" spans="3:29" x14ac:dyDescent="0.35">
      <c r="C3879" s="15" t="s">
        <v>8</v>
      </c>
      <c r="D3879" s="15" t="s">
        <v>8</v>
      </c>
      <c r="E3879" s="15" t="s">
        <v>8</v>
      </c>
      <c r="F3879" s="15" t="s">
        <v>8</v>
      </c>
      <c r="H3879" s="15" t="s">
        <v>8</v>
      </c>
      <c r="I3879" s="15" t="s">
        <v>8</v>
      </c>
      <c r="J3879" s="15" t="s">
        <v>8</v>
      </c>
      <c r="N3879" s="15" t="s">
        <v>8</v>
      </c>
      <c r="O3879" s="15" t="s">
        <v>8</v>
      </c>
      <c r="Q3879" s="15" t="s">
        <v>8</v>
      </c>
      <c r="R3879" s="15" t="s">
        <v>8</v>
      </c>
      <c r="S3879" s="15" t="s">
        <v>8</v>
      </c>
      <c r="U3879" s="15" t="s">
        <v>8</v>
      </c>
      <c r="V3879" s="15" t="s">
        <v>8</v>
      </c>
      <c r="X3879" s="15" t="s">
        <v>8</v>
      </c>
    </row>
    <row r="3880" spans="3:29" x14ac:dyDescent="0.35">
      <c r="C3880" s="15" t="s">
        <v>8</v>
      </c>
      <c r="D3880" s="15" t="s">
        <v>8</v>
      </c>
      <c r="E3880" s="15" t="s">
        <v>8</v>
      </c>
      <c r="F3880" s="15" t="s">
        <v>8</v>
      </c>
      <c r="H3880" s="15" t="s">
        <v>8</v>
      </c>
      <c r="I3880" s="15" t="s">
        <v>8</v>
      </c>
      <c r="J3880" s="15" t="s">
        <v>8</v>
      </c>
      <c r="N3880" s="15" t="s">
        <v>8</v>
      </c>
      <c r="O3880" s="15" t="s">
        <v>8</v>
      </c>
      <c r="Q3880" s="15" t="s">
        <v>8</v>
      </c>
      <c r="R3880" s="15" t="s">
        <v>8</v>
      </c>
      <c r="S3880" s="15" t="s">
        <v>8</v>
      </c>
      <c r="U3880" s="15" t="s">
        <v>8</v>
      </c>
      <c r="V3880" s="15" t="s">
        <v>8</v>
      </c>
      <c r="W3880" s="19" t="str">
        <f>HYPERLINK("http://yeinfo.com/family/I09066317.html", "HENRY TRAFFORD &lt;9&gt; 1292 EN-1370 EN ID:09066317")</f>
        <v>HENRY TRAFFORD &lt;9&gt; 1292 EN-1370 EN ID:09066317</v>
      </c>
      <c r="X3880" s="9"/>
      <c r="Y3880" s="9"/>
      <c r="Z3880" s="9"/>
      <c r="AA3880" s="9"/>
    </row>
    <row r="3881" spans="3:29" x14ac:dyDescent="0.35">
      <c r="C3881" s="15" t="s">
        <v>8</v>
      </c>
      <c r="D3881" s="15" t="s">
        <v>8</v>
      </c>
      <c r="E3881" s="15" t="s">
        <v>8</v>
      </c>
      <c r="F3881" s="15" t="s">
        <v>8</v>
      </c>
      <c r="H3881" s="15" t="s">
        <v>8</v>
      </c>
      <c r="I3881" s="15" t="s">
        <v>8</v>
      </c>
      <c r="J3881" s="15" t="s">
        <v>8</v>
      </c>
      <c r="N3881" s="15" t="s">
        <v>8</v>
      </c>
      <c r="O3881" s="15" t="s">
        <v>8</v>
      </c>
      <c r="Q3881" s="15" t="s">
        <v>8</v>
      </c>
      <c r="R3881" s="15" t="s">
        <v>8</v>
      </c>
      <c r="S3881" s="15" t="s">
        <v>8</v>
      </c>
      <c r="U3881" s="15" t="s">
        <v>8</v>
      </c>
      <c r="V3881" s="15" t="s">
        <v>8</v>
      </c>
      <c r="W3881" s="8" t="s">
        <v>3</v>
      </c>
      <c r="X3881" s="8" t="s">
        <v>6</v>
      </c>
    </row>
    <row r="3882" spans="3:29" x14ac:dyDescent="0.35">
      <c r="C3882" s="15" t="s">
        <v>8</v>
      </c>
      <c r="D3882" s="15" t="s">
        <v>8</v>
      </c>
      <c r="E3882" s="15" t="s">
        <v>8</v>
      </c>
      <c r="F3882" s="15" t="s">
        <v>8</v>
      </c>
      <c r="H3882" s="15" t="s">
        <v>8</v>
      </c>
      <c r="I3882" s="15" t="s">
        <v>8</v>
      </c>
      <c r="J3882" s="15" t="s">
        <v>8</v>
      </c>
      <c r="N3882" s="15" t="s">
        <v>8</v>
      </c>
      <c r="O3882" s="15" t="s">
        <v>8</v>
      </c>
      <c r="Q3882" s="15" t="s">
        <v>8</v>
      </c>
      <c r="R3882" s="15" t="s">
        <v>8</v>
      </c>
      <c r="S3882" s="15" t="s">
        <v>8</v>
      </c>
      <c r="U3882" s="15" t="s">
        <v>8</v>
      </c>
      <c r="V3882" s="15" t="s">
        <v>8</v>
      </c>
      <c r="W3882" s="15" t="s">
        <v>8</v>
      </c>
      <c r="X3882" s="20" t="str">
        <f>HYPERLINK("http://yeinfo.com/family/I09066433.html", "ELIZABETH ASHTON &lt;9&gt; 1268 EN-1340 EN ID:09066433")</f>
        <v>ELIZABETH ASHTON &lt;9&gt; 1268 EN-1340 EN ID:09066433</v>
      </c>
      <c r="Y3882" s="17"/>
      <c r="Z3882" s="17"/>
      <c r="AA3882" s="17"/>
      <c r="AB3882" s="17"/>
    </row>
    <row r="3883" spans="3:29" x14ac:dyDescent="0.35">
      <c r="C3883" s="15" t="s">
        <v>8</v>
      </c>
      <c r="D3883" s="15" t="s">
        <v>8</v>
      </c>
      <c r="E3883" s="15" t="s">
        <v>8</v>
      </c>
      <c r="F3883" s="15" t="s">
        <v>8</v>
      </c>
      <c r="H3883" s="15" t="s">
        <v>8</v>
      </c>
      <c r="I3883" s="15" t="s">
        <v>8</v>
      </c>
      <c r="J3883" s="15" t="s">
        <v>8</v>
      </c>
      <c r="N3883" s="15" t="s">
        <v>8</v>
      </c>
      <c r="O3883" s="15" t="s">
        <v>8</v>
      </c>
      <c r="Q3883" s="15" t="s">
        <v>8</v>
      </c>
      <c r="R3883" s="15" t="s">
        <v>8</v>
      </c>
      <c r="S3883" s="15" t="s">
        <v>8</v>
      </c>
      <c r="U3883" s="15" t="s">
        <v>8</v>
      </c>
      <c r="V3883" s="8" t="s">
        <v>6</v>
      </c>
      <c r="W3883" s="15" t="s">
        <v>8</v>
      </c>
    </row>
    <row r="3884" spans="3:29" x14ac:dyDescent="0.35">
      <c r="C3884" s="15" t="s">
        <v>8</v>
      </c>
      <c r="D3884" s="15" t="s">
        <v>8</v>
      </c>
      <c r="E3884" s="15" t="s">
        <v>8</v>
      </c>
      <c r="F3884" s="15" t="s">
        <v>8</v>
      </c>
      <c r="H3884" s="15" t="s">
        <v>8</v>
      </c>
      <c r="I3884" s="15" t="s">
        <v>8</v>
      </c>
      <c r="J3884" s="15" t="s">
        <v>8</v>
      </c>
      <c r="N3884" s="15" t="s">
        <v>8</v>
      </c>
      <c r="O3884" s="15" t="s">
        <v>8</v>
      </c>
      <c r="Q3884" s="15" t="s">
        <v>8</v>
      </c>
      <c r="R3884" s="15" t="s">
        <v>8</v>
      </c>
      <c r="S3884" s="15" t="s">
        <v>8</v>
      </c>
      <c r="U3884" s="15" t="s">
        <v>8</v>
      </c>
      <c r="V3884" s="20" t="str">
        <f>HYPERLINK("http://yeinfo.com/family/I09066217.html", "ISABEL TRAFFORD 1355 EN-1402 EN ID:09066218")</f>
        <v>ISABEL TRAFFORD 1355 EN-1402 EN ID:09066218</v>
      </c>
      <c r="W3884" s="17"/>
      <c r="X3884" s="17"/>
      <c r="Y3884" s="17"/>
      <c r="Z3884" s="17"/>
    </row>
    <row r="3885" spans="3:29" x14ac:dyDescent="0.35">
      <c r="C3885" s="15" t="s">
        <v>8</v>
      </c>
      <c r="D3885" s="15" t="s">
        <v>8</v>
      </c>
      <c r="E3885" s="15" t="s">
        <v>8</v>
      </c>
      <c r="F3885" s="15" t="s">
        <v>8</v>
      </c>
      <c r="H3885" s="15" t="s">
        <v>8</v>
      </c>
      <c r="I3885" s="15" t="s">
        <v>8</v>
      </c>
      <c r="J3885" s="15" t="s">
        <v>8</v>
      </c>
      <c r="N3885" s="15" t="s">
        <v>8</v>
      </c>
      <c r="O3885" s="15" t="s">
        <v>8</v>
      </c>
      <c r="Q3885" s="15" t="s">
        <v>8</v>
      </c>
      <c r="R3885" s="15" t="s">
        <v>8</v>
      </c>
      <c r="S3885" s="15" t="s">
        <v>8</v>
      </c>
      <c r="U3885" s="15" t="s">
        <v>8</v>
      </c>
      <c r="W3885" s="15" t="s">
        <v>8</v>
      </c>
    </row>
    <row r="3886" spans="3:29" x14ac:dyDescent="0.35">
      <c r="C3886" s="15" t="s">
        <v>8</v>
      </c>
      <c r="D3886" s="15" t="s">
        <v>8</v>
      </c>
      <c r="E3886" s="15" t="s">
        <v>8</v>
      </c>
      <c r="F3886" s="15" t="s">
        <v>8</v>
      </c>
      <c r="H3886" s="15" t="s">
        <v>8</v>
      </c>
      <c r="I3886" s="15" t="s">
        <v>8</v>
      </c>
      <c r="J3886" s="15" t="s">
        <v>8</v>
      </c>
      <c r="N3886" s="15" t="s">
        <v>8</v>
      </c>
      <c r="O3886" s="15" t="s">
        <v>8</v>
      </c>
      <c r="Q3886" s="15" t="s">
        <v>8</v>
      </c>
      <c r="R3886" s="15" t="s">
        <v>8</v>
      </c>
      <c r="S3886" s="15" t="s">
        <v>8</v>
      </c>
      <c r="U3886" s="15" t="s">
        <v>8</v>
      </c>
      <c r="W3886" s="15" t="s">
        <v>8</v>
      </c>
      <c r="X3886" s="19" t="str">
        <f>HYPERLINK("http://yeinfo.com/family/I09066492.html", "RICHARD DOTERINDE &lt;9&gt; 1280 EN-1345 EN ID:09066492")</f>
        <v>RICHARD DOTERINDE &lt;9&gt; 1280 EN-1345 EN ID:09066492</v>
      </c>
      <c r="Y3886" s="9"/>
      <c r="Z3886" s="9"/>
      <c r="AA3886" s="9"/>
      <c r="AB3886" s="9"/>
    </row>
    <row r="3887" spans="3:29" x14ac:dyDescent="0.35">
      <c r="C3887" s="15" t="s">
        <v>8</v>
      </c>
      <c r="D3887" s="15" t="s">
        <v>8</v>
      </c>
      <c r="E3887" s="15" t="s">
        <v>8</v>
      </c>
      <c r="F3887" s="15" t="s">
        <v>8</v>
      </c>
      <c r="H3887" s="15" t="s">
        <v>8</v>
      </c>
      <c r="I3887" s="15" t="s">
        <v>8</v>
      </c>
      <c r="J3887" s="15" t="s">
        <v>8</v>
      </c>
      <c r="N3887" s="15" t="s">
        <v>8</v>
      </c>
      <c r="O3887" s="15" t="s">
        <v>8</v>
      </c>
      <c r="Q3887" s="15" t="s">
        <v>8</v>
      </c>
      <c r="R3887" s="15" t="s">
        <v>8</v>
      </c>
      <c r="S3887" s="15" t="s">
        <v>8</v>
      </c>
      <c r="U3887" s="15" t="s">
        <v>8</v>
      </c>
      <c r="W3887" s="8" t="s">
        <v>6</v>
      </c>
      <c r="X3887" s="8" t="s">
        <v>3</v>
      </c>
    </row>
    <row r="3888" spans="3:29" x14ac:dyDescent="0.35">
      <c r="C3888" s="15" t="s">
        <v>8</v>
      </c>
      <c r="D3888" s="15" t="s">
        <v>8</v>
      </c>
      <c r="E3888" s="15" t="s">
        <v>8</v>
      </c>
      <c r="F3888" s="15" t="s">
        <v>8</v>
      </c>
      <c r="H3888" s="15" t="s">
        <v>8</v>
      </c>
      <c r="I3888" s="15" t="s">
        <v>8</v>
      </c>
      <c r="J3888" s="15" t="s">
        <v>8</v>
      </c>
      <c r="N3888" s="15" t="s">
        <v>8</v>
      </c>
      <c r="O3888" s="15" t="s">
        <v>8</v>
      </c>
      <c r="Q3888" s="15" t="s">
        <v>8</v>
      </c>
      <c r="R3888" s="15" t="s">
        <v>8</v>
      </c>
      <c r="S3888" s="15" t="s">
        <v>8</v>
      </c>
      <c r="U3888" s="15" t="s">
        <v>8</v>
      </c>
      <c r="W3888" s="20" t="str">
        <f>HYPERLINK("http://yeinfo.com/family/I09066318.html", "AGNES DOTERINDE &lt;9&gt; 1302 EN-1360 EN ID:09066318")</f>
        <v>AGNES DOTERINDE &lt;9&gt; 1302 EN-1360 EN ID:09066318</v>
      </c>
      <c r="X3888" s="17"/>
      <c r="Y3888" s="17"/>
      <c r="Z3888" s="17"/>
      <c r="AA3888" s="17"/>
    </row>
    <row r="3889" spans="3:30" x14ac:dyDescent="0.35">
      <c r="C3889" s="15" t="s">
        <v>8</v>
      </c>
      <c r="D3889" s="15" t="s">
        <v>8</v>
      </c>
      <c r="E3889" s="15" t="s">
        <v>8</v>
      </c>
      <c r="F3889" s="15" t="s">
        <v>8</v>
      </c>
      <c r="H3889" s="15" t="s">
        <v>8</v>
      </c>
      <c r="I3889" s="15" t="s">
        <v>8</v>
      </c>
      <c r="J3889" s="15" t="s">
        <v>8</v>
      </c>
      <c r="N3889" s="15" t="s">
        <v>8</v>
      </c>
      <c r="O3889" s="15" t="s">
        <v>8</v>
      </c>
      <c r="Q3889" s="15" t="s">
        <v>8</v>
      </c>
      <c r="R3889" s="15" t="s">
        <v>8</v>
      </c>
      <c r="S3889" s="15" t="s">
        <v>8</v>
      </c>
      <c r="U3889" s="15" t="s">
        <v>8</v>
      </c>
      <c r="X3889" s="8" t="s">
        <v>6</v>
      </c>
    </row>
    <row r="3890" spans="3:30" x14ac:dyDescent="0.35">
      <c r="C3890" s="15" t="s">
        <v>8</v>
      </c>
      <c r="D3890" s="15" t="s">
        <v>8</v>
      </c>
      <c r="E3890" s="15" t="s">
        <v>8</v>
      </c>
      <c r="F3890" s="15" t="s">
        <v>8</v>
      </c>
      <c r="H3890" s="15" t="s">
        <v>8</v>
      </c>
      <c r="I3890" s="15" t="s">
        <v>8</v>
      </c>
      <c r="J3890" s="15" t="s">
        <v>8</v>
      </c>
      <c r="N3890" s="15" t="s">
        <v>8</v>
      </c>
      <c r="O3890" s="15" t="s">
        <v>8</v>
      </c>
      <c r="Q3890" s="15" t="s">
        <v>8</v>
      </c>
      <c r="R3890" s="15" t="s">
        <v>8</v>
      </c>
      <c r="S3890" s="15" t="s">
        <v>8</v>
      </c>
      <c r="U3890" s="15" t="s">
        <v>8</v>
      </c>
      <c r="X3890" s="20" t="str">
        <f>HYPERLINK("http://yeinfo.com/family/I09066493.html", "Mrs. {_?_} DOTERINDE &lt;9&gt; 1280 EN-1302 EN ID:09066493")</f>
        <v>Mrs. {_?_} DOTERINDE &lt;9&gt; 1280 EN-1302 EN ID:09066493</v>
      </c>
      <c r="Y3890" s="17"/>
      <c r="Z3890" s="17"/>
      <c r="AA3890" s="17"/>
      <c r="AB3890" s="17"/>
    </row>
    <row r="3891" spans="3:30" x14ac:dyDescent="0.35">
      <c r="C3891" s="15" t="s">
        <v>8</v>
      </c>
      <c r="D3891" s="15" t="s">
        <v>8</v>
      </c>
      <c r="E3891" s="15" t="s">
        <v>8</v>
      </c>
      <c r="F3891" s="15" t="s">
        <v>8</v>
      </c>
      <c r="H3891" s="15" t="s">
        <v>8</v>
      </c>
      <c r="I3891" s="15" t="s">
        <v>8</v>
      </c>
      <c r="J3891" s="15" t="s">
        <v>8</v>
      </c>
      <c r="N3891" s="15" t="s">
        <v>8</v>
      </c>
      <c r="O3891" s="15" t="s">
        <v>8</v>
      </c>
      <c r="Q3891" s="15" t="s">
        <v>8</v>
      </c>
      <c r="R3891" s="15" t="s">
        <v>8</v>
      </c>
      <c r="S3891" s="15" t="s">
        <v>8</v>
      </c>
      <c r="U3891" s="15" t="s">
        <v>8</v>
      </c>
    </row>
    <row r="3892" spans="3:30" x14ac:dyDescent="0.35">
      <c r="C3892" s="15" t="s">
        <v>8</v>
      </c>
      <c r="D3892" s="15" t="s">
        <v>8</v>
      </c>
      <c r="E3892" s="15" t="s">
        <v>8</v>
      </c>
      <c r="F3892" s="15" t="s">
        <v>8</v>
      </c>
      <c r="H3892" s="15" t="s">
        <v>8</v>
      </c>
      <c r="I3892" s="15" t="s">
        <v>8</v>
      </c>
      <c r="J3892" s="15" t="s">
        <v>8</v>
      </c>
      <c r="N3892" s="15" t="s">
        <v>8</v>
      </c>
      <c r="O3892" s="15" t="s">
        <v>8</v>
      </c>
      <c r="Q3892" s="15" t="s">
        <v>8</v>
      </c>
      <c r="R3892" s="15" t="s">
        <v>8</v>
      </c>
      <c r="S3892" s="15" t="s">
        <v>8</v>
      </c>
      <c r="T3892" s="19" t="str">
        <f>HYPERLINK("http://yeinfo.com/family/I09065711.html", "OTEWELL\OTWELL WORSLEY 1410 EN-1470 WL ID:09065851")</f>
        <v>OTEWELL\OTWELL WORSLEY 1410 EN-1470 WL ID:09065851</v>
      </c>
      <c r="U3892" s="9"/>
      <c r="V3892" s="9"/>
      <c r="W3892" s="9"/>
      <c r="X3892" s="9"/>
      <c r="Y3892" s="9"/>
    </row>
    <row r="3893" spans="3:30" x14ac:dyDescent="0.35">
      <c r="C3893" s="15" t="s">
        <v>8</v>
      </c>
      <c r="D3893" s="15" t="s">
        <v>8</v>
      </c>
      <c r="E3893" s="15" t="s">
        <v>8</v>
      </c>
      <c r="F3893" s="15" t="s">
        <v>8</v>
      </c>
      <c r="H3893" s="15" t="s">
        <v>8</v>
      </c>
      <c r="I3893" s="15" t="s">
        <v>8</v>
      </c>
      <c r="J3893" s="15" t="s">
        <v>8</v>
      </c>
      <c r="N3893" s="15" t="s">
        <v>8</v>
      </c>
      <c r="O3893" s="15" t="s">
        <v>8</v>
      </c>
      <c r="Q3893" s="15" t="s">
        <v>8</v>
      </c>
      <c r="R3893" s="15" t="s">
        <v>8</v>
      </c>
      <c r="S3893" s="15" t="s">
        <v>8</v>
      </c>
      <c r="T3893" s="8" t="s">
        <v>3</v>
      </c>
      <c r="U3893" s="15" t="s">
        <v>8</v>
      </c>
    </row>
    <row r="3894" spans="3:30" x14ac:dyDescent="0.35">
      <c r="C3894" s="15" t="s">
        <v>8</v>
      </c>
      <c r="D3894" s="15" t="s">
        <v>8</v>
      </c>
      <c r="E3894" s="15" t="s">
        <v>8</v>
      </c>
      <c r="F3894" s="15" t="s">
        <v>8</v>
      </c>
      <c r="H3894" s="15" t="s">
        <v>8</v>
      </c>
      <c r="I3894" s="15" t="s">
        <v>8</v>
      </c>
      <c r="J3894" s="15" t="s">
        <v>8</v>
      </c>
      <c r="N3894" s="15" t="s">
        <v>8</v>
      </c>
      <c r="O3894" s="15" t="s">
        <v>8</v>
      </c>
      <c r="Q3894" s="15" t="s">
        <v>8</v>
      </c>
      <c r="R3894" s="15" t="s">
        <v>8</v>
      </c>
      <c r="S3894" s="15" t="s">
        <v>8</v>
      </c>
      <c r="T3894" s="15" t="s">
        <v>8</v>
      </c>
      <c r="U3894" s="15" t="s">
        <v>8</v>
      </c>
      <c r="V3894" s="19" t="str">
        <f>HYPERLINK("http://yeinfo.com/family/I09066028.html", "JOHN CLARK 1335 FR-1360 EN ID:09066219")</f>
        <v>JOHN CLARK 1335 FR-1360 EN ID:09066219</v>
      </c>
      <c r="W3894" s="9"/>
      <c r="X3894" s="9"/>
      <c r="Y3894" s="9"/>
      <c r="Z3894" s="9"/>
    </row>
    <row r="3895" spans="3:30" x14ac:dyDescent="0.35">
      <c r="C3895" s="15" t="s">
        <v>8</v>
      </c>
      <c r="D3895" s="15" t="s">
        <v>8</v>
      </c>
      <c r="E3895" s="15" t="s">
        <v>8</v>
      </c>
      <c r="F3895" s="15" t="s">
        <v>8</v>
      </c>
      <c r="H3895" s="15" t="s">
        <v>8</v>
      </c>
      <c r="I3895" s="15" t="s">
        <v>8</v>
      </c>
      <c r="J3895" s="15" t="s">
        <v>8</v>
      </c>
      <c r="N3895" s="15" t="s">
        <v>8</v>
      </c>
      <c r="O3895" s="15" t="s">
        <v>8</v>
      </c>
      <c r="Q3895" s="15" t="s">
        <v>8</v>
      </c>
      <c r="R3895" s="15" t="s">
        <v>8</v>
      </c>
      <c r="S3895" s="15" t="s">
        <v>8</v>
      </c>
      <c r="T3895" s="15" t="s">
        <v>8</v>
      </c>
      <c r="U3895" s="8" t="s">
        <v>6</v>
      </c>
      <c r="V3895" s="8" t="s">
        <v>3</v>
      </c>
    </row>
    <row r="3896" spans="3:30" x14ac:dyDescent="0.35">
      <c r="C3896" s="15" t="s">
        <v>8</v>
      </c>
      <c r="D3896" s="15" t="s">
        <v>8</v>
      </c>
      <c r="E3896" s="15" t="s">
        <v>8</v>
      </c>
      <c r="F3896" s="15" t="s">
        <v>8</v>
      </c>
      <c r="H3896" s="15" t="s">
        <v>8</v>
      </c>
      <c r="I3896" s="15" t="s">
        <v>8</v>
      </c>
      <c r="J3896" s="15" t="s">
        <v>8</v>
      </c>
      <c r="N3896" s="15" t="s">
        <v>8</v>
      </c>
      <c r="O3896" s="15" t="s">
        <v>8</v>
      </c>
      <c r="Q3896" s="15" t="s">
        <v>8</v>
      </c>
      <c r="R3896" s="15" t="s">
        <v>8</v>
      </c>
      <c r="S3896" s="15" t="s">
        <v>8</v>
      </c>
      <c r="T3896" s="15" t="s">
        <v>8</v>
      </c>
      <c r="U3896" s="20" t="str">
        <f>HYPERLINK("http://yeinfo.com/family/I09066218.html", "CATHERINE CLARK 1360 -1424  ID:09066028")</f>
        <v>CATHERINE CLARK 1360 -1424  ID:09066028</v>
      </c>
      <c r="V3896" s="17"/>
      <c r="W3896" s="17"/>
      <c r="X3896" s="17"/>
      <c r="Y3896" s="17"/>
    </row>
    <row r="3897" spans="3:30" x14ac:dyDescent="0.35">
      <c r="C3897" s="15" t="s">
        <v>8</v>
      </c>
      <c r="D3897" s="15" t="s">
        <v>8</v>
      </c>
      <c r="E3897" s="15" t="s">
        <v>8</v>
      </c>
      <c r="F3897" s="15" t="s">
        <v>8</v>
      </c>
      <c r="H3897" s="15" t="s">
        <v>8</v>
      </c>
      <c r="I3897" s="15" t="s">
        <v>8</v>
      </c>
      <c r="J3897" s="15" t="s">
        <v>8</v>
      </c>
      <c r="N3897" s="15" t="s">
        <v>8</v>
      </c>
      <c r="O3897" s="15" t="s">
        <v>8</v>
      </c>
      <c r="Q3897" s="15" t="s">
        <v>8</v>
      </c>
      <c r="R3897" s="15" t="s">
        <v>8</v>
      </c>
      <c r="S3897" s="15" t="s">
        <v>8</v>
      </c>
      <c r="T3897" s="15" t="s">
        <v>8</v>
      </c>
      <c r="V3897" s="15" t="s">
        <v>8</v>
      </c>
    </row>
    <row r="3898" spans="3:30" x14ac:dyDescent="0.35">
      <c r="C3898" s="15" t="s">
        <v>8</v>
      </c>
      <c r="D3898" s="15" t="s">
        <v>8</v>
      </c>
      <c r="E3898" s="15" t="s">
        <v>8</v>
      </c>
      <c r="F3898" s="15" t="s">
        <v>8</v>
      </c>
      <c r="H3898" s="15" t="s">
        <v>8</v>
      </c>
      <c r="I3898" s="15" t="s">
        <v>8</v>
      </c>
      <c r="J3898" s="15" t="s">
        <v>8</v>
      </c>
      <c r="N3898" s="15" t="s">
        <v>8</v>
      </c>
      <c r="O3898" s="15" t="s">
        <v>8</v>
      </c>
      <c r="Q3898" s="15" t="s">
        <v>8</v>
      </c>
      <c r="R3898" s="15" t="s">
        <v>8</v>
      </c>
      <c r="S3898" s="15" t="s">
        <v>8</v>
      </c>
      <c r="T3898" s="15" t="s">
        <v>8</v>
      </c>
      <c r="V3898" s="15" t="s">
        <v>8</v>
      </c>
      <c r="Z3898" s="19" t="str">
        <f>HYPERLINK("http://yeinfo.com/family/I09066598.html", "ROBERT STOCKPORT III 1239 EN-1274 EN ID:09066661")</f>
        <v>ROBERT STOCKPORT III 1239 EN-1274 EN ID:09066661</v>
      </c>
      <c r="AA3898" s="9"/>
      <c r="AB3898" s="9"/>
      <c r="AC3898" s="9"/>
      <c r="AD3898" s="9"/>
    </row>
    <row r="3899" spans="3:30" x14ac:dyDescent="0.35">
      <c r="C3899" s="15" t="s">
        <v>8</v>
      </c>
      <c r="D3899" s="15" t="s">
        <v>8</v>
      </c>
      <c r="E3899" s="15" t="s">
        <v>8</v>
      </c>
      <c r="F3899" s="15" t="s">
        <v>8</v>
      </c>
      <c r="H3899" s="15" t="s">
        <v>8</v>
      </c>
      <c r="I3899" s="15" t="s">
        <v>8</v>
      </c>
      <c r="J3899" s="15" t="s">
        <v>8</v>
      </c>
      <c r="N3899" s="15" t="s">
        <v>8</v>
      </c>
      <c r="O3899" s="15" t="s">
        <v>8</v>
      </c>
      <c r="Q3899" s="15" t="s">
        <v>8</v>
      </c>
      <c r="R3899" s="15" t="s">
        <v>8</v>
      </c>
      <c r="S3899" s="15" t="s">
        <v>8</v>
      </c>
      <c r="T3899" s="15" t="s">
        <v>8</v>
      </c>
      <c r="V3899" s="15" t="s">
        <v>8</v>
      </c>
      <c r="Z3899" s="8" t="s">
        <v>3</v>
      </c>
    </row>
    <row r="3900" spans="3:30" x14ac:dyDescent="0.35">
      <c r="C3900" s="15" t="s">
        <v>8</v>
      </c>
      <c r="D3900" s="15" t="s">
        <v>8</v>
      </c>
      <c r="E3900" s="15" t="s">
        <v>8</v>
      </c>
      <c r="F3900" s="15" t="s">
        <v>8</v>
      </c>
      <c r="H3900" s="15" t="s">
        <v>8</v>
      </c>
      <c r="I3900" s="15" t="s">
        <v>8</v>
      </c>
      <c r="J3900" s="15" t="s">
        <v>8</v>
      </c>
      <c r="N3900" s="15" t="s">
        <v>8</v>
      </c>
      <c r="O3900" s="15" t="s">
        <v>8</v>
      </c>
      <c r="Q3900" s="15" t="s">
        <v>8</v>
      </c>
      <c r="R3900" s="15" t="s">
        <v>8</v>
      </c>
      <c r="S3900" s="15" t="s">
        <v>8</v>
      </c>
      <c r="T3900" s="15" t="s">
        <v>8</v>
      </c>
      <c r="V3900" s="15" t="s">
        <v>8</v>
      </c>
      <c r="Y3900" s="19" t="str">
        <f>HYPERLINK("http://yeinfo.com/family/I09066544.html", "ROGER STOCKPORT 1267 EN-1293 EN ID:09066598")</f>
        <v>ROGER STOCKPORT 1267 EN-1293 EN ID:09066598</v>
      </c>
      <c r="Z3900" s="9"/>
      <c r="AA3900" s="9"/>
      <c r="AB3900" s="9"/>
      <c r="AC3900" s="9"/>
    </row>
    <row r="3901" spans="3:30" x14ac:dyDescent="0.35">
      <c r="C3901" s="15" t="s">
        <v>8</v>
      </c>
      <c r="D3901" s="15" t="s">
        <v>8</v>
      </c>
      <c r="E3901" s="15" t="s">
        <v>8</v>
      </c>
      <c r="F3901" s="15" t="s">
        <v>8</v>
      </c>
      <c r="H3901" s="15" t="s">
        <v>8</v>
      </c>
      <c r="I3901" s="15" t="s">
        <v>8</v>
      </c>
      <c r="J3901" s="15" t="s">
        <v>8</v>
      </c>
      <c r="N3901" s="15" t="s">
        <v>8</v>
      </c>
      <c r="O3901" s="15" t="s">
        <v>8</v>
      </c>
      <c r="Q3901" s="15" t="s">
        <v>8</v>
      </c>
      <c r="R3901" s="15" t="s">
        <v>8</v>
      </c>
      <c r="S3901" s="15" t="s">
        <v>8</v>
      </c>
      <c r="T3901" s="15" t="s">
        <v>8</v>
      </c>
      <c r="V3901" s="15" t="s">
        <v>8</v>
      </c>
      <c r="Y3901" s="8" t="s">
        <v>3</v>
      </c>
      <c r="Z3901" s="8" t="s">
        <v>6</v>
      </c>
    </row>
    <row r="3902" spans="3:30" x14ac:dyDescent="0.35">
      <c r="C3902" s="15" t="s">
        <v>8</v>
      </c>
      <c r="D3902" s="15" t="s">
        <v>8</v>
      </c>
      <c r="E3902" s="15" t="s">
        <v>8</v>
      </c>
      <c r="F3902" s="15" t="s">
        <v>8</v>
      </c>
      <c r="H3902" s="15" t="s">
        <v>8</v>
      </c>
      <c r="I3902" s="15" t="s">
        <v>8</v>
      </c>
      <c r="J3902" s="15" t="s">
        <v>8</v>
      </c>
      <c r="N3902" s="15" t="s">
        <v>8</v>
      </c>
      <c r="O3902" s="15" t="s">
        <v>8</v>
      </c>
      <c r="Q3902" s="15" t="s">
        <v>8</v>
      </c>
      <c r="R3902" s="15" t="s">
        <v>8</v>
      </c>
      <c r="S3902" s="15" t="s">
        <v>8</v>
      </c>
      <c r="T3902" s="15" t="s">
        <v>8</v>
      </c>
      <c r="V3902" s="15" t="s">
        <v>8</v>
      </c>
      <c r="Y3902" s="15" t="s">
        <v>8</v>
      </c>
      <c r="Z3902" s="20" t="str">
        <f>HYPERLINK("http://yeinfo.com/family/I09066661.html", "ROSE VENABLES 1243 EN-1267 EN ID:09066662")</f>
        <v>ROSE VENABLES 1243 EN-1267 EN ID:09066662</v>
      </c>
      <c r="AA3902" s="17"/>
      <c r="AB3902" s="17"/>
      <c r="AC3902" s="17"/>
      <c r="AD3902" s="17"/>
    </row>
    <row r="3903" spans="3:30" x14ac:dyDescent="0.35">
      <c r="C3903" s="15" t="s">
        <v>8</v>
      </c>
      <c r="D3903" s="15" t="s">
        <v>8</v>
      </c>
      <c r="E3903" s="15" t="s">
        <v>8</v>
      </c>
      <c r="F3903" s="15" t="s">
        <v>8</v>
      </c>
      <c r="H3903" s="15" t="s">
        <v>8</v>
      </c>
      <c r="I3903" s="15" t="s">
        <v>8</v>
      </c>
      <c r="J3903" s="15" t="s">
        <v>8</v>
      </c>
      <c r="N3903" s="15" t="s">
        <v>8</v>
      </c>
      <c r="O3903" s="15" t="s">
        <v>8</v>
      </c>
      <c r="Q3903" s="15" t="s">
        <v>8</v>
      </c>
      <c r="R3903" s="15" t="s">
        <v>8</v>
      </c>
      <c r="S3903" s="15" t="s">
        <v>8</v>
      </c>
      <c r="T3903" s="15" t="s">
        <v>8</v>
      </c>
      <c r="V3903" s="15" t="s">
        <v>8</v>
      </c>
      <c r="Y3903" s="15" t="s">
        <v>8</v>
      </c>
    </row>
    <row r="3904" spans="3:30" x14ac:dyDescent="0.35">
      <c r="C3904" s="15" t="s">
        <v>8</v>
      </c>
      <c r="D3904" s="15" t="s">
        <v>8</v>
      </c>
      <c r="E3904" s="15" t="s">
        <v>8</v>
      </c>
      <c r="F3904" s="15" t="s">
        <v>8</v>
      </c>
      <c r="H3904" s="15" t="s">
        <v>8</v>
      </c>
      <c r="I3904" s="15" t="s">
        <v>8</v>
      </c>
      <c r="J3904" s="15" t="s">
        <v>8</v>
      </c>
      <c r="N3904" s="15" t="s">
        <v>8</v>
      </c>
      <c r="O3904" s="15" t="s">
        <v>8</v>
      </c>
      <c r="Q3904" s="15" t="s">
        <v>8</v>
      </c>
      <c r="R3904" s="15" t="s">
        <v>8</v>
      </c>
      <c r="S3904" s="15" t="s">
        <v>8</v>
      </c>
      <c r="T3904" s="15" t="s">
        <v>8</v>
      </c>
      <c r="V3904" s="15" t="s">
        <v>8</v>
      </c>
      <c r="X3904" s="19" t="str">
        <f>HYPERLINK("http://yeinfo.com/family/I09066373.html", "WILLIAM STOCKPORT 1315 EN-1345 EN ID:09066544")</f>
        <v>WILLIAM STOCKPORT 1315 EN-1345 EN ID:09066544</v>
      </c>
      <c r="Y3904" s="9"/>
      <c r="Z3904" s="9"/>
      <c r="AA3904" s="9"/>
      <c r="AB3904" s="9"/>
    </row>
    <row r="3905" spans="3:29" x14ac:dyDescent="0.35">
      <c r="C3905" s="15" t="s">
        <v>8</v>
      </c>
      <c r="D3905" s="15" t="s">
        <v>8</v>
      </c>
      <c r="E3905" s="15" t="s">
        <v>8</v>
      </c>
      <c r="F3905" s="15" t="s">
        <v>8</v>
      </c>
      <c r="H3905" s="15" t="s">
        <v>8</v>
      </c>
      <c r="I3905" s="15" t="s">
        <v>8</v>
      </c>
      <c r="J3905" s="15" t="s">
        <v>8</v>
      </c>
      <c r="N3905" s="15" t="s">
        <v>8</v>
      </c>
      <c r="O3905" s="15" t="s">
        <v>8</v>
      </c>
      <c r="Q3905" s="15" t="s">
        <v>8</v>
      </c>
      <c r="R3905" s="15" t="s">
        <v>8</v>
      </c>
      <c r="S3905" s="15" t="s">
        <v>8</v>
      </c>
      <c r="T3905" s="15" t="s">
        <v>8</v>
      </c>
      <c r="V3905" s="15" t="s">
        <v>8</v>
      </c>
      <c r="X3905" s="8" t="s">
        <v>3</v>
      </c>
      <c r="Y3905" s="8" t="s">
        <v>6</v>
      </c>
    </row>
    <row r="3906" spans="3:29" x14ac:dyDescent="0.35">
      <c r="C3906" s="15" t="s">
        <v>8</v>
      </c>
      <c r="D3906" s="15" t="s">
        <v>8</v>
      </c>
      <c r="E3906" s="15" t="s">
        <v>8</v>
      </c>
      <c r="F3906" s="15" t="s">
        <v>8</v>
      </c>
      <c r="H3906" s="15" t="s">
        <v>8</v>
      </c>
      <c r="I3906" s="15" t="s">
        <v>8</v>
      </c>
      <c r="J3906" s="15" t="s">
        <v>8</v>
      </c>
      <c r="N3906" s="15" t="s">
        <v>8</v>
      </c>
      <c r="O3906" s="15" t="s">
        <v>8</v>
      </c>
      <c r="Q3906" s="15" t="s">
        <v>8</v>
      </c>
      <c r="R3906" s="15" t="s">
        <v>8</v>
      </c>
      <c r="S3906" s="15" t="s">
        <v>8</v>
      </c>
      <c r="T3906" s="15" t="s">
        <v>8</v>
      </c>
      <c r="V3906" s="15" t="s">
        <v>8</v>
      </c>
      <c r="X3906" s="15" t="s">
        <v>8</v>
      </c>
      <c r="Y3906" s="20" t="str">
        <f>HYPERLINK("http://yeinfo.com/family/I09066662.html", "Mrs. LUCY STOCKPORT 1267 EN-1310 EN ID:09066599")</f>
        <v>Mrs. LUCY STOCKPORT 1267 EN-1310 EN ID:09066599</v>
      </c>
      <c r="Z3906" s="17"/>
      <c r="AA3906" s="17"/>
      <c r="AB3906" s="17"/>
      <c r="AC3906" s="17"/>
    </row>
    <row r="3907" spans="3:29" x14ac:dyDescent="0.35">
      <c r="C3907" s="15" t="s">
        <v>8</v>
      </c>
      <c r="D3907" s="15" t="s">
        <v>8</v>
      </c>
      <c r="E3907" s="15" t="s">
        <v>8</v>
      </c>
      <c r="F3907" s="15" t="s">
        <v>8</v>
      </c>
      <c r="H3907" s="15" t="s">
        <v>8</v>
      </c>
      <c r="I3907" s="15" t="s">
        <v>8</v>
      </c>
      <c r="J3907" s="15" t="s">
        <v>8</v>
      </c>
      <c r="N3907" s="15" t="s">
        <v>8</v>
      </c>
      <c r="O3907" s="15" t="s">
        <v>8</v>
      </c>
      <c r="Q3907" s="15" t="s">
        <v>8</v>
      </c>
      <c r="R3907" s="15" t="s">
        <v>8</v>
      </c>
      <c r="S3907" s="15" t="s">
        <v>8</v>
      </c>
      <c r="T3907" s="15" t="s">
        <v>8</v>
      </c>
      <c r="V3907" s="15" t="s">
        <v>8</v>
      </c>
      <c r="X3907" s="15" t="s">
        <v>8</v>
      </c>
    </row>
    <row r="3908" spans="3:29" x14ac:dyDescent="0.35">
      <c r="C3908" s="15" t="s">
        <v>8</v>
      </c>
      <c r="D3908" s="15" t="s">
        <v>8</v>
      </c>
      <c r="E3908" s="15" t="s">
        <v>8</v>
      </c>
      <c r="F3908" s="15" t="s">
        <v>8</v>
      </c>
      <c r="H3908" s="15" t="s">
        <v>8</v>
      </c>
      <c r="I3908" s="15" t="s">
        <v>8</v>
      </c>
      <c r="J3908" s="15" t="s">
        <v>8</v>
      </c>
      <c r="N3908" s="15" t="s">
        <v>8</v>
      </c>
      <c r="O3908" s="15" t="s">
        <v>8</v>
      </c>
      <c r="Q3908" s="15" t="s">
        <v>8</v>
      </c>
      <c r="R3908" s="15" t="s">
        <v>8</v>
      </c>
      <c r="S3908" s="15" t="s">
        <v>8</v>
      </c>
      <c r="T3908" s="15" t="s">
        <v>8</v>
      </c>
      <c r="V3908" s="15" t="s">
        <v>8</v>
      </c>
      <c r="W3908" s="19" t="str">
        <f>HYPERLINK("http://yeinfo.com/family/I09066220.html", "ROGER STOCKPORT 1335 EN-1370 EN ID:09066373")</f>
        <v>ROGER STOCKPORT 1335 EN-1370 EN ID:09066373</v>
      </c>
      <c r="X3908" s="9"/>
      <c r="Y3908" s="9"/>
      <c r="Z3908" s="9"/>
      <c r="AA3908" s="9"/>
    </row>
    <row r="3909" spans="3:29" x14ac:dyDescent="0.35">
      <c r="C3909" s="15" t="s">
        <v>8</v>
      </c>
      <c r="D3909" s="15" t="s">
        <v>8</v>
      </c>
      <c r="E3909" s="15" t="s">
        <v>8</v>
      </c>
      <c r="F3909" s="15" t="s">
        <v>8</v>
      </c>
      <c r="H3909" s="15" t="s">
        <v>8</v>
      </c>
      <c r="I3909" s="15" t="s">
        <v>8</v>
      </c>
      <c r="J3909" s="15" t="s">
        <v>8</v>
      </c>
      <c r="N3909" s="15" t="s">
        <v>8</v>
      </c>
      <c r="O3909" s="15" t="s">
        <v>8</v>
      </c>
      <c r="Q3909" s="15" t="s">
        <v>8</v>
      </c>
      <c r="R3909" s="15" t="s">
        <v>8</v>
      </c>
      <c r="S3909" s="15" t="s">
        <v>8</v>
      </c>
      <c r="T3909" s="15" t="s">
        <v>8</v>
      </c>
      <c r="V3909" s="15" t="s">
        <v>8</v>
      </c>
      <c r="W3909" s="8" t="s">
        <v>3</v>
      </c>
      <c r="X3909" s="8" t="s">
        <v>6</v>
      </c>
    </row>
    <row r="3910" spans="3:29" x14ac:dyDescent="0.35">
      <c r="C3910" s="15" t="s">
        <v>8</v>
      </c>
      <c r="D3910" s="15" t="s">
        <v>8</v>
      </c>
      <c r="E3910" s="15" t="s">
        <v>8</v>
      </c>
      <c r="F3910" s="15" t="s">
        <v>8</v>
      </c>
      <c r="H3910" s="15" t="s">
        <v>8</v>
      </c>
      <c r="I3910" s="15" t="s">
        <v>8</v>
      </c>
      <c r="J3910" s="15" t="s">
        <v>8</v>
      </c>
      <c r="N3910" s="15" t="s">
        <v>8</v>
      </c>
      <c r="O3910" s="15" t="s">
        <v>8</v>
      </c>
      <c r="Q3910" s="15" t="s">
        <v>8</v>
      </c>
      <c r="R3910" s="15" t="s">
        <v>8</v>
      </c>
      <c r="S3910" s="15" t="s">
        <v>8</v>
      </c>
      <c r="T3910" s="15" t="s">
        <v>8</v>
      </c>
      <c r="V3910" s="15" t="s">
        <v>8</v>
      </c>
      <c r="W3910" s="15" t="s">
        <v>8</v>
      </c>
      <c r="X3910" s="20" t="str">
        <f>HYPERLINK("http://yeinfo.com/family/I09066599.html", "Mrs. {_?_} STOCKPORT 1315 -1345 EN ID:09066545")</f>
        <v>Mrs. {_?_} STOCKPORT 1315 -1345 EN ID:09066545</v>
      </c>
      <c r="Y3910" s="17"/>
      <c r="Z3910" s="17"/>
      <c r="AA3910" s="17"/>
      <c r="AB3910" s="17"/>
    </row>
    <row r="3911" spans="3:29" x14ac:dyDescent="0.35">
      <c r="C3911" s="15" t="s">
        <v>8</v>
      </c>
      <c r="D3911" s="15" t="s">
        <v>8</v>
      </c>
      <c r="E3911" s="15" t="s">
        <v>8</v>
      </c>
      <c r="F3911" s="15" t="s">
        <v>8</v>
      </c>
      <c r="H3911" s="15" t="s">
        <v>8</v>
      </c>
      <c r="I3911" s="15" t="s">
        <v>8</v>
      </c>
      <c r="J3911" s="15" t="s">
        <v>8</v>
      </c>
      <c r="N3911" s="15" t="s">
        <v>8</v>
      </c>
      <c r="O3911" s="15" t="s">
        <v>8</v>
      </c>
      <c r="Q3911" s="15" t="s">
        <v>8</v>
      </c>
      <c r="R3911" s="15" t="s">
        <v>8</v>
      </c>
      <c r="S3911" s="15" t="s">
        <v>8</v>
      </c>
      <c r="T3911" s="15" t="s">
        <v>8</v>
      </c>
      <c r="V3911" s="8" t="s">
        <v>6</v>
      </c>
      <c r="W3911" s="15" t="s">
        <v>8</v>
      </c>
    </row>
    <row r="3912" spans="3:29" x14ac:dyDescent="0.35">
      <c r="C3912" s="15" t="s">
        <v>8</v>
      </c>
      <c r="D3912" s="15" t="s">
        <v>8</v>
      </c>
      <c r="E3912" s="15" t="s">
        <v>8</v>
      </c>
      <c r="F3912" s="15" t="s">
        <v>8</v>
      </c>
      <c r="H3912" s="15" t="s">
        <v>8</v>
      </c>
      <c r="I3912" s="15" t="s">
        <v>8</v>
      </c>
      <c r="J3912" s="15" t="s">
        <v>8</v>
      </c>
      <c r="N3912" s="15" t="s">
        <v>8</v>
      </c>
      <c r="O3912" s="15" t="s">
        <v>8</v>
      </c>
      <c r="Q3912" s="15" t="s">
        <v>8</v>
      </c>
      <c r="R3912" s="15" t="s">
        <v>8</v>
      </c>
      <c r="S3912" s="15" t="s">
        <v>8</v>
      </c>
      <c r="T3912" s="15" t="s">
        <v>8</v>
      </c>
      <c r="V3912" s="20" t="str">
        <f>HYPERLINK("http://yeinfo.com/family/I09066219.html", "SARAH STOCKPORT 1355 EN-1390 EN ID:09066220")</f>
        <v>SARAH STOCKPORT 1355 EN-1390 EN ID:09066220</v>
      </c>
      <c r="W3912" s="17"/>
      <c r="X3912" s="17"/>
      <c r="Y3912" s="17"/>
      <c r="Z3912" s="17"/>
    </row>
    <row r="3913" spans="3:29" x14ac:dyDescent="0.35">
      <c r="C3913" s="15" t="s">
        <v>8</v>
      </c>
      <c r="D3913" s="15" t="s">
        <v>8</v>
      </c>
      <c r="E3913" s="15" t="s">
        <v>8</v>
      </c>
      <c r="F3913" s="15" t="s">
        <v>8</v>
      </c>
      <c r="H3913" s="15" t="s">
        <v>8</v>
      </c>
      <c r="I3913" s="15" t="s">
        <v>8</v>
      </c>
      <c r="J3913" s="15" t="s">
        <v>8</v>
      </c>
      <c r="N3913" s="15" t="s">
        <v>8</v>
      </c>
      <c r="O3913" s="15" t="s">
        <v>8</v>
      </c>
      <c r="Q3913" s="15" t="s">
        <v>8</v>
      </c>
      <c r="R3913" s="15" t="s">
        <v>8</v>
      </c>
      <c r="S3913" s="15" t="s">
        <v>8</v>
      </c>
      <c r="T3913" s="15" t="s">
        <v>8</v>
      </c>
      <c r="W3913" s="8" t="s">
        <v>6</v>
      </c>
    </row>
    <row r="3914" spans="3:29" x14ac:dyDescent="0.35">
      <c r="C3914" s="15" t="s">
        <v>8</v>
      </c>
      <c r="D3914" s="15" t="s">
        <v>8</v>
      </c>
      <c r="E3914" s="15" t="s">
        <v>8</v>
      </c>
      <c r="F3914" s="15" t="s">
        <v>8</v>
      </c>
      <c r="H3914" s="15" t="s">
        <v>8</v>
      </c>
      <c r="I3914" s="15" t="s">
        <v>8</v>
      </c>
      <c r="J3914" s="15" t="s">
        <v>8</v>
      </c>
      <c r="N3914" s="15" t="s">
        <v>8</v>
      </c>
      <c r="O3914" s="15" t="s">
        <v>8</v>
      </c>
      <c r="Q3914" s="15" t="s">
        <v>8</v>
      </c>
      <c r="R3914" s="15" t="s">
        <v>8</v>
      </c>
      <c r="S3914" s="15" t="s">
        <v>8</v>
      </c>
      <c r="T3914" s="15" t="s">
        <v>8</v>
      </c>
      <c r="W3914" s="20" t="str">
        <f>HYPERLINK("http://yeinfo.com/family/I09066545.html", "Mrs. LUCY STOCKPORT 1335 EN-1370 EN ID:09066374")</f>
        <v>Mrs. LUCY STOCKPORT 1335 EN-1370 EN ID:09066374</v>
      </c>
      <c r="X3914" s="17"/>
      <c r="Y3914" s="17"/>
      <c r="Z3914" s="17"/>
      <c r="AA3914" s="17"/>
    </row>
    <row r="3915" spans="3:29" x14ac:dyDescent="0.35">
      <c r="C3915" s="15" t="s">
        <v>8</v>
      </c>
      <c r="D3915" s="15" t="s">
        <v>8</v>
      </c>
      <c r="E3915" s="15" t="s">
        <v>8</v>
      </c>
      <c r="F3915" s="15" t="s">
        <v>8</v>
      </c>
      <c r="H3915" s="15" t="s">
        <v>8</v>
      </c>
      <c r="I3915" s="15" t="s">
        <v>8</v>
      </c>
      <c r="J3915" s="15" t="s">
        <v>8</v>
      </c>
      <c r="N3915" s="15" t="s">
        <v>8</v>
      </c>
      <c r="O3915" s="15" t="s">
        <v>8</v>
      </c>
      <c r="Q3915" s="15" t="s">
        <v>8</v>
      </c>
      <c r="R3915" s="15" t="s">
        <v>8</v>
      </c>
      <c r="S3915" s="8" t="s">
        <v>6</v>
      </c>
      <c r="T3915" s="15" t="s">
        <v>8</v>
      </c>
    </row>
    <row r="3916" spans="3:29" x14ac:dyDescent="0.35">
      <c r="C3916" s="15" t="s">
        <v>8</v>
      </c>
      <c r="D3916" s="15" t="s">
        <v>8</v>
      </c>
      <c r="E3916" s="15" t="s">
        <v>8</v>
      </c>
      <c r="F3916" s="15" t="s">
        <v>8</v>
      </c>
      <c r="H3916" s="15" t="s">
        <v>8</v>
      </c>
      <c r="I3916" s="15" t="s">
        <v>8</v>
      </c>
      <c r="J3916" s="15" t="s">
        <v>8</v>
      </c>
      <c r="N3916" s="15" t="s">
        <v>8</v>
      </c>
      <c r="O3916" s="15" t="s">
        <v>8</v>
      </c>
      <c r="Q3916" s="15" t="s">
        <v>8</v>
      </c>
      <c r="R3916" s="15" t="s">
        <v>8</v>
      </c>
      <c r="S3916" s="20" t="str">
        <f>HYPERLINK("http://yeinfo.com/family/I09065850.html", "MARGARET WORSLEY 1435 FR-1505 FR ID:09065711")</f>
        <v>MARGARET WORSLEY 1435 FR-1505 FR ID:09065711</v>
      </c>
      <c r="T3916" s="17"/>
      <c r="U3916" s="17"/>
      <c r="V3916" s="17"/>
      <c r="W3916" s="17"/>
    </row>
    <row r="3917" spans="3:29" x14ac:dyDescent="0.35">
      <c r="C3917" s="15" t="s">
        <v>8</v>
      </c>
      <c r="D3917" s="15" t="s">
        <v>8</v>
      </c>
      <c r="E3917" s="15" t="s">
        <v>8</v>
      </c>
      <c r="F3917" s="15" t="s">
        <v>8</v>
      </c>
      <c r="H3917" s="15" t="s">
        <v>8</v>
      </c>
      <c r="I3917" s="15" t="s">
        <v>8</v>
      </c>
      <c r="J3917" s="15" t="s">
        <v>8</v>
      </c>
      <c r="N3917" s="15" t="s">
        <v>8</v>
      </c>
      <c r="O3917" s="15" t="s">
        <v>8</v>
      </c>
      <c r="Q3917" s="15" t="s">
        <v>8</v>
      </c>
      <c r="R3917" s="15" t="s">
        <v>8</v>
      </c>
      <c r="T3917" s="15" t="s">
        <v>8</v>
      </c>
    </row>
    <row r="3918" spans="3:29" x14ac:dyDescent="0.35">
      <c r="C3918" s="15" t="s">
        <v>8</v>
      </c>
      <c r="D3918" s="15" t="s">
        <v>8</v>
      </c>
      <c r="E3918" s="15" t="s">
        <v>8</v>
      </c>
      <c r="F3918" s="15" t="s">
        <v>8</v>
      </c>
      <c r="H3918" s="15" t="s">
        <v>8</v>
      </c>
      <c r="I3918" s="15" t="s">
        <v>8</v>
      </c>
      <c r="J3918" s="15" t="s">
        <v>8</v>
      </c>
      <c r="N3918" s="15" t="s">
        <v>8</v>
      </c>
      <c r="O3918" s="15" t="s">
        <v>8</v>
      </c>
      <c r="Q3918" s="15" t="s">
        <v>8</v>
      </c>
      <c r="R3918" s="15" t="s">
        <v>8</v>
      </c>
      <c r="T3918" s="15" t="s">
        <v>8</v>
      </c>
      <c r="U3918" s="19" t="str">
        <f>HYPERLINK("http://yeinfo.com/family/I09065852.html", "EDWARD TREVOR 1402 FR-1448 FR ID:09066029")</f>
        <v>EDWARD TREVOR 1402 FR-1448 FR ID:09066029</v>
      </c>
      <c r="V3918" s="9"/>
      <c r="W3918" s="9"/>
      <c r="X3918" s="9"/>
      <c r="Y3918" s="9"/>
    </row>
    <row r="3919" spans="3:29" x14ac:dyDescent="0.35">
      <c r="C3919" s="15" t="s">
        <v>8</v>
      </c>
      <c r="D3919" s="15" t="s">
        <v>8</v>
      </c>
      <c r="E3919" s="15" t="s">
        <v>8</v>
      </c>
      <c r="F3919" s="15" t="s">
        <v>8</v>
      </c>
      <c r="H3919" s="15" t="s">
        <v>8</v>
      </c>
      <c r="I3919" s="15" t="s">
        <v>8</v>
      </c>
      <c r="J3919" s="15" t="s">
        <v>8</v>
      </c>
      <c r="N3919" s="15" t="s">
        <v>8</v>
      </c>
      <c r="O3919" s="15" t="s">
        <v>8</v>
      </c>
      <c r="Q3919" s="15" t="s">
        <v>8</v>
      </c>
      <c r="R3919" s="15" t="s">
        <v>8</v>
      </c>
      <c r="T3919" s="8" t="s">
        <v>6</v>
      </c>
      <c r="U3919" s="8" t="s">
        <v>3</v>
      </c>
    </row>
    <row r="3920" spans="3:29" x14ac:dyDescent="0.35">
      <c r="C3920" s="15" t="s">
        <v>8</v>
      </c>
      <c r="D3920" s="15" t="s">
        <v>8</v>
      </c>
      <c r="E3920" s="15" t="s">
        <v>8</v>
      </c>
      <c r="F3920" s="15" t="s">
        <v>8</v>
      </c>
      <c r="H3920" s="15" t="s">
        <v>8</v>
      </c>
      <c r="I3920" s="15" t="s">
        <v>8</v>
      </c>
      <c r="J3920" s="15" t="s">
        <v>8</v>
      </c>
      <c r="N3920" s="15" t="s">
        <v>8</v>
      </c>
      <c r="O3920" s="15" t="s">
        <v>8</v>
      </c>
      <c r="Q3920" s="15" t="s">
        <v>8</v>
      </c>
      <c r="R3920" s="15" t="s">
        <v>8</v>
      </c>
      <c r="T3920" s="20" t="str">
        <f>HYPERLINK("http://yeinfo.com/family/I09066374.html", "ROSE TREVOR 1426 FR-1446 FR ID:09065852")</f>
        <v>ROSE TREVOR 1426 FR-1446 FR ID:09065852</v>
      </c>
      <c r="U3920" s="17"/>
      <c r="V3920" s="17"/>
      <c r="W3920" s="17"/>
      <c r="X3920" s="17"/>
    </row>
    <row r="3921" spans="3:26" x14ac:dyDescent="0.35">
      <c r="C3921" s="15" t="s">
        <v>8</v>
      </c>
      <c r="D3921" s="15" t="s">
        <v>8</v>
      </c>
      <c r="E3921" s="15" t="s">
        <v>8</v>
      </c>
      <c r="F3921" s="15" t="s">
        <v>8</v>
      </c>
      <c r="H3921" s="15" t="s">
        <v>8</v>
      </c>
      <c r="I3921" s="15" t="s">
        <v>8</v>
      </c>
      <c r="J3921" s="15" t="s">
        <v>8</v>
      </c>
      <c r="N3921" s="15" t="s">
        <v>8</v>
      </c>
      <c r="O3921" s="15" t="s">
        <v>8</v>
      </c>
      <c r="Q3921" s="15" t="s">
        <v>8</v>
      </c>
      <c r="R3921" s="15" t="s">
        <v>8</v>
      </c>
      <c r="U3921" s="15" t="s">
        <v>8</v>
      </c>
    </row>
    <row r="3922" spans="3:26" x14ac:dyDescent="0.35">
      <c r="C3922" s="15" t="s">
        <v>8</v>
      </c>
      <c r="D3922" s="15" t="s">
        <v>8</v>
      </c>
      <c r="E3922" s="15" t="s">
        <v>8</v>
      </c>
      <c r="F3922" s="15" t="s">
        <v>8</v>
      </c>
      <c r="H3922" s="15" t="s">
        <v>8</v>
      </c>
      <c r="I3922" s="15" t="s">
        <v>8</v>
      </c>
      <c r="J3922" s="15" t="s">
        <v>8</v>
      </c>
      <c r="N3922" s="15" t="s">
        <v>8</v>
      </c>
      <c r="O3922" s="15" t="s">
        <v>8</v>
      </c>
      <c r="Q3922" s="15" t="s">
        <v>8</v>
      </c>
      <c r="R3922" s="15" t="s">
        <v>8</v>
      </c>
      <c r="U3922" s="15" t="s">
        <v>8</v>
      </c>
      <c r="V3922" s="19" t="str">
        <f>HYPERLINK("http://yeinfo.com/family/I09066030.html", "ROBERT PULESTON 1358 WL-1399 WL ID:09066221")</f>
        <v>ROBERT PULESTON 1358 WL-1399 WL ID:09066221</v>
      </c>
      <c r="W3922" s="9"/>
      <c r="X3922" s="9"/>
      <c r="Y3922" s="9"/>
      <c r="Z3922" s="9"/>
    </row>
    <row r="3923" spans="3:26" x14ac:dyDescent="0.35">
      <c r="C3923" s="15" t="s">
        <v>8</v>
      </c>
      <c r="D3923" s="15" t="s">
        <v>8</v>
      </c>
      <c r="E3923" s="15" t="s">
        <v>8</v>
      </c>
      <c r="F3923" s="15" t="s">
        <v>8</v>
      </c>
      <c r="H3923" s="15" t="s">
        <v>8</v>
      </c>
      <c r="I3923" s="15" t="s">
        <v>8</v>
      </c>
      <c r="J3923" s="15" t="s">
        <v>8</v>
      </c>
      <c r="N3923" s="15" t="s">
        <v>8</v>
      </c>
      <c r="O3923" s="15" t="s">
        <v>8</v>
      </c>
      <c r="Q3923" s="15" t="s">
        <v>8</v>
      </c>
      <c r="R3923" s="15" t="s">
        <v>8</v>
      </c>
      <c r="U3923" s="8" t="s">
        <v>6</v>
      </c>
      <c r="V3923" s="8" t="s">
        <v>3</v>
      </c>
    </row>
    <row r="3924" spans="3:26" x14ac:dyDescent="0.35">
      <c r="C3924" s="15" t="s">
        <v>8</v>
      </c>
      <c r="D3924" s="15" t="s">
        <v>8</v>
      </c>
      <c r="E3924" s="15" t="s">
        <v>8</v>
      </c>
      <c r="F3924" s="15" t="s">
        <v>8</v>
      </c>
      <c r="H3924" s="15" t="s">
        <v>8</v>
      </c>
      <c r="I3924" s="15" t="s">
        <v>8</v>
      </c>
      <c r="J3924" s="15" t="s">
        <v>8</v>
      </c>
      <c r="N3924" s="15" t="s">
        <v>8</v>
      </c>
      <c r="O3924" s="15" t="s">
        <v>8</v>
      </c>
      <c r="Q3924" s="15" t="s">
        <v>8</v>
      </c>
      <c r="R3924" s="15" t="s">
        <v>8</v>
      </c>
      <c r="U3924" s="20" t="str">
        <f>HYPERLINK("http://yeinfo.com/family/I09066029.html", "ANGHARAD PULESTON 1380 WL-1448 WL ID:09066030")</f>
        <v>ANGHARAD PULESTON 1380 WL-1448 WL ID:09066030</v>
      </c>
      <c r="V3924" s="17"/>
      <c r="W3924" s="17"/>
      <c r="X3924" s="17"/>
      <c r="Y3924" s="17"/>
    </row>
    <row r="3925" spans="3:26" x14ac:dyDescent="0.35">
      <c r="C3925" s="15" t="s">
        <v>8</v>
      </c>
      <c r="D3925" s="15" t="s">
        <v>8</v>
      </c>
      <c r="E3925" s="15" t="s">
        <v>8</v>
      </c>
      <c r="F3925" s="15" t="s">
        <v>8</v>
      </c>
      <c r="H3925" s="15" t="s">
        <v>8</v>
      </c>
      <c r="I3925" s="15" t="s">
        <v>8</v>
      </c>
      <c r="J3925" s="15" t="s">
        <v>8</v>
      </c>
      <c r="N3925" s="15" t="s">
        <v>8</v>
      </c>
      <c r="O3925" s="15" t="s">
        <v>8</v>
      </c>
      <c r="Q3925" s="15" t="s">
        <v>8</v>
      </c>
      <c r="R3925" s="15" t="s">
        <v>8</v>
      </c>
      <c r="V3925" s="8" t="s">
        <v>6</v>
      </c>
    </row>
    <row r="3926" spans="3:26" x14ac:dyDescent="0.35">
      <c r="C3926" s="15" t="s">
        <v>8</v>
      </c>
      <c r="D3926" s="15" t="s">
        <v>8</v>
      </c>
      <c r="E3926" s="15" t="s">
        <v>8</v>
      </c>
      <c r="F3926" s="15" t="s">
        <v>8</v>
      </c>
      <c r="H3926" s="15" t="s">
        <v>8</v>
      </c>
      <c r="I3926" s="15" t="s">
        <v>8</v>
      </c>
      <c r="J3926" s="15" t="s">
        <v>8</v>
      </c>
      <c r="N3926" s="15" t="s">
        <v>8</v>
      </c>
      <c r="O3926" s="15" t="s">
        <v>8</v>
      </c>
      <c r="Q3926" s="15" t="s">
        <v>8</v>
      </c>
      <c r="R3926" s="15" t="s">
        <v>8</v>
      </c>
      <c r="V3926" s="20" t="str">
        <f>HYPERLINK("http://yeinfo.com/family/I09066221.html", "LOWRI GRUFFUDD FYCHAN 1358 WL-1399 WL ID:09066222")</f>
        <v>LOWRI GRUFFUDD FYCHAN 1358 WL-1399 WL ID:09066222</v>
      </c>
      <c r="W3926" s="17"/>
      <c r="X3926" s="17"/>
      <c r="Y3926" s="17"/>
      <c r="Z3926" s="17"/>
    </row>
    <row r="3927" spans="3:26" x14ac:dyDescent="0.35">
      <c r="C3927" s="15" t="s">
        <v>8</v>
      </c>
      <c r="D3927" s="15" t="s">
        <v>8</v>
      </c>
      <c r="E3927" s="15" t="s">
        <v>8</v>
      </c>
      <c r="F3927" s="15" t="s">
        <v>8</v>
      </c>
      <c r="H3927" s="15" t="s">
        <v>8</v>
      </c>
      <c r="I3927" s="15" t="s">
        <v>8</v>
      </c>
      <c r="J3927" s="15" t="s">
        <v>8</v>
      </c>
      <c r="N3927" s="15" t="s">
        <v>8</v>
      </c>
      <c r="O3927" s="15" t="s">
        <v>8</v>
      </c>
      <c r="Q3927" s="8" t="s">
        <v>6</v>
      </c>
      <c r="R3927" s="15" t="s">
        <v>8</v>
      </c>
    </row>
    <row r="3928" spans="3:26" x14ac:dyDescent="0.35">
      <c r="C3928" s="15" t="s">
        <v>8</v>
      </c>
      <c r="D3928" s="15" t="s">
        <v>8</v>
      </c>
      <c r="E3928" s="15" t="s">
        <v>8</v>
      </c>
      <c r="F3928" s="15" t="s">
        <v>8</v>
      </c>
      <c r="H3928" s="15" t="s">
        <v>8</v>
      </c>
      <c r="I3928" s="15" t="s">
        <v>8</v>
      </c>
      <c r="J3928" s="15" t="s">
        <v>8</v>
      </c>
      <c r="N3928" s="15" t="s">
        <v>8</v>
      </c>
      <c r="O3928" s="15" t="s">
        <v>8</v>
      </c>
      <c r="Q3928" s="20" t="str">
        <f>HYPERLINK("http://yeinfo.com/family/I09066597.html", "MARGARET\MARGERY WHETEHILL 1520 EN-1552 EN ID:09043387")</f>
        <v>MARGARET\MARGERY WHETEHILL 1520 EN-1552 EN ID:09043387</v>
      </c>
      <c r="R3928" s="17"/>
      <c r="S3928" s="17"/>
      <c r="T3928" s="17"/>
      <c r="U3928" s="17"/>
      <c r="V3928" s="17"/>
    </row>
    <row r="3929" spans="3:26" x14ac:dyDescent="0.35">
      <c r="C3929" s="15" t="s">
        <v>8</v>
      </c>
      <c r="D3929" s="15" t="s">
        <v>8</v>
      </c>
      <c r="E3929" s="15" t="s">
        <v>8</v>
      </c>
      <c r="F3929" s="15" t="s">
        <v>8</v>
      </c>
      <c r="H3929" s="15" t="s">
        <v>8</v>
      </c>
      <c r="I3929" s="15" t="s">
        <v>8</v>
      </c>
      <c r="J3929" s="15" t="s">
        <v>8</v>
      </c>
      <c r="N3929" s="15" t="s">
        <v>8</v>
      </c>
      <c r="O3929" s="15" t="s">
        <v>8</v>
      </c>
      <c r="R3929" s="15" t="s">
        <v>8</v>
      </c>
    </row>
    <row r="3930" spans="3:26" x14ac:dyDescent="0.35">
      <c r="C3930" s="15" t="s">
        <v>8</v>
      </c>
      <c r="D3930" s="15" t="s">
        <v>8</v>
      </c>
      <c r="E3930" s="15" t="s">
        <v>8</v>
      </c>
      <c r="F3930" s="15" t="s">
        <v>8</v>
      </c>
      <c r="H3930" s="15" t="s">
        <v>8</v>
      </c>
      <c r="I3930" s="15" t="s">
        <v>8</v>
      </c>
      <c r="J3930" s="15" t="s">
        <v>8</v>
      </c>
      <c r="N3930" s="15" t="s">
        <v>8</v>
      </c>
      <c r="O3930" s="15" t="s">
        <v>8</v>
      </c>
      <c r="R3930" s="15" t="s">
        <v>8</v>
      </c>
      <c r="T3930" s="19" t="str">
        <f>HYPERLINK("http://yeinfo.com/family/I09065712.html", "WILLIAM MUSTON 1420 EN-1445 EN ID:09065853")</f>
        <v>WILLIAM MUSTON 1420 EN-1445 EN ID:09065853</v>
      </c>
      <c r="U3930" s="9"/>
      <c r="V3930" s="9"/>
      <c r="W3930" s="9"/>
      <c r="X3930" s="9"/>
    </row>
    <row r="3931" spans="3:26" x14ac:dyDescent="0.35">
      <c r="C3931" s="15" t="s">
        <v>8</v>
      </c>
      <c r="D3931" s="15" t="s">
        <v>8</v>
      </c>
      <c r="E3931" s="15" t="s">
        <v>8</v>
      </c>
      <c r="F3931" s="15" t="s">
        <v>8</v>
      </c>
      <c r="H3931" s="15" t="s">
        <v>8</v>
      </c>
      <c r="I3931" s="15" t="s">
        <v>8</v>
      </c>
      <c r="J3931" s="15" t="s">
        <v>8</v>
      </c>
      <c r="N3931" s="15" t="s">
        <v>8</v>
      </c>
      <c r="O3931" s="15" t="s">
        <v>8</v>
      </c>
      <c r="R3931" s="15" t="s">
        <v>8</v>
      </c>
      <c r="T3931" s="8" t="s">
        <v>3</v>
      </c>
    </row>
    <row r="3932" spans="3:26" x14ac:dyDescent="0.35">
      <c r="C3932" s="15" t="s">
        <v>8</v>
      </c>
      <c r="D3932" s="15" t="s">
        <v>8</v>
      </c>
      <c r="E3932" s="15" t="s">
        <v>8</v>
      </c>
      <c r="F3932" s="15" t="s">
        <v>8</v>
      </c>
      <c r="H3932" s="15" t="s">
        <v>8</v>
      </c>
      <c r="I3932" s="15" t="s">
        <v>8</v>
      </c>
      <c r="J3932" s="15" t="s">
        <v>8</v>
      </c>
      <c r="N3932" s="15" t="s">
        <v>8</v>
      </c>
      <c r="O3932" s="15" t="s">
        <v>8</v>
      </c>
      <c r="R3932" s="15" t="s">
        <v>8</v>
      </c>
      <c r="S3932" s="19" t="str">
        <f>HYPERLINK("http://yeinfo.com/family/I09065572.html", "WILLIAM MUSTON 1445 FR-1486 FR ID:09065712")</f>
        <v>WILLIAM MUSTON 1445 FR-1486 FR ID:09065712</v>
      </c>
      <c r="T3932" s="9"/>
      <c r="U3932" s="9"/>
      <c r="V3932" s="9"/>
      <c r="W3932" s="9"/>
    </row>
    <row r="3933" spans="3:26" x14ac:dyDescent="0.35">
      <c r="C3933" s="15" t="s">
        <v>8</v>
      </c>
      <c r="D3933" s="15" t="s">
        <v>8</v>
      </c>
      <c r="E3933" s="15" t="s">
        <v>8</v>
      </c>
      <c r="F3933" s="15" t="s">
        <v>8</v>
      </c>
      <c r="H3933" s="15" t="s">
        <v>8</v>
      </c>
      <c r="I3933" s="15" t="s">
        <v>8</v>
      </c>
      <c r="J3933" s="15" t="s">
        <v>8</v>
      </c>
      <c r="N3933" s="15" t="s">
        <v>8</v>
      </c>
      <c r="O3933" s="15" t="s">
        <v>8</v>
      </c>
      <c r="R3933" s="15" t="s">
        <v>8</v>
      </c>
      <c r="S3933" s="8" t="s">
        <v>3</v>
      </c>
      <c r="T3933" s="8" t="s">
        <v>6</v>
      </c>
    </row>
    <row r="3934" spans="3:26" x14ac:dyDescent="0.35">
      <c r="C3934" s="15" t="s">
        <v>8</v>
      </c>
      <c r="D3934" s="15" t="s">
        <v>8</v>
      </c>
      <c r="E3934" s="15" t="s">
        <v>8</v>
      </c>
      <c r="F3934" s="15" t="s">
        <v>8</v>
      </c>
      <c r="H3934" s="15" t="s">
        <v>8</v>
      </c>
      <c r="I3934" s="15" t="s">
        <v>8</v>
      </c>
      <c r="J3934" s="15" t="s">
        <v>8</v>
      </c>
      <c r="N3934" s="15" t="s">
        <v>8</v>
      </c>
      <c r="O3934" s="15" t="s">
        <v>8</v>
      </c>
      <c r="R3934" s="15" t="s">
        <v>8</v>
      </c>
      <c r="S3934" s="15" t="s">
        <v>8</v>
      </c>
      <c r="T3934" s="20" t="str">
        <f>HYPERLINK("http://yeinfo.com/family/I09065853.html", "Mrs. {_?_} MUSTON 1420 -1445 EN ID:09065854")</f>
        <v>Mrs. {_?_} MUSTON 1420 -1445 EN ID:09065854</v>
      </c>
      <c r="U3934" s="17"/>
      <c r="V3934" s="17"/>
      <c r="W3934" s="17"/>
      <c r="X3934" s="17"/>
    </row>
    <row r="3935" spans="3:26" x14ac:dyDescent="0.35">
      <c r="C3935" s="15" t="s">
        <v>8</v>
      </c>
      <c r="D3935" s="15" t="s">
        <v>8</v>
      </c>
      <c r="E3935" s="15" t="s">
        <v>8</v>
      </c>
      <c r="F3935" s="15" t="s">
        <v>8</v>
      </c>
      <c r="H3935" s="15" t="s">
        <v>8</v>
      </c>
      <c r="I3935" s="15" t="s">
        <v>8</v>
      </c>
      <c r="J3935" s="15" t="s">
        <v>8</v>
      </c>
      <c r="N3935" s="15" t="s">
        <v>8</v>
      </c>
      <c r="O3935" s="15" t="s">
        <v>8</v>
      </c>
      <c r="R3935" s="8" t="s">
        <v>6</v>
      </c>
      <c r="S3935" s="15" t="s">
        <v>8</v>
      </c>
    </row>
    <row r="3936" spans="3:26" x14ac:dyDescent="0.35">
      <c r="C3936" s="15" t="s">
        <v>8</v>
      </c>
      <c r="D3936" s="15" t="s">
        <v>8</v>
      </c>
      <c r="E3936" s="15" t="s">
        <v>8</v>
      </c>
      <c r="F3936" s="15" t="s">
        <v>8</v>
      </c>
      <c r="H3936" s="15" t="s">
        <v>8</v>
      </c>
      <c r="I3936" s="15" t="s">
        <v>8</v>
      </c>
      <c r="J3936" s="15" t="s">
        <v>8</v>
      </c>
      <c r="N3936" s="15" t="s">
        <v>8</v>
      </c>
      <c r="O3936" s="15" t="s">
        <v>8</v>
      </c>
      <c r="R3936" s="20" t="str">
        <f>HYPERLINK("http://yeinfo.com/family/I09066222.html", "ELIZABETH MUSTON 1465 EN-1543 FR ID:09065572")</f>
        <v>ELIZABETH MUSTON 1465 EN-1543 FR ID:09065572</v>
      </c>
      <c r="S3936" s="17"/>
      <c r="T3936" s="17"/>
      <c r="U3936" s="17"/>
      <c r="V3936" s="17"/>
    </row>
    <row r="3937" spans="3:28" x14ac:dyDescent="0.35">
      <c r="C3937" s="15" t="s">
        <v>8</v>
      </c>
      <c r="D3937" s="15" t="s">
        <v>8</v>
      </c>
      <c r="E3937" s="15" t="s">
        <v>8</v>
      </c>
      <c r="F3937" s="15" t="s">
        <v>8</v>
      </c>
      <c r="H3937" s="15" t="s">
        <v>8</v>
      </c>
      <c r="I3937" s="15" t="s">
        <v>8</v>
      </c>
      <c r="J3937" s="15" t="s">
        <v>8</v>
      </c>
      <c r="N3937" s="15" t="s">
        <v>8</v>
      </c>
      <c r="O3937" s="15" t="s">
        <v>8</v>
      </c>
      <c r="S3937" s="8" t="s">
        <v>6</v>
      </c>
    </row>
    <row r="3938" spans="3:28" x14ac:dyDescent="0.35">
      <c r="C3938" s="15" t="s">
        <v>8</v>
      </c>
      <c r="D3938" s="15" t="s">
        <v>8</v>
      </c>
      <c r="E3938" s="15" t="s">
        <v>8</v>
      </c>
      <c r="F3938" s="15" t="s">
        <v>8</v>
      </c>
      <c r="H3938" s="15" t="s">
        <v>8</v>
      </c>
      <c r="I3938" s="15" t="s">
        <v>8</v>
      </c>
      <c r="J3938" s="15" t="s">
        <v>8</v>
      </c>
      <c r="N3938" s="15" t="s">
        <v>8</v>
      </c>
      <c r="O3938" s="15" t="s">
        <v>8</v>
      </c>
      <c r="S3938" s="20" t="str">
        <f>HYPERLINK("http://yeinfo.com/family/I09065854.html", "ANNE ABBOT 1450 FR-1497 FR ID:09065713")</f>
        <v>ANNE ABBOT 1450 FR-1497 FR ID:09065713</v>
      </c>
      <c r="T3938" s="17"/>
      <c r="U3938" s="17"/>
      <c r="V3938" s="17"/>
      <c r="W3938" s="17"/>
    </row>
    <row r="3939" spans="3:28" x14ac:dyDescent="0.35">
      <c r="C3939" s="15" t="s">
        <v>8</v>
      </c>
      <c r="D3939" s="15" t="s">
        <v>8</v>
      </c>
      <c r="E3939" s="15" t="s">
        <v>8</v>
      </c>
      <c r="F3939" s="15" t="s">
        <v>8</v>
      </c>
      <c r="H3939" s="15" t="s">
        <v>8</v>
      </c>
      <c r="I3939" s="15" t="s">
        <v>8</v>
      </c>
      <c r="J3939" s="15" t="s">
        <v>8</v>
      </c>
      <c r="N3939" s="8" t="s">
        <v>6</v>
      </c>
      <c r="O3939" s="15" t="s">
        <v>8</v>
      </c>
    </row>
    <row r="3940" spans="3:28" x14ac:dyDescent="0.35">
      <c r="C3940" s="15" t="s">
        <v>8</v>
      </c>
      <c r="D3940" s="15" t="s">
        <v>8</v>
      </c>
      <c r="E3940" s="15" t="s">
        <v>8</v>
      </c>
      <c r="F3940" s="15" t="s">
        <v>8</v>
      </c>
      <c r="H3940" s="15" t="s">
        <v>8</v>
      </c>
      <c r="I3940" s="15" t="s">
        <v>8</v>
      </c>
      <c r="J3940" s="15" t="s">
        <v>8</v>
      </c>
      <c r="N3940" s="22" t="str">
        <f>HYPERLINK("http://yeinfo.com/family/I09065564.html", "SARAH APPLETON 1625 EN-1714 MA ID:09005423")</f>
        <v>SARAH APPLETON 1625 EN-1714 MA ID:09005423</v>
      </c>
      <c r="O3940" s="13"/>
      <c r="P3940" s="13"/>
      <c r="Q3940" s="13"/>
      <c r="R3940" s="13"/>
    </row>
    <row r="3941" spans="3:28" x14ac:dyDescent="0.35">
      <c r="C3941" s="15" t="s">
        <v>8</v>
      </c>
      <c r="D3941" s="15" t="s">
        <v>8</v>
      </c>
      <c r="E3941" s="15" t="s">
        <v>8</v>
      </c>
      <c r="F3941" s="15" t="s">
        <v>8</v>
      </c>
      <c r="H3941" s="15" t="s">
        <v>8</v>
      </c>
      <c r="I3941" s="15" t="s">
        <v>8</v>
      </c>
      <c r="J3941" s="15" t="s">
        <v>8</v>
      </c>
      <c r="O3941" s="15" t="s">
        <v>8</v>
      </c>
    </row>
    <row r="3942" spans="3:28" x14ac:dyDescent="0.35">
      <c r="C3942" s="15" t="s">
        <v>8</v>
      </c>
      <c r="D3942" s="15" t="s">
        <v>8</v>
      </c>
      <c r="E3942" s="15" t="s">
        <v>8</v>
      </c>
      <c r="F3942" s="15" t="s">
        <v>8</v>
      </c>
      <c r="H3942" s="15" t="s">
        <v>8</v>
      </c>
      <c r="I3942" s="15" t="s">
        <v>8</v>
      </c>
      <c r="J3942" s="15" t="s">
        <v>8</v>
      </c>
      <c r="O3942" s="15" t="s">
        <v>8</v>
      </c>
      <c r="X3942" s="19" t="str">
        <f>HYPERLINK("http://yeinfo.com/family/I09066375.html", "RALPH EVERARD &lt;2&gt; 1323 EN-1351 EN ID:09066546")</f>
        <v>RALPH EVERARD &lt;2&gt; 1323 EN-1351 EN ID:09066546</v>
      </c>
      <c r="Y3942" s="9"/>
      <c r="Z3942" s="9"/>
      <c r="AA3942" s="9"/>
      <c r="AB3942" s="9"/>
    </row>
    <row r="3943" spans="3:28" x14ac:dyDescent="0.35">
      <c r="C3943" s="15" t="s">
        <v>8</v>
      </c>
      <c r="D3943" s="15" t="s">
        <v>8</v>
      </c>
      <c r="E3943" s="15" t="s">
        <v>8</v>
      </c>
      <c r="F3943" s="15" t="s">
        <v>8</v>
      </c>
      <c r="H3943" s="15" t="s">
        <v>8</v>
      </c>
      <c r="I3943" s="15" t="s">
        <v>8</v>
      </c>
      <c r="J3943" s="15" t="s">
        <v>8</v>
      </c>
      <c r="O3943" s="15" t="s">
        <v>8</v>
      </c>
      <c r="X3943" s="8" t="s">
        <v>3</v>
      </c>
    </row>
    <row r="3944" spans="3:28" x14ac:dyDescent="0.35">
      <c r="C3944" s="15" t="s">
        <v>8</v>
      </c>
      <c r="D3944" s="15" t="s">
        <v>8</v>
      </c>
      <c r="E3944" s="15" t="s">
        <v>8</v>
      </c>
      <c r="F3944" s="15" t="s">
        <v>8</v>
      </c>
      <c r="H3944" s="15" t="s">
        <v>8</v>
      </c>
      <c r="I3944" s="15" t="s">
        <v>8</v>
      </c>
      <c r="J3944" s="15" t="s">
        <v>8</v>
      </c>
      <c r="O3944" s="15" t="s">
        <v>8</v>
      </c>
      <c r="W3944" s="19" t="str">
        <f>HYPERLINK("http://yeinfo.com/family/I09066223.html", "WALTER EVERARD &lt;2&gt; 1349 EN-1380 EN ID:09066375")</f>
        <v>WALTER EVERARD &lt;2&gt; 1349 EN-1380 EN ID:09066375</v>
      </c>
      <c r="X3944" s="9"/>
      <c r="Y3944" s="9"/>
      <c r="Z3944" s="9"/>
      <c r="AA3944" s="9"/>
    </row>
    <row r="3945" spans="3:28" x14ac:dyDescent="0.35">
      <c r="C3945" s="15" t="s">
        <v>8</v>
      </c>
      <c r="D3945" s="15" t="s">
        <v>8</v>
      </c>
      <c r="E3945" s="15" t="s">
        <v>8</v>
      </c>
      <c r="F3945" s="15" t="s">
        <v>8</v>
      </c>
      <c r="H3945" s="15" t="s">
        <v>8</v>
      </c>
      <c r="I3945" s="15" t="s">
        <v>8</v>
      </c>
      <c r="J3945" s="15" t="s">
        <v>8</v>
      </c>
      <c r="O3945" s="15" t="s">
        <v>8</v>
      </c>
      <c r="W3945" s="8" t="s">
        <v>3</v>
      </c>
      <c r="X3945" s="8" t="s">
        <v>6</v>
      </c>
    </row>
    <row r="3946" spans="3:28" x14ac:dyDescent="0.35">
      <c r="C3946" s="15" t="s">
        <v>8</v>
      </c>
      <c r="D3946" s="15" t="s">
        <v>8</v>
      </c>
      <c r="E3946" s="15" t="s">
        <v>8</v>
      </c>
      <c r="F3946" s="15" t="s">
        <v>8</v>
      </c>
      <c r="H3946" s="15" t="s">
        <v>8</v>
      </c>
      <c r="I3946" s="15" t="s">
        <v>8</v>
      </c>
      <c r="J3946" s="15" t="s">
        <v>8</v>
      </c>
      <c r="O3946" s="15" t="s">
        <v>8</v>
      </c>
      <c r="W3946" s="15" t="s">
        <v>8</v>
      </c>
      <c r="X3946" s="20" t="str">
        <f>HYPERLINK("http://yeinfo.com/family/I09066546.html", "Mrs. {_?_} EVERARD &lt;2&gt; 1325 -1349 EN ID:09066547")</f>
        <v>Mrs. {_?_} EVERARD &lt;2&gt; 1325 -1349 EN ID:09066547</v>
      </c>
      <c r="Y3946" s="17"/>
      <c r="Z3946" s="17"/>
      <c r="AA3946" s="17"/>
      <c r="AB3946" s="17"/>
    </row>
    <row r="3947" spans="3:28" x14ac:dyDescent="0.35">
      <c r="C3947" s="15" t="s">
        <v>8</v>
      </c>
      <c r="D3947" s="15" t="s">
        <v>8</v>
      </c>
      <c r="E3947" s="15" t="s">
        <v>8</v>
      </c>
      <c r="F3947" s="15" t="s">
        <v>8</v>
      </c>
      <c r="H3947" s="15" t="s">
        <v>8</v>
      </c>
      <c r="I3947" s="15" t="s">
        <v>8</v>
      </c>
      <c r="J3947" s="15" t="s">
        <v>8</v>
      </c>
      <c r="O3947" s="15" t="s">
        <v>8</v>
      </c>
      <c r="W3947" s="15" t="s">
        <v>8</v>
      </c>
    </row>
    <row r="3948" spans="3:28" x14ac:dyDescent="0.35">
      <c r="C3948" s="15" t="s">
        <v>8</v>
      </c>
      <c r="D3948" s="15" t="s">
        <v>8</v>
      </c>
      <c r="E3948" s="15" t="s">
        <v>8</v>
      </c>
      <c r="F3948" s="15" t="s">
        <v>8</v>
      </c>
      <c r="H3948" s="15" t="s">
        <v>8</v>
      </c>
      <c r="I3948" s="15" t="s">
        <v>8</v>
      </c>
      <c r="J3948" s="15" t="s">
        <v>8</v>
      </c>
      <c r="O3948" s="15" t="s">
        <v>8</v>
      </c>
      <c r="V3948" s="19" t="str">
        <f>HYPERLINK("http://yeinfo.com/family/I09066031.html", "WILLIAM EVERARD Sr. &lt;2&gt; 1375 EN-1404 EN ID:09066223")</f>
        <v>WILLIAM EVERARD Sr. &lt;2&gt; 1375 EN-1404 EN ID:09066223</v>
      </c>
      <c r="W3948" s="9"/>
      <c r="X3948" s="9"/>
      <c r="Y3948" s="9"/>
      <c r="Z3948" s="9"/>
    </row>
    <row r="3949" spans="3:28" x14ac:dyDescent="0.35">
      <c r="C3949" s="15" t="s">
        <v>8</v>
      </c>
      <c r="D3949" s="15" t="s">
        <v>8</v>
      </c>
      <c r="E3949" s="15" t="s">
        <v>8</v>
      </c>
      <c r="F3949" s="15" t="s">
        <v>8</v>
      </c>
      <c r="H3949" s="15" t="s">
        <v>8</v>
      </c>
      <c r="I3949" s="15" t="s">
        <v>8</v>
      </c>
      <c r="J3949" s="15" t="s">
        <v>8</v>
      </c>
      <c r="O3949" s="15" t="s">
        <v>8</v>
      </c>
      <c r="V3949" s="8" t="s">
        <v>3</v>
      </c>
      <c r="W3949" s="8" t="s">
        <v>6</v>
      </c>
    </row>
    <row r="3950" spans="3:28" x14ac:dyDescent="0.35">
      <c r="C3950" s="15" t="s">
        <v>8</v>
      </c>
      <c r="D3950" s="15" t="s">
        <v>8</v>
      </c>
      <c r="E3950" s="15" t="s">
        <v>8</v>
      </c>
      <c r="F3950" s="15" t="s">
        <v>8</v>
      </c>
      <c r="H3950" s="15" t="s">
        <v>8</v>
      </c>
      <c r="I3950" s="15" t="s">
        <v>8</v>
      </c>
      <c r="J3950" s="15" t="s">
        <v>8</v>
      </c>
      <c r="O3950" s="15" t="s">
        <v>8</v>
      </c>
      <c r="V3950" s="15" t="s">
        <v>8</v>
      </c>
      <c r="W3950" s="20" t="str">
        <f>HYPERLINK("http://yeinfo.com/family/I09066547.html", "ELIZABETH MALLORY &lt;2&gt; 1350 -1375 EN ID:09066376")</f>
        <v>ELIZABETH MALLORY &lt;2&gt; 1350 -1375 EN ID:09066376</v>
      </c>
      <c r="X3950" s="17"/>
      <c r="Y3950" s="17"/>
      <c r="Z3950" s="17"/>
      <c r="AA3950" s="17"/>
    </row>
    <row r="3951" spans="3:28" x14ac:dyDescent="0.35">
      <c r="C3951" s="15" t="s">
        <v>8</v>
      </c>
      <c r="D3951" s="15" t="s">
        <v>8</v>
      </c>
      <c r="E3951" s="15" t="s">
        <v>8</v>
      </c>
      <c r="F3951" s="15" t="s">
        <v>8</v>
      </c>
      <c r="H3951" s="15" t="s">
        <v>8</v>
      </c>
      <c r="I3951" s="15" t="s">
        <v>8</v>
      </c>
      <c r="J3951" s="15" t="s">
        <v>8</v>
      </c>
      <c r="O3951" s="15" t="s">
        <v>8</v>
      </c>
      <c r="V3951" s="15" t="s">
        <v>8</v>
      </c>
    </row>
    <row r="3952" spans="3:28" x14ac:dyDescent="0.35">
      <c r="C3952" s="15" t="s">
        <v>8</v>
      </c>
      <c r="D3952" s="15" t="s">
        <v>8</v>
      </c>
      <c r="E3952" s="15" t="s">
        <v>8</v>
      </c>
      <c r="F3952" s="15" t="s">
        <v>8</v>
      </c>
      <c r="H3952" s="15" t="s">
        <v>8</v>
      </c>
      <c r="I3952" s="15" t="s">
        <v>8</v>
      </c>
      <c r="J3952" s="15" t="s">
        <v>8</v>
      </c>
      <c r="O3952" s="15" t="s">
        <v>8</v>
      </c>
      <c r="U3952" s="19" t="str">
        <f>HYPERLINK("http://yeinfo.com/family/I09065855.html", "WILLIAM EVERARD Jr. &lt;2&gt; 1400 EN-1432 EN ID:09066031")</f>
        <v>WILLIAM EVERARD Jr. &lt;2&gt; 1400 EN-1432 EN ID:09066031</v>
      </c>
      <c r="V3952" s="9"/>
      <c r="W3952" s="9"/>
      <c r="X3952" s="9"/>
      <c r="Y3952" s="9"/>
    </row>
    <row r="3953" spans="3:26" x14ac:dyDescent="0.35">
      <c r="C3953" s="15" t="s">
        <v>8</v>
      </c>
      <c r="D3953" s="15" t="s">
        <v>8</v>
      </c>
      <c r="E3953" s="15" t="s">
        <v>8</v>
      </c>
      <c r="F3953" s="15" t="s">
        <v>8</v>
      </c>
      <c r="H3953" s="15" t="s">
        <v>8</v>
      </c>
      <c r="I3953" s="15" t="s">
        <v>8</v>
      </c>
      <c r="J3953" s="15" t="s">
        <v>8</v>
      </c>
      <c r="O3953" s="15" t="s">
        <v>8</v>
      </c>
      <c r="U3953" s="8" t="s">
        <v>3</v>
      </c>
      <c r="V3953" s="8" t="s">
        <v>6</v>
      </c>
    </row>
    <row r="3954" spans="3:26" x14ac:dyDescent="0.35">
      <c r="C3954" s="15" t="s">
        <v>8</v>
      </c>
      <c r="D3954" s="15" t="s">
        <v>8</v>
      </c>
      <c r="E3954" s="15" t="s">
        <v>8</v>
      </c>
      <c r="F3954" s="15" t="s">
        <v>8</v>
      </c>
      <c r="H3954" s="15" t="s">
        <v>8</v>
      </c>
      <c r="I3954" s="15" t="s">
        <v>8</v>
      </c>
      <c r="J3954" s="15" t="s">
        <v>8</v>
      </c>
      <c r="O3954" s="15" t="s">
        <v>8</v>
      </c>
      <c r="U3954" s="15" t="s">
        <v>8</v>
      </c>
      <c r="V3954" s="20" t="str">
        <f>HYPERLINK("http://yeinfo.com/family/I09066376.html", "Mrs. {_?_} EVERARD &lt;2&gt; 1375 -1400 EN ID:09066224")</f>
        <v>Mrs. {_?_} EVERARD &lt;2&gt; 1375 -1400 EN ID:09066224</v>
      </c>
      <c r="W3954" s="17"/>
      <c r="X3954" s="17"/>
      <c r="Y3954" s="17"/>
      <c r="Z3954" s="17"/>
    </row>
    <row r="3955" spans="3:26" x14ac:dyDescent="0.35">
      <c r="C3955" s="15" t="s">
        <v>8</v>
      </c>
      <c r="D3955" s="15" t="s">
        <v>8</v>
      </c>
      <c r="E3955" s="15" t="s">
        <v>8</v>
      </c>
      <c r="F3955" s="15" t="s">
        <v>8</v>
      </c>
      <c r="H3955" s="15" t="s">
        <v>8</v>
      </c>
      <c r="I3955" s="15" t="s">
        <v>8</v>
      </c>
      <c r="J3955" s="15" t="s">
        <v>8</v>
      </c>
      <c r="O3955" s="15" t="s">
        <v>8</v>
      </c>
      <c r="U3955" s="15" t="s">
        <v>8</v>
      </c>
    </row>
    <row r="3956" spans="3:26" x14ac:dyDescent="0.35">
      <c r="C3956" s="15" t="s">
        <v>8</v>
      </c>
      <c r="D3956" s="15" t="s">
        <v>8</v>
      </c>
      <c r="E3956" s="15" t="s">
        <v>8</v>
      </c>
      <c r="F3956" s="15" t="s">
        <v>8</v>
      </c>
      <c r="H3956" s="15" t="s">
        <v>8</v>
      </c>
      <c r="I3956" s="15" t="s">
        <v>8</v>
      </c>
      <c r="J3956" s="15" t="s">
        <v>8</v>
      </c>
      <c r="O3956" s="15" t="s">
        <v>8</v>
      </c>
      <c r="T3956" s="19" t="str">
        <f>HYPERLINK("http://yeinfo.com/family/I09065714.html", "JOHN EVERARD &lt;2&gt; 1432 EN-1463 EN ID:09065855")</f>
        <v>JOHN EVERARD &lt;2&gt; 1432 EN-1463 EN ID:09065855</v>
      </c>
      <c r="U3956" s="9"/>
      <c r="V3956" s="9"/>
      <c r="W3956" s="9"/>
      <c r="X3956" s="9"/>
    </row>
    <row r="3957" spans="3:26" x14ac:dyDescent="0.35">
      <c r="C3957" s="15" t="s">
        <v>8</v>
      </c>
      <c r="D3957" s="15" t="s">
        <v>8</v>
      </c>
      <c r="E3957" s="15" t="s">
        <v>8</v>
      </c>
      <c r="F3957" s="15" t="s">
        <v>8</v>
      </c>
      <c r="H3957" s="15" t="s">
        <v>8</v>
      </c>
      <c r="I3957" s="15" t="s">
        <v>8</v>
      </c>
      <c r="J3957" s="15" t="s">
        <v>8</v>
      </c>
      <c r="O3957" s="15" t="s">
        <v>8</v>
      </c>
      <c r="T3957" s="8" t="s">
        <v>3</v>
      </c>
      <c r="U3957" s="8" t="s">
        <v>6</v>
      </c>
    </row>
    <row r="3958" spans="3:26" x14ac:dyDescent="0.35">
      <c r="C3958" s="15" t="s">
        <v>8</v>
      </c>
      <c r="D3958" s="15" t="s">
        <v>8</v>
      </c>
      <c r="E3958" s="15" t="s">
        <v>8</v>
      </c>
      <c r="F3958" s="15" t="s">
        <v>8</v>
      </c>
      <c r="H3958" s="15" t="s">
        <v>8</v>
      </c>
      <c r="I3958" s="15" t="s">
        <v>8</v>
      </c>
      <c r="J3958" s="15" t="s">
        <v>8</v>
      </c>
      <c r="O3958" s="15" t="s">
        <v>8</v>
      </c>
      <c r="T3958" s="15" t="s">
        <v>8</v>
      </c>
      <c r="U3958" s="20" t="str">
        <f>HYPERLINK("http://yeinfo.com/family/I09066224.html", "ISABEL BEDALL &lt;2&gt; 1410 EN-1509 EN ID:09066032")</f>
        <v>ISABEL BEDALL &lt;2&gt; 1410 EN-1509 EN ID:09066032</v>
      </c>
      <c r="V3958" s="17"/>
      <c r="W3958" s="17"/>
      <c r="X3958" s="17"/>
      <c r="Y3958" s="17"/>
    </row>
    <row r="3959" spans="3:26" x14ac:dyDescent="0.35">
      <c r="C3959" s="15" t="s">
        <v>8</v>
      </c>
      <c r="D3959" s="15" t="s">
        <v>8</v>
      </c>
      <c r="E3959" s="15" t="s">
        <v>8</v>
      </c>
      <c r="F3959" s="15" t="s">
        <v>8</v>
      </c>
      <c r="H3959" s="15" t="s">
        <v>8</v>
      </c>
      <c r="I3959" s="15" t="s">
        <v>8</v>
      </c>
      <c r="J3959" s="15" t="s">
        <v>8</v>
      </c>
      <c r="O3959" s="15" t="s">
        <v>8</v>
      </c>
      <c r="T3959" s="15" t="s">
        <v>8</v>
      </c>
    </row>
    <row r="3960" spans="3:26" x14ac:dyDescent="0.35">
      <c r="C3960" s="15" t="s">
        <v>8</v>
      </c>
      <c r="D3960" s="15" t="s">
        <v>8</v>
      </c>
      <c r="E3960" s="15" t="s">
        <v>8</v>
      </c>
      <c r="F3960" s="15" t="s">
        <v>8</v>
      </c>
      <c r="H3960" s="15" t="s">
        <v>8</v>
      </c>
      <c r="I3960" s="15" t="s">
        <v>8</v>
      </c>
      <c r="J3960" s="15" t="s">
        <v>8</v>
      </c>
      <c r="O3960" s="15" t="s">
        <v>8</v>
      </c>
      <c r="S3960" s="19" t="str">
        <f>HYPERLINK("http://yeinfo.com/family/I09065573.html", "THOMAS EVERARD &lt;2&gt; 1455 EN-1529 EN ID:09065714")</f>
        <v>THOMAS EVERARD &lt;2&gt; 1455 EN-1529 EN ID:09065714</v>
      </c>
      <c r="T3960" s="9"/>
      <c r="U3960" s="9"/>
      <c r="V3960" s="9"/>
      <c r="W3960" s="9"/>
    </row>
    <row r="3961" spans="3:26" x14ac:dyDescent="0.35">
      <c r="C3961" s="15" t="s">
        <v>8</v>
      </c>
      <c r="D3961" s="15" t="s">
        <v>8</v>
      </c>
      <c r="E3961" s="15" t="s">
        <v>8</v>
      </c>
      <c r="F3961" s="15" t="s">
        <v>8</v>
      </c>
      <c r="H3961" s="15" t="s">
        <v>8</v>
      </c>
      <c r="I3961" s="15" t="s">
        <v>8</v>
      </c>
      <c r="J3961" s="15" t="s">
        <v>8</v>
      </c>
      <c r="O3961" s="15" t="s">
        <v>8</v>
      </c>
      <c r="S3961" s="8" t="s">
        <v>3</v>
      </c>
      <c r="T3961" s="8" t="s">
        <v>6</v>
      </c>
    </row>
    <row r="3962" spans="3:26" x14ac:dyDescent="0.35">
      <c r="C3962" s="15" t="s">
        <v>8</v>
      </c>
      <c r="D3962" s="15" t="s">
        <v>8</v>
      </c>
      <c r="E3962" s="15" t="s">
        <v>8</v>
      </c>
      <c r="F3962" s="15" t="s">
        <v>8</v>
      </c>
      <c r="H3962" s="15" t="s">
        <v>8</v>
      </c>
      <c r="I3962" s="15" t="s">
        <v>8</v>
      </c>
      <c r="J3962" s="15" t="s">
        <v>8</v>
      </c>
      <c r="O3962" s="15" t="s">
        <v>8</v>
      </c>
      <c r="S3962" s="15" t="s">
        <v>8</v>
      </c>
      <c r="T3962" s="20" t="str">
        <f>HYPERLINK("http://yeinfo.com/family/I09066032.html", "CATHERINE MARSH &lt;2&gt; 1434 EN-1463 EN ID:09065856")</f>
        <v>CATHERINE MARSH &lt;2&gt; 1434 EN-1463 EN ID:09065856</v>
      </c>
      <c r="U3962" s="17"/>
      <c r="V3962" s="17"/>
      <c r="W3962" s="17"/>
      <c r="X3962" s="17"/>
    </row>
    <row r="3963" spans="3:26" x14ac:dyDescent="0.35">
      <c r="C3963" s="15" t="s">
        <v>8</v>
      </c>
      <c r="D3963" s="15" t="s">
        <v>8</v>
      </c>
      <c r="E3963" s="15" t="s">
        <v>8</v>
      </c>
      <c r="F3963" s="15" t="s">
        <v>8</v>
      </c>
      <c r="H3963" s="15" t="s">
        <v>8</v>
      </c>
      <c r="I3963" s="15" t="s">
        <v>8</v>
      </c>
      <c r="J3963" s="15" t="s">
        <v>8</v>
      </c>
      <c r="O3963" s="15" t="s">
        <v>8</v>
      </c>
      <c r="S3963" s="15" t="s">
        <v>8</v>
      </c>
    </row>
    <row r="3964" spans="3:26" x14ac:dyDescent="0.35">
      <c r="C3964" s="15" t="s">
        <v>8</v>
      </c>
      <c r="D3964" s="15" t="s">
        <v>8</v>
      </c>
      <c r="E3964" s="15" t="s">
        <v>8</v>
      </c>
      <c r="F3964" s="15" t="s">
        <v>8</v>
      </c>
      <c r="H3964" s="15" t="s">
        <v>8</v>
      </c>
      <c r="I3964" s="15" t="s">
        <v>8</v>
      </c>
      <c r="J3964" s="15" t="s">
        <v>8</v>
      </c>
      <c r="O3964" s="15" t="s">
        <v>8</v>
      </c>
      <c r="R3964" s="19" t="str">
        <f>HYPERLINK("http://yeinfo.com/family/I09043388.html", "HENRY EVERARD 1495 EN-1551 EN ID:09065573")</f>
        <v>HENRY EVERARD 1495 EN-1551 EN ID:09065573</v>
      </c>
      <c r="S3964" s="9"/>
      <c r="T3964" s="9"/>
      <c r="U3964" s="9"/>
      <c r="V3964" s="9"/>
    </row>
    <row r="3965" spans="3:26" x14ac:dyDescent="0.35">
      <c r="C3965" s="15" t="s">
        <v>8</v>
      </c>
      <c r="D3965" s="15" t="s">
        <v>8</v>
      </c>
      <c r="E3965" s="15" t="s">
        <v>8</v>
      </c>
      <c r="F3965" s="15" t="s">
        <v>8</v>
      </c>
      <c r="H3965" s="15" t="s">
        <v>8</v>
      </c>
      <c r="I3965" s="15" t="s">
        <v>8</v>
      </c>
      <c r="J3965" s="15" t="s">
        <v>8</v>
      </c>
      <c r="O3965" s="15" t="s">
        <v>8</v>
      </c>
      <c r="R3965" s="8" t="s">
        <v>3</v>
      </c>
      <c r="S3965" s="15" t="s">
        <v>8</v>
      </c>
    </row>
    <row r="3966" spans="3:26" x14ac:dyDescent="0.35">
      <c r="C3966" s="15" t="s">
        <v>8</v>
      </c>
      <c r="D3966" s="15" t="s">
        <v>8</v>
      </c>
      <c r="E3966" s="15" t="s">
        <v>8</v>
      </c>
      <c r="F3966" s="15" t="s">
        <v>8</v>
      </c>
      <c r="H3966" s="15" t="s">
        <v>8</v>
      </c>
      <c r="I3966" s="15" t="s">
        <v>8</v>
      </c>
      <c r="J3966" s="15" t="s">
        <v>8</v>
      </c>
      <c r="O3966" s="15" t="s">
        <v>8</v>
      </c>
      <c r="R3966" s="15" t="s">
        <v>8</v>
      </c>
      <c r="S3966" s="15" t="s">
        <v>8</v>
      </c>
      <c r="U3966" s="19" t="str">
        <f>HYPERLINK("http://yeinfo.com/family/I09065955.html", "JOHN CORNISH &lt;2&gt; 1390 EN-1424 EN ID:09066128")</f>
        <v>JOHN CORNISH &lt;2&gt; 1390 EN-1424 EN ID:09066128</v>
      </c>
      <c r="V3966" s="9"/>
      <c r="W3966" s="9"/>
      <c r="X3966" s="9"/>
      <c r="Y3966" s="9"/>
    </row>
    <row r="3967" spans="3:26" x14ac:dyDescent="0.35">
      <c r="C3967" s="15" t="s">
        <v>8</v>
      </c>
      <c r="D3967" s="15" t="s">
        <v>8</v>
      </c>
      <c r="E3967" s="15" t="s">
        <v>8</v>
      </c>
      <c r="F3967" s="15" t="s">
        <v>8</v>
      </c>
      <c r="H3967" s="15" t="s">
        <v>8</v>
      </c>
      <c r="I3967" s="15" t="s">
        <v>8</v>
      </c>
      <c r="J3967" s="15" t="s">
        <v>8</v>
      </c>
      <c r="O3967" s="15" t="s">
        <v>8</v>
      </c>
      <c r="R3967" s="15" t="s">
        <v>8</v>
      </c>
      <c r="S3967" s="15" t="s">
        <v>8</v>
      </c>
      <c r="U3967" s="8" t="s">
        <v>3</v>
      </c>
    </row>
    <row r="3968" spans="3:26" x14ac:dyDescent="0.35">
      <c r="C3968" s="15" t="s">
        <v>8</v>
      </c>
      <c r="D3968" s="15" t="s">
        <v>8</v>
      </c>
      <c r="E3968" s="15" t="s">
        <v>8</v>
      </c>
      <c r="F3968" s="15" t="s">
        <v>8</v>
      </c>
      <c r="H3968" s="15" t="s">
        <v>8</v>
      </c>
      <c r="I3968" s="15" t="s">
        <v>8</v>
      </c>
      <c r="J3968" s="15" t="s">
        <v>8</v>
      </c>
      <c r="O3968" s="15" t="s">
        <v>8</v>
      </c>
      <c r="R3968" s="15" t="s">
        <v>8</v>
      </c>
      <c r="S3968" s="15" t="s">
        <v>8</v>
      </c>
      <c r="T3968" s="19" t="str">
        <f>HYPERLINK("http://yeinfo.com/family/I09065715.html", "JOHN CORNISH II &lt;2&gt; 1424 EN-1514 EN ID:09065955")</f>
        <v>JOHN CORNISH II &lt;2&gt; 1424 EN-1514 EN ID:09065955</v>
      </c>
      <c r="U3968" s="9"/>
      <c r="V3968" s="9"/>
      <c r="W3968" s="9"/>
      <c r="X3968" s="9"/>
    </row>
    <row r="3969" spans="3:30" x14ac:dyDescent="0.35">
      <c r="C3969" s="15" t="s">
        <v>8</v>
      </c>
      <c r="D3969" s="15" t="s">
        <v>8</v>
      </c>
      <c r="E3969" s="15" t="s">
        <v>8</v>
      </c>
      <c r="F3969" s="15" t="s">
        <v>8</v>
      </c>
      <c r="H3969" s="15" t="s">
        <v>8</v>
      </c>
      <c r="I3969" s="15" t="s">
        <v>8</v>
      </c>
      <c r="J3969" s="15" t="s">
        <v>8</v>
      </c>
      <c r="O3969" s="15" t="s">
        <v>8</v>
      </c>
      <c r="R3969" s="15" t="s">
        <v>8</v>
      </c>
      <c r="S3969" s="15" t="s">
        <v>8</v>
      </c>
      <c r="T3969" s="8" t="s">
        <v>3</v>
      </c>
      <c r="U3969" s="8" t="s">
        <v>6</v>
      </c>
    </row>
    <row r="3970" spans="3:30" x14ac:dyDescent="0.35">
      <c r="C3970" s="15" t="s">
        <v>8</v>
      </c>
      <c r="D3970" s="15" t="s">
        <v>8</v>
      </c>
      <c r="E3970" s="15" t="s">
        <v>8</v>
      </c>
      <c r="F3970" s="15" t="s">
        <v>8</v>
      </c>
      <c r="H3970" s="15" t="s">
        <v>8</v>
      </c>
      <c r="I3970" s="15" t="s">
        <v>8</v>
      </c>
      <c r="J3970" s="15" t="s">
        <v>8</v>
      </c>
      <c r="O3970" s="15" t="s">
        <v>8</v>
      </c>
      <c r="R3970" s="15" t="s">
        <v>8</v>
      </c>
      <c r="S3970" s="15" t="s">
        <v>8</v>
      </c>
      <c r="T3970" s="15" t="s">
        <v>8</v>
      </c>
      <c r="U3970" s="20" t="str">
        <f>HYPERLINK("http://yeinfo.com/family/I09066128.html", "AGNES WALTHAM &lt;2&gt; 1404 EN-1424 EN ID:09066129")</f>
        <v>AGNES WALTHAM &lt;2&gt; 1404 EN-1424 EN ID:09066129</v>
      </c>
      <c r="V3970" s="17"/>
      <c r="W3970" s="17"/>
      <c r="X3970" s="17"/>
      <c r="Y3970" s="17"/>
    </row>
    <row r="3971" spans="3:30" x14ac:dyDescent="0.35">
      <c r="C3971" s="15" t="s">
        <v>8</v>
      </c>
      <c r="D3971" s="15" t="s">
        <v>8</v>
      </c>
      <c r="E3971" s="15" t="s">
        <v>8</v>
      </c>
      <c r="F3971" s="15" t="s">
        <v>8</v>
      </c>
      <c r="H3971" s="15" t="s">
        <v>8</v>
      </c>
      <c r="I3971" s="15" t="s">
        <v>8</v>
      </c>
      <c r="J3971" s="15" t="s">
        <v>8</v>
      </c>
      <c r="O3971" s="15" t="s">
        <v>8</v>
      </c>
      <c r="R3971" s="15" t="s">
        <v>8</v>
      </c>
      <c r="S3971" s="8" t="s">
        <v>6</v>
      </c>
      <c r="T3971" s="15" t="s">
        <v>8</v>
      </c>
    </row>
    <row r="3972" spans="3:30" x14ac:dyDescent="0.35">
      <c r="C3972" s="15" t="s">
        <v>8</v>
      </c>
      <c r="D3972" s="15" t="s">
        <v>8</v>
      </c>
      <c r="E3972" s="15" t="s">
        <v>8</v>
      </c>
      <c r="F3972" s="15" t="s">
        <v>8</v>
      </c>
      <c r="H3972" s="15" t="s">
        <v>8</v>
      </c>
      <c r="I3972" s="15" t="s">
        <v>8</v>
      </c>
      <c r="J3972" s="15" t="s">
        <v>8</v>
      </c>
      <c r="O3972" s="15" t="s">
        <v>8</v>
      </c>
      <c r="R3972" s="15" t="s">
        <v>8</v>
      </c>
      <c r="S3972" s="20" t="str">
        <f>HYPERLINK("http://yeinfo.com/family/I09065856.html", "MARY JOAN CORNISH &lt;2&gt; 1462 EN-1498 EN ID:09065715")</f>
        <v>MARY JOAN CORNISH &lt;2&gt; 1462 EN-1498 EN ID:09065715</v>
      </c>
      <c r="T3972" s="17"/>
      <c r="U3972" s="17"/>
      <c r="V3972" s="17"/>
      <c r="W3972" s="17"/>
    </row>
    <row r="3973" spans="3:30" x14ac:dyDescent="0.35">
      <c r="C3973" s="15" t="s">
        <v>8</v>
      </c>
      <c r="D3973" s="15" t="s">
        <v>8</v>
      </c>
      <c r="E3973" s="15" t="s">
        <v>8</v>
      </c>
      <c r="F3973" s="15" t="s">
        <v>8</v>
      </c>
      <c r="H3973" s="15" t="s">
        <v>8</v>
      </c>
      <c r="I3973" s="15" t="s">
        <v>8</v>
      </c>
      <c r="J3973" s="15" t="s">
        <v>8</v>
      </c>
      <c r="O3973" s="15" t="s">
        <v>8</v>
      </c>
      <c r="R3973" s="15" t="s">
        <v>8</v>
      </c>
      <c r="T3973" s="8" t="s">
        <v>6</v>
      </c>
    </row>
    <row r="3974" spans="3:30" x14ac:dyDescent="0.35">
      <c r="C3974" s="15" t="s">
        <v>8</v>
      </c>
      <c r="D3974" s="15" t="s">
        <v>8</v>
      </c>
      <c r="E3974" s="15" t="s">
        <v>8</v>
      </c>
      <c r="F3974" s="15" t="s">
        <v>8</v>
      </c>
      <c r="H3974" s="15" t="s">
        <v>8</v>
      </c>
      <c r="I3974" s="15" t="s">
        <v>8</v>
      </c>
      <c r="J3974" s="15" t="s">
        <v>8</v>
      </c>
      <c r="O3974" s="15" t="s">
        <v>8</v>
      </c>
      <c r="R3974" s="15" t="s">
        <v>8</v>
      </c>
      <c r="T3974" s="20" t="str">
        <f>HYPERLINK("http://yeinfo.com/family/I09066129.html", "AGNES WALDEN &lt;2&gt; 1430 EN-1490 EN ID:09065956")</f>
        <v>AGNES WALDEN &lt;2&gt; 1430 EN-1490 EN ID:09065956</v>
      </c>
      <c r="U3974" s="17"/>
      <c r="V3974" s="17"/>
      <c r="W3974" s="17"/>
      <c r="X3974" s="17"/>
    </row>
    <row r="3975" spans="3:30" x14ac:dyDescent="0.35">
      <c r="C3975" s="15" t="s">
        <v>8</v>
      </c>
      <c r="D3975" s="15" t="s">
        <v>8</v>
      </c>
      <c r="E3975" s="15" t="s">
        <v>8</v>
      </c>
      <c r="F3975" s="15" t="s">
        <v>8</v>
      </c>
      <c r="H3975" s="15" t="s">
        <v>8</v>
      </c>
      <c r="I3975" s="15" t="s">
        <v>8</v>
      </c>
      <c r="J3975" s="15" t="s">
        <v>8</v>
      </c>
      <c r="O3975" s="15" t="s">
        <v>8</v>
      </c>
      <c r="R3975" s="15" t="s">
        <v>8</v>
      </c>
    </row>
    <row r="3976" spans="3:30" x14ac:dyDescent="0.35">
      <c r="C3976" s="15" t="s">
        <v>8</v>
      </c>
      <c r="D3976" s="15" t="s">
        <v>8</v>
      </c>
      <c r="E3976" s="15" t="s">
        <v>8</v>
      </c>
      <c r="F3976" s="15" t="s">
        <v>8</v>
      </c>
      <c r="H3976" s="15" t="s">
        <v>8</v>
      </c>
      <c r="I3976" s="15" t="s">
        <v>8</v>
      </c>
      <c r="J3976" s="15" t="s">
        <v>8</v>
      </c>
      <c r="O3976" s="15" t="s">
        <v>8</v>
      </c>
      <c r="Q3976" s="19" t="str">
        <f>HYPERLINK("http://yeinfo.com/family/I09021694.html", "THOMAS EVERARD 1521 EN-1551 EN ID:09043388")</f>
        <v>THOMAS EVERARD 1521 EN-1551 EN ID:09043388</v>
      </c>
      <c r="R3976" s="9"/>
      <c r="S3976" s="9"/>
      <c r="T3976" s="9"/>
      <c r="U3976" s="9"/>
    </row>
    <row r="3977" spans="3:30" x14ac:dyDescent="0.35">
      <c r="C3977" s="15" t="s">
        <v>8</v>
      </c>
      <c r="D3977" s="15" t="s">
        <v>8</v>
      </c>
      <c r="E3977" s="15" t="s">
        <v>8</v>
      </c>
      <c r="F3977" s="15" t="s">
        <v>8</v>
      </c>
      <c r="H3977" s="15" t="s">
        <v>8</v>
      </c>
      <c r="I3977" s="15" t="s">
        <v>8</v>
      </c>
      <c r="J3977" s="15" t="s">
        <v>8</v>
      </c>
      <c r="O3977" s="15" t="s">
        <v>8</v>
      </c>
      <c r="Q3977" s="8" t="s">
        <v>3</v>
      </c>
      <c r="R3977" s="8" t="s">
        <v>6</v>
      </c>
    </row>
    <row r="3978" spans="3:30" x14ac:dyDescent="0.35">
      <c r="C3978" s="15" t="s">
        <v>8</v>
      </c>
      <c r="D3978" s="15" t="s">
        <v>8</v>
      </c>
      <c r="E3978" s="15" t="s">
        <v>8</v>
      </c>
      <c r="F3978" s="15" t="s">
        <v>8</v>
      </c>
      <c r="H3978" s="15" t="s">
        <v>8</v>
      </c>
      <c r="I3978" s="15" t="s">
        <v>8</v>
      </c>
      <c r="J3978" s="15" t="s">
        <v>8</v>
      </c>
      <c r="O3978" s="15" t="s">
        <v>8</v>
      </c>
      <c r="Q3978" s="15" t="s">
        <v>8</v>
      </c>
      <c r="R3978" s="20" t="str">
        <f>HYPERLINK("http://yeinfo.com/family/I09065956.html", "Mrs. {_?_} EVERARD 1500 -1521 EN ID:09065574")</f>
        <v>Mrs. {_?_} EVERARD 1500 -1521 EN ID:09065574</v>
      </c>
      <c r="S3978" s="17"/>
      <c r="T3978" s="17"/>
      <c r="U3978" s="17"/>
      <c r="V3978" s="17"/>
    </row>
    <row r="3979" spans="3:30" x14ac:dyDescent="0.35">
      <c r="C3979" s="15" t="s">
        <v>8</v>
      </c>
      <c r="D3979" s="15" t="s">
        <v>8</v>
      </c>
      <c r="E3979" s="15" t="s">
        <v>8</v>
      </c>
      <c r="F3979" s="15" t="s">
        <v>8</v>
      </c>
      <c r="H3979" s="15" t="s">
        <v>8</v>
      </c>
      <c r="I3979" s="15" t="s">
        <v>8</v>
      </c>
      <c r="J3979" s="15" t="s">
        <v>8</v>
      </c>
      <c r="O3979" s="15" t="s">
        <v>8</v>
      </c>
      <c r="Q3979" s="15" t="s">
        <v>8</v>
      </c>
    </row>
    <row r="3980" spans="3:30" x14ac:dyDescent="0.35">
      <c r="C3980" s="15" t="s">
        <v>8</v>
      </c>
      <c r="D3980" s="15" t="s">
        <v>8</v>
      </c>
      <c r="E3980" s="15" t="s">
        <v>8</v>
      </c>
      <c r="F3980" s="15" t="s">
        <v>8</v>
      </c>
      <c r="H3980" s="15" t="s">
        <v>8</v>
      </c>
      <c r="I3980" s="15" t="s">
        <v>8</v>
      </c>
      <c r="J3980" s="15" t="s">
        <v>8</v>
      </c>
      <c r="O3980" s="15" t="s">
        <v>8</v>
      </c>
      <c r="P3980" s="19" t="str">
        <f>HYPERLINK("http://yeinfo.com/family/I09010847.html", "JOHN EVERARD 1545 EN-1598 EN ID:09021694")</f>
        <v>JOHN EVERARD 1545 EN-1598 EN ID:09021694</v>
      </c>
      <c r="Q3980" s="9"/>
      <c r="R3980" s="9"/>
      <c r="S3980" s="9"/>
      <c r="T3980" s="9"/>
    </row>
    <row r="3981" spans="3:30" x14ac:dyDescent="0.35">
      <c r="C3981" s="15" t="s">
        <v>8</v>
      </c>
      <c r="D3981" s="15" t="s">
        <v>8</v>
      </c>
      <c r="E3981" s="15" t="s">
        <v>8</v>
      </c>
      <c r="F3981" s="15" t="s">
        <v>8</v>
      </c>
      <c r="H3981" s="15" t="s">
        <v>8</v>
      </c>
      <c r="I3981" s="15" t="s">
        <v>8</v>
      </c>
      <c r="J3981" s="15" t="s">
        <v>8</v>
      </c>
      <c r="O3981" s="15" t="s">
        <v>8</v>
      </c>
      <c r="P3981" s="8" t="s">
        <v>3</v>
      </c>
      <c r="Q3981" s="15" t="s">
        <v>8</v>
      </c>
    </row>
    <row r="3982" spans="3:30" x14ac:dyDescent="0.35">
      <c r="C3982" s="15" t="s">
        <v>8</v>
      </c>
      <c r="D3982" s="15" t="s">
        <v>8</v>
      </c>
      <c r="E3982" s="15" t="s">
        <v>8</v>
      </c>
      <c r="F3982" s="15" t="s">
        <v>8</v>
      </c>
      <c r="H3982" s="15" t="s">
        <v>8</v>
      </c>
      <c r="I3982" s="15" t="s">
        <v>8</v>
      </c>
      <c r="J3982" s="15" t="s">
        <v>8</v>
      </c>
      <c r="O3982" s="15" t="s">
        <v>8</v>
      </c>
      <c r="P3982" s="15" t="s">
        <v>8</v>
      </c>
      <c r="Q3982" s="15" t="s">
        <v>8</v>
      </c>
      <c r="Z3982" s="19" t="str">
        <f>HYPERLINK("http://yeinfo.com/family/I09066600.html", "ALEXANDER WISEMAN 1320 EN-1340 EN ID:09066663")</f>
        <v>ALEXANDER WISEMAN 1320 EN-1340 EN ID:09066663</v>
      </c>
      <c r="AA3982" s="9"/>
      <c r="AB3982" s="9"/>
      <c r="AC3982" s="9"/>
      <c r="AD3982" s="9"/>
    </row>
    <row r="3983" spans="3:30" x14ac:dyDescent="0.35">
      <c r="C3983" s="15" t="s">
        <v>8</v>
      </c>
      <c r="D3983" s="15" t="s">
        <v>8</v>
      </c>
      <c r="E3983" s="15" t="s">
        <v>8</v>
      </c>
      <c r="F3983" s="15" t="s">
        <v>8</v>
      </c>
      <c r="H3983" s="15" t="s">
        <v>8</v>
      </c>
      <c r="I3983" s="15" t="s">
        <v>8</v>
      </c>
      <c r="J3983" s="15" t="s">
        <v>8</v>
      </c>
      <c r="O3983" s="15" t="s">
        <v>8</v>
      </c>
      <c r="P3983" s="15" t="s">
        <v>8</v>
      </c>
      <c r="Q3983" s="15" t="s">
        <v>8</v>
      </c>
      <c r="Z3983" s="8" t="s">
        <v>3</v>
      </c>
    </row>
    <row r="3984" spans="3:30" x14ac:dyDescent="0.35">
      <c r="C3984" s="15" t="s">
        <v>8</v>
      </c>
      <c r="D3984" s="15" t="s">
        <v>8</v>
      </c>
      <c r="E3984" s="15" t="s">
        <v>8</v>
      </c>
      <c r="F3984" s="15" t="s">
        <v>8</v>
      </c>
      <c r="H3984" s="15" t="s">
        <v>8</v>
      </c>
      <c r="I3984" s="15" t="s">
        <v>8</v>
      </c>
      <c r="J3984" s="15" t="s">
        <v>8</v>
      </c>
      <c r="O3984" s="15" t="s">
        <v>8</v>
      </c>
      <c r="P3984" s="15" t="s">
        <v>8</v>
      </c>
      <c r="Q3984" s="15" t="s">
        <v>8</v>
      </c>
      <c r="Y3984" s="19" t="str">
        <f>HYPERLINK("http://yeinfo.com/family/I09066548.html", "SIMON WISEMAN 1340 EN-1360 EN ID:09066600")</f>
        <v>SIMON WISEMAN 1340 EN-1360 EN ID:09066600</v>
      </c>
      <c r="Z3984" s="9"/>
      <c r="AA3984" s="9"/>
      <c r="AB3984" s="9"/>
      <c r="AC3984" s="9"/>
    </row>
    <row r="3985" spans="3:30" x14ac:dyDescent="0.35">
      <c r="C3985" s="15" t="s">
        <v>8</v>
      </c>
      <c r="D3985" s="15" t="s">
        <v>8</v>
      </c>
      <c r="E3985" s="15" t="s">
        <v>8</v>
      </c>
      <c r="F3985" s="15" t="s">
        <v>8</v>
      </c>
      <c r="H3985" s="15" t="s">
        <v>8</v>
      </c>
      <c r="I3985" s="15" t="s">
        <v>8</v>
      </c>
      <c r="J3985" s="15" t="s">
        <v>8</v>
      </c>
      <c r="O3985" s="15" t="s">
        <v>8</v>
      </c>
      <c r="P3985" s="15" t="s">
        <v>8</v>
      </c>
      <c r="Q3985" s="15" t="s">
        <v>8</v>
      </c>
      <c r="Y3985" s="8" t="s">
        <v>3</v>
      </c>
      <c r="Z3985" s="8" t="s">
        <v>6</v>
      </c>
    </row>
    <row r="3986" spans="3:30" x14ac:dyDescent="0.35">
      <c r="C3986" s="15" t="s">
        <v>8</v>
      </c>
      <c r="D3986" s="15" t="s">
        <v>8</v>
      </c>
      <c r="E3986" s="15" t="s">
        <v>8</v>
      </c>
      <c r="F3986" s="15" t="s">
        <v>8</v>
      </c>
      <c r="H3986" s="15" t="s">
        <v>8</v>
      </c>
      <c r="I3986" s="15" t="s">
        <v>8</v>
      </c>
      <c r="J3986" s="15" t="s">
        <v>8</v>
      </c>
      <c r="O3986" s="15" t="s">
        <v>8</v>
      </c>
      <c r="P3986" s="15" t="s">
        <v>8</v>
      </c>
      <c r="Q3986" s="15" t="s">
        <v>8</v>
      </c>
      <c r="Y3986" s="15" t="s">
        <v>8</v>
      </c>
      <c r="Z3986" s="20" t="str">
        <f>HYPERLINK("http://yeinfo.com/family/I09066663.html", "Mrs. {_?_} WISEMAN 1320 -1340 EN ID:09066664")</f>
        <v>Mrs. {_?_} WISEMAN 1320 -1340 EN ID:09066664</v>
      </c>
      <c r="AA3986" s="17"/>
      <c r="AB3986" s="17"/>
      <c r="AC3986" s="17"/>
      <c r="AD3986" s="17"/>
    </row>
    <row r="3987" spans="3:30" x14ac:dyDescent="0.35">
      <c r="C3987" s="15" t="s">
        <v>8</v>
      </c>
      <c r="D3987" s="15" t="s">
        <v>8</v>
      </c>
      <c r="E3987" s="15" t="s">
        <v>8</v>
      </c>
      <c r="F3987" s="15" t="s">
        <v>8</v>
      </c>
      <c r="H3987" s="15" t="s">
        <v>8</v>
      </c>
      <c r="I3987" s="15" t="s">
        <v>8</v>
      </c>
      <c r="J3987" s="15" t="s">
        <v>8</v>
      </c>
      <c r="O3987" s="15" t="s">
        <v>8</v>
      </c>
      <c r="P3987" s="15" t="s">
        <v>8</v>
      </c>
      <c r="Q3987" s="15" t="s">
        <v>8</v>
      </c>
      <c r="Y3987" s="15" t="s">
        <v>8</v>
      </c>
    </row>
    <row r="3988" spans="3:30" x14ac:dyDescent="0.35">
      <c r="C3988" s="15" t="s">
        <v>8</v>
      </c>
      <c r="D3988" s="15" t="s">
        <v>8</v>
      </c>
      <c r="E3988" s="15" t="s">
        <v>8</v>
      </c>
      <c r="F3988" s="15" t="s">
        <v>8</v>
      </c>
      <c r="H3988" s="15" t="s">
        <v>8</v>
      </c>
      <c r="I3988" s="15" t="s">
        <v>8</v>
      </c>
      <c r="J3988" s="15" t="s">
        <v>8</v>
      </c>
      <c r="O3988" s="15" t="s">
        <v>8</v>
      </c>
      <c r="P3988" s="15" t="s">
        <v>8</v>
      </c>
      <c r="Q3988" s="15" t="s">
        <v>8</v>
      </c>
      <c r="X3988" s="19" t="str">
        <f>HYPERLINK("http://yeinfo.com/family/I09066377.html", "JOHN WISEMAN 1360 EN-1380 EN ID:09066548")</f>
        <v>JOHN WISEMAN 1360 EN-1380 EN ID:09066548</v>
      </c>
      <c r="Y3988" s="9"/>
      <c r="Z3988" s="9"/>
      <c r="AA3988" s="9"/>
      <c r="AB3988" s="9"/>
    </row>
    <row r="3989" spans="3:30" x14ac:dyDescent="0.35">
      <c r="C3989" s="15" t="s">
        <v>8</v>
      </c>
      <c r="D3989" s="15" t="s">
        <v>8</v>
      </c>
      <c r="E3989" s="15" t="s">
        <v>8</v>
      </c>
      <c r="F3989" s="15" t="s">
        <v>8</v>
      </c>
      <c r="H3989" s="15" t="s">
        <v>8</v>
      </c>
      <c r="I3989" s="15" t="s">
        <v>8</v>
      </c>
      <c r="J3989" s="15" t="s">
        <v>8</v>
      </c>
      <c r="O3989" s="15" t="s">
        <v>8</v>
      </c>
      <c r="P3989" s="15" t="s">
        <v>8</v>
      </c>
      <c r="Q3989" s="15" t="s">
        <v>8</v>
      </c>
      <c r="X3989" s="8" t="s">
        <v>3</v>
      </c>
      <c r="Y3989" s="8" t="s">
        <v>6</v>
      </c>
    </row>
    <row r="3990" spans="3:30" x14ac:dyDescent="0.35">
      <c r="C3990" s="15" t="s">
        <v>8</v>
      </c>
      <c r="D3990" s="15" t="s">
        <v>8</v>
      </c>
      <c r="E3990" s="15" t="s">
        <v>8</v>
      </c>
      <c r="F3990" s="15" t="s">
        <v>8</v>
      </c>
      <c r="H3990" s="15" t="s">
        <v>8</v>
      </c>
      <c r="I3990" s="15" t="s">
        <v>8</v>
      </c>
      <c r="J3990" s="15" t="s">
        <v>8</v>
      </c>
      <c r="O3990" s="15" t="s">
        <v>8</v>
      </c>
      <c r="P3990" s="15" t="s">
        <v>8</v>
      </c>
      <c r="Q3990" s="15" t="s">
        <v>8</v>
      </c>
      <c r="X3990" s="15" t="s">
        <v>8</v>
      </c>
      <c r="Y3990" s="20" t="str">
        <f>HYPERLINK("http://yeinfo.com/family/I09066664.html", "Mrs. {_?_} WISEMAN 1340 -1360 EN ID:09066601")</f>
        <v>Mrs. {_?_} WISEMAN 1340 -1360 EN ID:09066601</v>
      </c>
      <c r="Z3990" s="17"/>
      <c r="AA3990" s="17"/>
      <c r="AB3990" s="17"/>
      <c r="AC3990" s="17"/>
    </row>
    <row r="3991" spans="3:30" x14ac:dyDescent="0.35">
      <c r="C3991" s="15" t="s">
        <v>8</v>
      </c>
      <c r="D3991" s="15" t="s">
        <v>8</v>
      </c>
      <c r="E3991" s="15" t="s">
        <v>8</v>
      </c>
      <c r="F3991" s="15" t="s">
        <v>8</v>
      </c>
      <c r="H3991" s="15" t="s">
        <v>8</v>
      </c>
      <c r="I3991" s="15" t="s">
        <v>8</v>
      </c>
      <c r="J3991" s="15" t="s">
        <v>8</v>
      </c>
      <c r="O3991" s="15" t="s">
        <v>8</v>
      </c>
      <c r="P3991" s="15" t="s">
        <v>8</v>
      </c>
      <c r="Q3991" s="15" t="s">
        <v>8</v>
      </c>
      <c r="X3991" s="15" t="s">
        <v>8</v>
      </c>
    </row>
    <row r="3992" spans="3:30" x14ac:dyDescent="0.35">
      <c r="C3992" s="15" t="s">
        <v>8</v>
      </c>
      <c r="D3992" s="15" t="s">
        <v>8</v>
      </c>
      <c r="E3992" s="15" t="s">
        <v>8</v>
      </c>
      <c r="F3992" s="15" t="s">
        <v>8</v>
      </c>
      <c r="H3992" s="15" t="s">
        <v>8</v>
      </c>
      <c r="I3992" s="15" t="s">
        <v>8</v>
      </c>
      <c r="J3992" s="15" t="s">
        <v>8</v>
      </c>
      <c r="O3992" s="15" t="s">
        <v>8</v>
      </c>
      <c r="P3992" s="15" t="s">
        <v>8</v>
      </c>
      <c r="Q3992" s="15" t="s">
        <v>8</v>
      </c>
      <c r="W3992" s="19" t="str">
        <f>HYPERLINK("http://yeinfo.com/family/I09066225.html", "ROBERT WISEMAN 1380 EN-1400 EN ID:09066377")</f>
        <v>ROBERT WISEMAN 1380 EN-1400 EN ID:09066377</v>
      </c>
      <c r="X3992" s="9"/>
      <c r="Y3992" s="9"/>
      <c r="Z3992" s="9"/>
      <c r="AA3992" s="9"/>
    </row>
    <row r="3993" spans="3:30" x14ac:dyDescent="0.35">
      <c r="C3993" s="15" t="s">
        <v>8</v>
      </c>
      <c r="D3993" s="15" t="s">
        <v>8</v>
      </c>
      <c r="E3993" s="15" t="s">
        <v>8</v>
      </c>
      <c r="F3993" s="15" t="s">
        <v>8</v>
      </c>
      <c r="H3993" s="15" t="s">
        <v>8</v>
      </c>
      <c r="I3993" s="15" t="s">
        <v>8</v>
      </c>
      <c r="J3993" s="15" t="s">
        <v>8</v>
      </c>
      <c r="O3993" s="15" t="s">
        <v>8</v>
      </c>
      <c r="P3993" s="15" t="s">
        <v>8</v>
      </c>
      <c r="Q3993" s="15" t="s">
        <v>8</v>
      </c>
      <c r="W3993" s="8" t="s">
        <v>3</v>
      </c>
      <c r="X3993" s="8" t="s">
        <v>6</v>
      </c>
    </row>
    <row r="3994" spans="3:30" x14ac:dyDescent="0.35">
      <c r="C3994" s="15" t="s">
        <v>8</v>
      </c>
      <c r="D3994" s="15" t="s">
        <v>8</v>
      </c>
      <c r="E3994" s="15" t="s">
        <v>8</v>
      </c>
      <c r="F3994" s="15" t="s">
        <v>8</v>
      </c>
      <c r="H3994" s="15" t="s">
        <v>8</v>
      </c>
      <c r="I3994" s="15" t="s">
        <v>8</v>
      </c>
      <c r="J3994" s="15" t="s">
        <v>8</v>
      </c>
      <c r="O3994" s="15" t="s">
        <v>8</v>
      </c>
      <c r="P3994" s="15" t="s">
        <v>8</v>
      </c>
      <c r="Q3994" s="15" t="s">
        <v>8</v>
      </c>
      <c r="W3994" s="15" t="s">
        <v>8</v>
      </c>
      <c r="X3994" s="20" t="str">
        <f>HYPERLINK("http://yeinfo.com/family/I09066601.html", "MAWDLYN ROCKWELL 1360 EN-1380 EN ID:09066549")</f>
        <v>MAWDLYN ROCKWELL 1360 EN-1380 EN ID:09066549</v>
      </c>
      <c r="Y3994" s="17"/>
      <c r="Z3994" s="17"/>
      <c r="AA3994" s="17"/>
      <c r="AB3994" s="17"/>
    </row>
    <row r="3995" spans="3:30" x14ac:dyDescent="0.35">
      <c r="C3995" s="15" t="s">
        <v>8</v>
      </c>
      <c r="D3995" s="15" t="s">
        <v>8</v>
      </c>
      <c r="E3995" s="15" t="s">
        <v>8</v>
      </c>
      <c r="F3995" s="15" t="s">
        <v>8</v>
      </c>
      <c r="H3995" s="15" t="s">
        <v>8</v>
      </c>
      <c r="I3995" s="15" t="s">
        <v>8</v>
      </c>
      <c r="J3995" s="15" t="s">
        <v>8</v>
      </c>
      <c r="O3995" s="15" t="s">
        <v>8</v>
      </c>
      <c r="P3995" s="15" t="s">
        <v>8</v>
      </c>
      <c r="Q3995" s="15" t="s">
        <v>8</v>
      </c>
      <c r="W3995" s="15" t="s">
        <v>8</v>
      </c>
    </row>
    <row r="3996" spans="3:30" x14ac:dyDescent="0.35">
      <c r="C3996" s="15" t="s">
        <v>8</v>
      </c>
      <c r="D3996" s="15" t="s">
        <v>8</v>
      </c>
      <c r="E3996" s="15" t="s">
        <v>8</v>
      </c>
      <c r="F3996" s="15" t="s">
        <v>8</v>
      </c>
      <c r="H3996" s="15" t="s">
        <v>8</v>
      </c>
      <c r="I3996" s="15" t="s">
        <v>8</v>
      </c>
      <c r="J3996" s="15" t="s">
        <v>8</v>
      </c>
      <c r="O3996" s="15" t="s">
        <v>8</v>
      </c>
      <c r="P3996" s="15" t="s">
        <v>8</v>
      </c>
      <c r="Q3996" s="15" t="s">
        <v>8</v>
      </c>
      <c r="V3996" s="19" t="str">
        <f>HYPERLINK("http://yeinfo.com/family/I09066033.html", "GEORGE WISEMAN 1400 EN-1420 EN ID:09066225")</f>
        <v>GEORGE WISEMAN 1400 EN-1420 EN ID:09066225</v>
      </c>
      <c r="W3996" s="9"/>
      <c r="X3996" s="9"/>
      <c r="Y3996" s="9"/>
      <c r="Z3996" s="9"/>
    </row>
    <row r="3997" spans="3:30" x14ac:dyDescent="0.35">
      <c r="C3997" s="15" t="s">
        <v>8</v>
      </c>
      <c r="D3997" s="15" t="s">
        <v>8</v>
      </c>
      <c r="E3997" s="15" t="s">
        <v>8</v>
      </c>
      <c r="F3997" s="15" t="s">
        <v>8</v>
      </c>
      <c r="H3997" s="15" t="s">
        <v>8</v>
      </c>
      <c r="I3997" s="15" t="s">
        <v>8</v>
      </c>
      <c r="J3997" s="15" t="s">
        <v>8</v>
      </c>
      <c r="O3997" s="15" t="s">
        <v>8</v>
      </c>
      <c r="P3997" s="15" t="s">
        <v>8</v>
      </c>
      <c r="Q3997" s="15" t="s">
        <v>8</v>
      </c>
      <c r="V3997" s="8" t="s">
        <v>3</v>
      </c>
      <c r="W3997" s="8" t="s">
        <v>6</v>
      </c>
    </row>
    <row r="3998" spans="3:30" x14ac:dyDescent="0.35">
      <c r="C3998" s="15" t="s">
        <v>8</v>
      </c>
      <c r="D3998" s="15" t="s">
        <v>8</v>
      </c>
      <c r="E3998" s="15" t="s">
        <v>8</v>
      </c>
      <c r="F3998" s="15" t="s">
        <v>8</v>
      </c>
      <c r="H3998" s="15" t="s">
        <v>8</v>
      </c>
      <c r="I3998" s="15" t="s">
        <v>8</v>
      </c>
      <c r="J3998" s="15" t="s">
        <v>8</v>
      </c>
      <c r="O3998" s="15" t="s">
        <v>8</v>
      </c>
      <c r="P3998" s="15" t="s">
        <v>8</v>
      </c>
      <c r="Q3998" s="15" t="s">
        <v>8</v>
      </c>
      <c r="V3998" s="15" t="s">
        <v>8</v>
      </c>
      <c r="W3998" s="20" t="str">
        <f>HYPERLINK("http://yeinfo.com/family/I09066549.html", "MARY\MARTHA HUBERT 1380 EN-1400 EN ID:09066378")</f>
        <v>MARY\MARTHA HUBERT 1380 EN-1400 EN ID:09066378</v>
      </c>
      <c r="X3998" s="17"/>
      <c r="Y3998" s="17"/>
      <c r="Z3998" s="17"/>
      <c r="AA3998" s="17"/>
      <c r="AB3998" s="17"/>
    </row>
    <row r="3999" spans="3:30" x14ac:dyDescent="0.35">
      <c r="C3999" s="15" t="s">
        <v>8</v>
      </c>
      <c r="D3999" s="15" t="s">
        <v>8</v>
      </c>
      <c r="E3999" s="15" t="s">
        <v>8</v>
      </c>
      <c r="F3999" s="15" t="s">
        <v>8</v>
      </c>
      <c r="H3999" s="15" t="s">
        <v>8</v>
      </c>
      <c r="I3999" s="15" t="s">
        <v>8</v>
      </c>
      <c r="J3999" s="15" t="s">
        <v>8</v>
      </c>
      <c r="O3999" s="15" t="s">
        <v>8</v>
      </c>
      <c r="P3999" s="15" t="s">
        <v>8</v>
      </c>
      <c r="Q3999" s="15" t="s">
        <v>8</v>
      </c>
      <c r="V3999" s="15" t="s">
        <v>8</v>
      </c>
    </row>
    <row r="4000" spans="3:30" x14ac:dyDescent="0.35">
      <c r="C4000" s="15" t="s">
        <v>8</v>
      </c>
      <c r="D4000" s="15" t="s">
        <v>8</v>
      </c>
      <c r="E4000" s="15" t="s">
        <v>8</v>
      </c>
      <c r="F4000" s="15" t="s">
        <v>8</v>
      </c>
      <c r="H4000" s="15" t="s">
        <v>8</v>
      </c>
      <c r="I4000" s="15" t="s">
        <v>8</v>
      </c>
      <c r="J4000" s="15" t="s">
        <v>8</v>
      </c>
      <c r="O4000" s="15" t="s">
        <v>8</v>
      </c>
      <c r="P4000" s="15" t="s">
        <v>8</v>
      </c>
      <c r="Q4000" s="15" t="s">
        <v>8</v>
      </c>
      <c r="U4000" s="19" t="str">
        <f>HYPERLINK("http://yeinfo.com/family/I09065857.html", "JOHN WISEMAN 1420 EN-1440 EN ID:09066033")</f>
        <v>JOHN WISEMAN 1420 EN-1440 EN ID:09066033</v>
      </c>
      <c r="V4000" s="9"/>
      <c r="W4000" s="9"/>
      <c r="X4000" s="9"/>
      <c r="Y4000" s="9"/>
    </row>
    <row r="4001" spans="3:26" x14ac:dyDescent="0.35">
      <c r="C4001" s="15" t="s">
        <v>8</v>
      </c>
      <c r="D4001" s="15" t="s">
        <v>8</v>
      </c>
      <c r="E4001" s="15" t="s">
        <v>8</v>
      </c>
      <c r="F4001" s="15" t="s">
        <v>8</v>
      </c>
      <c r="H4001" s="15" t="s">
        <v>8</v>
      </c>
      <c r="I4001" s="15" t="s">
        <v>8</v>
      </c>
      <c r="J4001" s="15" t="s">
        <v>8</v>
      </c>
      <c r="O4001" s="15" t="s">
        <v>8</v>
      </c>
      <c r="P4001" s="15" t="s">
        <v>8</v>
      </c>
      <c r="Q4001" s="15" t="s">
        <v>8</v>
      </c>
      <c r="U4001" s="8" t="s">
        <v>3</v>
      </c>
      <c r="V4001" s="8" t="s">
        <v>6</v>
      </c>
    </row>
    <row r="4002" spans="3:26" x14ac:dyDescent="0.35">
      <c r="C4002" s="15" t="s">
        <v>8</v>
      </c>
      <c r="D4002" s="15" t="s">
        <v>8</v>
      </c>
      <c r="E4002" s="15" t="s">
        <v>8</v>
      </c>
      <c r="F4002" s="15" t="s">
        <v>8</v>
      </c>
      <c r="H4002" s="15" t="s">
        <v>8</v>
      </c>
      <c r="I4002" s="15" t="s">
        <v>8</v>
      </c>
      <c r="J4002" s="15" t="s">
        <v>8</v>
      </c>
      <c r="O4002" s="15" t="s">
        <v>8</v>
      </c>
      <c r="P4002" s="15" t="s">
        <v>8</v>
      </c>
      <c r="Q4002" s="15" t="s">
        <v>8</v>
      </c>
      <c r="U4002" s="15" t="s">
        <v>8</v>
      </c>
      <c r="V4002" s="20" t="str">
        <f>HYPERLINK("http://yeinfo.com/family/I09066378.html", "MARGARET GARNISHE 1400 EN-1420 EN ID:09066226")</f>
        <v>MARGARET GARNISHE 1400 EN-1420 EN ID:09066226</v>
      </c>
      <c r="W4002" s="17"/>
      <c r="X4002" s="17"/>
      <c r="Y4002" s="17"/>
      <c r="Z4002" s="17"/>
    </row>
    <row r="4003" spans="3:26" x14ac:dyDescent="0.35">
      <c r="C4003" s="15" t="s">
        <v>8</v>
      </c>
      <c r="D4003" s="15" t="s">
        <v>8</v>
      </c>
      <c r="E4003" s="15" t="s">
        <v>8</v>
      </c>
      <c r="F4003" s="15" t="s">
        <v>8</v>
      </c>
      <c r="H4003" s="15" t="s">
        <v>8</v>
      </c>
      <c r="I4003" s="15" t="s">
        <v>8</v>
      </c>
      <c r="J4003" s="15" t="s">
        <v>8</v>
      </c>
      <c r="O4003" s="15" t="s">
        <v>8</v>
      </c>
      <c r="P4003" s="15" t="s">
        <v>8</v>
      </c>
      <c r="Q4003" s="15" t="s">
        <v>8</v>
      </c>
      <c r="U4003" s="15" t="s">
        <v>8</v>
      </c>
    </row>
    <row r="4004" spans="3:26" x14ac:dyDescent="0.35">
      <c r="C4004" s="15" t="s">
        <v>8</v>
      </c>
      <c r="D4004" s="15" t="s">
        <v>8</v>
      </c>
      <c r="E4004" s="15" t="s">
        <v>8</v>
      </c>
      <c r="F4004" s="15" t="s">
        <v>8</v>
      </c>
      <c r="H4004" s="15" t="s">
        <v>8</v>
      </c>
      <c r="I4004" s="15" t="s">
        <v>8</v>
      </c>
      <c r="J4004" s="15" t="s">
        <v>8</v>
      </c>
      <c r="O4004" s="15" t="s">
        <v>8</v>
      </c>
      <c r="P4004" s="15" t="s">
        <v>8</v>
      </c>
      <c r="Q4004" s="15" t="s">
        <v>8</v>
      </c>
      <c r="T4004" s="19" t="str">
        <f>HYPERLINK("http://yeinfo.com/family/I09065716.html", "SIMON\WILLIAM WISEMAN 1440 EN-1483 EN ID:09065857")</f>
        <v>SIMON\WILLIAM WISEMAN 1440 EN-1483 EN ID:09065857</v>
      </c>
      <c r="U4004" s="9"/>
      <c r="V4004" s="9"/>
      <c r="W4004" s="9"/>
      <c r="X4004" s="9"/>
      <c r="Y4004" s="9"/>
    </row>
    <row r="4005" spans="3:26" x14ac:dyDescent="0.35">
      <c r="C4005" s="15" t="s">
        <v>8</v>
      </c>
      <c r="D4005" s="15" t="s">
        <v>8</v>
      </c>
      <c r="E4005" s="15" t="s">
        <v>8</v>
      </c>
      <c r="F4005" s="15" t="s">
        <v>8</v>
      </c>
      <c r="H4005" s="15" t="s">
        <v>8</v>
      </c>
      <c r="I4005" s="15" t="s">
        <v>8</v>
      </c>
      <c r="J4005" s="15" t="s">
        <v>8</v>
      </c>
      <c r="O4005" s="15" t="s">
        <v>8</v>
      </c>
      <c r="P4005" s="15" t="s">
        <v>8</v>
      </c>
      <c r="Q4005" s="15" t="s">
        <v>8</v>
      </c>
      <c r="T4005" s="8" t="s">
        <v>3</v>
      </c>
      <c r="U4005" s="8" t="s">
        <v>6</v>
      </c>
    </row>
    <row r="4006" spans="3:26" x14ac:dyDescent="0.35">
      <c r="C4006" s="15" t="s">
        <v>8</v>
      </c>
      <c r="D4006" s="15" t="s">
        <v>8</v>
      </c>
      <c r="E4006" s="15" t="s">
        <v>8</v>
      </c>
      <c r="F4006" s="15" t="s">
        <v>8</v>
      </c>
      <c r="H4006" s="15" t="s">
        <v>8</v>
      </c>
      <c r="I4006" s="15" t="s">
        <v>8</v>
      </c>
      <c r="J4006" s="15" t="s">
        <v>8</v>
      </c>
      <c r="O4006" s="15" t="s">
        <v>8</v>
      </c>
      <c r="P4006" s="15" t="s">
        <v>8</v>
      </c>
      <c r="Q4006" s="15" t="s">
        <v>8</v>
      </c>
      <c r="T4006" s="15" t="s">
        <v>8</v>
      </c>
      <c r="U4006" s="20" t="str">
        <f>HYPERLINK("http://yeinfo.com/family/I09066226.html", "ANNE WYNDHAM 1420 EN-1440 EN ID:09066034")</f>
        <v>ANNE WYNDHAM 1420 EN-1440 EN ID:09066034</v>
      </c>
      <c r="V4006" s="17"/>
      <c r="W4006" s="17"/>
      <c r="X4006" s="17"/>
      <c r="Y4006" s="17"/>
    </row>
    <row r="4007" spans="3:26" x14ac:dyDescent="0.35">
      <c r="C4007" s="15" t="s">
        <v>8</v>
      </c>
      <c r="D4007" s="15" t="s">
        <v>8</v>
      </c>
      <c r="E4007" s="15" t="s">
        <v>8</v>
      </c>
      <c r="F4007" s="15" t="s">
        <v>8</v>
      </c>
      <c r="H4007" s="15" t="s">
        <v>8</v>
      </c>
      <c r="I4007" s="15" t="s">
        <v>8</v>
      </c>
      <c r="J4007" s="15" t="s">
        <v>8</v>
      </c>
      <c r="O4007" s="15" t="s">
        <v>8</v>
      </c>
      <c r="P4007" s="15" t="s">
        <v>8</v>
      </c>
      <c r="Q4007" s="15" t="s">
        <v>8</v>
      </c>
      <c r="T4007" s="15" t="s">
        <v>8</v>
      </c>
    </row>
    <row r="4008" spans="3:26" x14ac:dyDescent="0.35">
      <c r="C4008" s="15" t="s">
        <v>8</v>
      </c>
      <c r="D4008" s="15" t="s">
        <v>8</v>
      </c>
      <c r="E4008" s="15" t="s">
        <v>8</v>
      </c>
      <c r="F4008" s="15" t="s">
        <v>8</v>
      </c>
      <c r="H4008" s="15" t="s">
        <v>8</v>
      </c>
      <c r="I4008" s="15" t="s">
        <v>8</v>
      </c>
      <c r="J4008" s="15" t="s">
        <v>8</v>
      </c>
      <c r="O4008" s="15" t="s">
        <v>8</v>
      </c>
      <c r="P4008" s="15" t="s">
        <v>8</v>
      </c>
      <c r="Q4008" s="15" t="s">
        <v>8</v>
      </c>
      <c r="S4008" s="19" t="str">
        <f>HYPERLINK("http://yeinfo.com/family/I09065575.html", "WILLIAM WISEMAN 1463 EN-1495 EN ID:09065716")</f>
        <v>WILLIAM WISEMAN 1463 EN-1495 EN ID:09065716</v>
      </c>
      <c r="T4008" s="9"/>
      <c r="U4008" s="9"/>
      <c r="V4008" s="9"/>
      <c r="W4008" s="9"/>
    </row>
    <row r="4009" spans="3:26" x14ac:dyDescent="0.35">
      <c r="C4009" s="15" t="s">
        <v>8</v>
      </c>
      <c r="D4009" s="15" t="s">
        <v>8</v>
      </c>
      <c r="E4009" s="15" t="s">
        <v>8</v>
      </c>
      <c r="F4009" s="15" t="s">
        <v>8</v>
      </c>
      <c r="H4009" s="15" t="s">
        <v>8</v>
      </c>
      <c r="I4009" s="15" t="s">
        <v>8</v>
      </c>
      <c r="J4009" s="15" t="s">
        <v>8</v>
      </c>
      <c r="O4009" s="15" t="s">
        <v>8</v>
      </c>
      <c r="P4009" s="15" t="s">
        <v>8</v>
      </c>
      <c r="Q4009" s="15" t="s">
        <v>8</v>
      </c>
      <c r="S4009" s="8" t="s">
        <v>3</v>
      </c>
      <c r="T4009" s="8" t="s">
        <v>6</v>
      </c>
    </row>
    <row r="4010" spans="3:26" x14ac:dyDescent="0.35">
      <c r="C4010" s="15" t="s">
        <v>8</v>
      </c>
      <c r="D4010" s="15" t="s">
        <v>8</v>
      </c>
      <c r="E4010" s="15" t="s">
        <v>8</v>
      </c>
      <c r="F4010" s="15" t="s">
        <v>8</v>
      </c>
      <c r="H4010" s="15" t="s">
        <v>8</v>
      </c>
      <c r="I4010" s="15" t="s">
        <v>8</v>
      </c>
      <c r="J4010" s="15" t="s">
        <v>8</v>
      </c>
      <c r="O4010" s="15" t="s">
        <v>8</v>
      </c>
      <c r="P4010" s="15" t="s">
        <v>8</v>
      </c>
      <c r="Q4010" s="15" t="s">
        <v>8</v>
      </c>
      <c r="S4010" s="15" t="s">
        <v>8</v>
      </c>
      <c r="T4010" s="20" t="str">
        <f>HYPERLINK("http://yeinfo.com/family/I09066034.html", "MARGARET BOKINGHAM 1440 EN-1529 EN ID:09065858")</f>
        <v>MARGARET BOKINGHAM 1440 EN-1529 EN ID:09065858</v>
      </c>
      <c r="U4010" s="17"/>
      <c r="V4010" s="17"/>
      <c r="W4010" s="17"/>
      <c r="X4010" s="17"/>
    </row>
    <row r="4011" spans="3:26" x14ac:dyDescent="0.35">
      <c r="C4011" s="15" t="s">
        <v>8</v>
      </c>
      <c r="D4011" s="15" t="s">
        <v>8</v>
      </c>
      <c r="E4011" s="15" t="s">
        <v>8</v>
      </c>
      <c r="F4011" s="15" t="s">
        <v>8</v>
      </c>
      <c r="H4011" s="15" t="s">
        <v>8</v>
      </c>
      <c r="I4011" s="15" t="s">
        <v>8</v>
      </c>
      <c r="J4011" s="15" t="s">
        <v>8</v>
      </c>
      <c r="O4011" s="15" t="s">
        <v>8</v>
      </c>
      <c r="P4011" s="15" t="s">
        <v>8</v>
      </c>
      <c r="Q4011" s="15" t="s">
        <v>8</v>
      </c>
      <c r="S4011" s="15" t="s">
        <v>8</v>
      </c>
    </row>
    <row r="4012" spans="3:26" x14ac:dyDescent="0.35">
      <c r="C4012" s="15" t="s">
        <v>8</v>
      </c>
      <c r="D4012" s="15" t="s">
        <v>8</v>
      </c>
      <c r="E4012" s="15" t="s">
        <v>8</v>
      </c>
      <c r="F4012" s="15" t="s">
        <v>8</v>
      </c>
      <c r="H4012" s="15" t="s">
        <v>8</v>
      </c>
      <c r="I4012" s="15" t="s">
        <v>8</v>
      </c>
      <c r="J4012" s="15" t="s">
        <v>8</v>
      </c>
      <c r="O4012" s="15" t="s">
        <v>8</v>
      </c>
      <c r="P4012" s="15" t="s">
        <v>8</v>
      </c>
      <c r="Q4012" s="15" t="s">
        <v>8</v>
      </c>
      <c r="R4012" s="19" t="str">
        <f>HYPERLINK("http://yeinfo.com/family/I09043389.html", "JOHN WISEMAN 1495 EN-1558 EN ID:09065575")</f>
        <v>JOHN WISEMAN 1495 EN-1558 EN ID:09065575</v>
      </c>
      <c r="S4012" s="9"/>
      <c r="T4012" s="9"/>
      <c r="U4012" s="9"/>
      <c r="V4012" s="9"/>
    </row>
    <row r="4013" spans="3:26" x14ac:dyDescent="0.35">
      <c r="C4013" s="15" t="s">
        <v>8</v>
      </c>
      <c r="D4013" s="15" t="s">
        <v>8</v>
      </c>
      <c r="E4013" s="15" t="s">
        <v>8</v>
      </c>
      <c r="F4013" s="15" t="s">
        <v>8</v>
      </c>
      <c r="H4013" s="15" t="s">
        <v>8</v>
      </c>
      <c r="I4013" s="15" t="s">
        <v>8</v>
      </c>
      <c r="J4013" s="15" t="s">
        <v>8</v>
      </c>
      <c r="O4013" s="15" t="s">
        <v>8</v>
      </c>
      <c r="P4013" s="15" t="s">
        <v>8</v>
      </c>
      <c r="Q4013" s="15" t="s">
        <v>8</v>
      </c>
      <c r="R4013" s="8" t="s">
        <v>3</v>
      </c>
      <c r="S4013" s="15" t="s">
        <v>8</v>
      </c>
    </row>
    <row r="4014" spans="3:26" x14ac:dyDescent="0.35">
      <c r="C4014" s="15" t="s">
        <v>8</v>
      </c>
      <c r="D4014" s="15" t="s">
        <v>8</v>
      </c>
      <c r="E4014" s="15" t="s">
        <v>8</v>
      </c>
      <c r="F4014" s="15" t="s">
        <v>8</v>
      </c>
      <c r="H4014" s="15" t="s">
        <v>8</v>
      </c>
      <c r="I4014" s="15" t="s">
        <v>8</v>
      </c>
      <c r="J4014" s="15" t="s">
        <v>8</v>
      </c>
      <c r="O4014" s="15" t="s">
        <v>8</v>
      </c>
      <c r="P4014" s="15" t="s">
        <v>8</v>
      </c>
      <c r="Q4014" s="15" t="s">
        <v>8</v>
      </c>
      <c r="R4014" s="15" t="s">
        <v>8</v>
      </c>
      <c r="S4014" s="15" t="s">
        <v>8</v>
      </c>
      <c r="U4014" s="19" t="str">
        <f>HYPERLINK("http://yeinfo.com/family/I09065859.html", "HENRY GLASCOCK 1419 EN-1445 EN ID:09066035")</f>
        <v>HENRY GLASCOCK 1419 EN-1445 EN ID:09066035</v>
      </c>
      <c r="V4014" s="9"/>
      <c r="W4014" s="9"/>
      <c r="X4014" s="9"/>
      <c r="Y4014" s="9"/>
    </row>
    <row r="4015" spans="3:26" x14ac:dyDescent="0.35">
      <c r="C4015" s="15" t="s">
        <v>8</v>
      </c>
      <c r="D4015" s="15" t="s">
        <v>8</v>
      </c>
      <c r="E4015" s="15" t="s">
        <v>8</v>
      </c>
      <c r="F4015" s="15" t="s">
        <v>8</v>
      </c>
      <c r="H4015" s="15" t="s">
        <v>8</v>
      </c>
      <c r="I4015" s="15" t="s">
        <v>8</v>
      </c>
      <c r="J4015" s="15" t="s">
        <v>8</v>
      </c>
      <c r="O4015" s="15" t="s">
        <v>8</v>
      </c>
      <c r="P4015" s="15" t="s">
        <v>8</v>
      </c>
      <c r="Q4015" s="15" t="s">
        <v>8</v>
      </c>
      <c r="R4015" s="15" t="s">
        <v>8</v>
      </c>
      <c r="S4015" s="15" t="s">
        <v>8</v>
      </c>
      <c r="U4015" s="8" t="s">
        <v>3</v>
      </c>
    </row>
    <row r="4016" spans="3:26" x14ac:dyDescent="0.35">
      <c r="C4016" s="15" t="s">
        <v>8</v>
      </c>
      <c r="D4016" s="15" t="s">
        <v>8</v>
      </c>
      <c r="E4016" s="15" t="s">
        <v>8</v>
      </c>
      <c r="F4016" s="15" t="s">
        <v>8</v>
      </c>
      <c r="H4016" s="15" t="s">
        <v>8</v>
      </c>
      <c r="I4016" s="15" t="s">
        <v>8</v>
      </c>
      <c r="J4016" s="15" t="s">
        <v>8</v>
      </c>
      <c r="O4016" s="15" t="s">
        <v>8</v>
      </c>
      <c r="P4016" s="15" t="s">
        <v>8</v>
      </c>
      <c r="Q4016" s="15" t="s">
        <v>8</v>
      </c>
      <c r="R4016" s="15" t="s">
        <v>8</v>
      </c>
      <c r="S4016" s="15" t="s">
        <v>8</v>
      </c>
      <c r="T4016" s="19" t="str">
        <f>HYPERLINK("http://yeinfo.com/family/I09065717.html", "HENRY GLASCOCK 1445 EN-1473 EN ID:09065859")</f>
        <v>HENRY GLASCOCK 1445 EN-1473 EN ID:09065859</v>
      </c>
      <c r="U4016" s="9"/>
      <c r="V4016" s="9"/>
      <c r="W4016" s="9"/>
      <c r="X4016" s="9"/>
    </row>
    <row r="4017" spans="3:27" x14ac:dyDescent="0.35">
      <c r="C4017" s="15" t="s">
        <v>8</v>
      </c>
      <c r="D4017" s="15" t="s">
        <v>8</v>
      </c>
      <c r="E4017" s="15" t="s">
        <v>8</v>
      </c>
      <c r="F4017" s="15" t="s">
        <v>8</v>
      </c>
      <c r="H4017" s="15" t="s">
        <v>8</v>
      </c>
      <c r="I4017" s="15" t="s">
        <v>8</v>
      </c>
      <c r="J4017" s="15" t="s">
        <v>8</v>
      </c>
      <c r="O4017" s="15" t="s">
        <v>8</v>
      </c>
      <c r="P4017" s="15" t="s">
        <v>8</v>
      </c>
      <c r="Q4017" s="15" t="s">
        <v>8</v>
      </c>
      <c r="R4017" s="15" t="s">
        <v>8</v>
      </c>
      <c r="S4017" s="15" t="s">
        <v>8</v>
      </c>
      <c r="T4017" s="8" t="s">
        <v>3</v>
      </c>
      <c r="U4017" s="8" t="s">
        <v>6</v>
      </c>
    </row>
    <row r="4018" spans="3:27" x14ac:dyDescent="0.35">
      <c r="C4018" s="15" t="s">
        <v>8</v>
      </c>
      <c r="D4018" s="15" t="s">
        <v>8</v>
      </c>
      <c r="E4018" s="15" t="s">
        <v>8</v>
      </c>
      <c r="F4018" s="15" t="s">
        <v>8</v>
      </c>
      <c r="H4018" s="15" t="s">
        <v>8</v>
      </c>
      <c r="I4018" s="15" t="s">
        <v>8</v>
      </c>
      <c r="J4018" s="15" t="s">
        <v>8</v>
      </c>
      <c r="O4018" s="15" t="s">
        <v>8</v>
      </c>
      <c r="P4018" s="15" t="s">
        <v>8</v>
      </c>
      <c r="Q4018" s="15" t="s">
        <v>8</v>
      </c>
      <c r="R4018" s="15" t="s">
        <v>8</v>
      </c>
      <c r="S4018" s="15" t="s">
        <v>8</v>
      </c>
      <c r="T4018" s="15" t="s">
        <v>8</v>
      </c>
      <c r="U4018" s="20" t="str">
        <f>HYPERLINK("http://yeinfo.com/family/I09066035.html", "GRACE EUMINO 1423 EN-1445 EN ID:09066036")</f>
        <v>GRACE EUMINO 1423 EN-1445 EN ID:09066036</v>
      </c>
      <c r="V4018" s="17"/>
      <c r="W4018" s="17"/>
      <c r="X4018" s="17"/>
      <c r="Y4018" s="17"/>
    </row>
    <row r="4019" spans="3:27" x14ac:dyDescent="0.35">
      <c r="C4019" s="15" t="s">
        <v>8</v>
      </c>
      <c r="D4019" s="15" t="s">
        <v>8</v>
      </c>
      <c r="E4019" s="15" t="s">
        <v>8</v>
      </c>
      <c r="F4019" s="15" t="s">
        <v>8</v>
      </c>
      <c r="H4019" s="15" t="s">
        <v>8</v>
      </c>
      <c r="I4019" s="15" t="s">
        <v>8</v>
      </c>
      <c r="J4019" s="15" t="s">
        <v>8</v>
      </c>
      <c r="O4019" s="15" t="s">
        <v>8</v>
      </c>
      <c r="P4019" s="15" t="s">
        <v>8</v>
      </c>
      <c r="Q4019" s="15" t="s">
        <v>8</v>
      </c>
      <c r="R4019" s="15" t="s">
        <v>8</v>
      </c>
      <c r="S4019" s="8" t="s">
        <v>6</v>
      </c>
      <c r="T4019" s="15" t="s">
        <v>8</v>
      </c>
    </row>
    <row r="4020" spans="3:27" x14ac:dyDescent="0.35">
      <c r="C4020" s="15" t="s">
        <v>8</v>
      </c>
      <c r="D4020" s="15" t="s">
        <v>8</v>
      </c>
      <c r="E4020" s="15" t="s">
        <v>8</v>
      </c>
      <c r="F4020" s="15" t="s">
        <v>8</v>
      </c>
      <c r="H4020" s="15" t="s">
        <v>8</v>
      </c>
      <c r="I4020" s="15" t="s">
        <v>8</v>
      </c>
      <c r="J4020" s="15" t="s">
        <v>8</v>
      </c>
      <c r="O4020" s="15" t="s">
        <v>8</v>
      </c>
      <c r="P4020" s="15" t="s">
        <v>8</v>
      </c>
      <c r="Q4020" s="15" t="s">
        <v>8</v>
      </c>
      <c r="R4020" s="15" t="s">
        <v>8</v>
      </c>
      <c r="S4020" s="20" t="str">
        <f>HYPERLINK("http://yeinfo.com/family/I09065858.html", "MARY GLASCOCK 1473 EN-1558 EN ID:09065717")</f>
        <v>MARY GLASCOCK 1473 EN-1558 EN ID:09065717</v>
      </c>
      <c r="T4020" s="17"/>
      <c r="U4020" s="17"/>
      <c r="V4020" s="17"/>
      <c r="W4020" s="17"/>
    </row>
    <row r="4021" spans="3:27" x14ac:dyDescent="0.35">
      <c r="C4021" s="15" t="s">
        <v>8</v>
      </c>
      <c r="D4021" s="15" t="s">
        <v>8</v>
      </c>
      <c r="E4021" s="15" t="s">
        <v>8</v>
      </c>
      <c r="F4021" s="15" t="s">
        <v>8</v>
      </c>
      <c r="H4021" s="15" t="s">
        <v>8</v>
      </c>
      <c r="I4021" s="15" t="s">
        <v>8</v>
      </c>
      <c r="J4021" s="15" t="s">
        <v>8</v>
      </c>
      <c r="O4021" s="15" t="s">
        <v>8</v>
      </c>
      <c r="P4021" s="15" t="s">
        <v>8</v>
      </c>
      <c r="Q4021" s="15" t="s">
        <v>8</v>
      </c>
      <c r="R4021" s="15" t="s">
        <v>8</v>
      </c>
      <c r="T4021" s="8" t="s">
        <v>6</v>
      </c>
    </row>
    <row r="4022" spans="3:27" x14ac:dyDescent="0.35">
      <c r="C4022" s="15" t="s">
        <v>8</v>
      </c>
      <c r="D4022" s="15" t="s">
        <v>8</v>
      </c>
      <c r="E4022" s="15" t="s">
        <v>8</v>
      </c>
      <c r="F4022" s="15" t="s">
        <v>8</v>
      </c>
      <c r="H4022" s="15" t="s">
        <v>8</v>
      </c>
      <c r="I4022" s="15" t="s">
        <v>8</v>
      </c>
      <c r="J4022" s="15" t="s">
        <v>8</v>
      </c>
      <c r="O4022" s="15" t="s">
        <v>8</v>
      </c>
      <c r="P4022" s="15" t="s">
        <v>8</v>
      </c>
      <c r="Q4022" s="15" t="s">
        <v>8</v>
      </c>
      <c r="R4022" s="15" t="s">
        <v>8</v>
      </c>
      <c r="T4022" s="20" t="str">
        <f>HYPERLINK("http://yeinfo.com/family/I09066036.html", "MARGERY FITCH 1449 EN-1473 EN ID:09065860")</f>
        <v>MARGERY FITCH 1449 EN-1473 EN ID:09065860</v>
      </c>
      <c r="U4022" s="17"/>
      <c r="V4022" s="17"/>
      <c r="W4022" s="17"/>
      <c r="X4022" s="17"/>
    </row>
    <row r="4023" spans="3:27" x14ac:dyDescent="0.35">
      <c r="C4023" s="15" t="s">
        <v>8</v>
      </c>
      <c r="D4023" s="15" t="s">
        <v>8</v>
      </c>
      <c r="E4023" s="15" t="s">
        <v>8</v>
      </c>
      <c r="F4023" s="15" t="s">
        <v>8</v>
      </c>
      <c r="H4023" s="15" t="s">
        <v>8</v>
      </c>
      <c r="I4023" s="15" t="s">
        <v>8</v>
      </c>
      <c r="J4023" s="15" t="s">
        <v>8</v>
      </c>
      <c r="O4023" s="15" t="s">
        <v>8</v>
      </c>
      <c r="P4023" s="15" t="s">
        <v>8</v>
      </c>
      <c r="Q4023" s="8" t="s">
        <v>6</v>
      </c>
      <c r="R4023" s="15" t="s">
        <v>8</v>
      </c>
    </row>
    <row r="4024" spans="3:27" x14ac:dyDescent="0.35">
      <c r="C4024" s="15" t="s">
        <v>8</v>
      </c>
      <c r="D4024" s="15" t="s">
        <v>8</v>
      </c>
      <c r="E4024" s="15" t="s">
        <v>8</v>
      </c>
      <c r="F4024" s="15" t="s">
        <v>8</v>
      </c>
      <c r="H4024" s="15" t="s">
        <v>8</v>
      </c>
      <c r="I4024" s="15" t="s">
        <v>8</v>
      </c>
      <c r="J4024" s="15" t="s">
        <v>8</v>
      </c>
      <c r="O4024" s="15" t="s">
        <v>8</v>
      </c>
      <c r="P4024" s="15" t="s">
        <v>8</v>
      </c>
      <c r="Q4024" s="20" t="str">
        <f>HYPERLINK("http://yeinfo.com/family/I09065574.html", "MARGARET WISEMAN 1525 EN-1585 EN ID:09043389")</f>
        <v>MARGARET WISEMAN 1525 EN-1585 EN ID:09043389</v>
      </c>
      <c r="R4024" s="17"/>
      <c r="S4024" s="17"/>
      <c r="T4024" s="17"/>
      <c r="U4024" s="17"/>
    </row>
    <row r="4025" spans="3:27" x14ac:dyDescent="0.35">
      <c r="C4025" s="15" t="s">
        <v>8</v>
      </c>
      <c r="D4025" s="15" t="s">
        <v>8</v>
      </c>
      <c r="E4025" s="15" t="s">
        <v>8</v>
      </c>
      <c r="F4025" s="15" t="s">
        <v>8</v>
      </c>
      <c r="H4025" s="15" t="s">
        <v>8</v>
      </c>
      <c r="I4025" s="15" t="s">
        <v>8</v>
      </c>
      <c r="J4025" s="15" t="s">
        <v>8</v>
      </c>
      <c r="O4025" s="15" t="s">
        <v>8</v>
      </c>
      <c r="P4025" s="15" t="s">
        <v>8</v>
      </c>
      <c r="R4025" s="15" t="s">
        <v>8</v>
      </c>
    </row>
    <row r="4026" spans="3:27" x14ac:dyDescent="0.35">
      <c r="C4026" s="15" t="s">
        <v>8</v>
      </c>
      <c r="D4026" s="15" t="s">
        <v>8</v>
      </c>
      <c r="E4026" s="15" t="s">
        <v>8</v>
      </c>
      <c r="F4026" s="15" t="s">
        <v>8</v>
      </c>
      <c r="H4026" s="15" t="s">
        <v>8</v>
      </c>
      <c r="I4026" s="15" t="s">
        <v>8</v>
      </c>
      <c r="J4026" s="15" t="s">
        <v>8</v>
      </c>
      <c r="O4026" s="15" t="s">
        <v>8</v>
      </c>
      <c r="P4026" s="15" t="s">
        <v>8</v>
      </c>
      <c r="R4026" s="15" t="s">
        <v>8</v>
      </c>
      <c r="V4026" s="19" t="str">
        <f>HYPERLINK("http://yeinfo.com/family/I09066037.html", "GEOFFREY JOSSLYN Sr. 1374 EN-1425 EN ID:09066227")</f>
        <v>GEOFFREY JOSSLYN Sr. 1374 EN-1425 EN ID:09066227</v>
      </c>
      <c r="W4026" s="9"/>
      <c r="X4026" s="9"/>
      <c r="Y4026" s="9"/>
      <c r="Z4026" s="9"/>
    </row>
    <row r="4027" spans="3:27" x14ac:dyDescent="0.35">
      <c r="C4027" s="15" t="s">
        <v>8</v>
      </c>
      <c r="D4027" s="15" t="s">
        <v>8</v>
      </c>
      <c r="E4027" s="15" t="s">
        <v>8</v>
      </c>
      <c r="F4027" s="15" t="s">
        <v>8</v>
      </c>
      <c r="H4027" s="15" t="s">
        <v>8</v>
      </c>
      <c r="I4027" s="15" t="s">
        <v>8</v>
      </c>
      <c r="J4027" s="15" t="s">
        <v>8</v>
      </c>
      <c r="O4027" s="15" t="s">
        <v>8</v>
      </c>
      <c r="P4027" s="15" t="s">
        <v>8</v>
      </c>
      <c r="R4027" s="15" t="s">
        <v>8</v>
      </c>
      <c r="V4027" s="8" t="s">
        <v>3</v>
      </c>
    </row>
    <row r="4028" spans="3:27" x14ac:dyDescent="0.35">
      <c r="C4028" s="15" t="s">
        <v>8</v>
      </c>
      <c r="D4028" s="15" t="s">
        <v>8</v>
      </c>
      <c r="E4028" s="15" t="s">
        <v>8</v>
      </c>
      <c r="F4028" s="15" t="s">
        <v>8</v>
      </c>
      <c r="H4028" s="15" t="s">
        <v>8</v>
      </c>
      <c r="I4028" s="15" t="s">
        <v>8</v>
      </c>
      <c r="J4028" s="15" t="s">
        <v>8</v>
      </c>
      <c r="O4028" s="15" t="s">
        <v>8</v>
      </c>
      <c r="P4028" s="15" t="s">
        <v>8</v>
      </c>
      <c r="R4028" s="15" t="s">
        <v>8</v>
      </c>
      <c r="U4028" s="19" t="str">
        <f>HYPERLINK("http://yeinfo.com/family/I09065861.html", "GEOFFREY\JEFFREY JOSSLYN Jr. 1423 EN-1471  ID:09066037")</f>
        <v>GEOFFREY\JEFFREY JOSSLYN Jr. 1423 EN-1471  ID:09066037</v>
      </c>
      <c r="V4028" s="9"/>
      <c r="W4028" s="9"/>
      <c r="X4028" s="9"/>
      <c r="Y4028" s="9"/>
      <c r="Z4028" s="9"/>
    </row>
    <row r="4029" spans="3:27" x14ac:dyDescent="0.35">
      <c r="C4029" s="15" t="s">
        <v>8</v>
      </c>
      <c r="D4029" s="15" t="s">
        <v>8</v>
      </c>
      <c r="E4029" s="15" t="s">
        <v>8</v>
      </c>
      <c r="F4029" s="15" t="s">
        <v>8</v>
      </c>
      <c r="H4029" s="15" t="s">
        <v>8</v>
      </c>
      <c r="I4029" s="15" t="s">
        <v>8</v>
      </c>
      <c r="J4029" s="15" t="s">
        <v>8</v>
      </c>
      <c r="O4029" s="15" t="s">
        <v>8</v>
      </c>
      <c r="P4029" s="15" t="s">
        <v>8</v>
      </c>
      <c r="R4029" s="15" t="s">
        <v>8</v>
      </c>
      <c r="U4029" s="8" t="s">
        <v>3</v>
      </c>
      <c r="V4029" s="15" t="s">
        <v>8</v>
      </c>
    </row>
    <row r="4030" spans="3:27" x14ac:dyDescent="0.35">
      <c r="C4030" s="15" t="s">
        <v>8</v>
      </c>
      <c r="D4030" s="15" t="s">
        <v>8</v>
      </c>
      <c r="E4030" s="15" t="s">
        <v>8</v>
      </c>
      <c r="F4030" s="15" t="s">
        <v>8</v>
      </c>
      <c r="H4030" s="15" t="s">
        <v>8</v>
      </c>
      <c r="I4030" s="15" t="s">
        <v>8</v>
      </c>
      <c r="J4030" s="15" t="s">
        <v>8</v>
      </c>
      <c r="O4030" s="15" t="s">
        <v>8</v>
      </c>
      <c r="P4030" s="15" t="s">
        <v>8</v>
      </c>
      <c r="R4030" s="15" t="s">
        <v>8</v>
      </c>
      <c r="U4030" s="15" t="s">
        <v>8</v>
      </c>
      <c r="V4030" s="15" t="s">
        <v>8</v>
      </c>
      <c r="W4030" s="19" t="str">
        <f>HYPERLINK("http://yeinfo.com/family/I09066228.html", "THOMAS BERRIE 1350 EN-1381 EN ID:09066379")</f>
        <v>THOMAS BERRIE 1350 EN-1381 EN ID:09066379</v>
      </c>
      <c r="X4030" s="9"/>
      <c r="Y4030" s="9"/>
      <c r="Z4030" s="9"/>
      <c r="AA4030" s="9"/>
    </row>
    <row r="4031" spans="3:27" x14ac:dyDescent="0.35">
      <c r="C4031" s="15" t="s">
        <v>8</v>
      </c>
      <c r="D4031" s="15" t="s">
        <v>8</v>
      </c>
      <c r="E4031" s="15" t="s">
        <v>8</v>
      </c>
      <c r="F4031" s="15" t="s">
        <v>8</v>
      </c>
      <c r="H4031" s="15" t="s">
        <v>8</v>
      </c>
      <c r="I4031" s="15" t="s">
        <v>8</v>
      </c>
      <c r="J4031" s="15" t="s">
        <v>8</v>
      </c>
      <c r="O4031" s="15" t="s">
        <v>8</v>
      </c>
      <c r="P4031" s="15" t="s">
        <v>8</v>
      </c>
      <c r="R4031" s="15" t="s">
        <v>8</v>
      </c>
      <c r="U4031" s="15" t="s">
        <v>8</v>
      </c>
      <c r="V4031" s="8" t="s">
        <v>6</v>
      </c>
      <c r="W4031" s="8" t="s">
        <v>3</v>
      </c>
    </row>
    <row r="4032" spans="3:27" x14ac:dyDescent="0.35">
      <c r="C4032" s="15" t="s">
        <v>8</v>
      </c>
      <c r="D4032" s="15" t="s">
        <v>8</v>
      </c>
      <c r="E4032" s="15" t="s">
        <v>8</v>
      </c>
      <c r="F4032" s="15" t="s">
        <v>8</v>
      </c>
      <c r="H4032" s="15" t="s">
        <v>8</v>
      </c>
      <c r="I4032" s="15" t="s">
        <v>8</v>
      </c>
      <c r="J4032" s="15" t="s">
        <v>8</v>
      </c>
      <c r="O4032" s="15" t="s">
        <v>8</v>
      </c>
      <c r="P4032" s="15" t="s">
        <v>8</v>
      </c>
      <c r="R4032" s="15" t="s">
        <v>8</v>
      </c>
      <c r="U4032" s="15" t="s">
        <v>8</v>
      </c>
      <c r="V4032" s="20" t="str">
        <f>HYPERLINK("http://yeinfo.com/family/I09066227.html", "JOAN BERRIE 1378 EN-1425 EN ID:09066228")</f>
        <v>JOAN BERRIE 1378 EN-1425 EN ID:09066228</v>
      </c>
      <c r="W4032" s="17"/>
      <c r="X4032" s="17"/>
      <c r="Y4032" s="17"/>
      <c r="Z4032" s="17"/>
    </row>
    <row r="4033" spans="3:27" x14ac:dyDescent="0.35">
      <c r="C4033" s="15" t="s">
        <v>8</v>
      </c>
      <c r="D4033" s="15" t="s">
        <v>8</v>
      </c>
      <c r="E4033" s="15" t="s">
        <v>8</v>
      </c>
      <c r="F4033" s="15" t="s">
        <v>8</v>
      </c>
      <c r="H4033" s="15" t="s">
        <v>8</v>
      </c>
      <c r="I4033" s="15" t="s">
        <v>8</v>
      </c>
      <c r="J4033" s="15" t="s">
        <v>8</v>
      </c>
      <c r="O4033" s="15" t="s">
        <v>8</v>
      </c>
      <c r="P4033" s="15" t="s">
        <v>8</v>
      </c>
      <c r="R4033" s="15" t="s">
        <v>8</v>
      </c>
      <c r="U4033" s="15" t="s">
        <v>8</v>
      </c>
      <c r="W4033" s="8" t="s">
        <v>6</v>
      </c>
    </row>
    <row r="4034" spans="3:27" x14ac:dyDescent="0.35">
      <c r="C4034" s="15" t="s">
        <v>8</v>
      </c>
      <c r="D4034" s="15" t="s">
        <v>8</v>
      </c>
      <c r="E4034" s="15" t="s">
        <v>8</v>
      </c>
      <c r="F4034" s="15" t="s">
        <v>8</v>
      </c>
      <c r="H4034" s="15" t="s">
        <v>8</v>
      </c>
      <c r="I4034" s="15" t="s">
        <v>8</v>
      </c>
      <c r="J4034" s="15" t="s">
        <v>8</v>
      </c>
      <c r="O4034" s="15" t="s">
        <v>8</v>
      </c>
      <c r="P4034" s="15" t="s">
        <v>8</v>
      </c>
      <c r="R4034" s="15" t="s">
        <v>8</v>
      </c>
      <c r="U4034" s="15" t="s">
        <v>8</v>
      </c>
      <c r="W4034" s="20" t="str">
        <f>HYPERLINK("http://yeinfo.com/family/I09066379.html", "Mrs. {_?_} BERRIE 1355 -1378 EN ID:09066380")</f>
        <v>Mrs. {_?_} BERRIE 1355 -1378 EN ID:09066380</v>
      </c>
      <c r="X4034" s="17"/>
      <c r="Y4034" s="17"/>
      <c r="Z4034" s="17"/>
      <c r="AA4034" s="17"/>
    </row>
    <row r="4035" spans="3:27" x14ac:dyDescent="0.35">
      <c r="C4035" s="15" t="s">
        <v>8</v>
      </c>
      <c r="D4035" s="15" t="s">
        <v>8</v>
      </c>
      <c r="E4035" s="15" t="s">
        <v>8</v>
      </c>
      <c r="F4035" s="15" t="s">
        <v>8</v>
      </c>
      <c r="H4035" s="15" t="s">
        <v>8</v>
      </c>
      <c r="I4035" s="15" t="s">
        <v>8</v>
      </c>
      <c r="J4035" s="15" t="s">
        <v>8</v>
      </c>
      <c r="O4035" s="15" t="s">
        <v>8</v>
      </c>
      <c r="P4035" s="15" t="s">
        <v>8</v>
      </c>
      <c r="R4035" s="15" t="s">
        <v>8</v>
      </c>
      <c r="U4035" s="15" t="s">
        <v>8</v>
      </c>
    </row>
    <row r="4036" spans="3:27" x14ac:dyDescent="0.35">
      <c r="C4036" s="15" t="s">
        <v>8</v>
      </c>
      <c r="D4036" s="15" t="s">
        <v>8</v>
      </c>
      <c r="E4036" s="15" t="s">
        <v>8</v>
      </c>
      <c r="F4036" s="15" t="s">
        <v>8</v>
      </c>
      <c r="H4036" s="15" t="s">
        <v>8</v>
      </c>
      <c r="I4036" s="15" t="s">
        <v>8</v>
      </c>
      <c r="J4036" s="15" t="s">
        <v>8</v>
      </c>
      <c r="O4036" s="15" t="s">
        <v>8</v>
      </c>
      <c r="P4036" s="15" t="s">
        <v>8</v>
      </c>
      <c r="R4036" s="15" t="s">
        <v>8</v>
      </c>
      <c r="T4036" s="19" t="str">
        <f>HYPERLINK("http://yeinfo.com/family/I09065718.html", "JOHN JOSSLYN 1449 EN-1524 EN ID:09065861")</f>
        <v>JOHN JOSSLYN 1449 EN-1524 EN ID:09065861</v>
      </c>
      <c r="U4036" s="9"/>
      <c r="V4036" s="9"/>
      <c r="W4036" s="9"/>
      <c r="X4036" s="9"/>
    </row>
    <row r="4037" spans="3:27" x14ac:dyDescent="0.35">
      <c r="C4037" s="15" t="s">
        <v>8</v>
      </c>
      <c r="D4037" s="15" t="s">
        <v>8</v>
      </c>
      <c r="E4037" s="15" t="s">
        <v>8</v>
      </c>
      <c r="F4037" s="15" t="s">
        <v>8</v>
      </c>
      <c r="H4037" s="15" t="s">
        <v>8</v>
      </c>
      <c r="I4037" s="15" t="s">
        <v>8</v>
      </c>
      <c r="J4037" s="15" t="s">
        <v>8</v>
      </c>
      <c r="O4037" s="15" t="s">
        <v>8</v>
      </c>
      <c r="P4037" s="15" t="s">
        <v>8</v>
      </c>
      <c r="R4037" s="15" t="s">
        <v>8</v>
      </c>
      <c r="T4037" s="8" t="s">
        <v>3</v>
      </c>
      <c r="U4037" s="15" t="s">
        <v>8</v>
      </c>
    </row>
    <row r="4038" spans="3:27" x14ac:dyDescent="0.35">
      <c r="C4038" s="15" t="s">
        <v>8</v>
      </c>
      <c r="D4038" s="15" t="s">
        <v>8</v>
      </c>
      <c r="E4038" s="15" t="s">
        <v>8</v>
      </c>
      <c r="F4038" s="15" t="s">
        <v>8</v>
      </c>
      <c r="H4038" s="15" t="s">
        <v>8</v>
      </c>
      <c r="I4038" s="15" t="s">
        <v>8</v>
      </c>
      <c r="J4038" s="15" t="s">
        <v>8</v>
      </c>
      <c r="O4038" s="15" t="s">
        <v>8</v>
      </c>
      <c r="P4038" s="15" t="s">
        <v>8</v>
      </c>
      <c r="R4038" s="15" t="s">
        <v>8</v>
      </c>
      <c r="T4038" s="15" t="s">
        <v>8</v>
      </c>
      <c r="U4038" s="15" t="s">
        <v>8</v>
      </c>
      <c r="W4038" s="19" t="str">
        <f>HYPERLINK("http://yeinfo.com/family/I09066229.html", "WILLIAM BRAYE 1328 EN-1357 EN ID:09066381")</f>
        <v>WILLIAM BRAYE 1328 EN-1357 EN ID:09066381</v>
      </c>
      <c r="X4038" s="9"/>
      <c r="Y4038" s="9"/>
      <c r="Z4038" s="9"/>
      <c r="AA4038" s="9"/>
    </row>
    <row r="4039" spans="3:27" x14ac:dyDescent="0.35">
      <c r="C4039" s="15" t="s">
        <v>8</v>
      </c>
      <c r="D4039" s="15" t="s">
        <v>8</v>
      </c>
      <c r="E4039" s="15" t="s">
        <v>8</v>
      </c>
      <c r="F4039" s="15" t="s">
        <v>8</v>
      </c>
      <c r="H4039" s="15" t="s">
        <v>8</v>
      </c>
      <c r="I4039" s="15" t="s">
        <v>8</v>
      </c>
      <c r="J4039" s="15" t="s">
        <v>8</v>
      </c>
      <c r="O4039" s="15" t="s">
        <v>8</v>
      </c>
      <c r="P4039" s="15" t="s">
        <v>8</v>
      </c>
      <c r="R4039" s="15" t="s">
        <v>8</v>
      </c>
      <c r="T4039" s="15" t="s">
        <v>8</v>
      </c>
      <c r="U4039" s="15" t="s">
        <v>8</v>
      </c>
      <c r="W4039" s="8" t="s">
        <v>3</v>
      </c>
    </row>
    <row r="4040" spans="3:27" x14ac:dyDescent="0.35">
      <c r="C4040" s="15" t="s">
        <v>8</v>
      </c>
      <c r="D4040" s="15" t="s">
        <v>8</v>
      </c>
      <c r="E4040" s="15" t="s">
        <v>8</v>
      </c>
      <c r="F4040" s="15" t="s">
        <v>8</v>
      </c>
      <c r="H4040" s="15" t="s">
        <v>8</v>
      </c>
      <c r="I4040" s="15" t="s">
        <v>8</v>
      </c>
      <c r="J4040" s="15" t="s">
        <v>8</v>
      </c>
      <c r="O4040" s="15" t="s">
        <v>8</v>
      </c>
      <c r="P4040" s="15" t="s">
        <v>8</v>
      </c>
      <c r="R4040" s="15" t="s">
        <v>8</v>
      </c>
      <c r="T4040" s="15" t="s">
        <v>8</v>
      </c>
      <c r="U4040" s="15" t="s">
        <v>8</v>
      </c>
      <c r="V4040" s="19" t="str">
        <f>HYPERLINK("http://yeinfo.com/family/I09066038.html", "THOMAS BRAYE 1357 EN-1427 EN ID:09066229")</f>
        <v>THOMAS BRAYE 1357 EN-1427 EN ID:09066229</v>
      </c>
      <c r="W4040" s="9"/>
      <c r="X4040" s="9"/>
      <c r="Y4040" s="9"/>
      <c r="Z4040" s="9"/>
    </row>
    <row r="4041" spans="3:27" x14ac:dyDescent="0.35">
      <c r="C4041" s="15" t="s">
        <v>8</v>
      </c>
      <c r="D4041" s="15" t="s">
        <v>8</v>
      </c>
      <c r="E4041" s="15" t="s">
        <v>8</v>
      </c>
      <c r="F4041" s="15" t="s">
        <v>8</v>
      </c>
      <c r="H4041" s="15" t="s">
        <v>8</v>
      </c>
      <c r="I4041" s="15" t="s">
        <v>8</v>
      </c>
      <c r="J4041" s="15" t="s">
        <v>8</v>
      </c>
      <c r="O4041" s="15" t="s">
        <v>8</v>
      </c>
      <c r="P4041" s="15" t="s">
        <v>8</v>
      </c>
      <c r="R4041" s="15" t="s">
        <v>8</v>
      </c>
      <c r="T4041" s="15" t="s">
        <v>8</v>
      </c>
      <c r="U4041" s="15" t="s">
        <v>8</v>
      </c>
      <c r="V4041" s="8" t="s">
        <v>3</v>
      </c>
      <c r="W4041" s="8" t="s">
        <v>6</v>
      </c>
    </row>
    <row r="4042" spans="3:27" x14ac:dyDescent="0.35">
      <c r="C4042" s="15" t="s">
        <v>8</v>
      </c>
      <c r="D4042" s="15" t="s">
        <v>8</v>
      </c>
      <c r="E4042" s="15" t="s">
        <v>8</v>
      </c>
      <c r="F4042" s="15" t="s">
        <v>8</v>
      </c>
      <c r="H4042" s="15" t="s">
        <v>8</v>
      </c>
      <c r="I4042" s="15" t="s">
        <v>8</v>
      </c>
      <c r="J4042" s="15" t="s">
        <v>8</v>
      </c>
      <c r="O4042" s="15" t="s">
        <v>8</v>
      </c>
      <c r="P4042" s="15" t="s">
        <v>8</v>
      </c>
      <c r="R4042" s="15" t="s">
        <v>8</v>
      </c>
      <c r="T4042" s="15" t="s">
        <v>8</v>
      </c>
      <c r="U4042" s="15" t="s">
        <v>8</v>
      </c>
      <c r="V4042" s="15" t="s">
        <v>8</v>
      </c>
      <c r="W4042" s="20" t="str">
        <f>HYPERLINK("http://yeinfo.com/family/I09066381.html", "Mrs. {_?_} BRAYE 1335 -1357 EN ID:09066382")</f>
        <v>Mrs. {_?_} BRAYE 1335 -1357 EN ID:09066382</v>
      </c>
      <c r="X4042" s="17"/>
      <c r="Y4042" s="17"/>
      <c r="Z4042" s="17"/>
      <c r="AA4042" s="17"/>
    </row>
    <row r="4043" spans="3:27" x14ac:dyDescent="0.35">
      <c r="C4043" s="15" t="s">
        <v>8</v>
      </c>
      <c r="D4043" s="15" t="s">
        <v>8</v>
      </c>
      <c r="E4043" s="15" t="s">
        <v>8</v>
      </c>
      <c r="F4043" s="15" t="s">
        <v>8</v>
      </c>
      <c r="H4043" s="15" t="s">
        <v>8</v>
      </c>
      <c r="I4043" s="15" t="s">
        <v>8</v>
      </c>
      <c r="J4043" s="15" t="s">
        <v>8</v>
      </c>
      <c r="O4043" s="15" t="s">
        <v>8</v>
      </c>
      <c r="P4043" s="15" t="s">
        <v>8</v>
      </c>
      <c r="R4043" s="15" t="s">
        <v>8</v>
      </c>
      <c r="T4043" s="15" t="s">
        <v>8</v>
      </c>
      <c r="U4043" s="8" t="s">
        <v>6</v>
      </c>
      <c r="V4043" s="15" t="s">
        <v>8</v>
      </c>
    </row>
    <row r="4044" spans="3:27" x14ac:dyDescent="0.35">
      <c r="C4044" s="15" t="s">
        <v>8</v>
      </c>
      <c r="D4044" s="15" t="s">
        <v>8</v>
      </c>
      <c r="E4044" s="15" t="s">
        <v>8</v>
      </c>
      <c r="F4044" s="15" t="s">
        <v>8</v>
      </c>
      <c r="H4044" s="15" t="s">
        <v>8</v>
      </c>
      <c r="I4044" s="15" t="s">
        <v>8</v>
      </c>
      <c r="J4044" s="15" t="s">
        <v>8</v>
      </c>
      <c r="O4044" s="15" t="s">
        <v>8</v>
      </c>
      <c r="P4044" s="15" t="s">
        <v>8</v>
      </c>
      <c r="R4044" s="15" t="s">
        <v>8</v>
      </c>
      <c r="T4044" s="15" t="s">
        <v>8</v>
      </c>
      <c r="U4044" s="20" t="str">
        <f>HYPERLINK("http://yeinfo.com/family/I09066380.html", "CATHERINE\KATHERINE BRAYE 1427 EN-1449 EN ID:09066038")</f>
        <v>CATHERINE\KATHERINE BRAYE 1427 EN-1449 EN ID:09066038</v>
      </c>
      <c r="V4044" s="17"/>
      <c r="W4044" s="17"/>
      <c r="X4044" s="17"/>
      <c r="Y4044" s="17"/>
      <c r="Z4044" s="17"/>
    </row>
    <row r="4045" spans="3:27" x14ac:dyDescent="0.35">
      <c r="C4045" s="15" t="s">
        <v>8</v>
      </c>
      <c r="D4045" s="15" t="s">
        <v>8</v>
      </c>
      <c r="E4045" s="15" t="s">
        <v>8</v>
      </c>
      <c r="F4045" s="15" t="s">
        <v>8</v>
      </c>
      <c r="H4045" s="15" t="s">
        <v>8</v>
      </c>
      <c r="I4045" s="15" t="s">
        <v>8</v>
      </c>
      <c r="J4045" s="15" t="s">
        <v>8</v>
      </c>
      <c r="O4045" s="15" t="s">
        <v>8</v>
      </c>
      <c r="P4045" s="15" t="s">
        <v>8</v>
      </c>
      <c r="R4045" s="15" t="s">
        <v>8</v>
      </c>
      <c r="T4045" s="15" t="s">
        <v>8</v>
      </c>
      <c r="V4045" s="8" t="s">
        <v>6</v>
      </c>
    </row>
    <row r="4046" spans="3:27" x14ac:dyDescent="0.35">
      <c r="C4046" s="15" t="s">
        <v>8</v>
      </c>
      <c r="D4046" s="15" t="s">
        <v>8</v>
      </c>
      <c r="E4046" s="15" t="s">
        <v>8</v>
      </c>
      <c r="F4046" s="15" t="s">
        <v>8</v>
      </c>
      <c r="H4046" s="15" t="s">
        <v>8</v>
      </c>
      <c r="I4046" s="15" t="s">
        <v>8</v>
      </c>
      <c r="J4046" s="15" t="s">
        <v>8</v>
      </c>
      <c r="O4046" s="15" t="s">
        <v>8</v>
      </c>
      <c r="P4046" s="15" t="s">
        <v>8</v>
      </c>
      <c r="R4046" s="15" t="s">
        <v>8</v>
      </c>
      <c r="T4046" s="15" t="s">
        <v>8</v>
      </c>
      <c r="V4046" s="20" t="str">
        <f>HYPERLINK("http://yeinfo.com/family/I09066382.html", "ALICE\SARAH E BRAXBY 1357 EN-1427 EN ID:09066230")</f>
        <v>ALICE\SARAH E BRAXBY 1357 EN-1427 EN ID:09066230</v>
      </c>
      <c r="W4046" s="17"/>
      <c r="X4046" s="17"/>
      <c r="Y4046" s="17"/>
      <c r="Z4046" s="17"/>
      <c r="AA4046" s="17"/>
    </row>
    <row r="4047" spans="3:27" x14ac:dyDescent="0.35">
      <c r="C4047" s="15" t="s">
        <v>8</v>
      </c>
      <c r="D4047" s="15" t="s">
        <v>8</v>
      </c>
      <c r="E4047" s="15" t="s">
        <v>8</v>
      </c>
      <c r="F4047" s="15" t="s">
        <v>8</v>
      </c>
      <c r="H4047" s="15" t="s">
        <v>8</v>
      </c>
      <c r="I4047" s="15" t="s">
        <v>8</v>
      </c>
      <c r="J4047" s="15" t="s">
        <v>8</v>
      </c>
      <c r="O4047" s="15" t="s">
        <v>8</v>
      </c>
      <c r="P4047" s="15" t="s">
        <v>8</v>
      </c>
      <c r="R4047" s="15" t="s">
        <v>8</v>
      </c>
      <c r="T4047" s="15" t="s">
        <v>8</v>
      </c>
    </row>
    <row r="4048" spans="3:27" x14ac:dyDescent="0.35">
      <c r="C4048" s="15" t="s">
        <v>8</v>
      </c>
      <c r="D4048" s="15" t="s">
        <v>8</v>
      </c>
      <c r="E4048" s="15" t="s">
        <v>8</v>
      </c>
      <c r="F4048" s="15" t="s">
        <v>8</v>
      </c>
      <c r="H4048" s="15" t="s">
        <v>8</v>
      </c>
      <c r="I4048" s="15" t="s">
        <v>8</v>
      </c>
      <c r="J4048" s="15" t="s">
        <v>8</v>
      </c>
      <c r="O4048" s="15" t="s">
        <v>8</v>
      </c>
      <c r="P4048" s="15" t="s">
        <v>8</v>
      </c>
      <c r="R4048" s="15" t="s">
        <v>8</v>
      </c>
      <c r="S4048" s="19" t="str">
        <f>HYPERLINK("http://yeinfo.com/family/I09065576.html", "RALPH JOSSLYN 1475 EN-1525  ID:09065718")</f>
        <v>RALPH JOSSLYN 1475 EN-1525  ID:09065718</v>
      </c>
      <c r="T4048" s="9"/>
      <c r="U4048" s="9"/>
      <c r="V4048" s="9"/>
      <c r="W4048" s="9"/>
    </row>
    <row r="4049" spans="3:31" x14ac:dyDescent="0.35">
      <c r="C4049" s="15" t="s">
        <v>8</v>
      </c>
      <c r="D4049" s="15" t="s">
        <v>8</v>
      </c>
      <c r="E4049" s="15" t="s">
        <v>8</v>
      </c>
      <c r="F4049" s="15" t="s">
        <v>8</v>
      </c>
      <c r="H4049" s="15" t="s">
        <v>8</v>
      </c>
      <c r="I4049" s="15" t="s">
        <v>8</v>
      </c>
      <c r="J4049" s="15" t="s">
        <v>8</v>
      </c>
      <c r="O4049" s="15" t="s">
        <v>8</v>
      </c>
      <c r="P4049" s="15" t="s">
        <v>8</v>
      </c>
      <c r="R4049" s="15" t="s">
        <v>8</v>
      </c>
      <c r="S4049" s="8" t="s">
        <v>3</v>
      </c>
      <c r="T4049" s="15" t="s">
        <v>8</v>
      </c>
    </row>
    <row r="4050" spans="3:31" x14ac:dyDescent="0.35">
      <c r="C4050" s="15" t="s">
        <v>8</v>
      </c>
      <c r="D4050" s="15" t="s">
        <v>8</v>
      </c>
      <c r="E4050" s="15" t="s">
        <v>8</v>
      </c>
      <c r="F4050" s="15" t="s">
        <v>8</v>
      </c>
      <c r="H4050" s="15" t="s">
        <v>8</v>
      </c>
      <c r="I4050" s="15" t="s">
        <v>8</v>
      </c>
      <c r="J4050" s="15" t="s">
        <v>8</v>
      </c>
      <c r="O4050" s="15" t="s">
        <v>8</v>
      </c>
      <c r="P4050" s="15" t="s">
        <v>8</v>
      </c>
      <c r="R4050" s="15" t="s">
        <v>8</v>
      </c>
      <c r="S4050" s="15" t="s">
        <v>8</v>
      </c>
      <c r="T4050" s="15" t="s">
        <v>8</v>
      </c>
      <c r="U4050" s="19" t="str">
        <f>HYPERLINK("http://yeinfo.com/family/I09065862.html", "JOHN LAVENHAM 1425 EN-1487 EN ID:09066039")</f>
        <v>JOHN LAVENHAM 1425 EN-1487 EN ID:09066039</v>
      </c>
      <c r="V4050" s="9"/>
      <c r="W4050" s="9"/>
      <c r="X4050" s="9"/>
      <c r="Y4050" s="9"/>
    </row>
    <row r="4051" spans="3:31" x14ac:dyDescent="0.35">
      <c r="C4051" s="15" t="s">
        <v>8</v>
      </c>
      <c r="D4051" s="15" t="s">
        <v>8</v>
      </c>
      <c r="E4051" s="15" t="s">
        <v>8</v>
      </c>
      <c r="F4051" s="15" t="s">
        <v>8</v>
      </c>
      <c r="H4051" s="15" t="s">
        <v>8</v>
      </c>
      <c r="I4051" s="15" t="s">
        <v>8</v>
      </c>
      <c r="J4051" s="15" t="s">
        <v>8</v>
      </c>
      <c r="O4051" s="15" t="s">
        <v>8</v>
      </c>
      <c r="P4051" s="15" t="s">
        <v>8</v>
      </c>
      <c r="R4051" s="15" t="s">
        <v>8</v>
      </c>
      <c r="S4051" s="15" t="s">
        <v>8</v>
      </c>
      <c r="T4051" s="8" t="s">
        <v>6</v>
      </c>
      <c r="U4051" s="8" t="s">
        <v>3</v>
      </c>
    </row>
    <row r="4052" spans="3:31" x14ac:dyDescent="0.35">
      <c r="C4052" s="15" t="s">
        <v>8</v>
      </c>
      <c r="D4052" s="15" t="s">
        <v>8</v>
      </c>
      <c r="E4052" s="15" t="s">
        <v>8</v>
      </c>
      <c r="F4052" s="15" t="s">
        <v>8</v>
      </c>
      <c r="H4052" s="15" t="s">
        <v>8</v>
      </c>
      <c r="I4052" s="15" t="s">
        <v>8</v>
      </c>
      <c r="J4052" s="15" t="s">
        <v>8</v>
      </c>
      <c r="O4052" s="15" t="s">
        <v>8</v>
      </c>
      <c r="P4052" s="15" t="s">
        <v>8</v>
      </c>
      <c r="R4052" s="15" t="s">
        <v>8</v>
      </c>
      <c r="S4052" s="15" t="s">
        <v>8</v>
      </c>
      <c r="T4052" s="20" t="str">
        <f>HYPERLINK("http://yeinfo.com/family/I09066230.html", "ANNE\JEANNE LAVENHAM 1450 EN-1512 EN ID:09065862")</f>
        <v>ANNE\JEANNE LAVENHAM 1450 EN-1512 EN ID:09065862</v>
      </c>
      <c r="U4052" s="17"/>
      <c r="V4052" s="17"/>
      <c r="W4052" s="17"/>
      <c r="X4052" s="17"/>
      <c r="Y4052" s="17"/>
    </row>
    <row r="4053" spans="3:31" x14ac:dyDescent="0.35">
      <c r="C4053" s="15" t="s">
        <v>8</v>
      </c>
      <c r="D4053" s="15" t="s">
        <v>8</v>
      </c>
      <c r="E4053" s="15" t="s">
        <v>8</v>
      </c>
      <c r="F4053" s="15" t="s">
        <v>8</v>
      </c>
      <c r="H4053" s="15" t="s">
        <v>8</v>
      </c>
      <c r="I4053" s="15" t="s">
        <v>8</v>
      </c>
      <c r="J4053" s="15" t="s">
        <v>8</v>
      </c>
      <c r="O4053" s="15" t="s">
        <v>8</v>
      </c>
      <c r="P4053" s="15" t="s">
        <v>8</v>
      </c>
      <c r="R4053" s="15" t="s">
        <v>8</v>
      </c>
      <c r="S4053" s="15" t="s">
        <v>8</v>
      </c>
      <c r="U4053" s="15" t="s">
        <v>8</v>
      </c>
    </row>
    <row r="4054" spans="3:31" x14ac:dyDescent="0.35">
      <c r="C4054" s="15" t="s">
        <v>8</v>
      </c>
      <c r="D4054" s="15" t="s">
        <v>8</v>
      </c>
      <c r="E4054" s="15" t="s">
        <v>8</v>
      </c>
      <c r="F4054" s="15" t="s">
        <v>8</v>
      </c>
      <c r="H4054" s="15" t="s">
        <v>8</v>
      </c>
      <c r="I4054" s="15" t="s">
        <v>8</v>
      </c>
      <c r="J4054" s="15" t="s">
        <v>8</v>
      </c>
      <c r="O4054" s="15" t="s">
        <v>8</v>
      </c>
      <c r="P4054" s="15" t="s">
        <v>8</v>
      </c>
      <c r="R4054" s="15" t="s">
        <v>8</v>
      </c>
      <c r="S4054" s="15" t="s">
        <v>8</v>
      </c>
      <c r="U4054" s="15" t="s">
        <v>8</v>
      </c>
      <c r="V4054" s="19" t="str">
        <f>HYPERLINK("http://yeinfo.com/family/I09066040.html", "JOHN GATESBURY 1405 EN-1430 EN ID:09066231")</f>
        <v>JOHN GATESBURY 1405 EN-1430 EN ID:09066231</v>
      </c>
      <c r="W4054" s="9"/>
      <c r="X4054" s="9"/>
      <c r="Y4054" s="9"/>
      <c r="Z4054" s="9"/>
    </row>
    <row r="4055" spans="3:31" x14ac:dyDescent="0.35">
      <c r="C4055" s="15" t="s">
        <v>8</v>
      </c>
      <c r="D4055" s="15" t="s">
        <v>8</v>
      </c>
      <c r="E4055" s="15" t="s">
        <v>8</v>
      </c>
      <c r="F4055" s="15" t="s">
        <v>8</v>
      </c>
      <c r="H4055" s="15" t="s">
        <v>8</v>
      </c>
      <c r="I4055" s="15" t="s">
        <v>8</v>
      </c>
      <c r="J4055" s="15" t="s">
        <v>8</v>
      </c>
      <c r="O4055" s="15" t="s">
        <v>8</v>
      </c>
      <c r="P4055" s="15" t="s">
        <v>8</v>
      </c>
      <c r="R4055" s="15" t="s">
        <v>8</v>
      </c>
      <c r="S4055" s="15" t="s">
        <v>8</v>
      </c>
      <c r="U4055" s="8" t="s">
        <v>6</v>
      </c>
      <c r="V4055" s="8" t="s">
        <v>3</v>
      </c>
    </row>
    <row r="4056" spans="3:31" x14ac:dyDescent="0.35">
      <c r="C4056" s="15" t="s">
        <v>8</v>
      </c>
      <c r="D4056" s="15" t="s">
        <v>8</v>
      </c>
      <c r="E4056" s="15" t="s">
        <v>8</v>
      </c>
      <c r="F4056" s="15" t="s">
        <v>8</v>
      </c>
      <c r="H4056" s="15" t="s">
        <v>8</v>
      </c>
      <c r="I4056" s="15" t="s">
        <v>8</v>
      </c>
      <c r="J4056" s="15" t="s">
        <v>8</v>
      </c>
      <c r="O4056" s="15" t="s">
        <v>8</v>
      </c>
      <c r="P4056" s="15" t="s">
        <v>8</v>
      </c>
      <c r="R4056" s="15" t="s">
        <v>8</v>
      </c>
      <c r="S4056" s="15" t="s">
        <v>8</v>
      </c>
      <c r="U4056" s="20" t="str">
        <f>HYPERLINK("http://yeinfo.com/family/I09066039.html", "MARY GATESBURY 1430 EN-1490 EN ID:09066040")</f>
        <v>MARY GATESBURY 1430 EN-1490 EN ID:09066040</v>
      </c>
      <c r="V4056" s="17"/>
      <c r="W4056" s="17"/>
      <c r="X4056" s="17"/>
      <c r="Y4056" s="17"/>
    </row>
    <row r="4057" spans="3:31" x14ac:dyDescent="0.35">
      <c r="C4057" s="15" t="s">
        <v>8</v>
      </c>
      <c r="D4057" s="15" t="s">
        <v>8</v>
      </c>
      <c r="E4057" s="15" t="s">
        <v>8</v>
      </c>
      <c r="F4057" s="15" t="s">
        <v>8</v>
      </c>
      <c r="H4057" s="15" t="s">
        <v>8</v>
      </c>
      <c r="I4057" s="15" t="s">
        <v>8</v>
      </c>
      <c r="J4057" s="15" t="s">
        <v>8</v>
      </c>
      <c r="O4057" s="15" t="s">
        <v>8</v>
      </c>
      <c r="P4057" s="15" t="s">
        <v>8</v>
      </c>
      <c r="R4057" s="15" t="s">
        <v>8</v>
      </c>
      <c r="S4057" s="15" t="s">
        <v>8</v>
      </c>
      <c r="V4057" s="15" t="s">
        <v>8</v>
      </c>
    </row>
    <row r="4058" spans="3:31" x14ac:dyDescent="0.35">
      <c r="C4058" s="15" t="s">
        <v>8</v>
      </c>
      <c r="D4058" s="15" t="s">
        <v>8</v>
      </c>
      <c r="E4058" s="15" t="s">
        <v>8</v>
      </c>
      <c r="F4058" s="15" t="s">
        <v>8</v>
      </c>
      <c r="H4058" s="15" t="s">
        <v>8</v>
      </c>
      <c r="I4058" s="15" t="s">
        <v>8</v>
      </c>
      <c r="J4058" s="15" t="s">
        <v>8</v>
      </c>
      <c r="O4058" s="15" t="s">
        <v>8</v>
      </c>
      <c r="P4058" s="15" t="s">
        <v>8</v>
      </c>
      <c r="R4058" s="15" t="s">
        <v>8</v>
      </c>
      <c r="S4058" s="15" t="s">
        <v>8</v>
      </c>
      <c r="V4058" s="15" t="s">
        <v>8</v>
      </c>
      <c r="W4058" s="19" t="str">
        <f>HYPERLINK("http://yeinfo.com/family/I09066232.html", "WILLIAM BOWETT 1373 EN-1421 EN ID:09066383")</f>
        <v>WILLIAM BOWETT 1373 EN-1421 EN ID:09066383</v>
      </c>
      <c r="X4058" s="9"/>
      <c r="Y4058" s="9"/>
      <c r="Z4058" s="9"/>
      <c r="AA4058" s="9"/>
    </row>
    <row r="4059" spans="3:31" x14ac:dyDescent="0.35">
      <c r="C4059" s="15" t="s">
        <v>8</v>
      </c>
      <c r="D4059" s="15" t="s">
        <v>8</v>
      </c>
      <c r="E4059" s="15" t="s">
        <v>8</v>
      </c>
      <c r="F4059" s="15" t="s">
        <v>8</v>
      </c>
      <c r="H4059" s="15" t="s">
        <v>8</v>
      </c>
      <c r="I4059" s="15" t="s">
        <v>8</v>
      </c>
      <c r="J4059" s="15" t="s">
        <v>8</v>
      </c>
      <c r="O4059" s="15" t="s">
        <v>8</v>
      </c>
      <c r="P4059" s="15" t="s">
        <v>8</v>
      </c>
      <c r="R4059" s="15" t="s">
        <v>8</v>
      </c>
      <c r="S4059" s="15" t="s">
        <v>8</v>
      </c>
      <c r="V4059" s="8" t="s">
        <v>6</v>
      </c>
      <c r="W4059" s="8" t="s">
        <v>3</v>
      </c>
    </row>
    <row r="4060" spans="3:31" x14ac:dyDescent="0.35">
      <c r="C4060" s="15" t="s">
        <v>8</v>
      </c>
      <c r="D4060" s="15" t="s">
        <v>8</v>
      </c>
      <c r="E4060" s="15" t="s">
        <v>8</v>
      </c>
      <c r="F4060" s="15" t="s">
        <v>8</v>
      </c>
      <c r="H4060" s="15" t="s">
        <v>8</v>
      </c>
      <c r="I4060" s="15" t="s">
        <v>8</v>
      </c>
      <c r="J4060" s="15" t="s">
        <v>8</v>
      </c>
      <c r="O4060" s="15" t="s">
        <v>8</v>
      </c>
      <c r="P4060" s="15" t="s">
        <v>8</v>
      </c>
      <c r="R4060" s="15" t="s">
        <v>8</v>
      </c>
      <c r="S4060" s="15" t="s">
        <v>8</v>
      </c>
      <c r="V4060" s="20" t="str">
        <f>HYPERLINK("http://yeinfo.com/family/I09066231.html", "ELIZABETH BOWETT 1405 EN-1434 EN ID:09066232")</f>
        <v>ELIZABETH BOWETT 1405 EN-1434 EN ID:09066232</v>
      </c>
      <c r="W4060" s="17"/>
      <c r="X4060" s="17"/>
      <c r="Y4060" s="17"/>
      <c r="Z4060" s="17"/>
    </row>
    <row r="4061" spans="3:31" x14ac:dyDescent="0.35">
      <c r="C4061" s="15" t="s">
        <v>8</v>
      </c>
      <c r="D4061" s="15" t="s">
        <v>8</v>
      </c>
      <c r="E4061" s="15" t="s">
        <v>8</v>
      </c>
      <c r="F4061" s="15" t="s">
        <v>8</v>
      </c>
      <c r="H4061" s="15" t="s">
        <v>8</v>
      </c>
      <c r="I4061" s="15" t="s">
        <v>8</v>
      </c>
      <c r="J4061" s="15" t="s">
        <v>8</v>
      </c>
      <c r="O4061" s="15" t="s">
        <v>8</v>
      </c>
      <c r="P4061" s="15" t="s">
        <v>8</v>
      </c>
      <c r="R4061" s="15" t="s">
        <v>8</v>
      </c>
      <c r="S4061" s="15" t="s">
        <v>8</v>
      </c>
      <c r="W4061" s="15" t="s">
        <v>8</v>
      </c>
    </row>
    <row r="4062" spans="3:31" x14ac:dyDescent="0.35">
      <c r="C4062" s="15" t="s">
        <v>8</v>
      </c>
      <c r="D4062" s="15" t="s">
        <v>8</v>
      </c>
      <c r="E4062" s="15" t="s">
        <v>8</v>
      </c>
      <c r="F4062" s="15" t="s">
        <v>8</v>
      </c>
      <c r="H4062" s="15" t="s">
        <v>8</v>
      </c>
      <c r="I4062" s="15" t="s">
        <v>8</v>
      </c>
      <c r="J4062" s="15" t="s">
        <v>8</v>
      </c>
      <c r="O4062" s="15" t="s">
        <v>8</v>
      </c>
      <c r="P4062" s="15" t="s">
        <v>8</v>
      </c>
      <c r="R4062" s="15" t="s">
        <v>8</v>
      </c>
      <c r="S4062" s="15" t="s">
        <v>8</v>
      </c>
      <c r="W4062" s="15" t="s">
        <v>8</v>
      </c>
      <c r="AA4062" s="19" t="str">
        <f>HYPERLINK("http://yeinfo.com/family/I09066630.html", "ROBERT UFFORD &lt;2&gt; 1236 EN-1286 EN ID:09066630")</f>
        <v>ROBERT UFFORD &lt;2&gt; 1236 EN-1286 EN ID:09066630</v>
      </c>
      <c r="AB4062" s="9"/>
      <c r="AC4062" s="9"/>
      <c r="AD4062" s="9"/>
      <c r="AE4062" s="9"/>
    </row>
    <row r="4063" spans="3:31" x14ac:dyDescent="0.35">
      <c r="C4063" s="15" t="s">
        <v>8</v>
      </c>
      <c r="D4063" s="15" t="s">
        <v>8</v>
      </c>
      <c r="E4063" s="15" t="s">
        <v>8</v>
      </c>
      <c r="F4063" s="15" t="s">
        <v>8</v>
      </c>
      <c r="H4063" s="15" t="s">
        <v>8</v>
      </c>
      <c r="I4063" s="15" t="s">
        <v>8</v>
      </c>
      <c r="J4063" s="15" t="s">
        <v>8</v>
      </c>
      <c r="O4063" s="15" t="s">
        <v>8</v>
      </c>
      <c r="P4063" s="15" t="s">
        <v>8</v>
      </c>
      <c r="R4063" s="15" t="s">
        <v>8</v>
      </c>
      <c r="S4063" s="15" t="s">
        <v>8</v>
      </c>
      <c r="W4063" s="15" t="s">
        <v>8</v>
      </c>
      <c r="AA4063" s="8" t="s">
        <v>3</v>
      </c>
    </row>
    <row r="4064" spans="3:31" x14ac:dyDescent="0.35">
      <c r="C4064" s="15" t="s">
        <v>8</v>
      </c>
      <c r="D4064" s="15" t="s">
        <v>8</v>
      </c>
      <c r="E4064" s="15" t="s">
        <v>8</v>
      </c>
      <c r="F4064" s="15" t="s">
        <v>8</v>
      </c>
      <c r="H4064" s="15" t="s">
        <v>8</v>
      </c>
      <c r="I4064" s="15" t="s">
        <v>8</v>
      </c>
      <c r="J4064" s="15" t="s">
        <v>8</v>
      </c>
      <c r="O4064" s="15" t="s">
        <v>8</v>
      </c>
      <c r="P4064" s="15" t="s">
        <v>8</v>
      </c>
      <c r="R4064" s="15" t="s">
        <v>8</v>
      </c>
      <c r="S4064" s="15" t="s">
        <v>8</v>
      </c>
      <c r="W4064" s="15" t="s">
        <v>8</v>
      </c>
      <c r="Z4064" s="19" t="str">
        <f>HYPERLINK("http://yeinfo.com/family/I09066602.html", "THOMAS UFFORD 1286 EN-1314 ST ID:09066665")</f>
        <v>THOMAS UFFORD 1286 EN-1314 ST ID:09066665</v>
      </c>
      <c r="AA4064" s="9"/>
      <c r="AB4064" s="9"/>
      <c r="AC4064" s="9"/>
      <c r="AD4064" s="9"/>
    </row>
    <row r="4065" spans="3:31" x14ac:dyDescent="0.35">
      <c r="C4065" s="15" t="s">
        <v>8</v>
      </c>
      <c r="D4065" s="15" t="s">
        <v>8</v>
      </c>
      <c r="E4065" s="15" t="s">
        <v>8</v>
      </c>
      <c r="F4065" s="15" t="s">
        <v>8</v>
      </c>
      <c r="H4065" s="15" t="s">
        <v>8</v>
      </c>
      <c r="I4065" s="15" t="s">
        <v>8</v>
      </c>
      <c r="J4065" s="15" t="s">
        <v>8</v>
      </c>
      <c r="O4065" s="15" t="s">
        <v>8</v>
      </c>
      <c r="P4065" s="15" t="s">
        <v>8</v>
      </c>
      <c r="R4065" s="15" t="s">
        <v>8</v>
      </c>
      <c r="S4065" s="15" t="s">
        <v>8</v>
      </c>
      <c r="W4065" s="15" t="s">
        <v>8</v>
      </c>
      <c r="Z4065" s="8" t="s">
        <v>3</v>
      </c>
      <c r="AA4065" s="8" t="s">
        <v>6</v>
      </c>
    </row>
    <row r="4066" spans="3:31" x14ac:dyDescent="0.35">
      <c r="C4066" s="15" t="s">
        <v>8</v>
      </c>
      <c r="D4066" s="15" t="s">
        <v>8</v>
      </c>
      <c r="E4066" s="15" t="s">
        <v>8</v>
      </c>
      <c r="F4066" s="15" t="s">
        <v>8</v>
      </c>
      <c r="H4066" s="15" t="s">
        <v>8</v>
      </c>
      <c r="I4066" s="15" t="s">
        <v>8</v>
      </c>
      <c r="J4066" s="15" t="s">
        <v>8</v>
      </c>
      <c r="O4066" s="15" t="s">
        <v>8</v>
      </c>
      <c r="P4066" s="15" t="s">
        <v>8</v>
      </c>
      <c r="R4066" s="15" t="s">
        <v>8</v>
      </c>
      <c r="S4066" s="15" t="s">
        <v>8</v>
      </c>
      <c r="W4066" s="15" t="s">
        <v>8</v>
      </c>
      <c r="Z4066" s="15" t="s">
        <v>8</v>
      </c>
      <c r="AA4066" s="20" t="str">
        <f>HYPERLINK("http://yeinfo.com/family/I09066665.html", "Mrs. JOAN UFFORD 1250 EN-1307 EN ID:09066671")</f>
        <v>Mrs. JOAN UFFORD 1250 EN-1307 EN ID:09066671</v>
      </c>
      <c r="AB4066" s="17"/>
      <c r="AC4066" s="17"/>
      <c r="AD4066" s="17"/>
      <c r="AE4066" s="17"/>
    </row>
    <row r="4067" spans="3:31" x14ac:dyDescent="0.35">
      <c r="C4067" s="15" t="s">
        <v>8</v>
      </c>
      <c r="D4067" s="15" t="s">
        <v>8</v>
      </c>
      <c r="E4067" s="15" t="s">
        <v>8</v>
      </c>
      <c r="F4067" s="15" t="s">
        <v>8</v>
      </c>
      <c r="H4067" s="15" t="s">
        <v>8</v>
      </c>
      <c r="I4067" s="15" t="s">
        <v>8</v>
      </c>
      <c r="J4067" s="15" t="s">
        <v>8</v>
      </c>
      <c r="O4067" s="15" t="s">
        <v>8</v>
      </c>
      <c r="P4067" s="15" t="s">
        <v>8</v>
      </c>
      <c r="R4067" s="15" t="s">
        <v>8</v>
      </c>
      <c r="S4067" s="15" t="s">
        <v>8</v>
      </c>
      <c r="W4067" s="15" t="s">
        <v>8</v>
      </c>
      <c r="Z4067" s="15" t="s">
        <v>8</v>
      </c>
    </row>
    <row r="4068" spans="3:31" x14ac:dyDescent="0.35">
      <c r="C4068" s="15" t="s">
        <v>8</v>
      </c>
      <c r="D4068" s="15" t="s">
        <v>8</v>
      </c>
      <c r="E4068" s="15" t="s">
        <v>8</v>
      </c>
      <c r="F4068" s="15" t="s">
        <v>8</v>
      </c>
      <c r="H4068" s="15" t="s">
        <v>8</v>
      </c>
      <c r="I4068" s="15" t="s">
        <v>8</v>
      </c>
      <c r="J4068" s="15" t="s">
        <v>8</v>
      </c>
      <c r="O4068" s="15" t="s">
        <v>8</v>
      </c>
      <c r="P4068" s="15" t="s">
        <v>8</v>
      </c>
      <c r="R4068" s="15" t="s">
        <v>8</v>
      </c>
      <c r="S4068" s="15" t="s">
        <v>8</v>
      </c>
      <c r="W4068" s="15" t="s">
        <v>8</v>
      </c>
      <c r="Y4068" s="19" t="str">
        <f>HYPERLINK("http://yeinfo.com/family/I09066550.html", "EDMUND UFFORD 1312 EN-1374 EN ID:09066602")</f>
        <v>EDMUND UFFORD 1312 EN-1374 EN ID:09066602</v>
      </c>
      <c r="Z4068" s="9"/>
      <c r="AA4068" s="9"/>
      <c r="AB4068" s="9"/>
      <c r="AC4068" s="9"/>
    </row>
    <row r="4069" spans="3:31" x14ac:dyDescent="0.35">
      <c r="C4069" s="15" t="s">
        <v>8</v>
      </c>
      <c r="D4069" s="15" t="s">
        <v>8</v>
      </c>
      <c r="E4069" s="15" t="s">
        <v>8</v>
      </c>
      <c r="F4069" s="15" t="s">
        <v>8</v>
      </c>
      <c r="H4069" s="15" t="s">
        <v>8</v>
      </c>
      <c r="I4069" s="15" t="s">
        <v>8</v>
      </c>
      <c r="J4069" s="15" t="s">
        <v>8</v>
      </c>
      <c r="O4069" s="15" t="s">
        <v>8</v>
      </c>
      <c r="P4069" s="15" t="s">
        <v>8</v>
      </c>
      <c r="R4069" s="15" t="s">
        <v>8</v>
      </c>
      <c r="S4069" s="15" t="s">
        <v>8</v>
      </c>
      <c r="W4069" s="15" t="s">
        <v>8</v>
      </c>
      <c r="Y4069" s="8" t="s">
        <v>3</v>
      </c>
      <c r="Z4069" s="8" t="s">
        <v>6</v>
      </c>
    </row>
    <row r="4070" spans="3:31" x14ac:dyDescent="0.35">
      <c r="C4070" s="15" t="s">
        <v>8</v>
      </c>
      <c r="D4070" s="15" t="s">
        <v>8</v>
      </c>
      <c r="E4070" s="15" t="s">
        <v>8</v>
      </c>
      <c r="F4070" s="15" t="s">
        <v>8</v>
      </c>
      <c r="H4070" s="15" t="s">
        <v>8</v>
      </c>
      <c r="I4070" s="15" t="s">
        <v>8</v>
      </c>
      <c r="J4070" s="15" t="s">
        <v>8</v>
      </c>
      <c r="O4070" s="15" t="s">
        <v>8</v>
      </c>
      <c r="P4070" s="15" t="s">
        <v>8</v>
      </c>
      <c r="R4070" s="15" t="s">
        <v>8</v>
      </c>
      <c r="S4070" s="15" t="s">
        <v>8</v>
      </c>
      <c r="W4070" s="15" t="s">
        <v>8</v>
      </c>
      <c r="Y4070" s="15" t="s">
        <v>8</v>
      </c>
      <c r="Z4070" s="20" t="str">
        <f>HYPERLINK("http://yeinfo.com/family/I09066671.html", "EVA CLAVERING 1290 EN-1369 EN ID:09066666")</f>
        <v>EVA CLAVERING 1290 EN-1369 EN ID:09066666</v>
      </c>
      <c r="AA4070" s="17"/>
      <c r="AB4070" s="17"/>
      <c r="AC4070" s="17"/>
      <c r="AD4070" s="17"/>
    </row>
    <row r="4071" spans="3:31" x14ac:dyDescent="0.35">
      <c r="C4071" s="15" t="s">
        <v>8</v>
      </c>
      <c r="D4071" s="15" t="s">
        <v>8</v>
      </c>
      <c r="E4071" s="15" t="s">
        <v>8</v>
      </c>
      <c r="F4071" s="15" t="s">
        <v>8</v>
      </c>
      <c r="H4071" s="15" t="s">
        <v>8</v>
      </c>
      <c r="I4071" s="15" t="s">
        <v>8</v>
      </c>
      <c r="J4071" s="15" t="s">
        <v>8</v>
      </c>
      <c r="O4071" s="15" t="s">
        <v>8</v>
      </c>
      <c r="P4071" s="15" t="s">
        <v>8</v>
      </c>
      <c r="R4071" s="15" t="s">
        <v>8</v>
      </c>
      <c r="S4071" s="15" t="s">
        <v>8</v>
      </c>
      <c r="W4071" s="15" t="s">
        <v>8</v>
      </c>
      <c r="Y4071" s="15" t="s">
        <v>8</v>
      </c>
    </row>
    <row r="4072" spans="3:31" x14ac:dyDescent="0.35">
      <c r="C4072" s="15" t="s">
        <v>8</v>
      </c>
      <c r="D4072" s="15" t="s">
        <v>8</v>
      </c>
      <c r="E4072" s="15" t="s">
        <v>8</v>
      </c>
      <c r="F4072" s="15" t="s">
        <v>8</v>
      </c>
      <c r="H4072" s="15" t="s">
        <v>8</v>
      </c>
      <c r="I4072" s="15" t="s">
        <v>8</v>
      </c>
      <c r="J4072" s="15" t="s">
        <v>8</v>
      </c>
      <c r="O4072" s="15" t="s">
        <v>8</v>
      </c>
      <c r="P4072" s="15" t="s">
        <v>8</v>
      </c>
      <c r="R4072" s="15" t="s">
        <v>8</v>
      </c>
      <c r="S4072" s="15" t="s">
        <v>8</v>
      </c>
      <c r="W4072" s="15" t="s">
        <v>8</v>
      </c>
      <c r="X4072" s="19" t="str">
        <f>HYPERLINK("http://yeinfo.com/family/I09066384.html", "ROBERT UFFORD 1350 EN-1384 EN ID:09066550")</f>
        <v>ROBERT UFFORD 1350 EN-1384 EN ID:09066550</v>
      </c>
      <c r="Y4072" s="9"/>
      <c r="Z4072" s="9"/>
      <c r="AA4072" s="9"/>
      <c r="AB4072" s="9"/>
    </row>
    <row r="4073" spans="3:31" x14ac:dyDescent="0.35">
      <c r="C4073" s="15" t="s">
        <v>8</v>
      </c>
      <c r="D4073" s="15" t="s">
        <v>8</v>
      </c>
      <c r="E4073" s="15" t="s">
        <v>8</v>
      </c>
      <c r="F4073" s="15" t="s">
        <v>8</v>
      </c>
      <c r="H4073" s="15" t="s">
        <v>8</v>
      </c>
      <c r="I4073" s="15" t="s">
        <v>8</v>
      </c>
      <c r="J4073" s="15" t="s">
        <v>8</v>
      </c>
      <c r="O4073" s="15" t="s">
        <v>8</v>
      </c>
      <c r="P4073" s="15" t="s">
        <v>8</v>
      </c>
      <c r="R4073" s="15" t="s">
        <v>8</v>
      </c>
      <c r="S4073" s="15" t="s">
        <v>8</v>
      </c>
      <c r="W4073" s="15" t="s">
        <v>8</v>
      </c>
      <c r="X4073" s="8" t="s">
        <v>3</v>
      </c>
      <c r="Y4073" s="8" t="s">
        <v>6</v>
      </c>
    </row>
    <row r="4074" spans="3:31" x14ac:dyDescent="0.35">
      <c r="C4074" s="15" t="s">
        <v>8</v>
      </c>
      <c r="D4074" s="15" t="s">
        <v>8</v>
      </c>
      <c r="E4074" s="15" t="s">
        <v>8</v>
      </c>
      <c r="F4074" s="15" t="s">
        <v>8</v>
      </c>
      <c r="H4074" s="15" t="s">
        <v>8</v>
      </c>
      <c r="I4074" s="15" t="s">
        <v>8</v>
      </c>
      <c r="J4074" s="15" t="s">
        <v>8</v>
      </c>
      <c r="O4074" s="15" t="s">
        <v>8</v>
      </c>
      <c r="P4074" s="15" t="s">
        <v>8</v>
      </c>
      <c r="R4074" s="15" t="s">
        <v>8</v>
      </c>
      <c r="S4074" s="15" t="s">
        <v>8</v>
      </c>
      <c r="W4074" s="15" t="s">
        <v>8</v>
      </c>
      <c r="X4074" s="15" t="s">
        <v>8</v>
      </c>
      <c r="Y4074" s="20" t="str">
        <f>HYPERLINK("http://yeinfo.com/family/I09066666.html", "SYBIL\SIBYL PIERREPONT 1325 EN-1351  ID:09066603")</f>
        <v>SYBIL\SIBYL PIERREPONT 1325 EN-1351  ID:09066603</v>
      </c>
      <c r="Z4074" s="17"/>
      <c r="AA4074" s="17"/>
      <c r="AB4074" s="17"/>
      <c r="AC4074" s="17"/>
      <c r="AD4074" s="17"/>
    </row>
    <row r="4075" spans="3:31" x14ac:dyDescent="0.35">
      <c r="C4075" s="15" t="s">
        <v>8</v>
      </c>
      <c r="D4075" s="15" t="s">
        <v>8</v>
      </c>
      <c r="E4075" s="15" t="s">
        <v>8</v>
      </c>
      <c r="F4075" s="15" t="s">
        <v>8</v>
      </c>
      <c r="H4075" s="15" t="s">
        <v>8</v>
      </c>
      <c r="I4075" s="15" t="s">
        <v>8</v>
      </c>
      <c r="J4075" s="15" t="s">
        <v>8</v>
      </c>
      <c r="O4075" s="15" t="s">
        <v>8</v>
      </c>
      <c r="P4075" s="15" t="s">
        <v>8</v>
      </c>
      <c r="R4075" s="15" t="s">
        <v>8</v>
      </c>
      <c r="S4075" s="15" t="s">
        <v>8</v>
      </c>
      <c r="W4075" s="8" t="s">
        <v>6</v>
      </c>
      <c r="X4075" s="15" t="s">
        <v>8</v>
      </c>
    </row>
    <row r="4076" spans="3:31" x14ac:dyDescent="0.35">
      <c r="C4076" s="15" t="s">
        <v>8</v>
      </c>
      <c r="D4076" s="15" t="s">
        <v>8</v>
      </c>
      <c r="E4076" s="15" t="s">
        <v>8</v>
      </c>
      <c r="F4076" s="15" t="s">
        <v>8</v>
      </c>
      <c r="H4076" s="15" t="s">
        <v>8</v>
      </c>
      <c r="I4076" s="15" t="s">
        <v>8</v>
      </c>
      <c r="J4076" s="15" t="s">
        <v>8</v>
      </c>
      <c r="O4076" s="15" t="s">
        <v>8</v>
      </c>
      <c r="P4076" s="15" t="s">
        <v>8</v>
      </c>
      <c r="R4076" s="15" t="s">
        <v>8</v>
      </c>
      <c r="S4076" s="15" t="s">
        <v>8</v>
      </c>
      <c r="W4076" s="20" t="str">
        <f>HYPERLINK("http://yeinfo.com/family/I09066383.html", "JOAN UFFORD 1377 EN-1440 EN ID:09066384")</f>
        <v>JOAN UFFORD 1377 EN-1440 EN ID:09066384</v>
      </c>
      <c r="X4076" s="17"/>
      <c r="Y4076" s="17"/>
      <c r="Z4076" s="17"/>
      <c r="AA4076" s="17"/>
    </row>
    <row r="4077" spans="3:31" x14ac:dyDescent="0.35">
      <c r="C4077" s="15" t="s">
        <v>8</v>
      </c>
      <c r="D4077" s="15" t="s">
        <v>8</v>
      </c>
      <c r="E4077" s="15" t="s">
        <v>8</v>
      </c>
      <c r="F4077" s="15" t="s">
        <v>8</v>
      </c>
      <c r="H4077" s="15" t="s">
        <v>8</v>
      </c>
      <c r="I4077" s="15" t="s">
        <v>8</v>
      </c>
      <c r="J4077" s="15" t="s">
        <v>8</v>
      </c>
      <c r="O4077" s="15" t="s">
        <v>8</v>
      </c>
      <c r="P4077" s="15" t="s">
        <v>8</v>
      </c>
      <c r="R4077" s="15" t="s">
        <v>8</v>
      </c>
      <c r="S4077" s="15" t="s">
        <v>8</v>
      </c>
      <c r="X4077" s="8" t="s">
        <v>6</v>
      </c>
    </row>
    <row r="4078" spans="3:31" x14ac:dyDescent="0.35">
      <c r="C4078" s="15" t="s">
        <v>8</v>
      </c>
      <c r="D4078" s="15" t="s">
        <v>8</v>
      </c>
      <c r="E4078" s="15" t="s">
        <v>8</v>
      </c>
      <c r="F4078" s="15" t="s">
        <v>8</v>
      </c>
      <c r="H4078" s="15" t="s">
        <v>8</v>
      </c>
      <c r="I4078" s="15" t="s">
        <v>8</v>
      </c>
      <c r="J4078" s="15" t="s">
        <v>8</v>
      </c>
      <c r="O4078" s="15" t="s">
        <v>8</v>
      </c>
      <c r="P4078" s="15" t="s">
        <v>8</v>
      </c>
      <c r="R4078" s="15" t="s">
        <v>8</v>
      </c>
      <c r="S4078" s="15" t="s">
        <v>8</v>
      </c>
      <c r="X4078" s="20" t="str">
        <f>HYPERLINK("http://yeinfo.com/family/I09066603.html", "ELEANOR FELTON 1350 EN-1377 EN ID:09066551")</f>
        <v>ELEANOR FELTON 1350 EN-1377 EN ID:09066551</v>
      </c>
      <c r="Y4078" s="17"/>
      <c r="Z4078" s="17"/>
      <c r="AA4078" s="17"/>
      <c r="AB4078" s="17"/>
    </row>
    <row r="4079" spans="3:31" x14ac:dyDescent="0.35">
      <c r="C4079" s="15" t="s">
        <v>8</v>
      </c>
      <c r="D4079" s="15" t="s">
        <v>8</v>
      </c>
      <c r="E4079" s="15" t="s">
        <v>8</v>
      </c>
      <c r="F4079" s="15" t="s">
        <v>8</v>
      </c>
      <c r="H4079" s="15" t="s">
        <v>8</v>
      </c>
      <c r="I4079" s="15" t="s">
        <v>8</v>
      </c>
      <c r="J4079" s="15" t="s">
        <v>8</v>
      </c>
      <c r="O4079" s="15" t="s">
        <v>8</v>
      </c>
      <c r="P4079" s="15" t="s">
        <v>8</v>
      </c>
      <c r="R4079" s="8" t="s">
        <v>6</v>
      </c>
      <c r="S4079" s="15" t="s">
        <v>8</v>
      </c>
    </row>
    <row r="4080" spans="3:31" x14ac:dyDescent="0.35">
      <c r="C4080" s="15" t="s">
        <v>8</v>
      </c>
      <c r="D4080" s="15" t="s">
        <v>8</v>
      </c>
      <c r="E4080" s="15" t="s">
        <v>8</v>
      </c>
      <c r="F4080" s="15" t="s">
        <v>8</v>
      </c>
      <c r="H4080" s="15" t="s">
        <v>8</v>
      </c>
      <c r="I4080" s="15" t="s">
        <v>8</v>
      </c>
      <c r="J4080" s="15" t="s">
        <v>8</v>
      </c>
      <c r="O4080" s="15" t="s">
        <v>8</v>
      </c>
      <c r="P4080" s="15" t="s">
        <v>8</v>
      </c>
      <c r="R4080" s="20" t="str">
        <f>HYPERLINK("http://yeinfo.com/family/I09065860.html", "AGNES JOSSLYN 1499 EN-1525 EN ID:09065576")</f>
        <v>AGNES JOSSLYN 1499 EN-1525 EN ID:09065576</v>
      </c>
      <c r="S4080" s="17"/>
      <c r="T4080" s="17"/>
      <c r="U4080" s="17"/>
      <c r="V4080" s="17"/>
    </row>
    <row r="4081" spans="3:27" x14ac:dyDescent="0.35">
      <c r="C4081" s="15" t="s">
        <v>8</v>
      </c>
      <c r="D4081" s="15" t="s">
        <v>8</v>
      </c>
      <c r="E4081" s="15" t="s">
        <v>8</v>
      </c>
      <c r="F4081" s="15" t="s">
        <v>8</v>
      </c>
      <c r="H4081" s="15" t="s">
        <v>8</v>
      </c>
      <c r="I4081" s="15" t="s">
        <v>8</v>
      </c>
      <c r="J4081" s="15" t="s">
        <v>8</v>
      </c>
      <c r="O4081" s="15" t="s">
        <v>8</v>
      </c>
      <c r="P4081" s="15" t="s">
        <v>8</v>
      </c>
      <c r="S4081" s="15" t="s">
        <v>8</v>
      </c>
    </row>
    <row r="4082" spans="3:27" x14ac:dyDescent="0.35">
      <c r="C4082" s="15" t="s">
        <v>8</v>
      </c>
      <c r="D4082" s="15" t="s">
        <v>8</v>
      </c>
      <c r="E4082" s="15" t="s">
        <v>8</v>
      </c>
      <c r="F4082" s="15" t="s">
        <v>8</v>
      </c>
      <c r="H4082" s="15" t="s">
        <v>8</v>
      </c>
      <c r="I4082" s="15" t="s">
        <v>8</v>
      </c>
      <c r="J4082" s="15" t="s">
        <v>8</v>
      </c>
      <c r="O4082" s="15" t="s">
        <v>8</v>
      </c>
      <c r="P4082" s="15" t="s">
        <v>8</v>
      </c>
      <c r="S4082" s="15" t="s">
        <v>8</v>
      </c>
      <c r="V4082" s="19" t="str">
        <f>HYPERLINK("http://yeinfo.com/family/I09066041.html", "THOMAS CORNISH 1365 EN-1450 EN ID:09066233")</f>
        <v>THOMAS CORNISH 1365 EN-1450 EN ID:09066233</v>
      </c>
      <c r="W4082" s="9"/>
      <c r="X4082" s="9"/>
      <c r="Y4082" s="9"/>
      <c r="Z4082" s="9"/>
    </row>
    <row r="4083" spans="3:27" x14ac:dyDescent="0.35">
      <c r="C4083" s="15" t="s">
        <v>8</v>
      </c>
      <c r="D4083" s="15" t="s">
        <v>8</v>
      </c>
      <c r="E4083" s="15" t="s">
        <v>8</v>
      </c>
      <c r="F4083" s="15" t="s">
        <v>8</v>
      </c>
      <c r="H4083" s="15" t="s">
        <v>8</v>
      </c>
      <c r="I4083" s="15" t="s">
        <v>8</v>
      </c>
      <c r="J4083" s="15" t="s">
        <v>8</v>
      </c>
      <c r="O4083" s="15" t="s">
        <v>8</v>
      </c>
      <c r="P4083" s="15" t="s">
        <v>8</v>
      </c>
      <c r="S4083" s="15" t="s">
        <v>8</v>
      </c>
      <c r="V4083" s="8" t="s">
        <v>3</v>
      </c>
    </row>
    <row r="4084" spans="3:27" x14ac:dyDescent="0.35">
      <c r="C4084" s="15" t="s">
        <v>8</v>
      </c>
      <c r="D4084" s="15" t="s">
        <v>8</v>
      </c>
      <c r="E4084" s="15" t="s">
        <v>8</v>
      </c>
      <c r="F4084" s="15" t="s">
        <v>8</v>
      </c>
      <c r="H4084" s="15" t="s">
        <v>8</v>
      </c>
      <c r="I4084" s="15" t="s">
        <v>8</v>
      </c>
      <c r="J4084" s="15" t="s">
        <v>8</v>
      </c>
      <c r="O4084" s="15" t="s">
        <v>8</v>
      </c>
      <c r="P4084" s="15" t="s">
        <v>8</v>
      </c>
      <c r="S4084" s="15" t="s">
        <v>8</v>
      </c>
      <c r="U4084" s="19" t="str">
        <f>HYPERLINK("http://yeinfo.com/family/I09065863.html", "THOMAS CORNISH 1443 EN-1463 EN ID:09066041")</f>
        <v>THOMAS CORNISH 1443 EN-1463 EN ID:09066041</v>
      </c>
      <c r="V4084" s="9"/>
      <c r="W4084" s="9"/>
      <c r="X4084" s="9"/>
      <c r="Y4084" s="9"/>
    </row>
    <row r="4085" spans="3:27" x14ac:dyDescent="0.35">
      <c r="C4085" s="15" t="s">
        <v>8</v>
      </c>
      <c r="D4085" s="15" t="s">
        <v>8</v>
      </c>
      <c r="E4085" s="15" t="s">
        <v>8</v>
      </c>
      <c r="F4085" s="15" t="s">
        <v>8</v>
      </c>
      <c r="H4085" s="15" t="s">
        <v>8</v>
      </c>
      <c r="I4085" s="15" t="s">
        <v>8</v>
      </c>
      <c r="J4085" s="15" t="s">
        <v>8</v>
      </c>
      <c r="O4085" s="15" t="s">
        <v>8</v>
      </c>
      <c r="P4085" s="15" t="s">
        <v>8</v>
      </c>
      <c r="S4085" s="15" t="s">
        <v>8</v>
      </c>
      <c r="U4085" s="8" t="s">
        <v>3</v>
      </c>
      <c r="V4085" s="8" t="s">
        <v>6</v>
      </c>
    </row>
    <row r="4086" spans="3:27" x14ac:dyDescent="0.35">
      <c r="C4086" s="15" t="s">
        <v>8</v>
      </c>
      <c r="D4086" s="15" t="s">
        <v>8</v>
      </c>
      <c r="E4086" s="15" t="s">
        <v>8</v>
      </c>
      <c r="F4086" s="15" t="s">
        <v>8</v>
      </c>
      <c r="H4086" s="15" t="s">
        <v>8</v>
      </c>
      <c r="I4086" s="15" t="s">
        <v>8</v>
      </c>
      <c r="J4086" s="15" t="s">
        <v>8</v>
      </c>
      <c r="O4086" s="15" t="s">
        <v>8</v>
      </c>
      <c r="P4086" s="15" t="s">
        <v>8</v>
      </c>
      <c r="S4086" s="15" t="s">
        <v>8</v>
      </c>
      <c r="U4086" s="15" t="s">
        <v>8</v>
      </c>
      <c r="V4086" s="20" t="str">
        <f>HYPERLINK("http://yeinfo.com/family/I09066233.html", "JOANNE DUNGAY 1365 EN-1443 EN ID:09066234")</f>
        <v>JOANNE DUNGAY 1365 EN-1443 EN ID:09066234</v>
      </c>
      <c r="W4086" s="17"/>
      <c r="X4086" s="17"/>
      <c r="Y4086" s="17"/>
      <c r="Z4086" s="17"/>
    </row>
    <row r="4087" spans="3:27" x14ac:dyDescent="0.35">
      <c r="C4087" s="15" t="s">
        <v>8</v>
      </c>
      <c r="D4087" s="15" t="s">
        <v>8</v>
      </c>
      <c r="E4087" s="15" t="s">
        <v>8</v>
      </c>
      <c r="F4087" s="15" t="s">
        <v>8</v>
      </c>
      <c r="H4087" s="15" t="s">
        <v>8</v>
      </c>
      <c r="I4087" s="15" t="s">
        <v>8</v>
      </c>
      <c r="J4087" s="15" t="s">
        <v>8</v>
      </c>
      <c r="O4087" s="15" t="s">
        <v>8</v>
      </c>
      <c r="P4087" s="15" t="s">
        <v>8</v>
      </c>
      <c r="S4087" s="15" t="s">
        <v>8</v>
      </c>
      <c r="U4087" s="15" t="s">
        <v>8</v>
      </c>
    </row>
    <row r="4088" spans="3:27" x14ac:dyDescent="0.35">
      <c r="C4088" s="15" t="s">
        <v>8</v>
      </c>
      <c r="D4088" s="15" t="s">
        <v>8</v>
      </c>
      <c r="E4088" s="15" t="s">
        <v>8</v>
      </c>
      <c r="F4088" s="15" t="s">
        <v>8</v>
      </c>
      <c r="H4088" s="15" t="s">
        <v>8</v>
      </c>
      <c r="I4088" s="15" t="s">
        <v>8</v>
      </c>
      <c r="J4088" s="15" t="s">
        <v>8</v>
      </c>
      <c r="O4088" s="15" t="s">
        <v>8</v>
      </c>
      <c r="P4088" s="15" t="s">
        <v>8</v>
      </c>
      <c r="S4088" s="15" t="s">
        <v>8</v>
      </c>
      <c r="T4088" s="19" t="str">
        <f>HYPERLINK("http://yeinfo.com/family/I09065719.html", "WILLIAM CORNISH 1460 EN-1523 EN ID:09065863")</f>
        <v>WILLIAM CORNISH 1460 EN-1523 EN ID:09065863</v>
      </c>
      <c r="U4088" s="9"/>
      <c r="V4088" s="9"/>
      <c r="W4088" s="9"/>
      <c r="X4088" s="9"/>
    </row>
    <row r="4089" spans="3:27" x14ac:dyDescent="0.35">
      <c r="C4089" s="15" t="s">
        <v>8</v>
      </c>
      <c r="D4089" s="15" t="s">
        <v>8</v>
      </c>
      <c r="E4089" s="15" t="s">
        <v>8</v>
      </c>
      <c r="F4089" s="15" t="s">
        <v>8</v>
      </c>
      <c r="H4089" s="15" t="s">
        <v>8</v>
      </c>
      <c r="I4089" s="15" t="s">
        <v>8</v>
      </c>
      <c r="J4089" s="15" t="s">
        <v>8</v>
      </c>
      <c r="O4089" s="15" t="s">
        <v>8</v>
      </c>
      <c r="P4089" s="15" t="s">
        <v>8</v>
      </c>
      <c r="S4089" s="15" t="s">
        <v>8</v>
      </c>
      <c r="T4089" s="8" t="s">
        <v>3</v>
      </c>
      <c r="U4089" s="15" t="s">
        <v>8</v>
      </c>
    </row>
    <row r="4090" spans="3:27" x14ac:dyDescent="0.35">
      <c r="C4090" s="15" t="s">
        <v>8</v>
      </c>
      <c r="D4090" s="15" t="s">
        <v>8</v>
      </c>
      <c r="E4090" s="15" t="s">
        <v>8</v>
      </c>
      <c r="F4090" s="15" t="s">
        <v>8</v>
      </c>
      <c r="H4090" s="15" t="s">
        <v>8</v>
      </c>
      <c r="I4090" s="15" t="s">
        <v>8</v>
      </c>
      <c r="J4090" s="15" t="s">
        <v>8</v>
      </c>
      <c r="O4090" s="15" t="s">
        <v>8</v>
      </c>
      <c r="P4090" s="15" t="s">
        <v>8</v>
      </c>
      <c r="S4090" s="15" t="s">
        <v>8</v>
      </c>
      <c r="T4090" s="15" t="s">
        <v>8</v>
      </c>
      <c r="U4090" s="15" t="s">
        <v>8</v>
      </c>
      <c r="W4090" s="19" t="str">
        <f>HYPERLINK("http://yeinfo.com/family/I09066235.html", "WILLIAM HUNT 1395 EN-1420 EN ID:09066385")</f>
        <v>WILLIAM HUNT 1395 EN-1420 EN ID:09066385</v>
      </c>
      <c r="X4090" s="9"/>
      <c r="Y4090" s="9"/>
      <c r="Z4090" s="9"/>
      <c r="AA4090" s="9"/>
    </row>
    <row r="4091" spans="3:27" x14ac:dyDescent="0.35">
      <c r="C4091" s="15" t="s">
        <v>8</v>
      </c>
      <c r="D4091" s="15" t="s">
        <v>8</v>
      </c>
      <c r="E4091" s="15" t="s">
        <v>8</v>
      </c>
      <c r="F4091" s="15" t="s">
        <v>8</v>
      </c>
      <c r="H4091" s="15" t="s">
        <v>8</v>
      </c>
      <c r="I4091" s="15" t="s">
        <v>8</v>
      </c>
      <c r="J4091" s="15" t="s">
        <v>8</v>
      </c>
      <c r="O4091" s="15" t="s">
        <v>8</v>
      </c>
      <c r="P4091" s="15" t="s">
        <v>8</v>
      </c>
      <c r="S4091" s="15" t="s">
        <v>8</v>
      </c>
      <c r="T4091" s="15" t="s">
        <v>8</v>
      </c>
      <c r="U4091" s="15" t="s">
        <v>8</v>
      </c>
      <c r="W4091" s="8" t="s">
        <v>3</v>
      </c>
    </row>
    <row r="4092" spans="3:27" x14ac:dyDescent="0.35">
      <c r="C4092" s="15" t="s">
        <v>8</v>
      </c>
      <c r="D4092" s="15" t="s">
        <v>8</v>
      </c>
      <c r="E4092" s="15" t="s">
        <v>8</v>
      </c>
      <c r="F4092" s="15" t="s">
        <v>8</v>
      </c>
      <c r="H4092" s="15" t="s">
        <v>8</v>
      </c>
      <c r="I4092" s="15" t="s">
        <v>8</v>
      </c>
      <c r="J4092" s="15" t="s">
        <v>8</v>
      </c>
      <c r="O4092" s="15" t="s">
        <v>8</v>
      </c>
      <c r="P4092" s="15" t="s">
        <v>8</v>
      </c>
      <c r="S4092" s="15" t="s">
        <v>8</v>
      </c>
      <c r="T4092" s="15" t="s">
        <v>8</v>
      </c>
      <c r="U4092" s="15" t="s">
        <v>8</v>
      </c>
      <c r="V4092" s="19" t="str">
        <f>HYPERLINK("http://yeinfo.com/family/I09066042.html", "JOHN HUNT 1420 EN-1450  ID:09066235")</f>
        <v>JOHN HUNT 1420 EN-1450  ID:09066235</v>
      </c>
      <c r="W4092" s="9"/>
      <c r="X4092" s="9"/>
      <c r="Y4092" s="9"/>
      <c r="Z4092" s="9"/>
    </row>
    <row r="4093" spans="3:27" x14ac:dyDescent="0.35">
      <c r="C4093" s="15" t="s">
        <v>8</v>
      </c>
      <c r="D4093" s="15" t="s">
        <v>8</v>
      </c>
      <c r="E4093" s="15" t="s">
        <v>8</v>
      </c>
      <c r="F4093" s="15" t="s">
        <v>8</v>
      </c>
      <c r="H4093" s="15" t="s">
        <v>8</v>
      </c>
      <c r="I4093" s="15" t="s">
        <v>8</v>
      </c>
      <c r="J4093" s="15" t="s">
        <v>8</v>
      </c>
      <c r="O4093" s="15" t="s">
        <v>8</v>
      </c>
      <c r="P4093" s="15" t="s">
        <v>8</v>
      </c>
      <c r="S4093" s="15" t="s">
        <v>8</v>
      </c>
      <c r="T4093" s="15" t="s">
        <v>8</v>
      </c>
      <c r="U4093" s="15" t="s">
        <v>8</v>
      </c>
      <c r="V4093" s="8" t="s">
        <v>3</v>
      </c>
      <c r="W4093" s="8" t="s">
        <v>6</v>
      </c>
    </row>
    <row r="4094" spans="3:27" x14ac:dyDescent="0.35">
      <c r="C4094" s="15" t="s">
        <v>8</v>
      </c>
      <c r="D4094" s="15" t="s">
        <v>8</v>
      </c>
      <c r="E4094" s="15" t="s">
        <v>8</v>
      </c>
      <c r="F4094" s="15" t="s">
        <v>8</v>
      </c>
      <c r="H4094" s="15" t="s">
        <v>8</v>
      </c>
      <c r="I4094" s="15" t="s">
        <v>8</v>
      </c>
      <c r="J4094" s="15" t="s">
        <v>8</v>
      </c>
      <c r="O4094" s="15" t="s">
        <v>8</v>
      </c>
      <c r="P4094" s="15" t="s">
        <v>8</v>
      </c>
      <c r="S4094" s="15" t="s">
        <v>8</v>
      </c>
      <c r="T4094" s="15" t="s">
        <v>8</v>
      </c>
      <c r="U4094" s="15" t="s">
        <v>8</v>
      </c>
      <c r="V4094" s="15" t="s">
        <v>8</v>
      </c>
      <c r="W4094" s="20" t="str">
        <f>HYPERLINK("http://yeinfo.com/family/I09066385.html", "Mrs. {_?_} HUNT 1400 EN-1420 EN ID:09066386")</f>
        <v>Mrs. {_?_} HUNT 1400 EN-1420 EN ID:09066386</v>
      </c>
      <c r="X4094" s="17"/>
      <c r="Y4094" s="17"/>
      <c r="Z4094" s="17"/>
      <c r="AA4094" s="17"/>
    </row>
    <row r="4095" spans="3:27" x14ac:dyDescent="0.35">
      <c r="C4095" s="15" t="s">
        <v>8</v>
      </c>
      <c r="D4095" s="15" t="s">
        <v>8</v>
      </c>
      <c r="E4095" s="15" t="s">
        <v>8</v>
      </c>
      <c r="F4095" s="15" t="s">
        <v>8</v>
      </c>
      <c r="H4095" s="15" t="s">
        <v>8</v>
      </c>
      <c r="I4095" s="15" t="s">
        <v>8</v>
      </c>
      <c r="J4095" s="15" t="s">
        <v>8</v>
      </c>
      <c r="O4095" s="15" t="s">
        <v>8</v>
      </c>
      <c r="P4095" s="15" t="s">
        <v>8</v>
      </c>
      <c r="S4095" s="15" t="s">
        <v>8</v>
      </c>
      <c r="T4095" s="15" t="s">
        <v>8</v>
      </c>
      <c r="U4095" s="8" t="s">
        <v>6</v>
      </c>
      <c r="V4095" s="15" t="s">
        <v>8</v>
      </c>
    </row>
    <row r="4096" spans="3:27" x14ac:dyDescent="0.35">
      <c r="C4096" s="15" t="s">
        <v>8</v>
      </c>
      <c r="D4096" s="15" t="s">
        <v>8</v>
      </c>
      <c r="E4096" s="15" t="s">
        <v>8</v>
      </c>
      <c r="F4096" s="15" t="s">
        <v>8</v>
      </c>
      <c r="H4096" s="15" t="s">
        <v>8</v>
      </c>
      <c r="I4096" s="15" t="s">
        <v>8</v>
      </c>
      <c r="J4096" s="15" t="s">
        <v>8</v>
      </c>
      <c r="O4096" s="15" t="s">
        <v>8</v>
      </c>
      <c r="P4096" s="15" t="s">
        <v>8</v>
      </c>
      <c r="S4096" s="15" t="s">
        <v>8</v>
      </c>
      <c r="T4096" s="15" t="s">
        <v>8</v>
      </c>
      <c r="U4096" s="20" t="str">
        <f>HYPERLINK("http://yeinfo.com/family/I09066234.html", "IODENA\EDEN HUNT 1447 EN-1467 EN ID:09066042")</f>
        <v>IODENA\EDEN HUNT 1447 EN-1467 EN ID:09066042</v>
      </c>
      <c r="V4096" s="17"/>
      <c r="W4096" s="17"/>
      <c r="X4096" s="17"/>
      <c r="Y4096" s="17"/>
      <c r="Z4096" s="17"/>
    </row>
    <row r="4097" spans="3:27" x14ac:dyDescent="0.35">
      <c r="C4097" s="15" t="s">
        <v>8</v>
      </c>
      <c r="D4097" s="15" t="s">
        <v>8</v>
      </c>
      <c r="E4097" s="15" t="s">
        <v>8</v>
      </c>
      <c r="F4097" s="15" t="s">
        <v>8</v>
      </c>
      <c r="H4097" s="15" t="s">
        <v>8</v>
      </c>
      <c r="I4097" s="15" t="s">
        <v>8</v>
      </c>
      <c r="J4097" s="15" t="s">
        <v>8</v>
      </c>
      <c r="O4097" s="15" t="s">
        <v>8</v>
      </c>
      <c r="P4097" s="15" t="s">
        <v>8</v>
      </c>
      <c r="S4097" s="15" t="s">
        <v>8</v>
      </c>
      <c r="T4097" s="15" t="s">
        <v>8</v>
      </c>
      <c r="V4097" s="15" t="s">
        <v>8</v>
      </c>
    </row>
    <row r="4098" spans="3:27" x14ac:dyDescent="0.35">
      <c r="C4098" s="15" t="s">
        <v>8</v>
      </c>
      <c r="D4098" s="15" t="s">
        <v>8</v>
      </c>
      <c r="E4098" s="15" t="s">
        <v>8</v>
      </c>
      <c r="F4098" s="15" t="s">
        <v>8</v>
      </c>
      <c r="H4098" s="15" t="s">
        <v>8</v>
      </c>
      <c r="I4098" s="15" t="s">
        <v>8</v>
      </c>
      <c r="J4098" s="15" t="s">
        <v>8</v>
      </c>
      <c r="O4098" s="15" t="s">
        <v>8</v>
      </c>
      <c r="P4098" s="15" t="s">
        <v>8</v>
      </c>
      <c r="S4098" s="15" t="s">
        <v>8</v>
      </c>
      <c r="T4098" s="15" t="s">
        <v>8</v>
      </c>
      <c r="V4098" s="15" t="s">
        <v>8</v>
      </c>
      <c r="W4098" s="19" t="str">
        <f>HYPERLINK("http://yeinfo.com/family/I09066236.html", "SIMON PECHEY 1400 EN-1450 EN ID:09066387")</f>
        <v>SIMON PECHEY 1400 EN-1450 EN ID:09066387</v>
      </c>
      <c r="X4098" s="9"/>
      <c r="Y4098" s="9"/>
      <c r="Z4098" s="9"/>
      <c r="AA4098" s="9"/>
    </row>
    <row r="4099" spans="3:27" x14ac:dyDescent="0.35">
      <c r="C4099" s="15" t="s">
        <v>8</v>
      </c>
      <c r="D4099" s="15" t="s">
        <v>8</v>
      </c>
      <c r="E4099" s="15" t="s">
        <v>8</v>
      </c>
      <c r="F4099" s="15" t="s">
        <v>8</v>
      </c>
      <c r="H4099" s="15" t="s">
        <v>8</v>
      </c>
      <c r="I4099" s="15" t="s">
        <v>8</v>
      </c>
      <c r="J4099" s="15" t="s">
        <v>8</v>
      </c>
      <c r="O4099" s="15" t="s">
        <v>8</v>
      </c>
      <c r="P4099" s="15" t="s">
        <v>8</v>
      </c>
      <c r="S4099" s="15" t="s">
        <v>8</v>
      </c>
      <c r="T4099" s="15" t="s">
        <v>8</v>
      </c>
      <c r="V4099" s="8" t="s">
        <v>6</v>
      </c>
      <c r="W4099" s="8" t="s">
        <v>3</v>
      </c>
    </row>
    <row r="4100" spans="3:27" x14ac:dyDescent="0.35">
      <c r="C4100" s="15" t="s">
        <v>8</v>
      </c>
      <c r="D4100" s="15" t="s">
        <v>8</v>
      </c>
      <c r="E4100" s="15" t="s">
        <v>8</v>
      </c>
      <c r="F4100" s="15" t="s">
        <v>8</v>
      </c>
      <c r="H4100" s="15" t="s">
        <v>8</v>
      </c>
      <c r="I4100" s="15" t="s">
        <v>8</v>
      </c>
      <c r="J4100" s="15" t="s">
        <v>8</v>
      </c>
      <c r="O4100" s="15" t="s">
        <v>8</v>
      </c>
      <c r="P4100" s="15" t="s">
        <v>8</v>
      </c>
      <c r="S4100" s="15" t="s">
        <v>8</v>
      </c>
      <c r="T4100" s="15" t="s">
        <v>8</v>
      </c>
      <c r="V4100" s="20" t="str">
        <f>HYPERLINK("http://yeinfo.com/family/I09066386.html", "MARGARET PECHEY 1424 EN-1447  ID:09066236")</f>
        <v>MARGARET PECHEY 1424 EN-1447  ID:09066236</v>
      </c>
      <c r="W4100" s="17"/>
      <c r="X4100" s="17"/>
      <c r="Y4100" s="17"/>
      <c r="Z4100" s="17"/>
    </row>
    <row r="4101" spans="3:27" x14ac:dyDescent="0.35">
      <c r="C4101" s="15" t="s">
        <v>8</v>
      </c>
      <c r="D4101" s="15" t="s">
        <v>8</v>
      </c>
      <c r="E4101" s="15" t="s">
        <v>8</v>
      </c>
      <c r="F4101" s="15" t="s">
        <v>8</v>
      </c>
      <c r="H4101" s="15" t="s">
        <v>8</v>
      </c>
      <c r="I4101" s="15" t="s">
        <v>8</v>
      </c>
      <c r="J4101" s="15" t="s">
        <v>8</v>
      </c>
      <c r="O4101" s="15" t="s">
        <v>8</v>
      </c>
      <c r="P4101" s="15" t="s">
        <v>8</v>
      </c>
      <c r="S4101" s="15" t="s">
        <v>8</v>
      </c>
      <c r="T4101" s="15" t="s">
        <v>8</v>
      </c>
      <c r="W4101" s="8" t="s">
        <v>6</v>
      </c>
    </row>
    <row r="4102" spans="3:27" x14ac:dyDescent="0.35">
      <c r="C4102" s="15" t="s">
        <v>8</v>
      </c>
      <c r="D4102" s="15" t="s">
        <v>8</v>
      </c>
      <c r="E4102" s="15" t="s">
        <v>8</v>
      </c>
      <c r="F4102" s="15" t="s">
        <v>8</v>
      </c>
      <c r="H4102" s="15" t="s">
        <v>8</v>
      </c>
      <c r="I4102" s="15" t="s">
        <v>8</v>
      </c>
      <c r="J4102" s="15" t="s">
        <v>8</v>
      </c>
      <c r="O4102" s="15" t="s">
        <v>8</v>
      </c>
      <c r="P4102" s="15" t="s">
        <v>8</v>
      </c>
      <c r="S4102" s="15" t="s">
        <v>8</v>
      </c>
      <c r="T4102" s="15" t="s">
        <v>8</v>
      </c>
      <c r="W4102" s="20" t="str">
        <f>HYPERLINK("http://yeinfo.com/family/I09066387.html", "AGNES HOLME 1405 EN-1425 EN ID:09066388")</f>
        <v>AGNES HOLME 1405 EN-1425 EN ID:09066388</v>
      </c>
      <c r="X4102" s="17"/>
      <c r="Y4102" s="17"/>
      <c r="Z4102" s="17"/>
      <c r="AA4102" s="17"/>
    </row>
    <row r="4103" spans="3:27" x14ac:dyDescent="0.35">
      <c r="C4103" s="15" t="s">
        <v>8</v>
      </c>
      <c r="D4103" s="15" t="s">
        <v>8</v>
      </c>
      <c r="E4103" s="15" t="s">
        <v>8</v>
      </c>
      <c r="F4103" s="15" t="s">
        <v>8</v>
      </c>
      <c r="H4103" s="15" t="s">
        <v>8</v>
      </c>
      <c r="I4103" s="15" t="s">
        <v>8</v>
      </c>
      <c r="J4103" s="15" t="s">
        <v>8</v>
      </c>
      <c r="O4103" s="15" t="s">
        <v>8</v>
      </c>
      <c r="P4103" s="15" t="s">
        <v>8</v>
      </c>
      <c r="S4103" s="8" t="s">
        <v>6</v>
      </c>
      <c r="T4103" s="15" t="s">
        <v>8</v>
      </c>
    </row>
    <row r="4104" spans="3:27" x14ac:dyDescent="0.35">
      <c r="C4104" s="15" t="s">
        <v>8</v>
      </c>
      <c r="D4104" s="15" t="s">
        <v>8</v>
      </c>
      <c r="E4104" s="15" t="s">
        <v>8</v>
      </c>
      <c r="F4104" s="15" t="s">
        <v>8</v>
      </c>
      <c r="H4104" s="15" t="s">
        <v>8</v>
      </c>
      <c r="I4104" s="15" t="s">
        <v>8</v>
      </c>
      <c r="J4104" s="15" t="s">
        <v>8</v>
      </c>
      <c r="O4104" s="15" t="s">
        <v>8</v>
      </c>
      <c r="P4104" s="15" t="s">
        <v>8</v>
      </c>
      <c r="S4104" s="20" t="str">
        <f>HYPERLINK("http://yeinfo.com/family/I09066551.html", "ELIZABETH CORNISH 1479 EN-1546 EN ID:09065719")</f>
        <v>ELIZABETH CORNISH 1479 EN-1546 EN ID:09065719</v>
      </c>
      <c r="T4104" s="17"/>
      <c r="U4104" s="17"/>
      <c r="V4104" s="17"/>
      <c r="W4104" s="17"/>
    </row>
    <row r="4105" spans="3:27" x14ac:dyDescent="0.35">
      <c r="C4105" s="15" t="s">
        <v>8</v>
      </c>
      <c r="D4105" s="15" t="s">
        <v>8</v>
      </c>
      <c r="E4105" s="15" t="s">
        <v>8</v>
      </c>
      <c r="F4105" s="15" t="s">
        <v>8</v>
      </c>
      <c r="H4105" s="15" t="s">
        <v>8</v>
      </c>
      <c r="I4105" s="15" t="s">
        <v>8</v>
      </c>
      <c r="J4105" s="15" t="s">
        <v>8</v>
      </c>
      <c r="O4105" s="15" t="s">
        <v>8</v>
      </c>
      <c r="P4105" s="15" t="s">
        <v>8</v>
      </c>
      <c r="T4105" s="8" t="s">
        <v>6</v>
      </c>
    </row>
    <row r="4106" spans="3:27" x14ac:dyDescent="0.35">
      <c r="C4106" s="15" t="s">
        <v>8</v>
      </c>
      <c r="D4106" s="15" t="s">
        <v>8</v>
      </c>
      <c r="E4106" s="15" t="s">
        <v>8</v>
      </c>
      <c r="F4106" s="15" t="s">
        <v>8</v>
      </c>
      <c r="H4106" s="15" t="s">
        <v>8</v>
      </c>
      <c r="I4106" s="15" t="s">
        <v>8</v>
      </c>
      <c r="J4106" s="15" t="s">
        <v>8</v>
      </c>
      <c r="O4106" s="15" t="s">
        <v>8</v>
      </c>
      <c r="P4106" s="15" t="s">
        <v>8</v>
      </c>
      <c r="T4106" s="20" t="str">
        <f>HYPERLINK("http://yeinfo.com/family/I09066388.html", "Mrs. JANE CORNISH 1460 EN-1480 EN ID:09065864")</f>
        <v>Mrs. JANE CORNISH 1460 EN-1480 EN ID:09065864</v>
      </c>
      <c r="U4106" s="17"/>
      <c r="V4106" s="17"/>
      <c r="W4106" s="17"/>
      <c r="X4106" s="17"/>
    </row>
    <row r="4107" spans="3:27" x14ac:dyDescent="0.35">
      <c r="C4107" s="15" t="s">
        <v>8</v>
      </c>
      <c r="D4107" s="15" t="s">
        <v>8</v>
      </c>
      <c r="E4107" s="15" t="s">
        <v>8</v>
      </c>
      <c r="F4107" s="15" t="s">
        <v>8</v>
      </c>
      <c r="H4107" s="15" t="s">
        <v>8</v>
      </c>
      <c r="I4107" s="15" t="s">
        <v>8</v>
      </c>
      <c r="J4107" s="15" t="s">
        <v>8</v>
      </c>
      <c r="O4107" s="8" t="s">
        <v>6</v>
      </c>
      <c r="P4107" s="15" t="s">
        <v>8</v>
      </c>
    </row>
    <row r="4108" spans="3:27" x14ac:dyDescent="0.35">
      <c r="C4108" s="15" t="s">
        <v>8</v>
      </c>
      <c r="D4108" s="15" t="s">
        <v>8</v>
      </c>
      <c r="E4108" s="15" t="s">
        <v>8</v>
      </c>
      <c r="F4108" s="15" t="s">
        <v>8</v>
      </c>
      <c r="H4108" s="15" t="s">
        <v>8</v>
      </c>
      <c r="I4108" s="15" t="s">
        <v>8</v>
      </c>
      <c r="J4108" s="15" t="s">
        <v>8</v>
      </c>
      <c r="O4108" s="20" t="str">
        <f>HYPERLINK("http://yeinfo.com/family/I09065713.html", "JUDITH EVERARD 1587 EN-1625 EN ID:09010847")</f>
        <v>JUDITH EVERARD 1587 EN-1625 EN ID:09010847</v>
      </c>
      <c r="P4108" s="17"/>
      <c r="Q4108" s="17"/>
      <c r="R4108" s="17"/>
      <c r="S4108" s="17"/>
    </row>
    <row r="4109" spans="3:27" x14ac:dyDescent="0.35">
      <c r="C4109" s="15" t="s">
        <v>8</v>
      </c>
      <c r="D4109" s="15" t="s">
        <v>8</v>
      </c>
      <c r="E4109" s="15" t="s">
        <v>8</v>
      </c>
      <c r="F4109" s="15" t="s">
        <v>8</v>
      </c>
      <c r="H4109" s="15" t="s">
        <v>8</v>
      </c>
      <c r="I4109" s="15" t="s">
        <v>8</v>
      </c>
      <c r="J4109" s="15" t="s">
        <v>8</v>
      </c>
      <c r="P4109" s="15" t="s">
        <v>8</v>
      </c>
    </row>
    <row r="4110" spans="3:27" x14ac:dyDescent="0.35">
      <c r="C4110" s="15" t="s">
        <v>8</v>
      </c>
      <c r="D4110" s="15" t="s">
        <v>8</v>
      </c>
      <c r="E4110" s="15" t="s">
        <v>8</v>
      </c>
      <c r="F4110" s="15" t="s">
        <v>8</v>
      </c>
      <c r="H4110" s="15" t="s">
        <v>8</v>
      </c>
      <c r="I4110" s="15" t="s">
        <v>8</v>
      </c>
      <c r="J4110" s="15" t="s">
        <v>8</v>
      </c>
      <c r="P4110" s="15" t="s">
        <v>8</v>
      </c>
      <c r="T4110" s="19" t="str">
        <f>HYPERLINK("http://yeinfo.com/family/I09065720.html", "BARTHOLOMEW BOURNE 1446 EN-1472 EN ID:09065865")</f>
        <v>BARTHOLOMEW BOURNE 1446 EN-1472 EN ID:09065865</v>
      </c>
      <c r="U4110" s="9"/>
      <c r="V4110" s="9"/>
      <c r="W4110" s="9"/>
      <c r="X4110" s="9"/>
    </row>
    <row r="4111" spans="3:27" x14ac:dyDescent="0.35">
      <c r="C4111" s="15" t="s">
        <v>8</v>
      </c>
      <c r="D4111" s="15" t="s">
        <v>8</v>
      </c>
      <c r="E4111" s="15" t="s">
        <v>8</v>
      </c>
      <c r="F4111" s="15" t="s">
        <v>8</v>
      </c>
      <c r="H4111" s="15" t="s">
        <v>8</v>
      </c>
      <c r="I4111" s="15" t="s">
        <v>8</v>
      </c>
      <c r="J4111" s="15" t="s">
        <v>8</v>
      </c>
      <c r="P4111" s="15" t="s">
        <v>8</v>
      </c>
      <c r="T4111" s="8" t="s">
        <v>3</v>
      </c>
    </row>
    <row r="4112" spans="3:27" x14ac:dyDescent="0.35">
      <c r="C4112" s="15" t="s">
        <v>8</v>
      </c>
      <c r="D4112" s="15" t="s">
        <v>8</v>
      </c>
      <c r="E4112" s="15" t="s">
        <v>8</v>
      </c>
      <c r="F4112" s="15" t="s">
        <v>8</v>
      </c>
      <c r="H4112" s="15" t="s">
        <v>8</v>
      </c>
      <c r="I4112" s="15" t="s">
        <v>8</v>
      </c>
      <c r="J4112" s="15" t="s">
        <v>8</v>
      </c>
      <c r="P4112" s="15" t="s">
        <v>8</v>
      </c>
      <c r="S4112" s="19" t="str">
        <f>HYPERLINK("http://yeinfo.com/family/I09065577.html", "ROBERT HENRY BOURNE 1472 EN-1544 EN ID:09065720")</f>
        <v>ROBERT HENRY BOURNE 1472 EN-1544 EN ID:09065720</v>
      </c>
      <c r="T4112" s="9"/>
      <c r="U4112" s="9"/>
      <c r="V4112" s="9"/>
      <c r="W4112" s="9"/>
    </row>
    <row r="4113" spans="3:24" x14ac:dyDescent="0.35">
      <c r="C4113" s="15" t="s">
        <v>8</v>
      </c>
      <c r="D4113" s="15" t="s">
        <v>8</v>
      </c>
      <c r="E4113" s="15" t="s">
        <v>8</v>
      </c>
      <c r="F4113" s="15" t="s">
        <v>8</v>
      </c>
      <c r="H4113" s="15" t="s">
        <v>8</v>
      </c>
      <c r="I4113" s="15" t="s">
        <v>8</v>
      </c>
      <c r="J4113" s="15" t="s">
        <v>8</v>
      </c>
      <c r="P4113" s="15" t="s">
        <v>8</v>
      </c>
      <c r="S4113" s="8" t="s">
        <v>3</v>
      </c>
      <c r="T4113" s="8" t="s">
        <v>6</v>
      </c>
    </row>
    <row r="4114" spans="3:24" x14ac:dyDescent="0.35">
      <c r="C4114" s="15" t="s">
        <v>8</v>
      </c>
      <c r="D4114" s="15" t="s">
        <v>8</v>
      </c>
      <c r="E4114" s="15" t="s">
        <v>8</v>
      </c>
      <c r="F4114" s="15" t="s">
        <v>8</v>
      </c>
      <c r="H4114" s="15" t="s">
        <v>8</v>
      </c>
      <c r="I4114" s="15" t="s">
        <v>8</v>
      </c>
      <c r="J4114" s="15" t="s">
        <v>8</v>
      </c>
      <c r="P4114" s="15" t="s">
        <v>8</v>
      </c>
      <c r="S4114" s="15" t="s">
        <v>8</v>
      </c>
      <c r="T4114" s="20" t="str">
        <f>HYPERLINK("http://yeinfo.com/family/I09065865.html", "Mrs. {_?_} BOURNE 1450 -1472 EN ID:09065866")</f>
        <v>Mrs. {_?_} BOURNE 1450 -1472 EN ID:09065866</v>
      </c>
      <c r="U4114" s="17"/>
      <c r="V4114" s="17"/>
      <c r="W4114" s="17"/>
      <c r="X4114" s="17"/>
    </row>
    <row r="4115" spans="3:24" x14ac:dyDescent="0.35">
      <c r="C4115" s="15" t="s">
        <v>8</v>
      </c>
      <c r="D4115" s="15" t="s">
        <v>8</v>
      </c>
      <c r="E4115" s="15" t="s">
        <v>8</v>
      </c>
      <c r="F4115" s="15" t="s">
        <v>8</v>
      </c>
      <c r="H4115" s="15" t="s">
        <v>8</v>
      </c>
      <c r="I4115" s="15" t="s">
        <v>8</v>
      </c>
      <c r="J4115" s="15" t="s">
        <v>8</v>
      </c>
      <c r="P4115" s="15" t="s">
        <v>8</v>
      </c>
      <c r="S4115" s="15" t="s">
        <v>8</v>
      </c>
    </row>
    <row r="4116" spans="3:24" x14ac:dyDescent="0.35">
      <c r="C4116" s="15" t="s">
        <v>8</v>
      </c>
      <c r="D4116" s="15" t="s">
        <v>8</v>
      </c>
      <c r="E4116" s="15" t="s">
        <v>8</v>
      </c>
      <c r="F4116" s="15" t="s">
        <v>8</v>
      </c>
      <c r="H4116" s="15" t="s">
        <v>8</v>
      </c>
      <c r="I4116" s="15" t="s">
        <v>8</v>
      </c>
      <c r="J4116" s="15" t="s">
        <v>8</v>
      </c>
      <c r="P4116" s="15" t="s">
        <v>8</v>
      </c>
      <c r="R4116" s="19" t="str">
        <f>HYPERLINK("http://yeinfo.com/family/I09043390.html", "FRANCIS BOURNE 1500 EN-1560 EN ID:09065577")</f>
        <v>FRANCIS BOURNE 1500 EN-1560 EN ID:09065577</v>
      </c>
      <c r="S4116" s="9"/>
      <c r="T4116" s="9"/>
      <c r="U4116" s="9"/>
      <c r="V4116" s="9"/>
    </row>
    <row r="4117" spans="3:24" x14ac:dyDescent="0.35">
      <c r="C4117" s="15" t="s">
        <v>8</v>
      </c>
      <c r="D4117" s="15" t="s">
        <v>8</v>
      </c>
      <c r="E4117" s="15" t="s">
        <v>8</v>
      </c>
      <c r="F4117" s="15" t="s">
        <v>8</v>
      </c>
      <c r="H4117" s="15" t="s">
        <v>8</v>
      </c>
      <c r="I4117" s="15" t="s">
        <v>8</v>
      </c>
      <c r="J4117" s="15" t="s">
        <v>8</v>
      </c>
      <c r="P4117" s="15" t="s">
        <v>8</v>
      </c>
      <c r="R4117" s="8" t="s">
        <v>3</v>
      </c>
      <c r="S4117" s="8" t="s">
        <v>6</v>
      </c>
    </row>
    <row r="4118" spans="3:24" x14ac:dyDescent="0.35">
      <c r="C4118" s="15" t="s">
        <v>8</v>
      </c>
      <c r="D4118" s="15" t="s">
        <v>8</v>
      </c>
      <c r="E4118" s="15" t="s">
        <v>8</v>
      </c>
      <c r="F4118" s="15" t="s">
        <v>8</v>
      </c>
      <c r="H4118" s="15" t="s">
        <v>8</v>
      </c>
      <c r="I4118" s="15" t="s">
        <v>8</v>
      </c>
      <c r="J4118" s="15" t="s">
        <v>8</v>
      </c>
      <c r="P4118" s="15" t="s">
        <v>8</v>
      </c>
      <c r="R4118" s="15" t="s">
        <v>8</v>
      </c>
      <c r="S4118" s="20" t="str">
        <f>HYPERLINK("http://yeinfo.com/family/I09065866.html", "ELIZABETH DERING 1480 EN-1544 EN ID:09065721")</f>
        <v>ELIZABETH DERING 1480 EN-1544 EN ID:09065721</v>
      </c>
      <c r="T4118" s="17"/>
      <c r="U4118" s="17"/>
      <c r="V4118" s="17"/>
      <c r="W4118" s="17"/>
    </row>
    <row r="4119" spans="3:24" x14ac:dyDescent="0.35">
      <c r="C4119" s="15" t="s">
        <v>8</v>
      </c>
      <c r="D4119" s="15" t="s">
        <v>8</v>
      </c>
      <c r="E4119" s="15" t="s">
        <v>8</v>
      </c>
      <c r="F4119" s="15" t="s">
        <v>8</v>
      </c>
      <c r="H4119" s="15" t="s">
        <v>8</v>
      </c>
      <c r="I4119" s="15" t="s">
        <v>8</v>
      </c>
      <c r="J4119" s="15" t="s">
        <v>8</v>
      </c>
      <c r="P4119" s="15" t="s">
        <v>8</v>
      </c>
      <c r="R4119" s="15" t="s">
        <v>8</v>
      </c>
    </row>
    <row r="4120" spans="3:24" x14ac:dyDescent="0.35">
      <c r="C4120" s="15" t="s">
        <v>8</v>
      </c>
      <c r="D4120" s="15" t="s">
        <v>8</v>
      </c>
      <c r="E4120" s="15" t="s">
        <v>8</v>
      </c>
      <c r="F4120" s="15" t="s">
        <v>8</v>
      </c>
      <c r="H4120" s="15" t="s">
        <v>8</v>
      </c>
      <c r="I4120" s="15" t="s">
        <v>8</v>
      </c>
      <c r="J4120" s="15" t="s">
        <v>8</v>
      </c>
      <c r="P4120" s="15" t="s">
        <v>8</v>
      </c>
      <c r="Q4120" s="19" t="str">
        <f>HYPERLINK("http://yeinfo.com/family/I09021695.html", "JOHN BOURNE 1527 EN-1610 EN ID:09043390")</f>
        <v>JOHN BOURNE 1527 EN-1610 EN ID:09043390</v>
      </c>
      <c r="R4120" s="9"/>
      <c r="S4120" s="9"/>
      <c r="T4120" s="9"/>
      <c r="U4120" s="9"/>
    </row>
    <row r="4121" spans="3:24" x14ac:dyDescent="0.35">
      <c r="C4121" s="15" t="s">
        <v>8</v>
      </c>
      <c r="D4121" s="15" t="s">
        <v>8</v>
      </c>
      <c r="E4121" s="15" t="s">
        <v>8</v>
      </c>
      <c r="F4121" s="15" t="s">
        <v>8</v>
      </c>
      <c r="H4121" s="15" t="s">
        <v>8</v>
      </c>
      <c r="I4121" s="15" t="s">
        <v>8</v>
      </c>
      <c r="J4121" s="15" t="s">
        <v>8</v>
      </c>
      <c r="P4121" s="15" t="s">
        <v>8</v>
      </c>
      <c r="Q4121" s="8" t="s">
        <v>3</v>
      </c>
      <c r="R4121" s="15" t="s">
        <v>8</v>
      </c>
    </row>
    <row r="4122" spans="3:24" x14ac:dyDescent="0.35">
      <c r="C4122" s="15" t="s">
        <v>8</v>
      </c>
      <c r="D4122" s="15" t="s">
        <v>8</v>
      </c>
      <c r="E4122" s="15" t="s">
        <v>8</v>
      </c>
      <c r="F4122" s="15" t="s">
        <v>8</v>
      </c>
      <c r="H4122" s="15" t="s">
        <v>8</v>
      </c>
      <c r="I4122" s="15" t="s">
        <v>8</v>
      </c>
      <c r="J4122" s="15" t="s">
        <v>8</v>
      </c>
      <c r="P4122" s="15" t="s">
        <v>8</v>
      </c>
      <c r="Q4122" s="15" t="s">
        <v>8</v>
      </c>
      <c r="R4122" s="15" t="s">
        <v>8</v>
      </c>
      <c r="T4122" s="19" t="str">
        <f>HYPERLINK("http://yeinfo.com/family/I09065722.html", "RICHARD DERING 1415 EN-1481 EN ID:09065867")</f>
        <v>RICHARD DERING 1415 EN-1481 EN ID:09065867</v>
      </c>
      <c r="U4122" s="9"/>
      <c r="V4122" s="9"/>
      <c r="W4122" s="9"/>
      <c r="X4122" s="9"/>
    </row>
    <row r="4123" spans="3:24" x14ac:dyDescent="0.35">
      <c r="C4123" s="15" t="s">
        <v>8</v>
      </c>
      <c r="D4123" s="15" t="s">
        <v>8</v>
      </c>
      <c r="E4123" s="15" t="s">
        <v>8</v>
      </c>
      <c r="F4123" s="15" t="s">
        <v>8</v>
      </c>
      <c r="H4123" s="15" t="s">
        <v>8</v>
      </c>
      <c r="I4123" s="15" t="s">
        <v>8</v>
      </c>
      <c r="J4123" s="15" t="s">
        <v>8</v>
      </c>
      <c r="P4123" s="15" t="s">
        <v>8</v>
      </c>
      <c r="Q4123" s="15" t="s">
        <v>8</v>
      </c>
      <c r="R4123" s="15" t="s">
        <v>8</v>
      </c>
      <c r="T4123" s="8" t="s">
        <v>3</v>
      </c>
    </row>
    <row r="4124" spans="3:24" x14ac:dyDescent="0.35">
      <c r="C4124" s="15" t="s">
        <v>8</v>
      </c>
      <c r="D4124" s="15" t="s">
        <v>8</v>
      </c>
      <c r="E4124" s="15" t="s">
        <v>8</v>
      </c>
      <c r="F4124" s="15" t="s">
        <v>8</v>
      </c>
      <c r="H4124" s="15" t="s">
        <v>8</v>
      </c>
      <c r="I4124" s="15" t="s">
        <v>8</v>
      </c>
      <c r="J4124" s="15" t="s">
        <v>8</v>
      </c>
      <c r="P4124" s="15" t="s">
        <v>8</v>
      </c>
      <c r="Q4124" s="15" t="s">
        <v>8</v>
      </c>
      <c r="R4124" s="15" t="s">
        <v>8</v>
      </c>
      <c r="S4124" s="19" t="str">
        <f>HYPERLINK("http://yeinfo.com/family/I09065578.html", "JOHN DERING 1435 EN-1517 EN ID:09065722")</f>
        <v>JOHN DERING 1435 EN-1517 EN ID:09065722</v>
      </c>
      <c r="T4124" s="9"/>
      <c r="U4124" s="9"/>
      <c r="V4124" s="9"/>
      <c r="W4124" s="9"/>
    </row>
    <row r="4125" spans="3:24" x14ac:dyDescent="0.35">
      <c r="C4125" s="15" t="s">
        <v>8</v>
      </c>
      <c r="D4125" s="15" t="s">
        <v>8</v>
      </c>
      <c r="E4125" s="15" t="s">
        <v>8</v>
      </c>
      <c r="F4125" s="15" t="s">
        <v>8</v>
      </c>
      <c r="H4125" s="15" t="s">
        <v>8</v>
      </c>
      <c r="I4125" s="15" t="s">
        <v>8</v>
      </c>
      <c r="J4125" s="15" t="s">
        <v>8</v>
      </c>
      <c r="P4125" s="15" t="s">
        <v>8</v>
      </c>
      <c r="Q4125" s="15" t="s">
        <v>8</v>
      </c>
      <c r="R4125" s="15" t="s">
        <v>8</v>
      </c>
      <c r="S4125" s="8" t="s">
        <v>3</v>
      </c>
      <c r="T4125" s="8" t="s">
        <v>6</v>
      </c>
    </row>
    <row r="4126" spans="3:24" x14ac:dyDescent="0.35">
      <c r="C4126" s="15" t="s">
        <v>8</v>
      </c>
      <c r="D4126" s="15" t="s">
        <v>8</v>
      </c>
      <c r="E4126" s="15" t="s">
        <v>8</v>
      </c>
      <c r="F4126" s="15" t="s">
        <v>8</v>
      </c>
      <c r="H4126" s="15" t="s">
        <v>8</v>
      </c>
      <c r="I4126" s="15" t="s">
        <v>8</v>
      </c>
      <c r="J4126" s="15" t="s">
        <v>8</v>
      </c>
      <c r="P4126" s="15" t="s">
        <v>8</v>
      </c>
      <c r="Q4126" s="15" t="s">
        <v>8</v>
      </c>
      <c r="R4126" s="15" t="s">
        <v>8</v>
      </c>
      <c r="S4126" s="15" t="s">
        <v>8</v>
      </c>
      <c r="T4126" s="20" t="str">
        <f>HYPERLINK("http://yeinfo.com/family/I09065867.html", "AGNES EYTON 1415 EN-1435 EN ID:09065868")</f>
        <v>AGNES EYTON 1415 EN-1435 EN ID:09065868</v>
      </c>
      <c r="U4126" s="17"/>
      <c r="V4126" s="17"/>
      <c r="W4126" s="17"/>
      <c r="X4126" s="17"/>
    </row>
    <row r="4127" spans="3:24" x14ac:dyDescent="0.35">
      <c r="C4127" s="15" t="s">
        <v>8</v>
      </c>
      <c r="D4127" s="15" t="s">
        <v>8</v>
      </c>
      <c r="E4127" s="15" t="s">
        <v>8</v>
      </c>
      <c r="F4127" s="15" t="s">
        <v>8</v>
      </c>
      <c r="H4127" s="15" t="s">
        <v>8</v>
      </c>
      <c r="I4127" s="15" t="s">
        <v>8</v>
      </c>
      <c r="J4127" s="15" t="s">
        <v>8</v>
      </c>
      <c r="P4127" s="15" t="s">
        <v>8</v>
      </c>
      <c r="Q4127" s="15" t="s">
        <v>8</v>
      </c>
      <c r="R4127" s="8" t="s">
        <v>6</v>
      </c>
      <c r="S4127" s="15" t="s">
        <v>8</v>
      </c>
    </row>
    <row r="4128" spans="3:24" x14ac:dyDescent="0.35">
      <c r="C4128" s="15" t="s">
        <v>8</v>
      </c>
      <c r="D4128" s="15" t="s">
        <v>8</v>
      </c>
      <c r="E4128" s="15" t="s">
        <v>8</v>
      </c>
      <c r="F4128" s="15" t="s">
        <v>8</v>
      </c>
      <c r="H4128" s="15" t="s">
        <v>8</v>
      </c>
      <c r="I4128" s="15" t="s">
        <v>8</v>
      </c>
      <c r="J4128" s="15" t="s">
        <v>8</v>
      </c>
      <c r="P4128" s="15" t="s">
        <v>8</v>
      </c>
      <c r="Q4128" s="15" t="s">
        <v>8</v>
      </c>
      <c r="R4128" s="20" t="str">
        <f>HYPERLINK("http://yeinfo.com/family/I09065721.html", "ELIZABETH\BENNETTA DERING 1502 EN-1544 EN ID:09065578")</f>
        <v>ELIZABETH\BENNETTA DERING 1502 EN-1544 EN ID:09065578</v>
      </c>
      <c r="S4128" s="17"/>
      <c r="T4128" s="17"/>
      <c r="U4128" s="17"/>
      <c r="V4128" s="17"/>
      <c r="W4128" s="17"/>
    </row>
    <row r="4129" spans="3:28" x14ac:dyDescent="0.35">
      <c r="C4129" s="15" t="s">
        <v>8</v>
      </c>
      <c r="D4129" s="15" t="s">
        <v>8</v>
      </c>
      <c r="E4129" s="15" t="s">
        <v>8</v>
      </c>
      <c r="F4129" s="15" t="s">
        <v>8</v>
      </c>
      <c r="H4129" s="15" t="s">
        <v>8</v>
      </c>
      <c r="I4129" s="15" t="s">
        <v>8</v>
      </c>
      <c r="J4129" s="15" t="s">
        <v>8</v>
      </c>
      <c r="P4129" s="15" t="s">
        <v>8</v>
      </c>
      <c r="Q4129" s="15" t="s">
        <v>8</v>
      </c>
      <c r="S4129" s="15" t="s">
        <v>8</v>
      </c>
    </row>
    <row r="4130" spans="3:28" x14ac:dyDescent="0.35">
      <c r="C4130" s="15" t="s">
        <v>8</v>
      </c>
      <c r="D4130" s="15" t="s">
        <v>8</v>
      </c>
      <c r="E4130" s="15" t="s">
        <v>8</v>
      </c>
      <c r="F4130" s="15" t="s">
        <v>8</v>
      </c>
      <c r="H4130" s="15" t="s">
        <v>8</v>
      </c>
      <c r="I4130" s="15" t="s">
        <v>8</v>
      </c>
      <c r="J4130" s="15" t="s">
        <v>8</v>
      </c>
      <c r="P4130" s="15" t="s">
        <v>8</v>
      </c>
      <c r="Q4130" s="15" t="s">
        <v>8</v>
      </c>
      <c r="S4130" s="15" t="s">
        <v>8</v>
      </c>
      <c r="V4130" s="19" t="str">
        <f>HYPERLINK("http://yeinfo.com/family/I09066043.html", "WILLIAM DARRELL 1359 EN-1388 EN ID:09066237")</f>
        <v>WILLIAM DARRELL 1359 EN-1388 EN ID:09066237</v>
      </c>
      <c r="W4130" s="9"/>
      <c r="X4130" s="9"/>
      <c r="Y4130" s="9"/>
      <c r="Z4130" s="9"/>
    </row>
    <row r="4131" spans="3:28" x14ac:dyDescent="0.35">
      <c r="C4131" s="15" t="s">
        <v>8</v>
      </c>
      <c r="D4131" s="15" t="s">
        <v>8</v>
      </c>
      <c r="E4131" s="15" t="s">
        <v>8</v>
      </c>
      <c r="F4131" s="15" t="s">
        <v>8</v>
      </c>
      <c r="H4131" s="15" t="s">
        <v>8</v>
      </c>
      <c r="I4131" s="15" t="s">
        <v>8</v>
      </c>
      <c r="J4131" s="15" t="s">
        <v>8</v>
      </c>
      <c r="P4131" s="15" t="s">
        <v>8</v>
      </c>
      <c r="Q4131" s="15" t="s">
        <v>8</v>
      </c>
      <c r="S4131" s="15" t="s">
        <v>8</v>
      </c>
      <c r="V4131" s="8" t="s">
        <v>3</v>
      </c>
    </row>
    <row r="4132" spans="3:28" x14ac:dyDescent="0.35">
      <c r="C4132" s="15" t="s">
        <v>8</v>
      </c>
      <c r="D4132" s="15" t="s">
        <v>8</v>
      </c>
      <c r="E4132" s="15" t="s">
        <v>8</v>
      </c>
      <c r="F4132" s="15" t="s">
        <v>8</v>
      </c>
      <c r="H4132" s="15" t="s">
        <v>8</v>
      </c>
      <c r="I4132" s="15" t="s">
        <v>8</v>
      </c>
      <c r="J4132" s="15" t="s">
        <v>8</v>
      </c>
      <c r="P4132" s="15" t="s">
        <v>8</v>
      </c>
      <c r="Q4132" s="15" t="s">
        <v>8</v>
      </c>
      <c r="S4132" s="15" t="s">
        <v>8</v>
      </c>
      <c r="U4132" s="19" t="str">
        <f>HYPERLINK("http://yeinfo.com/family/I09065869.html", "WILLIAM JOHN DARRELL 1386 EN-1438 EN ID:09066043")</f>
        <v>WILLIAM JOHN DARRELL 1386 EN-1438 EN ID:09066043</v>
      </c>
      <c r="V4132" s="9"/>
      <c r="W4132" s="9"/>
      <c r="X4132" s="9"/>
      <c r="Y4132" s="9"/>
    </row>
    <row r="4133" spans="3:28" x14ac:dyDescent="0.35">
      <c r="C4133" s="15" t="s">
        <v>8</v>
      </c>
      <c r="D4133" s="15" t="s">
        <v>8</v>
      </c>
      <c r="E4133" s="15" t="s">
        <v>8</v>
      </c>
      <c r="F4133" s="15" t="s">
        <v>8</v>
      </c>
      <c r="H4133" s="15" t="s">
        <v>8</v>
      </c>
      <c r="I4133" s="15" t="s">
        <v>8</v>
      </c>
      <c r="J4133" s="15" t="s">
        <v>8</v>
      </c>
      <c r="P4133" s="15" t="s">
        <v>8</v>
      </c>
      <c r="Q4133" s="15" t="s">
        <v>8</v>
      </c>
      <c r="S4133" s="15" t="s">
        <v>8</v>
      </c>
      <c r="U4133" s="8" t="s">
        <v>3</v>
      </c>
      <c r="V4133" s="8" t="s">
        <v>6</v>
      </c>
    </row>
    <row r="4134" spans="3:28" x14ac:dyDescent="0.35">
      <c r="C4134" s="15" t="s">
        <v>8</v>
      </c>
      <c r="D4134" s="15" t="s">
        <v>8</v>
      </c>
      <c r="E4134" s="15" t="s">
        <v>8</v>
      </c>
      <c r="F4134" s="15" t="s">
        <v>8</v>
      </c>
      <c r="H4134" s="15" t="s">
        <v>8</v>
      </c>
      <c r="I4134" s="15" t="s">
        <v>8</v>
      </c>
      <c r="J4134" s="15" t="s">
        <v>8</v>
      </c>
      <c r="P4134" s="15" t="s">
        <v>8</v>
      </c>
      <c r="Q4134" s="15" t="s">
        <v>8</v>
      </c>
      <c r="S4134" s="15" t="s">
        <v>8</v>
      </c>
      <c r="U4134" s="15" t="s">
        <v>8</v>
      </c>
      <c r="V4134" s="20" t="str">
        <f>HYPERLINK("http://yeinfo.com/family/I09066237.html", "Mrs. EMMA DARRELL 1363 EN-1387 EN ID:09066238")</f>
        <v>Mrs. EMMA DARRELL 1363 EN-1387 EN ID:09066238</v>
      </c>
      <c r="W4134" s="17"/>
      <c r="X4134" s="17"/>
      <c r="Y4134" s="17"/>
      <c r="Z4134" s="17"/>
    </row>
    <row r="4135" spans="3:28" x14ac:dyDescent="0.35">
      <c r="C4135" s="15" t="s">
        <v>8</v>
      </c>
      <c r="D4135" s="15" t="s">
        <v>8</v>
      </c>
      <c r="E4135" s="15" t="s">
        <v>8</v>
      </c>
      <c r="F4135" s="15" t="s">
        <v>8</v>
      </c>
      <c r="H4135" s="15" t="s">
        <v>8</v>
      </c>
      <c r="I4135" s="15" t="s">
        <v>8</v>
      </c>
      <c r="J4135" s="15" t="s">
        <v>8</v>
      </c>
      <c r="P4135" s="15" t="s">
        <v>8</v>
      </c>
      <c r="Q4135" s="15" t="s">
        <v>8</v>
      </c>
      <c r="S4135" s="15" t="s">
        <v>8</v>
      </c>
      <c r="U4135" s="15" t="s">
        <v>8</v>
      </c>
    </row>
    <row r="4136" spans="3:28" x14ac:dyDescent="0.35">
      <c r="C4136" s="15" t="s">
        <v>8</v>
      </c>
      <c r="D4136" s="15" t="s">
        <v>8</v>
      </c>
      <c r="E4136" s="15" t="s">
        <v>8</v>
      </c>
      <c r="F4136" s="15" t="s">
        <v>8</v>
      </c>
      <c r="H4136" s="15" t="s">
        <v>8</v>
      </c>
      <c r="I4136" s="15" t="s">
        <v>8</v>
      </c>
      <c r="J4136" s="15" t="s">
        <v>8</v>
      </c>
      <c r="P4136" s="15" t="s">
        <v>8</v>
      </c>
      <c r="Q4136" s="15" t="s">
        <v>8</v>
      </c>
      <c r="S4136" s="15" t="s">
        <v>8</v>
      </c>
      <c r="T4136" s="19" t="str">
        <f>HYPERLINK("http://yeinfo.com/family/I09065723.html", "WILLIAM DARRELL 1407 EN-1471 EN ID:09065869")</f>
        <v>WILLIAM DARRELL 1407 EN-1471 EN ID:09065869</v>
      </c>
      <c r="U4136" s="9"/>
      <c r="V4136" s="9"/>
      <c r="W4136" s="9"/>
      <c r="X4136" s="9"/>
    </row>
    <row r="4137" spans="3:28" x14ac:dyDescent="0.35">
      <c r="C4137" s="15" t="s">
        <v>8</v>
      </c>
      <c r="D4137" s="15" t="s">
        <v>8</v>
      </c>
      <c r="E4137" s="15" t="s">
        <v>8</v>
      </c>
      <c r="F4137" s="15" t="s">
        <v>8</v>
      </c>
      <c r="H4137" s="15" t="s">
        <v>8</v>
      </c>
      <c r="I4137" s="15" t="s">
        <v>8</v>
      </c>
      <c r="J4137" s="15" t="s">
        <v>8</v>
      </c>
      <c r="P4137" s="15" t="s">
        <v>8</v>
      </c>
      <c r="Q4137" s="15" t="s">
        <v>8</v>
      </c>
      <c r="S4137" s="15" t="s">
        <v>8</v>
      </c>
      <c r="T4137" s="8" t="s">
        <v>3</v>
      </c>
      <c r="U4137" s="15" t="s">
        <v>8</v>
      </c>
    </row>
    <row r="4138" spans="3:28" x14ac:dyDescent="0.35">
      <c r="C4138" s="15" t="s">
        <v>8</v>
      </c>
      <c r="D4138" s="15" t="s">
        <v>8</v>
      </c>
      <c r="E4138" s="15" t="s">
        <v>8</v>
      </c>
      <c r="F4138" s="15" t="s">
        <v>8</v>
      </c>
      <c r="H4138" s="15" t="s">
        <v>8</v>
      </c>
      <c r="I4138" s="15" t="s">
        <v>8</v>
      </c>
      <c r="J4138" s="15" t="s">
        <v>8</v>
      </c>
      <c r="P4138" s="15" t="s">
        <v>8</v>
      </c>
      <c r="Q4138" s="15" t="s">
        <v>8</v>
      </c>
      <c r="S4138" s="15" t="s">
        <v>8</v>
      </c>
      <c r="T4138" s="15" t="s">
        <v>8</v>
      </c>
      <c r="U4138" s="15" t="s">
        <v>8</v>
      </c>
      <c r="W4138" s="19" t="str">
        <f>HYPERLINK("http://yeinfo.com/family/I09066239.html", "ROBERT BARRETT 1337 EN-1357 EN ID:09066389")</f>
        <v>ROBERT BARRETT 1337 EN-1357 EN ID:09066389</v>
      </c>
      <c r="X4138" s="9"/>
      <c r="Y4138" s="9"/>
      <c r="Z4138" s="9"/>
      <c r="AA4138" s="9"/>
    </row>
    <row r="4139" spans="3:28" x14ac:dyDescent="0.35">
      <c r="C4139" s="15" t="s">
        <v>8</v>
      </c>
      <c r="D4139" s="15" t="s">
        <v>8</v>
      </c>
      <c r="E4139" s="15" t="s">
        <v>8</v>
      </c>
      <c r="F4139" s="15" t="s">
        <v>8</v>
      </c>
      <c r="H4139" s="15" t="s">
        <v>8</v>
      </c>
      <c r="I4139" s="15" t="s">
        <v>8</v>
      </c>
      <c r="J4139" s="15" t="s">
        <v>8</v>
      </c>
      <c r="P4139" s="15" t="s">
        <v>8</v>
      </c>
      <c r="Q4139" s="15" t="s">
        <v>8</v>
      </c>
      <c r="S4139" s="15" t="s">
        <v>8</v>
      </c>
      <c r="T4139" s="15" t="s">
        <v>8</v>
      </c>
      <c r="U4139" s="15" t="s">
        <v>8</v>
      </c>
      <c r="W4139" s="8" t="s">
        <v>3</v>
      </c>
    </row>
    <row r="4140" spans="3:28" x14ac:dyDescent="0.35">
      <c r="C4140" s="15" t="s">
        <v>8</v>
      </c>
      <c r="D4140" s="15" t="s">
        <v>8</v>
      </c>
      <c r="E4140" s="15" t="s">
        <v>8</v>
      </c>
      <c r="F4140" s="15" t="s">
        <v>8</v>
      </c>
      <c r="H4140" s="15" t="s">
        <v>8</v>
      </c>
      <c r="I4140" s="15" t="s">
        <v>8</v>
      </c>
      <c r="J4140" s="15" t="s">
        <v>8</v>
      </c>
      <c r="P4140" s="15" t="s">
        <v>8</v>
      </c>
      <c r="Q4140" s="15" t="s">
        <v>8</v>
      </c>
      <c r="S4140" s="15" t="s">
        <v>8</v>
      </c>
      <c r="T4140" s="15" t="s">
        <v>8</v>
      </c>
      <c r="U4140" s="15" t="s">
        <v>8</v>
      </c>
      <c r="V4140" s="19" t="str">
        <f>HYPERLINK("http://yeinfo.com/family/I09066044.html", "VALENTINE BARRETT 1357 EN-1440 EN ID:09066239")</f>
        <v>VALENTINE BARRETT 1357 EN-1440 EN ID:09066239</v>
      </c>
      <c r="W4140" s="9"/>
      <c r="X4140" s="9"/>
      <c r="Y4140" s="9"/>
      <c r="Z4140" s="9"/>
    </row>
    <row r="4141" spans="3:28" x14ac:dyDescent="0.35">
      <c r="C4141" s="15" t="s">
        <v>8</v>
      </c>
      <c r="D4141" s="15" t="s">
        <v>8</v>
      </c>
      <c r="E4141" s="15" t="s">
        <v>8</v>
      </c>
      <c r="F4141" s="15" t="s">
        <v>8</v>
      </c>
      <c r="H4141" s="15" t="s">
        <v>8</v>
      </c>
      <c r="I4141" s="15" t="s">
        <v>8</v>
      </c>
      <c r="J4141" s="15" t="s">
        <v>8</v>
      </c>
      <c r="P4141" s="15" t="s">
        <v>8</v>
      </c>
      <c r="Q4141" s="15" t="s">
        <v>8</v>
      </c>
      <c r="S4141" s="15" t="s">
        <v>8</v>
      </c>
      <c r="T4141" s="15" t="s">
        <v>8</v>
      </c>
      <c r="U4141" s="15" t="s">
        <v>8</v>
      </c>
      <c r="V4141" s="8" t="s">
        <v>3</v>
      </c>
      <c r="W4141" s="8" t="s">
        <v>6</v>
      </c>
    </row>
    <row r="4142" spans="3:28" x14ac:dyDescent="0.35">
      <c r="C4142" s="15" t="s">
        <v>8</v>
      </c>
      <c r="D4142" s="15" t="s">
        <v>8</v>
      </c>
      <c r="E4142" s="15" t="s">
        <v>8</v>
      </c>
      <c r="F4142" s="15" t="s">
        <v>8</v>
      </c>
      <c r="H4142" s="15" t="s">
        <v>8</v>
      </c>
      <c r="I4142" s="15" t="s">
        <v>8</v>
      </c>
      <c r="J4142" s="15" t="s">
        <v>8</v>
      </c>
      <c r="P4142" s="15" t="s">
        <v>8</v>
      </c>
      <c r="Q4142" s="15" t="s">
        <v>8</v>
      </c>
      <c r="S4142" s="15" t="s">
        <v>8</v>
      </c>
      <c r="T4142" s="15" t="s">
        <v>8</v>
      </c>
      <c r="U4142" s="15" t="s">
        <v>8</v>
      </c>
      <c r="V4142" s="15" t="s">
        <v>8</v>
      </c>
      <c r="W4142" s="20" t="str">
        <f>HYPERLINK("http://yeinfo.com/family/I09066389.html", "JANE\ANN\MARIA AUGUSTA EMPSON 1328 VU-1367 VU ID:09066390")</f>
        <v>JANE\ANN\MARIA AUGUSTA EMPSON 1328 VU-1367 VU ID:09066390</v>
      </c>
      <c r="X4142" s="17"/>
      <c r="Y4142" s="17"/>
      <c r="Z4142" s="17"/>
      <c r="AA4142" s="17"/>
      <c r="AB4142" s="17"/>
    </row>
    <row r="4143" spans="3:28" x14ac:dyDescent="0.35">
      <c r="C4143" s="15" t="s">
        <v>8</v>
      </c>
      <c r="D4143" s="15" t="s">
        <v>8</v>
      </c>
      <c r="E4143" s="15" t="s">
        <v>8</v>
      </c>
      <c r="F4143" s="15" t="s">
        <v>8</v>
      </c>
      <c r="H4143" s="15" t="s">
        <v>8</v>
      </c>
      <c r="I4143" s="15" t="s">
        <v>8</v>
      </c>
      <c r="J4143" s="15" t="s">
        <v>8</v>
      </c>
      <c r="P4143" s="15" t="s">
        <v>8</v>
      </c>
      <c r="Q4143" s="15" t="s">
        <v>8</v>
      </c>
      <c r="S4143" s="15" t="s">
        <v>8</v>
      </c>
      <c r="T4143" s="15" t="s">
        <v>8</v>
      </c>
      <c r="U4143" s="8" t="s">
        <v>6</v>
      </c>
      <c r="V4143" s="15" t="s">
        <v>8</v>
      </c>
    </row>
    <row r="4144" spans="3:28" x14ac:dyDescent="0.35">
      <c r="C4144" s="15" t="s">
        <v>8</v>
      </c>
      <c r="D4144" s="15" t="s">
        <v>8</v>
      </c>
      <c r="E4144" s="15" t="s">
        <v>8</v>
      </c>
      <c r="F4144" s="15" t="s">
        <v>8</v>
      </c>
      <c r="H4144" s="15" t="s">
        <v>8</v>
      </c>
      <c r="I4144" s="15" t="s">
        <v>8</v>
      </c>
      <c r="J4144" s="15" t="s">
        <v>8</v>
      </c>
      <c r="P4144" s="15" t="s">
        <v>8</v>
      </c>
      <c r="Q4144" s="15" t="s">
        <v>8</v>
      </c>
      <c r="S4144" s="15" t="s">
        <v>8</v>
      </c>
      <c r="T4144" s="15" t="s">
        <v>8</v>
      </c>
      <c r="U4144" s="20" t="str">
        <f>HYPERLINK("http://yeinfo.com/family/I09066238.html", "JANE THOMASINE BARRETT 1388 EN-1418 EN ID:09066044")</f>
        <v>JANE THOMASINE BARRETT 1388 EN-1418 EN ID:09066044</v>
      </c>
      <c r="V4144" s="17"/>
      <c r="W4144" s="17"/>
      <c r="X4144" s="17"/>
      <c r="Y4144" s="17"/>
    </row>
    <row r="4145" spans="3:28" x14ac:dyDescent="0.35">
      <c r="C4145" s="15" t="s">
        <v>8</v>
      </c>
      <c r="D4145" s="15" t="s">
        <v>8</v>
      </c>
      <c r="E4145" s="15" t="s">
        <v>8</v>
      </c>
      <c r="F4145" s="15" t="s">
        <v>8</v>
      </c>
      <c r="H4145" s="15" t="s">
        <v>8</v>
      </c>
      <c r="I4145" s="15" t="s">
        <v>8</v>
      </c>
      <c r="J4145" s="15" t="s">
        <v>8</v>
      </c>
      <c r="P4145" s="15" t="s">
        <v>8</v>
      </c>
      <c r="Q4145" s="15" t="s">
        <v>8</v>
      </c>
      <c r="S4145" s="15" t="s">
        <v>8</v>
      </c>
      <c r="T4145" s="15" t="s">
        <v>8</v>
      </c>
      <c r="V4145" s="8" t="s">
        <v>6</v>
      </c>
    </row>
    <row r="4146" spans="3:28" x14ac:dyDescent="0.35">
      <c r="C4146" s="15" t="s">
        <v>8</v>
      </c>
      <c r="D4146" s="15" t="s">
        <v>8</v>
      </c>
      <c r="E4146" s="15" t="s">
        <v>8</v>
      </c>
      <c r="F4146" s="15" t="s">
        <v>8</v>
      </c>
      <c r="H4146" s="15" t="s">
        <v>8</v>
      </c>
      <c r="I4146" s="15" t="s">
        <v>8</v>
      </c>
      <c r="J4146" s="15" t="s">
        <v>8</v>
      </c>
      <c r="P4146" s="15" t="s">
        <v>8</v>
      </c>
      <c r="Q4146" s="15" t="s">
        <v>8</v>
      </c>
      <c r="S4146" s="15" t="s">
        <v>8</v>
      </c>
      <c r="T4146" s="15" t="s">
        <v>8</v>
      </c>
      <c r="V4146" s="20" t="str">
        <f>HYPERLINK("http://yeinfo.com/family/I09066390.html", "CECILIA ATTE LEEZ 1360 EN-1388 EN ID:09066240")</f>
        <v>CECILIA ATTE LEEZ 1360 EN-1388 EN ID:09066240</v>
      </c>
      <c r="W4146" s="17"/>
      <c r="X4146" s="17"/>
      <c r="Y4146" s="17"/>
      <c r="Z4146" s="17"/>
    </row>
    <row r="4147" spans="3:28" x14ac:dyDescent="0.35">
      <c r="C4147" s="15" t="s">
        <v>8</v>
      </c>
      <c r="D4147" s="15" t="s">
        <v>8</v>
      </c>
      <c r="E4147" s="15" t="s">
        <v>8</v>
      </c>
      <c r="F4147" s="15" t="s">
        <v>8</v>
      </c>
      <c r="H4147" s="15" t="s">
        <v>8</v>
      </c>
      <c r="I4147" s="15" t="s">
        <v>8</v>
      </c>
      <c r="J4147" s="15" t="s">
        <v>8</v>
      </c>
      <c r="P4147" s="15" t="s">
        <v>8</v>
      </c>
      <c r="Q4147" s="15" t="s">
        <v>8</v>
      </c>
      <c r="S4147" s="8" t="s">
        <v>6</v>
      </c>
      <c r="T4147" s="15" t="s">
        <v>8</v>
      </c>
    </row>
    <row r="4148" spans="3:28" x14ac:dyDescent="0.35">
      <c r="C4148" s="15" t="s">
        <v>8</v>
      </c>
      <c r="D4148" s="15" t="s">
        <v>8</v>
      </c>
      <c r="E4148" s="15" t="s">
        <v>8</v>
      </c>
      <c r="F4148" s="15" t="s">
        <v>8</v>
      </c>
      <c r="H4148" s="15" t="s">
        <v>8</v>
      </c>
      <c r="I4148" s="15" t="s">
        <v>8</v>
      </c>
      <c r="J4148" s="15" t="s">
        <v>8</v>
      </c>
      <c r="P4148" s="15" t="s">
        <v>8</v>
      </c>
      <c r="Q4148" s="15" t="s">
        <v>8</v>
      </c>
      <c r="S4148" s="20" t="str">
        <f>HYPERLINK("http://yeinfo.com/family/I09065868.html", "JULIAN DARRELL 1439 EN-1526 EN ID:09065723")</f>
        <v>JULIAN DARRELL 1439 EN-1526 EN ID:09065723</v>
      </c>
      <c r="T4148" s="17"/>
      <c r="U4148" s="17"/>
      <c r="V4148" s="17"/>
      <c r="W4148" s="17"/>
    </row>
    <row r="4149" spans="3:28" x14ac:dyDescent="0.35">
      <c r="C4149" s="15" t="s">
        <v>8</v>
      </c>
      <c r="D4149" s="15" t="s">
        <v>8</v>
      </c>
      <c r="E4149" s="15" t="s">
        <v>8</v>
      </c>
      <c r="F4149" s="15" t="s">
        <v>8</v>
      </c>
      <c r="H4149" s="15" t="s">
        <v>8</v>
      </c>
      <c r="I4149" s="15" t="s">
        <v>8</v>
      </c>
      <c r="J4149" s="15" t="s">
        <v>8</v>
      </c>
      <c r="P4149" s="15" t="s">
        <v>8</v>
      </c>
      <c r="Q4149" s="15" t="s">
        <v>8</v>
      </c>
      <c r="T4149" s="15" t="s">
        <v>8</v>
      </c>
    </row>
    <row r="4150" spans="3:28" x14ac:dyDescent="0.35">
      <c r="C4150" s="15" t="s">
        <v>8</v>
      </c>
      <c r="D4150" s="15" t="s">
        <v>8</v>
      </c>
      <c r="E4150" s="15" t="s">
        <v>8</v>
      </c>
      <c r="F4150" s="15" t="s">
        <v>8</v>
      </c>
      <c r="H4150" s="15" t="s">
        <v>8</v>
      </c>
      <c r="I4150" s="15" t="s">
        <v>8</v>
      </c>
      <c r="J4150" s="15" t="s">
        <v>8</v>
      </c>
      <c r="P4150" s="15" t="s">
        <v>8</v>
      </c>
      <c r="Q4150" s="15" t="s">
        <v>8</v>
      </c>
      <c r="T4150" s="15" t="s">
        <v>8</v>
      </c>
      <c r="W4150" s="19" t="str">
        <f>HYPERLINK("http://yeinfo.com/family/I09066351.html", "EDWARD GUILDFORD &lt;2&gt; 1331 EN-1351 EN ID:09066351")</f>
        <v>EDWARD GUILDFORD &lt;2&gt; 1331 EN-1351 EN ID:09066351</v>
      </c>
      <c r="X4150" s="9"/>
      <c r="Y4150" s="9"/>
      <c r="Z4150" s="9"/>
      <c r="AA4150" s="9"/>
    </row>
    <row r="4151" spans="3:28" x14ac:dyDescent="0.35">
      <c r="C4151" s="15" t="s">
        <v>8</v>
      </c>
      <c r="D4151" s="15" t="s">
        <v>8</v>
      </c>
      <c r="E4151" s="15" t="s">
        <v>8</v>
      </c>
      <c r="F4151" s="15" t="s">
        <v>8</v>
      </c>
      <c r="H4151" s="15" t="s">
        <v>8</v>
      </c>
      <c r="I4151" s="15" t="s">
        <v>8</v>
      </c>
      <c r="J4151" s="15" t="s">
        <v>8</v>
      </c>
      <c r="P4151" s="15" t="s">
        <v>8</v>
      </c>
      <c r="Q4151" s="15" t="s">
        <v>8</v>
      </c>
      <c r="T4151" s="15" t="s">
        <v>8</v>
      </c>
      <c r="W4151" s="8" t="s">
        <v>3</v>
      </c>
    </row>
    <row r="4152" spans="3:28" x14ac:dyDescent="0.35">
      <c r="C4152" s="15" t="s">
        <v>8</v>
      </c>
      <c r="D4152" s="15" t="s">
        <v>8</v>
      </c>
      <c r="E4152" s="15" t="s">
        <v>8</v>
      </c>
      <c r="F4152" s="15" t="s">
        <v>8</v>
      </c>
      <c r="H4152" s="15" t="s">
        <v>8</v>
      </c>
      <c r="I4152" s="15" t="s">
        <v>8</v>
      </c>
      <c r="J4152" s="15" t="s">
        <v>8</v>
      </c>
      <c r="P4152" s="15" t="s">
        <v>8</v>
      </c>
      <c r="Q4152" s="15" t="s">
        <v>8</v>
      </c>
      <c r="T4152" s="15" t="s">
        <v>8</v>
      </c>
      <c r="V4152" s="19" t="str">
        <f>HYPERLINK("http://yeinfo.com/family/I09066201.html", "WILLIAM GUILDFORD &lt;2&gt; 1348 EN-1394 EN ID:09066201")</f>
        <v>WILLIAM GUILDFORD &lt;2&gt; 1348 EN-1394 EN ID:09066201</v>
      </c>
      <c r="W4152" s="9"/>
      <c r="X4152" s="9"/>
      <c r="Y4152" s="9"/>
      <c r="Z4152" s="9"/>
    </row>
    <row r="4153" spans="3:28" x14ac:dyDescent="0.35">
      <c r="C4153" s="15" t="s">
        <v>8</v>
      </c>
      <c r="D4153" s="15" t="s">
        <v>8</v>
      </c>
      <c r="E4153" s="15" t="s">
        <v>8</v>
      </c>
      <c r="F4153" s="15" t="s">
        <v>8</v>
      </c>
      <c r="H4153" s="15" t="s">
        <v>8</v>
      </c>
      <c r="I4153" s="15" t="s">
        <v>8</v>
      </c>
      <c r="J4153" s="15" t="s">
        <v>8</v>
      </c>
      <c r="P4153" s="15" t="s">
        <v>8</v>
      </c>
      <c r="Q4153" s="15" t="s">
        <v>8</v>
      </c>
      <c r="T4153" s="15" t="s">
        <v>8</v>
      </c>
      <c r="V4153" s="8" t="s">
        <v>3</v>
      </c>
      <c r="W4153" s="8" t="s">
        <v>6</v>
      </c>
    </row>
    <row r="4154" spans="3:28" x14ac:dyDescent="0.35">
      <c r="C4154" s="15" t="s">
        <v>8</v>
      </c>
      <c r="D4154" s="15" t="s">
        <v>8</v>
      </c>
      <c r="E4154" s="15" t="s">
        <v>8</v>
      </c>
      <c r="F4154" s="15" t="s">
        <v>8</v>
      </c>
      <c r="H4154" s="15" t="s">
        <v>8</v>
      </c>
      <c r="I4154" s="15" t="s">
        <v>8</v>
      </c>
      <c r="J4154" s="15" t="s">
        <v>8</v>
      </c>
      <c r="P4154" s="15" t="s">
        <v>8</v>
      </c>
      <c r="Q4154" s="15" t="s">
        <v>8</v>
      </c>
      <c r="T4154" s="15" t="s">
        <v>8</v>
      </c>
      <c r="V4154" s="15" t="s">
        <v>8</v>
      </c>
      <c r="W4154" s="20" t="str">
        <f>HYPERLINK("http://yeinfo.com/family/I09066352.html", "ALICE SAMBOURNE &lt;2&gt; 1338 EN-1358 EN ID:09066352")</f>
        <v>ALICE SAMBOURNE &lt;2&gt; 1338 EN-1358 EN ID:09066352</v>
      </c>
      <c r="X4154" s="17"/>
      <c r="Y4154" s="17"/>
      <c r="Z4154" s="17"/>
      <c r="AA4154" s="17"/>
    </row>
    <row r="4155" spans="3:28" x14ac:dyDescent="0.35">
      <c r="C4155" s="15" t="s">
        <v>8</v>
      </c>
      <c r="D4155" s="15" t="s">
        <v>8</v>
      </c>
      <c r="E4155" s="15" t="s">
        <v>8</v>
      </c>
      <c r="F4155" s="15" t="s">
        <v>8</v>
      </c>
      <c r="H4155" s="15" t="s">
        <v>8</v>
      </c>
      <c r="I4155" s="15" t="s">
        <v>8</v>
      </c>
      <c r="J4155" s="15" t="s">
        <v>8</v>
      </c>
      <c r="P4155" s="15" t="s">
        <v>8</v>
      </c>
      <c r="Q4155" s="15" t="s">
        <v>8</v>
      </c>
      <c r="T4155" s="15" t="s">
        <v>8</v>
      </c>
      <c r="V4155" s="15" t="s">
        <v>8</v>
      </c>
    </row>
    <row r="4156" spans="3:28" x14ac:dyDescent="0.35">
      <c r="C4156" s="15" t="s">
        <v>8</v>
      </c>
      <c r="D4156" s="15" t="s">
        <v>8</v>
      </c>
      <c r="E4156" s="15" t="s">
        <v>8</v>
      </c>
      <c r="F4156" s="15" t="s">
        <v>8</v>
      </c>
      <c r="H4156" s="15" t="s">
        <v>8</v>
      </c>
      <c r="I4156" s="15" t="s">
        <v>8</v>
      </c>
      <c r="J4156" s="15" t="s">
        <v>8</v>
      </c>
      <c r="P4156" s="15" t="s">
        <v>8</v>
      </c>
      <c r="Q4156" s="15" t="s">
        <v>8</v>
      </c>
      <c r="T4156" s="15" t="s">
        <v>8</v>
      </c>
      <c r="U4156" s="19" t="str">
        <f>HYPERLINK("http://yeinfo.com/family/I09066017.html", "EDWARD GUILDFORD &lt;2&gt; 1385 EN-1449 EN ID:09066017")</f>
        <v>EDWARD GUILDFORD &lt;2&gt; 1385 EN-1449 EN ID:09066017</v>
      </c>
      <c r="V4156" s="9"/>
      <c r="W4156" s="9"/>
      <c r="X4156" s="9"/>
      <c r="Y4156" s="9"/>
    </row>
    <row r="4157" spans="3:28" x14ac:dyDescent="0.35">
      <c r="C4157" s="15" t="s">
        <v>8</v>
      </c>
      <c r="D4157" s="15" t="s">
        <v>8</v>
      </c>
      <c r="E4157" s="15" t="s">
        <v>8</v>
      </c>
      <c r="F4157" s="15" t="s">
        <v>8</v>
      </c>
      <c r="H4157" s="15" t="s">
        <v>8</v>
      </c>
      <c r="I4157" s="15" t="s">
        <v>8</v>
      </c>
      <c r="J4157" s="15" t="s">
        <v>8</v>
      </c>
      <c r="P4157" s="15" t="s">
        <v>8</v>
      </c>
      <c r="Q4157" s="15" t="s">
        <v>8</v>
      </c>
      <c r="T4157" s="15" t="s">
        <v>8</v>
      </c>
      <c r="U4157" s="8" t="s">
        <v>3</v>
      </c>
      <c r="V4157" s="15" t="s">
        <v>8</v>
      </c>
    </row>
    <row r="4158" spans="3:28" x14ac:dyDescent="0.35">
      <c r="C4158" s="15" t="s">
        <v>8</v>
      </c>
      <c r="D4158" s="15" t="s">
        <v>8</v>
      </c>
      <c r="E4158" s="15" t="s">
        <v>8</v>
      </c>
      <c r="F4158" s="15" t="s">
        <v>8</v>
      </c>
      <c r="H4158" s="15" t="s">
        <v>8</v>
      </c>
      <c r="I4158" s="15" t="s">
        <v>8</v>
      </c>
      <c r="J4158" s="15" t="s">
        <v>8</v>
      </c>
      <c r="P4158" s="15" t="s">
        <v>8</v>
      </c>
      <c r="Q4158" s="15" t="s">
        <v>8</v>
      </c>
      <c r="T4158" s="15" t="s">
        <v>8</v>
      </c>
      <c r="U4158" s="15" t="s">
        <v>8</v>
      </c>
      <c r="V4158" s="15" t="s">
        <v>8</v>
      </c>
      <c r="W4158" s="19" t="str">
        <f>HYPERLINK("http://yeinfo.com/family/I09066353.html", "JOHN\WILLIAM HALDEN &lt;2&gt; 1325 EN-1346 EN ID:09066353")</f>
        <v>JOHN\WILLIAM HALDEN &lt;2&gt; 1325 EN-1346 EN ID:09066353</v>
      </c>
      <c r="X4158" s="9"/>
      <c r="Y4158" s="9"/>
      <c r="Z4158" s="9"/>
      <c r="AA4158" s="9"/>
      <c r="AB4158" s="9"/>
    </row>
    <row r="4159" spans="3:28" x14ac:dyDescent="0.35">
      <c r="C4159" s="15" t="s">
        <v>8</v>
      </c>
      <c r="D4159" s="15" t="s">
        <v>8</v>
      </c>
      <c r="E4159" s="15" t="s">
        <v>8</v>
      </c>
      <c r="F4159" s="15" t="s">
        <v>8</v>
      </c>
      <c r="H4159" s="15" t="s">
        <v>8</v>
      </c>
      <c r="I4159" s="15" t="s">
        <v>8</v>
      </c>
      <c r="J4159" s="15" t="s">
        <v>8</v>
      </c>
      <c r="P4159" s="15" t="s">
        <v>8</v>
      </c>
      <c r="Q4159" s="15" t="s">
        <v>8</v>
      </c>
      <c r="T4159" s="15" t="s">
        <v>8</v>
      </c>
      <c r="U4159" s="15" t="s">
        <v>8</v>
      </c>
      <c r="V4159" s="8" t="s">
        <v>6</v>
      </c>
      <c r="W4159" s="8" t="s">
        <v>3</v>
      </c>
    </row>
    <row r="4160" spans="3:28" x14ac:dyDescent="0.35">
      <c r="C4160" s="15" t="s">
        <v>8</v>
      </c>
      <c r="D4160" s="15" t="s">
        <v>8</v>
      </c>
      <c r="E4160" s="15" t="s">
        <v>8</v>
      </c>
      <c r="F4160" s="15" t="s">
        <v>8</v>
      </c>
      <c r="H4160" s="15" t="s">
        <v>8</v>
      </c>
      <c r="I4160" s="15" t="s">
        <v>8</v>
      </c>
      <c r="J4160" s="15" t="s">
        <v>8</v>
      </c>
      <c r="P4160" s="15" t="s">
        <v>8</v>
      </c>
      <c r="Q4160" s="15" t="s">
        <v>8</v>
      </c>
      <c r="T4160" s="15" t="s">
        <v>8</v>
      </c>
      <c r="U4160" s="15" t="s">
        <v>8</v>
      </c>
      <c r="V4160" s="20" t="str">
        <f>HYPERLINK("http://yeinfo.com/family/I09066202.html", "JOAN HALDEN &lt;2&gt; 1346 EN-1411 EN ID:09066202")</f>
        <v>JOAN HALDEN &lt;2&gt; 1346 EN-1411 EN ID:09066202</v>
      </c>
      <c r="W4160" s="17"/>
      <c r="X4160" s="17"/>
      <c r="Y4160" s="17"/>
      <c r="Z4160" s="17"/>
    </row>
    <row r="4161" spans="3:27" x14ac:dyDescent="0.35">
      <c r="C4161" s="15" t="s">
        <v>8</v>
      </c>
      <c r="D4161" s="15" t="s">
        <v>8</v>
      </c>
      <c r="E4161" s="15" t="s">
        <v>8</v>
      </c>
      <c r="F4161" s="15" t="s">
        <v>8</v>
      </c>
      <c r="H4161" s="15" t="s">
        <v>8</v>
      </c>
      <c r="I4161" s="15" t="s">
        <v>8</v>
      </c>
      <c r="J4161" s="15" t="s">
        <v>8</v>
      </c>
      <c r="P4161" s="15" t="s">
        <v>8</v>
      </c>
      <c r="Q4161" s="15" t="s">
        <v>8</v>
      </c>
      <c r="T4161" s="15" t="s">
        <v>8</v>
      </c>
      <c r="U4161" s="15" t="s">
        <v>8</v>
      </c>
      <c r="W4161" s="8" t="s">
        <v>6</v>
      </c>
    </row>
    <row r="4162" spans="3:27" x14ac:dyDescent="0.35">
      <c r="C4162" s="15" t="s">
        <v>8</v>
      </c>
      <c r="D4162" s="15" t="s">
        <v>8</v>
      </c>
      <c r="E4162" s="15" t="s">
        <v>8</v>
      </c>
      <c r="F4162" s="15" t="s">
        <v>8</v>
      </c>
      <c r="H4162" s="15" t="s">
        <v>8</v>
      </c>
      <c r="I4162" s="15" t="s">
        <v>8</v>
      </c>
      <c r="J4162" s="15" t="s">
        <v>8</v>
      </c>
      <c r="P4162" s="15" t="s">
        <v>8</v>
      </c>
      <c r="Q4162" s="15" t="s">
        <v>8</v>
      </c>
      <c r="T4162" s="15" t="s">
        <v>8</v>
      </c>
      <c r="U4162" s="15" t="s">
        <v>8</v>
      </c>
      <c r="W4162" s="20" t="str">
        <f>HYPERLINK("http://yeinfo.com/family/I09066354.html", "Mrs. EMMA HALDEN &lt;2&gt; 1325 -1346 EN ID:09066354")</f>
        <v>Mrs. EMMA HALDEN &lt;2&gt; 1325 -1346 EN ID:09066354</v>
      </c>
      <c r="X4162" s="17"/>
      <c r="Y4162" s="17"/>
      <c r="Z4162" s="17"/>
      <c r="AA4162" s="17"/>
    </row>
    <row r="4163" spans="3:27" x14ac:dyDescent="0.35">
      <c r="C4163" s="15" t="s">
        <v>8</v>
      </c>
      <c r="D4163" s="15" t="s">
        <v>8</v>
      </c>
      <c r="E4163" s="15" t="s">
        <v>8</v>
      </c>
      <c r="F4163" s="15" t="s">
        <v>8</v>
      </c>
      <c r="H4163" s="15" t="s">
        <v>8</v>
      </c>
      <c r="I4163" s="15" t="s">
        <v>8</v>
      </c>
      <c r="J4163" s="15" t="s">
        <v>8</v>
      </c>
      <c r="P4163" s="15" t="s">
        <v>8</v>
      </c>
      <c r="Q4163" s="15" t="s">
        <v>8</v>
      </c>
      <c r="T4163" s="8" t="s">
        <v>6</v>
      </c>
      <c r="U4163" s="15" t="s">
        <v>8</v>
      </c>
    </row>
    <row r="4164" spans="3:27" x14ac:dyDescent="0.35">
      <c r="C4164" s="15" t="s">
        <v>8</v>
      </c>
      <c r="D4164" s="15" t="s">
        <v>8</v>
      </c>
      <c r="E4164" s="15" t="s">
        <v>8</v>
      </c>
      <c r="F4164" s="15" t="s">
        <v>8</v>
      </c>
      <c r="H4164" s="15" t="s">
        <v>8</v>
      </c>
      <c r="I4164" s="15" t="s">
        <v>8</v>
      </c>
      <c r="J4164" s="15" t="s">
        <v>8</v>
      </c>
      <c r="P4164" s="15" t="s">
        <v>8</v>
      </c>
      <c r="Q4164" s="15" t="s">
        <v>8</v>
      </c>
      <c r="T4164" s="20" t="str">
        <f>HYPERLINK("http://yeinfo.com/family/I09066240.html", "ANNE GUILDFORD 1411 EN-1485 EN ID:09065870")</f>
        <v>ANNE GUILDFORD 1411 EN-1485 EN ID:09065870</v>
      </c>
      <c r="U4164" s="17"/>
      <c r="V4164" s="17"/>
      <c r="W4164" s="17"/>
      <c r="X4164" s="17"/>
    </row>
    <row r="4165" spans="3:27" x14ac:dyDescent="0.35">
      <c r="C4165" s="15" t="s">
        <v>8</v>
      </c>
      <c r="D4165" s="15" t="s">
        <v>8</v>
      </c>
      <c r="E4165" s="15" t="s">
        <v>8</v>
      </c>
      <c r="F4165" s="15" t="s">
        <v>8</v>
      </c>
      <c r="H4165" s="15" t="s">
        <v>8</v>
      </c>
      <c r="I4165" s="15" t="s">
        <v>8</v>
      </c>
      <c r="J4165" s="15" t="s">
        <v>8</v>
      </c>
      <c r="P4165" s="15" t="s">
        <v>8</v>
      </c>
      <c r="Q4165" s="15" t="s">
        <v>8</v>
      </c>
      <c r="U4165" s="8" t="s">
        <v>6</v>
      </c>
    </row>
    <row r="4166" spans="3:27" x14ac:dyDescent="0.35">
      <c r="C4166" s="15" t="s">
        <v>8</v>
      </c>
      <c r="D4166" s="15" t="s">
        <v>8</v>
      </c>
      <c r="E4166" s="15" t="s">
        <v>8</v>
      </c>
      <c r="F4166" s="15" t="s">
        <v>8</v>
      </c>
      <c r="H4166" s="15" t="s">
        <v>8</v>
      </c>
      <c r="I4166" s="15" t="s">
        <v>8</v>
      </c>
      <c r="J4166" s="15" t="s">
        <v>8</v>
      </c>
      <c r="P4166" s="15" t="s">
        <v>8</v>
      </c>
      <c r="Q4166" s="15" t="s">
        <v>8</v>
      </c>
      <c r="U4166" s="20" t="str">
        <f>HYPERLINK("http://yeinfo.com/family/I09066018.html", "JULIANA PITTLESDEN &lt;2&gt; 1387 EN-1422 EN ID:09066018")</f>
        <v>JULIANA PITTLESDEN &lt;2&gt; 1387 EN-1422 EN ID:09066018</v>
      </c>
      <c r="V4166" s="17"/>
      <c r="W4166" s="17"/>
      <c r="X4166" s="17"/>
      <c r="Y4166" s="17"/>
    </row>
    <row r="4167" spans="3:27" x14ac:dyDescent="0.35">
      <c r="C4167" s="15" t="s">
        <v>8</v>
      </c>
      <c r="D4167" s="15" t="s">
        <v>8</v>
      </c>
      <c r="E4167" s="15" t="s">
        <v>8</v>
      </c>
      <c r="F4167" s="15" t="s">
        <v>8</v>
      </c>
      <c r="H4167" s="15" t="s">
        <v>8</v>
      </c>
      <c r="I4167" s="15" t="s">
        <v>8</v>
      </c>
      <c r="J4167" s="15" t="s">
        <v>8</v>
      </c>
      <c r="P4167" s="8" t="s">
        <v>6</v>
      </c>
      <c r="Q4167" s="15" t="s">
        <v>8</v>
      </c>
    </row>
    <row r="4168" spans="3:27" x14ac:dyDescent="0.35">
      <c r="C4168" s="15" t="s">
        <v>8</v>
      </c>
      <c r="D4168" s="15" t="s">
        <v>8</v>
      </c>
      <c r="E4168" s="15" t="s">
        <v>8</v>
      </c>
      <c r="F4168" s="15" t="s">
        <v>8</v>
      </c>
      <c r="H4168" s="15" t="s">
        <v>8</v>
      </c>
      <c r="I4168" s="15" t="s">
        <v>8</v>
      </c>
      <c r="J4168" s="15" t="s">
        <v>8</v>
      </c>
      <c r="P4168" s="16" t="str">
        <f>HYPERLINK("http://yeinfo.com/family/I09065864.html", "JUDITH BOURNE 1557 -1610 EN ID:09021695")</f>
        <v>JUDITH BOURNE 1557 -1610 EN ID:09021695</v>
      </c>
      <c r="Q4168" s="11"/>
      <c r="R4168" s="11"/>
      <c r="S4168" s="11"/>
      <c r="T4168" s="11"/>
    </row>
    <row r="4169" spans="3:27" x14ac:dyDescent="0.35">
      <c r="C4169" s="15" t="s">
        <v>8</v>
      </c>
      <c r="D4169" s="15" t="s">
        <v>8</v>
      </c>
      <c r="E4169" s="15" t="s">
        <v>8</v>
      </c>
      <c r="F4169" s="15" t="s">
        <v>8</v>
      </c>
      <c r="H4169" s="15" t="s">
        <v>8</v>
      </c>
      <c r="I4169" s="15" t="s">
        <v>8</v>
      </c>
      <c r="J4169" s="15" t="s">
        <v>8</v>
      </c>
      <c r="Q4169" s="8" t="s">
        <v>6</v>
      </c>
    </row>
    <row r="4170" spans="3:27" x14ac:dyDescent="0.35">
      <c r="C4170" s="15" t="s">
        <v>8</v>
      </c>
      <c r="D4170" s="15" t="s">
        <v>8</v>
      </c>
      <c r="E4170" s="15" t="s">
        <v>8</v>
      </c>
      <c r="F4170" s="15" t="s">
        <v>8</v>
      </c>
      <c r="H4170" s="15" t="s">
        <v>8</v>
      </c>
      <c r="I4170" s="15" t="s">
        <v>8</v>
      </c>
      <c r="J4170" s="15" t="s">
        <v>8</v>
      </c>
      <c r="Q4170" s="20" t="str">
        <f>HYPERLINK("http://yeinfo.com/family/I09065870.html", "MAUDLIN ILES 1533 EN-1624 EN ID:09043391")</f>
        <v>MAUDLIN ILES 1533 EN-1624 EN ID:09043391</v>
      </c>
      <c r="R4170" s="17"/>
      <c r="S4170" s="17"/>
      <c r="T4170" s="17"/>
      <c r="U4170" s="17"/>
    </row>
    <row r="4171" spans="3:27" x14ac:dyDescent="0.35">
      <c r="C4171" s="15" t="s">
        <v>8</v>
      </c>
      <c r="D4171" s="15" t="s">
        <v>8</v>
      </c>
      <c r="E4171" s="15" t="s">
        <v>8</v>
      </c>
      <c r="F4171" s="15" t="s">
        <v>8</v>
      </c>
      <c r="H4171" s="15" t="s">
        <v>8</v>
      </c>
      <c r="I4171" s="8" t="s">
        <v>6</v>
      </c>
      <c r="J4171" s="15" t="s">
        <v>8</v>
      </c>
    </row>
    <row r="4172" spans="3:27" x14ac:dyDescent="0.35">
      <c r="C4172" s="15" t="s">
        <v>8</v>
      </c>
      <c r="D4172" s="15" t="s">
        <v>8</v>
      </c>
      <c r="E4172" s="15" t="s">
        <v>8</v>
      </c>
      <c r="F4172" s="15" t="s">
        <v>8</v>
      </c>
      <c r="H4172" s="15" t="s">
        <v>8</v>
      </c>
      <c r="I4172" s="16" t="str">
        <f>HYPERLINK("http://yeinfo.com/family/I09000675.html", "ABIGAIL SCOTT 1773 NH-1793  ID:09000169")</f>
        <v>ABIGAIL SCOTT 1773 NH-1793  ID:09000169</v>
      </c>
      <c r="J4172" s="11"/>
      <c r="K4172" s="11"/>
      <c r="L4172" s="11"/>
      <c r="M4172" s="11"/>
    </row>
    <row r="4173" spans="3:27" x14ac:dyDescent="0.35">
      <c r="C4173" s="15" t="s">
        <v>8</v>
      </c>
      <c r="D4173" s="15" t="s">
        <v>8</v>
      </c>
      <c r="E4173" s="15" t="s">
        <v>8</v>
      </c>
      <c r="F4173" s="15" t="s">
        <v>8</v>
      </c>
      <c r="H4173" s="15" t="s">
        <v>8</v>
      </c>
      <c r="J4173" s="15" t="s">
        <v>8</v>
      </c>
    </row>
    <row r="4174" spans="3:27" x14ac:dyDescent="0.35">
      <c r="C4174" s="15" t="s">
        <v>8</v>
      </c>
      <c r="D4174" s="15" t="s">
        <v>8</v>
      </c>
      <c r="E4174" s="15" t="s">
        <v>8</v>
      </c>
      <c r="F4174" s="15" t="s">
        <v>8</v>
      </c>
      <c r="H4174" s="15" t="s">
        <v>8</v>
      </c>
      <c r="J4174" s="15" t="s">
        <v>8</v>
      </c>
      <c r="O4174" s="21" t="str">
        <f>HYPERLINK("http://yeinfo.com/family/I09005424.html", "HENRY CHAMBERLAIN 1595 EN-1674 MA ID:09010848")</f>
        <v>HENRY CHAMBERLAIN 1595 EN-1674 MA ID:09010848</v>
      </c>
      <c r="P4174" s="6"/>
      <c r="Q4174" s="6"/>
      <c r="R4174" s="6"/>
      <c r="S4174" s="6"/>
    </row>
    <row r="4175" spans="3:27" x14ac:dyDescent="0.35">
      <c r="C4175" s="15" t="s">
        <v>8</v>
      </c>
      <c r="D4175" s="15" t="s">
        <v>8</v>
      </c>
      <c r="E4175" s="15" t="s">
        <v>8</v>
      </c>
      <c r="F4175" s="15" t="s">
        <v>8</v>
      </c>
      <c r="H4175" s="15" t="s">
        <v>8</v>
      </c>
      <c r="J4175" s="15" t="s">
        <v>8</v>
      </c>
      <c r="O4175" s="8" t="s">
        <v>3</v>
      </c>
    </row>
    <row r="4176" spans="3:27" x14ac:dyDescent="0.35">
      <c r="C4176" s="15" t="s">
        <v>8</v>
      </c>
      <c r="D4176" s="15" t="s">
        <v>8</v>
      </c>
      <c r="E4176" s="15" t="s">
        <v>8</v>
      </c>
      <c r="F4176" s="15" t="s">
        <v>8</v>
      </c>
      <c r="H4176" s="15" t="s">
        <v>8</v>
      </c>
      <c r="J4176" s="15" t="s">
        <v>8</v>
      </c>
      <c r="N4176" s="21" t="str">
        <f>HYPERLINK("http://yeinfo.com/family/I09002712.html", "HENRY CHAMBERLAIN 1619 EN-1678 MA ID:09005424")</f>
        <v>HENRY CHAMBERLAIN 1619 EN-1678 MA ID:09005424</v>
      </c>
      <c r="O4176" s="6"/>
      <c r="P4176" s="6"/>
      <c r="Q4176" s="6"/>
      <c r="R4176" s="6"/>
    </row>
    <row r="4177" spans="3:20" x14ac:dyDescent="0.35">
      <c r="C4177" s="15" t="s">
        <v>8</v>
      </c>
      <c r="D4177" s="15" t="s">
        <v>8</v>
      </c>
      <c r="E4177" s="15" t="s">
        <v>8</v>
      </c>
      <c r="F4177" s="15" t="s">
        <v>8</v>
      </c>
      <c r="H4177" s="15" t="s">
        <v>8</v>
      </c>
      <c r="J4177" s="15" t="s">
        <v>8</v>
      </c>
      <c r="N4177" s="8" t="s">
        <v>3</v>
      </c>
      <c r="O4177" s="8" t="s">
        <v>6</v>
      </c>
    </row>
    <row r="4178" spans="3:20" x14ac:dyDescent="0.35">
      <c r="C4178" s="15" t="s">
        <v>8</v>
      </c>
      <c r="D4178" s="15" t="s">
        <v>8</v>
      </c>
      <c r="E4178" s="15" t="s">
        <v>8</v>
      </c>
      <c r="F4178" s="15" t="s">
        <v>8</v>
      </c>
      <c r="H4178" s="15" t="s">
        <v>8</v>
      </c>
      <c r="J4178" s="15" t="s">
        <v>8</v>
      </c>
      <c r="N4178" s="15" t="s">
        <v>8</v>
      </c>
      <c r="O4178" s="22" t="str">
        <f>HYPERLINK("http://yeinfo.com/family/I09010848.html", "JANE\JOAN FREEMAN 1595 EN-1634 MA ID:09010849")</f>
        <v>JANE\JOAN FREEMAN 1595 EN-1634 MA ID:09010849</v>
      </c>
      <c r="P4178" s="13"/>
      <c r="Q4178" s="13"/>
      <c r="R4178" s="13"/>
      <c r="S4178" s="13"/>
      <c r="T4178" s="13"/>
    </row>
    <row r="4179" spans="3:20" x14ac:dyDescent="0.35">
      <c r="C4179" s="15" t="s">
        <v>8</v>
      </c>
      <c r="D4179" s="15" t="s">
        <v>8</v>
      </c>
      <c r="E4179" s="15" t="s">
        <v>8</v>
      </c>
      <c r="F4179" s="15" t="s">
        <v>8</v>
      </c>
      <c r="H4179" s="15" t="s">
        <v>8</v>
      </c>
      <c r="J4179" s="15" t="s">
        <v>8</v>
      </c>
      <c r="N4179" s="15" t="s">
        <v>8</v>
      </c>
    </row>
    <row r="4180" spans="3:20" x14ac:dyDescent="0.35">
      <c r="C4180" s="15" t="s">
        <v>8</v>
      </c>
      <c r="D4180" s="15" t="s">
        <v>8</v>
      </c>
      <c r="E4180" s="15" t="s">
        <v>8</v>
      </c>
      <c r="F4180" s="15" t="s">
        <v>8</v>
      </c>
      <c r="H4180" s="15" t="s">
        <v>8</v>
      </c>
      <c r="J4180" s="15" t="s">
        <v>8</v>
      </c>
      <c r="M4180" s="5" t="str">
        <f>HYPERLINK("http://yeinfo.com/family/I09001356.html", "HENRY CHAMBERLAIN 1655 -1699 MA ID:09002712")</f>
        <v>HENRY CHAMBERLAIN 1655 -1699 MA ID:09002712</v>
      </c>
      <c r="N4180" s="3"/>
      <c r="O4180" s="3"/>
      <c r="P4180" s="3"/>
      <c r="Q4180" s="3"/>
    </row>
    <row r="4181" spans="3:20" x14ac:dyDescent="0.35">
      <c r="C4181" s="15" t="s">
        <v>8</v>
      </c>
      <c r="D4181" s="15" t="s">
        <v>8</v>
      </c>
      <c r="E4181" s="15" t="s">
        <v>8</v>
      </c>
      <c r="F4181" s="15" t="s">
        <v>8</v>
      </c>
      <c r="H4181" s="15" t="s">
        <v>8</v>
      </c>
      <c r="J4181" s="15" t="s">
        <v>8</v>
      </c>
      <c r="M4181" s="8" t="s">
        <v>3</v>
      </c>
      <c r="N4181" s="15" t="s">
        <v>8</v>
      </c>
    </row>
    <row r="4182" spans="3:20" x14ac:dyDescent="0.35">
      <c r="C4182" s="15" t="s">
        <v>8</v>
      </c>
      <c r="D4182" s="15" t="s">
        <v>8</v>
      </c>
      <c r="E4182" s="15" t="s">
        <v>8</v>
      </c>
      <c r="F4182" s="15" t="s">
        <v>8</v>
      </c>
      <c r="H4182" s="15" t="s">
        <v>8</v>
      </c>
      <c r="J4182" s="15" t="s">
        <v>8</v>
      </c>
      <c r="M4182" s="15" t="s">
        <v>8</v>
      </c>
      <c r="N4182" s="15" t="s">
        <v>8</v>
      </c>
      <c r="O4182" s="21" t="str">
        <f>HYPERLINK("http://yeinfo.com/family/I09005425.html", "ABRAHAM THOMAS JONES 1602 EN-1681 MA ID:09010850")</f>
        <v>ABRAHAM THOMAS JONES 1602 EN-1681 MA ID:09010850</v>
      </c>
      <c r="P4182" s="6"/>
      <c r="Q4182" s="6"/>
      <c r="R4182" s="6"/>
      <c r="S4182" s="6"/>
    </row>
    <row r="4183" spans="3:20" x14ac:dyDescent="0.35">
      <c r="C4183" s="15" t="s">
        <v>8</v>
      </c>
      <c r="D4183" s="15" t="s">
        <v>8</v>
      </c>
      <c r="E4183" s="15" t="s">
        <v>8</v>
      </c>
      <c r="F4183" s="15" t="s">
        <v>8</v>
      </c>
      <c r="H4183" s="15" t="s">
        <v>8</v>
      </c>
      <c r="J4183" s="15" t="s">
        <v>8</v>
      </c>
      <c r="M4183" s="15" t="s">
        <v>8</v>
      </c>
      <c r="N4183" s="8" t="s">
        <v>6</v>
      </c>
      <c r="O4183" s="8" t="s">
        <v>3</v>
      </c>
    </row>
    <row r="4184" spans="3:20" x14ac:dyDescent="0.35">
      <c r="C4184" s="15" t="s">
        <v>8</v>
      </c>
      <c r="D4184" s="15" t="s">
        <v>8</v>
      </c>
      <c r="E4184" s="15" t="s">
        <v>8</v>
      </c>
      <c r="F4184" s="15" t="s">
        <v>8</v>
      </c>
      <c r="H4184" s="15" t="s">
        <v>8</v>
      </c>
      <c r="J4184" s="15" t="s">
        <v>8</v>
      </c>
      <c r="M4184" s="15" t="s">
        <v>8</v>
      </c>
      <c r="N4184" s="16" t="str">
        <f>HYPERLINK("http://yeinfo.com/family/I09010849.html", "SARAH\SUSANNA JONES 1635 EN-1710  ID:09005425")</f>
        <v>SARAH\SUSANNA JONES 1635 EN-1710  ID:09005425</v>
      </c>
      <c r="O4184" s="11"/>
      <c r="P4184" s="11"/>
      <c r="Q4184" s="11"/>
      <c r="R4184" s="11"/>
      <c r="S4184" s="11"/>
    </row>
    <row r="4185" spans="3:20" x14ac:dyDescent="0.35">
      <c r="C4185" s="15" t="s">
        <v>8</v>
      </c>
      <c r="D4185" s="15" t="s">
        <v>8</v>
      </c>
      <c r="E4185" s="15" t="s">
        <v>8</v>
      </c>
      <c r="F4185" s="15" t="s">
        <v>8</v>
      </c>
      <c r="H4185" s="15" t="s">
        <v>8</v>
      </c>
      <c r="J4185" s="15" t="s">
        <v>8</v>
      </c>
      <c r="M4185" s="15" t="s">
        <v>8</v>
      </c>
      <c r="O4185" s="8" t="s">
        <v>6</v>
      </c>
    </row>
    <row r="4186" spans="3:20" x14ac:dyDescent="0.35">
      <c r="C4186" s="15" t="s">
        <v>8</v>
      </c>
      <c r="D4186" s="15" t="s">
        <v>8</v>
      </c>
      <c r="E4186" s="15" t="s">
        <v>8</v>
      </c>
      <c r="F4186" s="15" t="s">
        <v>8</v>
      </c>
      <c r="H4186" s="15" t="s">
        <v>8</v>
      </c>
      <c r="J4186" s="15" t="s">
        <v>8</v>
      </c>
      <c r="M4186" s="15" t="s">
        <v>8</v>
      </c>
      <c r="O4186" s="22" t="str">
        <f>HYPERLINK("http://yeinfo.com/family/I09010850.html", "Mrs. ANN JONES 1602 EN-1635 MA ID:09010851")</f>
        <v>Mrs. ANN JONES 1602 EN-1635 MA ID:09010851</v>
      </c>
      <c r="P4186" s="13"/>
      <c r="Q4186" s="13"/>
      <c r="R4186" s="13"/>
      <c r="S4186" s="13"/>
    </row>
    <row r="4187" spans="3:20" x14ac:dyDescent="0.35">
      <c r="C4187" s="15" t="s">
        <v>8</v>
      </c>
      <c r="D4187" s="15" t="s">
        <v>8</v>
      </c>
      <c r="E4187" s="15" t="s">
        <v>8</v>
      </c>
      <c r="F4187" s="15" t="s">
        <v>8</v>
      </c>
      <c r="H4187" s="15" t="s">
        <v>8</v>
      </c>
      <c r="J4187" s="15" t="s">
        <v>8</v>
      </c>
      <c r="M4187" s="15" t="s">
        <v>8</v>
      </c>
    </row>
    <row r="4188" spans="3:20" x14ac:dyDescent="0.35">
      <c r="C4188" s="15" t="s">
        <v>8</v>
      </c>
      <c r="D4188" s="15" t="s">
        <v>8</v>
      </c>
      <c r="E4188" s="15" t="s">
        <v>8</v>
      </c>
      <c r="F4188" s="15" t="s">
        <v>8</v>
      </c>
      <c r="H4188" s="15" t="s">
        <v>8</v>
      </c>
      <c r="J4188" s="15" t="s">
        <v>8</v>
      </c>
      <c r="L4188" s="5" t="str">
        <f>HYPERLINK("http://yeinfo.com/family/I09000678.html", "HENRY CHAMBERLAIN 1686 MA-1715  ID:09001356")</f>
        <v>HENRY CHAMBERLAIN 1686 MA-1715  ID:09001356</v>
      </c>
      <c r="M4188" s="3"/>
      <c r="N4188" s="3"/>
      <c r="O4188" s="3"/>
      <c r="P4188" s="3"/>
    </row>
    <row r="4189" spans="3:20" x14ac:dyDescent="0.35">
      <c r="C4189" s="15" t="s">
        <v>8</v>
      </c>
      <c r="D4189" s="15" t="s">
        <v>8</v>
      </c>
      <c r="E4189" s="15" t="s">
        <v>8</v>
      </c>
      <c r="F4189" s="15" t="s">
        <v>8</v>
      </c>
      <c r="H4189" s="15" t="s">
        <v>8</v>
      </c>
      <c r="J4189" s="15" t="s">
        <v>8</v>
      </c>
      <c r="L4189" s="8" t="s">
        <v>3</v>
      </c>
      <c r="M4189" s="8" t="s">
        <v>6</v>
      </c>
    </row>
    <row r="4190" spans="3:20" x14ac:dyDescent="0.35">
      <c r="C4190" s="15" t="s">
        <v>8</v>
      </c>
      <c r="D4190" s="15" t="s">
        <v>8</v>
      </c>
      <c r="E4190" s="15" t="s">
        <v>8</v>
      </c>
      <c r="F4190" s="15" t="s">
        <v>8</v>
      </c>
      <c r="H4190" s="15" t="s">
        <v>8</v>
      </c>
      <c r="J4190" s="15" t="s">
        <v>8</v>
      </c>
      <c r="L4190" s="15" t="s">
        <v>8</v>
      </c>
      <c r="M4190" s="16" t="str">
        <f>HYPERLINK("http://yeinfo.com/family/I09010851.html", "Mrs. JANE\JOAN\MARY CHAMBERLAIN 1662 -1699 MA ID:09002713")</f>
        <v>Mrs. JANE\JOAN\MARY CHAMBERLAIN 1662 -1699 MA ID:09002713</v>
      </c>
      <c r="N4190" s="11"/>
      <c r="O4190" s="11"/>
      <c r="P4190" s="11"/>
      <c r="Q4190" s="11"/>
      <c r="R4190" s="11"/>
      <c r="S4190" s="11"/>
    </row>
    <row r="4191" spans="3:20" x14ac:dyDescent="0.35">
      <c r="C4191" s="15" t="s">
        <v>8</v>
      </c>
      <c r="D4191" s="15" t="s">
        <v>8</v>
      </c>
      <c r="E4191" s="15" t="s">
        <v>8</v>
      </c>
      <c r="F4191" s="15" t="s">
        <v>8</v>
      </c>
      <c r="H4191" s="15" t="s">
        <v>8</v>
      </c>
      <c r="J4191" s="15" t="s">
        <v>8</v>
      </c>
      <c r="L4191" s="15" t="s">
        <v>8</v>
      </c>
    </row>
    <row r="4192" spans="3:20" x14ac:dyDescent="0.35">
      <c r="C4192" s="15" t="s">
        <v>8</v>
      </c>
      <c r="D4192" s="15" t="s">
        <v>8</v>
      </c>
      <c r="E4192" s="15" t="s">
        <v>8</v>
      </c>
      <c r="F4192" s="15" t="s">
        <v>8</v>
      </c>
      <c r="H4192" s="15" t="s">
        <v>8</v>
      </c>
      <c r="J4192" s="15" t="s">
        <v>8</v>
      </c>
      <c r="K4192" s="5" t="str">
        <f>HYPERLINK("http://yeinfo.com/family/I09000339.html", "HENRY CHAMBERLAIN 1717 MA-1787 VT ID:09000678")</f>
        <v>HENRY CHAMBERLAIN 1717 MA-1787 VT ID:09000678</v>
      </c>
      <c r="L4192" s="3"/>
      <c r="M4192" s="3"/>
      <c r="N4192" s="3"/>
      <c r="O4192" s="3"/>
    </row>
    <row r="4193" spans="3:21" x14ac:dyDescent="0.35">
      <c r="C4193" s="15" t="s">
        <v>8</v>
      </c>
      <c r="D4193" s="15" t="s">
        <v>8</v>
      </c>
      <c r="E4193" s="15" t="s">
        <v>8</v>
      </c>
      <c r="F4193" s="15" t="s">
        <v>8</v>
      </c>
      <c r="H4193" s="15" t="s">
        <v>8</v>
      </c>
      <c r="J4193" s="15" t="s">
        <v>8</v>
      </c>
      <c r="K4193" s="8" t="s">
        <v>3</v>
      </c>
      <c r="L4193" s="15" t="s">
        <v>8</v>
      </c>
    </row>
    <row r="4194" spans="3:21" x14ac:dyDescent="0.35">
      <c r="C4194" s="15" t="s">
        <v>8</v>
      </c>
      <c r="D4194" s="15" t="s">
        <v>8</v>
      </c>
      <c r="E4194" s="15" t="s">
        <v>8</v>
      </c>
      <c r="F4194" s="15" t="s">
        <v>8</v>
      </c>
      <c r="H4194" s="15" t="s">
        <v>8</v>
      </c>
      <c r="J4194" s="15" t="s">
        <v>8</v>
      </c>
      <c r="K4194" s="15" t="s">
        <v>8</v>
      </c>
      <c r="L4194" s="15" t="s">
        <v>8</v>
      </c>
      <c r="Q4194" s="19" t="str">
        <f>HYPERLINK("http://yeinfo.com/family/I09021712.html", "THOMAS VINTON 1530 EN-1561 EN ID:09043424")</f>
        <v>THOMAS VINTON 1530 EN-1561 EN ID:09043424</v>
      </c>
      <c r="R4194" s="9"/>
      <c r="S4194" s="9"/>
      <c r="T4194" s="9"/>
      <c r="U4194" s="9"/>
    </row>
    <row r="4195" spans="3:21" x14ac:dyDescent="0.35">
      <c r="C4195" s="15" t="s">
        <v>8</v>
      </c>
      <c r="D4195" s="15" t="s">
        <v>8</v>
      </c>
      <c r="E4195" s="15" t="s">
        <v>8</v>
      </c>
      <c r="F4195" s="15" t="s">
        <v>8</v>
      </c>
      <c r="H4195" s="15" t="s">
        <v>8</v>
      </c>
      <c r="J4195" s="15" t="s">
        <v>8</v>
      </c>
      <c r="K4195" s="15" t="s">
        <v>8</v>
      </c>
      <c r="L4195" s="15" t="s">
        <v>8</v>
      </c>
      <c r="Q4195" s="8" t="s">
        <v>3</v>
      </c>
    </row>
    <row r="4196" spans="3:21" x14ac:dyDescent="0.35">
      <c r="C4196" s="15" t="s">
        <v>8</v>
      </c>
      <c r="D4196" s="15" t="s">
        <v>8</v>
      </c>
      <c r="E4196" s="15" t="s">
        <v>8</v>
      </c>
      <c r="F4196" s="15" t="s">
        <v>8</v>
      </c>
      <c r="H4196" s="15" t="s">
        <v>8</v>
      </c>
      <c r="J4196" s="15" t="s">
        <v>8</v>
      </c>
      <c r="K4196" s="15" t="s">
        <v>8</v>
      </c>
      <c r="L4196" s="15" t="s">
        <v>8</v>
      </c>
      <c r="P4196" s="5" t="str">
        <f>HYPERLINK("http://yeinfo.com/family/I09010856.html", "THOMAS VINTON 1561 EN-1606  ID:09021712")</f>
        <v>THOMAS VINTON 1561 EN-1606  ID:09021712</v>
      </c>
      <c r="Q4196" s="3"/>
      <c r="R4196" s="3"/>
      <c r="S4196" s="3"/>
      <c r="T4196" s="3"/>
    </row>
    <row r="4197" spans="3:21" x14ac:dyDescent="0.35">
      <c r="C4197" s="15" t="s">
        <v>8</v>
      </c>
      <c r="D4197" s="15" t="s">
        <v>8</v>
      </c>
      <c r="E4197" s="15" t="s">
        <v>8</v>
      </c>
      <c r="F4197" s="15" t="s">
        <v>8</v>
      </c>
      <c r="H4197" s="15" t="s">
        <v>8</v>
      </c>
      <c r="J4197" s="15" t="s">
        <v>8</v>
      </c>
      <c r="K4197" s="15" t="s">
        <v>8</v>
      </c>
      <c r="L4197" s="15" t="s">
        <v>8</v>
      </c>
      <c r="P4197" s="8" t="s">
        <v>3</v>
      </c>
      <c r="Q4197" s="8" t="s">
        <v>6</v>
      </c>
    </row>
    <row r="4198" spans="3:21" x14ac:dyDescent="0.35">
      <c r="C4198" s="15" t="s">
        <v>8</v>
      </c>
      <c r="D4198" s="15" t="s">
        <v>8</v>
      </c>
      <c r="E4198" s="15" t="s">
        <v>8</v>
      </c>
      <c r="F4198" s="15" t="s">
        <v>8</v>
      </c>
      <c r="H4198" s="15" t="s">
        <v>8</v>
      </c>
      <c r="J4198" s="15" t="s">
        <v>8</v>
      </c>
      <c r="K4198" s="15" t="s">
        <v>8</v>
      </c>
      <c r="L4198" s="15" t="s">
        <v>8</v>
      </c>
      <c r="P4198" s="15" t="s">
        <v>8</v>
      </c>
      <c r="Q4198" s="20" t="str">
        <f>HYPERLINK("http://yeinfo.com/family/I09043424.html", "MARY BELSTEAD 1530 EN-1561 EN ID:09043425")</f>
        <v>MARY BELSTEAD 1530 EN-1561 EN ID:09043425</v>
      </c>
      <c r="R4198" s="17"/>
      <c r="S4198" s="17"/>
      <c r="T4198" s="17"/>
      <c r="U4198" s="17"/>
    </row>
    <row r="4199" spans="3:21" x14ac:dyDescent="0.35">
      <c r="C4199" s="15" t="s">
        <v>8</v>
      </c>
      <c r="D4199" s="15" t="s">
        <v>8</v>
      </c>
      <c r="E4199" s="15" t="s">
        <v>8</v>
      </c>
      <c r="F4199" s="15" t="s">
        <v>8</v>
      </c>
      <c r="H4199" s="15" t="s">
        <v>8</v>
      </c>
      <c r="J4199" s="15" t="s">
        <v>8</v>
      </c>
      <c r="K4199" s="15" t="s">
        <v>8</v>
      </c>
      <c r="L4199" s="15" t="s">
        <v>8</v>
      </c>
      <c r="P4199" s="15" t="s">
        <v>8</v>
      </c>
    </row>
    <row r="4200" spans="3:21" x14ac:dyDescent="0.35">
      <c r="C4200" s="15" t="s">
        <v>8</v>
      </c>
      <c r="D4200" s="15" t="s">
        <v>8</v>
      </c>
      <c r="E4200" s="15" t="s">
        <v>8</v>
      </c>
      <c r="F4200" s="15" t="s">
        <v>8</v>
      </c>
      <c r="H4200" s="15" t="s">
        <v>8</v>
      </c>
      <c r="J4200" s="15" t="s">
        <v>8</v>
      </c>
      <c r="K4200" s="15" t="s">
        <v>8</v>
      </c>
      <c r="L4200" s="15" t="s">
        <v>8</v>
      </c>
      <c r="O4200" s="5" t="str">
        <f>HYPERLINK("http://yeinfo.com/family/I09005428.html", "ROBERT VINTON 1600 EN-1620  ID:09010856")</f>
        <v>ROBERT VINTON 1600 EN-1620  ID:09010856</v>
      </c>
      <c r="P4200" s="3"/>
      <c r="Q4200" s="3"/>
      <c r="R4200" s="3"/>
      <c r="S4200" s="3"/>
    </row>
    <row r="4201" spans="3:21" x14ac:dyDescent="0.35">
      <c r="C4201" s="15" t="s">
        <v>8</v>
      </c>
      <c r="D4201" s="15" t="s">
        <v>8</v>
      </c>
      <c r="E4201" s="15" t="s">
        <v>8</v>
      </c>
      <c r="F4201" s="15" t="s">
        <v>8</v>
      </c>
      <c r="H4201" s="15" t="s">
        <v>8</v>
      </c>
      <c r="J4201" s="15" t="s">
        <v>8</v>
      </c>
      <c r="K4201" s="15" t="s">
        <v>8</v>
      </c>
      <c r="L4201" s="15" t="s">
        <v>8</v>
      </c>
      <c r="O4201" s="8" t="s">
        <v>3</v>
      </c>
      <c r="P4201" s="8" t="s">
        <v>6</v>
      </c>
    </row>
    <row r="4202" spans="3:21" x14ac:dyDescent="0.35">
      <c r="C4202" s="15" t="s">
        <v>8</v>
      </c>
      <c r="D4202" s="15" t="s">
        <v>8</v>
      </c>
      <c r="E4202" s="15" t="s">
        <v>8</v>
      </c>
      <c r="F4202" s="15" t="s">
        <v>8</v>
      </c>
      <c r="H4202" s="15" t="s">
        <v>8</v>
      </c>
      <c r="J4202" s="15" t="s">
        <v>8</v>
      </c>
      <c r="K4202" s="15" t="s">
        <v>8</v>
      </c>
      <c r="L4202" s="15" t="s">
        <v>8</v>
      </c>
      <c r="O4202" s="15" t="s">
        <v>8</v>
      </c>
      <c r="P4202" s="16" t="str">
        <f>HYPERLINK("http://yeinfo.com/family/I09043425.html", "JOAN SHARPE 1565 EN-1600  ID:09021713")</f>
        <v>JOAN SHARPE 1565 EN-1600  ID:09021713</v>
      </c>
      <c r="Q4202" s="11"/>
      <c r="R4202" s="11"/>
      <c r="S4202" s="11"/>
      <c r="T4202" s="11"/>
    </row>
    <row r="4203" spans="3:21" x14ac:dyDescent="0.35">
      <c r="C4203" s="15" t="s">
        <v>8</v>
      </c>
      <c r="D4203" s="15" t="s">
        <v>8</v>
      </c>
      <c r="E4203" s="15" t="s">
        <v>8</v>
      </c>
      <c r="F4203" s="15" t="s">
        <v>8</v>
      </c>
      <c r="H4203" s="15" t="s">
        <v>8</v>
      </c>
      <c r="J4203" s="15" t="s">
        <v>8</v>
      </c>
      <c r="K4203" s="15" t="s">
        <v>8</v>
      </c>
      <c r="L4203" s="15" t="s">
        <v>8</v>
      </c>
      <c r="O4203" s="15" t="s">
        <v>8</v>
      </c>
    </row>
    <row r="4204" spans="3:21" x14ac:dyDescent="0.35">
      <c r="C4204" s="15" t="s">
        <v>8</v>
      </c>
      <c r="D4204" s="15" t="s">
        <v>8</v>
      </c>
      <c r="E4204" s="15" t="s">
        <v>8</v>
      </c>
      <c r="F4204" s="15" t="s">
        <v>8</v>
      </c>
      <c r="H4204" s="15" t="s">
        <v>8</v>
      </c>
      <c r="J4204" s="15" t="s">
        <v>8</v>
      </c>
      <c r="K4204" s="15" t="s">
        <v>8</v>
      </c>
      <c r="L4204" s="15" t="s">
        <v>8</v>
      </c>
      <c r="N4204" s="21" t="str">
        <f>HYPERLINK("http://yeinfo.com/family/I09002714.html", "JOHN VINTON 1620 EN-1664 MA ID:09005428")</f>
        <v>JOHN VINTON 1620 EN-1664 MA ID:09005428</v>
      </c>
      <c r="O4204" s="6"/>
      <c r="P4204" s="6"/>
      <c r="Q4204" s="6"/>
      <c r="R4204" s="6"/>
    </row>
    <row r="4205" spans="3:21" x14ac:dyDescent="0.35">
      <c r="C4205" s="15" t="s">
        <v>8</v>
      </c>
      <c r="D4205" s="15" t="s">
        <v>8</v>
      </c>
      <c r="E4205" s="15" t="s">
        <v>8</v>
      </c>
      <c r="F4205" s="15" t="s">
        <v>8</v>
      </c>
      <c r="H4205" s="15" t="s">
        <v>8</v>
      </c>
      <c r="J4205" s="15" t="s">
        <v>8</v>
      </c>
      <c r="K4205" s="15" t="s">
        <v>8</v>
      </c>
      <c r="L4205" s="15" t="s">
        <v>8</v>
      </c>
      <c r="N4205" s="8" t="s">
        <v>3</v>
      </c>
      <c r="O4205" s="8" t="s">
        <v>6</v>
      </c>
    </row>
    <row r="4206" spans="3:21" x14ac:dyDescent="0.35">
      <c r="C4206" s="15" t="s">
        <v>8</v>
      </c>
      <c r="D4206" s="15" t="s">
        <v>8</v>
      </c>
      <c r="E4206" s="15" t="s">
        <v>8</v>
      </c>
      <c r="F4206" s="15" t="s">
        <v>8</v>
      </c>
      <c r="H4206" s="15" t="s">
        <v>8</v>
      </c>
      <c r="J4206" s="15" t="s">
        <v>8</v>
      </c>
      <c r="K4206" s="15" t="s">
        <v>8</v>
      </c>
      <c r="L4206" s="15" t="s">
        <v>8</v>
      </c>
      <c r="N4206" s="15" t="s">
        <v>8</v>
      </c>
      <c r="O4206" s="16" t="str">
        <f>HYPERLINK("http://yeinfo.com/family/I09021713.html", "JANE STONE 1600 EN-1620  ID:09010857")</f>
        <v>JANE STONE 1600 EN-1620  ID:09010857</v>
      </c>
      <c r="P4206" s="11"/>
      <c r="Q4206" s="11"/>
      <c r="R4206" s="11"/>
      <c r="S4206" s="11"/>
    </row>
    <row r="4207" spans="3:21" x14ac:dyDescent="0.35">
      <c r="C4207" s="15" t="s">
        <v>8</v>
      </c>
      <c r="D4207" s="15" t="s">
        <v>8</v>
      </c>
      <c r="E4207" s="15" t="s">
        <v>8</v>
      </c>
      <c r="F4207" s="15" t="s">
        <v>8</v>
      </c>
      <c r="H4207" s="15" t="s">
        <v>8</v>
      </c>
      <c r="J4207" s="15" t="s">
        <v>8</v>
      </c>
      <c r="K4207" s="15" t="s">
        <v>8</v>
      </c>
      <c r="L4207" s="15" t="s">
        <v>8</v>
      </c>
      <c r="N4207" s="15" t="s">
        <v>8</v>
      </c>
    </row>
    <row r="4208" spans="3:21" x14ac:dyDescent="0.35">
      <c r="C4208" s="15" t="s">
        <v>8</v>
      </c>
      <c r="D4208" s="15" t="s">
        <v>8</v>
      </c>
      <c r="E4208" s="15" t="s">
        <v>8</v>
      </c>
      <c r="F4208" s="15" t="s">
        <v>8</v>
      </c>
      <c r="H4208" s="15" t="s">
        <v>8</v>
      </c>
      <c r="J4208" s="15" t="s">
        <v>8</v>
      </c>
      <c r="K4208" s="15" t="s">
        <v>8</v>
      </c>
      <c r="L4208" s="15" t="s">
        <v>8</v>
      </c>
      <c r="M4208" s="5" t="str">
        <f>HYPERLINK("http://yeinfo.com/family/I09001357.html", "BLAISE\BLAZE VINTON 1654 MA-1716 MA ID:09002714")</f>
        <v>BLAISE\BLAZE VINTON 1654 MA-1716 MA ID:09002714</v>
      </c>
      <c r="N4208" s="3"/>
      <c r="O4208" s="3"/>
      <c r="P4208" s="3"/>
      <c r="Q4208" s="3"/>
      <c r="R4208" s="3"/>
    </row>
    <row r="4209" spans="3:21" x14ac:dyDescent="0.35">
      <c r="C4209" s="15" t="s">
        <v>8</v>
      </c>
      <c r="D4209" s="15" t="s">
        <v>8</v>
      </c>
      <c r="E4209" s="15" t="s">
        <v>8</v>
      </c>
      <c r="F4209" s="15" t="s">
        <v>8</v>
      </c>
      <c r="H4209" s="15" t="s">
        <v>8</v>
      </c>
      <c r="J4209" s="15" t="s">
        <v>8</v>
      </c>
      <c r="K4209" s="15" t="s">
        <v>8</v>
      </c>
      <c r="L4209" s="15" t="s">
        <v>8</v>
      </c>
      <c r="M4209" s="8" t="s">
        <v>3</v>
      </c>
      <c r="N4209" s="8" t="s">
        <v>6</v>
      </c>
    </row>
    <row r="4210" spans="3:21" x14ac:dyDescent="0.35">
      <c r="C4210" s="15" t="s">
        <v>8</v>
      </c>
      <c r="D4210" s="15" t="s">
        <v>8</v>
      </c>
      <c r="E4210" s="15" t="s">
        <v>8</v>
      </c>
      <c r="F4210" s="15" t="s">
        <v>8</v>
      </c>
      <c r="H4210" s="15" t="s">
        <v>8</v>
      </c>
      <c r="J4210" s="15" t="s">
        <v>8</v>
      </c>
      <c r="K4210" s="15" t="s">
        <v>8</v>
      </c>
      <c r="L4210" s="15" t="s">
        <v>8</v>
      </c>
      <c r="M4210" s="15" t="s">
        <v>8</v>
      </c>
      <c r="N4210" s="22" t="str">
        <f>HYPERLINK("http://yeinfo.com/family/I09010857.html", "ANNA\ELEANOR MOORE 1619 EN-1664 CT ID:09005429")</f>
        <v>ANNA\ELEANOR MOORE 1619 EN-1664 CT ID:09005429</v>
      </c>
      <c r="O4210" s="13"/>
      <c r="P4210" s="13"/>
      <c r="Q4210" s="13"/>
      <c r="R4210" s="13"/>
      <c r="S4210" s="13"/>
    </row>
    <row r="4211" spans="3:21" x14ac:dyDescent="0.35">
      <c r="C4211" s="15" t="s">
        <v>8</v>
      </c>
      <c r="D4211" s="15" t="s">
        <v>8</v>
      </c>
      <c r="E4211" s="15" t="s">
        <v>8</v>
      </c>
      <c r="F4211" s="15" t="s">
        <v>8</v>
      </c>
      <c r="H4211" s="15" t="s">
        <v>8</v>
      </c>
      <c r="J4211" s="15" t="s">
        <v>8</v>
      </c>
      <c r="K4211" s="15" t="s">
        <v>8</v>
      </c>
      <c r="L4211" s="8" t="s">
        <v>6</v>
      </c>
      <c r="M4211" s="15" t="s">
        <v>8</v>
      </c>
    </row>
    <row r="4212" spans="3:21" x14ac:dyDescent="0.35">
      <c r="C4212" s="15" t="s">
        <v>8</v>
      </c>
      <c r="D4212" s="15" t="s">
        <v>8</v>
      </c>
      <c r="E4212" s="15" t="s">
        <v>8</v>
      </c>
      <c r="F4212" s="15" t="s">
        <v>8</v>
      </c>
      <c r="H4212" s="15" t="s">
        <v>8</v>
      </c>
      <c r="J4212" s="15" t="s">
        <v>8</v>
      </c>
      <c r="K4212" s="15" t="s">
        <v>8</v>
      </c>
      <c r="L4212" s="16" t="str">
        <f>HYPERLINK("http://yeinfo.com/family/I09002713.html", "LYDIA VINTON 1675 MA-1715 MA ID:09001357")</f>
        <v>LYDIA VINTON 1675 MA-1715 MA ID:09001357</v>
      </c>
      <c r="M4212" s="11"/>
      <c r="N4212" s="11"/>
      <c r="O4212" s="11"/>
      <c r="P4212" s="11"/>
    </row>
    <row r="4213" spans="3:21" x14ac:dyDescent="0.35">
      <c r="C4213" s="15" t="s">
        <v>8</v>
      </c>
      <c r="D4213" s="15" t="s">
        <v>8</v>
      </c>
      <c r="E4213" s="15" t="s">
        <v>8</v>
      </c>
      <c r="F4213" s="15" t="s">
        <v>8</v>
      </c>
      <c r="H4213" s="15" t="s">
        <v>8</v>
      </c>
      <c r="J4213" s="15" t="s">
        <v>8</v>
      </c>
      <c r="K4213" s="15" t="s">
        <v>8</v>
      </c>
      <c r="M4213" s="15" t="s">
        <v>8</v>
      </c>
    </row>
    <row r="4214" spans="3:21" x14ac:dyDescent="0.35">
      <c r="C4214" s="15" t="s">
        <v>8</v>
      </c>
      <c r="D4214" s="15" t="s">
        <v>8</v>
      </c>
      <c r="E4214" s="15" t="s">
        <v>8</v>
      </c>
      <c r="F4214" s="15" t="s">
        <v>8</v>
      </c>
      <c r="H4214" s="15" t="s">
        <v>8</v>
      </c>
      <c r="J4214" s="15" t="s">
        <v>8</v>
      </c>
      <c r="K4214" s="15" t="s">
        <v>8</v>
      </c>
      <c r="M4214" s="15" t="s">
        <v>8</v>
      </c>
      <c r="Q4214" s="19" t="str">
        <f>HYPERLINK("http://yeinfo.com/family/I09021720.html", "ROBERT HAYDEN 1560 EN-1626 EN ID:09043440")</f>
        <v>ROBERT HAYDEN 1560 EN-1626 EN ID:09043440</v>
      </c>
      <c r="R4214" s="9"/>
      <c r="S4214" s="9"/>
      <c r="T4214" s="9"/>
      <c r="U4214" s="9"/>
    </row>
    <row r="4215" spans="3:21" x14ac:dyDescent="0.35">
      <c r="C4215" s="15" t="s">
        <v>8</v>
      </c>
      <c r="D4215" s="15" t="s">
        <v>8</v>
      </c>
      <c r="E4215" s="15" t="s">
        <v>8</v>
      </c>
      <c r="F4215" s="15" t="s">
        <v>8</v>
      </c>
      <c r="H4215" s="15" t="s">
        <v>8</v>
      </c>
      <c r="J4215" s="15" t="s">
        <v>8</v>
      </c>
      <c r="K4215" s="15" t="s">
        <v>8</v>
      </c>
      <c r="M4215" s="15" t="s">
        <v>8</v>
      </c>
      <c r="Q4215" s="8" t="s">
        <v>3</v>
      </c>
    </row>
    <row r="4216" spans="3:21" x14ac:dyDescent="0.35">
      <c r="C4216" s="15" t="s">
        <v>8</v>
      </c>
      <c r="D4216" s="15" t="s">
        <v>8</v>
      </c>
      <c r="E4216" s="15" t="s">
        <v>8</v>
      </c>
      <c r="F4216" s="15" t="s">
        <v>8</v>
      </c>
      <c r="H4216" s="15" t="s">
        <v>8</v>
      </c>
      <c r="J4216" s="15" t="s">
        <v>8</v>
      </c>
      <c r="K4216" s="15" t="s">
        <v>8</v>
      </c>
      <c r="M4216" s="15" t="s">
        <v>8</v>
      </c>
      <c r="P4216" s="19" t="str">
        <f>HYPERLINK("http://yeinfo.com/family/I09010860.html", "GIDEON HAYDEN 1586 EN-1606 EN ID:09021720")</f>
        <v>GIDEON HAYDEN 1586 EN-1606 EN ID:09021720</v>
      </c>
      <c r="Q4216" s="9"/>
      <c r="R4216" s="9"/>
      <c r="S4216" s="9"/>
      <c r="T4216" s="9"/>
    </row>
    <row r="4217" spans="3:21" x14ac:dyDescent="0.35">
      <c r="C4217" s="15" t="s">
        <v>8</v>
      </c>
      <c r="D4217" s="15" t="s">
        <v>8</v>
      </c>
      <c r="E4217" s="15" t="s">
        <v>8</v>
      </c>
      <c r="F4217" s="15" t="s">
        <v>8</v>
      </c>
      <c r="H4217" s="15" t="s">
        <v>8</v>
      </c>
      <c r="J4217" s="15" t="s">
        <v>8</v>
      </c>
      <c r="K4217" s="15" t="s">
        <v>8</v>
      </c>
      <c r="M4217" s="15" t="s">
        <v>8</v>
      </c>
      <c r="P4217" s="8" t="s">
        <v>3</v>
      </c>
      <c r="Q4217" s="8" t="s">
        <v>6</v>
      </c>
    </row>
    <row r="4218" spans="3:21" x14ac:dyDescent="0.35">
      <c r="C4218" s="15" t="s">
        <v>8</v>
      </c>
      <c r="D4218" s="15" t="s">
        <v>8</v>
      </c>
      <c r="E4218" s="15" t="s">
        <v>8</v>
      </c>
      <c r="F4218" s="15" t="s">
        <v>8</v>
      </c>
      <c r="H4218" s="15" t="s">
        <v>8</v>
      </c>
      <c r="J4218" s="15" t="s">
        <v>8</v>
      </c>
      <c r="K4218" s="15" t="s">
        <v>8</v>
      </c>
      <c r="M4218" s="15" t="s">
        <v>8</v>
      </c>
      <c r="P4218" s="15" t="s">
        <v>8</v>
      </c>
      <c r="Q4218" s="20" t="str">
        <f>HYPERLINK("http://yeinfo.com/family/I09043440.html", "JOAN PAULET 1554 EN-1630 EN ID:09043441")</f>
        <v>JOAN PAULET 1554 EN-1630 EN ID:09043441</v>
      </c>
      <c r="R4218" s="17"/>
      <c r="S4218" s="17"/>
      <c r="T4218" s="17"/>
      <c r="U4218" s="17"/>
    </row>
    <row r="4219" spans="3:21" x14ac:dyDescent="0.35">
      <c r="C4219" s="15" t="s">
        <v>8</v>
      </c>
      <c r="D4219" s="15" t="s">
        <v>8</v>
      </c>
      <c r="E4219" s="15" t="s">
        <v>8</v>
      </c>
      <c r="F4219" s="15" t="s">
        <v>8</v>
      </c>
      <c r="H4219" s="15" t="s">
        <v>8</v>
      </c>
      <c r="J4219" s="15" t="s">
        <v>8</v>
      </c>
      <c r="K4219" s="15" t="s">
        <v>8</v>
      </c>
      <c r="M4219" s="15" t="s">
        <v>8</v>
      </c>
      <c r="P4219" s="15" t="s">
        <v>8</v>
      </c>
    </row>
    <row r="4220" spans="3:21" x14ac:dyDescent="0.35">
      <c r="C4220" s="15" t="s">
        <v>8</v>
      </c>
      <c r="D4220" s="15" t="s">
        <v>8</v>
      </c>
      <c r="E4220" s="15" t="s">
        <v>8</v>
      </c>
      <c r="F4220" s="15" t="s">
        <v>8</v>
      </c>
      <c r="H4220" s="15" t="s">
        <v>8</v>
      </c>
      <c r="J4220" s="15" t="s">
        <v>8</v>
      </c>
      <c r="K4220" s="15" t="s">
        <v>8</v>
      </c>
      <c r="M4220" s="15" t="s">
        <v>8</v>
      </c>
      <c r="O4220" s="5" t="str">
        <f>HYPERLINK("http://yeinfo.com/family/I09005430.html", "JOHN HAYDEN 1606 -1682 MA ID:09010860")</f>
        <v>JOHN HAYDEN 1606 -1682 MA ID:09010860</v>
      </c>
      <c r="P4220" s="3"/>
      <c r="Q4220" s="3"/>
      <c r="R4220" s="3"/>
      <c r="S4220" s="3"/>
    </row>
    <row r="4221" spans="3:21" x14ac:dyDescent="0.35">
      <c r="C4221" s="15" t="s">
        <v>8</v>
      </c>
      <c r="D4221" s="15" t="s">
        <v>8</v>
      </c>
      <c r="E4221" s="15" t="s">
        <v>8</v>
      </c>
      <c r="F4221" s="15" t="s">
        <v>8</v>
      </c>
      <c r="H4221" s="15" t="s">
        <v>8</v>
      </c>
      <c r="J4221" s="15" t="s">
        <v>8</v>
      </c>
      <c r="K4221" s="15" t="s">
        <v>8</v>
      </c>
      <c r="M4221" s="15" t="s">
        <v>8</v>
      </c>
      <c r="O4221" s="8" t="s">
        <v>3</v>
      </c>
      <c r="P4221" s="8" t="s">
        <v>6</v>
      </c>
    </row>
    <row r="4222" spans="3:21" x14ac:dyDescent="0.35">
      <c r="C4222" s="15" t="s">
        <v>8</v>
      </c>
      <c r="D4222" s="15" t="s">
        <v>8</v>
      </c>
      <c r="E4222" s="15" t="s">
        <v>8</v>
      </c>
      <c r="F4222" s="15" t="s">
        <v>8</v>
      </c>
      <c r="H4222" s="15" t="s">
        <v>8</v>
      </c>
      <c r="J4222" s="15" t="s">
        <v>8</v>
      </c>
      <c r="K4222" s="15" t="s">
        <v>8</v>
      </c>
      <c r="M4222" s="15" t="s">
        <v>8</v>
      </c>
      <c r="O4222" s="15" t="s">
        <v>8</v>
      </c>
      <c r="P4222" s="16" t="str">
        <f>HYPERLINK("http://yeinfo.com/family/I09043441.html", "MARGARET DAVY 1583 EN-1606  ID:09021721")</f>
        <v>MARGARET DAVY 1583 EN-1606  ID:09021721</v>
      </c>
      <c r="Q4222" s="11"/>
      <c r="R4222" s="11"/>
      <c r="S4222" s="11"/>
      <c r="T4222" s="11"/>
    </row>
    <row r="4223" spans="3:21" x14ac:dyDescent="0.35">
      <c r="C4223" s="15" t="s">
        <v>8</v>
      </c>
      <c r="D4223" s="15" t="s">
        <v>8</v>
      </c>
      <c r="E4223" s="15" t="s">
        <v>8</v>
      </c>
      <c r="F4223" s="15" t="s">
        <v>8</v>
      </c>
      <c r="H4223" s="15" t="s">
        <v>8</v>
      </c>
      <c r="J4223" s="15" t="s">
        <v>8</v>
      </c>
      <c r="K4223" s="15" t="s">
        <v>8</v>
      </c>
      <c r="M4223" s="15" t="s">
        <v>8</v>
      </c>
      <c r="O4223" s="15" t="s">
        <v>8</v>
      </c>
    </row>
    <row r="4224" spans="3:21" x14ac:dyDescent="0.35">
      <c r="C4224" s="15" t="s">
        <v>8</v>
      </c>
      <c r="D4224" s="15" t="s">
        <v>8</v>
      </c>
      <c r="E4224" s="15" t="s">
        <v>8</v>
      </c>
      <c r="F4224" s="15" t="s">
        <v>8</v>
      </c>
      <c r="H4224" s="15" t="s">
        <v>8</v>
      </c>
      <c r="J4224" s="15" t="s">
        <v>8</v>
      </c>
      <c r="K4224" s="15" t="s">
        <v>8</v>
      </c>
      <c r="M4224" s="15" t="s">
        <v>8</v>
      </c>
      <c r="N4224" s="5" t="str">
        <f>HYPERLINK("http://yeinfo.com/family/I09002715.html", "JOHN\JOSEPH HAYDEN 1635 MA-1718  ID:09005430")</f>
        <v>JOHN\JOSEPH HAYDEN 1635 MA-1718  ID:09005430</v>
      </c>
      <c r="O4224" s="3"/>
      <c r="P4224" s="3"/>
      <c r="Q4224" s="3"/>
      <c r="R4224" s="3"/>
      <c r="S4224" s="3"/>
    </row>
    <row r="4225" spans="3:21" x14ac:dyDescent="0.35">
      <c r="C4225" s="15" t="s">
        <v>8</v>
      </c>
      <c r="D4225" s="15" t="s">
        <v>8</v>
      </c>
      <c r="E4225" s="15" t="s">
        <v>8</v>
      </c>
      <c r="F4225" s="15" t="s">
        <v>8</v>
      </c>
      <c r="H4225" s="15" t="s">
        <v>8</v>
      </c>
      <c r="J4225" s="15" t="s">
        <v>8</v>
      </c>
      <c r="K4225" s="15" t="s">
        <v>8</v>
      </c>
      <c r="M4225" s="15" t="s">
        <v>8</v>
      </c>
      <c r="N4225" s="8" t="s">
        <v>3</v>
      </c>
      <c r="O4225" s="8" t="s">
        <v>6</v>
      </c>
    </row>
    <row r="4226" spans="3:21" x14ac:dyDescent="0.35">
      <c r="C4226" s="15" t="s">
        <v>8</v>
      </c>
      <c r="D4226" s="15" t="s">
        <v>8</v>
      </c>
      <c r="E4226" s="15" t="s">
        <v>8</v>
      </c>
      <c r="F4226" s="15" t="s">
        <v>8</v>
      </c>
      <c r="H4226" s="15" t="s">
        <v>8</v>
      </c>
      <c r="J4226" s="15" t="s">
        <v>8</v>
      </c>
      <c r="K4226" s="15" t="s">
        <v>8</v>
      </c>
      <c r="M4226" s="15" t="s">
        <v>8</v>
      </c>
      <c r="N4226" s="15" t="s">
        <v>8</v>
      </c>
      <c r="O4226" s="22" t="str">
        <f>HYPERLINK("http://yeinfo.com/family/I09021721.html", "SUSANNA PULLEN 1614 EN-1635 MA ID:09010861")</f>
        <v>SUSANNA PULLEN 1614 EN-1635 MA ID:09010861</v>
      </c>
      <c r="P4226" s="13"/>
      <c r="Q4226" s="13"/>
      <c r="R4226" s="13"/>
      <c r="S4226" s="13"/>
    </row>
    <row r="4227" spans="3:21" x14ac:dyDescent="0.35">
      <c r="C4227" s="15" t="s">
        <v>8</v>
      </c>
      <c r="D4227" s="15" t="s">
        <v>8</v>
      </c>
      <c r="E4227" s="15" t="s">
        <v>8</v>
      </c>
      <c r="F4227" s="15" t="s">
        <v>8</v>
      </c>
      <c r="H4227" s="15" t="s">
        <v>8</v>
      </c>
      <c r="J4227" s="15" t="s">
        <v>8</v>
      </c>
      <c r="K4227" s="15" t="s">
        <v>8</v>
      </c>
      <c r="M4227" s="8" t="s">
        <v>6</v>
      </c>
      <c r="N4227" s="15" t="s">
        <v>8</v>
      </c>
    </row>
    <row r="4228" spans="3:21" x14ac:dyDescent="0.35">
      <c r="C4228" s="15" t="s">
        <v>8</v>
      </c>
      <c r="D4228" s="15" t="s">
        <v>8</v>
      </c>
      <c r="E4228" s="15" t="s">
        <v>8</v>
      </c>
      <c r="F4228" s="15" t="s">
        <v>8</v>
      </c>
      <c r="H4228" s="15" t="s">
        <v>8</v>
      </c>
      <c r="J4228" s="15" t="s">
        <v>8</v>
      </c>
      <c r="K4228" s="15" t="s">
        <v>8</v>
      </c>
      <c r="M4228" s="16" t="str">
        <f>HYPERLINK("http://yeinfo.com/family/I09005429.html", "LYDIA HAYDEN 1668 MA-1756 MA ID:09002715")</f>
        <v>LYDIA HAYDEN 1668 MA-1756 MA ID:09002715</v>
      </c>
      <c r="N4228" s="11"/>
      <c r="O4228" s="11"/>
      <c r="P4228" s="11"/>
      <c r="Q4228" s="11"/>
    </row>
    <row r="4229" spans="3:21" x14ac:dyDescent="0.35">
      <c r="C4229" s="15" t="s">
        <v>8</v>
      </c>
      <c r="D4229" s="15" t="s">
        <v>8</v>
      </c>
      <c r="E4229" s="15" t="s">
        <v>8</v>
      </c>
      <c r="F4229" s="15" t="s">
        <v>8</v>
      </c>
      <c r="H4229" s="15" t="s">
        <v>8</v>
      </c>
      <c r="J4229" s="15" t="s">
        <v>8</v>
      </c>
      <c r="K4229" s="15" t="s">
        <v>8</v>
      </c>
      <c r="N4229" s="15" t="s">
        <v>8</v>
      </c>
    </row>
    <row r="4230" spans="3:21" x14ac:dyDescent="0.35">
      <c r="C4230" s="15" t="s">
        <v>8</v>
      </c>
      <c r="D4230" s="15" t="s">
        <v>8</v>
      </c>
      <c r="E4230" s="15" t="s">
        <v>8</v>
      </c>
      <c r="F4230" s="15" t="s">
        <v>8</v>
      </c>
      <c r="H4230" s="15" t="s">
        <v>8</v>
      </c>
      <c r="J4230" s="15" t="s">
        <v>8</v>
      </c>
      <c r="K4230" s="15" t="s">
        <v>8</v>
      </c>
      <c r="N4230" s="15" t="s">
        <v>8</v>
      </c>
      <c r="Q4230" s="19" t="str">
        <f>HYPERLINK("http://yeinfo.com/family/I09021724.html", "WILLIAM AMES Sr. 1540 EN-1560 EN ID:09043448")</f>
        <v>WILLIAM AMES Sr. 1540 EN-1560 EN ID:09043448</v>
      </c>
      <c r="R4230" s="9"/>
      <c r="S4230" s="9"/>
      <c r="T4230" s="9"/>
      <c r="U4230" s="9"/>
    </row>
    <row r="4231" spans="3:21" x14ac:dyDescent="0.35">
      <c r="C4231" s="15" t="s">
        <v>8</v>
      </c>
      <c r="D4231" s="15" t="s">
        <v>8</v>
      </c>
      <c r="E4231" s="15" t="s">
        <v>8</v>
      </c>
      <c r="F4231" s="15" t="s">
        <v>8</v>
      </c>
      <c r="H4231" s="15" t="s">
        <v>8</v>
      </c>
      <c r="J4231" s="15" t="s">
        <v>8</v>
      </c>
      <c r="K4231" s="15" t="s">
        <v>8</v>
      </c>
      <c r="N4231" s="15" t="s">
        <v>8</v>
      </c>
      <c r="Q4231" s="8" t="s">
        <v>3</v>
      </c>
    </row>
    <row r="4232" spans="3:21" x14ac:dyDescent="0.35">
      <c r="C4232" s="15" t="s">
        <v>8</v>
      </c>
      <c r="D4232" s="15" t="s">
        <v>8</v>
      </c>
      <c r="E4232" s="15" t="s">
        <v>8</v>
      </c>
      <c r="F4232" s="15" t="s">
        <v>8</v>
      </c>
      <c r="H4232" s="15" t="s">
        <v>8</v>
      </c>
      <c r="J4232" s="15" t="s">
        <v>8</v>
      </c>
      <c r="K4232" s="15" t="s">
        <v>8</v>
      </c>
      <c r="N4232" s="15" t="s">
        <v>8</v>
      </c>
      <c r="P4232" s="19" t="str">
        <f>HYPERLINK("http://yeinfo.com/family/I09010862.html", "WILLIAM AMES Jr. 1576 EN-1633 EN ID:09021724")</f>
        <v>WILLIAM AMES Jr. 1576 EN-1633 EN ID:09021724</v>
      </c>
      <c r="Q4232" s="9"/>
      <c r="R4232" s="9"/>
      <c r="S4232" s="9"/>
      <c r="T4232" s="9"/>
    </row>
    <row r="4233" spans="3:21" x14ac:dyDescent="0.35">
      <c r="C4233" s="15" t="s">
        <v>8</v>
      </c>
      <c r="D4233" s="15" t="s">
        <v>8</v>
      </c>
      <c r="E4233" s="15" t="s">
        <v>8</v>
      </c>
      <c r="F4233" s="15" t="s">
        <v>8</v>
      </c>
      <c r="H4233" s="15" t="s">
        <v>8</v>
      </c>
      <c r="J4233" s="15" t="s">
        <v>8</v>
      </c>
      <c r="K4233" s="15" t="s">
        <v>8</v>
      </c>
      <c r="N4233" s="15" t="s">
        <v>8</v>
      </c>
      <c r="P4233" s="8" t="s">
        <v>3</v>
      </c>
      <c r="Q4233" s="8" t="s">
        <v>6</v>
      </c>
    </row>
    <row r="4234" spans="3:21" x14ac:dyDescent="0.35">
      <c r="C4234" s="15" t="s">
        <v>8</v>
      </c>
      <c r="D4234" s="15" t="s">
        <v>8</v>
      </c>
      <c r="E4234" s="15" t="s">
        <v>8</v>
      </c>
      <c r="F4234" s="15" t="s">
        <v>8</v>
      </c>
      <c r="H4234" s="15" t="s">
        <v>8</v>
      </c>
      <c r="J4234" s="15" t="s">
        <v>8</v>
      </c>
      <c r="K4234" s="15" t="s">
        <v>8</v>
      </c>
      <c r="N4234" s="15" t="s">
        <v>8</v>
      </c>
      <c r="P4234" s="15" t="s">
        <v>8</v>
      </c>
      <c r="Q4234" s="20" t="str">
        <f>HYPERLINK("http://yeinfo.com/family/I09043448.html", "JOANE SNELLING 1540 EN-1560 EN ID:09043449")</f>
        <v>JOANE SNELLING 1540 EN-1560 EN ID:09043449</v>
      </c>
      <c r="R4234" s="17"/>
      <c r="S4234" s="17"/>
      <c r="T4234" s="17"/>
      <c r="U4234" s="17"/>
    </row>
    <row r="4235" spans="3:21" x14ac:dyDescent="0.35">
      <c r="C4235" s="15" t="s">
        <v>8</v>
      </c>
      <c r="D4235" s="15" t="s">
        <v>8</v>
      </c>
      <c r="E4235" s="15" t="s">
        <v>8</v>
      </c>
      <c r="F4235" s="15" t="s">
        <v>8</v>
      </c>
      <c r="H4235" s="15" t="s">
        <v>8</v>
      </c>
      <c r="J4235" s="15" t="s">
        <v>8</v>
      </c>
      <c r="K4235" s="15" t="s">
        <v>8</v>
      </c>
      <c r="N4235" s="15" t="s">
        <v>8</v>
      </c>
      <c r="P4235" s="15" t="s">
        <v>8</v>
      </c>
    </row>
    <row r="4236" spans="3:21" x14ac:dyDescent="0.35">
      <c r="C4236" s="15" t="s">
        <v>8</v>
      </c>
      <c r="D4236" s="15" t="s">
        <v>8</v>
      </c>
      <c r="E4236" s="15" t="s">
        <v>8</v>
      </c>
      <c r="F4236" s="15" t="s">
        <v>8</v>
      </c>
      <c r="H4236" s="15" t="s">
        <v>8</v>
      </c>
      <c r="J4236" s="15" t="s">
        <v>8</v>
      </c>
      <c r="K4236" s="15" t="s">
        <v>8</v>
      </c>
      <c r="N4236" s="15" t="s">
        <v>8</v>
      </c>
      <c r="O4236" s="21" t="str">
        <f>HYPERLINK("http://yeinfo.com/family/I09005431.html", "WILLIAM AMES III 1605 EN-1654 MA ID:09010862")</f>
        <v>WILLIAM AMES III 1605 EN-1654 MA ID:09010862</v>
      </c>
      <c r="P4236" s="6"/>
      <c r="Q4236" s="6"/>
      <c r="R4236" s="6"/>
      <c r="S4236" s="6"/>
    </row>
    <row r="4237" spans="3:21" x14ac:dyDescent="0.35">
      <c r="C4237" s="15" t="s">
        <v>8</v>
      </c>
      <c r="D4237" s="15" t="s">
        <v>8</v>
      </c>
      <c r="E4237" s="15" t="s">
        <v>8</v>
      </c>
      <c r="F4237" s="15" t="s">
        <v>8</v>
      </c>
      <c r="H4237" s="15" t="s">
        <v>8</v>
      </c>
      <c r="J4237" s="15" t="s">
        <v>8</v>
      </c>
      <c r="K4237" s="15" t="s">
        <v>8</v>
      </c>
      <c r="N4237" s="15" t="s">
        <v>8</v>
      </c>
      <c r="O4237" s="8" t="s">
        <v>3</v>
      </c>
      <c r="P4237" s="8" t="s">
        <v>6</v>
      </c>
    </row>
    <row r="4238" spans="3:21" x14ac:dyDescent="0.35">
      <c r="C4238" s="15" t="s">
        <v>8</v>
      </c>
      <c r="D4238" s="15" t="s">
        <v>8</v>
      </c>
      <c r="E4238" s="15" t="s">
        <v>8</v>
      </c>
      <c r="F4238" s="15" t="s">
        <v>8</v>
      </c>
      <c r="H4238" s="15" t="s">
        <v>8</v>
      </c>
      <c r="J4238" s="15" t="s">
        <v>8</v>
      </c>
      <c r="K4238" s="15" t="s">
        <v>8</v>
      </c>
      <c r="N4238" s="15" t="s">
        <v>8</v>
      </c>
      <c r="O4238" s="15" t="s">
        <v>8</v>
      </c>
      <c r="P4238" s="22" t="str">
        <f>HYPERLINK("http://yeinfo.com/family/I09043449.html", "JOANE FLETCHER 1585 EN-1644 MA ID:09021725")</f>
        <v>JOANE FLETCHER 1585 EN-1644 MA ID:09021725</v>
      </c>
      <c r="Q4238" s="13"/>
      <c r="R4238" s="13"/>
      <c r="S4238" s="13"/>
      <c r="T4238" s="13"/>
    </row>
    <row r="4239" spans="3:21" x14ac:dyDescent="0.35">
      <c r="C4239" s="15" t="s">
        <v>8</v>
      </c>
      <c r="D4239" s="15" t="s">
        <v>8</v>
      </c>
      <c r="E4239" s="15" t="s">
        <v>8</v>
      </c>
      <c r="F4239" s="15" t="s">
        <v>8</v>
      </c>
      <c r="H4239" s="15" t="s">
        <v>8</v>
      </c>
      <c r="J4239" s="15" t="s">
        <v>8</v>
      </c>
      <c r="K4239" s="15" t="s">
        <v>8</v>
      </c>
      <c r="N4239" s="8" t="s">
        <v>6</v>
      </c>
      <c r="O4239" s="15" t="s">
        <v>8</v>
      </c>
    </row>
    <row r="4240" spans="3:21" x14ac:dyDescent="0.35">
      <c r="C4240" s="15" t="s">
        <v>8</v>
      </c>
      <c r="D4240" s="15" t="s">
        <v>8</v>
      </c>
      <c r="E4240" s="15" t="s">
        <v>8</v>
      </c>
      <c r="F4240" s="15" t="s">
        <v>8</v>
      </c>
      <c r="H4240" s="15" t="s">
        <v>8</v>
      </c>
      <c r="J4240" s="15" t="s">
        <v>8</v>
      </c>
      <c r="K4240" s="15" t="s">
        <v>8</v>
      </c>
      <c r="N4240" s="16" t="str">
        <f>HYPERLINK("http://yeinfo.com/family/I09010861.html", "HANNAH AMES 1641 MA-1689 MA ID:09005431")</f>
        <v>HANNAH AMES 1641 MA-1689 MA ID:09005431</v>
      </c>
      <c r="O4240" s="11"/>
      <c r="P4240" s="11"/>
      <c r="Q4240" s="11"/>
      <c r="R4240" s="11"/>
    </row>
    <row r="4241" spans="3:20" x14ac:dyDescent="0.35">
      <c r="C4241" s="15" t="s">
        <v>8</v>
      </c>
      <c r="D4241" s="15" t="s">
        <v>8</v>
      </c>
      <c r="E4241" s="15" t="s">
        <v>8</v>
      </c>
      <c r="F4241" s="15" t="s">
        <v>8</v>
      </c>
      <c r="H4241" s="15" t="s">
        <v>8</v>
      </c>
      <c r="J4241" s="15" t="s">
        <v>8</v>
      </c>
      <c r="K4241" s="15" t="s">
        <v>8</v>
      </c>
      <c r="O4241" s="8" t="s">
        <v>6</v>
      </c>
    </row>
    <row r="4242" spans="3:20" x14ac:dyDescent="0.35">
      <c r="C4242" s="15" t="s">
        <v>8</v>
      </c>
      <c r="D4242" s="15" t="s">
        <v>8</v>
      </c>
      <c r="E4242" s="15" t="s">
        <v>8</v>
      </c>
      <c r="F4242" s="15" t="s">
        <v>8</v>
      </c>
      <c r="H4242" s="15" t="s">
        <v>8</v>
      </c>
      <c r="J4242" s="15" t="s">
        <v>8</v>
      </c>
      <c r="K4242" s="15" t="s">
        <v>8</v>
      </c>
      <c r="O4242" s="22" t="str">
        <f>HYPERLINK("http://yeinfo.com/family/I09021725.html", "HANNAH ADAMS 1609 EN-1702 MA ID:09010863")</f>
        <v>HANNAH ADAMS 1609 EN-1702 MA ID:09010863</v>
      </c>
      <c r="P4242" s="13"/>
      <c r="Q4242" s="13"/>
      <c r="R4242" s="13"/>
      <c r="S4242" s="13"/>
    </row>
    <row r="4243" spans="3:20" x14ac:dyDescent="0.35">
      <c r="C4243" s="15" t="s">
        <v>8</v>
      </c>
      <c r="D4243" s="15" t="s">
        <v>8</v>
      </c>
      <c r="E4243" s="15" t="s">
        <v>8</v>
      </c>
      <c r="F4243" s="15" t="s">
        <v>8</v>
      </c>
      <c r="H4243" s="15" t="s">
        <v>8</v>
      </c>
      <c r="J4243" s="8" t="s">
        <v>6</v>
      </c>
      <c r="K4243" s="15" t="s">
        <v>8</v>
      </c>
    </row>
    <row r="4244" spans="3:20" x14ac:dyDescent="0.35">
      <c r="C4244" s="15" t="s">
        <v>8</v>
      </c>
      <c r="D4244" s="15" t="s">
        <v>8</v>
      </c>
      <c r="E4244" s="15" t="s">
        <v>8</v>
      </c>
      <c r="F4244" s="15" t="s">
        <v>8</v>
      </c>
      <c r="H4244" s="15" t="s">
        <v>8</v>
      </c>
      <c r="J4244" s="16" t="str">
        <f>HYPERLINK("http://yeinfo.com/family/I09043391.html", "LYDIA CHAMBERLAIN 1750 NH-1832 NY ID:09000339")</f>
        <v>LYDIA CHAMBERLAIN 1750 NH-1832 NY ID:09000339</v>
      </c>
      <c r="K4244" s="11"/>
      <c r="L4244" s="11"/>
      <c r="M4244" s="11"/>
      <c r="N4244" s="11"/>
    </row>
    <row r="4245" spans="3:20" x14ac:dyDescent="0.35">
      <c r="C4245" s="15" t="s">
        <v>8</v>
      </c>
      <c r="D4245" s="15" t="s">
        <v>8</v>
      </c>
      <c r="E4245" s="15" t="s">
        <v>8</v>
      </c>
      <c r="F4245" s="15" t="s">
        <v>8</v>
      </c>
      <c r="H4245" s="15" t="s">
        <v>8</v>
      </c>
      <c r="K4245" s="15" t="s">
        <v>8</v>
      </c>
    </row>
    <row r="4246" spans="3:20" x14ac:dyDescent="0.35">
      <c r="C4246" s="15" t="s">
        <v>8</v>
      </c>
      <c r="D4246" s="15" t="s">
        <v>8</v>
      </c>
      <c r="E4246" s="15" t="s">
        <v>8</v>
      </c>
      <c r="F4246" s="15" t="s">
        <v>8</v>
      </c>
      <c r="H4246" s="15" t="s">
        <v>8</v>
      </c>
      <c r="K4246" s="15" t="s">
        <v>8</v>
      </c>
      <c r="N4246" s="21" t="str">
        <f>HYPERLINK("http://yeinfo.com/family/I09002716.html", "WILLIAM HINDS 1600 EN-1658 MA ID:09005432")</f>
        <v>WILLIAM HINDS 1600 EN-1658 MA ID:09005432</v>
      </c>
      <c r="O4246" s="6"/>
      <c r="P4246" s="6"/>
      <c r="Q4246" s="6"/>
      <c r="R4246" s="6"/>
    </row>
    <row r="4247" spans="3:20" x14ac:dyDescent="0.35">
      <c r="C4247" s="15" t="s">
        <v>8</v>
      </c>
      <c r="D4247" s="15" t="s">
        <v>8</v>
      </c>
      <c r="E4247" s="15" t="s">
        <v>8</v>
      </c>
      <c r="F4247" s="15" t="s">
        <v>8</v>
      </c>
      <c r="H4247" s="15" t="s">
        <v>8</v>
      </c>
      <c r="K4247" s="15" t="s">
        <v>8</v>
      </c>
      <c r="N4247" s="8" t="s">
        <v>3</v>
      </c>
    </row>
    <row r="4248" spans="3:20" x14ac:dyDescent="0.35">
      <c r="C4248" s="15" t="s">
        <v>8</v>
      </c>
      <c r="D4248" s="15" t="s">
        <v>8</v>
      </c>
      <c r="E4248" s="15" t="s">
        <v>8</v>
      </c>
      <c r="F4248" s="15" t="s">
        <v>8</v>
      </c>
      <c r="H4248" s="15" t="s">
        <v>8</v>
      </c>
      <c r="K4248" s="15" t="s">
        <v>8</v>
      </c>
      <c r="M4248" s="5" t="str">
        <f>HYPERLINK("http://yeinfo.com/family/I09001358.html", "WILLIAM HINDS 1658 MA-1736 MA ID:09002716")</f>
        <v>WILLIAM HINDS 1658 MA-1736 MA ID:09002716</v>
      </c>
      <c r="N4248" s="3"/>
      <c r="O4248" s="3"/>
      <c r="P4248" s="3"/>
      <c r="Q4248" s="3"/>
    </row>
    <row r="4249" spans="3:20" x14ac:dyDescent="0.35">
      <c r="C4249" s="15" t="s">
        <v>8</v>
      </c>
      <c r="D4249" s="15" t="s">
        <v>8</v>
      </c>
      <c r="E4249" s="15" t="s">
        <v>8</v>
      </c>
      <c r="F4249" s="15" t="s">
        <v>8</v>
      </c>
      <c r="H4249" s="15" t="s">
        <v>8</v>
      </c>
      <c r="K4249" s="15" t="s">
        <v>8</v>
      </c>
      <c r="M4249" s="8" t="s">
        <v>3</v>
      </c>
      <c r="N4249" s="15" t="s">
        <v>8</v>
      </c>
    </row>
    <row r="4250" spans="3:20" x14ac:dyDescent="0.35">
      <c r="C4250" s="15" t="s">
        <v>8</v>
      </c>
      <c r="D4250" s="15" t="s">
        <v>8</v>
      </c>
      <c r="E4250" s="15" t="s">
        <v>8</v>
      </c>
      <c r="F4250" s="15" t="s">
        <v>8</v>
      </c>
      <c r="H4250" s="15" t="s">
        <v>8</v>
      </c>
      <c r="K4250" s="15" t="s">
        <v>8</v>
      </c>
      <c r="M4250" s="15" t="s">
        <v>8</v>
      </c>
      <c r="N4250" s="15" t="s">
        <v>8</v>
      </c>
      <c r="O4250" s="21" t="str">
        <f>HYPERLINK("http://yeinfo.com/family/I09005433.html", "RICHARD INGERSOLL 1585 EN-1644 MA ID:09010866")</f>
        <v>RICHARD INGERSOLL 1585 EN-1644 MA ID:09010866</v>
      </c>
      <c r="P4250" s="6"/>
      <c r="Q4250" s="6"/>
      <c r="R4250" s="6"/>
      <c r="S4250" s="6"/>
    </row>
    <row r="4251" spans="3:20" x14ac:dyDescent="0.35">
      <c r="C4251" s="15" t="s">
        <v>8</v>
      </c>
      <c r="D4251" s="15" t="s">
        <v>8</v>
      </c>
      <c r="E4251" s="15" t="s">
        <v>8</v>
      </c>
      <c r="F4251" s="15" t="s">
        <v>8</v>
      </c>
      <c r="H4251" s="15" t="s">
        <v>8</v>
      </c>
      <c r="K4251" s="15" t="s">
        <v>8</v>
      </c>
      <c r="M4251" s="15" t="s">
        <v>8</v>
      </c>
      <c r="N4251" s="8" t="s">
        <v>6</v>
      </c>
      <c r="O4251" s="8" t="s">
        <v>3</v>
      </c>
    </row>
    <row r="4252" spans="3:20" x14ac:dyDescent="0.35">
      <c r="C4252" s="15" t="s">
        <v>8</v>
      </c>
      <c r="D4252" s="15" t="s">
        <v>8</v>
      </c>
      <c r="E4252" s="15" t="s">
        <v>8</v>
      </c>
      <c r="F4252" s="15" t="s">
        <v>8</v>
      </c>
      <c r="H4252" s="15" t="s">
        <v>8</v>
      </c>
      <c r="K4252" s="15" t="s">
        <v>8</v>
      </c>
      <c r="M4252" s="15" t="s">
        <v>8</v>
      </c>
      <c r="N4252" s="22" t="str">
        <f>HYPERLINK("http://yeinfo.com/family/I09005432.html", "SARAH INGERSOLL 1619 EN-1719 MA ID:09005433")</f>
        <v>SARAH INGERSOLL 1619 EN-1719 MA ID:09005433</v>
      </c>
      <c r="O4252" s="13"/>
      <c r="P4252" s="13"/>
      <c r="Q4252" s="13"/>
      <c r="R4252" s="13"/>
    </row>
    <row r="4253" spans="3:20" x14ac:dyDescent="0.35">
      <c r="C4253" s="15" t="s">
        <v>8</v>
      </c>
      <c r="D4253" s="15" t="s">
        <v>8</v>
      </c>
      <c r="E4253" s="15" t="s">
        <v>8</v>
      </c>
      <c r="F4253" s="15" t="s">
        <v>8</v>
      </c>
      <c r="H4253" s="15" t="s">
        <v>8</v>
      </c>
      <c r="K4253" s="15" t="s">
        <v>8</v>
      </c>
      <c r="M4253" s="15" t="s">
        <v>8</v>
      </c>
      <c r="O4253" s="8" t="s">
        <v>6</v>
      </c>
    </row>
    <row r="4254" spans="3:20" x14ac:dyDescent="0.35">
      <c r="C4254" s="15" t="s">
        <v>8</v>
      </c>
      <c r="D4254" s="15" t="s">
        <v>8</v>
      </c>
      <c r="E4254" s="15" t="s">
        <v>8</v>
      </c>
      <c r="F4254" s="15" t="s">
        <v>8</v>
      </c>
      <c r="H4254" s="15" t="s">
        <v>8</v>
      </c>
      <c r="K4254" s="15" t="s">
        <v>8</v>
      </c>
      <c r="M4254" s="15" t="s">
        <v>8</v>
      </c>
      <c r="O4254" s="22" t="str">
        <f>HYPERLINK("http://yeinfo.com/family/I09010866.html", "AGNES\ANN LANGLEY 1585 EN-1677 MA ID:09010867")</f>
        <v>AGNES\ANN LANGLEY 1585 EN-1677 MA ID:09010867</v>
      </c>
      <c r="P4254" s="13"/>
      <c r="Q4254" s="13"/>
      <c r="R4254" s="13"/>
      <c r="S4254" s="13"/>
      <c r="T4254" s="13"/>
    </row>
    <row r="4255" spans="3:20" x14ac:dyDescent="0.35">
      <c r="C4255" s="15" t="s">
        <v>8</v>
      </c>
      <c r="D4255" s="15" t="s">
        <v>8</v>
      </c>
      <c r="E4255" s="15" t="s">
        <v>8</v>
      </c>
      <c r="F4255" s="15" t="s">
        <v>8</v>
      </c>
      <c r="H4255" s="15" t="s">
        <v>8</v>
      </c>
      <c r="K4255" s="15" t="s">
        <v>8</v>
      </c>
      <c r="M4255" s="15" t="s">
        <v>8</v>
      </c>
    </row>
    <row r="4256" spans="3:20" x14ac:dyDescent="0.35">
      <c r="C4256" s="15" t="s">
        <v>8</v>
      </c>
      <c r="D4256" s="15" t="s">
        <v>8</v>
      </c>
      <c r="E4256" s="15" t="s">
        <v>8</v>
      </c>
      <c r="F4256" s="15" t="s">
        <v>8</v>
      </c>
      <c r="H4256" s="15" t="s">
        <v>8</v>
      </c>
      <c r="K4256" s="15" t="s">
        <v>8</v>
      </c>
      <c r="L4256" s="5" t="str">
        <f>HYPERLINK("http://yeinfo.com/family/I09000679.html", "JOHN HINDS 1682 MA-1722  ID:09001358")</f>
        <v>JOHN HINDS 1682 MA-1722  ID:09001358</v>
      </c>
      <c r="M4256" s="3"/>
      <c r="N4256" s="3"/>
      <c r="O4256" s="3"/>
      <c r="P4256" s="3"/>
    </row>
    <row r="4257" spans="3:22" x14ac:dyDescent="0.35">
      <c r="C4257" s="15" t="s">
        <v>8</v>
      </c>
      <c r="D4257" s="15" t="s">
        <v>8</v>
      </c>
      <c r="E4257" s="15" t="s">
        <v>8</v>
      </c>
      <c r="F4257" s="15" t="s">
        <v>8</v>
      </c>
      <c r="H4257" s="15" t="s">
        <v>8</v>
      </c>
      <c r="K4257" s="15" t="s">
        <v>8</v>
      </c>
      <c r="L4257" s="8" t="s">
        <v>3</v>
      </c>
      <c r="M4257" s="15" t="s">
        <v>8</v>
      </c>
    </row>
    <row r="4258" spans="3:22" x14ac:dyDescent="0.35">
      <c r="C4258" s="15" t="s">
        <v>8</v>
      </c>
      <c r="D4258" s="15" t="s">
        <v>8</v>
      </c>
      <c r="E4258" s="15" t="s">
        <v>8</v>
      </c>
      <c r="F4258" s="15" t="s">
        <v>8</v>
      </c>
      <c r="H4258" s="15" t="s">
        <v>8</v>
      </c>
      <c r="K4258" s="15" t="s">
        <v>8</v>
      </c>
      <c r="L4258" s="15" t="s">
        <v>8</v>
      </c>
      <c r="M4258" s="15" t="s">
        <v>8</v>
      </c>
      <c r="O4258" s="21" t="str">
        <f>HYPERLINK("http://yeinfo.com/family/I09005434.html", "SAMUEL WARD 1593 EN-1682 MA ID:09010868")</f>
        <v>SAMUEL WARD 1593 EN-1682 MA ID:09010868</v>
      </c>
      <c r="P4258" s="6"/>
      <c r="Q4258" s="6"/>
      <c r="R4258" s="6"/>
      <c r="S4258" s="6"/>
    </row>
    <row r="4259" spans="3:22" x14ac:dyDescent="0.35">
      <c r="C4259" s="15" t="s">
        <v>8</v>
      </c>
      <c r="D4259" s="15" t="s">
        <v>8</v>
      </c>
      <c r="E4259" s="15" t="s">
        <v>8</v>
      </c>
      <c r="F4259" s="15" t="s">
        <v>8</v>
      </c>
      <c r="H4259" s="15" t="s">
        <v>8</v>
      </c>
      <c r="K4259" s="15" t="s">
        <v>8</v>
      </c>
      <c r="L4259" s="15" t="s">
        <v>8</v>
      </c>
      <c r="M4259" s="15" t="s">
        <v>8</v>
      </c>
      <c r="O4259" s="8" t="s">
        <v>3</v>
      </c>
    </row>
    <row r="4260" spans="3:22" x14ac:dyDescent="0.35">
      <c r="C4260" s="15" t="s">
        <v>8</v>
      </c>
      <c r="D4260" s="15" t="s">
        <v>8</v>
      </c>
      <c r="E4260" s="15" t="s">
        <v>8</v>
      </c>
      <c r="F4260" s="15" t="s">
        <v>8</v>
      </c>
      <c r="H4260" s="15" t="s">
        <v>8</v>
      </c>
      <c r="K4260" s="15" t="s">
        <v>8</v>
      </c>
      <c r="L4260" s="15" t="s">
        <v>8</v>
      </c>
      <c r="M4260" s="15" t="s">
        <v>8</v>
      </c>
      <c r="N4260" s="5" t="str">
        <f>HYPERLINK("http://yeinfo.com/family/I09002717.html", "SAMUEL WARD 1638 MA-1690 CN ID:09005434")</f>
        <v>SAMUEL WARD 1638 MA-1690 CN ID:09005434</v>
      </c>
      <c r="O4260" s="3"/>
      <c r="P4260" s="3"/>
      <c r="Q4260" s="3"/>
      <c r="R4260" s="3"/>
    </row>
    <row r="4261" spans="3:22" x14ac:dyDescent="0.35">
      <c r="C4261" s="15" t="s">
        <v>8</v>
      </c>
      <c r="D4261" s="15" t="s">
        <v>8</v>
      </c>
      <c r="E4261" s="15" t="s">
        <v>8</v>
      </c>
      <c r="F4261" s="15" t="s">
        <v>8</v>
      </c>
      <c r="H4261" s="15" t="s">
        <v>8</v>
      </c>
      <c r="K4261" s="15" t="s">
        <v>8</v>
      </c>
      <c r="L4261" s="15" t="s">
        <v>8</v>
      </c>
      <c r="M4261" s="15" t="s">
        <v>8</v>
      </c>
      <c r="N4261" s="8" t="s">
        <v>3</v>
      </c>
      <c r="O4261" s="8" t="s">
        <v>6</v>
      </c>
    </row>
    <row r="4262" spans="3:22" x14ac:dyDescent="0.35">
      <c r="C4262" s="15" t="s">
        <v>8</v>
      </c>
      <c r="D4262" s="15" t="s">
        <v>8</v>
      </c>
      <c r="E4262" s="15" t="s">
        <v>8</v>
      </c>
      <c r="F4262" s="15" t="s">
        <v>8</v>
      </c>
      <c r="H4262" s="15" t="s">
        <v>8</v>
      </c>
      <c r="K4262" s="15" t="s">
        <v>8</v>
      </c>
      <c r="L4262" s="15" t="s">
        <v>8</v>
      </c>
      <c r="M4262" s="15" t="s">
        <v>8</v>
      </c>
      <c r="N4262" s="15" t="s">
        <v>8</v>
      </c>
      <c r="O4262" s="22" t="str">
        <f>HYPERLINK("http://yeinfo.com/family/I09010868.html", "MARY HILLARD 1600 EN-1638 MA ID:09010869")</f>
        <v>MARY HILLARD 1600 EN-1638 MA ID:09010869</v>
      </c>
      <c r="P4262" s="13"/>
      <c r="Q4262" s="13"/>
      <c r="R4262" s="13"/>
      <c r="S4262" s="13"/>
    </row>
    <row r="4263" spans="3:22" x14ac:dyDescent="0.35">
      <c r="C4263" s="15" t="s">
        <v>8</v>
      </c>
      <c r="D4263" s="15" t="s">
        <v>8</v>
      </c>
      <c r="E4263" s="15" t="s">
        <v>8</v>
      </c>
      <c r="F4263" s="15" t="s">
        <v>8</v>
      </c>
      <c r="H4263" s="15" t="s">
        <v>8</v>
      </c>
      <c r="K4263" s="15" t="s">
        <v>8</v>
      </c>
      <c r="L4263" s="15" t="s">
        <v>8</v>
      </c>
      <c r="M4263" s="8" t="s">
        <v>6</v>
      </c>
      <c r="N4263" s="15" t="s">
        <v>8</v>
      </c>
    </row>
    <row r="4264" spans="3:22" x14ac:dyDescent="0.35">
      <c r="C4264" s="15" t="s">
        <v>8</v>
      </c>
      <c r="D4264" s="15" t="s">
        <v>8</v>
      </c>
      <c r="E4264" s="15" t="s">
        <v>8</v>
      </c>
      <c r="F4264" s="15" t="s">
        <v>8</v>
      </c>
      <c r="H4264" s="15" t="s">
        <v>8</v>
      </c>
      <c r="K4264" s="15" t="s">
        <v>8</v>
      </c>
      <c r="L4264" s="15" t="s">
        <v>8</v>
      </c>
      <c r="M4264" s="16" t="str">
        <f>HYPERLINK("http://yeinfo.com/family/I09010867.html", "ABIGAIL WARD 1660 MA-1688 MA ID:09002717")</f>
        <v>ABIGAIL WARD 1660 MA-1688 MA ID:09002717</v>
      </c>
      <c r="N4264" s="11"/>
      <c r="O4264" s="11"/>
      <c r="P4264" s="11"/>
      <c r="Q4264" s="11"/>
    </row>
    <row r="4265" spans="3:22" x14ac:dyDescent="0.35">
      <c r="C4265" s="15" t="s">
        <v>8</v>
      </c>
      <c r="D4265" s="15" t="s">
        <v>8</v>
      </c>
      <c r="E4265" s="15" t="s">
        <v>8</v>
      </c>
      <c r="F4265" s="15" t="s">
        <v>8</v>
      </c>
      <c r="H4265" s="15" t="s">
        <v>8</v>
      </c>
      <c r="K4265" s="15" t="s">
        <v>8</v>
      </c>
      <c r="L4265" s="15" t="s">
        <v>8</v>
      </c>
      <c r="N4265" s="15" t="s">
        <v>8</v>
      </c>
    </row>
    <row r="4266" spans="3:22" x14ac:dyDescent="0.35">
      <c r="C4266" s="15" t="s">
        <v>8</v>
      </c>
      <c r="D4266" s="15" t="s">
        <v>8</v>
      </c>
      <c r="E4266" s="15" t="s">
        <v>8</v>
      </c>
      <c r="F4266" s="15" t="s">
        <v>8</v>
      </c>
      <c r="H4266" s="15" t="s">
        <v>8</v>
      </c>
      <c r="K4266" s="15" t="s">
        <v>8</v>
      </c>
      <c r="L4266" s="15" t="s">
        <v>8</v>
      </c>
      <c r="N4266" s="15" t="s">
        <v>8</v>
      </c>
      <c r="R4266" s="19" t="str">
        <f>HYPERLINK("http://yeinfo.com/family/I09043480.html", "ROBERT MAVERICK 1525 EN-1573 EN ID:09065579")</f>
        <v>ROBERT MAVERICK 1525 EN-1573 EN ID:09065579</v>
      </c>
      <c r="S4266" s="9"/>
      <c r="T4266" s="9"/>
      <c r="U4266" s="9"/>
      <c r="V4266" s="9"/>
    </row>
    <row r="4267" spans="3:22" x14ac:dyDescent="0.35">
      <c r="C4267" s="15" t="s">
        <v>8</v>
      </c>
      <c r="D4267" s="15" t="s">
        <v>8</v>
      </c>
      <c r="E4267" s="15" t="s">
        <v>8</v>
      </c>
      <c r="F4267" s="15" t="s">
        <v>8</v>
      </c>
      <c r="H4267" s="15" t="s">
        <v>8</v>
      </c>
      <c r="K4267" s="15" t="s">
        <v>8</v>
      </c>
      <c r="L4267" s="15" t="s">
        <v>8</v>
      </c>
      <c r="N4267" s="15" t="s">
        <v>8</v>
      </c>
      <c r="R4267" s="8" t="s">
        <v>3</v>
      </c>
    </row>
    <row r="4268" spans="3:22" x14ac:dyDescent="0.35">
      <c r="C4268" s="15" t="s">
        <v>8</v>
      </c>
      <c r="D4268" s="15" t="s">
        <v>8</v>
      </c>
      <c r="E4268" s="15" t="s">
        <v>8</v>
      </c>
      <c r="F4268" s="15" t="s">
        <v>8</v>
      </c>
      <c r="H4268" s="15" t="s">
        <v>8</v>
      </c>
      <c r="K4268" s="15" t="s">
        <v>8</v>
      </c>
      <c r="L4268" s="15" t="s">
        <v>8</v>
      </c>
      <c r="N4268" s="15" t="s">
        <v>8</v>
      </c>
      <c r="Q4268" s="19" t="str">
        <f>HYPERLINK("http://yeinfo.com/family/I09021740.html", "PETER MAVERICK 1550 EN-1612 EN ID:09043480")</f>
        <v>PETER MAVERICK 1550 EN-1612 EN ID:09043480</v>
      </c>
      <c r="R4268" s="9"/>
      <c r="S4268" s="9"/>
      <c r="T4268" s="9"/>
      <c r="U4268" s="9"/>
    </row>
    <row r="4269" spans="3:22" x14ac:dyDescent="0.35">
      <c r="C4269" s="15" t="s">
        <v>8</v>
      </c>
      <c r="D4269" s="15" t="s">
        <v>8</v>
      </c>
      <c r="E4269" s="15" t="s">
        <v>8</v>
      </c>
      <c r="F4269" s="15" t="s">
        <v>8</v>
      </c>
      <c r="H4269" s="15" t="s">
        <v>8</v>
      </c>
      <c r="K4269" s="15" t="s">
        <v>8</v>
      </c>
      <c r="L4269" s="15" t="s">
        <v>8</v>
      </c>
      <c r="N4269" s="15" t="s">
        <v>8</v>
      </c>
      <c r="Q4269" s="8" t="s">
        <v>3</v>
      </c>
      <c r="R4269" s="8" t="s">
        <v>6</v>
      </c>
    </row>
    <row r="4270" spans="3:22" x14ac:dyDescent="0.35">
      <c r="C4270" s="15" t="s">
        <v>8</v>
      </c>
      <c r="D4270" s="15" t="s">
        <v>8</v>
      </c>
      <c r="E4270" s="15" t="s">
        <v>8</v>
      </c>
      <c r="F4270" s="15" t="s">
        <v>8</v>
      </c>
      <c r="H4270" s="15" t="s">
        <v>8</v>
      </c>
      <c r="K4270" s="15" t="s">
        <v>8</v>
      </c>
      <c r="L4270" s="15" t="s">
        <v>8</v>
      </c>
      <c r="N4270" s="15" t="s">
        <v>8</v>
      </c>
      <c r="Q4270" s="15" t="s">
        <v>8</v>
      </c>
      <c r="R4270" s="20" t="str">
        <f>HYPERLINK("http://yeinfo.com/family/I09065579.html", "ALICE BULL 1525 EN-1550 EN ID:09065580")</f>
        <v>ALICE BULL 1525 EN-1550 EN ID:09065580</v>
      </c>
      <c r="S4270" s="17"/>
      <c r="T4270" s="17"/>
      <c r="U4270" s="17"/>
      <c r="V4270" s="17"/>
    </row>
    <row r="4271" spans="3:22" x14ac:dyDescent="0.35">
      <c r="C4271" s="15" t="s">
        <v>8</v>
      </c>
      <c r="D4271" s="15" t="s">
        <v>8</v>
      </c>
      <c r="E4271" s="15" t="s">
        <v>8</v>
      </c>
      <c r="F4271" s="15" t="s">
        <v>8</v>
      </c>
      <c r="H4271" s="15" t="s">
        <v>8</v>
      </c>
      <c r="K4271" s="15" t="s">
        <v>8</v>
      </c>
      <c r="L4271" s="15" t="s">
        <v>8</v>
      </c>
      <c r="N4271" s="15" t="s">
        <v>8</v>
      </c>
      <c r="Q4271" s="15" t="s">
        <v>8</v>
      </c>
    </row>
    <row r="4272" spans="3:22" x14ac:dyDescent="0.35">
      <c r="C4272" s="15" t="s">
        <v>8</v>
      </c>
      <c r="D4272" s="15" t="s">
        <v>8</v>
      </c>
      <c r="E4272" s="15" t="s">
        <v>8</v>
      </c>
      <c r="F4272" s="15" t="s">
        <v>8</v>
      </c>
      <c r="H4272" s="15" t="s">
        <v>8</v>
      </c>
      <c r="K4272" s="15" t="s">
        <v>8</v>
      </c>
      <c r="L4272" s="15" t="s">
        <v>8</v>
      </c>
      <c r="N4272" s="15" t="s">
        <v>8</v>
      </c>
      <c r="P4272" s="21" t="str">
        <f>HYPERLINK("http://yeinfo.com/family/I09010870.html", "JOHN MAVERICK 1578 EN-1636 MA ID:09021740")</f>
        <v>JOHN MAVERICK 1578 EN-1636 MA ID:09021740</v>
      </c>
      <c r="Q4272" s="6"/>
      <c r="R4272" s="6"/>
      <c r="S4272" s="6"/>
      <c r="T4272" s="6"/>
    </row>
    <row r="4273" spans="3:27" x14ac:dyDescent="0.35">
      <c r="C4273" s="15" t="s">
        <v>8</v>
      </c>
      <c r="D4273" s="15" t="s">
        <v>8</v>
      </c>
      <c r="E4273" s="15" t="s">
        <v>8</v>
      </c>
      <c r="F4273" s="15" t="s">
        <v>8</v>
      </c>
      <c r="H4273" s="15" t="s">
        <v>8</v>
      </c>
      <c r="K4273" s="15" t="s">
        <v>8</v>
      </c>
      <c r="L4273" s="15" t="s">
        <v>8</v>
      </c>
      <c r="N4273" s="15" t="s">
        <v>8</v>
      </c>
      <c r="P4273" s="8" t="s">
        <v>3</v>
      </c>
      <c r="Q4273" s="8" t="s">
        <v>6</v>
      </c>
    </row>
    <row r="4274" spans="3:27" x14ac:dyDescent="0.35">
      <c r="C4274" s="15" t="s">
        <v>8</v>
      </c>
      <c r="D4274" s="15" t="s">
        <v>8</v>
      </c>
      <c r="E4274" s="15" t="s">
        <v>8</v>
      </c>
      <c r="F4274" s="15" t="s">
        <v>8</v>
      </c>
      <c r="H4274" s="15" t="s">
        <v>8</v>
      </c>
      <c r="K4274" s="15" t="s">
        <v>8</v>
      </c>
      <c r="L4274" s="15" t="s">
        <v>8</v>
      </c>
      <c r="N4274" s="15" t="s">
        <v>8</v>
      </c>
      <c r="P4274" s="15" t="s">
        <v>8</v>
      </c>
      <c r="Q4274" s="20" t="str">
        <f>HYPERLINK("http://yeinfo.com/family/I09065580.html", "DOROTHY TUCKE 1555 EN-1578 EN ID:09043481")</f>
        <v>DOROTHY TUCKE 1555 EN-1578 EN ID:09043481</v>
      </c>
      <c r="R4274" s="17"/>
      <c r="S4274" s="17"/>
      <c r="T4274" s="17"/>
      <c r="U4274" s="17"/>
    </row>
    <row r="4275" spans="3:27" x14ac:dyDescent="0.35">
      <c r="C4275" s="15" t="s">
        <v>8</v>
      </c>
      <c r="D4275" s="15" t="s">
        <v>8</v>
      </c>
      <c r="E4275" s="15" t="s">
        <v>8</v>
      </c>
      <c r="F4275" s="15" t="s">
        <v>8</v>
      </c>
      <c r="H4275" s="15" t="s">
        <v>8</v>
      </c>
      <c r="K4275" s="15" t="s">
        <v>8</v>
      </c>
      <c r="L4275" s="15" t="s">
        <v>8</v>
      </c>
      <c r="N4275" s="15" t="s">
        <v>8</v>
      </c>
      <c r="P4275" s="15" t="s">
        <v>8</v>
      </c>
    </row>
    <row r="4276" spans="3:27" x14ac:dyDescent="0.35">
      <c r="C4276" s="15" t="s">
        <v>8</v>
      </c>
      <c r="D4276" s="15" t="s">
        <v>8</v>
      </c>
      <c r="E4276" s="15" t="s">
        <v>8</v>
      </c>
      <c r="F4276" s="15" t="s">
        <v>8</v>
      </c>
      <c r="H4276" s="15" t="s">
        <v>8</v>
      </c>
      <c r="K4276" s="15" t="s">
        <v>8</v>
      </c>
      <c r="L4276" s="15" t="s">
        <v>8</v>
      </c>
      <c r="N4276" s="15" t="s">
        <v>8</v>
      </c>
      <c r="O4276" s="21" t="str">
        <f>HYPERLINK("http://yeinfo.com/family/I09005435.html", "MOSES MAVERICK 1611 EN-1686 MA ID:09010870")</f>
        <v>MOSES MAVERICK 1611 EN-1686 MA ID:09010870</v>
      </c>
      <c r="P4276" s="6"/>
      <c r="Q4276" s="6"/>
      <c r="R4276" s="6"/>
      <c r="S4276" s="6"/>
    </row>
    <row r="4277" spans="3:27" x14ac:dyDescent="0.35">
      <c r="C4277" s="15" t="s">
        <v>8</v>
      </c>
      <c r="D4277" s="15" t="s">
        <v>8</v>
      </c>
      <c r="E4277" s="15" t="s">
        <v>8</v>
      </c>
      <c r="F4277" s="15" t="s">
        <v>8</v>
      </c>
      <c r="H4277" s="15" t="s">
        <v>8</v>
      </c>
      <c r="K4277" s="15" t="s">
        <v>8</v>
      </c>
      <c r="L4277" s="15" t="s">
        <v>8</v>
      </c>
      <c r="N4277" s="15" t="s">
        <v>8</v>
      </c>
      <c r="O4277" s="8" t="s">
        <v>3</v>
      </c>
      <c r="P4277" s="15" t="s">
        <v>8</v>
      </c>
    </row>
    <row r="4278" spans="3:27" x14ac:dyDescent="0.35">
      <c r="C4278" s="15" t="s">
        <v>8</v>
      </c>
      <c r="D4278" s="15" t="s">
        <v>8</v>
      </c>
      <c r="E4278" s="15" t="s">
        <v>8</v>
      </c>
      <c r="F4278" s="15" t="s">
        <v>8</v>
      </c>
      <c r="H4278" s="15" t="s">
        <v>8</v>
      </c>
      <c r="K4278" s="15" t="s">
        <v>8</v>
      </c>
      <c r="L4278" s="15" t="s">
        <v>8</v>
      </c>
      <c r="N4278" s="15" t="s">
        <v>8</v>
      </c>
      <c r="O4278" s="15" t="s">
        <v>8</v>
      </c>
      <c r="P4278" s="15" t="s">
        <v>8</v>
      </c>
      <c r="R4278" s="19" t="str">
        <f>HYPERLINK("http://yeinfo.com/family/I09043482.html", "ROBERT\JOHN GYE 1530 EN-1555 EN ID:09065581")</f>
        <v>ROBERT\JOHN GYE 1530 EN-1555 EN ID:09065581</v>
      </c>
      <c r="S4278" s="9"/>
      <c r="T4278" s="9"/>
      <c r="U4278" s="9"/>
      <c r="V4278" s="9"/>
      <c r="W4278" s="9"/>
    </row>
    <row r="4279" spans="3:27" x14ac:dyDescent="0.35">
      <c r="C4279" s="15" t="s">
        <v>8</v>
      </c>
      <c r="D4279" s="15" t="s">
        <v>8</v>
      </c>
      <c r="E4279" s="15" t="s">
        <v>8</v>
      </c>
      <c r="F4279" s="15" t="s">
        <v>8</v>
      </c>
      <c r="H4279" s="15" t="s">
        <v>8</v>
      </c>
      <c r="K4279" s="15" t="s">
        <v>8</v>
      </c>
      <c r="L4279" s="15" t="s">
        <v>8</v>
      </c>
      <c r="N4279" s="15" t="s">
        <v>8</v>
      </c>
      <c r="O4279" s="15" t="s">
        <v>8</v>
      </c>
      <c r="P4279" s="15" t="s">
        <v>8</v>
      </c>
      <c r="R4279" s="8" t="s">
        <v>3</v>
      </c>
    </row>
    <row r="4280" spans="3:27" x14ac:dyDescent="0.35">
      <c r="C4280" s="15" t="s">
        <v>8</v>
      </c>
      <c r="D4280" s="15" t="s">
        <v>8</v>
      </c>
      <c r="E4280" s="15" t="s">
        <v>8</v>
      </c>
      <c r="F4280" s="15" t="s">
        <v>8</v>
      </c>
      <c r="H4280" s="15" t="s">
        <v>8</v>
      </c>
      <c r="K4280" s="15" t="s">
        <v>8</v>
      </c>
      <c r="L4280" s="15" t="s">
        <v>8</v>
      </c>
      <c r="N4280" s="15" t="s">
        <v>8</v>
      </c>
      <c r="O4280" s="15" t="s">
        <v>8</v>
      </c>
      <c r="P4280" s="15" t="s">
        <v>8</v>
      </c>
      <c r="Q4280" s="19" t="str">
        <f>HYPERLINK("http://yeinfo.com/family/I09021741.html", "ROBERT GYE 1555 EN-1580 EN ID:09043482")</f>
        <v>ROBERT GYE 1555 EN-1580 EN ID:09043482</v>
      </c>
      <c r="R4280" s="9"/>
      <c r="S4280" s="9"/>
      <c r="T4280" s="9"/>
      <c r="U4280" s="9"/>
    </row>
    <row r="4281" spans="3:27" x14ac:dyDescent="0.35">
      <c r="C4281" s="15" t="s">
        <v>8</v>
      </c>
      <c r="D4281" s="15" t="s">
        <v>8</v>
      </c>
      <c r="E4281" s="15" t="s">
        <v>8</v>
      </c>
      <c r="F4281" s="15" t="s">
        <v>8</v>
      </c>
      <c r="H4281" s="15" t="s">
        <v>8</v>
      </c>
      <c r="K4281" s="15" t="s">
        <v>8</v>
      </c>
      <c r="L4281" s="15" t="s">
        <v>8</v>
      </c>
      <c r="N4281" s="15" t="s">
        <v>8</v>
      </c>
      <c r="O4281" s="15" t="s">
        <v>8</v>
      </c>
      <c r="P4281" s="15" t="s">
        <v>8</v>
      </c>
      <c r="Q4281" s="8" t="s">
        <v>3</v>
      </c>
      <c r="R4281" s="8" t="s">
        <v>6</v>
      </c>
    </row>
    <row r="4282" spans="3:27" x14ac:dyDescent="0.35">
      <c r="C4282" s="15" t="s">
        <v>8</v>
      </c>
      <c r="D4282" s="15" t="s">
        <v>8</v>
      </c>
      <c r="E4282" s="15" t="s">
        <v>8</v>
      </c>
      <c r="F4282" s="15" t="s">
        <v>8</v>
      </c>
      <c r="H4282" s="15" t="s">
        <v>8</v>
      </c>
      <c r="K4282" s="15" t="s">
        <v>8</v>
      </c>
      <c r="L4282" s="15" t="s">
        <v>8</v>
      </c>
      <c r="N4282" s="15" t="s">
        <v>8</v>
      </c>
      <c r="O4282" s="15" t="s">
        <v>8</v>
      </c>
      <c r="P4282" s="15" t="s">
        <v>8</v>
      </c>
      <c r="Q4282" s="15" t="s">
        <v>8</v>
      </c>
      <c r="R4282" s="20" t="str">
        <f>HYPERLINK("http://yeinfo.com/family/I09065581.html", "MARY PROWSE 1530 EN-1555 EN ID:09065582")</f>
        <v>MARY PROWSE 1530 EN-1555 EN ID:09065582</v>
      </c>
      <c r="S4282" s="17"/>
      <c r="T4282" s="17"/>
      <c r="U4282" s="17"/>
      <c r="V4282" s="17"/>
    </row>
    <row r="4283" spans="3:27" x14ac:dyDescent="0.35">
      <c r="C4283" s="15" t="s">
        <v>8</v>
      </c>
      <c r="D4283" s="15" t="s">
        <v>8</v>
      </c>
      <c r="E4283" s="15" t="s">
        <v>8</v>
      </c>
      <c r="F4283" s="15" t="s">
        <v>8</v>
      </c>
      <c r="H4283" s="15" t="s">
        <v>8</v>
      </c>
      <c r="K4283" s="15" t="s">
        <v>8</v>
      </c>
      <c r="L4283" s="15" t="s">
        <v>8</v>
      </c>
      <c r="N4283" s="15" t="s">
        <v>8</v>
      </c>
      <c r="O4283" s="15" t="s">
        <v>8</v>
      </c>
      <c r="P4283" s="8" t="s">
        <v>6</v>
      </c>
      <c r="Q4283" s="15" t="s">
        <v>8</v>
      </c>
    </row>
    <row r="4284" spans="3:27" x14ac:dyDescent="0.35">
      <c r="C4284" s="15" t="s">
        <v>8</v>
      </c>
      <c r="D4284" s="15" t="s">
        <v>8</v>
      </c>
      <c r="E4284" s="15" t="s">
        <v>8</v>
      </c>
      <c r="F4284" s="15" t="s">
        <v>8</v>
      </c>
      <c r="H4284" s="15" t="s">
        <v>8</v>
      </c>
      <c r="K4284" s="15" t="s">
        <v>8</v>
      </c>
      <c r="L4284" s="15" t="s">
        <v>8</v>
      </c>
      <c r="N4284" s="15" t="s">
        <v>8</v>
      </c>
      <c r="O4284" s="15" t="s">
        <v>8</v>
      </c>
      <c r="P4284" s="22" t="str">
        <f>HYPERLINK("http://yeinfo.com/family/I09043481.html", "MARY GYE 1580 EN-1631 MA ID:09021741")</f>
        <v>MARY GYE 1580 EN-1631 MA ID:09021741</v>
      </c>
      <c r="Q4284" s="13"/>
      <c r="R4284" s="13"/>
      <c r="S4284" s="13"/>
      <c r="T4284" s="13"/>
    </row>
    <row r="4285" spans="3:27" x14ac:dyDescent="0.35">
      <c r="C4285" s="15" t="s">
        <v>8</v>
      </c>
      <c r="D4285" s="15" t="s">
        <v>8</v>
      </c>
      <c r="E4285" s="15" t="s">
        <v>8</v>
      </c>
      <c r="F4285" s="15" t="s">
        <v>8</v>
      </c>
      <c r="H4285" s="15" t="s">
        <v>8</v>
      </c>
      <c r="K4285" s="15" t="s">
        <v>8</v>
      </c>
      <c r="L4285" s="15" t="s">
        <v>8</v>
      </c>
      <c r="N4285" s="15" t="s">
        <v>8</v>
      </c>
      <c r="O4285" s="15" t="s">
        <v>8</v>
      </c>
      <c r="Q4285" s="15" t="s">
        <v>8</v>
      </c>
    </row>
    <row r="4286" spans="3:27" x14ac:dyDescent="0.35">
      <c r="C4286" s="15" t="s">
        <v>8</v>
      </c>
      <c r="D4286" s="15" t="s">
        <v>8</v>
      </c>
      <c r="E4286" s="15" t="s">
        <v>8</v>
      </c>
      <c r="F4286" s="15" t="s">
        <v>8</v>
      </c>
      <c r="H4286" s="15" t="s">
        <v>8</v>
      </c>
      <c r="K4286" s="15" t="s">
        <v>8</v>
      </c>
      <c r="L4286" s="15" t="s">
        <v>8</v>
      </c>
      <c r="N4286" s="15" t="s">
        <v>8</v>
      </c>
      <c r="O4286" s="15" t="s">
        <v>8</v>
      </c>
      <c r="Q4286" s="15" t="s">
        <v>8</v>
      </c>
      <c r="W4286" s="19" t="str">
        <f>HYPERLINK("http://yeinfo.com/family/I09066284.html", "RICHARD DOWRISH 1352 EN-1413 EN ID:09066490")</f>
        <v>RICHARD DOWRISH 1352 EN-1413 EN ID:09066490</v>
      </c>
      <c r="X4286" s="9"/>
      <c r="Y4286" s="9"/>
      <c r="Z4286" s="9"/>
      <c r="AA4286" s="9"/>
    </row>
    <row r="4287" spans="3:27" x14ac:dyDescent="0.35">
      <c r="C4287" s="15" t="s">
        <v>8</v>
      </c>
      <c r="D4287" s="15" t="s">
        <v>8</v>
      </c>
      <c r="E4287" s="15" t="s">
        <v>8</v>
      </c>
      <c r="F4287" s="15" t="s">
        <v>8</v>
      </c>
      <c r="H4287" s="15" t="s">
        <v>8</v>
      </c>
      <c r="K4287" s="15" t="s">
        <v>8</v>
      </c>
      <c r="L4287" s="15" t="s">
        <v>8</v>
      </c>
      <c r="N4287" s="15" t="s">
        <v>8</v>
      </c>
      <c r="O4287" s="15" t="s">
        <v>8</v>
      </c>
      <c r="Q4287" s="15" t="s">
        <v>8</v>
      </c>
      <c r="W4287" s="8" t="s">
        <v>3</v>
      </c>
    </row>
    <row r="4288" spans="3:27" x14ac:dyDescent="0.35">
      <c r="C4288" s="15" t="s">
        <v>8</v>
      </c>
      <c r="D4288" s="15" t="s">
        <v>8</v>
      </c>
      <c r="E4288" s="15" t="s">
        <v>8</v>
      </c>
      <c r="F4288" s="15" t="s">
        <v>8</v>
      </c>
      <c r="H4288" s="15" t="s">
        <v>8</v>
      </c>
      <c r="K4288" s="15" t="s">
        <v>8</v>
      </c>
      <c r="L4288" s="15" t="s">
        <v>8</v>
      </c>
      <c r="N4288" s="15" t="s">
        <v>8</v>
      </c>
      <c r="O4288" s="15" t="s">
        <v>8</v>
      </c>
      <c r="Q4288" s="15" t="s">
        <v>8</v>
      </c>
      <c r="V4288" s="19" t="str">
        <f>HYPERLINK("http://yeinfo.com/family/I09066087.html", "THOMAS DOWRISH 1383 EN-1440 EN ID:09066284")</f>
        <v>THOMAS DOWRISH 1383 EN-1440 EN ID:09066284</v>
      </c>
      <c r="W4288" s="9"/>
      <c r="X4288" s="9"/>
      <c r="Y4288" s="9"/>
      <c r="Z4288" s="9"/>
    </row>
    <row r="4289" spans="3:27" x14ac:dyDescent="0.35">
      <c r="C4289" s="15" t="s">
        <v>8</v>
      </c>
      <c r="D4289" s="15" t="s">
        <v>8</v>
      </c>
      <c r="E4289" s="15" t="s">
        <v>8</v>
      </c>
      <c r="F4289" s="15" t="s">
        <v>8</v>
      </c>
      <c r="H4289" s="15" t="s">
        <v>8</v>
      </c>
      <c r="K4289" s="15" t="s">
        <v>8</v>
      </c>
      <c r="L4289" s="15" t="s">
        <v>8</v>
      </c>
      <c r="N4289" s="15" t="s">
        <v>8</v>
      </c>
      <c r="O4289" s="15" t="s">
        <v>8</v>
      </c>
      <c r="Q4289" s="15" t="s">
        <v>8</v>
      </c>
      <c r="V4289" s="8" t="s">
        <v>3</v>
      </c>
      <c r="W4289" s="8" t="s">
        <v>6</v>
      </c>
    </row>
    <row r="4290" spans="3:27" x14ac:dyDescent="0.35">
      <c r="C4290" s="15" t="s">
        <v>8</v>
      </c>
      <c r="D4290" s="15" t="s">
        <v>8</v>
      </c>
      <c r="E4290" s="15" t="s">
        <v>8</v>
      </c>
      <c r="F4290" s="15" t="s">
        <v>8</v>
      </c>
      <c r="H4290" s="15" t="s">
        <v>8</v>
      </c>
      <c r="K4290" s="15" t="s">
        <v>8</v>
      </c>
      <c r="L4290" s="15" t="s">
        <v>8</v>
      </c>
      <c r="N4290" s="15" t="s">
        <v>8</v>
      </c>
      <c r="O4290" s="15" t="s">
        <v>8</v>
      </c>
      <c r="Q4290" s="15" t="s">
        <v>8</v>
      </c>
      <c r="V4290" s="15" t="s">
        <v>8</v>
      </c>
      <c r="W4290" s="20" t="str">
        <f>HYPERLINK("http://yeinfo.com/family/I09066490.html", "Mrs. {_?_} DOWRISH 1352 EN-1383 EN ID:09066491")</f>
        <v>Mrs. {_?_} DOWRISH 1352 EN-1383 EN ID:09066491</v>
      </c>
      <c r="X4290" s="17"/>
      <c r="Y4290" s="17"/>
      <c r="Z4290" s="17"/>
      <c r="AA4290" s="17"/>
    </row>
    <row r="4291" spans="3:27" x14ac:dyDescent="0.35">
      <c r="C4291" s="15" t="s">
        <v>8</v>
      </c>
      <c r="D4291" s="15" t="s">
        <v>8</v>
      </c>
      <c r="E4291" s="15" t="s">
        <v>8</v>
      </c>
      <c r="F4291" s="15" t="s">
        <v>8</v>
      </c>
      <c r="H4291" s="15" t="s">
        <v>8</v>
      </c>
      <c r="K4291" s="15" t="s">
        <v>8</v>
      </c>
      <c r="L4291" s="15" t="s">
        <v>8</v>
      </c>
      <c r="N4291" s="15" t="s">
        <v>8</v>
      </c>
      <c r="O4291" s="15" t="s">
        <v>8</v>
      </c>
      <c r="Q4291" s="15" t="s">
        <v>8</v>
      </c>
      <c r="V4291" s="15" t="s">
        <v>8</v>
      </c>
    </row>
    <row r="4292" spans="3:27" x14ac:dyDescent="0.35">
      <c r="C4292" s="15" t="s">
        <v>8</v>
      </c>
      <c r="D4292" s="15" t="s">
        <v>8</v>
      </c>
      <c r="E4292" s="15" t="s">
        <v>8</v>
      </c>
      <c r="F4292" s="15" t="s">
        <v>8</v>
      </c>
      <c r="H4292" s="15" t="s">
        <v>8</v>
      </c>
      <c r="K4292" s="15" t="s">
        <v>8</v>
      </c>
      <c r="L4292" s="15" t="s">
        <v>8</v>
      </c>
      <c r="N4292" s="15" t="s">
        <v>8</v>
      </c>
      <c r="O4292" s="15" t="s">
        <v>8</v>
      </c>
      <c r="Q4292" s="15" t="s">
        <v>8</v>
      </c>
      <c r="U4292" s="19" t="str">
        <f>HYPERLINK("http://yeinfo.com/family/I09065923.html", "THOMAS DOWRISH 1414 EN-1464 EN ID:09066087")</f>
        <v>THOMAS DOWRISH 1414 EN-1464 EN ID:09066087</v>
      </c>
      <c r="V4292" s="9"/>
      <c r="W4292" s="9"/>
      <c r="X4292" s="9"/>
      <c r="Y4292" s="9"/>
    </row>
    <row r="4293" spans="3:27" x14ac:dyDescent="0.35">
      <c r="C4293" s="15" t="s">
        <v>8</v>
      </c>
      <c r="D4293" s="15" t="s">
        <v>8</v>
      </c>
      <c r="E4293" s="15" t="s">
        <v>8</v>
      </c>
      <c r="F4293" s="15" t="s">
        <v>8</v>
      </c>
      <c r="H4293" s="15" t="s">
        <v>8</v>
      </c>
      <c r="K4293" s="15" t="s">
        <v>8</v>
      </c>
      <c r="L4293" s="15" t="s">
        <v>8</v>
      </c>
      <c r="N4293" s="15" t="s">
        <v>8</v>
      </c>
      <c r="O4293" s="15" t="s">
        <v>8</v>
      </c>
      <c r="Q4293" s="15" t="s">
        <v>8</v>
      </c>
      <c r="U4293" s="8" t="s">
        <v>3</v>
      </c>
      <c r="V4293" s="8" t="s">
        <v>6</v>
      </c>
    </row>
    <row r="4294" spans="3:27" x14ac:dyDescent="0.35">
      <c r="C4294" s="15" t="s">
        <v>8</v>
      </c>
      <c r="D4294" s="15" t="s">
        <v>8</v>
      </c>
      <c r="E4294" s="15" t="s">
        <v>8</v>
      </c>
      <c r="F4294" s="15" t="s">
        <v>8</v>
      </c>
      <c r="H4294" s="15" t="s">
        <v>8</v>
      </c>
      <c r="K4294" s="15" t="s">
        <v>8</v>
      </c>
      <c r="L4294" s="15" t="s">
        <v>8</v>
      </c>
      <c r="N4294" s="15" t="s">
        <v>8</v>
      </c>
      <c r="O4294" s="15" t="s">
        <v>8</v>
      </c>
      <c r="Q4294" s="15" t="s">
        <v>8</v>
      </c>
      <c r="U4294" s="15" t="s">
        <v>8</v>
      </c>
      <c r="V4294" s="20" t="str">
        <f>HYPERLINK("http://yeinfo.com/family/I09066491.html", "Mrs. {_?_} DOWRISH 1390 EN-1414 EN ID:09066283")</f>
        <v>Mrs. {_?_} DOWRISH 1390 EN-1414 EN ID:09066283</v>
      </c>
      <c r="W4294" s="17"/>
      <c r="X4294" s="17"/>
      <c r="Y4294" s="17"/>
      <c r="Z4294" s="17"/>
    </row>
    <row r="4295" spans="3:27" x14ac:dyDescent="0.35">
      <c r="C4295" s="15" t="s">
        <v>8</v>
      </c>
      <c r="D4295" s="15" t="s">
        <v>8</v>
      </c>
      <c r="E4295" s="15" t="s">
        <v>8</v>
      </c>
      <c r="F4295" s="15" t="s">
        <v>8</v>
      </c>
      <c r="H4295" s="15" t="s">
        <v>8</v>
      </c>
      <c r="K4295" s="15" t="s">
        <v>8</v>
      </c>
      <c r="L4295" s="15" t="s">
        <v>8</v>
      </c>
      <c r="N4295" s="15" t="s">
        <v>8</v>
      </c>
      <c r="O4295" s="15" t="s">
        <v>8</v>
      </c>
      <c r="Q4295" s="15" t="s">
        <v>8</v>
      </c>
      <c r="U4295" s="15" t="s">
        <v>8</v>
      </c>
    </row>
    <row r="4296" spans="3:27" x14ac:dyDescent="0.35">
      <c r="C4296" s="15" t="s">
        <v>8</v>
      </c>
      <c r="D4296" s="15" t="s">
        <v>8</v>
      </c>
      <c r="E4296" s="15" t="s">
        <v>8</v>
      </c>
      <c r="F4296" s="15" t="s">
        <v>8</v>
      </c>
      <c r="H4296" s="15" t="s">
        <v>8</v>
      </c>
      <c r="K4296" s="15" t="s">
        <v>8</v>
      </c>
      <c r="L4296" s="15" t="s">
        <v>8</v>
      </c>
      <c r="N4296" s="15" t="s">
        <v>8</v>
      </c>
      <c r="O4296" s="15" t="s">
        <v>8</v>
      </c>
      <c r="Q4296" s="15" t="s">
        <v>8</v>
      </c>
      <c r="T4296" s="19" t="str">
        <f>HYPERLINK("http://yeinfo.com/family/I09065776.html", "RICHARD DOWRISH 1445 EN-1472 EN ID:09065923")</f>
        <v>RICHARD DOWRISH 1445 EN-1472 EN ID:09065923</v>
      </c>
      <c r="U4296" s="9"/>
      <c r="V4296" s="9"/>
      <c r="W4296" s="9"/>
      <c r="X4296" s="9"/>
    </row>
    <row r="4297" spans="3:27" x14ac:dyDescent="0.35">
      <c r="C4297" s="15" t="s">
        <v>8</v>
      </c>
      <c r="D4297" s="15" t="s">
        <v>8</v>
      </c>
      <c r="E4297" s="15" t="s">
        <v>8</v>
      </c>
      <c r="F4297" s="15" t="s">
        <v>8</v>
      </c>
      <c r="H4297" s="15" t="s">
        <v>8</v>
      </c>
      <c r="K4297" s="15" t="s">
        <v>8</v>
      </c>
      <c r="L4297" s="15" t="s">
        <v>8</v>
      </c>
      <c r="N4297" s="15" t="s">
        <v>8</v>
      </c>
      <c r="O4297" s="15" t="s">
        <v>8</v>
      </c>
      <c r="Q4297" s="15" t="s">
        <v>8</v>
      </c>
      <c r="T4297" s="8" t="s">
        <v>3</v>
      </c>
      <c r="U4297" s="15" t="s">
        <v>8</v>
      </c>
    </row>
    <row r="4298" spans="3:27" x14ac:dyDescent="0.35">
      <c r="C4298" s="15" t="s">
        <v>8</v>
      </c>
      <c r="D4298" s="15" t="s">
        <v>8</v>
      </c>
      <c r="E4298" s="15" t="s">
        <v>8</v>
      </c>
      <c r="F4298" s="15" t="s">
        <v>8</v>
      </c>
      <c r="H4298" s="15" t="s">
        <v>8</v>
      </c>
      <c r="K4298" s="15" t="s">
        <v>8</v>
      </c>
      <c r="L4298" s="15" t="s">
        <v>8</v>
      </c>
      <c r="N4298" s="15" t="s">
        <v>8</v>
      </c>
      <c r="O4298" s="15" t="s">
        <v>8</v>
      </c>
      <c r="Q4298" s="15" t="s">
        <v>8</v>
      </c>
      <c r="T4298" s="15" t="s">
        <v>8</v>
      </c>
      <c r="U4298" s="15" t="s">
        <v>8</v>
      </c>
      <c r="W4298" s="19" t="str">
        <f>HYPERLINK("http://yeinfo.com/family/I09066290.html", "HENRY FULFORD 1340 EN-1394 EN ID:09066461")</f>
        <v>HENRY FULFORD 1340 EN-1394 EN ID:09066461</v>
      </c>
      <c r="X4298" s="9"/>
      <c r="Y4298" s="9"/>
      <c r="Z4298" s="9"/>
      <c r="AA4298" s="9"/>
    </row>
    <row r="4299" spans="3:27" x14ac:dyDescent="0.35">
      <c r="C4299" s="15" t="s">
        <v>8</v>
      </c>
      <c r="D4299" s="15" t="s">
        <v>8</v>
      </c>
      <c r="E4299" s="15" t="s">
        <v>8</v>
      </c>
      <c r="F4299" s="15" t="s">
        <v>8</v>
      </c>
      <c r="H4299" s="15" t="s">
        <v>8</v>
      </c>
      <c r="K4299" s="15" t="s">
        <v>8</v>
      </c>
      <c r="L4299" s="15" t="s">
        <v>8</v>
      </c>
      <c r="N4299" s="15" t="s">
        <v>8</v>
      </c>
      <c r="O4299" s="15" t="s">
        <v>8</v>
      </c>
      <c r="Q4299" s="15" t="s">
        <v>8</v>
      </c>
      <c r="T4299" s="15" t="s">
        <v>8</v>
      </c>
      <c r="U4299" s="15" t="s">
        <v>8</v>
      </c>
      <c r="W4299" s="8" t="s">
        <v>3</v>
      </c>
    </row>
    <row r="4300" spans="3:27" x14ac:dyDescent="0.35">
      <c r="C4300" s="15" t="s">
        <v>8</v>
      </c>
      <c r="D4300" s="15" t="s">
        <v>8</v>
      </c>
      <c r="E4300" s="15" t="s">
        <v>8</v>
      </c>
      <c r="F4300" s="15" t="s">
        <v>8</v>
      </c>
      <c r="H4300" s="15" t="s">
        <v>8</v>
      </c>
      <c r="K4300" s="15" t="s">
        <v>8</v>
      </c>
      <c r="L4300" s="15" t="s">
        <v>8</v>
      </c>
      <c r="N4300" s="15" t="s">
        <v>8</v>
      </c>
      <c r="O4300" s="15" t="s">
        <v>8</v>
      </c>
      <c r="Q4300" s="15" t="s">
        <v>8</v>
      </c>
      <c r="T4300" s="15" t="s">
        <v>8</v>
      </c>
      <c r="U4300" s="15" t="s">
        <v>8</v>
      </c>
      <c r="V4300" s="19" t="str">
        <f>HYPERLINK("http://yeinfo.com/family/I09066089.html", "HENRY FULFORD II 1390 EN-1420 EN ID:09066290")</f>
        <v>HENRY FULFORD II 1390 EN-1420 EN ID:09066290</v>
      </c>
      <c r="W4300" s="9"/>
      <c r="X4300" s="9"/>
      <c r="Y4300" s="9"/>
      <c r="Z4300" s="9"/>
    </row>
    <row r="4301" spans="3:27" x14ac:dyDescent="0.35">
      <c r="C4301" s="15" t="s">
        <v>8</v>
      </c>
      <c r="D4301" s="15" t="s">
        <v>8</v>
      </c>
      <c r="E4301" s="15" t="s">
        <v>8</v>
      </c>
      <c r="F4301" s="15" t="s">
        <v>8</v>
      </c>
      <c r="H4301" s="15" t="s">
        <v>8</v>
      </c>
      <c r="K4301" s="15" t="s">
        <v>8</v>
      </c>
      <c r="L4301" s="15" t="s">
        <v>8</v>
      </c>
      <c r="N4301" s="15" t="s">
        <v>8</v>
      </c>
      <c r="O4301" s="15" t="s">
        <v>8</v>
      </c>
      <c r="Q4301" s="15" t="s">
        <v>8</v>
      </c>
      <c r="T4301" s="15" t="s">
        <v>8</v>
      </c>
      <c r="U4301" s="15" t="s">
        <v>8</v>
      </c>
      <c r="V4301" s="8" t="s">
        <v>3</v>
      </c>
      <c r="W4301" s="8" t="s">
        <v>6</v>
      </c>
    </row>
    <row r="4302" spans="3:27" x14ac:dyDescent="0.35">
      <c r="C4302" s="15" t="s">
        <v>8</v>
      </c>
      <c r="D4302" s="15" t="s">
        <v>8</v>
      </c>
      <c r="E4302" s="15" t="s">
        <v>8</v>
      </c>
      <c r="F4302" s="15" t="s">
        <v>8</v>
      </c>
      <c r="H4302" s="15" t="s">
        <v>8</v>
      </c>
      <c r="K4302" s="15" t="s">
        <v>8</v>
      </c>
      <c r="L4302" s="15" t="s">
        <v>8</v>
      </c>
      <c r="N4302" s="15" t="s">
        <v>8</v>
      </c>
      <c r="O4302" s="15" t="s">
        <v>8</v>
      </c>
      <c r="Q4302" s="15" t="s">
        <v>8</v>
      </c>
      <c r="T4302" s="15" t="s">
        <v>8</v>
      </c>
      <c r="U4302" s="15" t="s">
        <v>8</v>
      </c>
      <c r="V4302" s="15" t="s">
        <v>8</v>
      </c>
      <c r="W4302" s="20" t="str">
        <f>HYPERLINK("http://yeinfo.com/family/I09066461.html", "Mrs. CATHERINE FULFORD 1342 EN-1390 EN ID:09066460")</f>
        <v>Mrs. CATHERINE FULFORD 1342 EN-1390 EN ID:09066460</v>
      </c>
      <c r="X4302" s="17"/>
      <c r="Y4302" s="17"/>
      <c r="Z4302" s="17"/>
      <c r="AA4302" s="17"/>
    </row>
    <row r="4303" spans="3:27" x14ac:dyDescent="0.35">
      <c r="C4303" s="15" t="s">
        <v>8</v>
      </c>
      <c r="D4303" s="15" t="s">
        <v>8</v>
      </c>
      <c r="E4303" s="15" t="s">
        <v>8</v>
      </c>
      <c r="F4303" s="15" t="s">
        <v>8</v>
      </c>
      <c r="H4303" s="15" t="s">
        <v>8</v>
      </c>
      <c r="K4303" s="15" t="s">
        <v>8</v>
      </c>
      <c r="L4303" s="15" t="s">
        <v>8</v>
      </c>
      <c r="N4303" s="15" t="s">
        <v>8</v>
      </c>
      <c r="O4303" s="15" t="s">
        <v>8</v>
      </c>
      <c r="Q4303" s="15" t="s">
        <v>8</v>
      </c>
      <c r="T4303" s="15" t="s">
        <v>8</v>
      </c>
      <c r="U4303" s="8" t="s">
        <v>6</v>
      </c>
      <c r="V4303" s="15" t="s">
        <v>8</v>
      </c>
    </row>
    <row r="4304" spans="3:27" x14ac:dyDescent="0.35">
      <c r="C4304" s="15" t="s">
        <v>8</v>
      </c>
      <c r="D4304" s="15" t="s">
        <v>8</v>
      </c>
      <c r="E4304" s="15" t="s">
        <v>8</v>
      </c>
      <c r="F4304" s="15" t="s">
        <v>8</v>
      </c>
      <c r="H4304" s="15" t="s">
        <v>8</v>
      </c>
      <c r="K4304" s="15" t="s">
        <v>8</v>
      </c>
      <c r="L4304" s="15" t="s">
        <v>8</v>
      </c>
      <c r="N4304" s="15" t="s">
        <v>8</v>
      </c>
      <c r="O4304" s="15" t="s">
        <v>8</v>
      </c>
      <c r="Q4304" s="15" t="s">
        <v>8</v>
      </c>
      <c r="T4304" s="15" t="s">
        <v>8</v>
      </c>
      <c r="U4304" s="20" t="str">
        <f>HYPERLINK("http://yeinfo.com/family/I09066283.html", "ALICE FULFORD 1417 EN-1489 EN ID:09066089")</f>
        <v>ALICE FULFORD 1417 EN-1489 EN ID:09066089</v>
      </c>
      <c r="V4304" s="17"/>
      <c r="W4304" s="17"/>
      <c r="X4304" s="17"/>
      <c r="Y4304" s="17"/>
    </row>
    <row r="4305" spans="3:27" x14ac:dyDescent="0.35">
      <c r="C4305" s="15" t="s">
        <v>8</v>
      </c>
      <c r="D4305" s="15" t="s">
        <v>8</v>
      </c>
      <c r="E4305" s="15" t="s">
        <v>8</v>
      </c>
      <c r="F4305" s="15" t="s">
        <v>8</v>
      </c>
      <c r="H4305" s="15" t="s">
        <v>8</v>
      </c>
      <c r="K4305" s="15" t="s">
        <v>8</v>
      </c>
      <c r="L4305" s="15" t="s">
        <v>8</v>
      </c>
      <c r="N4305" s="15" t="s">
        <v>8</v>
      </c>
      <c r="O4305" s="15" t="s">
        <v>8</v>
      </c>
      <c r="Q4305" s="15" t="s">
        <v>8</v>
      </c>
      <c r="T4305" s="15" t="s">
        <v>8</v>
      </c>
      <c r="V4305" s="15" t="s">
        <v>8</v>
      </c>
    </row>
    <row r="4306" spans="3:27" x14ac:dyDescent="0.35">
      <c r="C4306" s="15" t="s">
        <v>8</v>
      </c>
      <c r="D4306" s="15" t="s">
        <v>8</v>
      </c>
      <c r="E4306" s="15" t="s">
        <v>8</v>
      </c>
      <c r="F4306" s="15" t="s">
        <v>8</v>
      </c>
      <c r="H4306" s="15" t="s">
        <v>8</v>
      </c>
      <c r="K4306" s="15" t="s">
        <v>8</v>
      </c>
      <c r="L4306" s="15" t="s">
        <v>8</v>
      </c>
      <c r="N4306" s="15" t="s">
        <v>8</v>
      </c>
      <c r="O4306" s="15" t="s">
        <v>8</v>
      </c>
      <c r="Q4306" s="15" t="s">
        <v>8</v>
      </c>
      <c r="T4306" s="15" t="s">
        <v>8</v>
      </c>
      <c r="V4306" s="15" t="s">
        <v>8</v>
      </c>
      <c r="W4306" s="19" t="str">
        <f>HYPERLINK("http://yeinfo.com/family/I09066296.html", "JOHN LANGDON Jr. 1350 EN-1375 EN ID:09066469")</f>
        <v>JOHN LANGDON Jr. 1350 EN-1375 EN ID:09066469</v>
      </c>
      <c r="X4306" s="9"/>
      <c r="Y4306" s="9"/>
      <c r="Z4306" s="9"/>
      <c r="AA4306" s="9"/>
    </row>
    <row r="4307" spans="3:27" x14ac:dyDescent="0.35">
      <c r="C4307" s="15" t="s">
        <v>8</v>
      </c>
      <c r="D4307" s="15" t="s">
        <v>8</v>
      </c>
      <c r="E4307" s="15" t="s">
        <v>8</v>
      </c>
      <c r="F4307" s="15" t="s">
        <v>8</v>
      </c>
      <c r="H4307" s="15" t="s">
        <v>8</v>
      </c>
      <c r="K4307" s="15" t="s">
        <v>8</v>
      </c>
      <c r="L4307" s="15" t="s">
        <v>8</v>
      </c>
      <c r="N4307" s="15" t="s">
        <v>8</v>
      </c>
      <c r="O4307" s="15" t="s">
        <v>8</v>
      </c>
      <c r="Q4307" s="15" t="s">
        <v>8</v>
      </c>
      <c r="T4307" s="15" t="s">
        <v>8</v>
      </c>
      <c r="V4307" s="8" t="s">
        <v>6</v>
      </c>
      <c r="W4307" s="8" t="s">
        <v>3</v>
      </c>
    </row>
    <row r="4308" spans="3:27" x14ac:dyDescent="0.35">
      <c r="C4308" s="15" t="s">
        <v>8</v>
      </c>
      <c r="D4308" s="15" t="s">
        <v>8</v>
      </c>
      <c r="E4308" s="15" t="s">
        <v>8</v>
      </c>
      <c r="F4308" s="15" t="s">
        <v>8</v>
      </c>
      <c r="H4308" s="15" t="s">
        <v>8</v>
      </c>
      <c r="K4308" s="15" t="s">
        <v>8</v>
      </c>
      <c r="L4308" s="15" t="s">
        <v>8</v>
      </c>
      <c r="N4308" s="15" t="s">
        <v>8</v>
      </c>
      <c r="O4308" s="15" t="s">
        <v>8</v>
      </c>
      <c r="Q4308" s="15" t="s">
        <v>8</v>
      </c>
      <c r="T4308" s="15" t="s">
        <v>8</v>
      </c>
      <c r="V4308" s="20" t="str">
        <f>HYPERLINK("http://yeinfo.com/family/I09066460.html", "WILHELMA LANGDON 1375 EN-1417 EN ID:09066296")</f>
        <v>WILHELMA LANGDON 1375 EN-1417 EN ID:09066296</v>
      </c>
      <c r="W4308" s="17"/>
      <c r="X4308" s="17"/>
      <c r="Y4308" s="17"/>
      <c r="Z4308" s="17"/>
    </row>
    <row r="4309" spans="3:27" x14ac:dyDescent="0.35">
      <c r="C4309" s="15" t="s">
        <v>8</v>
      </c>
      <c r="D4309" s="15" t="s">
        <v>8</v>
      </c>
      <c r="E4309" s="15" t="s">
        <v>8</v>
      </c>
      <c r="F4309" s="15" t="s">
        <v>8</v>
      </c>
      <c r="H4309" s="15" t="s">
        <v>8</v>
      </c>
      <c r="K4309" s="15" t="s">
        <v>8</v>
      </c>
      <c r="L4309" s="15" t="s">
        <v>8</v>
      </c>
      <c r="N4309" s="15" t="s">
        <v>8</v>
      </c>
      <c r="O4309" s="15" t="s">
        <v>8</v>
      </c>
      <c r="Q4309" s="15" t="s">
        <v>8</v>
      </c>
      <c r="T4309" s="15" t="s">
        <v>8</v>
      </c>
      <c r="W4309" s="8" t="s">
        <v>6</v>
      </c>
    </row>
    <row r="4310" spans="3:27" x14ac:dyDescent="0.35">
      <c r="C4310" s="15" t="s">
        <v>8</v>
      </c>
      <c r="D4310" s="15" t="s">
        <v>8</v>
      </c>
      <c r="E4310" s="15" t="s">
        <v>8</v>
      </c>
      <c r="F4310" s="15" t="s">
        <v>8</v>
      </c>
      <c r="H4310" s="15" t="s">
        <v>8</v>
      </c>
      <c r="K4310" s="15" t="s">
        <v>8</v>
      </c>
      <c r="L4310" s="15" t="s">
        <v>8</v>
      </c>
      <c r="N4310" s="15" t="s">
        <v>8</v>
      </c>
      <c r="O4310" s="15" t="s">
        <v>8</v>
      </c>
      <c r="Q4310" s="15" t="s">
        <v>8</v>
      </c>
      <c r="T4310" s="15" t="s">
        <v>8</v>
      </c>
      <c r="W4310" s="20" t="str">
        <f>HYPERLINK("http://yeinfo.com/family/I09066469.html", "JOANNA FITZURSE 1355 EN-1375 EN ID:09066455")</f>
        <v>JOANNA FITZURSE 1355 EN-1375 EN ID:09066455</v>
      </c>
      <c r="X4310" s="17"/>
      <c r="Y4310" s="17"/>
      <c r="Z4310" s="17"/>
      <c r="AA4310" s="17"/>
    </row>
    <row r="4311" spans="3:27" x14ac:dyDescent="0.35">
      <c r="C4311" s="15" t="s">
        <v>8</v>
      </c>
      <c r="D4311" s="15" t="s">
        <v>8</v>
      </c>
      <c r="E4311" s="15" t="s">
        <v>8</v>
      </c>
      <c r="F4311" s="15" t="s">
        <v>8</v>
      </c>
      <c r="H4311" s="15" t="s">
        <v>8</v>
      </c>
      <c r="K4311" s="15" t="s">
        <v>8</v>
      </c>
      <c r="L4311" s="15" t="s">
        <v>8</v>
      </c>
      <c r="N4311" s="15" t="s">
        <v>8</v>
      </c>
      <c r="O4311" s="15" t="s">
        <v>8</v>
      </c>
      <c r="Q4311" s="15" t="s">
        <v>8</v>
      </c>
      <c r="T4311" s="15" t="s">
        <v>8</v>
      </c>
    </row>
    <row r="4312" spans="3:27" x14ac:dyDescent="0.35">
      <c r="C4312" s="15" t="s">
        <v>8</v>
      </c>
      <c r="D4312" s="15" t="s">
        <v>8</v>
      </c>
      <c r="E4312" s="15" t="s">
        <v>8</v>
      </c>
      <c r="F4312" s="15" t="s">
        <v>8</v>
      </c>
      <c r="H4312" s="15" t="s">
        <v>8</v>
      </c>
      <c r="K4312" s="15" t="s">
        <v>8</v>
      </c>
      <c r="L4312" s="15" t="s">
        <v>8</v>
      </c>
      <c r="N4312" s="15" t="s">
        <v>8</v>
      </c>
      <c r="O4312" s="15" t="s">
        <v>8</v>
      </c>
      <c r="Q4312" s="15" t="s">
        <v>8</v>
      </c>
      <c r="S4312" s="19" t="str">
        <f>HYPERLINK("http://yeinfo.com/family/I09065583.html", "THOMAS DOWRISH Sr. 1472 EN-1552 EN ID:09065776")</f>
        <v>THOMAS DOWRISH Sr. 1472 EN-1552 EN ID:09065776</v>
      </c>
      <c r="T4312" s="9"/>
      <c r="U4312" s="9"/>
      <c r="V4312" s="9"/>
      <c r="W4312" s="9"/>
    </row>
    <row r="4313" spans="3:27" x14ac:dyDescent="0.35">
      <c r="C4313" s="15" t="s">
        <v>8</v>
      </c>
      <c r="D4313" s="15" t="s">
        <v>8</v>
      </c>
      <c r="E4313" s="15" t="s">
        <v>8</v>
      </c>
      <c r="F4313" s="15" t="s">
        <v>8</v>
      </c>
      <c r="H4313" s="15" t="s">
        <v>8</v>
      </c>
      <c r="K4313" s="15" t="s">
        <v>8</v>
      </c>
      <c r="L4313" s="15" t="s">
        <v>8</v>
      </c>
      <c r="N4313" s="15" t="s">
        <v>8</v>
      </c>
      <c r="O4313" s="15" t="s">
        <v>8</v>
      </c>
      <c r="Q4313" s="15" t="s">
        <v>8</v>
      </c>
      <c r="S4313" s="8" t="s">
        <v>3</v>
      </c>
      <c r="T4313" s="15" t="s">
        <v>8</v>
      </c>
    </row>
    <row r="4314" spans="3:27" x14ac:dyDescent="0.35">
      <c r="C4314" s="15" t="s">
        <v>8</v>
      </c>
      <c r="D4314" s="15" t="s">
        <v>8</v>
      </c>
      <c r="E4314" s="15" t="s">
        <v>8</v>
      </c>
      <c r="F4314" s="15" t="s">
        <v>8</v>
      </c>
      <c r="H4314" s="15" t="s">
        <v>8</v>
      </c>
      <c r="K4314" s="15" t="s">
        <v>8</v>
      </c>
      <c r="L4314" s="15" t="s">
        <v>8</v>
      </c>
      <c r="N4314" s="15" t="s">
        <v>8</v>
      </c>
      <c r="O4314" s="15" t="s">
        <v>8</v>
      </c>
      <c r="Q4314" s="15" t="s">
        <v>8</v>
      </c>
      <c r="S4314" s="15" t="s">
        <v>8</v>
      </c>
      <c r="T4314" s="15" t="s">
        <v>8</v>
      </c>
      <c r="U4314" s="19" t="str">
        <f>HYPERLINK("http://yeinfo.com/family/I09065919.html", "JOHN CATSBY 1423 EN-1447 EN ID:09066082")</f>
        <v>JOHN CATSBY 1423 EN-1447 EN ID:09066082</v>
      </c>
      <c r="V4314" s="9"/>
      <c r="W4314" s="9"/>
      <c r="X4314" s="9"/>
      <c r="Y4314" s="9"/>
    </row>
    <row r="4315" spans="3:27" x14ac:dyDescent="0.35">
      <c r="C4315" s="15" t="s">
        <v>8</v>
      </c>
      <c r="D4315" s="15" t="s">
        <v>8</v>
      </c>
      <c r="E4315" s="15" t="s">
        <v>8</v>
      </c>
      <c r="F4315" s="15" t="s">
        <v>8</v>
      </c>
      <c r="H4315" s="15" t="s">
        <v>8</v>
      </c>
      <c r="K4315" s="15" t="s">
        <v>8</v>
      </c>
      <c r="L4315" s="15" t="s">
        <v>8</v>
      </c>
      <c r="N4315" s="15" t="s">
        <v>8</v>
      </c>
      <c r="O4315" s="15" t="s">
        <v>8</v>
      </c>
      <c r="Q4315" s="15" t="s">
        <v>8</v>
      </c>
      <c r="S4315" s="15" t="s">
        <v>8</v>
      </c>
      <c r="T4315" s="8" t="s">
        <v>6</v>
      </c>
      <c r="U4315" s="8" t="s">
        <v>3</v>
      </c>
    </row>
    <row r="4316" spans="3:27" x14ac:dyDescent="0.35">
      <c r="C4316" s="15" t="s">
        <v>8</v>
      </c>
      <c r="D4316" s="15" t="s">
        <v>8</v>
      </c>
      <c r="E4316" s="15" t="s">
        <v>8</v>
      </c>
      <c r="F4316" s="15" t="s">
        <v>8</v>
      </c>
      <c r="H4316" s="15" t="s">
        <v>8</v>
      </c>
      <c r="K4316" s="15" t="s">
        <v>8</v>
      </c>
      <c r="L4316" s="15" t="s">
        <v>8</v>
      </c>
      <c r="N4316" s="15" t="s">
        <v>8</v>
      </c>
      <c r="O4316" s="15" t="s">
        <v>8</v>
      </c>
      <c r="Q4316" s="15" t="s">
        <v>8</v>
      </c>
      <c r="S4316" s="15" t="s">
        <v>8</v>
      </c>
      <c r="T4316" s="20" t="str">
        <f>HYPERLINK("http://yeinfo.com/family/I09066455.html", "MARGARET CATSBY 1447 EN-1478 EN ID:09065919")</f>
        <v>MARGARET CATSBY 1447 EN-1478 EN ID:09065919</v>
      </c>
      <c r="U4316" s="17"/>
      <c r="V4316" s="17"/>
      <c r="W4316" s="17"/>
      <c r="X4316" s="17"/>
    </row>
    <row r="4317" spans="3:27" x14ac:dyDescent="0.35">
      <c r="C4317" s="15" t="s">
        <v>8</v>
      </c>
      <c r="D4317" s="15" t="s">
        <v>8</v>
      </c>
      <c r="E4317" s="15" t="s">
        <v>8</v>
      </c>
      <c r="F4317" s="15" t="s">
        <v>8</v>
      </c>
      <c r="H4317" s="15" t="s">
        <v>8</v>
      </c>
      <c r="K4317" s="15" t="s">
        <v>8</v>
      </c>
      <c r="L4317" s="15" t="s">
        <v>8</v>
      </c>
      <c r="N4317" s="15" t="s">
        <v>8</v>
      </c>
      <c r="O4317" s="15" t="s">
        <v>8</v>
      </c>
      <c r="Q4317" s="15" t="s">
        <v>8</v>
      </c>
      <c r="S4317" s="15" t="s">
        <v>8</v>
      </c>
      <c r="U4317" s="8" t="s">
        <v>6</v>
      </c>
    </row>
    <row r="4318" spans="3:27" x14ac:dyDescent="0.35">
      <c r="C4318" s="15" t="s">
        <v>8</v>
      </c>
      <c r="D4318" s="15" t="s">
        <v>8</v>
      </c>
      <c r="E4318" s="15" t="s">
        <v>8</v>
      </c>
      <c r="F4318" s="15" t="s">
        <v>8</v>
      </c>
      <c r="H4318" s="15" t="s">
        <v>8</v>
      </c>
      <c r="K4318" s="15" t="s">
        <v>8</v>
      </c>
      <c r="L4318" s="15" t="s">
        <v>8</v>
      </c>
      <c r="N4318" s="15" t="s">
        <v>8</v>
      </c>
      <c r="O4318" s="15" t="s">
        <v>8</v>
      </c>
      <c r="Q4318" s="15" t="s">
        <v>8</v>
      </c>
      <c r="S4318" s="15" t="s">
        <v>8</v>
      </c>
      <c r="U4318" s="20" t="str">
        <f>HYPERLINK("http://yeinfo.com/family/I09066082.html", "Mrs. {_?_} CATSBY 1425 EN-1447 EN ID:09066081")</f>
        <v>Mrs. {_?_} CATSBY 1425 EN-1447 EN ID:09066081</v>
      </c>
      <c r="V4318" s="17"/>
      <c r="W4318" s="17"/>
      <c r="X4318" s="17"/>
      <c r="Y4318" s="17"/>
    </row>
    <row r="4319" spans="3:27" x14ac:dyDescent="0.35">
      <c r="C4319" s="15" t="s">
        <v>8</v>
      </c>
      <c r="D4319" s="15" t="s">
        <v>8</v>
      </c>
      <c r="E4319" s="15" t="s">
        <v>8</v>
      </c>
      <c r="F4319" s="15" t="s">
        <v>8</v>
      </c>
      <c r="H4319" s="15" t="s">
        <v>8</v>
      </c>
      <c r="K4319" s="15" t="s">
        <v>8</v>
      </c>
      <c r="L4319" s="15" t="s">
        <v>8</v>
      </c>
      <c r="N4319" s="15" t="s">
        <v>8</v>
      </c>
      <c r="O4319" s="15" t="s">
        <v>8</v>
      </c>
      <c r="Q4319" s="15" t="s">
        <v>8</v>
      </c>
      <c r="S4319" s="15" t="s">
        <v>8</v>
      </c>
    </row>
    <row r="4320" spans="3:27" x14ac:dyDescent="0.35">
      <c r="C4320" s="15" t="s">
        <v>8</v>
      </c>
      <c r="D4320" s="15" t="s">
        <v>8</v>
      </c>
      <c r="E4320" s="15" t="s">
        <v>8</v>
      </c>
      <c r="F4320" s="15" t="s">
        <v>8</v>
      </c>
      <c r="H4320" s="15" t="s">
        <v>8</v>
      </c>
      <c r="K4320" s="15" t="s">
        <v>8</v>
      </c>
      <c r="L4320" s="15" t="s">
        <v>8</v>
      </c>
      <c r="N4320" s="15" t="s">
        <v>8</v>
      </c>
      <c r="O4320" s="15" t="s">
        <v>8</v>
      </c>
      <c r="Q4320" s="15" t="s">
        <v>8</v>
      </c>
      <c r="R4320" s="19" t="str">
        <f>HYPERLINK("http://yeinfo.com/family/I09043483.html", "THOMAS DOWRISH II 1522 EN-1590 EN ID:09065583")</f>
        <v>THOMAS DOWRISH II 1522 EN-1590 EN ID:09065583</v>
      </c>
      <c r="S4320" s="9"/>
      <c r="T4320" s="9"/>
      <c r="U4320" s="9"/>
      <c r="V4320" s="9"/>
    </row>
    <row r="4321" spans="3:24" x14ac:dyDescent="0.35">
      <c r="C4321" s="15" t="s">
        <v>8</v>
      </c>
      <c r="D4321" s="15" t="s">
        <v>8</v>
      </c>
      <c r="E4321" s="15" t="s">
        <v>8</v>
      </c>
      <c r="F4321" s="15" t="s">
        <v>8</v>
      </c>
      <c r="H4321" s="15" t="s">
        <v>8</v>
      </c>
      <c r="K4321" s="15" t="s">
        <v>8</v>
      </c>
      <c r="L4321" s="15" t="s">
        <v>8</v>
      </c>
      <c r="N4321" s="15" t="s">
        <v>8</v>
      </c>
      <c r="O4321" s="15" t="s">
        <v>8</v>
      </c>
      <c r="Q4321" s="15" t="s">
        <v>8</v>
      </c>
      <c r="R4321" s="8" t="s">
        <v>3</v>
      </c>
      <c r="S4321" s="15" t="s">
        <v>8</v>
      </c>
    </row>
    <row r="4322" spans="3:24" x14ac:dyDescent="0.35">
      <c r="C4322" s="15" t="s">
        <v>8</v>
      </c>
      <c r="D4322" s="15" t="s">
        <v>8</v>
      </c>
      <c r="E4322" s="15" t="s">
        <v>8</v>
      </c>
      <c r="F4322" s="15" t="s">
        <v>8</v>
      </c>
      <c r="H4322" s="15" t="s">
        <v>8</v>
      </c>
      <c r="K4322" s="15" t="s">
        <v>8</v>
      </c>
      <c r="L4322" s="15" t="s">
        <v>8</v>
      </c>
      <c r="N4322" s="15" t="s">
        <v>8</v>
      </c>
      <c r="O4322" s="15" t="s">
        <v>8</v>
      </c>
      <c r="Q4322" s="15" t="s">
        <v>8</v>
      </c>
      <c r="R4322" s="15" t="s">
        <v>8</v>
      </c>
      <c r="S4322" s="15" t="s">
        <v>8</v>
      </c>
      <c r="T4322" s="19" t="str">
        <f>HYPERLINK("http://yeinfo.com/family/I09065801.html", "JOHN TAVERNER 1454 EN-1475 EN ID:09065947")</f>
        <v>JOHN TAVERNER 1454 EN-1475 EN ID:09065947</v>
      </c>
      <c r="U4322" s="9"/>
      <c r="V4322" s="9"/>
      <c r="W4322" s="9"/>
      <c r="X4322" s="9"/>
    </row>
    <row r="4323" spans="3:24" x14ac:dyDescent="0.35">
      <c r="C4323" s="15" t="s">
        <v>8</v>
      </c>
      <c r="D4323" s="15" t="s">
        <v>8</v>
      </c>
      <c r="E4323" s="15" t="s">
        <v>8</v>
      </c>
      <c r="F4323" s="15" t="s">
        <v>8</v>
      </c>
      <c r="H4323" s="15" t="s">
        <v>8</v>
      </c>
      <c r="K4323" s="15" t="s">
        <v>8</v>
      </c>
      <c r="L4323" s="15" t="s">
        <v>8</v>
      </c>
      <c r="N4323" s="15" t="s">
        <v>8</v>
      </c>
      <c r="O4323" s="15" t="s">
        <v>8</v>
      </c>
      <c r="Q4323" s="15" t="s">
        <v>8</v>
      </c>
      <c r="R4323" s="15" t="s">
        <v>8</v>
      </c>
      <c r="S4323" s="8" t="s">
        <v>6</v>
      </c>
      <c r="T4323" s="8" t="s">
        <v>3</v>
      </c>
    </row>
    <row r="4324" spans="3:24" x14ac:dyDescent="0.35">
      <c r="C4324" s="15" t="s">
        <v>8</v>
      </c>
      <c r="D4324" s="15" t="s">
        <v>8</v>
      </c>
      <c r="E4324" s="15" t="s">
        <v>8</v>
      </c>
      <c r="F4324" s="15" t="s">
        <v>8</v>
      </c>
      <c r="H4324" s="15" t="s">
        <v>8</v>
      </c>
      <c r="K4324" s="15" t="s">
        <v>8</v>
      </c>
      <c r="L4324" s="15" t="s">
        <v>8</v>
      </c>
      <c r="N4324" s="15" t="s">
        <v>8</v>
      </c>
      <c r="O4324" s="15" t="s">
        <v>8</v>
      </c>
      <c r="Q4324" s="15" t="s">
        <v>8</v>
      </c>
      <c r="R4324" s="15" t="s">
        <v>8</v>
      </c>
      <c r="S4324" s="20" t="str">
        <f>HYPERLINK("http://yeinfo.com/family/I09066081.html", "ELIZABETH TAVERNER 1475 EN-1581 EN ID:09065801")</f>
        <v>ELIZABETH TAVERNER 1475 EN-1581 EN ID:09065801</v>
      </c>
      <c r="T4324" s="17"/>
      <c r="U4324" s="17"/>
      <c r="V4324" s="17"/>
      <c r="W4324" s="17"/>
    </row>
    <row r="4325" spans="3:24" x14ac:dyDescent="0.35">
      <c r="C4325" s="15" t="s">
        <v>8</v>
      </c>
      <c r="D4325" s="15" t="s">
        <v>8</v>
      </c>
      <c r="E4325" s="15" t="s">
        <v>8</v>
      </c>
      <c r="F4325" s="15" t="s">
        <v>8</v>
      </c>
      <c r="H4325" s="15" t="s">
        <v>8</v>
      </c>
      <c r="K4325" s="15" t="s">
        <v>8</v>
      </c>
      <c r="L4325" s="15" t="s">
        <v>8</v>
      </c>
      <c r="N4325" s="15" t="s">
        <v>8</v>
      </c>
      <c r="O4325" s="15" t="s">
        <v>8</v>
      </c>
      <c r="Q4325" s="15" t="s">
        <v>8</v>
      </c>
      <c r="R4325" s="15" t="s">
        <v>8</v>
      </c>
      <c r="T4325" s="8" t="s">
        <v>6</v>
      </c>
    </row>
    <row r="4326" spans="3:24" x14ac:dyDescent="0.35">
      <c r="C4326" s="15" t="s">
        <v>8</v>
      </c>
      <c r="D4326" s="15" t="s">
        <v>8</v>
      </c>
      <c r="E4326" s="15" t="s">
        <v>8</v>
      </c>
      <c r="F4326" s="15" t="s">
        <v>8</v>
      </c>
      <c r="H4326" s="15" t="s">
        <v>8</v>
      </c>
      <c r="K4326" s="15" t="s">
        <v>8</v>
      </c>
      <c r="L4326" s="15" t="s">
        <v>8</v>
      </c>
      <c r="N4326" s="15" t="s">
        <v>8</v>
      </c>
      <c r="O4326" s="15" t="s">
        <v>8</v>
      </c>
      <c r="Q4326" s="15" t="s">
        <v>8</v>
      </c>
      <c r="R4326" s="15" t="s">
        <v>8</v>
      </c>
      <c r="T4326" s="20" t="str">
        <f>HYPERLINK("http://yeinfo.com/family/I09065947.html", "Mrs. {_?_} TAVERNER 1450 EN-1475 EN ID:09065946")</f>
        <v>Mrs. {_?_} TAVERNER 1450 EN-1475 EN ID:09065946</v>
      </c>
      <c r="U4326" s="17"/>
      <c r="V4326" s="17"/>
      <c r="W4326" s="17"/>
      <c r="X4326" s="17"/>
    </row>
    <row r="4327" spans="3:24" x14ac:dyDescent="0.35">
      <c r="C4327" s="15" t="s">
        <v>8</v>
      </c>
      <c r="D4327" s="15" t="s">
        <v>8</v>
      </c>
      <c r="E4327" s="15" t="s">
        <v>8</v>
      </c>
      <c r="F4327" s="15" t="s">
        <v>8</v>
      </c>
      <c r="H4327" s="15" t="s">
        <v>8</v>
      </c>
      <c r="K4327" s="15" t="s">
        <v>8</v>
      </c>
      <c r="L4327" s="15" t="s">
        <v>8</v>
      </c>
      <c r="N4327" s="15" t="s">
        <v>8</v>
      </c>
      <c r="O4327" s="15" t="s">
        <v>8</v>
      </c>
      <c r="Q4327" s="8" t="s">
        <v>6</v>
      </c>
      <c r="R4327" s="15" t="s">
        <v>8</v>
      </c>
    </row>
    <row r="4328" spans="3:24" x14ac:dyDescent="0.35">
      <c r="C4328" s="15" t="s">
        <v>8</v>
      </c>
      <c r="D4328" s="15" t="s">
        <v>8</v>
      </c>
      <c r="E4328" s="15" t="s">
        <v>8</v>
      </c>
      <c r="F4328" s="15" t="s">
        <v>8</v>
      </c>
      <c r="H4328" s="15" t="s">
        <v>8</v>
      </c>
      <c r="K4328" s="15" t="s">
        <v>8</v>
      </c>
      <c r="L4328" s="15" t="s">
        <v>8</v>
      </c>
      <c r="N4328" s="15" t="s">
        <v>8</v>
      </c>
      <c r="O4328" s="15" t="s">
        <v>8</v>
      </c>
      <c r="Q4328" s="20" t="str">
        <f>HYPERLINK("http://yeinfo.com/family/I09065582.html", "GRACE DOWRISH 1555 EN-1580 EN ID:09043483")</f>
        <v>GRACE DOWRISH 1555 EN-1580 EN ID:09043483</v>
      </c>
      <c r="R4328" s="17"/>
      <c r="S4328" s="17"/>
      <c r="T4328" s="17"/>
      <c r="U4328" s="17"/>
    </row>
    <row r="4329" spans="3:24" x14ac:dyDescent="0.35">
      <c r="C4329" s="15" t="s">
        <v>8</v>
      </c>
      <c r="D4329" s="15" t="s">
        <v>8</v>
      </c>
      <c r="E4329" s="15" t="s">
        <v>8</v>
      </c>
      <c r="F4329" s="15" t="s">
        <v>8</v>
      </c>
      <c r="H4329" s="15" t="s">
        <v>8</v>
      </c>
      <c r="K4329" s="15" t="s">
        <v>8</v>
      </c>
      <c r="L4329" s="15" t="s">
        <v>8</v>
      </c>
      <c r="N4329" s="15" t="s">
        <v>8</v>
      </c>
      <c r="O4329" s="15" t="s">
        <v>8</v>
      </c>
      <c r="R4329" s="8" t="s">
        <v>6</v>
      </c>
    </row>
    <row r="4330" spans="3:24" x14ac:dyDescent="0.35">
      <c r="C4330" s="15" t="s">
        <v>8</v>
      </c>
      <c r="D4330" s="15" t="s">
        <v>8</v>
      </c>
      <c r="E4330" s="15" t="s">
        <v>8</v>
      </c>
      <c r="F4330" s="15" t="s">
        <v>8</v>
      </c>
      <c r="H4330" s="15" t="s">
        <v>8</v>
      </c>
      <c r="K4330" s="15" t="s">
        <v>8</v>
      </c>
      <c r="L4330" s="15" t="s">
        <v>8</v>
      </c>
      <c r="N4330" s="15" t="s">
        <v>8</v>
      </c>
      <c r="O4330" s="15" t="s">
        <v>8</v>
      </c>
      <c r="R4330" s="20" t="str">
        <f>HYPERLINK("http://yeinfo.com/family/I09065946.html", "ANN FARRINGDON 1532 EN-1590 EN ID:09065584")</f>
        <v>ANN FARRINGDON 1532 EN-1590 EN ID:09065584</v>
      </c>
      <c r="S4330" s="17"/>
      <c r="T4330" s="17"/>
      <c r="U4330" s="17"/>
      <c r="V4330" s="17"/>
    </row>
    <row r="4331" spans="3:24" x14ac:dyDescent="0.35">
      <c r="C4331" s="15" t="s">
        <v>8</v>
      </c>
      <c r="D4331" s="15" t="s">
        <v>8</v>
      </c>
      <c r="E4331" s="15" t="s">
        <v>8</v>
      </c>
      <c r="F4331" s="15" t="s">
        <v>8</v>
      </c>
      <c r="H4331" s="15" t="s">
        <v>8</v>
      </c>
      <c r="K4331" s="15" t="s">
        <v>8</v>
      </c>
      <c r="L4331" s="15" t="s">
        <v>8</v>
      </c>
      <c r="N4331" s="8" t="s">
        <v>6</v>
      </c>
      <c r="O4331" s="15" t="s">
        <v>8</v>
      </c>
    </row>
    <row r="4332" spans="3:24" x14ac:dyDescent="0.35">
      <c r="C4332" s="15" t="s">
        <v>8</v>
      </c>
      <c r="D4332" s="15" t="s">
        <v>8</v>
      </c>
      <c r="E4332" s="15" t="s">
        <v>8</v>
      </c>
      <c r="F4332" s="15" t="s">
        <v>8</v>
      </c>
      <c r="H4332" s="15" t="s">
        <v>8</v>
      </c>
      <c r="K4332" s="15" t="s">
        <v>8</v>
      </c>
      <c r="L4332" s="15" t="s">
        <v>8</v>
      </c>
      <c r="N4332" s="16" t="str">
        <f>HYPERLINK("http://yeinfo.com/family/I09010869.html", "ABIGAIL MAVERICK 1644 MA-1674 MA ID:09005435")</f>
        <v>ABIGAIL MAVERICK 1644 MA-1674 MA ID:09005435</v>
      </c>
      <c r="O4332" s="11"/>
      <c r="P4332" s="11"/>
      <c r="Q4332" s="11"/>
      <c r="R4332" s="11"/>
    </row>
    <row r="4333" spans="3:24" x14ac:dyDescent="0.35">
      <c r="C4333" s="15" t="s">
        <v>8</v>
      </c>
      <c r="D4333" s="15" t="s">
        <v>8</v>
      </c>
      <c r="E4333" s="15" t="s">
        <v>8</v>
      </c>
      <c r="F4333" s="15" t="s">
        <v>8</v>
      </c>
      <c r="H4333" s="15" t="s">
        <v>8</v>
      </c>
      <c r="K4333" s="15" t="s">
        <v>8</v>
      </c>
      <c r="L4333" s="15" t="s">
        <v>8</v>
      </c>
      <c r="O4333" s="15" t="s">
        <v>8</v>
      </c>
    </row>
    <row r="4334" spans="3:24" x14ac:dyDescent="0.35">
      <c r="C4334" s="15" t="s">
        <v>8</v>
      </c>
      <c r="D4334" s="15" t="s">
        <v>8</v>
      </c>
      <c r="E4334" s="15" t="s">
        <v>8</v>
      </c>
      <c r="F4334" s="15" t="s">
        <v>8</v>
      </c>
      <c r="H4334" s="15" t="s">
        <v>8</v>
      </c>
      <c r="K4334" s="15" t="s">
        <v>8</v>
      </c>
      <c r="L4334" s="15" t="s">
        <v>8</v>
      </c>
      <c r="O4334" s="15" t="s">
        <v>8</v>
      </c>
      <c r="Q4334" s="19" t="str">
        <f>HYPERLINK("http://yeinfo.com/family/I09021742.html", "EDWARD ALLERTON 1555 EN-1590 EN ID:09043484")</f>
        <v>EDWARD ALLERTON 1555 EN-1590 EN ID:09043484</v>
      </c>
      <c r="R4334" s="9"/>
      <c r="S4334" s="9"/>
      <c r="T4334" s="9"/>
      <c r="U4334" s="9"/>
    </row>
    <row r="4335" spans="3:24" x14ac:dyDescent="0.35">
      <c r="C4335" s="15" t="s">
        <v>8</v>
      </c>
      <c r="D4335" s="15" t="s">
        <v>8</v>
      </c>
      <c r="E4335" s="15" t="s">
        <v>8</v>
      </c>
      <c r="F4335" s="15" t="s">
        <v>8</v>
      </c>
      <c r="H4335" s="15" t="s">
        <v>8</v>
      </c>
      <c r="K4335" s="15" t="s">
        <v>8</v>
      </c>
      <c r="L4335" s="15" t="s">
        <v>8</v>
      </c>
      <c r="O4335" s="15" t="s">
        <v>8</v>
      </c>
      <c r="Q4335" s="8" t="s">
        <v>3</v>
      </c>
    </row>
    <row r="4336" spans="3:24" x14ac:dyDescent="0.35">
      <c r="C4336" s="15" t="s">
        <v>8</v>
      </c>
      <c r="D4336" s="15" t="s">
        <v>8</v>
      </c>
      <c r="E4336" s="15" t="s">
        <v>8</v>
      </c>
      <c r="F4336" s="15" t="s">
        <v>8</v>
      </c>
      <c r="H4336" s="15" t="s">
        <v>8</v>
      </c>
      <c r="K4336" s="15" t="s">
        <v>8</v>
      </c>
      <c r="L4336" s="15" t="s">
        <v>8</v>
      </c>
      <c r="O4336" s="15" t="s">
        <v>8</v>
      </c>
      <c r="P4336" s="21" t="str">
        <f>HYPERLINK("http://yeinfo.com/family/I09010871.html", "ISAAC ALLERTON 1586 EN-1659 CT ID:09021742")</f>
        <v>ISAAC ALLERTON 1586 EN-1659 CT ID:09021742</v>
      </c>
      <c r="Q4336" s="6"/>
      <c r="R4336" s="6"/>
      <c r="S4336" s="6"/>
      <c r="T4336" s="6"/>
    </row>
    <row r="4337" spans="3:24" x14ac:dyDescent="0.35">
      <c r="C4337" s="15" t="s">
        <v>8</v>
      </c>
      <c r="D4337" s="15" t="s">
        <v>8</v>
      </c>
      <c r="E4337" s="15" t="s">
        <v>8</v>
      </c>
      <c r="F4337" s="15" t="s">
        <v>8</v>
      </c>
      <c r="H4337" s="15" t="s">
        <v>8</v>
      </c>
      <c r="K4337" s="15" t="s">
        <v>8</v>
      </c>
      <c r="L4337" s="15" t="s">
        <v>8</v>
      </c>
      <c r="O4337" s="15" t="s">
        <v>8</v>
      </c>
      <c r="P4337" s="8" t="s">
        <v>3</v>
      </c>
      <c r="Q4337" s="8" t="s">
        <v>6</v>
      </c>
    </row>
    <row r="4338" spans="3:24" x14ac:dyDescent="0.35">
      <c r="C4338" s="15" t="s">
        <v>8</v>
      </c>
      <c r="D4338" s="15" t="s">
        <v>8</v>
      </c>
      <c r="E4338" s="15" t="s">
        <v>8</v>
      </c>
      <c r="F4338" s="15" t="s">
        <v>8</v>
      </c>
      <c r="H4338" s="15" t="s">
        <v>8</v>
      </c>
      <c r="K4338" s="15" t="s">
        <v>8</v>
      </c>
      <c r="L4338" s="15" t="s">
        <v>8</v>
      </c>
      <c r="O4338" s="15" t="s">
        <v>8</v>
      </c>
      <c r="P4338" s="15" t="s">
        <v>8</v>
      </c>
      <c r="Q4338" s="20" t="str">
        <f>HYPERLINK("http://yeinfo.com/family/I09043484.html", "ROSE DAVIS 1559 EN-1596 EN ID:09043485")</f>
        <v>ROSE DAVIS 1559 EN-1596 EN ID:09043485</v>
      </c>
      <c r="R4338" s="17"/>
      <c r="S4338" s="17"/>
      <c r="T4338" s="17"/>
      <c r="U4338" s="17"/>
    </row>
    <row r="4339" spans="3:24" x14ac:dyDescent="0.35">
      <c r="C4339" s="15" t="s">
        <v>8</v>
      </c>
      <c r="D4339" s="15" t="s">
        <v>8</v>
      </c>
      <c r="E4339" s="15" t="s">
        <v>8</v>
      </c>
      <c r="F4339" s="15" t="s">
        <v>8</v>
      </c>
      <c r="H4339" s="15" t="s">
        <v>8</v>
      </c>
      <c r="K4339" s="15" t="s">
        <v>8</v>
      </c>
      <c r="L4339" s="15" t="s">
        <v>8</v>
      </c>
      <c r="O4339" s="8" t="s">
        <v>6</v>
      </c>
      <c r="P4339" s="15" t="s">
        <v>8</v>
      </c>
    </row>
    <row r="4340" spans="3:24" x14ac:dyDescent="0.35">
      <c r="C4340" s="15" t="s">
        <v>8</v>
      </c>
      <c r="D4340" s="15" t="s">
        <v>8</v>
      </c>
      <c r="E4340" s="15" t="s">
        <v>8</v>
      </c>
      <c r="F4340" s="15" t="s">
        <v>8</v>
      </c>
      <c r="H4340" s="15" t="s">
        <v>8</v>
      </c>
      <c r="K4340" s="15" t="s">
        <v>8</v>
      </c>
      <c r="L4340" s="15" t="s">
        <v>8</v>
      </c>
      <c r="O4340" s="22" t="str">
        <f>HYPERLINK("http://yeinfo.com/family/I09065584.html", "REMEMBER ALLERTON 1614 NT-1655 MA ID:09010871")</f>
        <v>REMEMBER ALLERTON 1614 NT-1655 MA ID:09010871</v>
      </c>
      <c r="P4340" s="13"/>
      <c r="Q4340" s="13"/>
      <c r="R4340" s="13"/>
      <c r="S4340" s="13"/>
    </row>
    <row r="4341" spans="3:24" x14ac:dyDescent="0.35">
      <c r="C4341" s="15" t="s">
        <v>8</v>
      </c>
      <c r="D4341" s="15" t="s">
        <v>8</v>
      </c>
      <c r="E4341" s="15" t="s">
        <v>8</v>
      </c>
      <c r="F4341" s="15" t="s">
        <v>8</v>
      </c>
      <c r="H4341" s="15" t="s">
        <v>8</v>
      </c>
      <c r="K4341" s="15" t="s">
        <v>8</v>
      </c>
      <c r="L4341" s="15" t="s">
        <v>8</v>
      </c>
      <c r="P4341" s="8" t="s">
        <v>6</v>
      </c>
    </row>
    <row r="4342" spans="3:24" x14ac:dyDescent="0.35">
      <c r="C4342" s="15" t="s">
        <v>8</v>
      </c>
      <c r="D4342" s="15" t="s">
        <v>8</v>
      </c>
      <c r="E4342" s="15" t="s">
        <v>8</v>
      </c>
      <c r="F4342" s="15" t="s">
        <v>8</v>
      </c>
      <c r="H4342" s="15" t="s">
        <v>8</v>
      </c>
      <c r="K4342" s="15" t="s">
        <v>8</v>
      </c>
      <c r="L4342" s="15" t="s">
        <v>8</v>
      </c>
      <c r="P4342" s="22" t="str">
        <f>HYPERLINK("http://yeinfo.com/family/I09043485.html", "MARY NORRIS 1586 EN-1621 MA ID:09021743")</f>
        <v>MARY NORRIS 1586 EN-1621 MA ID:09021743</v>
      </c>
      <c r="Q4342" s="13"/>
      <c r="R4342" s="13"/>
      <c r="S4342" s="13"/>
      <c r="T4342" s="13"/>
    </row>
    <row r="4343" spans="3:24" x14ac:dyDescent="0.35">
      <c r="C4343" s="15" t="s">
        <v>8</v>
      </c>
      <c r="D4343" s="15" t="s">
        <v>8</v>
      </c>
      <c r="E4343" s="15" t="s">
        <v>8</v>
      </c>
      <c r="F4343" s="15" t="s">
        <v>8</v>
      </c>
      <c r="H4343" s="15" t="s">
        <v>8</v>
      </c>
      <c r="K4343" s="8" t="s">
        <v>6</v>
      </c>
      <c r="L4343" s="15" t="s">
        <v>8</v>
      </c>
    </row>
    <row r="4344" spans="3:24" x14ac:dyDescent="0.35">
      <c r="C4344" s="15" t="s">
        <v>8</v>
      </c>
      <c r="D4344" s="15" t="s">
        <v>8</v>
      </c>
      <c r="E4344" s="15" t="s">
        <v>8</v>
      </c>
      <c r="F4344" s="15" t="s">
        <v>8</v>
      </c>
      <c r="H4344" s="15" t="s">
        <v>8</v>
      </c>
      <c r="K4344" s="16" t="str">
        <f>HYPERLINK("http://yeinfo.com/family/I09010863.html", "SUSANNAH HINDS 1722 MA-1811 NH ID:09000679")</f>
        <v>SUSANNAH HINDS 1722 MA-1811 NH ID:09000679</v>
      </c>
      <c r="L4344" s="11"/>
      <c r="M4344" s="11"/>
      <c r="N4344" s="11"/>
      <c r="O4344" s="11"/>
    </row>
    <row r="4345" spans="3:24" x14ac:dyDescent="0.35">
      <c r="C4345" s="15" t="s">
        <v>8</v>
      </c>
      <c r="D4345" s="15" t="s">
        <v>8</v>
      </c>
      <c r="E4345" s="15" t="s">
        <v>8</v>
      </c>
      <c r="F4345" s="15" t="s">
        <v>8</v>
      </c>
      <c r="H4345" s="15" t="s">
        <v>8</v>
      </c>
      <c r="L4345" s="15" t="s">
        <v>8</v>
      </c>
    </row>
    <row r="4346" spans="3:24" x14ac:dyDescent="0.35">
      <c r="C4346" s="15" t="s">
        <v>8</v>
      </c>
      <c r="D4346" s="15" t="s">
        <v>8</v>
      </c>
      <c r="E4346" s="15" t="s">
        <v>8</v>
      </c>
      <c r="F4346" s="15" t="s">
        <v>8</v>
      </c>
      <c r="H4346" s="15" t="s">
        <v>8</v>
      </c>
      <c r="L4346" s="15" t="s">
        <v>8</v>
      </c>
      <c r="T4346" s="19" t="str">
        <f>HYPERLINK("http://yeinfo.com/family/I09065795.html", "JAMES SHAW 1460 EN-1528 EN ID:09065943")</f>
        <v>JAMES SHAW 1460 EN-1528 EN ID:09065943</v>
      </c>
      <c r="U4346" s="9"/>
      <c r="V4346" s="9"/>
      <c r="W4346" s="9"/>
      <c r="X4346" s="9"/>
    </row>
    <row r="4347" spans="3:24" x14ac:dyDescent="0.35">
      <c r="C4347" s="15" t="s">
        <v>8</v>
      </c>
      <c r="D4347" s="15" t="s">
        <v>8</v>
      </c>
      <c r="E4347" s="15" t="s">
        <v>8</v>
      </c>
      <c r="F4347" s="15" t="s">
        <v>8</v>
      </c>
      <c r="H4347" s="15" t="s">
        <v>8</v>
      </c>
      <c r="L4347" s="15" t="s">
        <v>8</v>
      </c>
      <c r="T4347" s="8" t="s">
        <v>3</v>
      </c>
    </row>
    <row r="4348" spans="3:24" x14ac:dyDescent="0.35">
      <c r="C4348" s="15" t="s">
        <v>8</v>
      </c>
      <c r="D4348" s="15" t="s">
        <v>8</v>
      </c>
      <c r="E4348" s="15" t="s">
        <v>8</v>
      </c>
      <c r="F4348" s="15" t="s">
        <v>8</v>
      </c>
      <c r="H4348" s="15" t="s">
        <v>8</v>
      </c>
      <c r="L4348" s="15" t="s">
        <v>8</v>
      </c>
      <c r="S4348" s="19" t="str">
        <f>HYPERLINK("http://yeinfo.com/family/I09065667.html", "JAMES SHAW 1480 EN-1528 EN ID:09065795")</f>
        <v>JAMES SHAW 1480 EN-1528 EN ID:09065795</v>
      </c>
      <c r="T4348" s="9"/>
      <c r="U4348" s="9"/>
      <c r="V4348" s="9"/>
      <c r="W4348" s="9"/>
    </row>
    <row r="4349" spans="3:24" x14ac:dyDescent="0.35">
      <c r="C4349" s="15" t="s">
        <v>8</v>
      </c>
      <c r="D4349" s="15" t="s">
        <v>8</v>
      </c>
      <c r="E4349" s="15" t="s">
        <v>8</v>
      </c>
      <c r="F4349" s="15" t="s">
        <v>8</v>
      </c>
      <c r="H4349" s="15" t="s">
        <v>8</v>
      </c>
      <c r="L4349" s="15" t="s">
        <v>8</v>
      </c>
      <c r="S4349" s="8" t="s">
        <v>3</v>
      </c>
      <c r="T4349" s="8" t="s">
        <v>6</v>
      </c>
    </row>
    <row r="4350" spans="3:24" x14ac:dyDescent="0.35">
      <c r="C4350" s="15" t="s">
        <v>8</v>
      </c>
      <c r="D4350" s="15" t="s">
        <v>8</v>
      </c>
      <c r="E4350" s="15" t="s">
        <v>8</v>
      </c>
      <c r="F4350" s="15" t="s">
        <v>8</v>
      </c>
      <c r="H4350" s="15" t="s">
        <v>8</v>
      </c>
      <c r="L4350" s="15" t="s">
        <v>8</v>
      </c>
      <c r="S4350" s="15" t="s">
        <v>8</v>
      </c>
      <c r="T4350" s="20" t="str">
        <f>HYPERLINK("http://yeinfo.com/family/I09065943.html", "Mrs. {_?_} SHAW 1460 EN-1480 EN ID:09065942")</f>
        <v>Mrs. {_?_} SHAW 1460 EN-1480 EN ID:09065942</v>
      </c>
      <c r="U4350" s="17"/>
      <c r="V4350" s="17"/>
      <c r="W4350" s="17"/>
      <c r="X4350" s="17"/>
    </row>
    <row r="4351" spans="3:24" x14ac:dyDescent="0.35">
      <c r="C4351" s="15" t="s">
        <v>8</v>
      </c>
      <c r="D4351" s="15" t="s">
        <v>8</v>
      </c>
      <c r="E4351" s="15" t="s">
        <v>8</v>
      </c>
      <c r="F4351" s="15" t="s">
        <v>8</v>
      </c>
      <c r="H4351" s="15" t="s">
        <v>8</v>
      </c>
      <c r="L4351" s="15" t="s">
        <v>8</v>
      </c>
      <c r="S4351" s="15" t="s">
        <v>8</v>
      </c>
    </row>
    <row r="4352" spans="3:24" x14ac:dyDescent="0.35">
      <c r="C4352" s="15" t="s">
        <v>8</v>
      </c>
      <c r="D4352" s="15" t="s">
        <v>8</v>
      </c>
      <c r="E4352" s="15" t="s">
        <v>8</v>
      </c>
      <c r="F4352" s="15" t="s">
        <v>8</v>
      </c>
      <c r="H4352" s="15" t="s">
        <v>8</v>
      </c>
      <c r="L4352" s="15" t="s">
        <v>8</v>
      </c>
      <c r="R4352" s="19" t="str">
        <f>HYPERLINK("http://yeinfo.com/family/I09043488.html", "CHRISTOPHER SHAW 1518 EN-1583 EN ID:09065667")</f>
        <v>CHRISTOPHER SHAW 1518 EN-1583 EN ID:09065667</v>
      </c>
      <c r="S4352" s="9"/>
      <c r="T4352" s="9"/>
      <c r="U4352" s="9"/>
      <c r="V4352" s="9"/>
    </row>
    <row r="4353" spans="3:23" x14ac:dyDescent="0.35">
      <c r="C4353" s="15" t="s">
        <v>8</v>
      </c>
      <c r="D4353" s="15" t="s">
        <v>8</v>
      </c>
      <c r="E4353" s="15" t="s">
        <v>8</v>
      </c>
      <c r="F4353" s="15" t="s">
        <v>8</v>
      </c>
      <c r="H4353" s="15" t="s">
        <v>8</v>
      </c>
      <c r="L4353" s="15" t="s">
        <v>8</v>
      </c>
      <c r="R4353" s="8" t="s">
        <v>3</v>
      </c>
      <c r="S4353" s="8" t="s">
        <v>6</v>
      </c>
    </row>
    <row r="4354" spans="3:23" x14ac:dyDescent="0.35">
      <c r="C4354" s="15" t="s">
        <v>8</v>
      </c>
      <c r="D4354" s="15" t="s">
        <v>8</v>
      </c>
      <c r="E4354" s="15" t="s">
        <v>8</v>
      </c>
      <c r="F4354" s="15" t="s">
        <v>8</v>
      </c>
      <c r="H4354" s="15" t="s">
        <v>8</v>
      </c>
      <c r="L4354" s="15" t="s">
        <v>8</v>
      </c>
      <c r="R4354" s="15" t="s">
        <v>8</v>
      </c>
      <c r="S4354" s="20" t="str">
        <f>HYPERLINK("http://yeinfo.com/family/I09065942.html", "MARGARET ROBINSON 1491 EN-1518 EN ID:09065790")</f>
        <v>MARGARET ROBINSON 1491 EN-1518 EN ID:09065790</v>
      </c>
      <c r="T4354" s="17"/>
      <c r="U4354" s="17"/>
      <c r="V4354" s="17"/>
      <c r="W4354" s="17"/>
    </row>
    <row r="4355" spans="3:23" x14ac:dyDescent="0.35">
      <c r="C4355" s="15" t="s">
        <v>8</v>
      </c>
      <c r="D4355" s="15" t="s">
        <v>8</v>
      </c>
      <c r="E4355" s="15" t="s">
        <v>8</v>
      </c>
      <c r="F4355" s="15" t="s">
        <v>8</v>
      </c>
      <c r="H4355" s="15" t="s">
        <v>8</v>
      </c>
      <c r="L4355" s="15" t="s">
        <v>8</v>
      </c>
      <c r="R4355" s="15" t="s">
        <v>8</v>
      </c>
    </row>
    <row r="4356" spans="3:23" x14ac:dyDescent="0.35">
      <c r="C4356" s="15" t="s">
        <v>8</v>
      </c>
      <c r="D4356" s="15" t="s">
        <v>8</v>
      </c>
      <c r="E4356" s="15" t="s">
        <v>8</v>
      </c>
      <c r="F4356" s="15" t="s">
        <v>8</v>
      </c>
      <c r="H4356" s="15" t="s">
        <v>8</v>
      </c>
      <c r="L4356" s="15" t="s">
        <v>8</v>
      </c>
      <c r="Q4356" s="19" t="str">
        <f>HYPERLINK("http://yeinfo.com/family/I09021744.html", "THOMAS SHAW 1537 EN-1575 EN ID:09043488")</f>
        <v>THOMAS SHAW 1537 EN-1575 EN ID:09043488</v>
      </c>
      <c r="R4356" s="9"/>
      <c r="S4356" s="9"/>
      <c r="T4356" s="9"/>
      <c r="U4356" s="9"/>
    </row>
    <row r="4357" spans="3:23" x14ac:dyDescent="0.35">
      <c r="C4357" s="15" t="s">
        <v>8</v>
      </c>
      <c r="D4357" s="15" t="s">
        <v>8</v>
      </c>
      <c r="E4357" s="15" t="s">
        <v>8</v>
      </c>
      <c r="F4357" s="15" t="s">
        <v>8</v>
      </c>
      <c r="H4357" s="15" t="s">
        <v>8</v>
      </c>
      <c r="L4357" s="15" t="s">
        <v>8</v>
      </c>
      <c r="Q4357" s="8" t="s">
        <v>3</v>
      </c>
      <c r="R4357" s="8" t="s">
        <v>6</v>
      </c>
    </row>
    <row r="4358" spans="3:23" x14ac:dyDescent="0.35">
      <c r="C4358" s="15" t="s">
        <v>8</v>
      </c>
      <c r="D4358" s="15" t="s">
        <v>8</v>
      </c>
      <c r="E4358" s="15" t="s">
        <v>8</v>
      </c>
      <c r="F4358" s="15" t="s">
        <v>8</v>
      </c>
      <c r="H4358" s="15" t="s">
        <v>8</v>
      </c>
      <c r="L4358" s="15" t="s">
        <v>8</v>
      </c>
      <c r="Q4358" s="15" t="s">
        <v>8</v>
      </c>
      <c r="R4358" s="20" t="str">
        <f>HYPERLINK("http://yeinfo.com/family/I09065790.html", "ELIZABETH CUTLOVE 1518 EN-1583 EN ID:09065643")</f>
        <v>ELIZABETH CUTLOVE 1518 EN-1583 EN ID:09065643</v>
      </c>
      <c r="S4358" s="17"/>
      <c r="T4358" s="17"/>
      <c r="U4358" s="17"/>
      <c r="V4358" s="17"/>
    </row>
    <row r="4359" spans="3:23" x14ac:dyDescent="0.35">
      <c r="C4359" s="15" t="s">
        <v>8</v>
      </c>
      <c r="D4359" s="15" t="s">
        <v>8</v>
      </c>
      <c r="E4359" s="15" t="s">
        <v>8</v>
      </c>
      <c r="F4359" s="15" t="s">
        <v>8</v>
      </c>
      <c r="H4359" s="15" t="s">
        <v>8</v>
      </c>
      <c r="L4359" s="15" t="s">
        <v>8</v>
      </c>
      <c r="Q4359" s="15" t="s">
        <v>8</v>
      </c>
    </row>
    <row r="4360" spans="3:23" x14ac:dyDescent="0.35">
      <c r="C4360" s="15" t="s">
        <v>8</v>
      </c>
      <c r="D4360" s="15" t="s">
        <v>8</v>
      </c>
      <c r="E4360" s="15" t="s">
        <v>8</v>
      </c>
      <c r="F4360" s="15" t="s">
        <v>8</v>
      </c>
      <c r="H4360" s="15" t="s">
        <v>8</v>
      </c>
      <c r="L4360" s="15" t="s">
        <v>8</v>
      </c>
      <c r="P4360" s="5" t="str">
        <f>HYPERLINK("http://yeinfo.com/family/I09010872.html", "THOMAS SHAW 1563 EN-1600  ID:09021744")</f>
        <v>THOMAS SHAW 1563 EN-1600  ID:09021744</v>
      </c>
      <c r="Q4360" s="3"/>
      <c r="R4360" s="3"/>
      <c r="S4360" s="3"/>
      <c r="T4360" s="3"/>
    </row>
    <row r="4361" spans="3:23" x14ac:dyDescent="0.35">
      <c r="C4361" s="15" t="s">
        <v>8</v>
      </c>
      <c r="D4361" s="15" t="s">
        <v>8</v>
      </c>
      <c r="E4361" s="15" t="s">
        <v>8</v>
      </c>
      <c r="F4361" s="15" t="s">
        <v>8</v>
      </c>
      <c r="H4361" s="15" t="s">
        <v>8</v>
      </c>
      <c r="L4361" s="15" t="s">
        <v>8</v>
      </c>
      <c r="P4361" s="8" t="s">
        <v>3</v>
      </c>
      <c r="Q4361" s="15" t="s">
        <v>8</v>
      </c>
    </row>
    <row r="4362" spans="3:23" x14ac:dyDescent="0.35">
      <c r="C4362" s="15" t="s">
        <v>8</v>
      </c>
      <c r="D4362" s="15" t="s">
        <v>8</v>
      </c>
      <c r="E4362" s="15" t="s">
        <v>8</v>
      </c>
      <c r="F4362" s="15" t="s">
        <v>8</v>
      </c>
      <c r="H4362" s="15" t="s">
        <v>8</v>
      </c>
      <c r="L4362" s="15" t="s">
        <v>8</v>
      </c>
      <c r="P4362" s="15" t="s">
        <v>8</v>
      </c>
      <c r="Q4362" s="15" t="s">
        <v>8</v>
      </c>
      <c r="R4362" s="19" t="str">
        <f>HYPERLINK("http://yeinfo.com/family/I09043489.html", "THOMAS MASON 1500 EN-1551 EN ID:09065585")</f>
        <v>THOMAS MASON 1500 EN-1551 EN ID:09065585</v>
      </c>
      <c r="S4362" s="9"/>
      <c r="T4362" s="9"/>
      <c r="U4362" s="9"/>
      <c r="V4362" s="9"/>
    </row>
    <row r="4363" spans="3:23" x14ac:dyDescent="0.35">
      <c r="C4363" s="15" t="s">
        <v>8</v>
      </c>
      <c r="D4363" s="15" t="s">
        <v>8</v>
      </c>
      <c r="E4363" s="15" t="s">
        <v>8</v>
      </c>
      <c r="F4363" s="15" t="s">
        <v>8</v>
      </c>
      <c r="H4363" s="15" t="s">
        <v>8</v>
      </c>
      <c r="L4363" s="15" t="s">
        <v>8</v>
      </c>
      <c r="P4363" s="15" t="s">
        <v>8</v>
      </c>
      <c r="Q4363" s="8" t="s">
        <v>6</v>
      </c>
      <c r="R4363" s="8" t="s">
        <v>3</v>
      </c>
    </row>
    <row r="4364" spans="3:23" x14ac:dyDescent="0.35">
      <c r="C4364" s="15" t="s">
        <v>8</v>
      </c>
      <c r="D4364" s="15" t="s">
        <v>8</v>
      </c>
      <c r="E4364" s="15" t="s">
        <v>8</v>
      </c>
      <c r="F4364" s="15" t="s">
        <v>8</v>
      </c>
      <c r="H4364" s="15" t="s">
        <v>8</v>
      </c>
      <c r="L4364" s="15" t="s">
        <v>8</v>
      </c>
      <c r="P4364" s="15" t="s">
        <v>8</v>
      </c>
      <c r="Q4364" s="20" t="str">
        <f>HYPERLINK("http://yeinfo.com/family/I09065643.html", "SYBIL MASON 1540 EN-1580 EN ID:09043489")</f>
        <v>SYBIL MASON 1540 EN-1580 EN ID:09043489</v>
      </c>
      <c r="R4364" s="17"/>
      <c r="S4364" s="17"/>
      <c r="T4364" s="17"/>
      <c r="U4364" s="17"/>
    </row>
    <row r="4365" spans="3:23" x14ac:dyDescent="0.35">
      <c r="C4365" s="15" t="s">
        <v>8</v>
      </c>
      <c r="D4365" s="15" t="s">
        <v>8</v>
      </c>
      <c r="E4365" s="15" t="s">
        <v>8</v>
      </c>
      <c r="F4365" s="15" t="s">
        <v>8</v>
      </c>
      <c r="H4365" s="15" t="s">
        <v>8</v>
      </c>
      <c r="L4365" s="15" t="s">
        <v>8</v>
      </c>
      <c r="P4365" s="15" t="s">
        <v>8</v>
      </c>
      <c r="R4365" s="8" t="s">
        <v>6</v>
      </c>
    </row>
    <row r="4366" spans="3:23" x14ac:dyDescent="0.35">
      <c r="C4366" s="15" t="s">
        <v>8</v>
      </c>
      <c r="D4366" s="15" t="s">
        <v>8</v>
      </c>
      <c r="E4366" s="15" t="s">
        <v>8</v>
      </c>
      <c r="F4366" s="15" t="s">
        <v>8</v>
      </c>
      <c r="H4366" s="15" t="s">
        <v>8</v>
      </c>
      <c r="L4366" s="15" t="s">
        <v>8</v>
      </c>
      <c r="P4366" s="15" t="s">
        <v>8</v>
      </c>
      <c r="R4366" s="20" t="str">
        <f>HYPERLINK("http://yeinfo.com/family/I09065585.html", "Mrs. JENET MASON 1500 EN-1574 EN ID:09065586")</f>
        <v>Mrs. JENET MASON 1500 EN-1574 EN ID:09065586</v>
      </c>
      <c r="S4366" s="17"/>
      <c r="T4366" s="17"/>
      <c r="U4366" s="17"/>
      <c r="V4366" s="17"/>
    </row>
    <row r="4367" spans="3:23" x14ac:dyDescent="0.35">
      <c r="C4367" s="15" t="s">
        <v>8</v>
      </c>
      <c r="D4367" s="15" t="s">
        <v>8</v>
      </c>
      <c r="E4367" s="15" t="s">
        <v>8</v>
      </c>
      <c r="F4367" s="15" t="s">
        <v>8</v>
      </c>
      <c r="H4367" s="15" t="s">
        <v>8</v>
      </c>
      <c r="L4367" s="15" t="s">
        <v>8</v>
      </c>
      <c r="P4367" s="15" t="s">
        <v>8</v>
      </c>
    </row>
    <row r="4368" spans="3:23" x14ac:dyDescent="0.35">
      <c r="C4368" s="15" t="s">
        <v>8</v>
      </c>
      <c r="D4368" s="15" t="s">
        <v>8</v>
      </c>
      <c r="E4368" s="15" t="s">
        <v>8</v>
      </c>
      <c r="F4368" s="15" t="s">
        <v>8</v>
      </c>
      <c r="H4368" s="15" t="s">
        <v>8</v>
      </c>
      <c r="L4368" s="15" t="s">
        <v>8</v>
      </c>
      <c r="O4368" s="5" t="str">
        <f>HYPERLINK("http://yeinfo.com/family/I09005436.html", "ABRAHAM SHAW 1590 EN-1638  ID:09010872")</f>
        <v>ABRAHAM SHAW 1590 EN-1638  ID:09010872</v>
      </c>
      <c r="P4368" s="3"/>
      <c r="Q4368" s="3"/>
      <c r="R4368" s="3"/>
      <c r="S4368" s="3"/>
    </row>
    <row r="4369" spans="3:22" x14ac:dyDescent="0.35">
      <c r="C4369" s="15" t="s">
        <v>8</v>
      </c>
      <c r="D4369" s="15" t="s">
        <v>8</v>
      </c>
      <c r="E4369" s="15" t="s">
        <v>8</v>
      </c>
      <c r="F4369" s="15" t="s">
        <v>8</v>
      </c>
      <c r="H4369" s="15" t="s">
        <v>8</v>
      </c>
      <c r="L4369" s="15" t="s">
        <v>8</v>
      </c>
      <c r="O4369" s="8" t="s">
        <v>3</v>
      </c>
      <c r="P4369" s="15" t="s">
        <v>8</v>
      </c>
    </row>
    <row r="4370" spans="3:22" x14ac:dyDescent="0.35">
      <c r="C4370" s="15" t="s">
        <v>8</v>
      </c>
      <c r="D4370" s="15" t="s">
        <v>8</v>
      </c>
      <c r="E4370" s="15" t="s">
        <v>8</v>
      </c>
      <c r="F4370" s="15" t="s">
        <v>8</v>
      </c>
      <c r="H4370" s="15" t="s">
        <v>8</v>
      </c>
      <c r="L4370" s="15" t="s">
        <v>8</v>
      </c>
      <c r="O4370" s="15" t="s">
        <v>8</v>
      </c>
      <c r="P4370" s="15" t="s">
        <v>8</v>
      </c>
      <c r="Q4370" s="19" t="str">
        <f>HYPERLINK("http://yeinfo.com/family/I09021745.html", "BRIAN LONGBOTHAM 1520 EN-1571 EN ID:09043490")</f>
        <v>BRIAN LONGBOTHAM 1520 EN-1571 EN ID:09043490</v>
      </c>
      <c r="R4370" s="9"/>
      <c r="S4370" s="9"/>
      <c r="T4370" s="9"/>
      <c r="U4370" s="9"/>
    </row>
    <row r="4371" spans="3:22" x14ac:dyDescent="0.35">
      <c r="C4371" s="15" t="s">
        <v>8</v>
      </c>
      <c r="D4371" s="15" t="s">
        <v>8</v>
      </c>
      <c r="E4371" s="15" t="s">
        <v>8</v>
      </c>
      <c r="F4371" s="15" t="s">
        <v>8</v>
      </c>
      <c r="H4371" s="15" t="s">
        <v>8</v>
      </c>
      <c r="L4371" s="15" t="s">
        <v>8</v>
      </c>
      <c r="O4371" s="15" t="s">
        <v>8</v>
      </c>
      <c r="P4371" s="8" t="s">
        <v>6</v>
      </c>
      <c r="Q4371" s="8" t="s">
        <v>3</v>
      </c>
    </row>
    <row r="4372" spans="3:22" x14ac:dyDescent="0.35">
      <c r="C4372" s="15" t="s">
        <v>8</v>
      </c>
      <c r="D4372" s="15" t="s">
        <v>8</v>
      </c>
      <c r="E4372" s="15" t="s">
        <v>8</v>
      </c>
      <c r="F4372" s="15" t="s">
        <v>8</v>
      </c>
      <c r="H4372" s="15" t="s">
        <v>8</v>
      </c>
      <c r="L4372" s="15" t="s">
        <v>8</v>
      </c>
      <c r="O4372" s="15" t="s">
        <v>8</v>
      </c>
      <c r="P4372" s="20" t="str">
        <f>HYPERLINK("http://yeinfo.com/family/I09065586.html", "ELIZABETH LONGBOTHAM 1566 EN-1607 EN ID:09021745")</f>
        <v>ELIZABETH LONGBOTHAM 1566 EN-1607 EN ID:09021745</v>
      </c>
      <c r="Q4372" s="17"/>
      <c r="R4372" s="17"/>
      <c r="S4372" s="17"/>
      <c r="T4372" s="17"/>
    </row>
    <row r="4373" spans="3:22" x14ac:dyDescent="0.35">
      <c r="C4373" s="15" t="s">
        <v>8</v>
      </c>
      <c r="D4373" s="15" t="s">
        <v>8</v>
      </c>
      <c r="E4373" s="15" t="s">
        <v>8</v>
      </c>
      <c r="F4373" s="15" t="s">
        <v>8</v>
      </c>
      <c r="H4373" s="15" t="s">
        <v>8</v>
      </c>
      <c r="L4373" s="15" t="s">
        <v>8</v>
      </c>
      <c r="O4373" s="15" t="s">
        <v>8</v>
      </c>
      <c r="Q4373" s="8" t="s">
        <v>6</v>
      </c>
    </row>
    <row r="4374" spans="3:22" x14ac:dyDescent="0.35">
      <c r="C4374" s="15" t="s">
        <v>8</v>
      </c>
      <c r="D4374" s="15" t="s">
        <v>8</v>
      </c>
      <c r="E4374" s="15" t="s">
        <v>8</v>
      </c>
      <c r="F4374" s="15" t="s">
        <v>8</v>
      </c>
      <c r="H4374" s="15" t="s">
        <v>8</v>
      </c>
      <c r="L4374" s="15" t="s">
        <v>8</v>
      </c>
      <c r="O4374" s="15" t="s">
        <v>8</v>
      </c>
      <c r="Q4374" s="20" t="str">
        <f>HYPERLINK("http://yeinfo.com/family/I09043490.html", "ALICE MAWD 1539 EN-1572  ID:09043491")</f>
        <v>ALICE MAWD 1539 EN-1572  ID:09043491</v>
      </c>
      <c r="R4374" s="17"/>
      <c r="S4374" s="17"/>
      <c r="T4374" s="17"/>
      <c r="U4374" s="17"/>
    </row>
    <row r="4375" spans="3:22" x14ac:dyDescent="0.35">
      <c r="C4375" s="15" t="s">
        <v>8</v>
      </c>
      <c r="D4375" s="15" t="s">
        <v>8</v>
      </c>
      <c r="E4375" s="15" t="s">
        <v>8</v>
      </c>
      <c r="F4375" s="15" t="s">
        <v>8</v>
      </c>
      <c r="H4375" s="15" t="s">
        <v>8</v>
      </c>
      <c r="L4375" s="15" t="s">
        <v>8</v>
      </c>
      <c r="O4375" s="15" t="s">
        <v>8</v>
      </c>
    </row>
    <row r="4376" spans="3:22" x14ac:dyDescent="0.35">
      <c r="C4376" s="15" t="s">
        <v>8</v>
      </c>
      <c r="D4376" s="15" t="s">
        <v>8</v>
      </c>
      <c r="E4376" s="15" t="s">
        <v>8</v>
      </c>
      <c r="F4376" s="15" t="s">
        <v>8</v>
      </c>
      <c r="H4376" s="15" t="s">
        <v>8</v>
      </c>
      <c r="L4376" s="15" t="s">
        <v>8</v>
      </c>
      <c r="N4376" s="21" t="str">
        <f>HYPERLINK("http://yeinfo.com/family/I09002718.html", "JOHN SHAW 1630 EN-1704 MA ID:09005436")</f>
        <v>JOHN SHAW 1630 EN-1704 MA ID:09005436</v>
      </c>
      <c r="O4376" s="6"/>
      <c r="P4376" s="6"/>
      <c r="Q4376" s="6"/>
      <c r="R4376" s="6"/>
    </row>
    <row r="4377" spans="3:22" x14ac:dyDescent="0.35">
      <c r="C4377" s="15" t="s">
        <v>8</v>
      </c>
      <c r="D4377" s="15" t="s">
        <v>8</v>
      </c>
      <c r="E4377" s="15" t="s">
        <v>8</v>
      </c>
      <c r="F4377" s="15" t="s">
        <v>8</v>
      </c>
      <c r="H4377" s="15" t="s">
        <v>8</v>
      </c>
      <c r="L4377" s="15" t="s">
        <v>8</v>
      </c>
      <c r="N4377" s="8" t="s">
        <v>3</v>
      </c>
      <c r="O4377" s="15" t="s">
        <v>8</v>
      </c>
    </row>
    <row r="4378" spans="3:22" x14ac:dyDescent="0.35">
      <c r="C4378" s="15" t="s">
        <v>8</v>
      </c>
      <c r="D4378" s="15" t="s">
        <v>8</v>
      </c>
      <c r="E4378" s="15" t="s">
        <v>8</v>
      </c>
      <c r="F4378" s="15" t="s">
        <v>8</v>
      </c>
      <c r="H4378" s="15" t="s">
        <v>8</v>
      </c>
      <c r="L4378" s="15" t="s">
        <v>8</v>
      </c>
      <c r="N4378" s="15" t="s">
        <v>8</v>
      </c>
      <c r="O4378" s="15" t="s">
        <v>8</v>
      </c>
      <c r="R4378" s="19" t="str">
        <f>HYPERLINK("http://yeinfo.com/family/I09043492.html", "RICHARD BEST 1505 EN-1544 EN ID:09065587")</f>
        <v>RICHARD BEST 1505 EN-1544 EN ID:09065587</v>
      </c>
      <c r="S4378" s="9"/>
      <c r="T4378" s="9"/>
      <c r="U4378" s="9"/>
      <c r="V4378" s="9"/>
    </row>
    <row r="4379" spans="3:22" x14ac:dyDescent="0.35">
      <c r="C4379" s="15" t="s">
        <v>8</v>
      </c>
      <c r="D4379" s="15" t="s">
        <v>8</v>
      </c>
      <c r="E4379" s="15" t="s">
        <v>8</v>
      </c>
      <c r="F4379" s="15" t="s">
        <v>8</v>
      </c>
      <c r="H4379" s="15" t="s">
        <v>8</v>
      </c>
      <c r="L4379" s="15" t="s">
        <v>8</v>
      </c>
      <c r="N4379" s="15" t="s">
        <v>8</v>
      </c>
      <c r="O4379" s="15" t="s">
        <v>8</v>
      </c>
      <c r="R4379" s="8" t="s">
        <v>3</v>
      </c>
    </row>
    <row r="4380" spans="3:22" x14ac:dyDescent="0.35">
      <c r="C4380" s="15" t="s">
        <v>8</v>
      </c>
      <c r="D4380" s="15" t="s">
        <v>8</v>
      </c>
      <c r="E4380" s="15" t="s">
        <v>8</v>
      </c>
      <c r="F4380" s="15" t="s">
        <v>8</v>
      </c>
      <c r="H4380" s="15" t="s">
        <v>8</v>
      </c>
      <c r="L4380" s="15" t="s">
        <v>8</v>
      </c>
      <c r="N4380" s="15" t="s">
        <v>8</v>
      </c>
      <c r="O4380" s="15" t="s">
        <v>8</v>
      </c>
      <c r="Q4380" s="19" t="str">
        <f>HYPERLINK("http://yeinfo.com/family/I09021746.html", "RICHARD\HENRY BEST 1530 EN-1551 EN ID:09043492")</f>
        <v>RICHARD\HENRY BEST 1530 EN-1551 EN ID:09043492</v>
      </c>
      <c r="R4380" s="9"/>
      <c r="S4380" s="9"/>
      <c r="T4380" s="9"/>
      <c r="U4380" s="9"/>
      <c r="V4380" s="9"/>
    </row>
    <row r="4381" spans="3:22" x14ac:dyDescent="0.35">
      <c r="C4381" s="15" t="s">
        <v>8</v>
      </c>
      <c r="D4381" s="15" t="s">
        <v>8</v>
      </c>
      <c r="E4381" s="15" t="s">
        <v>8</v>
      </c>
      <c r="F4381" s="15" t="s">
        <v>8</v>
      </c>
      <c r="H4381" s="15" t="s">
        <v>8</v>
      </c>
      <c r="L4381" s="15" t="s">
        <v>8</v>
      </c>
      <c r="N4381" s="15" t="s">
        <v>8</v>
      </c>
      <c r="O4381" s="15" t="s">
        <v>8</v>
      </c>
      <c r="Q4381" s="8" t="s">
        <v>3</v>
      </c>
      <c r="R4381" s="8" t="s">
        <v>6</v>
      </c>
    </row>
    <row r="4382" spans="3:22" x14ac:dyDescent="0.35">
      <c r="C4382" s="15" t="s">
        <v>8</v>
      </c>
      <c r="D4382" s="15" t="s">
        <v>8</v>
      </c>
      <c r="E4382" s="15" t="s">
        <v>8</v>
      </c>
      <c r="F4382" s="15" t="s">
        <v>8</v>
      </c>
      <c r="H4382" s="15" t="s">
        <v>8</v>
      </c>
      <c r="L4382" s="15" t="s">
        <v>8</v>
      </c>
      <c r="N4382" s="15" t="s">
        <v>8</v>
      </c>
      <c r="O4382" s="15" t="s">
        <v>8</v>
      </c>
      <c r="Q4382" s="15" t="s">
        <v>8</v>
      </c>
      <c r="R4382" s="20" t="str">
        <f>HYPERLINK("http://yeinfo.com/family/I09065587.html", "JOHANNA HAIGH 1505 EN-1530 EN ID:09065588")</f>
        <v>JOHANNA HAIGH 1505 EN-1530 EN ID:09065588</v>
      </c>
      <c r="S4382" s="17"/>
      <c r="T4382" s="17"/>
      <c r="U4382" s="17"/>
      <c r="V4382" s="17"/>
    </row>
    <row r="4383" spans="3:22" x14ac:dyDescent="0.35">
      <c r="C4383" s="15" t="s">
        <v>8</v>
      </c>
      <c r="D4383" s="15" t="s">
        <v>8</v>
      </c>
      <c r="E4383" s="15" t="s">
        <v>8</v>
      </c>
      <c r="F4383" s="15" t="s">
        <v>8</v>
      </c>
      <c r="H4383" s="15" t="s">
        <v>8</v>
      </c>
      <c r="L4383" s="15" t="s">
        <v>8</v>
      </c>
      <c r="N4383" s="15" t="s">
        <v>8</v>
      </c>
      <c r="O4383" s="15" t="s">
        <v>8</v>
      </c>
      <c r="Q4383" s="15" t="s">
        <v>8</v>
      </c>
    </row>
    <row r="4384" spans="3:22" x14ac:dyDescent="0.35">
      <c r="C4384" s="15" t="s">
        <v>8</v>
      </c>
      <c r="D4384" s="15" t="s">
        <v>8</v>
      </c>
      <c r="E4384" s="15" t="s">
        <v>8</v>
      </c>
      <c r="F4384" s="15" t="s">
        <v>8</v>
      </c>
      <c r="H4384" s="15" t="s">
        <v>8</v>
      </c>
      <c r="L4384" s="15" t="s">
        <v>8</v>
      </c>
      <c r="N4384" s="15" t="s">
        <v>8</v>
      </c>
      <c r="O4384" s="15" t="s">
        <v>8</v>
      </c>
      <c r="P4384" s="5" t="str">
        <f>HYPERLINK("http://yeinfo.com/family/I09010873.html", "HENRY BEST 1550 EN-1628  ID:09021746")</f>
        <v>HENRY BEST 1550 EN-1628  ID:09021746</v>
      </c>
      <c r="Q4384" s="3"/>
      <c r="R4384" s="3"/>
      <c r="S4384" s="3"/>
      <c r="T4384" s="3"/>
    </row>
    <row r="4385" spans="3:22" x14ac:dyDescent="0.35">
      <c r="C4385" s="15" t="s">
        <v>8</v>
      </c>
      <c r="D4385" s="15" t="s">
        <v>8</v>
      </c>
      <c r="E4385" s="15" t="s">
        <v>8</v>
      </c>
      <c r="F4385" s="15" t="s">
        <v>8</v>
      </c>
      <c r="H4385" s="15" t="s">
        <v>8</v>
      </c>
      <c r="L4385" s="15" t="s">
        <v>8</v>
      </c>
      <c r="N4385" s="15" t="s">
        <v>8</v>
      </c>
      <c r="O4385" s="15" t="s">
        <v>8</v>
      </c>
      <c r="P4385" s="8" t="s">
        <v>3</v>
      </c>
      <c r="Q4385" s="8" t="s">
        <v>6</v>
      </c>
    </row>
    <row r="4386" spans="3:22" x14ac:dyDescent="0.35">
      <c r="C4386" s="15" t="s">
        <v>8</v>
      </c>
      <c r="D4386" s="15" t="s">
        <v>8</v>
      </c>
      <c r="E4386" s="15" t="s">
        <v>8</v>
      </c>
      <c r="F4386" s="15" t="s">
        <v>8</v>
      </c>
      <c r="H4386" s="15" t="s">
        <v>8</v>
      </c>
      <c r="L4386" s="15" t="s">
        <v>8</v>
      </c>
      <c r="N4386" s="15" t="s">
        <v>8</v>
      </c>
      <c r="O4386" s="15" t="s">
        <v>8</v>
      </c>
      <c r="P4386" s="15" t="s">
        <v>8</v>
      </c>
      <c r="Q4386" s="20" t="str">
        <f>HYPERLINK("http://yeinfo.com/family/I09065588.html", "Mrs. MARGARETHA BEST 1530 EN-1550  ID:09043493")</f>
        <v>Mrs. MARGARETHA BEST 1530 EN-1550  ID:09043493</v>
      </c>
      <c r="R4386" s="17"/>
      <c r="S4386" s="17"/>
      <c r="T4386" s="17"/>
      <c r="U4386" s="17"/>
    </row>
    <row r="4387" spans="3:22" x14ac:dyDescent="0.35">
      <c r="C4387" s="15" t="s">
        <v>8</v>
      </c>
      <c r="D4387" s="15" t="s">
        <v>8</v>
      </c>
      <c r="E4387" s="15" t="s">
        <v>8</v>
      </c>
      <c r="F4387" s="15" t="s">
        <v>8</v>
      </c>
      <c r="H4387" s="15" t="s">
        <v>8</v>
      </c>
      <c r="L4387" s="15" t="s">
        <v>8</v>
      </c>
      <c r="N4387" s="15" t="s">
        <v>8</v>
      </c>
      <c r="O4387" s="8" t="s">
        <v>6</v>
      </c>
      <c r="P4387" s="15" t="s">
        <v>8</v>
      </c>
    </row>
    <row r="4388" spans="3:22" x14ac:dyDescent="0.35">
      <c r="C4388" s="15" t="s">
        <v>8</v>
      </c>
      <c r="D4388" s="15" t="s">
        <v>8</v>
      </c>
      <c r="E4388" s="15" t="s">
        <v>8</v>
      </c>
      <c r="F4388" s="15" t="s">
        <v>8</v>
      </c>
      <c r="H4388" s="15" t="s">
        <v>8</v>
      </c>
      <c r="L4388" s="15" t="s">
        <v>8</v>
      </c>
      <c r="N4388" s="15" t="s">
        <v>8</v>
      </c>
      <c r="O4388" s="22" t="str">
        <f>HYPERLINK("http://yeinfo.com/family/I09043491.html", "ELIZABETH\BRIDGET BEST 1592 EN-1638 MA ID:09010873")</f>
        <v>ELIZABETH\BRIDGET BEST 1592 EN-1638 MA ID:09010873</v>
      </c>
      <c r="P4388" s="13"/>
      <c r="Q4388" s="13"/>
      <c r="R4388" s="13"/>
      <c r="S4388" s="13"/>
      <c r="T4388" s="13"/>
    </row>
    <row r="4389" spans="3:22" x14ac:dyDescent="0.35">
      <c r="C4389" s="15" t="s">
        <v>8</v>
      </c>
      <c r="D4389" s="15" t="s">
        <v>8</v>
      </c>
      <c r="E4389" s="15" t="s">
        <v>8</v>
      </c>
      <c r="F4389" s="15" t="s">
        <v>8</v>
      </c>
      <c r="H4389" s="15" t="s">
        <v>8</v>
      </c>
      <c r="L4389" s="15" t="s">
        <v>8</v>
      </c>
      <c r="N4389" s="15" t="s">
        <v>8</v>
      </c>
      <c r="P4389" s="15" t="s">
        <v>8</v>
      </c>
    </row>
    <row r="4390" spans="3:22" x14ac:dyDescent="0.35">
      <c r="C4390" s="15" t="s">
        <v>8</v>
      </c>
      <c r="D4390" s="15" t="s">
        <v>8</v>
      </c>
      <c r="E4390" s="15" t="s">
        <v>8</v>
      </c>
      <c r="F4390" s="15" t="s">
        <v>8</v>
      </c>
      <c r="H4390" s="15" t="s">
        <v>8</v>
      </c>
      <c r="L4390" s="15" t="s">
        <v>8</v>
      </c>
      <c r="N4390" s="15" t="s">
        <v>8</v>
      </c>
      <c r="P4390" s="15" t="s">
        <v>8</v>
      </c>
      <c r="Q4390" s="19" t="str">
        <f>HYPERLINK("http://yeinfo.com/family/I09021747.html", "JONIS\JOHN BOITHES 1525 EN-1569 EN ID:09043494")</f>
        <v>JONIS\JOHN BOITHES 1525 EN-1569 EN ID:09043494</v>
      </c>
      <c r="R4390" s="9"/>
      <c r="S4390" s="9"/>
      <c r="T4390" s="9"/>
      <c r="U4390" s="9"/>
      <c r="V4390" s="9"/>
    </row>
    <row r="4391" spans="3:22" x14ac:dyDescent="0.35">
      <c r="C4391" s="15" t="s">
        <v>8</v>
      </c>
      <c r="D4391" s="15" t="s">
        <v>8</v>
      </c>
      <c r="E4391" s="15" t="s">
        <v>8</v>
      </c>
      <c r="F4391" s="15" t="s">
        <v>8</v>
      </c>
      <c r="H4391" s="15" t="s">
        <v>8</v>
      </c>
      <c r="L4391" s="15" t="s">
        <v>8</v>
      </c>
      <c r="N4391" s="15" t="s">
        <v>8</v>
      </c>
      <c r="P4391" s="8" t="s">
        <v>6</v>
      </c>
      <c r="Q4391" s="8" t="s">
        <v>3</v>
      </c>
    </row>
    <row r="4392" spans="3:22" x14ac:dyDescent="0.35">
      <c r="C4392" s="15" t="s">
        <v>8</v>
      </c>
      <c r="D4392" s="15" t="s">
        <v>8</v>
      </c>
      <c r="E4392" s="15" t="s">
        <v>8</v>
      </c>
      <c r="F4392" s="15" t="s">
        <v>8</v>
      </c>
      <c r="H4392" s="15" t="s">
        <v>8</v>
      </c>
      <c r="L4392" s="15" t="s">
        <v>8</v>
      </c>
      <c r="N4392" s="15" t="s">
        <v>8</v>
      </c>
      <c r="P4392" s="20" t="str">
        <f>HYPERLINK("http://yeinfo.com/family/I09043493.html", "GRACE BOITHES 1550 EN-1598  ID:09021747")</f>
        <v>GRACE BOITHES 1550 EN-1598  ID:09021747</v>
      </c>
      <c r="Q4392" s="17"/>
      <c r="R4392" s="17"/>
      <c r="S4392" s="17"/>
      <c r="T4392" s="17"/>
    </row>
    <row r="4393" spans="3:22" x14ac:dyDescent="0.35">
      <c r="C4393" s="15" t="s">
        <v>8</v>
      </c>
      <c r="D4393" s="15" t="s">
        <v>8</v>
      </c>
      <c r="E4393" s="15" t="s">
        <v>8</v>
      </c>
      <c r="F4393" s="15" t="s">
        <v>8</v>
      </c>
      <c r="H4393" s="15" t="s">
        <v>8</v>
      </c>
      <c r="L4393" s="15" t="s">
        <v>8</v>
      </c>
      <c r="N4393" s="15" t="s">
        <v>8</v>
      </c>
      <c r="Q4393" s="8" t="s">
        <v>6</v>
      </c>
    </row>
    <row r="4394" spans="3:22" x14ac:dyDescent="0.35">
      <c r="C4394" s="15" t="s">
        <v>8</v>
      </c>
      <c r="D4394" s="15" t="s">
        <v>8</v>
      </c>
      <c r="E4394" s="15" t="s">
        <v>8</v>
      </c>
      <c r="F4394" s="15" t="s">
        <v>8</v>
      </c>
      <c r="H4394" s="15" t="s">
        <v>8</v>
      </c>
      <c r="L4394" s="15" t="s">
        <v>8</v>
      </c>
      <c r="N4394" s="15" t="s">
        <v>8</v>
      </c>
      <c r="Q4394" s="20" t="str">
        <f>HYPERLINK("http://yeinfo.com/family/I09043494.html", "ISABELLA SWIFT 1530 EN-1550  ID:09043495")</f>
        <v>ISABELLA SWIFT 1530 EN-1550  ID:09043495</v>
      </c>
      <c r="R4394" s="17"/>
      <c r="S4394" s="17"/>
      <c r="T4394" s="17"/>
      <c r="U4394" s="17"/>
    </row>
    <row r="4395" spans="3:22" x14ac:dyDescent="0.35">
      <c r="C4395" s="15" t="s">
        <v>8</v>
      </c>
      <c r="D4395" s="15" t="s">
        <v>8</v>
      </c>
      <c r="E4395" s="15" t="s">
        <v>8</v>
      </c>
      <c r="F4395" s="15" t="s">
        <v>8</v>
      </c>
      <c r="H4395" s="15" t="s">
        <v>8</v>
      </c>
      <c r="L4395" s="15" t="s">
        <v>8</v>
      </c>
      <c r="N4395" s="15" t="s">
        <v>8</v>
      </c>
    </row>
    <row r="4396" spans="3:22" x14ac:dyDescent="0.35">
      <c r="C4396" s="15" t="s">
        <v>8</v>
      </c>
      <c r="D4396" s="15" t="s">
        <v>8</v>
      </c>
      <c r="E4396" s="15" t="s">
        <v>8</v>
      </c>
      <c r="F4396" s="15" t="s">
        <v>8</v>
      </c>
      <c r="H4396" s="15" t="s">
        <v>8</v>
      </c>
      <c r="L4396" s="15" t="s">
        <v>8</v>
      </c>
      <c r="M4396" s="5" t="str">
        <f>HYPERLINK("http://yeinfo.com/family/I09001359.html", "JOHN SHAW 1654 MA-1693 MA ID:09002718")</f>
        <v>JOHN SHAW 1654 MA-1693 MA ID:09002718</v>
      </c>
      <c r="N4396" s="3"/>
      <c r="O4396" s="3"/>
      <c r="P4396" s="3"/>
      <c r="Q4396" s="3"/>
    </row>
    <row r="4397" spans="3:22" x14ac:dyDescent="0.35">
      <c r="C4397" s="15" t="s">
        <v>8</v>
      </c>
      <c r="D4397" s="15" t="s">
        <v>8</v>
      </c>
      <c r="E4397" s="15" t="s">
        <v>8</v>
      </c>
      <c r="F4397" s="15" t="s">
        <v>8</v>
      </c>
      <c r="H4397" s="15" t="s">
        <v>8</v>
      </c>
      <c r="L4397" s="15" t="s">
        <v>8</v>
      </c>
      <c r="M4397" s="8" t="s">
        <v>3</v>
      </c>
      <c r="N4397" s="15" t="s">
        <v>8</v>
      </c>
    </row>
    <row r="4398" spans="3:22" x14ac:dyDescent="0.35">
      <c r="C4398" s="15" t="s">
        <v>8</v>
      </c>
      <c r="D4398" s="15" t="s">
        <v>8</v>
      </c>
      <c r="E4398" s="15" t="s">
        <v>8</v>
      </c>
      <c r="F4398" s="15" t="s">
        <v>8</v>
      </c>
      <c r="H4398" s="15" t="s">
        <v>8</v>
      </c>
      <c r="L4398" s="15" t="s">
        <v>8</v>
      </c>
      <c r="M4398" s="15" t="s">
        <v>8</v>
      </c>
      <c r="N4398" s="15" t="s">
        <v>8</v>
      </c>
      <c r="O4398" s="21" t="str">
        <f>HYPERLINK("http://yeinfo.com/family/I09005437.html", "NICHOLAS PHILIP 1600 EN-1629 MA ID:09010874")</f>
        <v>NICHOLAS PHILIP 1600 EN-1629 MA ID:09010874</v>
      </c>
      <c r="P4398" s="6"/>
      <c r="Q4398" s="6"/>
      <c r="R4398" s="6"/>
      <c r="S4398" s="6"/>
    </row>
    <row r="4399" spans="3:22" x14ac:dyDescent="0.35">
      <c r="C4399" s="15" t="s">
        <v>8</v>
      </c>
      <c r="D4399" s="15" t="s">
        <v>8</v>
      </c>
      <c r="E4399" s="15" t="s">
        <v>8</v>
      </c>
      <c r="F4399" s="15" t="s">
        <v>8</v>
      </c>
      <c r="H4399" s="15" t="s">
        <v>8</v>
      </c>
      <c r="L4399" s="15" t="s">
        <v>8</v>
      </c>
      <c r="M4399" s="15" t="s">
        <v>8</v>
      </c>
      <c r="N4399" s="8" t="s">
        <v>6</v>
      </c>
      <c r="O4399" s="8" t="s">
        <v>3</v>
      </c>
    </row>
    <row r="4400" spans="3:22" x14ac:dyDescent="0.35">
      <c r="C4400" s="15" t="s">
        <v>8</v>
      </c>
      <c r="D4400" s="15" t="s">
        <v>8</v>
      </c>
      <c r="E4400" s="15" t="s">
        <v>8</v>
      </c>
      <c r="F4400" s="15" t="s">
        <v>8</v>
      </c>
      <c r="H4400" s="15" t="s">
        <v>8</v>
      </c>
      <c r="L4400" s="15" t="s">
        <v>8</v>
      </c>
      <c r="M4400" s="15" t="s">
        <v>8</v>
      </c>
      <c r="N4400" s="22" t="str">
        <f>HYPERLINK("http://yeinfo.com/family/I09043495.html", "ALICE PHILIP 1629 EN-1672 MA ID:09005437")</f>
        <v>ALICE PHILIP 1629 EN-1672 MA ID:09005437</v>
      </c>
      <c r="O4400" s="13"/>
      <c r="P4400" s="13"/>
      <c r="Q4400" s="13"/>
      <c r="R4400" s="13"/>
    </row>
    <row r="4401" spans="3:22" x14ac:dyDescent="0.35">
      <c r="C4401" s="15" t="s">
        <v>8</v>
      </c>
      <c r="D4401" s="15" t="s">
        <v>8</v>
      </c>
      <c r="E4401" s="15" t="s">
        <v>8</v>
      </c>
      <c r="F4401" s="15" t="s">
        <v>8</v>
      </c>
      <c r="H4401" s="15" t="s">
        <v>8</v>
      </c>
      <c r="L4401" s="15" t="s">
        <v>8</v>
      </c>
      <c r="M4401" s="15" t="s">
        <v>8</v>
      </c>
      <c r="O4401" s="8" t="s">
        <v>6</v>
      </c>
    </row>
    <row r="4402" spans="3:22" x14ac:dyDescent="0.35">
      <c r="C4402" s="15" t="s">
        <v>8</v>
      </c>
      <c r="D4402" s="15" t="s">
        <v>8</v>
      </c>
      <c r="E4402" s="15" t="s">
        <v>8</v>
      </c>
      <c r="F4402" s="15" t="s">
        <v>8</v>
      </c>
      <c r="H4402" s="15" t="s">
        <v>8</v>
      </c>
      <c r="L4402" s="15" t="s">
        <v>8</v>
      </c>
      <c r="M4402" s="15" t="s">
        <v>8</v>
      </c>
      <c r="O4402" s="20" t="str">
        <f>HYPERLINK("http://yeinfo.com/family/I09010874.html", "ELIZABETH JEPSON 1605 EN-1629 EN ID:09010875")</f>
        <v>ELIZABETH JEPSON 1605 EN-1629 EN ID:09010875</v>
      </c>
      <c r="P4402" s="17"/>
      <c r="Q4402" s="17"/>
      <c r="R4402" s="17"/>
      <c r="S4402" s="17"/>
    </row>
    <row r="4403" spans="3:22" x14ac:dyDescent="0.35">
      <c r="C4403" s="15" t="s">
        <v>8</v>
      </c>
      <c r="D4403" s="15" t="s">
        <v>8</v>
      </c>
      <c r="E4403" s="15" t="s">
        <v>8</v>
      </c>
      <c r="F4403" s="15" t="s">
        <v>8</v>
      </c>
      <c r="H4403" s="15" t="s">
        <v>8</v>
      </c>
      <c r="L4403" s="8" t="s">
        <v>6</v>
      </c>
      <c r="M4403" s="15" t="s">
        <v>8</v>
      </c>
    </row>
    <row r="4404" spans="3:22" x14ac:dyDescent="0.35">
      <c r="C4404" s="15" t="s">
        <v>8</v>
      </c>
      <c r="D4404" s="15" t="s">
        <v>8</v>
      </c>
      <c r="E4404" s="15" t="s">
        <v>8</v>
      </c>
      <c r="F4404" s="15" t="s">
        <v>8</v>
      </c>
      <c r="H4404" s="15" t="s">
        <v>8</v>
      </c>
      <c r="L4404" s="16" t="str">
        <f>HYPERLINK("http://yeinfo.com/family/I09021743.html", "HANNAH\MARY SHAW 1687 -1722  ID:09001359")</f>
        <v>HANNAH\MARY SHAW 1687 -1722  ID:09001359</v>
      </c>
      <c r="M4404" s="11"/>
      <c r="N4404" s="11"/>
      <c r="O4404" s="11"/>
      <c r="P4404" s="11"/>
      <c r="Q4404" s="11"/>
    </row>
    <row r="4405" spans="3:22" x14ac:dyDescent="0.35">
      <c r="C4405" s="15" t="s">
        <v>8</v>
      </c>
      <c r="D4405" s="15" t="s">
        <v>8</v>
      </c>
      <c r="E4405" s="15" t="s">
        <v>8</v>
      </c>
      <c r="F4405" s="15" t="s">
        <v>8</v>
      </c>
      <c r="H4405" s="15" t="s">
        <v>8</v>
      </c>
      <c r="M4405" s="15" t="s">
        <v>8</v>
      </c>
    </row>
    <row r="4406" spans="3:22" x14ac:dyDescent="0.35">
      <c r="C4406" s="15" t="s">
        <v>8</v>
      </c>
      <c r="D4406" s="15" t="s">
        <v>8</v>
      </c>
      <c r="E4406" s="15" t="s">
        <v>8</v>
      </c>
      <c r="F4406" s="15" t="s">
        <v>8</v>
      </c>
      <c r="H4406" s="15" t="s">
        <v>8</v>
      </c>
      <c r="M4406" s="15" t="s">
        <v>8</v>
      </c>
      <c r="O4406" s="21" t="str">
        <f>HYPERLINK("http://yeinfo.com/family/I09005438.html", "JOHN WHITMARSH 1596 EN-1644 MA ID:09010876")</f>
        <v>JOHN WHITMARSH 1596 EN-1644 MA ID:09010876</v>
      </c>
      <c r="P4406" s="6"/>
      <c r="Q4406" s="6"/>
      <c r="R4406" s="6"/>
      <c r="S4406" s="6"/>
    </row>
    <row r="4407" spans="3:22" x14ac:dyDescent="0.35">
      <c r="C4407" s="15" t="s">
        <v>8</v>
      </c>
      <c r="D4407" s="15" t="s">
        <v>8</v>
      </c>
      <c r="E4407" s="15" t="s">
        <v>8</v>
      </c>
      <c r="F4407" s="15" t="s">
        <v>8</v>
      </c>
      <c r="H4407" s="15" t="s">
        <v>8</v>
      </c>
      <c r="M4407" s="15" t="s">
        <v>8</v>
      </c>
      <c r="O4407" s="8" t="s">
        <v>3</v>
      </c>
    </row>
    <row r="4408" spans="3:22" x14ac:dyDescent="0.35">
      <c r="C4408" s="15" t="s">
        <v>8</v>
      </c>
      <c r="D4408" s="15" t="s">
        <v>8</v>
      </c>
      <c r="E4408" s="15" t="s">
        <v>8</v>
      </c>
      <c r="F4408" s="15" t="s">
        <v>8</v>
      </c>
      <c r="H4408" s="15" t="s">
        <v>8</v>
      </c>
      <c r="M4408" s="15" t="s">
        <v>8</v>
      </c>
      <c r="N4408" s="5" t="str">
        <f>HYPERLINK("http://yeinfo.com/family/I09002719.html", "NICHOLAS WHITMARSH 1635 MA-1678  ID:09005438")</f>
        <v>NICHOLAS WHITMARSH 1635 MA-1678  ID:09005438</v>
      </c>
      <c r="O4408" s="3"/>
      <c r="P4408" s="3"/>
      <c r="Q4408" s="3"/>
      <c r="R4408" s="3"/>
    </row>
    <row r="4409" spans="3:22" x14ac:dyDescent="0.35">
      <c r="C4409" s="15" t="s">
        <v>8</v>
      </c>
      <c r="D4409" s="15" t="s">
        <v>8</v>
      </c>
      <c r="E4409" s="15" t="s">
        <v>8</v>
      </c>
      <c r="F4409" s="15" t="s">
        <v>8</v>
      </c>
      <c r="H4409" s="15" t="s">
        <v>8</v>
      </c>
      <c r="M4409" s="15" t="s">
        <v>8</v>
      </c>
      <c r="N4409" s="8" t="s">
        <v>3</v>
      </c>
      <c r="O4409" s="15" t="s">
        <v>8</v>
      </c>
    </row>
    <row r="4410" spans="3:22" x14ac:dyDescent="0.35">
      <c r="C4410" s="15" t="s">
        <v>8</v>
      </c>
      <c r="D4410" s="15" t="s">
        <v>8</v>
      </c>
      <c r="E4410" s="15" t="s">
        <v>8</v>
      </c>
      <c r="F4410" s="15" t="s">
        <v>8</v>
      </c>
      <c r="H4410" s="15" t="s">
        <v>8</v>
      </c>
      <c r="M4410" s="15" t="s">
        <v>8</v>
      </c>
      <c r="N4410" s="15" t="s">
        <v>8</v>
      </c>
      <c r="O4410" s="15" t="s">
        <v>8</v>
      </c>
      <c r="R4410" s="19" t="str">
        <f>HYPERLINK("http://yeinfo.com/family/I09043508.html", "HENRY GARMENT 1529 EN-1600 EN ID:09065676")</f>
        <v>HENRY GARMENT 1529 EN-1600 EN ID:09065676</v>
      </c>
      <c r="S4410" s="9"/>
      <c r="T4410" s="9"/>
      <c r="U4410" s="9"/>
      <c r="V4410" s="9"/>
    </row>
    <row r="4411" spans="3:22" x14ac:dyDescent="0.35">
      <c r="C4411" s="15" t="s">
        <v>8</v>
      </c>
      <c r="D4411" s="15" t="s">
        <v>8</v>
      </c>
      <c r="E4411" s="15" t="s">
        <v>8</v>
      </c>
      <c r="F4411" s="15" t="s">
        <v>8</v>
      </c>
      <c r="H4411" s="15" t="s">
        <v>8</v>
      </c>
      <c r="M4411" s="15" t="s">
        <v>8</v>
      </c>
      <c r="N4411" s="15" t="s">
        <v>8</v>
      </c>
      <c r="O4411" s="15" t="s">
        <v>8</v>
      </c>
      <c r="R4411" s="8" t="s">
        <v>3</v>
      </c>
    </row>
    <row r="4412" spans="3:22" x14ac:dyDescent="0.35">
      <c r="C4412" s="15" t="s">
        <v>8</v>
      </c>
      <c r="D4412" s="15" t="s">
        <v>8</v>
      </c>
      <c r="E4412" s="15" t="s">
        <v>8</v>
      </c>
      <c r="F4412" s="15" t="s">
        <v>8</v>
      </c>
      <c r="H4412" s="15" t="s">
        <v>8</v>
      </c>
      <c r="M4412" s="15" t="s">
        <v>8</v>
      </c>
      <c r="N4412" s="15" t="s">
        <v>8</v>
      </c>
      <c r="O4412" s="15" t="s">
        <v>8</v>
      </c>
      <c r="Q4412" s="19" t="str">
        <f>HYPERLINK("http://yeinfo.com/family/I09021754.html", "CHARLES\JOHN GARMENT 1552 EN-1609 EN ID:09043508")</f>
        <v>CHARLES\JOHN GARMENT 1552 EN-1609 EN ID:09043508</v>
      </c>
      <c r="R4412" s="9"/>
      <c r="S4412" s="9"/>
      <c r="T4412" s="9"/>
      <c r="U4412" s="9"/>
      <c r="V4412" s="9"/>
    </row>
    <row r="4413" spans="3:22" x14ac:dyDescent="0.35">
      <c r="C4413" s="15" t="s">
        <v>8</v>
      </c>
      <c r="D4413" s="15" t="s">
        <v>8</v>
      </c>
      <c r="E4413" s="15" t="s">
        <v>8</v>
      </c>
      <c r="F4413" s="15" t="s">
        <v>8</v>
      </c>
      <c r="H4413" s="15" t="s">
        <v>8</v>
      </c>
      <c r="M4413" s="15" t="s">
        <v>8</v>
      </c>
      <c r="N4413" s="15" t="s">
        <v>8</v>
      </c>
      <c r="O4413" s="15" t="s">
        <v>8</v>
      </c>
      <c r="Q4413" s="8" t="s">
        <v>3</v>
      </c>
      <c r="R4413" s="8" t="s">
        <v>6</v>
      </c>
    </row>
    <row r="4414" spans="3:22" x14ac:dyDescent="0.35">
      <c r="C4414" s="15" t="s">
        <v>8</v>
      </c>
      <c r="D4414" s="15" t="s">
        <v>8</v>
      </c>
      <c r="E4414" s="15" t="s">
        <v>8</v>
      </c>
      <c r="F4414" s="15" t="s">
        <v>8</v>
      </c>
      <c r="H4414" s="15" t="s">
        <v>8</v>
      </c>
      <c r="M4414" s="15" t="s">
        <v>8</v>
      </c>
      <c r="N4414" s="15" t="s">
        <v>8</v>
      </c>
      <c r="O4414" s="15" t="s">
        <v>8</v>
      </c>
      <c r="Q4414" s="15" t="s">
        <v>8</v>
      </c>
      <c r="R4414" s="20" t="str">
        <f>HYPERLINK("http://yeinfo.com/family/I09065676.html", "Mrs. LYDIA GARMENT 1529 EN-1552 EN ID:09065675")</f>
        <v>Mrs. LYDIA GARMENT 1529 EN-1552 EN ID:09065675</v>
      </c>
      <c r="S4414" s="17"/>
      <c r="T4414" s="17"/>
      <c r="U4414" s="17"/>
      <c r="V4414" s="17"/>
    </row>
    <row r="4415" spans="3:22" x14ac:dyDescent="0.35">
      <c r="C4415" s="15" t="s">
        <v>8</v>
      </c>
      <c r="D4415" s="15" t="s">
        <v>8</v>
      </c>
      <c r="E4415" s="15" t="s">
        <v>8</v>
      </c>
      <c r="F4415" s="15" t="s">
        <v>8</v>
      </c>
      <c r="H4415" s="15" t="s">
        <v>8</v>
      </c>
      <c r="M4415" s="15" t="s">
        <v>8</v>
      </c>
      <c r="N4415" s="15" t="s">
        <v>8</v>
      </c>
      <c r="O4415" s="15" t="s">
        <v>8</v>
      </c>
      <c r="Q4415" s="15" t="s">
        <v>8</v>
      </c>
    </row>
    <row r="4416" spans="3:22" x14ac:dyDescent="0.35">
      <c r="C4416" s="15" t="s">
        <v>8</v>
      </c>
      <c r="D4416" s="15" t="s">
        <v>8</v>
      </c>
      <c r="E4416" s="15" t="s">
        <v>8</v>
      </c>
      <c r="F4416" s="15" t="s">
        <v>8</v>
      </c>
      <c r="H4416" s="15" t="s">
        <v>8</v>
      </c>
      <c r="M4416" s="15" t="s">
        <v>8</v>
      </c>
      <c r="N4416" s="15" t="s">
        <v>8</v>
      </c>
      <c r="O4416" s="15" t="s">
        <v>8</v>
      </c>
      <c r="P4416" s="19" t="str">
        <f>HYPERLINK("http://yeinfo.com/family/I09010877.html", "RICHARD GARMENT 1581 EN-1670 EN ID:09021754")</f>
        <v>RICHARD GARMENT 1581 EN-1670 EN ID:09021754</v>
      </c>
      <c r="Q4416" s="9"/>
      <c r="R4416" s="9"/>
      <c r="S4416" s="9"/>
      <c r="T4416" s="9"/>
    </row>
    <row r="4417" spans="3:22" x14ac:dyDescent="0.35">
      <c r="C4417" s="15" t="s">
        <v>8</v>
      </c>
      <c r="D4417" s="15" t="s">
        <v>8</v>
      </c>
      <c r="E4417" s="15" t="s">
        <v>8</v>
      </c>
      <c r="F4417" s="15" t="s">
        <v>8</v>
      </c>
      <c r="H4417" s="15" t="s">
        <v>8</v>
      </c>
      <c r="M4417" s="15" t="s">
        <v>8</v>
      </c>
      <c r="N4417" s="15" t="s">
        <v>8</v>
      </c>
      <c r="O4417" s="15" t="s">
        <v>8</v>
      </c>
      <c r="P4417" s="8" t="s">
        <v>3</v>
      </c>
      <c r="Q4417" s="15" t="s">
        <v>8</v>
      </c>
    </row>
    <row r="4418" spans="3:22" x14ac:dyDescent="0.35">
      <c r="C4418" s="15" t="s">
        <v>8</v>
      </c>
      <c r="D4418" s="15" t="s">
        <v>8</v>
      </c>
      <c r="E4418" s="15" t="s">
        <v>8</v>
      </c>
      <c r="F4418" s="15" t="s">
        <v>8</v>
      </c>
      <c r="H4418" s="15" t="s">
        <v>8</v>
      </c>
      <c r="M4418" s="15" t="s">
        <v>8</v>
      </c>
      <c r="N4418" s="15" t="s">
        <v>8</v>
      </c>
      <c r="O4418" s="15" t="s">
        <v>8</v>
      </c>
      <c r="P4418" s="15" t="s">
        <v>8</v>
      </c>
      <c r="Q4418" s="15" t="s">
        <v>8</v>
      </c>
      <c r="R4418" s="19" t="str">
        <f>HYPERLINK("http://yeinfo.com/family/I09043509.html", "REGINALD HYGGINS 1539 -1559  ID:09065678")</f>
        <v>REGINALD HYGGINS 1539 -1559  ID:09065678</v>
      </c>
      <c r="S4418" s="9"/>
      <c r="T4418" s="9"/>
      <c r="U4418" s="9"/>
      <c r="V4418" s="9"/>
    </row>
    <row r="4419" spans="3:22" x14ac:dyDescent="0.35">
      <c r="C4419" s="15" t="s">
        <v>8</v>
      </c>
      <c r="D4419" s="15" t="s">
        <v>8</v>
      </c>
      <c r="E4419" s="15" t="s">
        <v>8</v>
      </c>
      <c r="F4419" s="15" t="s">
        <v>8</v>
      </c>
      <c r="H4419" s="15" t="s">
        <v>8</v>
      </c>
      <c r="M4419" s="15" t="s">
        <v>8</v>
      </c>
      <c r="N4419" s="15" t="s">
        <v>8</v>
      </c>
      <c r="O4419" s="15" t="s">
        <v>8</v>
      </c>
      <c r="P4419" s="15" t="s">
        <v>8</v>
      </c>
      <c r="Q4419" s="8" t="s">
        <v>6</v>
      </c>
      <c r="R4419" s="8" t="s">
        <v>3</v>
      </c>
    </row>
    <row r="4420" spans="3:22" x14ac:dyDescent="0.35">
      <c r="C4420" s="15" t="s">
        <v>8</v>
      </c>
      <c r="D4420" s="15" t="s">
        <v>8</v>
      </c>
      <c r="E4420" s="15" t="s">
        <v>8</v>
      </c>
      <c r="F4420" s="15" t="s">
        <v>8</v>
      </c>
      <c r="H4420" s="15" t="s">
        <v>8</v>
      </c>
      <c r="M4420" s="15" t="s">
        <v>8</v>
      </c>
      <c r="N4420" s="15" t="s">
        <v>8</v>
      </c>
      <c r="O4420" s="15" t="s">
        <v>8</v>
      </c>
      <c r="P4420" s="15" t="s">
        <v>8</v>
      </c>
      <c r="Q4420" s="20" t="str">
        <f>HYPERLINK("http://yeinfo.com/family/I09065675.html", "SARAH HYGGINS 1559 EN-1581 EN ID:09043509")</f>
        <v>SARAH HYGGINS 1559 EN-1581 EN ID:09043509</v>
      </c>
      <c r="R4420" s="17"/>
      <c r="S4420" s="17"/>
      <c r="T4420" s="17"/>
      <c r="U4420" s="17"/>
    </row>
    <row r="4421" spans="3:22" x14ac:dyDescent="0.35">
      <c r="C4421" s="15" t="s">
        <v>8</v>
      </c>
      <c r="D4421" s="15" t="s">
        <v>8</v>
      </c>
      <c r="E4421" s="15" t="s">
        <v>8</v>
      </c>
      <c r="F4421" s="15" t="s">
        <v>8</v>
      </c>
      <c r="H4421" s="15" t="s">
        <v>8</v>
      </c>
      <c r="M4421" s="15" t="s">
        <v>8</v>
      </c>
      <c r="N4421" s="15" t="s">
        <v>8</v>
      </c>
      <c r="O4421" s="15" t="s">
        <v>8</v>
      </c>
      <c r="P4421" s="15" t="s">
        <v>8</v>
      </c>
      <c r="R4421" s="8" t="s">
        <v>6</v>
      </c>
    </row>
    <row r="4422" spans="3:22" x14ac:dyDescent="0.35">
      <c r="C4422" s="15" t="s">
        <v>8</v>
      </c>
      <c r="D4422" s="15" t="s">
        <v>8</v>
      </c>
      <c r="E4422" s="15" t="s">
        <v>8</v>
      </c>
      <c r="F4422" s="15" t="s">
        <v>8</v>
      </c>
      <c r="H4422" s="15" t="s">
        <v>8</v>
      </c>
      <c r="M4422" s="15" t="s">
        <v>8</v>
      </c>
      <c r="N4422" s="15" t="s">
        <v>8</v>
      </c>
      <c r="O4422" s="15" t="s">
        <v>8</v>
      </c>
      <c r="P4422" s="15" t="s">
        <v>8</v>
      </c>
      <c r="R4422" s="20" t="str">
        <f>HYPERLINK("http://yeinfo.com/family/I09065678.html", "Mrs. {_?_} HYGGINS 1539 -1559  ID:09065677")</f>
        <v>Mrs. {_?_} HYGGINS 1539 -1559  ID:09065677</v>
      </c>
      <c r="S4422" s="17"/>
      <c r="T4422" s="17"/>
      <c r="U4422" s="17"/>
      <c r="V4422" s="17"/>
    </row>
    <row r="4423" spans="3:22" x14ac:dyDescent="0.35">
      <c r="C4423" s="15" t="s">
        <v>8</v>
      </c>
      <c r="D4423" s="15" t="s">
        <v>8</v>
      </c>
      <c r="E4423" s="15" t="s">
        <v>8</v>
      </c>
      <c r="F4423" s="15" t="s">
        <v>8</v>
      </c>
      <c r="H4423" s="15" t="s">
        <v>8</v>
      </c>
      <c r="M4423" s="15" t="s">
        <v>8</v>
      </c>
      <c r="N4423" s="15" t="s">
        <v>8</v>
      </c>
      <c r="O4423" s="8" t="s">
        <v>6</v>
      </c>
      <c r="P4423" s="15" t="s">
        <v>8</v>
      </c>
    </row>
    <row r="4424" spans="3:22" x14ac:dyDescent="0.35">
      <c r="C4424" s="15" t="s">
        <v>8</v>
      </c>
      <c r="D4424" s="15" t="s">
        <v>8</v>
      </c>
      <c r="E4424" s="15" t="s">
        <v>8</v>
      </c>
      <c r="F4424" s="15" t="s">
        <v>8</v>
      </c>
      <c r="H4424" s="15" t="s">
        <v>8</v>
      </c>
      <c r="M4424" s="15" t="s">
        <v>8</v>
      </c>
      <c r="N4424" s="15" t="s">
        <v>8</v>
      </c>
      <c r="O4424" s="22" t="str">
        <f>HYPERLINK("http://yeinfo.com/family/I09010876.html", "ALICE GARMENT 1607 EN-1644 MA ID:09010877")</f>
        <v>ALICE GARMENT 1607 EN-1644 MA ID:09010877</v>
      </c>
      <c r="P4424" s="13"/>
      <c r="Q4424" s="13"/>
      <c r="R4424" s="13"/>
      <c r="S4424" s="13"/>
    </row>
    <row r="4425" spans="3:22" x14ac:dyDescent="0.35">
      <c r="C4425" s="15" t="s">
        <v>8</v>
      </c>
      <c r="D4425" s="15" t="s">
        <v>8</v>
      </c>
      <c r="E4425" s="15" t="s">
        <v>8</v>
      </c>
      <c r="F4425" s="15" t="s">
        <v>8</v>
      </c>
      <c r="H4425" s="15" t="s">
        <v>8</v>
      </c>
      <c r="M4425" s="15" t="s">
        <v>8</v>
      </c>
      <c r="N4425" s="15" t="s">
        <v>8</v>
      </c>
      <c r="P4425" s="8" t="s">
        <v>6</v>
      </c>
    </row>
    <row r="4426" spans="3:22" x14ac:dyDescent="0.35">
      <c r="C4426" s="15" t="s">
        <v>8</v>
      </c>
      <c r="D4426" s="15" t="s">
        <v>8</v>
      </c>
      <c r="E4426" s="15" t="s">
        <v>8</v>
      </c>
      <c r="F4426" s="15" t="s">
        <v>8</v>
      </c>
      <c r="H4426" s="15" t="s">
        <v>8</v>
      </c>
      <c r="M4426" s="15" t="s">
        <v>8</v>
      </c>
      <c r="N4426" s="15" t="s">
        <v>8</v>
      </c>
      <c r="P4426" s="20" t="str">
        <f>HYPERLINK("http://yeinfo.com/family/I09065677.html", "ALICE\ALICIA RICHARDS 1580 EN-1678 EN ID:09021755")</f>
        <v>ALICE\ALICIA RICHARDS 1580 EN-1678 EN ID:09021755</v>
      </c>
      <c r="Q4426" s="17"/>
      <c r="R4426" s="17"/>
      <c r="S4426" s="17"/>
      <c r="T4426" s="17"/>
      <c r="U4426" s="17"/>
    </row>
    <row r="4427" spans="3:22" x14ac:dyDescent="0.35">
      <c r="C4427" s="15" t="s">
        <v>8</v>
      </c>
      <c r="D4427" s="15" t="s">
        <v>8</v>
      </c>
      <c r="E4427" s="15" t="s">
        <v>8</v>
      </c>
      <c r="F4427" s="15" t="s">
        <v>8</v>
      </c>
      <c r="H4427" s="15" t="s">
        <v>8</v>
      </c>
      <c r="M4427" s="8" t="s">
        <v>6</v>
      </c>
      <c r="N4427" s="15" t="s">
        <v>8</v>
      </c>
    </row>
    <row r="4428" spans="3:22" x14ac:dyDescent="0.35">
      <c r="C4428" s="15" t="s">
        <v>8</v>
      </c>
      <c r="D4428" s="15" t="s">
        <v>8</v>
      </c>
      <c r="E4428" s="15" t="s">
        <v>8</v>
      </c>
      <c r="F4428" s="15" t="s">
        <v>8</v>
      </c>
      <c r="H4428" s="15" t="s">
        <v>8</v>
      </c>
      <c r="M4428" s="16" t="str">
        <f>HYPERLINK("http://yeinfo.com/family/I09010875.html", "HANNAH\JANE WHITMARSH 1661 MA-1687  ID:09002719")</f>
        <v>HANNAH\JANE WHITMARSH 1661 MA-1687  ID:09002719</v>
      </c>
      <c r="N4428" s="11"/>
      <c r="O4428" s="11"/>
      <c r="P4428" s="11"/>
      <c r="Q4428" s="11"/>
      <c r="R4428" s="11"/>
    </row>
    <row r="4429" spans="3:22" x14ac:dyDescent="0.35">
      <c r="C4429" s="15" t="s">
        <v>8</v>
      </c>
      <c r="D4429" s="15" t="s">
        <v>8</v>
      </c>
      <c r="E4429" s="15" t="s">
        <v>8</v>
      </c>
      <c r="F4429" s="15" t="s">
        <v>8</v>
      </c>
      <c r="H4429" s="15" t="s">
        <v>8</v>
      </c>
      <c r="N4429" s="15" t="s">
        <v>8</v>
      </c>
    </row>
    <row r="4430" spans="3:22" x14ac:dyDescent="0.35">
      <c r="C4430" s="15" t="s">
        <v>8</v>
      </c>
      <c r="D4430" s="15" t="s">
        <v>8</v>
      </c>
      <c r="E4430" s="15" t="s">
        <v>8</v>
      </c>
      <c r="F4430" s="15" t="s">
        <v>8</v>
      </c>
      <c r="H4430" s="15" t="s">
        <v>8</v>
      </c>
      <c r="N4430" s="15" t="s">
        <v>8</v>
      </c>
      <c r="P4430" s="19" t="str">
        <f>HYPERLINK("http://yeinfo.com/family/I09010878.html", "WILLIAM READ 1565 EN-1605 EN ID:09021756")</f>
        <v>WILLIAM READ 1565 EN-1605 EN ID:09021756</v>
      </c>
      <c r="Q4430" s="9"/>
      <c r="R4430" s="9"/>
      <c r="S4430" s="9"/>
      <c r="T4430" s="9"/>
    </row>
    <row r="4431" spans="3:22" x14ac:dyDescent="0.35">
      <c r="C4431" s="15" t="s">
        <v>8</v>
      </c>
      <c r="D4431" s="15" t="s">
        <v>8</v>
      </c>
      <c r="E4431" s="15" t="s">
        <v>8</v>
      </c>
      <c r="F4431" s="15" t="s">
        <v>8</v>
      </c>
      <c r="H4431" s="15" t="s">
        <v>8</v>
      </c>
      <c r="N4431" s="15" t="s">
        <v>8</v>
      </c>
      <c r="P4431" s="8" t="s">
        <v>3</v>
      </c>
    </row>
    <row r="4432" spans="3:22" x14ac:dyDescent="0.35">
      <c r="C4432" s="15" t="s">
        <v>8</v>
      </c>
      <c r="D4432" s="15" t="s">
        <v>8</v>
      </c>
      <c r="E4432" s="15" t="s">
        <v>8</v>
      </c>
      <c r="F4432" s="15" t="s">
        <v>8</v>
      </c>
      <c r="H4432" s="15" t="s">
        <v>8</v>
      </c>
      <c r="N4432" s="15" t="s">
        <v>8</v>
      </c>
      <c r="O4432" s="21" t="str">
        <f>HYPERLINK("http://yeinfo.com/family/I09005439.html", "WILLIAM REED 1605 EN-1653 MA ID:09010878")</f>
        <v>WILLIAM REED 1605 EN-1653 MA ID:09010878</v>
      </c>
      <c r="P4432" s="6"/>
      <c r="Q4432" s="6"/>
      <c r="R4432" s="6"/>
      <c r="S4432" s="6"/>
    </row>
    <row r="4433" spans="3:20" x14ac:dyDescent="0.35">
      <c r="C4433" s="15" t="s">
        <v>8</v>
      </c>
      <c r="D4433" s="15" t="s">
        <v>8</v>
      </c>
      <c r="E4433" s="15" t="s">
        <v>8</v>
      </c>
      <c r="F4433" s="15" t="s">
        <v>8</v>
      </c>
      <c r="H4433" s="15" t="s">
        <v>8</v>
      </c>
      <c r="N4433" s="15" t="s">
        <v>8</v>
      </c>
      <c r="O4433" s="8" t="s">
        <v>3</v>
      </c>
      <c r="P4433" s="8" t="s">
        <v>6</v>
      </c>
    </row>
    <row r="4434" spans="3:20" x14ac:dyDescent="0.35">
      <c r="C4434" s="15" t="s">
        <v>8</v>
      </c>
      <c r="D4434" s="15" t="s">
        <v>8</v>
      </c>
      <c r="E4434" s="15" t="s">
        <v>8</v>
      </c>
      <c r="F4434" s="15" t="s">
        <v>8</v>
      </c>
      <c r="H4434" s="15" t="s">
        <v>8</v>
      </c>
      <c r="N4434" s="15" t="s">
        <v>8</v>
      </c>
      <c r="O4434" s="15" t="s">
        <v>8</v>
      </c>
      <c r="P4434" s="20" t="str">
        <f>HYPERLINK("http://yeinfo.com/family/I09021756.html", "LUCY HENEAGE 1586 EN-1623 EN ID:09021757")</f>
        <v>LUCY HENEAGE 1586 EN-1623 EN ID:09021757</v>
      </c>
      <c r="Q4434" s="17"/>
      <c r="R4434" s="17"/>
      <c r="S4434" s="17"/>
      <c r="T4434" s="17"/>
    </row>
    <row r="4435" spans="3:20" x14ac:dyDescent="0.35">
      <c r="C4435" s="15" t="s">
        <v>8</v>
      </c>
      <c r="D4435" s="15" t="s">
        <v>8</v>
      </c>
      <c r="E4435" s="15" t="s">
        <v>8</v>
      </c>
      <c r="F4435" s="15" t="s">
        <v>8</v>
      </c>
      <c r="H4435" s="15" t="s">
        <v>8</v>
      </c>
      <c r="N4435" s="8" t="s">
        <v>6</v>
      </c>
      <c r="O4435" s="15" t="s">
        <v>8</v>
      </c>
    </row>
    <row r="4436" spans="3:20" x14ac:dyDescent="0.35">
      <c r="C4436" s="15" t="s">
        <v>8</v>
      </c>
      <c r="D4436" s="15" t="s">
        <v>8</v>
      </c>
      <c r="E4436" s="15" t="s">
        <v>8</v>
      </c>
      <c r="F4436" s="15" t="s">
        <v>8</v>
      </c>
      <c r="H4436" s="15" t="s">
        <v>8</v>
      </c>
      <c r="N4436" s="16" t="str">
        <f>HYPERLINK("http://yeinfo.com/family/I09021755.html", "HANNAH REED 1637 MA-1661 MA ID:09005439")</f>
        <v>HANNAH REED 1637 MA-1661 MA ID:09005439</v>
      </c>
      <c r="O4436" s="11"/>
      <c r="P4436" s="11"/>
      <c r="Q4436" s="11"/>
      <c r="R4436" s="11"/>
    </row>
    <row r="4437" spans="3:20" x14ac:dyDescent="0.35">
      <c r="C4437" s="15" t="s">
        <v>8</v>
      </c>
      <c r="D4437" s="15" t="s">
        <v>8</v>
      </c>
      <c r="E4437" s="15" t="s">
        <v>8</v>
      </c>
      <c r="F4437" s="15" t="s">
        <v>8</v>
      </c>
      <c r="H4437" s="15" t="s">
        <v>8</v>
      </c>
      <c r="O4437" s="8" t="s">
        <v>6</v>
      </c>
    </row>
    <row r="4438" spans="3:20" x14ac:dyDescent="0.35">
      <c r="C4438" s="15" t="s">
        <v>8</v>
      </c>
      <c r="D4438" s="15" t="s">
        <v>8</v>
      </c>
      <c r="E4438" s="15" t="s">
        <v>8</v>
      </c>
      <c r="F4438" s="15" t="s">
        <v>8</v>
      </c>
      <c r="H4438" s="15" t="s">
        <v>8</v>
      </c>
      <c r="O4438" s="16" t="str">
        <f>HYPERLINK("http://yeinfo.com/family/I09021757.html", "AVIS CHAPMAN 1618 EN-1638  ID:09010879")</f>
        <v>AVIS CHAPMAN 1618 EN-1638  ID:09010879</v>
      </c>
      <c r="P4438" s="11"/>
      <c r="Q4438" s="11"/>
      <c r="R4438" s="11"/>
      <c r="S4438" s="11"/>
    </row>
    <row r="4439" spans="3:20" x14ac:dyDescent="0.35">
      <c r="C4439" s="15" t="s">
        <v>8</v>
      </c>
      <c r="D4439" s="15" t="s">
        <v>8</v>
      </c>
      <c r="E4439" s="15" t="s">
        <v>8</v>
      </c>
      <c r="F4439" s="15" t="s">
        <v>8</v>
      </c>
      <c r="H4439" s="15" t="s">
        <v>8</v>
      </c>
    </row>
    <row r="4440" spans="3:20" x14ac:dyDescent="0.35">
      <c r="C4440" s="15" t="s">
        <v>8</v>
      </c>
      <c r="D4440" s="15" t="s">
        <v>8</v>
      </c>
      <c r="E4440" s="15" t="s">
        <v>8</v>
      </c>
      <c r="F4440" s="15" t="s">
        <v>8</v>
      </c>
      <c r="G4440" s="5" t="str">
        <f>HYPERLINK("http://yeinfo.com/family/I09000021.html", "GEORGE LAFFAETTE DOUGLASS 1826 IL-1914 CA ID:09000042")</f>
        <v>GEORGE LAFFAETTE DOUGLASS 1826 IL-1914 CA ID:09000042</v>
      </c>
      <c r="H4440" s="3"/>
      <c r="I4440" s="3"/>
      <c r="J4440" s="3"/>
      <c r="K4440" s="3"/>
    </row>
    <row r="4441" spans="3:20" x14ac:dyDescent="0.35">
      <c r="C4441" s="15" t="s">
        <v>8</v>
      </c>
      <c r="D4441" s="15" t="s">
        <v>8</v>
      </c>
      <c r="E4441" s="15" t="s">
        <v>8</v>
      </c>
      <c r="F4441" s="15" t="s">
        <v>8</v>
      </c>
      <c r="G4441" s="8" t="s">
        <v>3</v>
      </c>
      <c r="H4441" s="15" t="s">
        <v>8</v>
      </c>
    </row>
    <row r="4442" spans="3:20" x14ac:dyDescent="0.35">
      <c r="C4442" s="15" t="s">
        <v>8</v>
      </c>
      <c r="D4442" s="15" t="s">
        <v>8</v>
      </c>
      <c r="E4442" s="15" t="s">
        <v>8</v>
      </c>
      <c r="F4442" s="15" t="s">
        <v>8</v>
      </c>
      <c r="G4442" s="15" t="s">
        <v>8</v>
      </c>
      <c r="H4442" s="15" t="s">
        <v>8</v>
      </c>
      <c r="N4442" s="21" t="str">
        <f>HYPERLINK("http://yeinfo.com/family/I09002720.html", "EDMUND BLOSS 1587 EN-1681 MA ID:09005440")</f>
        <v>EDMUND BLOSS 1587 EN-1681 MA ID:09005440</v>
      </c>
      <c r="O4442" s="6"/>
      <c r="P4442" s="6"/>
      <c r="Q4442" s="6"/>
      <c r="R4442" s="6"/>
    </row>
    <row r="4443" spans="3:20" x14ac:dyDescent="0.35">
      <c r="C4443" s="15" t="s">
        <v>8</v>
      </c>
      <c r="D4443" s="15" t="s">
        <v>8</v>
      </c>
      <c r="E4443" s="15" t="s">
        <v>8</v>
      </c>
      <c r="F4443" s="15" t="s">
        <v>8</v>
      </c>
      <c r="G4443" s="15" t="s">
        <v>8</v>
      </c>
      <c r="H4443" s="15" t="s">
        <v>8</v>
      </c>
      <c r="N4443" s="8" t="s">
        <v>3</v>
      </c>
    </row>
    <row r="4444" spans="3:20" x14ac:dyDescent="0.35">
      <c r="C4444" s="15" t="s">
        <v>8</v>
      </c>
      <c r="D4444" s="15" t="s">
        <v>8</v>
      </c>
      <c r="E4444" s="15" t="s">
        <v>8</v>
      </c>
      <c r="F4444" s="15" t="s">
        <v>8</v>
      </c>
      <c r="G4444" s="15" t="s">
        <v>8</v>
      </c>
      <c r="H4444" s="15" t="s">
        <v>8</v>
      </c>
      <c r="M4444" s="21" t="str">
        <f>HYPERLINK("http://yeinfo.com/family/I09001360.html", "RICHARD BLOSS 1623 EN-1665 MA ID:09002720")</f>
        <v>RICHARD BLOSS 1623 EN-1665 MA ID:09002720</v>
      </c>
      <c r="N4444" s="6"/>
      <c r="O4444" s="6"/>
      <c r="P4444" s="6"/>
      <c r="Q4444" s="6"/>
    </row>
    <row r="4445" spans="3:20" x14ac:dyDescent="0.35">
      <c r="C4445" s="15" t="s">
        <v>8</v>
      </c>
      <c r="D4445" s="15" t="s">
        <v>8</v>
      </c>
      <c r="E4445" s="15" t="s">
        <v>8</v>
      </c>
      <c r="F4445" s="15" t="s">
        <v>8</v>
      </c>
      <c r="G4445" s="15" t="s">
        <v>8</v>
      </c>
      <c r="H4445" s="15" t="s">
        <v>8</v>
      </c>
      <c r="M4445" s="8" t="s">
        <v>3</v>
      </c>
      <c r="N4445" s="8" t="s">
        <v>6</v>
      </c>
    </row>
    <row r="4446" spans="3:20" x14ac:dyDescent="0.35">
      <c r="C4446" s="15" t="s">
        <v>8</v>
      </c>
      <c r="D4446" s="15" t="s">
        <v>8</v>
      </c>
      <c r="E4446" s="15" t="s">
        <v>8</v>
      </c>
      <c r="F4446" s="15" t="s">
        <v>8</v>
      </c>
      <c r="G4446" s="15" t="s">
        <v>8</v>
      </c>
      <c r="H4446" s="15" t="s">
        <v>8</v>
      </c>
      <c r="M4446" s="15" t="s">
        <v>8</v>
      </c>
      <c r="N4446" s="22" t="str">
        <f>HYPERLINK("http://yeinfo.com/family/I09005440.html", "MARY COOPER 1590 EN-1675 MA ID:09005441")</f>
        <v>MARY COOPER 1590 EN-1675 MA ID:09005441</v>
      </c>
      <c r="O4446" s="13"/>
      <c r="P4446" s="13"/>
      <c r="Q4446" s="13"/>
      <c r="R4446" s="13"/>
    </row>
    <row r="4447" spans="3:20" x14ac:dyDescent="0.35">
      <c r="C4447" s="15" t="s">
        <v>8</v>
      </c>
      <c r="D4447" s="15" t="s">
        <v>8</v>
      </c>
      <c r="E4447" s="15" t="s">
        <v>8</v>
      </c>
      <c r="F4447" s="15" t="s">
        <v>8</v>
      </c>
      <c r="G4447" s="15" t="s">
        <v>8</v>
      </c>
      <c r="H4447" s="15" t="s">
        <v>8</v>
      </c>
      <c r="M4447" s="15" t="s">
        <v>8</v>
      </c>
    </row>
    <row r="4448" spans="3:20" x14ac:dyDescent="0.35">
      <c r="C4448" s="15" t="s">
        <v>8</v>
      </c>
      <c r="D4448" s="15" t="s">
        <v>8</v>
      </c>
      <c r="E4448" s="15" t="s">
        <v>8</v>
      </c>
      <c r="F4448" s="15" t="s">
        <v>8</v>
      </c>
      <c r="G4448" s="15" t="s">
        <v>8</v>
      </c>
      <c r="H4448" s="15" t="s">
        <v>8</v>
      </c>
      <c r="L4448" s="5" t="str">
        <f>HYPERLINK("http://yeinfo.com/family/I09000680.html", "RICHARD JENNISON BLOSS Jr. 1659 MA-1716 CT ID:09001360")</f>
        <v>RICHARD JENNISON BLOSS Jr. 1659 MA-1716 CT ID:09001360</v>
      </c>
      <c r="M4448" s="3"/>
      <c r="N4448" s="3"/>
      <c r="O4448" s="3"/>
      <c r="P4448" s="3"/>
    </row>
    <row r="4449" spans="3:19" x14ac:dyDescent="0.35">
      <c r="C4449" s="15" t="s">
        <v>8</v>
      </c>
      <c r="D4449" s="15" t="s">
        <v>8</v>
      </c>
      <c r="E4449" s="15" t="s">
        <v>8</v>
      </c>
      <c r="F4449" s="15" t="s">
        <v>8</v>
      </c>
      <c r="G4449" s="15" t="s">
        <v>8</v>
      </c>
      <c r="H4449" s="15" t="s">
        <v>8</v>
      </c>
      <c r="L4449" s="8" t="s">
        <v>3</v>
      </c>
      <c r="M4449" s="15" t="s">
        <v>8</v>
      </c>
    </row>
    <row r="4450" spans="3:19" x14ac:dyDescent="0.35">
      <c r="C4450" s="15" t="s">
        <v>8</v>
      </c>
      <c r="D4450" s="15" t="s">
        <v>8</v>
      </c>
      <c r="E4450" s="15" t="s">
        <v>8</v>
      </c>
      <c r="F4450" s="15" t="s">
        <v>8</v>
      </c>
      <c r="G4450" s="15" t="s">
        <v>8</v>
      </c>
      <c r="H4450" s="15" t="s">
        <v>8</v>
      </c>
      <c r="L4450" s="15" t="s">
        <v>8</v>
      </c>
      <c r="M4450" s="15" t="s">
        <v>8</v>
      </c>
      <c r="O4450" s="19" t="str">
        <f>HYPERLINK("http://yeinfo.com/family/I09005442.html", "ROBERT JENNISON 1581 EN-1652 EN ID:09010884")</f>
        <v>ROBERT JENNISON 1581 EN-1652 EN ID:09010884</v>
      </c>
      <c r="P4450" s="9"/>
      <c r="Q4450" s="9"/>
      <c r="R4450" s="9"/>
      <c r="S4450" s="9"/>
    </row>
    <row r="4451" spans="3:19" x14ac:dyDescent="0.35">
      <c r="C4451" s="15" t="s">
        <v>8</v>
      </c>
      <c r="D4451" s="15" t="s">
        <v>8</v>
      </c>
      <c r="E4451" s="15" t="s">
        <v>8</v>
      </c>
      <c r="F4451" s="15" t="s">
        <v>8</v>
      </c>
      <c r="G4451" s="15" t="s">
        <v>8</v>
      </c>
      <c r="H4451" s="15" t="s">
        <v>8</v>
      </c>
      <c r="L4451" s="15" t="s">
        <v>8</v>
      </c>
      <c r="M4451" s="15" t="s">
        <v>8</v>
      </c>
      <c r="O4451" s="8" t="s">
        <v>3</v>
      </c>
    </row>
    <row r="4452" spans="3:19" x14ac:dyDescent="0.35">
      <c r="C4452" s="15" t="s">
        <v>8</v>
      </c>
      <c r="D4452" s="15" t="s">
        <v>8</v>
      </c>
      <c r="E4452" s="15" t="s">
        <v>8</v>
      </c>
      <c r="F4452" s="15" t="s">
        <v>8</v>
      </c>
      <c r="G4452" s="15" t="s">
        <v>8</v>
      </c>
      <c r="H4452" s="15" t="s">
        <v>8</v>
      </c>
      <c r="L4452" s="15" t="s">
        <v>8</v>
      </c>
      <c r="M4452" s="15" t="s">
        <v>8</v>
      </c>
      <c r="N4452" s="21" t="str">
        <f>HYPERLINK("http://yeinfo.com/family/I09002721.html", "ROBERT JENNISON 1607 EN-1690 MA ID:09005442")</f>
        <v>ROBERT JENNISON 1607 EN-1690 MA ID:09005442</v>
      </c>
      <c r="O4452" s="6"/>
      <c r="P4452" s="6"/>
      <c r="Q4452" s="6"/>
      <c r="R4452" s="6"/>
    </row>
    <row r="4453" spans="3:19" x14ac:dyDescent="0.35">
      <c r="C4453" s="15" t="s">
        <v>8</v>
      </c>
      <c r="D4453" s="15" t="s">
        <v>8</v>
      </c>
      <c r="E4453" s="15" t="s">
        <v>8</v>
      </c>
      <c r="F4453" s="15" t="s">
        <v>8</v>
      </c>
      <c r="G4453" s="15" t="s">
        <v>8</v>
      </c>
      <c r="H4453" s="15" t="s">
        <v>8</v>
      </c>
      <c r="L4453" s="15" t="s">
        <v>8</v>
      </c>
      <c r="M4453" s="15" t="s">
        <v>8</v>
      </c>
      <c r="N4453" s="8" t="s">
        <v>3</v>
      </c>
      <c r="O4453" s="8" t="s">
        <v>6</v>
      </c>
    </row>
    <row r="4454" spans="3:19" x14ac:dyDescent="0.35">
      <c r="C4454" s="15" t="s">
        <v>8</v>
      </c>
      <c r="D4454" s="15" t="s">
        <v>8</v>
      </c>
      <c r="E4454" s="15" t="s">
        <v>8</v>
      </c>
      <c r="F4454" s="15" t="s">
        <v>8</v>
      </c>
      <c r="G4454" s="15" t="s">
        <v>8</v>
      </c>
      <c r="H4454" s="15" t="s">
        <v>8</v>
      </c>
      <c r="L4454" s="15" t="s">
        <v>8</v>
      </c>
      <c r="M4454" s="15" t="s">
        <v>8</v>
      </c>
      <c r="N4454" s="15" t="s">
        <v>8</v>
      </c>
      <c r="O4454" s="20" t="str">
        <f>HYPERLINK("http://yeinfo.com/family/I09010884.html", "ELIZABETH FAVOUR 1585 EN-1607 EN ID:09010885")</f>
        <v>ELIZABETH FAVOUR 1585 EN-1607 EN ID:09010885</v>
      </c>
      <c r="P4454" s="17"/>
      <c r="Q4454" s="17"/>
      <c r="R4454" s="17"/>
      <c r="S4454" s="17"/>
    </row>
    <row r="4455" spans="3:19" x14ac:dyDescent="0.35">
      <c r="C4455" s="15" t="s">
        <v>8</v>
      </c>
      <c r="D4455" s="15" t="s">
        <v>8</v>
      </c>
      <c r="E4455" s="15" t="s">
        <v>8</v>
      </c>
      <c r="F4455" s="15" t="s">
        <v>8</v>
      </c>
      <c r="G4455" s="15" t="s">
        <v>8</v>
      </c>
      <c r="H4455" s="15" t="s">
        <v>8</v>
      </c>
      <c r="L4455" s="15" t="s">
        <v>8</v>
      </c>
      <c r="M4455" s="8" t="s">
        <v>6</v>
      </c>
      <c r="N4455" s="15" t="s">
        <v>8</v>
      </c>
    </row>
    <row r="4456" spans="3:19" x14ac:dyDescent="0.35">
      <c r="C4456" s="15" t="s">
        <v>8</v>
      </c>
      <c r="D4456" s="15" t="s">
        <v>8</v>
      </c>
      <c r="E4456" s="15" t="s">
        <v>8</v>
      </c>
      <c r="F4456" s="15" t="s">
        <v>8</v>
      </c>
      <c r="G4456" s="15" t="s">
        <v>8</v>
      </c>
      <c r="H4456" s="15" t="s">
        <v>8</v>
      </c>
      <c r="L4456" s="15" t="s">
        <v>8</v>
      </c>
      <c r="M4456" s="16" t="str">
        <f>HYPERLINK("http://yeinfo.com/family/I09005441.html", "MICAEL\MICHAL JENNISON 1640 MA-1713 MA ID:09002721")</f>
        <v>MICAEL\MICHAL JENNISON 1640 MA-1713 MA ID:09002721</v>
      </c>
      <c r="N4456" s="11"/>
      <c r="O4456" s="11"/>
      <c r="P4456" s="11"/>
      <c r="Q4456" s="11"/>
      <c r="R4456" s="11"/>
    </row>
    <row r="4457" spans="3:19" x14ac:dyDescent="0.35">
      <c r="C4457" s="15" t="s">
        <v>8</v>
      </c>
      <c r="D4457" s="15" t="s">
        <v>8</v>
      </c>
      <c r="E4457" s="15" t="s">
        <v>8</v>
      </c>
      <c r="F4457" s="15" t="s">
        <v>8</v>
      </c>
      <c r="G4457" s="15" t="s">
        <v>8</v>
      </c>
      <c r="H4457" s="15" t="s">
        <v>8</v>
      </c>
      <c r="L4457" s="15" t="s">
        <v>8</v>
      </c>
      <c r="N4457" s="8" t="s">
        <v>6</v>
      </c>
    </row>
    <row r="4458" spans="3:19" x14ac:dyDescent="0.35">
      <c r="C4458" s="15" t="s">
        <v>8</v>
      </c>
      <c r="D4458" s="15" t="s">
        <v>8</v>
      </c>
      <c r="E4458" s="15" t="s">
        <v>8</v>
      </c>
      <c r="F4458" s="15" t="s">
        <v>8</v>
      </c>
      <c r="G4458" s="15" t="s">
        <v>8</v>
      </c>
      <c r="H4458" s="15" t="s">
        <v>8</v>
      </c>
      <c r="L4458" s="15" t="s">
        <v>8</v>
      </c>
      <c r="N4458" s="22" t="str">
        <f>HYPERLINK("http://yeinfo.com/family/I09010885.html", "GRACE KILBOURNE 1614 EN-1686 MA ID:09005443")</f>
        <v>GRACE KILBOURNE 1614 EN-1686 MA ID:09005443</v>
      </c>
      <c r="O4458" s="13"/>
      <c r="P4458" s="13"/>
      <c r="Q4458" s="13"/>
      <c r="R4458" s="13"/>
    </row>
    <row r="4459" spans="3:19" x14ac:dyDescent="0.35">
      <c r="C4459" s="15" t="s">
        <v>8</v>
      </c>
      <c r="D4459" s="15" t="s">
        <v>8</v>
      </c>
      <c r="E4459" s="15" t="s">
        <v>8</v>
      </c>
      <c r="F4459" s="15" t="s">
        <v>8</v>
      </c>
      <c r="G4459" s="15" t="s">
        <v>8</v>
      </c>
      <c r="H4459" s="15" t="s">
        <v>8</v>
      </c>
      <c r="L4459" s="15" t="s">
        <v>8</v>
      </c>
    </row>
    <row r="4460" spans="3:19" x14ac:dyDescent="0.35">
      <c r="C4460" s="15" t="s">
        <v>8</v>
      </c>
      <c r="D4460" s="15" t="s">
        <v>8</v>
      </c>
      <c r="E4460" s="15" t="s">
        <v>8</v>
      </c>
      <c r="F4460" s="15" t="s">
        <v>8</v>
      </c>
      <c r="G4460" s="15" t="s">
        <v>8</v>
      </c>
      <c r="H4460" s="15" t="s">
        <v>8</v>
      </c>
      <c r="K4460" s="5" t="str">
        <f>HYPERLINK("http://yeinfo.com/family/I09000340.html", "SAMUEL BLOSS Sr. 1705 MA-1746 CT ID:09000680")</f>
        <v>SAMUEL BLOSS Sr. 1705 MA-1746 CT ID:09000680</v>
      </c>
      <c r="L4460" s="3"/>
      <c r="M4460" s="3"/>
      <c r="N4460" s="3"/>
      <c r="O4460" s="3"/>
    </row>
    <row r="4461" spans="3:19" x14ac:dyDescent="0.35">
      <c r="C4461" s="15" t="s">
        <v>8</v>
      </c>
      <c r="D4461" s="15" t="s">
        <v>8</v>
      </c>
      <c r="E4461" s="15" t="s">
        <v>8</v>
      </c>
      <c r="F4461" s="15" t="s">
        <v>8</v>
      </c>
      <c r="G4461" s="15" t="s">
        <v>8</v>
      </c>
      <c r="H4461" s="15" t="s">
        <v>8</v>
      </c>
      <c r="K4461" s="8" t="s">
        <v>3</v>
      </c>
      <c r="L4461" s="15" t="s">
        <v>8</v>
      </c>
    </row>
    <row r="4462" spans="3:19" x14ac:dyDescent="0.35">
      <c r="C4462" s="15" t="s">
        <v>8</v>
      </c>
      <c r="D4462" s="15" t="s">
        <v>8</v>
      </c>
      <c r="E4462" s="15" t="s">
        <v>8</v>
      </c>
      <c r="F4462" s="15" t="s">
        <v>8</v>
      </c>
      <c r="G4462" s="15" t="s">
        <v>8</v>
      </c>
      <c r="H4462" s="15" t="s">
        <v>8</v>
      </c>
      <c r="K4462" s="15" t="s">
        <v>8</v>
      </c>
      <c r="L4462" s="15" t="s">
        <v>8</v>
      </c>
      <c r="N4462" s="5" t="str">
        <f>HYPERLINK("http://yeinfo.com/family/I09002722.html", "JAMES CUTLER &lt;3&gt; 1606 EN-1694  ID:09005444")</f>
        <v>JAMES CUTLER &lt;3&gt; 1606 EN-1694  ID:09005444</v>
      </c>
      <c r="O4462" s="3"/>
      <c r="P4462" s="3"/>
      <c r="Q4462" s="3"/>
      <c r="R4462" s="3"/>
    </row>
    <row r="4463" spans="3:19" x14ac:dyDescent="0.35">
      <c r="C4463" s="15" t="s">
        <v>8</v>
      </c>
      <c r="D4463" s="15" t="s">
        <v>8</v>
      </c>
      <c r="E4463" s="15" t="s">
        <v>8</v>
      </c>
      <c r="F4463" s="15" t="s">
        <v>8</v>
      </c>
      <c r="G4463" s="15" t="s">
        <v>8</v>
      </c>
      <c r="H4463" s="15" t="s">
        <v>8</v>
      </c>
      <c r="K4463" s="15" t="s">
        <v>8</v>
      </c>
      <c r="L4463" s="15" t="s">
        <v>8</v>
      </c>
      <c r="N4463" s="8" t="s">
        <v>3</v>
      </c>
    </row>
    <row r="4464" spans="3:19" x14ac:dyDescent="0.35">
      <c r="C4464" s="15" t="s">
        <v>8</v>
      </c>
      <c r="D4464" s="15" t="s">
        <v>8</v>
      </c>
      <c r="E4464" s="15" t="s">
        <v>8</v>
      </c>
      <c r="F4464" s="15" t="s">
        <v>8</v>
      </c>
      <c r="G4464" s="15" t="s">
        <v>8</v>
      </c>
      <c r="H4464" s="15" t="s">
        <v>8</v>
      </c>
      <c r="K4464" s="15" t="s">
        <v>8</v>
      </c>
      <c r="L4464" s="15" t="s">
        <v>8</v>
      </c>
      <c r="M4464" s="5" t="str">
        <f>HYPERLINK("http://yeinfo.com/family/I09001361.html", "JAMES CUTLER Jr. 1635 MA-1685 MA ID:09002722")</f>
        <v>JAMES CUTLER Jr. 1635 MA-1685 MA ID:09002722</v>
      </c>
      <c r="N4464" s="3"/>
      <c r="O4464" s="3"/>
      <c r="P4464" s="3"/>
      <c r="Q4464" s="3"/>
    </row>
    <row r="4465" spans="3:20" x14ac:dyDescent="0.35">
      <c r="C4465" s="15" t="s">
        <v>8</v>
      </c>
      <c r="D4465" s="15" t="s">
        <v>8</v>
      </c>
      <c r="E4465" s="15" t="s">
        <v>8</v>
      </c>
      <c r="F4465" s="15" t="s">
        <v>8</v>
      </c>
      <c r="G4465" s="15" t="s">
        <v>8</v>
      </c>
      <c r="H4465" s="15" t="s">
        <v>8</v>
      </c>
      <c r="K4465" s="15" t="s">
        <v>8</v>
      </c>
      <c r="L4465" s="15" t="s">
        <v>8</v>
      </c>
      <c r="M4465" s="8" t="s">
        <v>3</v>
      </c>
      <c r="N4465" s="8" t="s">
        <v>6</v>
      </c>
    </row>
    <row r="4466" spans="3:20" x14ac:dyDescent="0.35">
      <c r="C4466" s="15" t="s">
        <v>8</v>
      </c>
      <c r="D4466" s="15" t="s">
        <v>8</v>
      </c>
      <c r="E4466" s="15" t="s">
        <v>8</v>
      </c>
      <c r="F4466" s="15" t="s">
        <v>8</v>
      </c>
      <c r="G4466" s="15" t="s">
        <v>8</v>
      </c>
      <c r="H4466" s="15" t="s">
        <v>8</v>
      </c>
      <c r="K4466" s="15" t="s">
        <v>8</v>
      </c>
      <c r="L4466" s="15" t="s">
        <v>8</v>
      </c>
      <c r="M4466" s="15" t="s">
        <v>8</v>
      </c>
      <c r="N4466" s="16" t="str">
        <f>HYPERLINK("http://yeinfo.com/family/I09005444.html", "Mrs. ANNA CUTLER &lt;2&gt; 1610 -1644  ID:09005445")</f>
        <v>Mrs. ANNA CUTLER &lt;2&gt; 1610 -1644  ID:09005445</v>
      </c>
      <c r="O4466" s="11"/>
      <c r="P4466" s="11"/>
      <c r="Q4466" s="11"/>
      <c r="R4466" s="11"/>
    </row>
    <row r="4467" spans="3:20" x14ac:dyDescent="0.35">
      <c r="C4467" s="15" t="s">
        <v>8</v>
      </c>
      <c r="D4467" s="15" t="s">
        <v>8</v>
      </c>
      <c r="E4467" s="15" t="s">
        <v>8</v>
      </c>
      <c r="F4467" s="15" t="s">
        <v>8</v>
      </c>
      <c r="G4467" s="15" t="s">
        <v>8</v>
      </c>
      <c r="H4467" s="15" t="s">
        <v>8</v>
      </c>
      <c r="K4467" s="15" t="s">
        <v>8</v>
      </c>
      <c r="L4467" s="8" t="s">
        <v>6</v>
      </c>
      <c r="M4467" s="15" t="s">
        <v>8</v>
      </c>
    </row>
    <row r="4468" spans="3:20" x14ac:dyDescent="0.35">
      <c r="C4468" s="15" t="s">
        <v>8</v>
      </c>
      <c r="D4468" s="15" t="s">
        <v>8</v>
      </c>
      <c r="E4468" s="15" t="s">
        <v>8</v>
      </c>
      <c r="F4468" s="15" t="s">
        <v>8</v>
      </c>
      <c r="G4468" s="15" t="s">
        <v>8</v>
      </c>
      <c r="H4468" s="15" t="s">
        <v>8</v>
      </c>
      <c r="K4468" s="15" t="s">
        <v>8</v>
      </c>
      <c r="L4468" s="16" t="str">
        <f>HYPERLINK("http://yeinfo.com/family/I09005443.html", "ANN CUTLER 1669 MA-1707 CT ID:09001361")</f>
        <v>ANN CUTLER 1669 MA-1707 CT ID:09001361</v>
      </c>
      <c r="M4468" s="11"/>
      <c r="N4468" s="11"/>
      <c r="O4468" s="11"/>
      <c r="P4468" s="11"/>
    </row>
    <row r="4469" spans="3:20" x14ac:dyDescent="0.35">
      <c r="C4469" s="15" t="s">
        <v>8</v>
      </c>
      <c r="D4469" s="15" t="s">
        <v>8</v>
      </c>
      <c r="E4469" s="15" t="s">
        <v>8</v>
      </c>
      <c r="F4469" s="15" t="s">
        <v>8</v>
      </c>
      <c r="G4469" s="15" t="s">
        <v>8</v>
      </c>
      <c r="H4469" s="15" t="s">
        <v>8</v>
      </c>
      <c r="K4469" s="15" t="s">
        <v>8</v>
      </c>
      <c r="M4469" s="15" t="s">
        <v>8</v>
      </c>
    </row>
    <row r="4470" spans="3:20" x14ac:dyDescent="0.35">
      <c r="C4470" s="15" t="s">
        <v>8</v>
      </c>
      <c r="D4470" s="15" t="s">
        <v>8</v>
      </c>
      <c r="E4470" s="15" t="s">
        <v>8</v>
      </c>
      <c r="F4470" s="15" t="s">
        <v>8</v>
      </c>
      <c r="G4470" s="15" t="s">
        <v>8</v>
      </c>
      <c r="H4470" s="15" t="s">
        <v>8</v>
      </c>
      <c r="K4470" s="15" t="s">
        <v>8</v>
      </c>
      <c r="M4470" s="15" t="s">
        <v>8</v>
      </c>
      <c r="N4470" s="21" t="str">
        <f>HYPERLINK("http://yeinfo.com/family/I09002723.html", "JOHN MOORE &lt;5&gt; 1598 EN-1674 MA ID:09005446")</f>
        <v>JOHN MOORE &lt;5&gt; 1598 EN-1674 MA ID:09005446</v>
      </c>
      <c r="O4470" s="6"/>
      <c r="P4470" s="6"/>
      <c r="Q4470" s="6"/>
      <c r="R4470" s="6"/>
    </row>
    <row r="4471" spans="3:20" x14ac:dyDescent="0.35">
      <c r="C4471" s="15" t="s">
        <v>8</v>
      </c>
      <c r="D4471" s="15" t="s">
        <v>8</v>
      </c>
      <c r="E4471" s="15" t="s">
        <v>8</v>
      </c>
      <c r="F4471" s="15" t="s">
        <v>8</v>
      </c>
      <c r="G4471" s="15" t="s">
        <v>8</v>
      </c>
      <c r="H4471" s="15" t="s">
        <v>8</v>
      </c>
      <c r="K4471" s="15" t="s">
        <v>8</v>
      </c>
      <c r="M4471" s="8" t="s">
        <v>6</v>
      </c>
      <c r="N4471" s="8" t="s">
        <v>3</v>
      </c>
    </row>
    <row r="4472" spans="3:20" x14ac:dyDescent="0.35">
      <c r="C4472" s="15" t="s">
        <v>8</v>
      </c>
      <c r="D4472" s="15" t="s">
        <v>8</v>
      </c>
      <c r="E4472" s="15" t="s">
        <v>8</v>
      </c>
      <c r="F4472" s="15" t="s">
        <v>8</v>
      </c>
      <c r="G4472" s="15" t="s">
        <v>8</v>
      </c>
      <c r="H4472" s="15" t="s">
        <v>8</v>
      </c>
      <c r="K4472" s="15" t="s">
        <v>8</v>
      </c>
      <c r="M4472" s="16" t="str">
        <f>HYPERLINK("http://yeinfo.com/family/I09005445.html", "LYDIA MOORE 1643 MA-1723 MA ID:09002723")</f>
        <v>LYDIA MOORE 1643 MA-1723 MA ID:09002723</v>
      </c>
      <c r="N4472" s="11"/>
      <c r="O4472" s="11"/>
      <c r="P4472" s="11"/>
      <c r="Q4472" s="11"/>
    </row>
    <row r="4473" spans="3:20" x14ac:dyDescent="0.35">
      <c r="C4473" s="15" t="s">
        <v>8</v>
      </c>
      <c r="D4473" s="15" t="s">
        <v>8</v>
      </c>
      <c r="E4473" s="15" t="s">
        <v>8</v>
      </c>
      <c r="F4473" s="15" t="s">
        <v>8</v>
      </c>
      <c r="G4473" s="15" t="s">
        <v>8</v>
      </c>
      <c r="H4473" s="15" t="s">
        <v>8</v>
      </c>
      <c r="K4473" s="15" t="s">
        <v>8</v>
      </c>
      <c r="N4473" s="15" t="s">
        <v>8</v>
      </c>
    </row>
    <row r="4474" spans="3:20" x14ac:dyDescent="0.35">
      <c r="C4474" s="15" t="s">
        <v>8</v>
      </c>
      <c r="D4474" s="15" t="s">
        <v>8</v>
      </c>
      <c r="E4474" s="15" t="s">
        <v>8</v>
      </c>
      <c r="F4474" s="15" t="s">
        <v>8</v>
      </c>
      <c r="G4474" s="15" t="s">
        <v>8</v>
      </c>
      <c r="H4474" s="15" t="s">
        <v>8</v>
      </c>
      <c r="K4474" s="15" t="s">
        <v>8</v>
      </c>
      <c r="N4474" s="15" t="s">
        <v>8</v>
      </c>
      <c r="P4474" s="19" t="str">
        <f>HYPERLINK("http://yeinfo.com/family/I09010894.html", "Mr. {_?_} RICE &lt;5&gt; 1560 EN-1594  ID:09021788")</f>
        <v>Mr. {_?_} RICE &lt;5&gt; 1560 EN-1594  ID:09021788</v>
      </c>
      <c r="Q4474" s="9"/>
      <c r="R4474" s="9"/>
      <c r="S4474" s="9"/>
      <c r="T4474" s="9"/>
    </row>
    <row r="4475" spans="3:20" x14ac:dyDescent="0.35">
      <c r="C4475" s="15" t="s">
        <v>8</v>
      </c>
      <c r="D4475" s="15" t="s">
        <v>8</v>
      </c>
      <c r="E4475" s="15" t="s">
        <v>8</v>
      </c>
      <c r="F4475" s="15" t="s">
        <v>8</v>
      </c>
      <c r="G4475" s="15" t="s">
        <v>8</v>
      </c>
      <c r="H4475" s="15" t="s">
        <v>8</v>
      </c>
      <c r="K4475" s="15" t="s">
        <v>8</v>
      </c>
      <c r="N4475" s="15" t="s">
        <v>8</v>
      </c>
      <c r="P4475" s="8" t="s">
        <v>3</v>
      </c>
    </row>
    <row r="4476" spans="3:20" x14ac:dyDescent="0.35">
      <c r="C4476" s="15" t="s">
        <v>8</v>
      </c>
      <c r="D4476" s="15" t="s">
        <v>8</v>
      </c>
      <c r="E4476" s="15" t="s">
        <v>8</v>
      </c>
      <c r="F4476" s="15" t="s">
        <v>8</v>
      </c>
      <c r="G4476" s="15" t="s">
        <v>8</v>
      </c>
      <c r="H4476" s="15" t="s">
        <v>8</v>
      </c>
      <c r="K4476" s="15" t="s">
        <v>8</v>
      </c>
      <c r="N4476" s="15" t="s">
        <v>8</v>
      </c>
      <c r="O4476" s="5" t="str">
        <f>HYPERLINK("http://yeinfo.com/family/I09005447.html", "HENRY\THOMAS RICE 1582 -1621  ID:09010894")</f>
        <v>HENRY\THOMAS RICE 1582 -1621  ID:09010894</v>
      </c>
      <c r="P4476" s="3"/>
      <c r="Q4476" s="3"/>
      <c r="R4476" s="3"/>
      <c r="S4476" s="3"/>
      <c r="T4476" s="3"/>
    </row>
    <row r="4477" spans="3:20" x14ac:dyDescent="0.35">
      <c r="C4477" s="15" t="s">
        <v>8</v>
      </c>
      <c r="D4477" s="15" t="s">
        <v>8</v>
      </c>
      <c r="E4477" s="15" t="s">
        <v>8</v>
      </c>
      <c r="F4477" s="15" t="s">
        <v>8</v>
      </c>
      <c r="G4477" s="15" t="s">
        <v>8</v>
      </c>
      <c r="H4477" s="15" t="s">
        <v>8</v>
      </c>
      <c r="K4477" s="15" t="s">
        <v>8</v>
      </c>
      <c r="N4477" s="15" t="s">
        <v>8</v>
      </c>
      <c r="O4477" s="8" t="s">
        <v>3</v>
      </c>
      <c r="P4477" s="8" t="s">
        <v>6</v>
      </c>
    </row>
    <row r="4478" spans="3:20" x14ac:dyDescent="0.35">
      <c r="C4478" s="15" t="s">
        <v>8</v>
      </c>
      <c r="D4478" s="15" t="s">
        <v>8</v>
      </c>
      <c r="E4478" s="15" t="s">
        <v>8</v>
      </c>
      <c r="F4478" s="15" t="s">
        <v>8</v>
      </c>
      <c r="G4478" s="15" t="s">
        <v>8</v>
      </c>
      <c r="H4478" s="15" t="s">
        <v>8</v>
      </c>
      <c r="K4478" s="15" t="s">
        <v>8</v>
      </c>
      <c r="N4478" s="15" t="s">
        <v>8</v>
      </c>
      <c r="O4478" s="15" t="s">
        <v>8</v>
      </c>
      <c r="P4478" s="20" t="str">
        <f>HYPERLINK("http://yeinfo.com/family/I09021788.html", "Mrs. {_?_} RICE &lt;5&gt; 1560 EN-1594  ID:09021789")</f>
        <v>Mrs. {_?_} RICE &lt;5&gt; 1560 EN-1594  ID:09021789</v>
      </c>
      <c r="Q4478" s="17"/>
      <c r="R4478" s="17"/>
      <c r="S4478" s="17"/>
      <c r="T4478" s="17"/>
    </row>
    <row r="4479" spans="3:20" x14ac:dyDescent="0.35">
      <c r="C4479" s="15" t="s">
        <v>8</v>
      </c>
      <c r="D4479" s="15" t="s">
        <v>8</v>
      </c>
      <c r="E4479" s="15" t="s">
        <v>8</v>
      </c>
      <c r="F4479" s="15" t="s">
        <v>8</v>
      </c>
      <c r="G4479" s="15" t="s">
        <v>8</v>
      </c>
      <c r="H4479" s="15" t="s">
        <v>8</v>
      </c>
      <c r="K4479" s="15" t="s">
        <v>8</v>
      </c>
      <c r="N4479" s="8" t="s">
        <v>6</v>
      </c>
      <c r="O4479" s="15" t="s">
        <v>8</v>
      </c>
    </row>
    <row r="4480" spans="3:20" x14ac:dyDescent="0.35">
      <c r="C4480" s="15" t="s">
        <v>8</v>
      </c>
      <c r="D4480" s="15" t="s">
        <v>8</v>
      </c>
      <c r="E4480" s="15" t="s">
        <v>8</v>
      </c>
      <c r="F4480" s="15" t="s">
        <v>8</v>
      </c>
      <c r="G4480" s="15" t="s">
        <v>8</v>
      </c>
      <c r="H4480" s="15" t="s">
        <v>8</v>
      </c>
      <c r="K4480" s="15" t="s">
        <v>8</v>
      </c>
      <c r="N4480" s="16" t="str">
        <f>HYPERLINK("http://yeinfo.com/family/I09005446.html", "ELIZABETH RICE 1612 -1690  ID:09005447")</f>
        <v>ELIZABETH RICE 1612 -1690  ID:09005447</v>
      </c>
      <c r="O4480" s="11"/>
      <c r="P4480" s="11"/>
      <c r="Q4480" s="11"/>
      <c r="R4480" s="11"/>
    </row>
    <row r="4481" spans="3:23" x14ac:dyDescent="0.35">
      <c r="C4481" s="15" t="s">
        <v>8</v>
      </c>
      <c r="D4481" s="15" t="s">
        <v>8</v>
      </c>
      <c r="E4481" s="15" t="s">
        <v>8</v>
      </c>
      <c r="F4481" s="15" t="s">
        <v>8</v>
      </c>
      <c r="G4481" s="15" t="s">
        <v>8</v>
      </c>
      <c r="H4481" s="15" t="s">
        <v>8</v>
      </c>
      <c r="K4481" s="15" t="s">
        <v>8</v>
      </c>
      <c r="O4481" s="15" t="s">
        <v>8</v>
      </c>
    </row>
    <row r="4482" spans="3:23" x14ac:dyDescent="0.35">
      <c r="C4482" s="15" t="s">
        <v>8</v>
      </c>
      <c r="D4482" s="15" t="s">
        <v>8</v>
      </c>
      <c r="E4482" s="15" t="s">
        <v>8</v>
      </c>
      <c r="F4482" s="15" t="s">
        <v>8</v>
      </c>
      <c r="G4482" s="15" t="s">
        <v>8</v>
      </c>
      <c r="H4482" s="15" t="s">
        <v>8</v>
      </c>
      <c r="K4482" s="15" t="s">
        <v>8</v>
      </c>
      <c r="O4482" s="15" t="s">
        <v>8</v>
      </c>
      <c r="R4482" s="19" t="str">
        <f>HYPERLINK("http://yeinfo.com/family/I09043580.html", "WILLIAM\HENRY FROST &lt;5&gt; 1480 EN-1549 EN ID:09065537")</f>
        <v>WILLIAM\HENRY FROST &lt;5&gt; 1480 EN-1549 EN ID:09065537</v>
      </c>
      <c r="S4482" s="9"/>
      <c r="T4482" s="9"/>
      <c r="U4482" s="9"/>
      <c r="V4482" s="9"/>
      <c r="W4482" s="9"/>
    </row>
    <row r="4483" spans="3:23" x14ac:dyDescent="0.35">
      <c r="C4483" s="15" t="s">
        <v>8</v>
      </c>
      <c r="D4483" s="15" t="s">
        <v>8</v>
      </c>
      <c r="E4483" s="15" t="s">
        <v>8</v>
      </c>
      <c r="F4483" s="15" t="s">
        <v>8</v>
      </c>
      <c r="G4483" s="15" t="s">
        <v>8</v>
      </c>
      <c r="H4483" s="15" t="s">
        <v>8</v>
      </c>
      <c r="K4483" s="15" t="s">
        <v>8</v>
      </c>
      <c r="O4483" s="15" t="s">
        <v>8</v>
      </c>
      <c r="R4483" s="8" t="s">
        <v>3</v>
      </c>
    </row>
    <row r="4484" spans="3:23" x14ac:dyDescent="0.35">
      <c r="C4484" s="15" t="s">
        <v>8</v>
      </c>
      <c r="D4484" s="15" t="s">
        <v>8</v>
      </c>
      <c r="E4484" s="15" t="s">
        <v>8</v>
      </c>
      <c r="F4484" s="15" t="s">
        <v>8</v>
      </c>
      <c r="G4484" s="15" t="s">
        <v>8</v>
      </c>
      <c r="H4484" s="15" t="s">
        <v>8</v>
      </c>
      <c r="K4484" s="15" t="s">
        <v>8</v>
      </c>
      <c r="O4484" s="15" t="s">
        <v>8</v>
      </c>
      <c r="Q4484" s="19" t="str">
        <f>HYPERLINK("http://yeinfo.com/family/I09021790.html", "JOHN\THOMAS FROST &lt;5&gt; 1537 -1610  ID:09043580")</f>
        <v>JOHN\THOMAS FROST &lt;5&gt; 1537 -1610  ID:09043580</v>
      </c>
      <c r="R4484" s="9"/>
      <c r="S4484" s="9"/>
      <c r="T4484" s="9"/>
      <c r="U4484" s="9"/>
      <c r="V4484" s="9"/>
    </row>
    <row r="4485" spans="3:23" x14ac:dyDescent="0.35">
      <c r="C4485" s="15" t="s">
        <v>8</v>
      </c>
      <c r="D4485" s="15" t="s">
        <v>8</v>
      </c>
      <c r="E4485" s="15" t="s">
        <v>8</v>
      </c>
      <c r="F4485" s="15" t="s">
        <v>8</v>
      </c>
      <c r="G4485" s="15" t="s">
        <v>8</v>
      </c>
      <c r="H4485" s="15" t="s">
        <v>8</v>
      </c>
      <c r="K4485" s="15" t="s">
        <v>8</v>
      </c>
      <c r="O4485" s="15" t="s">
        <v>8</v>
      </c>
      <c r="Q4485" s="8" t="s">
        <v>3</v>
      </c>
      <c r="R4485" s="8" t="s">
        <v>6</v>
      </c>
    </row>
    <row r="4486" spans="3:23" x14ac:dyDescent="0.35">
      <c r="C4486" s="15" t="s">
        <v>8</v>
      </c>
      <c r="D4486" s="15" t="s">
        <v>8</v>
      </c>
      <c r="E4486" s="15" t="s">
        <v>8</v>
      </c>
      <c r="F4486" s="15" t="s">
        <v>8</v>
      </c>
      <c r="G4486" s="15" t="s">
        <v>8</v>
      </c>
      <c r="H4486" s="15" t="s">
        <v>8</v>
      </c>
      <c r="K4486" s="15" t="s">
        <v>8</v>
      </c>
      <c r="O4486" s="15" t="s">
        <v>8</v>
      </c>
      <c r="Q4486" s="15" t="s">
        <v>8</v>
      </c>
      <c r="R4486" s="20" t="str">
        <f>HYPERLINK("http://yeinfo.com/family/I09065537.html", "PHILLIPA SCOTT &lt;5&gt; 1505 EN-1558 EN ID:09065538")</f>
        <v>PHILLIPA SCOTT &lt;5&gt; 1505 EN-1558 EN ID:09065538</v>
      </c>
      <c r="S4486" s="17"/>
      <c r="T4486" s="17"/>
      <c r="U4486" s="17"/>
      <c r="V4486" s="17"/>
    </row>
    <row r="4487" spans="3:23" x14ac:dyDescent="0.35">
      <c r="C4487" s="15" t="s">
        <v>8</v>
      </c>
      <c r="D4487" s="15" t="s">
        <v>8</v>
      </c>
      <c r="E4487" s="15" t="s">
        <v>8</v>
      </c>
      <c r="F4487" s="15" t="s">
        <v>8</v>
      </c>
      <c r="G4487" s="15" t="s">
        <v>8</v>
      </c>
      <c r="H4487" s="15" t="s">
        <v>8</v>
      </c>
      <c r="K4487" s="15" t="s">
        <v>8</v>
      </c>
      <c r="O4487" s="15" t="s">
        <v>8</v>
      </c>
      <c r="Q4487" s="15" t="s">
        <v>8</v>
      </c>
    </row>
    <row r="4488" spans="3:23" x14ac:dyDescent="0.35">
      <c r="C4488" s="15" t="s">
        <v>8</v>
      </c>
      <c r="D4488" s="15" t="s">
        <v>8</v>
      </c>
      <c r="E4488" s="15" t="s">
        <v>8</v>
      </c>
      <c r="F4488" s="15" t="s">
        <v>8</v>
      </c>
      <c r="G4488" s="15" t="s">
        <v>8</v>
      </c>
      <c r="H4488" s="15" t="s">
        <v>8</v>
      </c>
      <c r="K4488" s="15" t="s">
        <v>8</v>
      </c>
      <c r="O4488" s="15" t="s">
        <v>8</v>
      </c>
      <c r="P4488" s="19" t="str">
        <f>HYPERLINK("http://yeinfo.com/family/I09010895.html", "EDWARD\EDMUND FROST &lt;5&gt; 1560 EN-1616 EN ID:09021790")</f>
        <v>EDWARD\EDMUND FROST &lt;5&gt; 1560 EN-1616 EN ID:09021790</v>
      </c>
      <c r="Q4488" s="9"/>
      <c r="R4488" s="9"/>
      <c r="S4488" s="9"/>
      <c r="T4488" s="9"/>
      <c r="U4488" s="9"/>
    </row>
    <row r="4489" spans="3:23" x14ac:dyDescent="0.35">
      <c r="C4489" s="15" t="s">
        <v>8</v>
      </c>
      <c r="D4489" s="15" t="s">
        <v>8</v>
      </c>
      <c r="E4489" s="15" t="s">
        <v>8</v>
      </c>
      <c r="F4489" s="15" t="s">
        <v>8</v>
      </c>
      <c r="G4489" s="15" t="s">
        <v>8</v>
      </c>
      <c r="H4489" s="15" t="s">
        <v>8</v>
      </c>
      <c r="K4489" s="15" t="s">
        <v>8</v>
      </c>
      <c r="O4489" s="15" t="s">
        <v>8</v>
      </c>
      <c r="P4489" s="8" t="s">
        <v>3</v>
      </c>
      <c r="Q4489" s="15" t="s">
        <v>8</v>
      </c>
    </row>
    <row r="4490" spans="3:23" x14ac:dyDescent="0.35">
      <c r="C4490" s="15" t="s">
        <v>8</v>
      </c>
      <c r="D4490" s="15" t="s">
        <v>8</v>
      </c>
      <c r="E4490" s="15" t="s">
        <v>8</v>
      </c>
      <c r="F4490" s="15" t="s">
        <v>8</v>
      </c>
      <c r="G4490" s="15" t="s">
        <v>8</v>
      </c>
      <c r="H4490" s="15" t="s">
        <v>8</v>
      </c>
      <c r="K4490" s="15" t="s">
        <v>8</v>
      </c>
      <c r="O4490" s="15" t="s">
        <v>8</v>
      </c>
      <c r="P4490" s="15" t="s">
        <v>8</v>
      </c>
      <c r="Q4490" s="15" t="s">
        <v>8</v>
      </c>
      <c r="R4490" s="19" t="str">
        <f>HYPERLINK("http://yeinfo.com/family/I09043581.html", "RICHARD SCOTT &lt;5&gt; 1505 EN-1565 EN ID:09065539")</f>
        <v>RICHARD SCOTT &lt;5&gt; 1505 EN-1565 EN ID:09065539</v>
      </c>
      <c r="S4490" s="9"/>
      <c r="T4490" s="9"/>
      <c r="U4490" s="9"/>
      <c r="V4490" s="9"/>
    </row>
    <row r="4491" spans="3:23" x14ac:dyDescent="0.35">
      <c r="C4491" s="15" t="s">
        <v>8</v>
      </c>
      <c r="D4491" s="15" t="s">
        <v>8</v>
      </c>
      <c r="E4491" s="15" t="s">
        <v>8</v>
      </c>
      <c r="F4491" s="15" t="s">
        <v>8</v>
      </c>
      <c r="G4491" s="15" t="s">
        <v>8</v>
      </c>
      <c r="H4491" s="15" t="s">
        <v>8</v>
      </c>
      <c r="K4491" s="15" t="s">
        <v>8</v>
      </c>
      <c r="O4491" s="15" t="s">
        <v>8</v>
      </c>
      <c r="P4491" s="15" t="s">
        <v>8</v>
      </c>
      <c r="Q4491" s="8" t="s">
        <v>6</v>
      </c>
      <c r="R4491" s="8" t="s">
        <v>3</v>
      </c>
    </row>
    <row r="4492" spans="3:23" x14ac:dyDescent="0.35">
      <c r="C4492" s="15" t="s">
        <v>8</v>
      </c>
      <c r="D4492" s="15" t="s">
        <v>8</v>
      </c>
      <c r="E4492" s="15" t="s">
        <v>8</v>
      </c>
      <c r="F4492" s="15" t="s">
        <v>8</v>
      </c>
      <c r="G4492" s="15" t="s">
        <v>8</v>
      </c>
      <c r="H4492" s="15" t="s">
        <v>8</v>
      </c>
      <c r="K4492" s="15" t="s">
        <v>8</v>
      </c>
      <c r="O4492" s="15" t="s">
        <v>8</v>
      </c>
      <c r="P4492" s="15" t="s">
        <v>8</v>
      </c>
      <c r="Q4492" s="20" t="str">
        <f>HYPERLINK("http://yeinfo.com/family/I09065538.html", "ANN SCOTT &lt;5&gt; 1540 -1588  ID:09043581")</f>
        <v>ANN SCOTT &lt;5&gt; 1540 -1588  ID:09043581</v>
      </c>
      <c r="R4492" s="17"/>
      <c r="S4492" s="17"/>
      <c r="T4492" s="17"/>
      <c r="U4492" s="17"/>
    </row>
    <row r="4493" spans="3:23" x14ac:dyDescent="0.35">
      <c r="C4493" s="15" t="s">
        <v>8</v>
      </c>
      <c r="D4493" s="15" t="s">
        <v>8</v>
      </c>
      <c r="E4493" s="15" t="s">
        <v>8</v>
      </c>
      <c r="F4493" s="15" t="s">
        <v>8</v>
      </c>
      <c r="G4493" s="15" t="s">
        <v>8</v>
      </c>
      <c r="H4493" s="15" t="s">
        <v>8</v>
      </c>
      <c r="K4493" s="15" t="s">
        <v>8</v>
      </c>
      <c r="O4493" s="15" t="s">
        <v>8</v>
      </c>
      <c r="P4493" s="15" t="s">
        <v>8</v>
      </c>
      <c r="R4493" s="8" t="s">
        <v>6</v>
      </c>
    </row>
    <row r="4494" spans="3:23" x14ac:dyDescent="0.35">
      <c r="C4494" s="15" t="s">
        <v>8</v>
      </c>
      <c r="D4494" s="15" t="s">
        <v>8</v>
      </c>
      <c r="E4494" s="15" t="s">
        <v>8</v>
      </c>
      <c r="F4494" s="15" t="s">
        <v>8</v>
      </c>
      <c r="G4494" s="15" t="s">
        <v>8</v>
      </c>
      <c r="H4494" s="15" t="s">
        <v>8</v>
      </c>
      <c r="K4494" s="15" t="s">
        <v>8</v>
      </c>
      <c r="O4494" s="15" t="s">
        <v>8</v>
      </c>
      <c r="P4494" s="15" t="s">
        <v>8</v>
      </c>
      <c r="R4494" s="20" t="str">
        <f>HYPERLINK("http://yeinfo.com/family/I09065539.html", "Mrs. JOANNA SCOTT &lt;5&gt; 1505 EN-1556 EN ID:09065540")</f>
        <v>Mrs. JOANNA SCOTT &lt;5&gt; 1505 EN-1556 EN ID:09065540</v>
      </c>
      <c r="S4494" s="17"/>
      <c r="T4494" s="17"/>
      <c r="U4494" s="17"/>
      <c r="V4494" s="17"/>
    </row>
    <row r="4495" spans="3:23" x14ac:dyDescent="0.35">
      <c r="C4495" s="15" t="s">
        <v>8</v>
      </c>
      <c r="D4495" s="15" t="s">
        <v>8</v>
      </c>
      <c r="E4495" s="15" t="s">
        <v>8</v>
      </c>
      <c r="F4495" s="15" t="s">
        <v>8</v>
      </c>
      <c r="G4495" s="15" t="s">
        <v>8</v>
      </c>
      <c r="H4495" s="15" t="s">
        <v>8</v>
      </c>
      <c r="K4495" s="15" t="s">
        <v>8</v>
      </c>
      <c r="O4495" s="8" t="s">
        <v>6</v>
      </c>
      <c r="P4495" s="15" t="s">
        <v>8</v>
      </c>
    </row>
    <row r="4496" spans="3:23" x14ac:dyDescent="0.35">
      <c r="C4496" s="15" t="s">
        <v>8</v>
      </c>
      <c r="D4496" s="15" t="s">
        <v>8</v>
      </c>
      <c r="E4496" s="15" t="s">
        <v>8</v>
      </c>
      <c r="F4496" s="15" t="s">
        <v>8</v>
      </c>
      <c r="G4496" s="15" t="s">
        <v>8</v>
      </c>
      <c r="H4496" s="15" t="s">
        <v>8</v>
      </c>
      <c r="K4496" s="15" t="s">
        <v>8</v>
      </c>
      <c r="O4496" s="16" t="str">
        <f>HYPERLINK("http://yeinfo.com/family/I09021789.html", "ELIZABETH\DEZIAH FROST 1587 -1647  ID:09010895")</f>
        <v>ELIZABETH\DEZIAH FROST 1587 -1647  ID:09010895</v>
      </c>
      <c r="P4496" s="11"/>
      <c r="Q4496" s="11"/>
      <c r="R4496" s="11"/>
      <c r="S4496" s="11"/>
      <c r="T4496" s="11"/>
    </row>
    <row r="4497" spans="3:24" x14ac:dyDescent="0.35">
      <c r="C4497" s="15" t="s">
        <v>8</v>
      </c>
      <c r="D4497" s="15" t="s">
        <v>8</v>
      </c>
      <c r="E4497" s="15" t="s">
        <v>8</v>
      </c>
      <c r="F4497" s="15" t="s">
        <v>8</v>
      </c>
      <c r="G4497" s="15" t="s">
        <v>8</v>
      </c>
      <c r="H4497" s="15" t="s">
        <v>8</v>
      </c>
      <c r="K4497" s="15" t="s">
        <v>8</v>
      </c>
      <c r="P4497" s="15" t="s">
        <v>8</v>
      </c>
    </row>
    <row r="4498" spans="3:24" x14ac:dyDescent="0.35">
      <c r="C4498" s="15" t="s">
        <v>8</v>
      </c>
      <c r="D4498" s="15" t="s">
        <v>8</v>
      </c>
      <c r="E4498" s="15" t="s">
        <v>8</v>
      </c>
      <c r="F4498" s="15" t="s">
        <v>8</v>
      </c>
      <c r="G4498" s="15" t="s">
        <v>8</v>
      </c>
      <c r="H4498" s="15" t="s">
        <v>8</v>
      </c>
      <c r="K4498" s="15" t="s">
        <v>8</v>
      </c>
      <c r="P4498" s="15" t="s">
        <v>8</v>
      </c>
      <c r="Q4498" s="19" t="str">
        <f>HYPERLINK("http://yeinfo.com/family/I09021791.html", "JOHN BELGRAVE &lt;5&gt; 1535 EN-1591 EN ID:09043582")</f>
        <v>JOHN BELGRAVE &lt;5&gt; 1535 EN-1591 EN ID:09043582</v>
      </c>
      <c r="R4498" s="9"/>
      <c r="S4498" s="9"/>
      <c r="T4498" s="9"/>
      <c r="U4498" s="9"/>
    </row>
    <row r="4499" spans="3:24" x14ac:dyDescent="0.35">
      <c r="C4499" s="15" t="s">
        <v>8</v>
      </c>
      <c r="D4499" s="15" t="s">
        <v>8</v>
      </c>
      <c r="E4499" s="15" t="s">
        <v>8</v>
      </c>
      <c r="F4499" s="15" t="s">
        <v>8</v>
      </c>
      <c r="G4499" s="15" t="s">
        <v>8</v>
      </c>
      <c r="H4499" s="15" t="s">
        <v>8</v>
      </c>
      <c r="K4499" s="15" t="s">
        <v>8</v>
      </c>
      <c r="P4499" s="8" t="s">
        <v>6</v>
      </c>
      <c r="Q4499" s="8" t="s">
        <v>3</v>
      </c>
    </row>
    <row r="4500" spans="3:24" x14ac:dyDescent="0.35">
      <c r="C4500" s="15" t="s">
        <v>8</v>
      </c>
      <c r="D4500" s="15" t="s">
        <v>8</v>
      </c>
      <c r="E4500" s="15" t="s">
        <v>8</v>
      </c>
      <c r="F4500" s="15" t="s">
        <v>8</v>
      </c>
      <c r="G4500" s="15" t="s">
        <v>8</v>
      </c>
      <c r="H4500" s="15" t="s">
        <v>8</v>
      </c>
      <c r="K4500" s="15" t="s">
        <v>8</v>
      </c>
      <c r="P4500" s="16" t="str">
        <f>HYPERLINK("http://yeinfo.com/family/I09065540.html", "THOMASINE BELGRAVE &lt;5&gt; 1562 -1653 EN ID:09021791")</f>
        <v>THOMASINE BELGRAVE &lt;5&gt; 1562 -1653 EN ID:09021791</v>
      </c>
      <c r="Q4500" s="11"/>
      <c r="R4500" s="11"/>
      <c r="S4500" s="11"/>
      <c r="T4500" s="11"/>
    </row>
    <row r="4501" spans="3:24" x14ac:dyDescent="0.35">
      <c r="C4501" s="15" t="s">
        <v>8</v>
      </c>
      <c r="D4501" s="15" t="s">
        <v>8</v>
      </c>
      <c r="E4501" s="15" t="s">
        <v>8</v>
      </c>
      <c r="F4501" s="15" t="s">
        <v>8</v>
      </c>
      <c r="G4501" s="15" t="s">
        <v>8</v>
      </c>
      <c r="H4501" s="15" t="s">
        <v>8</v>
      </c>
      <c r="K4501" s="15" t="s">
        <v>8</v>
      </c>
      <c r="Q4501" s="15" t="s">
        <v>8</v>
      </c>
    </row>
    <row r="4502" spans="3:24" x14ac:dyDescent="0.35">
      <c r="C4502" s="15" t="s">
        <v>8</v>
      </c>
      <c r="D4502" s="15" t="s">
        <v>8</v>
      </c>
      <c r="E4502" s="15" t="s">
        <v>8</v>
      </c>
      <c r="F4502" s="15" t="s">
        <v>8</v>
      </c>
      <c r="G4502" s="15" t="s">
        <v>8</v>
      </c>
      <c r="H4502" s="15" t="s">
        <v>8</v>
      </c>
      <c r="K4502" s="15" t="s">
        <v>8</v>
      </c>
      <c r="Q4502" s="15" t="s">
        <v>8</v>
      </c>
      <c r="T4502" s="19" t="str">
        <f>HYPERLINK("http://yeinfo.com/family/I09065679.html", "JOHN STRUTT &lt;5&gt; 1450 EN-1516 EN ID:09065805")</f>
        <v>JOHN STRUTT &lt;5&gt; 1450 EN-1516 EN ID:09065805</v>
      </c>
      <c r="U4502" s="9"/>
      <c r="V4502" s="9"/>
      <c r="W4502" s="9"/>
      <c r="X4502" s="9"/>
    </row>
    <row r="4503" spans="3:24" x14ac:dyDescent="0.35">
      <c r="C4503" s="15" t="s">
        <v>8</v>
      </c>
      <c r="D4503" s="15" t="s">
        <v>8</v>
      </c>
      <c r="E4503" s="15" t="s">
        <v>8</v>
      </c>
      <c r="F4503" s="15" t="s">
        <v>8</v>
      </c>
      <c r="G4503" s="15" t="s">
        <v>8</v>
      </c>
      <c r="H4503" s="15" t="s">
        <v>8</v>
      </c>
      <c r="K4503" s="15" t="s">
        <v>8</v>
      </c>
      <c r="Q4503" s="15" t="s">
        <v>8</v>
      </c>
      <c r="T4503" s="8" t="s">
        <v>3</v>
      </c>
    </row>
    <row r="4504" spans="3:24" x14ac:dyDescent="0.35">
      <c r="C4504" s="15" t="s">
        <v>8</v>
      </c>
      <c r="D4504" s="15" t="s">
        <v>8</v>
      </c>
      <c r="E4504" s="15" t="s">
        <v>8</v>
      </c>
      <c r="F4504" s="15" t="s">
        <v>8</v>
      </c>
      <c r="G4504" s="15" t="s">
        <v>8</v>
      </c>
      <c r="H4504" s="15" t="s">
        <v>8</v>
      </c>
      <c r="K4504" s="15" t="s">
        <v>8</v>
      </c>
      <c r="Q4504" s="15" t="s">
        <v>8</v>
      </c>
      <c r="S4504" s="19" t="str">
        <f>HYPERLINK("http://yeinfo.com/family/I09065541.html", "THOMAS STRUTT &lt;5&gt; 1475 EN-1548 EN ID:09065679")</f>
        <v>THOMAS STRUTT &lt;5&gt; 1475 EN-1548 EN ID:09065679</v>
      </c>
      <c r="T4504" s="9"/>
      <c r="U4504" s="9"/>
      <c r="V4504" s="9"/>
      <c r="W4504" s="9"/>
    </row>
    <row r="4505" spans="3:24" x14ac:dyDescent="0.35">
      <c r="C4505" s="15" t="s">
        <v>8</v>
      </c>
      <c r="D4505" s="15" t="s">
        <v>8</v>
      </c>
      <c r="E4505" s="15" t="s">
        <v>8</v>
      </c>
      <c r="F4505" s="15" t="s">
        <v>8</v>
      </c>
      <c r="G4505" s="15" t="s">
        <v>8</v>
      </c>
      <c r="H4505" s="15" t="s">
        <v>8</v>
      </c>
      <c r="K4505" s="15" t="s">
        <v>8</v>
      </c>
      <c r="Q4505" s="15" t="s">
        <v>8</v>
      </c>
      <c r="S4505" s="8" t="s">
        <v>3</v>
      </c>
      <c r="T4505" s="8" t="s">
        <v>6</v>
      </c>
    </row>
    <row r="4506" spans="3:24" x14ac:dyDescent="0.35">
      <c r="C4506" s="15" t="s">
        <v>8</v>
      </c>
      <c r="D4506" s="15" t="s">
        <v>8</v>
      </c>
      <c r="E4506" s="15" t="s">
        <v>8</v>
      </c>
      <c r="F4506" s="15" t="s">
        <v>8</v>
      </c>
      <c r="G4506" s="15" t="s">
        <v>8</v>
      </c>
      <c r="H4506" s="15" t="s">
        <v>8</v>
      </c>
      <c r="K4506" s="15" t="s">
        <v>8</v>
      </c>
      <c r="Q4506" s="15" t="s">
        <v>8</v>
      </c>
      <c r="S4506" s="15" t="s">
        <v>8</v>
      </c>
      <c r="T4506" s="20" t="str">
        <f>HYPERLINK("http://yeinfo.com/family/I09065805.html", "ISABELLE ELIZABETH GOLDING &lt;5&gt; 1450 EN-1526 EN ID:09065806")</f>
        <v>ISABELLE ELIZABETH GOLDING &lt;5&gt; 1450 EN-1526 EN ID:09065806</v>
      </c>
      <c r="U4506" s="17"/>
      <c r="V4506" s="17"/>
      <c r="W4506" s="17"/>
      <c r="X4506" s="17"/>
    </row>
    <row r="4507" spans="3:24" x14ac:dyDescent="0.35">
      <c r="C4507" s="15" t="s">
        <v>8</v>
      </c>
      <c r="D4507" s="15" t="s">
        <v>8</v>
      </c>
      <c r="E4507" s="15" t="s">
        <v>8</v>
      </c>
      <c r="F4507" s="15" t="s">
        <v>8</v>
      </c>
      <c r="G4507" s="15" t="s">
        <v>8</v>
      </c>
      <c r="H4507" s="15" t="s">
        <v>8</v>
      </c>
      <c r="K4507" s="15" t="s">
        <v>8</v>
      </c>
      <c r="Q4507" s="15" t="s">
        <v>8</v>
      </c>
      <c r="S4507" s="15" t="s">
        <v>8</v>
      </c>
    </row>
    <row r="4508" spans="3:24" x14ac:dyDescent="0.35">
      <c r="C4508" s="15" t="s">
        <v>8</v>
      </c>
      <c r="D4508" s="15" t="s">
        <v>8</v>
      </c>
      <c r="E4508" s="15" t="s">
        <v>8</v>
      </c>
      <c r="F4508" s="15" t="s">
        <v>8</v>
      </c>
      <c r="G4508" s="15" t="s">
        <v>8</v>
      </c>
      <c r="H4508" s="15" t="s">
        <v>8</v>
      </c>
      <c r="K4508" s="15" t="s">
        <v>8</v>
      </c>
      <c r="Q4508" s="15" t="s">
        <v>8</v>
      </c>
      <c r="R4508" s="19" t="str">
        <f>HYPERLINK("http://yeinfo.com/family/I09043583.html", "JOHN STRUTT &lt;5&gt; 1502 EN-1591 EN ID:09065541")</f>
        <v>JOHN STRUTT &lt;5&gt; 1502 EN-1591 EN ID:09065541</v>
      </c>
      <c r="S4508" s="9"/>
      <c r="T4508" s="9"/>
      <c r="U4508" s="9"/>
      <c r="V4508" s="9"/>
    </row>
    <row r="4509" spans="3:24" x14ac:dyDescent="0.35">
      <c r="C4509" s="15" t="s">
        <v>8</v>
      </c>
      <c r="D4509" s="15" t="s">
        <v>8</v>
      </c>
      <c r="E4509" s="15" t="s">
        <v>8</v>
      </c>
      <c r="F4509" s="15" t="s">
        <v>8</v>
      </c>
      <c r="G4509" s="15" t="s">
        <v>8</v>
      </c>
      <c r="H4509" s="15" t="s">
        <v>8</v>
      </c>
      <c r="K4509" s="15" t="s">
        <v>8</v>
      </c>
      <c r="Q4509" s="15" t="s">
        <v>8</v>
      </c>
      <c r="R4509" s="8" t="s">
        <v>3</v>
      </c>
      <c r="S4509" s="8" t="s">
        <v>6</v>
      </c>
    </row>
    <row r="4510" spans="3:24" x14ac:dyDescent="0.35">
      <c r="C4510" s="15" t="s">
        <v>8</v>
      </c>
      <c r="D4510" s="15" t="s">
        <v>8</v>
      </c>
      <c r="E4510" s="15" t="s">
        <v>8</v>
      </c>
      <c r="F4510" s="15" t="s">
        <v>8</v>
      </c>
      <c r="G4510" s="15" t="s">
        <v>8</v>
      </c>
      <c r="H4510" s="15" t="s">
        <v>8</v>
      </c>
      <c r="K4510" s="15" t="s">
        <v>8</v>
      </c>
      <c r="Q4510" s="15" t="s">
        <v>8</v>
      </c>
      <c r="R4510" s="15" t="s">
        <v>8</v>
      </c>
      <c r="S4510" s="20" t="str">
        <f>HYPERLINK("http://yeinfo.com/family/I09065806.html", "Mrs. JOHANE STRUTT &lt;5&gt; 1480 EN-1510 EN ID:09065680")</f>
        <v>Mrs. JOHANE STRUTT &lt;5&gt; 1480 EN-1510 EN ID:09065680</v>
      </c>
      <c r="T4510" s="17"/>
      <c r="U4510" s="17"/>
      <c r="V4510" s="17"/>
      <c r="W4510" s="17"/>
    </row>
    <row r="4511" spans="3:24" x14ac:dyDescent="0.35">
      <c r="C4511" s="15" t="s">
        <v>8</v>
      </c>
      <c r="D4511" s="15" t="s">
        <v>8</v>
      </c>
      <c r="E4511" s="15" t="s">
        <v>8</v>
      </c>
      <c r="F4511" s="15" t="s">
        <v>8</v>
      </c>
      <c r="G4511" s="15" t="s">
        <v>8</v>
      </c>
      <c r="H4511" s="15" t="s">
        <v>8</v>
      </c>
      <c r="K4511" s="15" t="s">
        <v>8</v>
      </c>
      <c r="Q4511" s="8" t="s">
        <v>6</v>
      </c>
      <c r="R4511" s="15" t="s">
        <v>8</v>
      </c>
    </row>
    <row r="4512" spans="3:24" x14ac:dyDescent="0.35">
      <c r="C4512" s="15" t="s">
        <v>8</v>
      </c>
      <c r="D4512" s="15" t="s">
        <v>8</v>
      </c>
      <c r="E4512" s="15" t="s">
        <v>8</v>
      </c>
      <c r="F4512" s="15" t="s">
        <v>8</v>
      </c>
      <c r="G4512" s="15" t="s">
        <v>8</v>
      </c>
      <c r="H4512" s="15" t="s">
        <v>8</v>
      </c>
      <c r="K4512" s="15" t="s">
        <v>8</v>
      </c>
      <c r="Q4512" s="20" t="str">
        <f>HYPERLINK("http://yeinfo.com/family/I09043582.html", "JOANNA STRUTT &lt;5&gt; 1538 EN-1577 EN ID:09043583")</f>
        <v>JOANNA STRUTT &lt;5&gt; 1538 EN-1577 EN ID:09043583</v>
      </c>
      <c r="R4512" s="17"/>
      <c r="S4512" s="17"/>
      <c r="T4512" s="17"/>
      <c r="U4512" s="17"/>
    </row>
    <row r="4513" spans="3:23" x14ac:dyDescent="0.35">
      <c r="C4513" s="15" t="s">
        <v>8</v>
      </c>
      <c r="D4513" s="15" t="s">
        <v>8</v>
      </c>
      <c r="E4513" s="15" t="s">
        <v>8</v>
      </c>
      <c r="F4513" s="15" t="s">
        <v>8</v>
      </c>
      <c r="G4513" s="15" t="s">
        <v>8</v>
      </c>
      <c r="H4513" s="15" t="s">
        <v>8</v>
      </c>
      <c r="K4513" s="15" t="s">
        <v>8</v>
      </c>
      <c r="R4513" s="8" t="s">
        <v>6</v>
      </c>
    </row>
    <row r="4514" spans="3:23" x14ac:dyDescent="0.35">
      <c r="C4514" s="15" t="s">
        <v>8</v>
      </c>
      <c r="D4514" s="15" t="s">
        <v>8</v>
      </c>
      <c r="E4514" s="15" t="s">
        <v>8</v>
      </c>
      <c r="F4514" s="15" t="s">
        <v>8</v>
      </c>
      <c r="G4514" s="15" t="s">
        <v>8</v>
      </c>
      <c r="H4514" s="15" t="s">
        <v>8</v>
      </c>
      <c r="K4514" s="15" t="s">
        <v>8</v>
      </c>
      <c r="R4514" s="20" t="str">
        <f>HYPERLINK("http://yeinfo.com/family/I09065680.html", "CATHERINE\JOHANNA SCOTT &lt;5&gt; 1510 EN-1578 EN ID:09065542")</f>
        <v>CATHERINE\JOHANNA SCOTT &lt;5&gt; 1510 EN-1578 EN ID:09065542</v>
      </c>
      <c r="S4514" s="17"/>
      <c r="T4514" s="17"/>
      <c r="U4514" s="17"/>
      <c r="V4514" s="17"/>
      <c r="W4514" s="17"/>
    </row>
    <row r="4515" spans="3:23" x14ac:dyDescent="0.35">
      <c r="C4515" s="15" t="s">
        <v>8</v>
      </c>
      <c r="D4515" s="15" t="s">
        <v>8</v>
      </c>
      <c r="E4515" s="15" t="s">
        <v>8</v>
      </c>
      <c r="F4515" s="15" t="s">
        <v>8</v>
      </c>
      <c r="G4515" s="15" t="s">
        <v>8</v>
      </c>
      <c r="H4515" s="15" t="s">
        <v>8</v>
      </c>
      <c r="K4515" s="15" t="s">
        <v>8</v>
      </c>
    </row>
    <row r="4516" spans="3:23" x14ac:dyDescent="0.35">
      <c r="C4516" s="15" t="s">
        <v>8</v>
      </c>
      <c r="D4516" s="15" t="s">
        <v>8</v>
      </c>
      <c r="E4516" s="15" t="s">
        <v>8</v>
      </c>
      <c r="F4516" s="15" t="s">
        <v>8</v>
      </c>
      <c r="G4516" s="15" t="s">
        <v>8</v>
      </c>
      <c r="H4516" s="15" t="s">
        <v>8</v>
      </c>
      <c r="J4516" s="5" t="str">
        <f>HYPERLINK("http://yeinfo.com/family/I09000170.html", "SAMUEL BLOSS Jr. 1731 CT-1785 CT ID:09000340")</f>
        <v>SAMUEL BLOSS Jr. 1731 CT-1785 CT ID:09000340</v>
      </c>
      <c r="K4516" s="3"/>
      <c r="L4516" s="3"/>
      <c r="M4516" s="3"/>
      <c r="N4516" s="3"/>
    </row>
    <row r="4517" spans="3:23" x14ac:dyDescent="0.35">
      <c r="C4517" s="15" t="s">
        <v>8</v>
      </c>
      <c r="D4517" s="15" t="s">
        <v>8</v>
      </c>
      <c r="E4517" s="15" t="s">
        <v>8</v>
      </c>
      <c r="F4517" s="15" t="s">
        <v>8</v>
      </c>
      <c r="G4517" s="15" t="s">
        <v>8</v>
      </c>
      <c r="H4517" s="15" t="s">
        <v>8</v>
      </c>
      <c r="J4517" s="8" t="s">
        <v>3</v>
      </c>
      <c r="K4517" s="15" t="s">
        <v>8</v>
      </c>
    </row>
    <row r="4518" spans="3:23" x14ac:dyDescent="0.35">
      <c r="C4518" s="15" t="s">
        <v>8</v>
      </c>
      <c r="D4518" s="15" t="s">
        <v>8</v>
      </c>
      <c r="E4518" s="15" t="s">
        <v>8</v>
      </c>
      <c r="F4518" s="15" t="s">
        <v>8</v>
      </c>
      <c r="G4518" s="15" t="s">
        <v>8</v>
      </c>
      <c r="H4518" s="15" t="s">
        <v>8</v>
      </c>
      <c r="J4518" s="15" t="s">
        <v>8</v>
      </c>
      <c r="K4518" s="15" t="s">
        <v>8</v>
      </c>
      <c r="N4518" s="21" t="str">
        <f>HYPERLINK("http://yeinfo.com/family/I09002724.html", "RICHARD BARKER 1621 EN-1693 MA ID:09005448")</f>
        <v>RICHARD BARKER 1621 EN-1693 MA ID:09005448</v>
      </c>
      <c r="O4518" s="6"/>
      <c r="P4518" s="6"/>
      <c r="Q4518" s="6"/>
      <c r="R4518" s="6"/>
    </row>
    <row r="4519" spans="3:23" x14ac:dyDescent="0.35">
      <c r="C4519" s="15" t="s">
        <v>8</v>
      </c>
      <c r="D4519" s="15" t="s">
        <v>8</v>
      </c>
      <c r="E4519" s="15" t="s">
        <v>8</v>
      </c>
      <c r="F4519" s="15" t="s">
        <v>8</v>
      </c>
      <c r="G4519" s="15" t="s">
        <v>8</v>
      </c>
      <c r="H4519" s="15" t="s">
        <v>8</v>
      </c>
      <c r="J4519" s="15" t="s">
        <v>8</v>
      </c>
      <c r="K4519" s="15" t="s">
        <v>8</v>
      </c>
      <c r="N4519" s="8" t="s">
        <v>3</v>
      </c>
    </row>
    <row r="4520" spans="3:23" x14ac:dyDescent="0.35">
      <c r="C4520" s="15" t="s">
        <v>8</v>
      </c>
      <c r="D4520" s="15" t="s">
        <v>8</v>
      </c>
      <c r="E4520" s="15" t="s">
        <v>8</v>
      </c>
      <c r="F4520" s="15" t="s">
        <v>8</v>
      </c>
      <c r="G4520" s="15" t="s">
        <v>8</v>
      </c>
      <c r="H4520" s="15" t="s">
        <v>8</v>
      </c>
      <c r="J4520" s="15" t="s">
        <v>8</v>
      </c>
      <c r="K4520" s="15" t="s">
        <v>8</v>
      </c>
      <c r="M4520" s="5" t="str">
        <f>HYPERLINK("http://yeinfo.com/family/I09001362.html", "EBENEZER BARKER 1651 MA-1746 MA ID:09002724")</f>
        <v>EBENEZER BARKER 1651 MA-1746 MA ID:09002724</v>
      </c>
      <c r="N4520" s="3"/>
      <c r="O4520" s="3"/>
      <c r="P4520" s="3"/>
      <c r="Q4520" s="3"/>
    </row>
    <row r="4521" spans="3:23" x14ac:dyDescent="0.35">
      <c r="C4521" s="15" t="s">
        <v>8</v>
      </c>
      <c r="D4521" s="15" t="s">
        <v>8</v>
      </c>
      <c r="E4521" s="15" t="s">
        <v>8</v>
      </c>
      <c r="F4521" s="15" t="s">
        <v>8</v>
      </c>
      <c r="G4521" s="15" t="s">
        <v>8</v>
      </c>
      <c r="H4521" s="15" t="s">
        <v>8</v>
      </c>
      <c r="J4521" s="15" t="s">
        <v>8</v>
      </c>
      <c r="K4521" s="15" t="s">
        <v>8</v>
      </c>
      <c r="M4521" s="8" t="s">
        <v>3</v>
      </c>
      <c r="N4521" s="8" t="s">
        <v>6</v>
      </c>
    </row>
    <row r="4522" spans="3:23" x14ac:dyDescent="0.35">
      <c r="C4522" s="15" t="s">
        <v>8</v>
      </c>
      <c r="D4522" s="15" t="s">
        <v>8</v>
      </c>
      <c r="E4522" s="15" t="s">
        <v>8</v>
      </c>
      <c r="F4522" s="15" t="s">
        <v>8</v>
      </c>
      <c r="G4522" s="15" t="s">
        <v>8</v>
      </c>
      <c r="H4522" s="15" t="s">
        <v>8</v>
      </c>
      <c r="J4522" s="15" t="s">
        <v>8</v>
      </c>
      <c r="K4522" s="15" t="s">
        <v>8</v>
      </c>
      <c r="M4522" s="15" t="s">
        <v>8</v>
      </c>
      <c r="N4522" s="22" t="str">
        <f>HYPERLINK("http://yeinfo.com/family/I09005448.html", "Mrs. JOANNA BARKER 1623 EN-1687 MA ID:09005449")</f>
        <v>Mrs. JOANNA BARKER 1623 EN-1687 MA ID:09005449</v>
      </c>
      <c r="O4522" s="13"/>
      <c r="P4522" s="13"/>
      <c r="Q4522" s="13"/>
      <c r="R4522" s="13"/>
    </row>
    <row r="4523" spans="3:23" x14ac:dyDescent="0.35">
      <c r="C4523" s="15" t="s">
        <v>8</v>
      </c>
      <c r="D4523" s="15" t="s">
        <v>8</v>
      </c>
      <c r="E4523" s="15" t="s">
        <v>8</v>
      </c>
      <c r="F4523" s="15" t="s">
        <v>8</v>
      </c>
      <c r="G4523" s="15" t="s">
        <v>8</v>
      </c>
      <c r="H4523" s="15" t="s">
        <v>8</v>
      </c>
      <c r="J4523" s="15" t="s">
        <v>8</v>
      </c>
      <c r="K4523" s="15" t="s">
        <v>8</v>
      </c>
      <c r="M4523" s="15" t="s">
        <v>8</v>
      </c>
    </row>
    <row r="4524" spans="3:23" x14ac:dyDescent="0.35">
      <c r="C4524" s="15" t="s">
        <v>8</v>
      </c>
      <c r="D4524" s="15" t="s">
        <v>8</v>
      </c>
      <c r="E4524" s="15" t="s">
        <v>8</v>
      </c>
      <c r="F4524" s="15" t="s">
        <v>8</v>
      </c>
      <c r="G4524" s="15" t="s">
        <v>8</v>
      </c>
      <c r="H4524" s="15" t="s">
        <v>8</v>
      </c>
      <c r="J4524" s="15" t="s">
        <v>8</v>
      </c>
      <c r="K4524" s="15" t="s">
        <v>8</v>
      </c>
      <c r="L4524" s="5" t="str">
        <f>HYPERLINK("http://yeinfo.com/family/I09000681.html", "NATHAN BARKER 1688 MA-1714 MA ID:09001362")</f>
        <v>NATHAN BARKER 1688 MA-1714 MA ID:09001362</v>
      </c>
      <c r="M4524" s="3"/>
      <c r="N4524" s="3"/>
      <c r="O4524" s="3"/>
      <c r="P4524" s="3"/>
    </row>
    <row r="4525" spans="3:23" x14ac:dyDescent="0.35">
      <c r="C4525" s="15" t="s">
        <v>8</v>
      </c>
      <c r="D4525" s="15" t="s">
        <v>8</v>
      </c>
      <c r="E4525" s="15" t="s">
        <v>8</v>
      </c>
      <c r="F4525" s="15" t="s">
        <v>8</v>
      </c>
      <c r="G4525" s="15" t="s">
        <v>8</v>
      </c>
      <c r="H4525" s="15" t="s">
        <v>8</v>
      </c>
      <c r="J4525" s="15" t="s">
        <v>8</v>
      </c>
      <c r="K4525" s="15" t="s">
        <v>8</v>
      </c>
      <c r="L4525" s="8" t="s">
        <v>3</v>
      </c>
      <c r="M4525" s="15" t="s">
        <v>8</v>
      </c>
    </row>
    <row r="4526" spans="3:23" x14ac:dyDescent="0.35">
      <c r="C4526" s="15" t="s">
        <v>8</v>
      </c>
      <c r="D4526" s="15" t="s">
        <v>8</v>
      </c>
      <c r="E4526" s="15" t="s">
        <v>8</v>
      </c>
      <c r="F4526" s="15" t="s">
        <v>8</v>
      </c>
      <c r="G4526" s="15" t="s">
        <v>8</v>
      </c>
      <c r="H4526" s="15" t="s">
        <v>8</v>
      </c>
      <c r="J4526" s="15" t="s">
        <v>8</v>
      </c>
      <c r="K4526" s="15" t="s">
        <v>8</v>
      </c>
      <c r="L4526" s="15" t="s">
        <v>8</v>
      </c>
      <c r="M4526" s="15" t="s">
        <v>8</v>
      </c>
      <c r="N4526" s="21" t="str">
        <f>HYPERLINK("http://yeinfo.com/family/I09002725.html", "HENRY WHEELER Sr. 1634 EN-1686 MA ID:09005450")</f>
        <v>HENRY WHEELER Sr. 1634 EN-1686 MA ID:09005450</v>
      </c>
      <c r="O4526" s="6"/>
      <c r="P4526" s="6"/>
      <c r="Q4526" s="6"/>
      <c r="R4526" s="6"/>
    </row>
    <row r="4527" spans="3:23" x14ac:dyDescent="0.35">
      <c r="C4527" s="15" t="s">
        <v>8</v>
      </c>
      <c r="D4527" s="15" t="s">
        <v>8</v>
      </c>
      <c r="E4527" s="15" t="s">
        <v>8</v>
      </c>
      <c r="F4527" s="15" t="s">
        <v>8</v>
      </c>
      <c r="G4527" s="15" t="s">
        <v>8</v>
      </c>
      <c r="H4527" s="15" t="s">
        <v>8</v>
      </c>
      <c r="J4527" s="15" t="s">
        <v>8</v>
      </c>
      <c r="K4527" s="15" t="s">
        <v>8</v>
      </c>
      <c r="L4527" s="15" t="s">
        <v>8</v>
      </c>
      <c r="M4527" s="8" t="s">
        <v>6</v>
      </c>
      <c r="N4527" s="8" t="s">
        <v>3</v>
      </c>
    </row>
    <row r="4528" spans="3:23" x14ac:dyDescent="0.35">
      <c r="C4528" s="15" t="s">
        <v>8</v>
      </c>
      <c r="D4528" s="15" t="s">
        <v>8</v>
      </c>
      <c r="E4528" s="15" t="s">
        <v>8</v>
      </c>
      <c r="F4528" s="15" t="s">
        <v>8</v>
      </c>
      <c r="G4528" s="15" t="s">
        <v>8</v>
      </c>
      <c r="H4528" s="15" t="s">
        <v>8</v>
      </c>
      <c r="J4528" s="15" t="s">
        <v>8</v>
      </c>
      <c r="K4528" s="15" t="s">
        <v>8</v>
      </c>
      <c r="L4528" s="15" t="s">
        <v>8</v>
      </c>
      <c r="M4528" s="16" t="str">
        <f>HYPERLINK("http://yeinfo.com/family/I09005449.html", "ABIGAIL WHEELER 1660 MA-1743 MA ID:09002725")</f>
        <v>ABIGAIL WHEELER 1660 MA-1743 MA ID:09002725</v>
      </c>
      <c r="N4528" s="11"/>
      <c r="O4528" s="11"/>
      <c r="P4528" s="11"/>
      <c r="Q4528" s="11"/>
    </row>
    <row r="4529" spans="3:19" x14ac:dyDescent="0.35">
      <c r="C4529" s="15" t="s">
        <v>8</v>
      </c>
      <c r="D4529" s="15" t="s">
        <v>8</v>
      </c>
      <c r="E4529" s="15" t="s">
        <v>8</v>
      </c>
      <c r="F4529" s="15" t="s">
        <v>8</v>
      </c>
      <c r="G4529" s="15" t="s">
        <v>8</v>
      </c>
      <c r="H4529" s="15" t="s">
        <v>8</v>
      </c>
      <c r="J4529" s="15" t="s">
        <v>8</v>
      </c>
      <c r="K4529" s="15" t="s">
        <v>8</v>
      </c>
      <c r="L4529" s="15" t="s">
        <v>8</v>
      </c>
      <c r="N4529" s="15" t="s">
        <v>8</v>
      </c>
    </row>
    <row r="4530" spans="3:19" x14ac:dyDescent="0.35">
      <c r="C4530" s="15" t="s">
        <v>8</v>
      </c>
      <c r="D4530" s="15" t="s">
        <v>8</v>
      </c>
      <c r="E4530" s="15" t="s">
        <v>8</v>
      </c>
      <c r="F4530" s="15" t="s">
        <v>8</v>
      </c>
      <c r="G4530" s="15" t="s">
        <v>8</v>
      </c>
      <c r="H4530" s="15" t="s">
        <v>8</v>
      </c>
      <c r="J4530" s="15" t="s">
        <v>8</v>
      </c>
      <c r="K4530" s="15" t="s">
        <v>8</v>
      </c>
      <c r="L4530" s="15" t="s">
        <v>8</v>
      </c>
      <c r="N4530" s="15" t="s">
        <v>8</v>
      </c>
      <c r="O4530" s="21" t="str">
        <f>HYPERLINK("http://yeinfo.com/family/I09005451.html", "WILLIAM ALLEN 1618 EN-1686 MA ID:09010902")</f>
        <v>WILLIAM ALLEN 1618 EN-1686 MA ID:09010902</v>
      </c>
      <c r="P4530" s="6"/>
      <c r="Q4530" s="6"/>
      <c r="R4530" s="6"/>
      <c r="S4530" s="6"/>
    </row>
    <row r="4531" spans="3:19" x14ac:dyDescent="0.35">
      <c r="C4531" s="15" t="s">
        <v>8</v>
      </c>
      <c r="D4531" s="15" t="s">
        <v>8</v>
      </c>
      <c r="E4531" s="15" t="s">
        <v>8</v>
      </c>
      <c r="F4531" s="15" t="s">
        <v>8</v>
      </c>
      <c r="G4531" s="15" t="s">
        <v>8</v>
      </c>
      <c r="H4531" s="15" t="s">
        <v>8</v>
      </c>
      <c r="J4531" s="15" t="s">
        <v>8</v>
      </c>
      <c r="K4531" s="15" t="s">
        <v>8</v>
      </c>
      <c r="L4531" s="15" t="s">
        <v>8</v>
      </c>
      <c r="N4531" s="8" t="s">
        <v>6</v>
      </c>
      <c r="O4531" s="8" t="s">
        <v>3</v>
      </c>
    </row>
    <row r="4532" spans="3:19" x14ac:dyDescent="0.35">
      <c r="C4532" s="15" t="s">
        <v>8</v>
      </c>
      <c r="D4532" s="15" t="s">
        <v>8</v>
      </c>
      <c r="E4532" s="15" t="s">
        <v>8</v>
      </c>
      <c r="F4532" s="15" t="s">
        <v>8</v>
      </c>
      <c r="G4532" s="15" t="s">
        <v>8</v>
      </c>
      <c r="H4532" s="15" t="s">
        <v>8</v>
      </c>
      <c r="J4532" s="15" t="s">
        <v>8</v>
      </c>
      <c r="K4532" s="15" t="s">
        <v>8</v>
      </c>
      <c r="L4532" s="15" t="s">
        <v>8</v>
      </c>
      <c r="N4532" s="16" t="str">
        <f>HYPERLINK("http://yeinfo.com/family/I09005450.html", "ABIGAIL ALLEN 1640 MA-1660 MA ID:09005451")</f>
        <v>ABIGAIL ALLEN 1640 MA-1660 MA ID:09005451</v>
      </c>
      <c r="O4532" s="11"/>
      <c r="P4532" s="11"/>
      <c r="Q4532" s="11"/>
      <c r="R4532" s="11"/>
    </row>
    <row r="4533" spans="3:19" x14ac:dyDescent="0.35">
      <c r="C4533" s="15" t="s">
        <v>8</v>
      </c>
      <c r="D4533" s="15" t="s">
        <v>8</v>
      </c>
      <c r="E4533" s="15" t="s">
        <v>8</v>
      </c>
      <c r="F4533" s="15" t="s">
        <v>8</v>
      </c>
      <c r="G4533" s="15" t="s">
        <v>8</v>
      </c>
      <c r="H4533" s="15" t="s">
        <v>8</v>
      </c>
      <c r="J4533" s="15" t="s">
        <v>8</v>
      </c>
      <c r="K4533" s="15" t="s">
        <v>8</v>
      </c>
      <c r="L4533" s="15" t="s">
        <v>8</v>
      </c>
      <c r="O4533" s="8" t="s">
        <v>6</v>
      </c>
    </row>
    <row r="4534" spans="3:19" x14ac:dyDescent="0.35">
      <c r="C4534" s="15" t="s">
        <v>8</v>
      </c>
      <c r="D4534" s="15" t="s">
        <v>8</v>
      </c>
      <c r="E4534" s="15" t="s">
        <v>8</v>
      </c>
      <c r="F4534" s="15" t="s">
        <v>8</v>
      </c>
      <c r="G4534" s="15" t="s">
        <v>8</v>
      </c>
      <c r="H4534" s="15" t="s">
        <v>8</v>
      </c>
      <c r="J4534" s="15" t="s">
        <v>8</v>
      </c>
      <c r="K4534" s="15" t="s">
        <v>8</v>
      </c>
      <c r="L4534" s="15" t="s">
        <v>8</v>
      </c>
      <c r="O4534" s="22" t="str">
        <f>HYPERLINK("http://yeinfo.com/family/I09010902.html", "ANN GOODALE 1622 EN-1678 MA ID:09010903")</f>
        <v>ANN GOODALE 1622 EN-1678 MA ID:09010903</v>
      </c>
      <c r="P4534" s="13"/>
      <c r="Q4534" s="13"/>
      <c r="R4534" s="13"/>
      <c r="S4534" s="13"/>
    </row>
    <row r="4535" spans="3:19" x14ac:dyDescent="0.35">
      <c r="C4535" s="15" t="s">
        <v>8</v>
      </c>
      <c r="D4535" s="15" t="s">
        <v>8</v>
      </c>
      <c r="E4535" s="15" t="s">
        <v>8</v>
      </c>
      <c r="F4535" s="15" t="s">
        <v>8</v>
      </c>
      <c r="G4535" s="15" t="s">
        <v>8</v>
      </c>
      <c r="H4535" s="15" t="s">
        <v>8</v>
      </c>
      <c r="J4535" s="15" t="s">
        <v>8</v>
      </c>
      <c r="K4535" s="8" t="s">
        <v>6</v>
      </c>
      <c r="L4535" s="15" t="s">
        <v>8</v>
      </c>
    </row>
    <row r="4536" spans="3:19" x14ac:dyDescent="0.35">
      <c r="C4536" s="15" t="s">
        <v>8</v>
      </c>
      <c r="D4536" s="15" t="s">
        <v>8</v>
      </c>
      <c r="E4536" s="15" t="s">
        <v>8</v>
      </c>
      <c r="F4536" s="15" t="s">
        <v>8</v>
      </c>
      <c r="G4536" s="15" t="s">
        <v>8</v>
      </c>
      <c r="H4536" s="15" t="s">
        <v>8</v>
      </c>
      <c r="J4536" s="15" t="s">
        <v>8</v>
      </c>
      <c r="K4536" s="16" t="str">
        <f>HYPERLINK("http://yeinfo.com/family/I09065542.html", "MARTHA BARKER 1714 MA-1761 CT ID:09000681")</f>
        <v>MARTHA BARKER 1714 MA-1761 CT ID:09000681</v>
      </c>
      <c r="L4536" s="11"/>
      <c r="M4536" s="11"/>
      <c r="N4536" s="11"/>
      <c r="O4536" s="11"/>
    </row>
    <row r="4537" spans="3:19" x14ac:dyDescent="0.35">
      <c r="C4537" s="15" t="s">
        <v>8</v>
      </c>
      <c r="D4537" s="15" t="s">
        <v>8</v>
      </c>
      <c r="E4537" s="15" t="s">
        <v>8</v>
      </c>
      <c r="F4537" s="15" t="s">
        <v>8</v>
      </c>
      <c r="G4537" s="15" t="s">
        <v>8</v>
      </c>
      <c r="H4537" s="15" t="s">
        <v>8</v>
      </c>
      <c r="J4537" s="15" t="s">
        <v>8</v>
      </c>
      <c r="L4537" s="15" t="s">
        <v>8</v>
      </c>
    </row>
    <row r="4538" spans="3:19" x14ac:dyDescent="0.35">
      <c r="C4538" s="15" t="s">
        <v>8</v>
      </c>
      <c r="D4538" s="15" t="s">
        <v>8</v>
      </c>
      <c r="E4538" s="15" t="s">
        <v>8</v>
      </c>
      <c r="F4538" s="15" t="s">
        <v>8</v>
      </c>
      <c r="G4538" s="15" t="s">
        <v>8</v>
      </c>
      <c r="H4538" s="15" t="s">
        <v>8</v>
      </c>
      <c r="J4538" s="15" t="s">
        <v>8</v>
      </c>
      <c r="L4538" s="15" t="s">
        <v>8</v>
      </c>
      <c r="N4538" s="19" t="str">
        <f>HYPERLINK("http://yeinfo.com/family/I09002726.html", "HENRY BODWELL Sr. 1615 WL-1651 EN ID:09005452")</f>
        <v>HENRY BODWELL Sr. 1615 WL-1651 EN ID:09005452</v>
      </c>
      <c r="O4538" s="9"/>
      <c r="P4538" s="9"/>
      <c r="Q4538" s="9"/>
      <c r="R4538" s="9"/>
    </row>
    <row r="4539" spans="3:19" x14ac:dyDescent="0.35">
      <c r="C4539" s="15" t="s">
        <v>8</v>
      </c>
      <c r="D4539" s="15" t="s">
        <v>8</v>
      </c>
      <c r="E4539" s="15" t="s">
        <v>8</v>
      </c>
      <c r="F4539" s="15" t="s">
        <v>8</v>
      </c>
      <c r="G4539" s="15" t="s">
        <v>8</v>
      </c>
      <c r="H4539" s="15" t="s">
        <v>8</v>
      </c>
      <c r="J4539" s="15" t="s">
        <v>8</v>
      </c>
      <c r="L4539" s="15" t="s">
        <v>8</v>
      </c>
      <c r="N4539" s="8" t="s">
        <v>3</v>
      </c>
    </row>
    <row r="4540" spans="3:19" x14ac:dyDescent="0.35">
      <c r="C4540" s="15" t="s">
        <v>8</v>
      </c>
      <c r="D4540" s="15" t="s">
        <v>8</v>
      </c>
      <c r="E4540" s="15" t="s">
        <v>8</v>
      </c>
      <c r="F4540" s="15" t="s">
        <v>8</v>
      </c>
      <c r="G4540" s="15" t="s">
        <v>8</v>
      </c>
      <c r="H4540" s="15" t="s">
        <v>8</v>
      </c>
      <c r="J4540" s="15" t="s">
        <v>8</v>
      </c>
      <c r="L4540" s="15" t="s">
        <v>8</v>
      </c>
      <c r="M4540" s="21" t="str">
        <f>HYPERLINK("http://yeinfo.com/family/I09001363.html", "HENRY BODWELL II 1651 EN-1745 MA ID:09002726")</f>
        <v>HENRY BODWELL II 1651 EN-1745 MA ID:09002726</v>
      </c>
      <c r="N4540" s="6"/>
      <c r="O4540" s="6"/>
      <c r="P4540" s="6"/>
      <c r="Q4540" s="6"/>
    </row>
    <row r="4541" spans="3:19" x14ac:dyDescent="0.35">
      <c r="C4541" s="15" t="s">
        <v>8</v>
      </c>
      <c r="D4541" s="15" t="s">
        <v>8</v>
      </c>
      <c r="E4541" s="15" t="s">
        <v>8</v>
      </c>
      <c r="F4541" s="15" t="s">
        <v>8</v>
      </c>
      <c r="G4541" s="15" t="s">
        <v>8</v>
      </c>
      <c r="H4541" s="15" t="s">
        <v>8</v>
      </c>
      <c r="J4541" s="15" t="s">
        <v>8</v>
      </c>
      <c r="L4541" s="15" t="s">
        <v>8</v>
      </c>
      <c r="M4541" s="8" t="s">
        <v>3</v>
      </c>
      <c r="N4541" s="8" t="s">
        <v>6</v>
      </c>
    </row>
    <row r="4542" spans="3:19" x14ac:dyDescent="0.35">
      <c r="C4542" s="15" t="s">
        <v>8</v>
      </c>
      <c r="D4542" s="15" t="s">
        <v>8</v>
      </c>
      <c r="E4542" s="15" t="s">
        <v>8</v>
      </c>
      <c r="F4542" s="15" t="s">
        <v>8</v>
      </c>
      <c r="G4542" s="15" t="s">
        <v>8</v>
      </c>
      <c r="H4542" s="15" t="s">
        <v>8</v>
      </c>
      <c r="J4542" s="15" t="s">
        <v>8</v>
      </c>
      <c r="L4542" s="15" t="s">
        <v>8</v>
      </c>
      <c r="M4542" s="15" t="s">
        <v>8</v>
      </c>
      <c r="N4542" s="20" t="str">
        <f>HYPERLINK("http://yeinfo.com/family/I09005452.html", "Mrs. MARY BODWELL 1620 EN-1651 EN ID:09005453")</f>
        <v>Mrs. MARY BODWELL 1620 EN-1651 EN ID:09005453</v>
      </c>
      <c r="O4542" s="17"/>
      <c r="P4542" s="17"/>
      <c r="Q4542" s="17"/>
      <c r="R4542" s="17"/>
    </row>
    <row r="4543" spans="3:19" x14ac:dyDescent="0.35">
      <c r="C4543" s="15" t="s">
        <v>8</v>
      </c>
      <c r="D4543" s="15" t="s">
        <v>8</v>
      </c>
      <c r="E4543" s="15" t="s">
        <v>8</v>
      </c>
      <c r="F4543" s="15" t="s">
        <v>8</v>
      </c>
      <c r="G4543" s="15" t="s">
        <v>8</v>
      </c>
      <c r="H4543" s="15" t="s">
        <v>8</v>
      </c>
      <c r="J4543" s="15" t="s">
        <v>8</v>
      </c>
      <c r="L4543" s="8" t="s">
        <v>6</v>
      </c>
      <c r="M4543" s="15" t="s">
        <v>8</v>
      </c>
    </row>
    <row r="4544" spans="3:19" x14ac:dyDescent="0.35">
      <c r="C4544" s="15" t="s">
        <v>8</v>
      </c>
      <c r="D4544" s="15" t="s">
        <v>8</v>
      </c>
      <c r="E4544" s="15" t="s">
        <v>8</v>
      </c>
      <c r="F4544" s="15" t="s">
        <v>8</v>
      </c>
      <c r="G4544" s="15" t="s">
        <v>8</v>
      </c>
      <c r="H4544" s="15" t="s">
        <v>8</v>
      </c>
      <c r="J4544" s="15" t="s">
        <v>8</v>
      </c>
      <c r="L4544" s="16" t="str">
        <f>HYPERLINK("http://yeinfo.com/family/I09010903.html", "BETHIA BODWEL 1682 MA-1760 MA ID:09001363")</f>
        <v>BETHIA BODWEL 1682 MA-1760 MA ID:09001363</v>
      </c>
      <c r="M4544" s="11"/>
      <c r="N4544" s="11"/>
      <c r="O4544" s="11"/>
      <c r="P4544" s="11"/>
    </row>
    <row r="4545" spans="3:18" x14ac:dyDescent="0.35">
      <c r="C4545" s="15" t="s">
        <v>8</v>
      </c>
      <c r="D4545" s="15" t="s">
        <v>8</v>
      </c>
      <c r="E4545" s="15" t="s">
        <v>8</v>
      </c>
      <c r="F4545" s="15" t="s">
        <v>8</v>
      </c>
      <c r="G4545" s="15" t="s">
        <v>8</v>
      </c>
      <c r="H4545" s="15" t="s">
        <v>8</v>
      </c>
      <c r="J4545" s="15" t="s">
        <v>8</v>
      </c>
      <c r="M4545" s="15" t="s">
        <v>8</v>
      </c>
    </row>
    <row r="4546" spans="3:18" x14ac:dyDescent="0.35">
      <c r="C4546" s="15" t="s">
        <v>8</v>
      </c>
      <c r="D4546" s="15" t="s">
        <v>8</v>
      </c>
      <c r="E4546" s="15" t="s">
        <v>8</v>
      </c>
      <c r="F4546" s="15" t="s">
        <v>8</v>
      </c>
      <c r="G4546" s="15" t="s">
        <v>8</v>
      </c>
      <c r="H4546" s="15" t="s">
        <v>8</v>
      </c>
      <c r="J4546" s="15" t="s">
        <v>8</v>
      </c>
      <c r="M4546" s="15" t="s">
        <v>8</v>
      </c>
      <c r="N4546" s="21" t="str">
        <f>HYPERLINK("http://yeinfo.com/family/I09002727.html", "JOHN EMERY 1629 EN-1693 MA ID:09005454")</f>
        <v>JOHN EMERY 1629 EN-1693 MA ID:09005454</v>
      </c>
      <c r="O4546" s="6"/>
      <c r="P4546" s="6"/>
      <c r="Q4546" s="6"/>
      <c r="R4546" s="6"/>
    </row>
    <row r="4547" spans="3:18" x14ac:dyDescent="0.35">
      <c r="C4547" s="15" t="s">
        <v>8</v>
      </c>
      <c r="D4547" s="15" t="s">
        <v>8</v>
      </c>
      <c r="E4547" s="15" t="s">
        <v>8</v>
      </c>
      <c r="F4547" s="15" t="s">
        <v>8</v>
      </c>
      <c r="G4547" s="15" t="s">
        <v>8</v>
      </c>
      <c r="H4547" s="15" t="s">
        <v>8</v>
      </c>
      <c r="J4547" s="15" t="s">
        <v>8</v>
      </c>
      <c r="M4547" s="8" t="s">
        <v>6</v>
      </c>
      <c r="N4547" s="8" t="s">
        <v>3</v>
      </c>
    </row>
    <row r="4548" spans="3:18" x14ac:dyDescent="0.35">
      <c r="C4548" s="15" t="s">
        <v>8</v>
      </c>
      <c r="D4548" s="15" t="s">
        <v>8</v>
      </c>
      <c r="E4548" s="15" t="s">
        <v>8</v>
      </c>
      <c r="F4548" s="15" t="s">
        <v>8</v>
      </c>
      <c r="G4548" s="15" t="s">
        <v>8</v>
      </c>
      <c r="H4548" s="15" t="s">
        <v>8</v>
      </c>
      <c r="J4548" s="15" t="s">
        <v>8</v>
      </c>
      <c r="M4548" s="16" t="str">
        <f>HYPERLINK("http://yeinfo.com/family/I09005453.html", "BETHIA EMERY 1658 MA-1743 MA ID:09002727")</f>
        <v>BETHIA EMERY 1658 MA-1743 MA ID:09002727</v>
      </c>
      <c r="N4548" s="11"/>
      <c r="O4548" s="11"/>
      <c r="P4548" s="11"/>
      <c r="Q4548" s="11"/>
    </row>
    <row r="4549" spans="3:18" x14ac:dyDescent="0.35">
      <c r="C4549" s="15" t="s">
        <v>8</v>
      </c>
      <c r="D4549" s="15" t="s">
        <v>8</v>
      </c>
      <c r="E4549" s="15" t="s">
        <v>8</v>
      </c>
      <c r="F4549" s="15" t="s">
        <v>8</v>
      </c>
      <c r="G4549" s="15" t="s">
        <v>8</v>
      </c>
      <c r="H4549" s="15" t="s">
        <v>8</v>
      </c>
      <c r="J4549" s="15" t="s">
        <v>8</v>
      </c>
      <c r="N4549" s="8" t="s">
        <v>6</v>
      </c>
    </row>
    <row r="4550" spans="3:18" x14ac:dyDescent="0.35">
      <c r="C4550" s="15" t="s">
        <v>8</v>
      </c>
      <c r="D4550" s="15" t="s">
        <v>8</v>
      </c>
      <c r="E4550" s="15" t="s">
        <v>8</v>
      </c>
      <c r="F4550" s="15" t="s">
        <v>8</v>
      </c>
      <c r="G4550" s="15" t="s">
        <v>8</v>
      </c>
      <c r="H4550" s="15" t="s">
        <v>8</v>
      </c>
      <c r="J4550" s="15" t="s">
        <v>8</v>
      </c>
      <c r="N4550" s="22" t="str">
        <f>HYPERLINK("http://yeinfo.com/family/I09005454.html", "MARY WEBSTER 1630 EN-1709 MA ID:09005455")</f>
        <v>MARY WEBSTER 1630 EN-1709 MA ID:09005455</v>
      </c>
      <c r="O4550" s="13"/>
      <c r="P4550" s="13"/>
      <c r="Q4550" s="13"/>
      <c r="R4550" s="13"/>
    </row>
    <row r="4551" spans="3:18" x14ac:dyDescent="0.35">
      <c r="C4551" s="15" t="s">
        <v>8</v>
      </c>
      <c r="D4551" s="15" t="s">
        <v>8</v>
      </c>
      <c r="E4551" s="15" t="s">
        <v>8</v>
      </c>
      <c r="F4551" s="15" t="s">
        <v>8</v>
      </c>
      <c r="G4551" s="15" t="s">
        <v>8</v>
      </c>
      <c r="H4551" s="15" t="s">
        <v>8</v>
      </c>
      <c r="J4551" s="15" t="s">
        <v>8</v>
      </c>
    </row>
    <row r="4552" spans="3:18" x14ac:dyDescent="0.35">
      <c r="C4552" s="15" t="s">
        <v>8</v>
      </c>
      <c r="D4552" s="15" t="s">
        <v>8</v>
      </c>
      <c r="E4552" s="15" t="s">
        <v>8</v>
      </c>
      <c r="F4552" s="15" t="s">
        <v>8</v>
      </c>
      <c r="G4552" s="15" t="s">
        <v>8</v>
      </c>
      <c r="H4552" s="15" t="s">
        <v>8</v>
      </c>
      <c r="I4552" s="5" t="str">
        <f>HYPERLINK("http://yeinfo.com/family/I09000085.html", "DORMAN BLOSS 1771 CT-1823 IN ID:09000170")</f>
        <v>DORMAN BLOSS 1771 CT-1823 IN ID:09000170</v>
      </c>
      <c r="J4552" s="3"/>
      <c r="K4552" s="3"/>
      <c r="L4552" s="3"/>
      <c r="M4552" s="3"/>
    </row>
    <row r="4553" spans="3:18" x14ac:dyDescent="0.35">
      <c r="C4553" s="15" t="s">
        <v>8</v>
      </c>
      <c r="D4553" s="15" t="s">
        <v>8</v>
      </c>
      <c r="E4553" s="15" t="s">
        <v>8</v>
      </c>
      <c r="F4553" s="15" t="s">
        <v>8</v>
      </c>
      <c r="G4553" s="15" t="s">
        <v>8</v>
      </c>
      <c r="H4553" s="15" t="s">
        <v>8</v>
      </c>
      <c r="I4553" s="8" t="s">
        <v>3</v>
      </c>
      <c r="J4553" s="15" t="s">
        <v>8</v>
      </c>
    </row>
    <row r="4554" spans="3:18" x14ac:dyDescent="0.35">
      <c r="C4554" s="15" t="s">
        <v>8</v>
      </c>
      <c r="D4554" s="15" t="s">
        <v>8</v>
      </c>
      <c r="E4554" s="15" t="s">
        <v>8</v>
      </c>
      <c r="F4554" s="15" t="s">
        <v>8</v>
      </c>
      <c r="G4554" s="15" t="s">
        <v>8</v>
      </c>
      <c r="H4554" s="15" t="s">
        <v>8</v>
      </c>
      <c r="I4554" s="15" t="s">
        <v>8</v>
      </c>
      <c r="J4554" s="15" t="s">
        <v>8</v>
      </c>
      <c r="N4554" s="21" t="str">
        <f>HYPERLINK("http://yeinfo.com/family/I09002728.html", "JOHN WINTER 1605 EN-1662 MA ID:09005456")</f>
        <v>JOHN WINTER 1605 EN-1662 MA ID:09005456</v>
      </c>
      <c r="O4554" s="6"/>
      <c r="P4554" s="6"/>
      <c r="Q4554" s="6"/>
      <c r="R4554" s="6"/>
    </row>
    <row r="4555" spans="3:18" x14ac:dyDescent="0.35">
      <c r="C4555" s="15" t="s">
        <v>8</v>
      </c>
      <c r="D4555" s="15" t="s">
        <v>8</v>
      </c>
      <c r="E4555" s="15" t="s">
        <v>8</v>
      </c>
      <c r="F4555" s="15" t="s">
        <v>8</v>
      </c>
      <c r="G4555" s="15" t="s">
        <v>8</v>
      </c>
      <c r="H4555" s="15" t="s">
        <v>8</v>
      </c>
      <c r="I4555" s="15" t="s">
        <v>8</v>
      </c>
      <c r="J4555" s="15" t="s">
        <v>8</v>
      </c>
      <c r="N4555" s="8" t="s">
        <v>3</v>
      </c>
    </row>
    <row r="4556" spans="3:18" x14ac:dyDescent="0.35">
      <c r="C4556" s="15" t="s">
        <v>8</v>
      </c>
      <c r="D4556" s="15" t="s">
        <v>8</v>
      </c>
      <c r="E4556" s="15" t="s">
        <v>8</v>
      </c>
      <c r="F4556" s="15" t="s">
        <v>8</v>
      </c>
      <c r="G4556" s="15" t="s">
        <v>8</v>
      </c>
      <c r="H4556" s="15" t="s">
        <v>8</v>
      </c>
      <c r="I4556" s="15" t="s">
        <v>8</v>
      </c>
      <c r="J4556" s="15" t="s">
        <v>8</v>
      </c>
      <c r="M4556" s="21" t="str">
        <f>HYPERLINK("http://yeinfo.com/family/I09001364.html", "JOHN WINTER Jr. 1634 EN-1690 MA ID:09002728")</f>
        <v>JOHN WINTER Jr. 1634 EN-1690 MA ID:09002728</v>
      </c>
      <c r="N4556" s="6"/>
      <c r="O4556" s="6"/>
      <c r="P4556" s="6"/>
      <c r="Q4556" s="6"/>
    </row>
    <row r="4557" spans="3:18" x14ac:dyDescent="0.35">
      <c r="C4557" s="15" t="s">
        <v>8</v>
      </c>
      <c r="D4557" s="15" t="s">
        <v>8</v>
      </c>
      <c r="E4557" s="15" t="s">
        <v>8</v>
      </c>
      <c r="F4557" s="15" t="s">
        <v>8</v>
      </c>
      <c r="G4557" s="15" t="s">
        <v>8</v>
      </c>
      <c r="H4557" s="15" t="s">
        <v>8</v>
      </c>
      <c r="I4557" s="15" t="s">
        <v>8</v>
      </c>
      <c r="J4557" s="15" t="s">
        <v>8</v>
      </c>
      <c r="M4557" s="8" t="s">
        <v>3</v>
      </c>
      <c r="N4557" s="8" t="s">
        <v>6</v>
      </c>
    </row>
    <row r="4558" spans="3:18" x14ac:dyDescent="0.35">
      <c r="C4558" s="15" t="s">
        <v>8</v>
      </c>
      <c r="D4558" s="15" t="s">
        <v>8</v>
      </c>
      <c r="E4558" s="15" t="s">
        <v>8</v>
      </c>
      <c r="F4558" s="15" t="s">
        <v>8</v>
      </c>
      <c r="G4558" s="15" t="s">
        <v>8</v>
      </c>
      <c r="H4558" s="15" t="s">
        <v>8</v>
      </c>
      <c r="I4558" s="15" t="s">
        <v>8</v>
      </c>
      <c r="J4558" s="15" t="s">
        <v>8</v>
      </c>
      <c r="M4558" s="15" t="s">
        <v>8</v>
      </c>
      <c r="N4558" s="22" t="str">
        <f>HYPERLINK("http://yeinfo.com/family/I09005456.html", "ANN HARRINGTON 1605 EN-1634 MA ID:09005457")</f>
        <v>ANN HARRINGTON 1605 EN-1634 MA ID:09005457</v>
      </c>
      <c r="O4558" s="13"/>
      <c r="P4558" s="13"/>
      <c r="Q4558" s="13"/>
      <c r="R4558" s="13"/>
    </row>
    <row r="4559" spans="3:18" x14ac:dyDescent="0.35">
      <c r="C4559" s="15" t="s">
        <v>8</v>
      </c>
      <c r="D4559" s="15" t="s">
        <v>8</v>
      </c>
      <c r="E4559" s="15" t="s">
        <v>8</v>
      </c>
      <c r="F4559" s="15" t="s">
        <v>8</v>
      </c>
      <c r="G4559" s="15" t="s">
        <v>8</v>
      </c>
      <c r="H4559" s="15" t="s">
        <v>8</v>
      </c>
      <c r="I4559" s="15" t="s">
        <v>8</v>
      </c>
      <c r="J4559" s="15" t="s">
        <v>8</v>
      </c>
      <c r="M4559" s="15" t="s">
        <v>8</v>
      </c>
    </row>
    <row r="4560" spans="3:18" x14ac:dyDescent="0.35">
      <c r="C4560" s="15" t="s">
        <v>8</v>
      </c>
      <c r="D4560" s="15" t="s">
        <v>8</v>
      </c>
      <c r="E4560" s="15" t="s">
        <v>8</v>
      </c>
      <c r="F4560" s="15" t="s">
        <v>8</v>
      </c>
      <c r="G4560" s="15" t="s">
        <v>8</v>
      </c>
      <c r="H4560" s="15" t="s">
        <v>8</v>
      </c>
      <c r="I4560" s="15" t="s">
        <v>8</v>
      </c>
      <c r="J4560" s="15" t="s">
        <v>8</v>
      </c>
      <c r="L4560" s="5" t="str">
        <f>HYPERLINK("http://yeinfo.com/family/I09000682.html", "JOHN WINTER 1667 MA-1748 CT ID:09001364")</f>
        <v>JOHN WINTER 1667 MA-1748 CT ID:09001364</v>
      </c>
      <c r="M4560" s="3"/>
      <c r="N4560" s="3"/>
      <c r="O4560" s="3"/>
      <c r="P4560" s="3"/>
    </row>
    <row r="4561" spans="3:18" x14ac:dyDescent="0.35">
      <c r="C4561" s="15" t="s">
        <v>8</v>
      </c>
      <c r="D4561" s="15" t="s">
        <v>8</v>
      </c>
      <c r="E4561" s="15" t="s">
        <v>8</v>
      </c>
      <c r="F4561" s="15" t="s">
        <v>8</v>
      </c>
      <c r="G4561" s="15" t="s">
        <v>8</v>
      </c>
      <c r="H4561" s="15" t="s">
        <v>8</v>
      </c>
      <c r="I4561" s="15" t="s">
        <v>8</v>
      </c>
      <c r="J4561" s="15" t="s">
        <v>8</v>
      </c>
      <c r="L4561" s="8" t="s">
        <v>3</v>
      </c>
      <c r="M4561" s="15" t="s">
        <v>8</v>
      </c>
    </row>
    <row r="4562" spans="3:18" x14ac:dyDescent="0.35">
      <c r="C4562" s="15" t="s">
        <v>8</v>
      </c>
      <c r="D4562" s="15" t="s">
        <v>8</v>
      </c>
      <c r="E4562" s="15" t="s">
        <v>8</v>
      </c>
      <c r="F4562" s="15" t="s">
        <v>8</v>
      </c>
      <c r="G4562" s="15" t="s">
        <v>8</v>
      </c>
      <c r="H4562" s="15" t="s">
        <v>8</v>
      </c>
      <c r="I4562" s="15" t="s">
        <v>8</v>
      </c>
      <c r="J4562" s="15" t="s">
        <v>8</v>
      </c>
      <c r="L4562" s="15" t="s">
        <v>8</v>
      </c>
      <c r="M4562" s="15" t="s">
        <v>8</v>
      </c>
      <c r="N4562" s="5" t="str">
        <f>HYPERLINK("http://yeinfo.com/family/I09005444.html", "JAMES CUTLER &lt;3&gt; 1606 EN-1694  ID:09005444")</f>
        <v>JAMES CUTLER &lt;3&gt; 1606 EN-1694  ID:09005444</v>
      </c>
      <c r="O4562" s="3"/>
      <c r="P4562" s="3"/>
      <c r="Q4562" s="3"/>
      <c r="R4562" s="3"/>
    </row>
    <row r="4563" spans="3:18" x14ac:dyDescent="0.35">
      <c r="C4563" s="15" t="s">
        <v>8</v>
      </c>
      <c r="D4563" s="15" t="s">
        <v>8</v>
      </c>
      <c r="E4563" s="15" t="s">
        <v>8</v>
      </c>
      <c r="F4563" s="15" t="s">
        <v>8</v>
      </c>
      <c r="G4563" s="15" t="s">
        <v>8</v>
      </c>
      <c r="H4563" s="15" t="s">
        <v>8</v>
      </c>
      <c r="I4563" s="15" t="s">
        <v>8</v>
      </c>
      <c r="J4563" s="15" t="s">
        <v>8</v>
      </c>
      <c r="L4563" s="15" t="s">
        <v>8</v>
      </c>
      <c r="M4563" s="8" t="s">
        <v>6</v>
      </c>
      <c r="N4563" s="8" t="s">
        <v>3</v>
      </c>
    </row>
    <row r="4564" spans="3:18" x14ac:dyDescent="0.35">
      <c r="C4564" s="15" t="s">
        <v>8</v>
      </c>
      <c r="D4564" s="15" t="s">
        <v>8</v>
      </c>
      <c r="E4564" s="15" t="s">
        <v>8</v>
      </c>
      <c r="F4564" s="15" t="s">
        <v>8</v>
      </c>
      <c r="G4564" s="15" t="s">
        <v>8</v>
      </c>
      <c r="H4564" s="15" t="s">
        <v>8</v>
      </c>
      <c r="I4564" s="15" t="s">
        <v>8</v>
      </c>
      <c r="J4564" s="15" t="s">
        <v>8</v>
      </c>
      <c r="L4564" s="15" t="s">
        <v>8</v>
      </c>
      <c r="M4564" s="16" t="str">
        <f>HYPERLINK("http://yeinfo.com/family/I09005457.html", "HANNAH CUTLER 1638 -1692 MA ID:09002729")</f>
        <v>HANNAH CUTLER 1638 -1692 MA ID:09002729</v>
      </c>
      <c r="N4564" s="11"/>
      <c r="O4564" s="11"/>
      <c r="P4564" s="11"/>
      <c r="Q4564" s="11"/>
    </row>
    <row r="4565" spans="3:18" x14ac:dyDescent="0.35">
      <c r="C4565" s="15" t="s">
        <v>8</v>
      </c>
      <c r="D4565" s="15" t="s">
        <v>8</v>
      </c>
      <c r="E4565" s="15" t="s">
        <v>8</v>
      </c>
      <c r="F4565" s="15" t="s">
        <v>8</v>
      </c>
      <c r="G4565" s="15" t="s">
        <v>8</v>
      </c>
      <c r="H4565" s="15" t="s">
        <v>8</v>
      </c>
      <c r="I4565" s="15" t="s">
        <v>8</v>
      </c>
      <c r="J4565" s="15" t="s">
        <v>8</v>
      </c>
      <c r="L4565" s="15" t="s">
        <v>8</v>
      </c>
      <c r="N4565" s="8" t="s">
        <v>6</v>
      </c>
    </row>
    <row r="4566" spans="3:18" x14ac:dyDescent="0.35">
      <c r="C4566" s="15" t="s">
        <v>8</v>
      </c>
      <c r="D4566" s="15" t="s">
        <v>8</v>
      </c>
      <c r="E4566" s="15" t="s">
        <v>8</v>
      </c>
      <c r="F4566" s="15" t="s">
        <v>8</v>
      </c>
      <c r="G4566" s="15" t="s">
        <v>8</v>
      </c>
      <c r="H4566" s="15" t="s">
        <v>8</v>
      </c>
      <c r="I4566" s="15" t="s">
        <v>8</v>
      </c>
      <c r="J4566" s="15" t="s">
        <v>8</v>
      </c>
      <c r="L4566" s="15" t="s">
        <v>8</v>
      </c>
      <c r="N4566" s="16" t="str">
        <f>HYPERLINK("http://yeinfo.com/family/I09005445.html", "Mrs. ANNA CUTLER &lt;2&gt; 1610 -1644  ID:09005445")</f>
        <v>Mrs. ANNA CUTLER &lt;2&gt; 1610 -1644  ID:09005445</v>
      </c>
      <c r="O4566" s="11"/>
      <c r="P4566" s="11"/>
      <c r="Q4566" s="11"/>
      <c r="R4566" s="11"/>
    </row>
    <row r="4567" spans="3:18" x14ac:dyDescent="0.35">
      <c r="C4567" s="15" t="s">
        <v>8</v>
      </c>
      <c r="D4567" s="15" t="s">
        <v>8</v>
      </c>
      <c r="E4567" s="15" t="s">
        <v>8</v>
      </c>
      <c r="F4567" s="15" t="s">
        <v>8</v>
      </c>
      <c r="G4567" s="15" t="s">
        <v>8</v>
      </c>
      <c r="H4567" s="15" t="s">
        <v>8</v>
      </c>
      <c r="I4567" s="15" t="s">
        <v>8</v>
      </c>
      <c r="J4567" s="15" t="s">
        <v>8</v>
      </c>
      <c r="L4567" s="15" t="s">
        <v>8</v>
      </c>
    </row>
    <row r="4568" spans="3:18" x14ac:dyDescent="0.35">
      <c r="C4568" s="15" t="s">
        <v>8</v>
      </c>
      <c r="D4568" s="15" t="s">
        <v>8</v>
      </c>
      <c r="E4568" s="15" t="s">
        <v>8</v>
      </c>
      <c r="F4568" s="15" t="s">
        <v>8</v>
      </c>
      <c r="G4568" s="15" t="s">
        <v>8</v>
      </c>
      <c r="H4568" s="15" t="s">
        <v>8</v>
      </c>
      <c r="I4568" s="15" t="s">
        <v>8</v>
      </c>
      <c r="J4568" s="15" t="s">
        <v>8</v>
      </c>
      <c r="K4568" s="5" t="str">
        <f>HYPERLINK("http://yeinfo.com/family/I09000341.html", "JOHN WINTER 1685 MA-1757 CT ID:09000682")</f>
        <v>JOHN WINTER 1685 MA-1757 CT ID:09000682</v>
      </c>
      <c r="L4568" s="3"/>
      <c r="M4568" s="3"/>
      <c r="N4568" s="3"/>
      <c r="O4568" s="3"/>
    </row>
    <row r="4569" spans="3:18" x14ac:dyDescent="0.35">
      <c r="C4569" s="15" t="s">
        <v>8</v>
      </c>
      <c r="D4569" s="15" t="s">
        <v>8</v>
      </c>
      <c r="E4569" s="15" t="s">
        <v>8</v>
      </c>
      <c r="F4569" s="15" t="s">
        <v>8</v>
      </c>
      <c r="G4569" s="15" t="s">
        <v>8</v>
      </c>
      <c r="H4569" s="15" t="s">
        <v>8</v>
      </c>
      <c r="I4569" s="15" t="s">
        <v>8</v>
      </c>
      <c r="J4569" s="15" t="s">
        <v>8</v>
      </c>
      <c r="K4569" s="8" t="s">
        <v>3</v>
      </c>
      <c r="L4569" s="8" t="s">
        <v>6</v>
      </c>
    </row>
    <row r="4570" spans="3:18" x14ac:dyDescent="0.35">
      <c r="C4570" s="15" t="s">
        <v>8</v>
      </c>
      <c r="D4570" s="15" t="s">
        <v>8</v>
      </c>
      <c r="E4570" s="15" t="s">
        <v>8</v>
      </c>
      <c r="F4570" s="15" t="s">
        <v>8</v>
      </c>
      <c r="G4570" s="15" t="s">
        <v>8</v>
      </c>
      <c r="H4570" s="15" t="s">
        <v>8</v>
      </c>
      <c r="I4570" s="15" t="s">
        <v>8</v>
      </c>
      <c r="J4570" s="15" t="s">
        <v>8</v>
      </c>
      <c r="K4570" s="15" t="s">
        <v>8</v>
      </c>
      <c r="L4570" s="16" t="str">
        <f>HYPERLINK("http://yeinfo.com/family/I09002729.html", "ABIGAIL SMITH 1670 MA-1715 CT ID:09001365")</f>
        <v>ABIGAIL SMITH 1670 MA-1715 CT ID:09001365</v>
      </c>
      <c r="M4570" s="11"/>
      <c r="N4570" s="11"/>
      <c r="O4570" s="11"/>
      <c r="P4570" s="11"/>
    </row>
    <row r="4571" spans="3:18" x14ac:dyDescent="0.35">
      <c r="C4571" s="15" t="s">
        <v>8</v>
      </c>
      <c r="D4571" s="15" t="s">
        <v>8</v>
      </c>
      <c r="E4571" s="15" t="s">
        <v>8</v>
      </c>
      <c r="F4571" s="15" t="s">
        <v>8</v>
      </c>
      <c r="G4571" s="15" t="s">
        <v>8</v>
      </c>
      <c r="H4571" s="15" t="s">
        <v>8</v>
      </c>
      <c r="I4571" s="15" t="s">
        <v>8</v>
      </c>
      <c r="J4571" s="8" t="s">
        <v>6</v>
      </c>
      <c r="K4571" s="15" t="s">
        <v>8</v>
      </c>
    </row>
    <row r="4572" spans="3:18" x14ac:dyDescent="0.35">
      <c r="C4572" s="15" t="s">
        <v>8</v>
      </c>
      <c r="D4572" s="15" t="s">
        <v>8</v>
      </c>
      <c r="E4572" s="15" t="s">
        <v>8</v>
      </c>
      <c r="F4572" s="15" t="s">
        <v>8</v>
      </c>
      <c r="G4572" s="15" t="s">
        <v>8</v>
      </c>
      <c r="H4572" s="15" t="s">
        <v>8</v>
      </c>
      <c r="I4572" s="15" t="s">
        <v>8</v>
      </c>
      <c r="J4572" s="16" t="str">
        <f>HYPERLINK("http://yeinfo.com/family/I09005455.html", "MARY WINTER 1733 CT-1788 CT ID:09000341")</f>
        <v>MARY WINTER 1733 CT-1788 CT ID:09000341</v>
      </c>
      <c r="K4572" s="11"/>
      <c r="L4572" s="11"/>
      <c r="M4572" s="11"/>
      <c r="N4572" s="11"/>
    </row>
    <row r="4573" spans="3:18" x14ac:dyDescent="0.35">
      <c r="C4573" s="15" t="s">
        <v>8</v>
      </c>
      <c r="D4573" s="15" t="s">
        <v>8</v>
      </c>
      <c r="E4573" s="15" t="s">
        <v>8</v>
      </c>
      <c r="F4573" s="15" t="s">
        <v>8</v>
      </c>
      <c r="G4573" s="15" t="s">
        <v>8</v>
      </c>
      <c r="H4573" s="15" t="s">
        <v>8</v>
      </c>
      <c r="I4573" s="15" t="s">
        <v>8</v>
      </c>
      <c r="K4573" s="15" t="s">
        <v>8</v>
      </c>
    </row>
    <row r="4574" spans="3:18" x14ac:dyDescent="0.35">
      <c r="C4574" s="15" t="s">
        <v>8</v>
      </c>
      <c r="D4574" s="15" t="s">
        <v>8</v>
      </c>
      <c r="E4574" s="15" t="s">
        <v>8</v>
      </c>
      <c r="F4574" s="15" t="s">
        <v>8</v>
      </c>
      <c r="G4574" s="15" t="s">
        <v>8</v>
      </c>
      <c r="H4574" s="15" t="s">
        <v>8</v>
      </c>
      <c r="I4574" s="15" t="s">
        <v>8</v>
      </c>
      <c r="K4574" s="15" t="s">
        <v>8</v>
      </c>
      <c r="N4574" s="5" t="str">
        <f>HYPERLINK("http://yeinfo.com/family/I09002732.html", "ISAAC BRYANT 1620 EN-1655  ID:09005464")</f>
        <v>ISAAC BRYANT 1620 EN-1655  ID:09005464</v>
      </c>
      <c r="O4574" s="3"/>
      <c r="P4574" s="3"/>
      <c r="Q4574" s="3"/>
      <c r="R4574" s="3"/>
    </row>
    <row r="4575" spans="3:18" x14ac:dyDescent="0.35">
      <c r="C4575" s="15" t="s">
        <v>8</v>
      </c>
      <c r="D4575" s="15" t="s">
        <v>8</v>
      </c>
      <c r="E4575" s="15" t="s">
        <v>8</v>
      </c>
      <c r="F4575" s="15" t="s">
        <v>8</v>
      </c>
      <c r="G4575" s="15" t="s">
        <v>8</v>
      </c>
      <c r="H4575" s="15" t="s">
        <v>8</v>
      </c>
      <c r="I4575" s="15" t="s">
        <v>8</v>
      </c>
      <c r="K4575" s="15" t="s">
        <v>8</v>
      </c>
      <c r="N4575" s="8" t="s">
        <v>3</v>
      </c>
    </row>
    <row r="4576" spans="3:18" x14ac:dyDescent="0.35">
      <c r="C4576" s="15" t="s">
        <v>8</v>
      </c>
      <c r="D4576" s="15" t="s">
        <v>8</v>
      </c>
      <c r="E4576" s="15" t="s">
        <v>8</v>
      </c>
      <c r="F4576" s="15" t="s">
        <v>8</v>
      </c>
      <c r="G4576" s="15" t="s">
        <v>8</v>
      </c>
      <c r="H4576" s="15" t="s">
        <v>8</v>
      </c>
      <c r="I4576" s="15" t="s">
        <v>8</v>
      </c>
      <c r="K4576" s="15" t="s">
        <v>8</v>
      </c>
      <c r="M4576" s="5" t="str">
        <f>HYPERLINK("http://yeinfo.com/family/I09001366.html", "ISAAC BRYANT 1644 MA-1663  ID:09002732")</f>
        <v>ISAAC BRYANT 1644 MA-1663  ID:09002732</v>
      </c>
      <c r="N4576" s="3"/>
      <c r="O4576" s="3"/>
      <c r="P4576" s="3"/>
      <c r="Q4576" s="3"/>
    </row>
    <row r="4577" spans="3:20" x14ac:dyDescent="0.35">
      <c r="C4577" s="15" t="s">
        <v>8</v>
      </c>
      <c r="D4577" s="15" t="s">
        <v>8</v>
      </c>
      <c r="E4577" s="15" t="s">
        <v>8</v>
      </c>
      <c r="F4577" s="15" t="s">
        <v>8</v>
      </c>
      <c r="G4577" s="15" t="s">
        <v>8</v>
      </c>
      <c r="H4577" s="15" t="s">
        <v>8</v>
      </c>
      <c r="I4577" s="15" t="s">
        <v>8</v>
      </c>
      <c r="K4577" s="15" t="s">
        <v>8</v>
      </c>
      <c r="M4577" s="8" t="s">
        <v>3</v>
      </c>
      <c r="N4577" s="15" t="s">
        <v>8</v>
      </c>
    </row>
    <row r="4578" spans="3:20" x14ac:dyDescent="0.35">
      <c r="C4578" s="15" t="s">
        <v>8</v>
      </c>
      <c r="D4578" s="15" t="s">
        <v>8</v>
      </c>
      <c r="E4578" s="15" t="s">
        <v>8</v>
      </c>
      <c r="F4578" s="15" t="s">
        <v>8</v>
      </c>
      <c r="G4578" s="15" t="s">
        <v>8</v>
      </c>
      <c r="H4578" s="15" t="s">
        <v>8</v>
      </c>
      <c r="I4578" s="15" t="s">
        <v>8</v>
      </c>
      <c r="K4578" s="15" t="s">
        <v>8</v>
      </c>
      <c r="M4578" s="15" t="s">
        <v>8</v>
      </c>
      <c r="N4578" s="15" t="s">
        <v>8</v>
      </c>
      <c r="P4578" s="19" t="str">
        <f>HYPERLINK("http://yeinfo.com/family/I09010930.html", "THOMAS STEARNS 1553 EN-1599 EN ID:09021860")</f>
        <v>THOMAS STEARNS 1553 EN-1599 EN ID:09021860</v>
      </c>
      <c r="Q4578" s="9"/>
      <c r="R4578" s="9"/>
      <c r="S4578" s="9"/>
      <c r="T4578" s="9"/>
    </row>
    <row r="4579" spans="3:20" x14ac:dyDescent="0.35">
      <c r="C4579" s="15" t="s">
        <v>8</v>
      </c>
      <c r="D4579" s="15" t="s">
        <v>8</v>
      </c>
      <c r="E4579" s="15" t="s">
        <v>8</v>
      </c>
      <c r="F4579" s="15" t="s">
        <v>8</v>
      </c>
      <c r="G4579" s="15" t="s">
        <v>8</v>
      </c>
      <c r="H4579" s="15" t="s">
        <v>8</v>
      </c>
      <c r="I4579" s="15" t="s">
        <v>8</v>
      </c>
      <c r="K4579" s="15" t="s">
        <v>8</v>
      </c>
      <c r="M4579" s="15" t="s">
        <v>8</v>
      </c>
      <c r="N4579" s="15" t="s">
        <v>8</v>
      </c>
      <c r="P4579" s="8" t="s">
        <v>3</v>
      </c>
    </row>
    <row r="4580" spans="3:20" x14ac:dyDescent="0.35">
      <c r="C4580" s="15" t="s">
        <v>8</v>
      </c>
      <c r="D4580" s="15" t="s">
        <v>8</v>
      </c>
      <c r="E4580" s="15" t="s">
        <v>8</v>
      </c>
      <c r="F4580" s="15" t="s">
        <v>8</v>
      </c>
      <c r="G4580" s="15" t="s">
        <v>8</v>
      </c>
      <c r="H4580" s="15" t="s">
        <v>8</v>
      </c>
      <c r="I4580" s="15" t="s">
        <v>8</v>
      </c>
      <c r="K4580" s="15" t="s">
        <v>8</v>
      </c>
      <c r="M4580" s="15" t="s">
        <v>8</v>
      </c>
      <c r="N4580" s="15" t="s">
        <v>8</v>
      </c>
      <c r="O4580" s="21" t="str">
        <f>HYPERLINK("http://yeinfo.com/family/I09005465.html", "ISAAC STEARNS 1595 EN-1671 MA ID:09010930")</f>
        <v>ISAAC STEARNS 1595 EN-1671 MA ID:09010930</v>
      </c>
      <c r="P4580" s="6"/>
      <c r="Q4580" s="6"/>
      <c r="R4580" s="6"/>
      <c r="S4580" s="6"/>
    </row>
    <row r="4581" spans="3:20" x14ac:dyDescent="0.35">
      <c r="C4581" s="15" t="s">
        <v>8</v>
      </c>
      <c r="D4581" s="15" t="s">
        <v>8</v>
      </c>
      <c r="E4581" s="15" t="s">
        <v>8</v>
      </c>
      <c r="F4581" s="15" t="s">
        <v>8</v>
      </c>
      <c r="G4581" s="15" t="s">
        <v>8</v>
      </c>
      <c r="H4581" s="15" t="s">
        <v>8</v>
      </c>
      <c r="I4581" s="15" t="s">
        <v>8</v>
      </c>
      <c r="K4581" s="15" t="s">
        <v>8</v>
      </c>
      <c r="M4581" s="15" t="s">
        <v>8</v>
      </c>
      <c r="N4581" s="15" t="s">
        <v>8</v>
      </c>
      <c r="O4581" s="8" t="s">
        <v>3</v>
      </c>
      <c r="P4581" s="8" t="s">
        <v>6</v>
      </c>
    </row>
    <row r="4582" spans="3:20" x14ac:dyDescent="0.35">
      <c r="C4582" s="15" t="s">
        <v>8</v>
      </c>
      <c r="D4582" s="15" t="s">
        <v>8</v>
      </c>
      <c r="E4582" s="15" t="s">
        <v>8</v>
      </c>
      <c r="F4582" s="15" t="s">
        <v>8</v>
      </c>
      <c r="G4582" s="15" t="s">
        <v>8</v>
      </c>
      <c r="H4582" s="15" t="s">
        <v>8</v>
      </c>
      <c r="I4582" s="15" t="s">
        <v>8</v>
      </c>
      <c r="K4582" s="15" t="s">
        <v>8</v>
      </c>
      <c r="M4582" s="15" t="s">
        <v>8</v>
      </c>
      <c r="N4582" s="15" t="s">
        <v>8</v>
      </c>
      <c r="O4582" s="15" t="s">
        <v>8</v>
      </c>
      <c r="P4582" s="20" t="str">
        <f>HYPERLINK("http://yeinfo.com/family/I09021860.html", "Mrs. {_?_} STEARNS 1560 EN-1595 EN ID:09021861")</f>
        <v>Mrs. {_?_} STEARNS 1560 EN-1595 EN ID:09021861</v>
      </c>
      <c r="Q4582" s="17"/>
      <c r="R4582" s="17"/>
      <c r="S4582" s="17"/>
      <c r="T4582" s="17"/>
    </row>
    <row r="4583" spans="3:20" x14ac:dyDescent="0.35">
      <c r="C4583" s="15" t="s">
        <v>8</v>
      </c>
      <c r="D4583" s="15" t="s">
        <v>8</v>
      </c>
      <c r="E4583" s="15" t="s">
        <v>8</v>
      </c>
      <c r="F4583" s="15" t="s">
        <v>8</v>
      </c>
      <c r="G4583" s="15" t="s">
        <v>8</v>
      </c>
      <c r="H4583" s="15" t="s">
        <v>8</v>
      </c>
      <c r="I4583" s="15" t="s">
        <v>8</v>
      </c>
      <c r="K4583" s="15" t="s">
        <v>8</v>
      </c>
      <c r="M4583" s="15" t="s">
        <v>8</v>
      </c>
      <c r="N4583" s="8" t="s">
        <v>6</v>
      </c>
      <c r="O4583" s="15" t="s">
        <v>8</v>
      </c>
    </row>
    <row r="4584" spans="3:20" x14ac:dyDescent="0.35">
      <c r="C4584" s="15" t="s">
        <v>8</v>
      </c>
      <c r="D4584" s="15" t="s">
        <v>8</v>
      </c>
      <c r="E4584" s="15" t="s">
        <v>8</v>
      </c>
      <c r="F4584" s="15" t="s">
        <v>8</v>
      </c>
      <c r="G4584" s="15" t="s">
        <v>8</v>
      </c>
      <c r="H4584" s="15" t="s">
        <v>8</v>
      </c>
      <c r="I4584" s="15" t="s">
        <v>8</v>
      </c>
      <c r="K4584" s="15" t="s">
        <v>8</v>
      </c>
      <c r="M4584" s="15" t="s">
        <v>8</v>
      </c>
      <c r="N4584" s="22" t="str">
        <f>HYPERLINK("http://yeinfo.com/family/I09005464.html", "MARY STEARNS 1626 EN-1663 MA ID:09005465")</f>
        <v>MARY STEARNS 1626 EN-1663 MA ID:09005465</v>
      </c>
      <c r="O4584" s="13"/>
      <c r="P4584" s="13"/>
      <c r="Q4584" s="13"/>
      <c r="R4584" s="13"/>
    </row>
    <row r="4585" spans="3:20" x14ac:dyDescent="0.35">
      <c r="C4585" s="15" t="s">
        <v>8</v>
      </c>
      <c r="D4585" s="15" t="s">
        <v>8</v>
      </c>
      <c r="E4585" s="15" t="s">
        <v>8</v>
      </c>
      <c r="F4585" s="15" t="s">
        <v>8</v>
      </c>
      <c r="G4585" s="15" t="s">
        <v>8</v>
      </c>
      <c r="H4585" s="15" t="s">
        <v>8</v>
      </c>
      <c r="I4585" s="15" t="s">
        <v>8</v>
      </c>
      <c r="K4585" s="15" t="s">
        <v>8</v>
      </c>
      <c r="M4585" s="15" t="s">
        <v>8</v>
      </c>
      <c r="O4585" s="15" t="s">
        <v>8</v>
      </c>
    </row>
    <row r="4586" spans="3:20" x14ac:dyDescent="0.35">
      <c r="C4586" s="15" t="s">
        <v>8</v>
      </c>
      <c r="D4586" s="15" t="s">
        <v>8</v>
      </c>
      <c r="E4586" s="15" t="s">
        <v>8</v>
      </c>
      <c r="F4586" s="15" t="s">
        <v>8</v>
      </c>
      <c r="G4586" s="15" t="s">
        <v>8</v>
      </c>
      <c r="H4586" s="15" t="s">
        <v>8</v>
      </c>
      <c r="I4586" s="15" t="s">
        <v>8</v>
      </c>
      <c r="K4586" s="15" t="s">
        <v>8</v>
      </c>
      <c r="M4586" s="15" t="s">
        <v>8</v>
      </c>
      <c r="O4586" s="15" t="s">
        <v>8</v>
      </c>
      <c r="P4586" s="5" t="str">
        <f>HYPERLINK("http://yeinfo.com/family/I09010931.html", "JOHN BARKER 1563 EN-1600  ID:09021862")</f>
        <v>JOHN BARKER 1563 EN-1600  ID:09021862</v>
      </c>
      <c r="Q4586" s="3"/>
      <c r="R4586" s="3"/>
      <c r="S4586" s="3"/>
      <c r="T4586" s="3"/>
    </row>
    <row r="4587" spans="3:20" x14ac:dyDescent="0.35">
      <c r="C4587" s="15" t="s">
        <v>8</v>
      </c>
      <c r="D4587" s="15" t="s">
        <v>8</v>
      </c>
      <c r="E4587" s="15" t="s">
        <v>8</v>
      </c>
      <c r="F4587" s="15" t="s">
        <v>8</v>
      </c>
      <c r="G4587" s="15" t="s">
        <v>8</v>
      </c>
      <c r="H4587" s="15" t="s">
        <v>8</v>
      </c>
      <c r="I4587" s="15" t="s">
        <v>8</v>
      </c>
      <c r="K4587" s="15" t="s">
        <v>8</v>
      </c>
      <c r="M4587" s="15" t="s">
        <v>8</v>
      </c>
      <c r="O4587" s="8" t="s">
        <v>6</v>
      </c>
      <c r="P4587" s="8" t="s">
        <v>3</v>
      </c>
    </row>
    <row r="4588" spans="3:20" x14ac:dyDescent="0.35">
      <c r="C4588" s="15" t="s">
        <v>8</v>
      </c>
      <c r="D4588" s="15" t="s">
        <v>8</v>
      </c>
      <c r="E4588" s="15" t="s">
        <v>8</v>
      </c>
      <c r="F4588" s="15" t="s">
        <v>8</v>
      </c>
      <c r="G4588" s="15" t="s">
        <v>8</v>
      </c>
      <c r="H4588" s="15" t="s">
        <v>8</v>
      </c>
      <c r="I4588" s="15" t="s">
        <v>8</v>
      </c>
      <c r="K4588" s="15" t="s">
        <v>8</v>
      </c>
      <c r="M4588" s="15" t="s">
        <v>8</v>
      </c>
      <c r="O4588" s="22" t="str">
        <f>HYPERLINK("http://yeinfo.com/family/I09021861.html", "MARY BARKER 1600 EN-1677 MA ID:09010931")</f>
        <v>MARY BARKER 1600 EN-1677 MA ID:09010931</v>
      </c>
      <c r="P4588" s="13"/>
      <c r="Q4588" s="13"/>
      <c r="R4588" s="13"/>
      <c r="S4588" s="13"/>
    </row>
    <row r="4589" spans="3:20" x14ac:dyDescent="0.35">
      <c r="C4589" s="15" t="s">
        <v>8</v>
      </c>
      <c r="D4589" s="15" t="s">
        <v>8</v>
      </c>
      <c r="E4589" s="15" t="s">
        <v>8</v>
      </c>
      <c r="F4589" s="15" t="s">
        <v>8</v>
      </c>
      <c r="G4589" s="15" t="s">
        <v>8</v>
      </c>
      <c r="H4589" s="15" t="s">
        <v>8</v>
      </c>
      <c r="I4589" s="15" t="s">
        <v>8</v>
      </c>
      <c r="K4589" s="15" t="s">
        <v>8</v>
      </c>
      <c r="M4589" s="15" t="s">
        <v>8</v>
      </c>
      <c r="P4589" s="8" t="s">
        <v>6</v>
      </c>
    </row>
    <row r="4590" spans="3:20" x14ac:dyDescent="0.35">
      <c r="C4590" s="15" t="s">
        <v>8</v>
      </c>
      <c r="D4590" s="15" t="s">
        <v>8</v>
      </c>
      <c r="E4590" s="15" t="s">
        <v>8</v>
      </c>
      <c r="F4590" s="15" t="s">
        <v>8</v>
      </c>
      <c r="G4590" s="15" t="s">
        <v>8</v>
      </c>
      <c r="H4590" s="15" t="s">
        <v>8</v>
      </c>
      <c r="I4590" s="15" t="s">
        <v>8</v>
      </c>
      <c r="K4590" s="15" t="s">
        <v>8</v>
      </c>
      <c r="M4590" s="15" t="s">
        <v>8</v>
      </c>
      <c r="P4590" s="22" t="str">
        <f>HYPERLINK("http://yeinfo.com/family/I09021862.html", "MARGARET WALTER 1564 EN-1640 MA ID:09021863")</f>
        <v>MARGARET WALTER 1564 EN-1640 MA ID:09021863</v>
      </c>
      <c r="Q4590" s="13"/>
      <c r="R4590" s="13"/>
      <c r="S4590" s="13"/>
      <c r="T4590" s="13"/>
    </row>
    <row r="4591" spans="3:20" x14ac:dyDescent="0.35">
      <c r="C4591" s="15" t="s">
        <v>8</v>
      </c>
      <c r="D4591" s="15" t="s">
        <v>8</v>
      </c>
      <c r="E4591" s="15" t="s">
        <v>8</v>
      </c>
      <c r="F4591" s="15" t="s">
        <v>8</v>
      </c>
      <c r="G4591" s="15" t="s">
        <v>8</v>
      </c>
      <c r="H4591" s="15" t="s">
        <v>8</v>
      </c>
      <c r="I4591" s="15" t="s">
        <v>8</v>
      </c>
      <c r="K4591" s="15" t="s">
        <v>8</v>
      </c>
      <c r="M4591" s="15" t="s">
        <v>8</v>
      </c>
    </row>
    <row r="4592" spans="3:20" x14ac:dyDescent="0.35">
      <c r="C4592" s="15" t="s">
        <v>8</v>
      </c>
      <c r="D4592" s="15" t="s">
        <v>8</v>
      </c>
      <c r="E4592" s="15" t="s">
        <v>8</v>
      </c>
      <c r="F4592" s="15" t="s">
        <v>8</v>
      </c>
      <c r="G4592" s="15" t="s">
        <v>8</v>
      </c>
      <c r="H4592" s="15" t="s">
        <v>8</v>
      </c>
      <c r="I4592" s="15" t="s">
        <v>8</v>
      </c>
      <c r="K4592" s="15" t="s">
        <v>8</v>
      </c>
      <c r="L4592" s="5" t="str">
        <f>HYPERLINK("http://yeinfo.com/family/I09000683.html", "SIMON BRYANT 1663 MA-1748 CT ID:09001366")</f>
        <v>SIMON BRYANT 1663 MA-1748 CT ID:09001366</v>
      </c>
      <c r="M4592" s="3"/>
      <c r="N4592" s="3"/>
      <c r="O4592" s="3"/>
      <c r="P4592" s="3"/>
    </row>
    <row r="4593" spans="3:18" x14ac:dyDescent="0.35">
      <c r="C4593" s="15" t="s">
        <v>8</v>
      </c>
      <c r="D4593" s="15" t="s">
        <v>8</v>
      </c>
      <c r="E4593" s="15" t="s">
        <v>8</v>
      </c>
      <c r="F4593" s="15" t="s">
        <v>8</v>
      </c>
      <c r="G4593" s="15" t="s">
        <v>8</v>
      </c>
      <c r="H4593" s="15" t="s">
        <v>8</v>
      </c>
      <c r="I4593" s="15" t="s">
        <v>8</v>
      </c>
      <c r="K4593" s="15" t="s">
        <v>8</v>
      </c>
      <c r="L4593" s="8" t="s">
        <v>3</v>
      </c>
      <c r="M4593" s="15" t="s">
        <v>8</v>
      </c>
    </row>
    <row r="4594" spans="3:18" x14ac:dyDescent="0.35">
      <c r="C4594" s="15" t="s">
        <v>8</v>
      </c>
      <c r="D4594" s="15" t="s">
        <v>8</v>
      </c>
      <c r="E4594" s="15" t="s">
        <v>8</v>
      </c>
      <c r="F4594" s="15" t="s">
        <v>8</v>
      </c>
      <c r="G4594" s="15" t="s">
        <v>8</v>
      </c>
      <c r="H4594" s="15" t="s">
        <v>8</v>
      </c>
      <c r="I4594" s="15" t="s">
        <v>8</v>
      </c>
      <c r="K4594" s="15" t="s">
        <v>8</v>
      </c>
      <c r="L4594" s="15" t="s">
        <v>8</v>
      </c>
      <c r="M4594" s="15" t="s">
        <v>8</v>
      </c>
      <c r="N4594" s="21" t="str">
        <f>HYPERLINK("http://yeinfo.com/family/I09002733.html", "JOHN BIGELOW 1617 EN-1703 MA ID:09005466")</f>
        <v>JOHN BIGELOW 1617 EN-1703 MA ID:09005466</v>
      </c>
      <c r="O4594" s="6"/>
      <c r="P4594" s="6"/>
      <c r="Q4594" s="6"/>
      <c r="R4594" s="6"/>
    </row>
    <row r="4595" spans="3:18" x14ac:dyDescent="0.35">
      <c r="C4595" s="15" t="s">
        <v>8</v>
      </c>
      <c r="D4595" s="15" t="s">
        <v>8</v>
      </c>
      <c r="E4595" s="15" t="s">
        <v>8</v>
      </c>
      <c r="F4595" s="15" t="s">
        <v>8</v>
      </c>
      <c r="G4595" s="15" t="s">
        <v>8</v>
      </c>
      <c r="H4595" s="15" t="s">
        <v>8</v>
      </c>
      <c r="I4595" s="15" t="s">
        <v>8</v>
      </c>
      <c r="K4595" s="15" t="s">
        <v>8</v>
      </c>
      <c r="L4595" s="15" t="s">
        <v>8</v>
      </c>
      <c r="M4595" s="8" t="s">
        <v>6</v>
      </c>
      <c r="N4595" s="8" t="s">
        <v>3</v>
      </c>
    </row>
    <row r="4596" spans="3:18" x14ac:dyDescent="0.35">
      <c r="C4596" s="15" t="s">
        <v>8</v>
      </c>
      <c r="D4596" s="15" t="s">
        <v>8</v>
      </c>
      <c r="E4596" s="15" t="s">
        <v>8</v>
      </c>
      <c r="F4596" s="15" t="s">
        <v>8</v>
      </c>
      <c r="G4596" s="15" t="s">
        <v>8</v>
      </c>
      <c r="H4596" s="15" t="s">
        <v>8</v>
      </c>
      <c r="I4596" s="15" t="s">
        <v>8</v>
      </c>
      <c r="K4596" s="15" t="s">
        <v>8</v>
      </c>
      <c r="L4596" s="15" t="s">
        <v>8</v>
      </c>
      <c r="M4596" s="16" t="str">
        <f>HYPERLINK("http://yeinfo.com/family/I09021863.html", "SARAH BIGELOW 1656 MA-1663 MA ID:09002733")</f>
        <v>SARAH BIGELOW 1656 MA-1663 MA ID:09002733</v>
      </c>
      <c r="N4596" s="11"/>
      <c r="O4596" s="11"/>
      <c r="P4596" s="11"/>
      <c r="Q4596" s="11"/>
    </row>
    <row r="4597" spans="3:18" x14ac:dyDescent="0.35">
      <c r="C4597" s="15" t="s">
        <v>8</v>
      </c>
      <c r="D4597" s="15" t="s">
        <v>8</v>
      </c>
      <c r="E4597" s="15" t="s">
        <v>8</v>
      </c>
      <c r="F4597" s="15" t="s">
        <v>8</v>
      </c>
      <c r="G4597" s="15" t="s">
        <v>8</v>
      </c>
      <c r="H4597" s="15" t="s">
        <v>8</v>
      </c>
      <c r="I4597" s="15" t="s">
        <v>8</v>
      </c>
      <c r="K4597" s="15" t="s">
        <v>8</v>
      </c>
      <c r="L4597" s="15" t="s">
        <v>8</v>
      </c>
      <c r="N4597" s="8" t="s">
        <v>6</v>
      </c>
    </row>
    <row r="4598" spans="3:18" x14ac:dyDescent="0.35">
      <c r="C4598" s="15" t="s">
        <v>8</v>
      </c>
      <c r="D4598" s="15" t="s">
        <v>8</v>
      </c>
      <c r="E4598" s="15" t="s">
        <v>8</v>
      </c>
      <c r="F4598" s="15" t="s">
        <v>8</v>
      </c>
      <c r="G4598" s="15" t="s">
        <v>8</v>
      </c>
      <c r="H4598" s="15" t="s">
        <v>8</v>
      </c>
      <c r="I4598" s="15" t="s">
        <v>8</v>
      </c>
      <c r="K4598" s="15" t="s">
        <v>8</v>
      </c>
      <c r="L4598" s="15" t="s">
        <v>8</v>
      </c>
      <c r="N4598" s="22" t="str">
        <f>HYPERLINK("http://yeinfo.com/family/I09005466.html", "MARY WARREN 1624 EN-1691 MA ID:09005467")</f>
        <v>MARY WARREN 1624 EN-1691 MA ID:09005467</v>
      </c>
      <c r="O4598" s="13"/>
      <c r="P4598" s="13"/>
      <c r="Q4598" s="13"/>
      <c r="R4598" s="13"/>
    </row>
    <row r="4599" spans="3:18" x14ac:dyDescent="0.35">
      <c r="C4599" s="15" t="s">
        <v>8</v>
      </c>
      <c r="D4599" s="15" t="s">
        <v>8</v>
      </c>
      <c r="E4599" s="15" t="s">
        <v>8</v>
      </c>
      <c r="F4599" s="15" t="s">
        <v>8</v>
      </c>
      <c r="G4599" s="15" t="s">
        <v>8</v>
      </c>
      <c r="H4599" s="15" t="s">
        <v>8</v>
      </c>
      <c r="I4599" s="15" t="s">
        <v>8</v>
      </c>
      <c r="K4599" s="8" t="s">
        <v>6</v>
      </c>
      <c r="L4599" s="15" t="s">
        <v>8</v>
      </c>
    </row>
    <row r="4600" spans="3:18" x14ac:dyDescent="0.35">
      <c r="C4600" s="15" t="s">
        <v>8</v>
      </c>
      <c r="D4600" s="15" t="s">
        <v>8</v>
      </c>
      <c r="E4600" s="15" t="s">
        <v>8</v>
      </c>
      <c r="F4600" s="15" t="s">
        <v>8</v>
      </c>
      <c r="G4600" s="15" t="s">
        <v>8</v>
      </c>
      <c r="H4600" s="15" t="s">
        <v>8</v>
      </c>
      <c r="I4600" s="15" t="s">
        <v>8</v>
      </c>
      <c r="K4600" s="16" t="str">
        <f>HYPERLINK("http://yeinfo.com/family/I09001365.html", "MARY BRYANT 1701 MA-1768 CT ID:09000683")</f>
        <v>MARY BRYANT 1701 MA-1768 CT ID:09000683</v>
      </c>
      <c r="L4600" s="11"/>
      <c r="M4600" s="11"/>
      <c r="N4600" s="11"/>
      <c r="O4600" s="11"/>
    </row>
    <row r="4601" spans="3:18" x14ac:dyDescent="0.35">
      <c r="C4601" s="15" t="s">
        <v>8</v>
      </c>
      <c r="D4601" s="15" t="s">
        <v>8</v>
      </c>
      <c r="E4601" s="15" t="s">
        <v>8</v>
      </c>
      <c r="F4601" s="15" t="s">
        <v>8</v>
      </c>
      <c r="G4601" s="15" t="s">
        <v>8</v>
      </c>
      <c r="H4601" s="15" t="s">
        <v>8</v>
      </c>
      <c r="I4601" s="15" t="s">
        <v>8</v>
      </c>
      <c r="L4601" s="15" t="s">
        <v>8</v>
      </c>
    </row>
    <row r="4602" spans="3:18" x14ac:dyDescent="0.35">
      <c r="C4602" s="15" t="s">
        <v>8</v>
      </c>
      <c r="D4602" s="15" t="s">
        <v>8</v>
      </c>
      <c r="E4602" s="15" t="s">
        <v>8</v>
      </c>
      <c r="F4602" s="15" t="s">
        <v>8</v>
      </c>
      <c r="G4602" s="15" t="s">
        <v>8</v>
      </c>
      <c r="H4602" s="15" t="s">
        <v>8</v>
      </c>
      <c r="I4602" s="15" t="s">
        <v>8</v>
      </c>
      <c r="L4602" s="15" t="s">
        <v>8</v>
      </c>
      <c r="N4602" s="5" t="str">
        <f>HYPERLINK("http://yeinfo.com/family/I09002734.html", "RICHARD SPEAR 1580 EN-1613  ID:09005468")</f>
        <v>RICHARD SPEAR 1580 EN-1613  ID:09005468</v>
      </c>
      <c r="O4602" s="3"/>
      <c r="P4602" s="3"/>
      <c r="Q4602" s="3"/>
      <c r="R4602" s="3"/>
    </row>
    <row r="4603" spans="3:18" x14ac:dyDescent="0.35">
      <c r="C4603" s="15" t="s">
        <v>8</v>
      </c>
      <c r="D4603" s="15" t="s">
        <v>8</v>
      </c>
      <c r="E4603" s="15" t="s">
        <v>8</v>
      </c>
      <c r="F4603" s="15" t="s">
        <v>8</v>
      </c>
      <c r="G4603" s="15" t="s">
        <v>8</v>
      </c>
      <c r="H4603" s="15" t="s">
        <v>8</v>
      </c>
      <c r="I4603" s="15" t="s">
        <v>8</v>
      </c>
      <c r="L4603" s="15" t="s">
        <v>8</v>
      </c>
      <c r="N4603" s="8" t="s">
        <v>3</v>
      </c>
    </row>
    <row r="4604" spans="3:18" x14ac:dyDescent="0.35">
      <c r="C4604" s="15" t="s">
        <v>8</v>
      </c>
      <c r="D4604" s="15" t="s">
        <v>8</v>
      </c>
      <c r="E4604" s="15" t="s">
        <v>8</v>
      </c>
      <c r="F4604" s="15" t="s">
        <v>8</v>
      </c>
      <c r="G4604" s="15" t="s">
        <v>8</v>
      </c>
      <c r="H4604" s="15" t="s">
        <v>8</v>
      </c>
      <c r="I4604" s="15" t="s">
        <v>8</v>
      </c>
      <c r="L4604" s="15" t="s">
        <v>8</v>
      </c>
      <c r="M4604" s="21" t="str">
        <f>HYPERLINK("http://yeinfo.com/family/I09001367.html", "GEORGE SPEAR 1613 EN-1678 MA ID:09002734")</f>
        <v>GEORGE SPEAR 1613 EN-1678 MA ID:09002734</v>
      </c>
      <c r="N4604" s="6"/>
      <c r="O4604" s="6"/>
      <c r="P4604" s="6"/>
      <c r="Q4604" s="6"/>
    </row>
    <row r="4605" spans="3:18" x14ac:dyDescent="0.35">
      <c r="C4605" s="15" t="s">
        <v>8</v>
      </c>
      <c r="D4605" s="15" t="s">
        <v>8</v>
      </c>
      <c r="E4605" s="15" t="s">
        <v>8</v>
      </c>
      <c r="F4605" s="15" t="s">
        <v>8</v>
      </c>
      <c r="G4605" s="15" t="s">
        <v>8</v>
      </c>
      <c r="H4605" s="15" t="s">
        <v>8</v>
      </c>
      <c r="I4605" s="15" t="s">
        <v>8</v>
      </c>
      <c r="L4605" s="15" t="s">
        <v>8</v>
      </c>
      <c r="M4605" s="8" t="s">
        <v>3</v>
      </c>
      <c r="N4605" s="8" t="s">
        <v>6</v>
      </c>
    </row>
    <row r="4606" spans="3:18" x14ac:dyDescent="0.35">
      <c r="C4606" s="15" t="s">
        <v>8</v>
      </c>
      <c r="D4606" s="15" t="s">
        <v>8</v>
      </c>
      <c r="E4606" s="15" t="s">
        <v>8</v>
      </c>
      <c r="F4606" s="15" t="s">
        <v>8</v>
      </c>
      <c r="G4606" s="15" t="s">
        <v>8</v>
      </c>
      <c r="H4606" s="15" t="s">
        <v>8</v>
      </c>
      <c r="I4606" s="15" t="s">
        <v>8</v>
      </c>
      <c r="L4606" s="15" t="s">
        <v>8</v>
      </c>
      <c r="M4606" s="15" t="s">
        <v>8</v>
      </c>
      <c r="N4606" s="16" t="str">
        <f>HYPERLINK("http://yeinfo.com/family/I09005468.html", "Mrs. AGNES SPEAR 1580 EN-1613  ID:09005469")</f>
        <v>Mrs. AGNES SPEAR 1580 EN-1613  ID:09005469</v>
      </c>
      <c r="O4606" s="11"/>
      <c r="P4606" s="11"/>
      <c r="Q4606" s="11"/>
      <c r="R4606" s="11"/>
    </row>
    <row r="4607" spans="3:18" x14ac:dyDescent="0.35">
      <c r="C4607" s="15" t="s">
        <v>8</v>
      </c>
      <c r="D4607" s="15" t="s">
        <v>8</v>
      </c>
      <c r="E4607" s="15" t="s">
        <v>8</v>
      </c>
      <c r="F4607" s="15" t="s">
        <v>8</v>
      </c>
      <c r="G4607" s="15" t="s">
        <v>8</v>
      </c>
      <c r="H4607" s="15" t="s">
        <v>8</v>
      </c>
      <c r="I4607" s="15" t="s">
        <v>8</v>
      </c>
      <c r="L4607" s="8" t="s">
        <v>6</v>
      </c>
      <c r="M4607" s="15" t="s">
        <v>8</v>
      </c>
    </row>
    <row r="4608" spans="3:18" x14ac:dyDescent="0.35">
      <c r="C4608" s="15" t="s">
        <v>8</v>
      </c>
      <c r="D4608" s="15" t="s">
        <v>8</v>
      </c>
      <c r="E4608" s="15" t="s">
        <v>8</v>
      </c>
      <c r="F4608" s="15" t="s">
        <v>8</v>
      </c>
      <c r="G4608" s="15" t="s">
        <v>8</v>
      </c>
      <c r="H4608" s="15" t="s">
        <v>8</v>
      </c>
      <c r="I4608" s="15" t="s">
        <v>8</v>
      </c>
      <c r="L4608" s="16" t="str">
        <f>HYPERLINK("http://yeinfo.com/family/I09005467.html", "HANNAH SPEAR 1671 MA-1747  ID:09001367")</f>
        <v>HANNAH SPEAR 1671 MA-1747  ID:09001367</v>
      </c>
      <c r="M4608" s="11"/>
      <c r="N4608" s="11"/>
      <c r="O4608" s="11"/>
      <c r="P4608" s="11"/>
    </row>
    <row r="4609" spans="3:22" x14ac:dyDescent="0.35">
      <c r="C4609" s="15" t="s">
        <v>8</v>
      </c>
      <c r="D4609" s="15" t="s">
        <v>8</v>
      </c>
      <c r="E4609" s="15" t="s">
        <v>8</v>
      </c>
      <c r="F4609" s="15" t="s">
        <v>8</v>
      </c>
      <c r="G4609" s="15" t="s">
        <v>8</v>
      </c>
      <c r="H4609" s="15" t="s">
        <v>8</v>
      </c>
      <c r="I4609" s="15" t="s">
        <v>8</v>
      </c>
      <c r="M4609" s="15" t="s">
        <v>8</v>
      </c>
    </row>
    <row r="4610" spans="3:22" x14ac:dyDescent="0.35">
      <c r="C4610" s="15" t="s">
        <v>8</v>
      </c>
      <c r="D4610" s="15" t="s">
        <v>8</v>
      </c>
      <c r="E4610" s="15" t="s">
        <v>8</v>
      </c>
      <c r="F4610" s="15" t="s">
        <v>8</v>
      </c>
      <c r="G4610" s="15" t="s">
        <v>8</v>
      </c>
      <c r="H4610" s="15" t="s">
        <v>8</v>
      </c>
      <c r="I4610" s="15" t="s">
        <v>8</v>
      </c>
      <c r="M4610" s="15" t="s">
        <v>8</v>
      </c>
      <c r="Q4610" s="19" t="str">
        <f>HYPERLINK("http://yeinfo.com/family/I09021880.html", "ROBERT HEATH &lt;2&gt; 1505 EN-1525 EN ID:09043760")</f>
        <v>ROBERT HEATH &lt;2&gt; 1505 EN-1525 EN ID:09043760</v>
      </c>
      <c r="R4610" s="9"/>
      <c r="S4610" s="9"/>
      <c r="T4610" s="9"/>
      <c r="U4610" s="9"/>
    </row>
    <row r="4611" spans="3:22" x14ac:dyDescent="0.35">
      <c r="C4611" s="15" t="s">
        <v>8</v>
      </c>
      <c r="D4611" s="15" t="s">
        <v>8</v>
      </c>
      <c r="E4611" s="15" t="s">
        <v>8</v>
      </c>
      <c r="F4611" s="15" t="s">
        <v>8</v>
      </c>
      <c r="G4611" s="15" t="s">
        <v>8</v>
      </c>
      <c r="H4611" s="15" t="s">
        <v>8</v>
      </c>
      <c r="I4611" s="15" t="s">
        <v>8</v>
      </c>
      <c r="M4611" s="15" t="s">
        <v>8</v>
      </c>
      <c r="Q4611" s="8" t="s">
        <v>3</v>
      </c>
    </row>
    <row r="4612" spans="3:22" x14ac:dyDescent="0.35">
      <c r="C4612" s="15" t="s">
        <v>8</v>
      </c>
      <c r="D4612" s="15" t="s">
        <v>8</v>
      </c>
      <c r="E4612" s="15" t="s">
        <v>8</v>
      </c>
      <c r="F4612" s="15" t="s">
        <v>8</v>
      </c>
      <c r="G4612" s="15" t="s">
        <v>8</v>
      </c>
      <c r="H4612" s="15" t="s">
        <v>8</v>
      </c>
      <c r="I4612" s="15" t="s">
        <v>8</v>
      </c>
      <c r="M4612" s="15" t="s">
        <v>8</v>
      </c>
      <c r="P4612" s="19" t="str">
        <f>HYPERLINK("http://yeinfo.com/family/I09010940.html", "EDWARD HEATH &lt;2&gt; 1525 EN-1593  ID:09021880")</f>
        <v>EDWARD HEATH &lt;2&gt; 1525 EN-1593  ID:09021880</v>
      </c>
      <c r="Q4612" s="9"/>
      <c r="R4612" s="9"/>
      <c r="S4612" s="9"/>
      <c r="T4612" s="9"/>
    </row>
    <row r="4613" spans="3:22" x14ac:dyDescent="0.35">
      <c r="C4613" s="15" t="s">
        <v>8</v>
      </c>
      <c r="D4613" s="15" t="s">
        <v>8</v>
      </c>
      <c r="E4613" s="15" t="s">
        <v>8</v>
      </c>
      <c r="F4613" s="15" t="s">
        <v>8</v>
      </c>
      <c r="G4613" s="15" t="s">
        <v>8</v>
      </c>
      <c r="H4613" s="15" t="s">
        <v>8</v>
      </c>
      <c r="I4613" s="15" t="s">
        <v>8</v>
      </c>
      <c r="M4613" s="15" t="s">
        <v>8</v>
      </c>
      <c r="P4613" s="8" t="s">
        <v>3</v>
      </c>
      <c r="Q4613" s="8" t="s">
        <v>6</v>
      </c>
    </row>
    <row r="4614" spans="3:22" x14ac:dyDescent="0.35">
      <c r="C4614" s="15" t="s">
        <v>8</v>
      </c>
      <c r="D4614" s="15" t="s">
        <v>8</v>
      </c>
      <c r="E4614" s="15" t="s">
        <v>8</v>
      </c>
      <c r="F4614" s="15" t="s">
        <v>8</v>
      </c>
      <c r="G4614" s="15" t="s">
        <v>8</v>
      </c>
      <c r="H4614" s="15" t="s">
        <v>8</v>
      </c>
      <c r="I4614" s="15" t="s">
        <v>8</v>
      </c>
      <c r="M4614" s="15" t="s">
        <v>8</v>
      </c>
      <c r="P4614" s="15" t="s">
        <v>8</v>
      </c>
      <c r="Q4614" s="20" t="str">
        <f>HYPERLINK("http://yeinfo.com/family/I09043760.html", "Mrs. {_?_} HEATH &lt;2&gt; 1505 EN-1525 EN ID:09043761")</f>
        <v>Mrs. {_?_} HEATH &lt;2&gt; 1505 EN-1525 EN ID:09043761</v>
      </c>
      <c r="R4614" s="17"/>
      <c r="S4614" s="17"/>
      <c r="T4614" s="17"/>
      <c r="U4614" s="17"/>
    </row>
    <row r="4615" spans="3:22" x14ac:dyDescent="0.35">
      <c r="C4615" s="15" t="s">
        <v>8</v>
      </c>
      <c r="D4615" s="15" t="s">
        <v>8</v>
      </c>
      <c r="E4615" s="15" t="s">
        <v>8</v>
      </c>
      <c r="F4615" s="15" t="s">
        <v>8</v>
      </c>
      <c r="G4615" s="15" t="s">
        <v>8</v>
      </c>
      <c r="H4615" s="15" t="s">
        <v>8</v>
      </c>
      <c r="I4615" s="15" t="s">
        <v>8</v>
      </c>
      <c r="M4615" s="15" t="s">
        <v>8</v>
      </c>
      <c r="P4615" s="15" t="s">
        <v>8</v>
      </c>
    </row>
    <row r="4616" spans="3:22" x14ac:dyDescent="0.35">
      <c r="C4616" s="15" t="s">
        <v>8</v>
      </c>
      <c r="D4616" s="15" t="s">
        <v>8</v>
      </c>
      <c r="E4616" s="15" t="s">
        <v>8</v>
      </c>
      <c r="F4616" s="15" t="s">
        <v>8</v>
      </c>
      <c r="G4616" s="15" t="s">
        <v>8</v>
      </c>
      <c r="H4616" s="15" t="s">
        <v>8</v>
      </c>
      <c r="I4616" s="15" t="s">
        <v>8</v>
      </c>
      <c r="M4616" s="15" t="s">
        <v>8</v>
      </c>
      <c r="O4616" s="5" t="str">
        <f>HYPERLINK("http://yeinfo.com/family/I09005470.html", "WILLIAM HEATH 1553 EN-1625  ID:09010940")</f>
        <v>WILLIAM HEATH 1553 EN-1625  ID:09010940</v>
      </c>
      <c r="P4616" s="3"/>
      <c r="Q4616" s="3"/>
      <c r="R4616" s="3"/>
      <c r="S4616" s="3"/>
    </row>
    <row r="4617" spans="3:22" x14ac:dyDescent="0.35">
      <c r="C4617" s="15" t="s">
        <v>8</v>
      </c>
      <c r="D4617" s="15" t="s">
        <v>8</v>
      </c>
      <c r="E4617" s="15" t="s">
        <v>8</v>
      </c>
      <c r="F4617" s="15" t="s">
        <v>8</v>
      </c>
      <c r="G4617" s="15" t="s">
        <v>8</v>
      </c>
      <c r="H4617" s="15" t="s">
        <v>8</v>
      </c>
      <c r="I4617" s="15" t="s">
        <v>8</v>
      </c>
      <c r="M4617" s="15" t="s">
        <v>8</v>
      </c>
      <c r="O4617" s="8" t="s">
        <v>3</v>
      </c>
      <c r="P4617" s="8" t="s">
        <v>6</v>
      </c>
    </row>
    <row r="4618" spans="3:22" x14ac:dyDescent="0.35">
      <c r="C4618" s="15" t="s">
        <v>8</v>
      </c>
      <c r="D4618" s="15" t="s">
        <v>8</v>
      </c>
      <c r="E4618" s="15" t="s">
        <v>8</v>
      </c>
      <c r="F4618" s="15" t="s">
        <v>8</v>
      </c>
      <c r="G4618" s="15" t="s">
        <v>8</v>
      </c>
      <c r="H4618" s="15" t="s">
        <v>8</v>
      </c>
      <c r="I4618" s="15" t="s">
        <v>8</v>
      </c>
      <c r="M4618" s="15" t="s">
        <v>8</v>
      </c>
      <c r="O4618" s="15" t="s">
        <v>8</v>
      </c>
      <c r="P4618" s="20" t="str">
        <f>HYPERLINK("http://yeinfo.com/family/I09043761.html", "ALICE CARTER &lt;2&gt; 1525 EN-1593 EN ID:09021881")</f>
        <v>ALICE CARTER &lt;2&gt; 1525 EN-1593 EN ID:09021881</v>
      </c>
      <c r="Q4618" s="17"/>
      <c r="R4618" s="17"/>
      <c r="S4618" s="17"/>
      <c r="T4618" s="17"/>
    </row>
    <row r="4619" spans="3:22" x14ac:dyDescent="0.35">
      <c r="C4619" s="15" t="s">
        <v>8</v>
      </c>
      <c r="D4619" s="15" t="s">
        <v>8</v>
      </c>
      <c r="E4619" s="15" t="s">
        <v>8</v>
      </c>
      <c r="F4619" s="15" t="s">
        <v>8</v>
      </c>
      <c r="G4619" s="15" t="s">
        <v>8</v>
      </c>
      <c r="H4619" s="15" t="s">
        <v>8</v>
      </c>
      <c r="I4619" s="15" t="s">
        <v>8</v>
      </c>
      <c r="M4619" s="15" t="s">
        <v>8</v>
      </c>
      <c r="O4619" s="15" t="s">
        <v>8</v>
      </c>
    </row>
    <row r="4620" spans="3:22" x14ac:dyDescent="0.35">
      <c r="C4620" s="15" t="s">
        <v>8</v>
      </c>
      <c r="D4620" s="15" t="s">
        <v>8</v>
      </c>
      <c r="E4620" s="15" t="s">
        <v>8</v>
      </c>
      <c r="F4620" s="15" t="s">
        <v>8</v>
      </c>
      <c r="G4620" s="15" t="s">
        <v>8</v>
      </c>
      <c r="H4620" s="15" t="s">
        <v>8</v>
      </c>
      <c r="I4620" s="15" t="s">
        <v>8</v>
      </c>
      <c r="M4620" s="15" t="s">
        <v>8</v>
      </c>
      <c r="N4620" s="5" t="str">
        <f>HYPERLINK("http://yeinfo.com/family/I09002735.html", "WILLIAM HEATH 1591 EN-1652  ID:09005470")</f>
        <v>WILLIAM HEATH 1591 EN-1652  ID:09005470</v>
      </c>
      <c r="O4620" s="3"/>
      <c r="P4620" s="3"/>
      <c r="Q4620" s="3"/>
      <c r="R4620" s="3"/>
    </row>
    <row r="4621" spans="3:22" x14ac:dyDescent="0.35">
      <c r="C4621" s="15" t="s">
        <v>8</v>
      </c>
      <c r="D4621" s="15" t="s">
        <v>8</v>
      </c>
      <c r="E4621" s="15" t="s">
        <v>8</v>
      </c>
      <c r="F4621" s="15" t="s">
        <v>8</v>
      </c>
      <c r="G4621" s="15" t="s">
        <v>8</v>
      </c>
      <c r="H4621" s="15" t="s">
        <v>8</v>
      </c>
      <c r="I4621" s="15" t="s">
        <v>8</v>
      </c>
      <c r="M4621" s="15" t="s">
        <v>8</v>
      </c>
      <c r="N4621" s="8" t="s">
        <v>3</v>
      </c>
      <c r="O4621" s="15" t="s">
        <v>8</v>
      </c>
    </row>
    <row r="4622" spans="3:22" x14ac:dyDescent="0.35">
      <c r="C4622" s="15" t="s">
        <v>8</v>
      </c>
      <c r="D4622" s="15" t="s">
        <v>8</v>
      </c>
      <c r="E4622" s="15" t="s">
        <v>8</v>
      </c>
      <c r="F4622" s="15" t="s">
        <v>8</v>
      </c>
      <c r="G4622" s="15" t="s">
        <v>8</v>
      </c>
      <c r="H4622" s="15" t="s">
        <v>8</v>
      </c>
      <c r="I4622" s="15" t="s">
        <v>8</v>
      </c>
      <c r="M4622" s="15" t="s">
        <v>8</v>
      </c>
      <c r="N4622" s="15" t="s">
        <v>8</v>
      </c>
      <c r="O4622" s="15" t="s">
        <v>8</v>
      </c>
      <c r="R4622" s="19" t="str">
        <f>HYPERLINK("http://yeinfo.com/family/I09043764.html", "ROBERT CHENEY 1460 EN-1500 EN ID:09065589")</f>
        <v>ROBERT CHENEY 1460 EN-1500 EN ID:09065589</v>
      </c>
      <c r="S4622" s="9"/>
      <c r="T4622" s="9"/>
      <c r="U4622" s="9"/>
      <c r="V4622" s="9"/>
    </row>
    <row r="4623" spans="3:22" x14ac:dyDescent="0.35">
      <c r="C4623" s="15" t="s">
        <v>8</v>
      </c>
      <c r="D4623" s="15" t="s">
        <v>8</v>
      </c>
      <c r="E4623" s="15" t="s">
        <v>8</v>
      </c>
      <c r="F4623" s="15" t="s">
        <v>8</v>
      </c>
      <c r="G4623" s="15" t="s">
        <v>8</v>
      </c>
      <c r="H4623" s="15" t="s">
        <v>8</v>
      </c>
      <c r="I4623" s="15" t="s">
        <v>8</v>
      </c>
      <c r="M4623" s="15" t="s">
        <v>8</v>
      </c>
      <c r="N4623" s="15" t="s">
        <v>8</v>
      </c>
      <c r="O4623" s="15" t="s">
        <v>8</v>
      </c>
      <c r="R4623" s="8" t="s">
        <v>3</v>
      </c>
    </row>
    <row r="4624" spans="3:22" x14ac:dyDescent="0.35">
      <c r="C4624" s="15" t="s">
        <v>8</v>
      </c>
      <c r="D4624" s="15" t="s">
        <v>8</v>
      </c>
      <c r="E4624" s="15" t="s">
        <v>8</v>
      </c>
      <c r="F4624" s="15" t="s">
        <v>8</v>
      </c>
      <c r="G4624" s="15" t="s">
        <v>8</v>
      </c>
      <c r="H4624" s="15" t="s">
        <v>8</v>
      </c>
      <c r="I4624" s="15" t="s">
        <v>8</v>
      </c>
      <c r="M4624" s="15" t="s">
        <v>8</v>
      </c>
      <c r="N4624" s="15" t="s">
        <v>8</v>
      </c>
      <c r="O4624" s="15" t="s">
        <v>8</v>
      </c>
      <c r="Q4624" s="19" t="str">
        <f>HYPERLINK("http://yeinfo.com/family/I09021882.html", "ROBERT CHENEY II 1500 EN-1520 EN ID:09043764")</f>
        <v>ROBERT CHENEY II 1500 EN-1520 EN ID:09043764</v>
      </c>
      <c r="R4624" s="9"/>
      <c r="S4624" s="9"/>
      <c r="T4624" s="9"/>
      <c r="U4624" s="9"/>
    </row>
    <row r="4625" spans="3:22" x14ac:dyDescent="0.35">
      <c r="C4625" s="15" t="s">
        <v>8</v>
      </c>
      <c r="D4625" s="15" t="s">
        <v>8</v>
      </c>
      <c r="E4625" s="15" t="s">
        <v>8</v>
      </c>
      <c r="F4625" s="15" t="s">
        <v>8</v>
      </c>
      <c r="G4625" s="15" t="s">
        <v>8</v>
      </c>
      <c r="H4625" s="15" t="s">
        <v>8</v>
      </c>
      <c r="I4625" s="15" t="s">
        <v>8</v>
      </c>
      <c r="M4625" s="15" t="s">
        <v>8</v>
      </c>
      <c r="N4625" s="15" t="s">
        <v>8</v>
      </c>
      <c r="O4625" s="15" t="s">
        <v>8</v>
      </c>
      <c r="Q4625" s="8" t="s">
        <v>3</v>
      </c>
      <c r="R4625" s="8" t="s">
        <v>6</v>
      </c>
    </row>
    <row r="4626" spans="3:22" x14ac:dyDescent="0.35">
      <c r="C4626" s="15" t="s">
        <v>8</v>
      </c>
      <c r="D4626" s="15" t="s">
        <v>8</v>
      </c>
      <c r="E4626" s="15" t="s">
        <v>8</v>
      </c>
      <c r="F4626" s="15" t="s">
        <v>8</v>
      </c>
      <c r="G4626" s="15" t="s">
        <v>8</v>
      </c>
      <c r="H4626" s="15" t="s">
        <v>8</v>
      </c>
      <c r="I4626" s="15" t="s">
        <v>8</v>
      </c>
      <c r="M4626" s="15" t="s">
        <v>8</v>
      </c>
      <c r="N4626" s="15" t="s">
        <v>8</v>
      </c>
      <c r="O4626" s="15" t="s">
        <v>8</v>
      </c>
      <c r="Q4626" s="15" t="s">
        <v>8</v>
      </c>
      <c r="R4626" s="20" t="str">
        <f>HYPERLINK("http://yeinfo.com/family/I09065589.html", "Mrs. {_?_} CHENEY 1460 EN-1500 EN ID:09065590")</f>
        <v>Mrs. {_?_} CHENEY 1460 EN-1500 EN ID:09065590</v>
      </c>
      <c r="S4626" s="17"/>
      <c r="T4626" s="17"/>
      <c r="U4626" s="17"/>
      <c r="V4626" s="17"/>
    </row>
    <row r="4627" spans="3:22" x14ac:dyDescent="0.35">
      <c r="C4627" s="15" t="s">
        <v>8</v>
      </c>
      <c r="D4627" s="15" t="s">
        <v>8</v>
      </c>
      <c r="E4627" s="15" t="s">
        <v>8</v>
      </c>
      <c r="F4627" s="15" t="s">
        <v>8</v>
      </c>
      <c r="G4627" s="15" t="s">
        <v>8</v>
      </c>
      <c r="H4627" s="15" t="s">
        <v>8</v>
      </c>
      <c r="I4627" s="15" t="s">
        <v>8</v>
      </c>
      <c r="M4627" s="15" t="s">
        <v>8</v>
      </c>
      <c r="N4627" s="15" t="s">
        <v>8</v>
      </c>
      <c r="O4627" s="15" t="s">
        <v>8</v>
      </c>
      <c r="Q4627" s="15" t="s">
        <v>8</v>
      </c>
    </row>
    <row r="4628" spans="3:22" x14ac:dyDescent="0.35">
      <c r="C4628" s="15" t="s">
        <v>8</v>
      </c>
      <c r="D4628" s="15" t="s">
        <v>8</v>
      </c>
      <c r="E4628" s="15" t="s">
        <v>8</v>
      </c>
      <c r="F4628" s="15" t="s">
        <v>8</v>
      </c>
      <c r="G4628" s="15" t="s">
        <v>8</v>
      </c>
      <c r="H4628" s="15" t="s">
        <v>8</v>
      </c>
      <c r="I4628" s="15" t="s">
        <v>8</v>
      </c>
      <c r="M4628" s="15" t="s">
        <v>8</v>
      </c>
      <c r="N4628" s="15" t="s">
        <v>8</v>
      </c>
      <c r="O4628" s="15" t="s">
        <v>8</v>
      </c>
      <c r="P4628" s="19" t="str">
        <f>HYPERLINK("http://yeinfo.com/family/I09010941.html", "ROBERT CHENEY III 1520 EN-1567 EN ID:09021882")</f>
        <v>ROBERT CHENEY III 1520 EN-1567 EN ID:09021882</v>
      </c>
      <c r="Q4628" s="9"/>
      <c r="R4628" s="9"/>
      <c r="S4628" s="9"/>
      <c r="T4628" s="9"/>
    </row>
    <row r="4629" spans="3:22" x14ac:dyDescent="0.35">
      <c r="C4629" s="15" t="s">
        <v>8</v>
      </c>
      <c r="D4629" s="15" t="s">
        <v>8</v>
      </c>
      <c r="E4629" s="15" t="s">
        <v>8</v>
      </c>
      <c r="F4629" s="15" t="s">
        <v>8</v>
      </c>
      <c r="G4629" s="15" t="s">
        <v>8</v>
      </c>
      <c r="H4629" s="15" t="s">
        <v>8</v>
      </c>
      <c r="I4629" s="15" t="s">
        <v>8</v>
      </c>
      <c r="M4629" s="15" t="s">
        <v>8</v>
      </c>
      <c r="N4629" s="15" t="s">
        <v>8</v>
      </c>
      <c r="O4629" s="15" t="s">
        <v>8</v>
      </c>
      <c r="P4629" s="8" t="s">
        <v>3</v>
      </c>
      <c r="Q4629" s="8" t="s">
        <v>6</v>
      </c>
    </row>
    <row r="4630" spans="3:22" x14ac:dyDescent="0.35">
      <c r="C4630" s="15" t="s">
        <v>8</v>
      </c>
      <c r="D4630" s="15" t="s">
        <v>8</v>
      </c>
      <c r="E4630" s="15" t="s">
        <v>8</v>
      </c>
      <c r="F4630" s="15" t="s">
        <v>8</v>
      </c>
      <c r="G4630" s="15" t="s">
        <v>8</v>
      </c>
      <c r="H4630" s="15" t="s">
        <v>8</v>
      </c>
      <c r="I4630" s="15" t="s">
        <v>8</v>
      </c>
      <c r="M4630" s="15" t="s">
        <v>8</v>
      </c>
      <c r="N4630" s="15" t="s">
        <v>8</v>
      </c>
      <c r="O4630" s="15" t="s">
        <v>8</v>
      </c>
      <c r="P4630" s="15" t="s">
        <v>8</v>
      </c>
      <c r="Q4630" s="20" t="str">
        <f>HYPERLINK("http://yeinfo.com/family/I09065590.html", "MARIA CLARA MUELLER 1492 EN-1565 EN ID:09043765")</f>
        <v>MARIA CLARA MUELLER 1492 EN-1565 EN ID:09043765</v>
      </c>
      <c r="R4630" s="17"/>
      <c r="S4630" s="17"/>
      <c r="T4630" s="17"/>
      <c r="U4630" s="17"/>
    </row>
    <row r="4631" spans="3:22" x14ac:dyDescent="0.35">
      <c r="C4631" s="15" t="s">
        <v>8</v>
      </c>
      <c r="D4631" s="15" t="s">
        <v>8</v>
      </c>
      <c r="E4631" s="15" t="s">
        <v>8</v>
      </c>
      <c r="F4631" s="15" t="s">
        <v>8</v>
      </c>
      <c r="G4631" s="15" t="s">
        <v>8</v>
      </c>
      <c r="H4631" s="15" t="s">
        <v>8</v>
      </c>
      <c r="I4631" s="15" t="s">
        <v>8</v>
      </c>
      <c r="M4631" s="15" t="s">
        <v>8</v>
      </c>
      <c r="N4631" s="15" t="s">
        <v>8</v>
      </c>
      <c r="O4631" s="8" t="s">
        <v>6</v>
      </c>
      <c r="P4631" s="15" t="s">
        <v>8</v>
      </c>
    </row>
    <row r="4632" spans="3:22" x14ac:dyDescent="0.35">
      <c r="C4632" s="15" t="s">
        <v>8</v>
      </c>
      <c r="D4632" s="15" t="s">
        <v>8</v>
      </c>
      <c r="E4632" s="15" t="s">
        <v>8</v>
      </c>
      <c r="F4632" s="15" t="s">
        <v>8</v>
      </c>
      <c r="G4632" s="15" t="s">
        <v>8</v>
      </c>
      <c r="H4632" s="15" t="s">
        <v>8</v>
      </c>
      <c r="I4632" s="15" t="s">
        <v>8</v>
      </c>
      <c r="M4632" s="15" t="s">
        <v>8</v>
      </c>
      <c r="N4632" s="15" t="s">
        <v>8</v>
      </c>
      <c r="O4632" s="20" t="str">
        <f>HYPERLINK("http://yeinfo.com/family/I09021881.html", "AGNES CHENEY 1556 EN-1591 EN ID:09010941")</f>
        <v>AGNES CHENEY 1556 EN-1591 EN ID:09010941</v>
      </c>
      <c r="P4632" s="17"/>
      <c r="Q4632" s="17"/>
      <c r="R4632" s="17"/>
      <c r="S4632" s="17"/>
    </row>
    <row r="4633" spans="3:22" x14ac:dyDescent="0.35">
      <c r="C4633" s="15" t="s">
        <v>8</v>
      </c>
      <c r="D4633" s="15" t="s">
        <v>8</v>
      </c>
      <c r="E4633" s="15" t="s">
        <v>8</v>
      </c>
      <c r="F4633" s="15" t="s">
        <v>8</v>
      </c>
      <c r="G4633" s="15" t="s">
        <v>8</v>
      </c>
      <c r="H4633" s="15" t="s">
        <v>8</v>
      </c>
      <c r="I4633" s="15" t="s">
        <v>8</v>
      </c>
      <c r="M4633" s="15" t="s">
        <v>8</v>
      </c>
      <c r="N4633" s="15" t="s">
        <v>8</v>
      </c>
      <c r="P4633" s="15" t="s">
        <v>8</v>
      </c>
    </row>
    <row r="4634" spans="3:22" x14ac:dyDescent="0.35">
      <c r="C4634" s="15" t="s">
        <v>8</v>
      </c>
      <c r="D4634" s="15" t="s">
        <v>8</v>
      </c>
      <c r="E4634" s="15" t="s">
        <v>8</v>
      </c>
      <c r="F4634" s="15" t="s">
        <v>8</v>
      </c>
      <c r="G4634" s="15" t="s">
        <v>8</v>
      </c>
      <c r="H4634" s="15" t="s">
        <v>8</v>
      </c>
      <c r="I4634" s="15" t="s">
        <v>8</v>
      </c>
      <c r="M4634" s="15" t="s">
        <v>8</v>
      </c>
      <c r="N4634" s="15" t="s">
        <v>8</v>
      </c>
      <c r="P4634" s="15" t="s">
        <v>8</v>
      </c>
      <c r="Q4634" s="19" t="str">
        <f>HYPERLINK("http://yeinfo.com/family/I09021883.html", "JOHN HARRISON 1490 EN-1550 EN ID:09043766")</f>
        <v>JOHN HARRISON 1490 EN-1550 EN ID:09043766</v>
      </c>
      <c r="R4634" s="9"/>
      <c r="S4634" s="9"/>
      <c r="T4634" s="9"/>
      <c r="U4634" s="9"/>
    </row>
    <row r="4635" spans="3:22" x14ac:dyDescent="0.35">
      <c r="C4635" s="15" t="s">
        <v>8</v>
      </c>
      <c r="D4635" s="15" t="s">
        <v>8</v>
      </c>
      <c r="E4635" s="15" t="s">
        <v>8</v>
      </c>
      <c r="F4635" s="15" t="s">
        <v>8</v>
      </c>
      <c r="G4635" s="15" t="s">
        <v>8</v>
      </c>
      <c r="H4635" s="15" t="s">
        <v>8</v>
      </c>
      <c r="I4635" s="15" t="s">
        <v>8</v>
      </c>
      <c r="M4635" s="15" t="s">
        <v>8</v>
      </c>
      <c r="N4635" s="15" t="s">
        <v>8</v>
      </c>
      <c r="P4635" s="8" t="s">
        <v>6</v>
      </c>
      <c r="Q4635" s="8" t="s">
        <v>3</v>
      </c>
    </row>
    <row r="4636" spans="3:22" x14ac:dyDescent="0.35">
      <c r="C4636" s="15" t="s">
        <v>8</v>
      </c>
      <c r="D4636" s="15" t="s">
        <v>8</v>
      </c>
      <c r="E4636" s="15" t="s">
        <v>8</v>
      </c>
      <c r="F4636" s="15" t="s">
        <v>8</v>
      </c>
      <c r="G4636" s="15" t="s">
        <v>8</v>
      </c>
      <c r="H4636" s="15" t="s">
        <v>8</v>
      </c>
      <c r="I4636" s="15" t="s">
        <v>8</v>
      </c>
      <c r="M4636" s="15" t="s">
        <v>8</v>
      </c>
      <c r="N4636" s="15" t="s">
        <v>8</v>
      </c>
      <c r="P4636" s="20" t="str">
        <f>HYPERLINK("http://yeinfo.com/family/I09043765.html", "JOAN HARRISON 1520 EN-1576 EN ID:09021883")</f>
        <v>JOAN HARRISON 1520 EN-1576 EN ID:09021883</v>
      </c>
      <c r="Q4636" s="17"/>
      <c r="R4636" s="17"/>
      <c r="S4636" s="17"/>
      <c r="T4636" s="17"/>
    </row>
    <row r="4637" spans="3:22" x14ac:dyDescent="0.35">
      <c r="C4637" s="15" t="s">
        <v>8</v>
      </c>
      <c r="D4637" s="15" t="s">
        <v>8</v>
      </c>
      <c r="E4637" s="15" t="s">
        <v>8</v>
      </c>
      <c r="F4637" s="15" t="s">
        <v>8</v>
      </c>
      <c r="G4637" s="15" t="s">
        <v>8</v>
      </c>
      <c r="H4637" s="15" t="s">
        <v>8</v>
      </c>
      <c r="I4637" s="15" t="s">
        <v>8</v>
      </c>
      <c r="M4637" s="15" t="s">
        <v>8</v>
      </c>
      <c r="N4637" s="15" t="s">
        <v>8</v>
      </c>
      <c r="Q4637" s="8" t="s">
        <v>6</v>
      </c>
    </row>
    <row r="4638" spans="3:22" x14ac:dyDescent="0.35">
      <c r="C4638" s="15" t="s">
        <v>8</v>
      </c>
      <c r="D4638" s="15" t="s">
        <v>8</v>
      </c>
      <c r="E4638" s="15" t="s">
        <v>8</v>
      </c>
      <c r="F4638" s="15" t="s">
        <v>8</v>
      </c>
      <c r="G4638" s="15" t="s">
        <v>8</v>
      </c>
      <c r="H4638" s="15" t="s">
        <v>8</v>
      </c>
      <c r="I4638" s="15" t="s">
        <v>8</v>
      </c>
      <c r="M4638" s="15" t="s">
        <v>8</v>
      </c>
      <c r="N4638" s="15" t="s">
        <v>8</v>
      </c>
      <c r="Q4638" s="20" t="str">
        <f>HYPERLINK("http://yeinfo.com/family/I09043766.html", "Mrs. AGNES HARRISON 1490 EN-1530 EN ID:09043767")</f>
        <v>Mrs. AGNES HARRISON 1490 EN-1530 EN ID:09043767</v>
      </c>
      <c r="R4638" s="17"/>
      <c r="S4638" s="17"/>
      <c r="T4638" s="17"/>
      <c r="U4638" s="17"/>
    </row>
    <row r="4639" spans="3:22" x14ac:dyDescent="0.35">
      <c r="C4639" s="15" t="s">
        <v>8</v>
      </c>
      <c r="D4639" s="15" t="s">
        <v>8</v>
      </c>
      <c r="E4639" s="15" t="s">
        <v>8</v>
      </c>
      <c r="F4639" s="15" t="s">
        <v>8</v>
      </c>
      <c r="G4639" s="15" t="s">
        <v>8</v>
      </c>
      <c r="H4639" s="15" t="s">
        <v>8</v>
      </c>
      <c r="I4639" s="15" t="s">
        <v>8</v>
      </c>
      <c r="M4639" s="8" t="s">
        <v>6</v>
      </c>
      <c r="N4639" s="15" t="s">
        <v>8</v>
      </c>
    </row>
    <row r="4640" spans="3:22" x14ac:dyDescent="0.35">
      <c r="C4640" s="15" t="s">
        <v>8</v>
      </c>
      <c r="D4640" s="15" t="s">
        <v>8</v>
      </c>
      <c r="E4640" s="15" t="s">
        <v>8</v>
      </c>
      <c r="F4640" s="15" t="s">
        <v>8</v>
      </c>
      <c r="G4640" s="15" t="s">
        <v>8</v>
      </c>
      <c r="H4640" s="15" t="s">
        <v>8</v>
      </c>
      <c r="I4640" s="15" t="s">
        <v>8</v>
      </c>
      <c r="M4640" s="16" t="str">
        <f>HYPERLINK("http://yeinfo.com/family/I09005469.html", "MARY HEATH 1627 EN-1678  ID:09002735")</f>
        <v>MARY HEATH 1627 EN-1678  ID:09002735</v>
      </c>
      <c r="N4640" s="11"/>
      <c r="O4640" s="11"/>
      <c r="P4640" s="11"/>
      <c r="Q4640" s="11"/>
    </row>
    <row r="4641" spans="3:19" x14ac:dyDescent="0.35">
      <c r="C4641" s="15" t="s">
        <v>8</v>
      </c>
      <c r="D4641" s="15" t="s">
        <v>8</v>
      </c>
      <c r="E4641" s="15" t="s">
        <v>8</v>
      </c>
      <c r="F4641" s="15" t="s">
        <v>8</v>
      </c>
      <c r="G4641" s="15" t="s">
        <v>8</v>
      </c>
      <c r="H4641" s="15" t="s">
        <v>8</v>
      </c>
      <c r="I4641" s="15" t="s">
        <v>8</v>
      </c>
      <c r="N4641" s="15" t="s">
        <v>8</v>
      </c>
    </row>
    <row r="4642" spans="3:19" x14ac:dyDescent="0.35">
      <c r="C4642" s="15" t="s">
        <v>8</v>
      </c>
      <c r="D4642" s="15" t="s">
        <v>8</v>
      </c>
      <c r="E4642" s="15" t="s">
        <v>8</v>
      </c>
      <c r="F4642" s="15" t="s">
        <v>8</v>
      </c>
      <c r="G4642" s="15" t="s">
        <v>8</v>
      </c>
      <c r="H4642" s="15" t="s">
        <v>8</v>
      </c>
      <c r="I4642" s="15" t="s">
        <v>8</v>
      </c>
      <c r="N4642" s="15" t="s">
        <v>8</v>
      </c>
      <c r="O4642" s="19" t="str">
        <f>HYPERLINK("http://yeinfo.com/family/I09005471.html", "JOHN PERRY 1545 EN-1612 EN ID:09010942")</f>
        <v>JOHN PERRY 1545 EN-1612 EN ID:09010942</v>
      </c>
      <c r="P4642" s="9"/>
      <c r="Q4642" s="9"/>
      <c r="R4642" s="9"/>
      <c r="S4642" s="9"/>
    </row>
    <row r="4643" spans="3:19" x14ac:dyDescent="0.35">
      <c r="C4643" s="15" t="s">
        <v>8</v>
      </c>
      <c r="D4643" s="15" t="s">
        <v>8</v>
      </c>
      <c r="E4643" s="15" t="s">
        <v>8</v>
      </c>
      <c r="F4643" s="15" t="s">
        <v>8</v>
      </c>
      <c r="G4643" s="15" t="s">
        <v>8</v>
      </c>
      <c r="H4643" s="15" t="s">
        <v>8</v>
      </c>
      <c r="I4643" s="15" t="s">
        <v>8</v>
      </c>
      <c r="N4643" s="8" t="s">
        <v>6</v>
      </c>
      <c r="O4643" s="8" t="s">
        <v>3</v>
      </c>
    </row>
    <row r="4644" spans="3:19" x14ac:dyDescent="0.35">
      <c r="C4644" s="15" t="s">
        <v>8</v>
      </c>
      <c r="D4644" s="15" t="s">
        <v>8</v>
      </c>
      <c r="E4644" s="15" t="s">
        <v>8</v>
      </c>
      <c r="F4644" s="15" t="s">
        <v>8</v>
      </c>
      <c r="G4644" s="15" t="s">
        <v>8</v>
      </c>
      <c r="H4644" s="15" t="s">
        <v>8</v>
      </c>
      <c r="I4644" s="15" t="s">
        <v>8</v>
      </c>
      <c r="N4644" s="16" t="str">
        <f>HYPERLINK("http://yeinfo.com/family/I09043767.html", "MARY PERRY 1602 EN-1660  ID:09005471")</f>
        <v>MARY PERRY 1602 EN-1660  ID:09005471</v>
      </c>
      <c r="O4644" s="11"/>
      <c r="P4644" s="11"/>
      <c r="Q4644" s="11"/>
      <c r="R4644" s="11"/>
    </row>
    <row r="4645" spans="3:19" x14ac:dyDescent="0.35">
      <c r="C4645" s="15" t="s">
        <v>8</v>
      </c>
      <c r="D4645" s="15" t="s">
        <v>8</v>
      </c>
      <c r="E4645" s="15" t="s">
        <v>8</v>
      </c>
      <c r="F4645" s="15" t="s">
        <v>8</v>
      </c>
      <c r="G4645" s="15" t="s">
        <v>8</v>
      </c>
      <c r="H4645" s="15" t="s">
        <v>8</v>
      </c>
      <c r="I4645" s="15" t="s">
        <v>8</v>
      </c>
      <c r="O4645" s="8" t="s">
        <v>6</v>
      </c>
    </row>
    <row r="4646" spans="3:19" x14ac:dyDescent="0.35">
      <c r="C4646" s="15" t="s">
        <v>8</v>
      </c>
      <c r="D4646" s="15" t="s">
        <v>8</v>
      </c>
      <c r="E4646" s="15" t="s">
        <v>8</v>
      </c>
      <c r="F4646" s="15" t="s">
        <v>8</v>
      </c>
      <c r="G4646" s="15" t="s">
        <v>8</v>
      </c>
      <c r="H4646" s="15" t="s">
        <v>8</v>
      </c>
      <c r="I4646" s="15" t="s">
        <v>8</v>
      </c>
      <c r="O4646" s="20" t="str">
        <f>HYPERLINK("http://yeinfo.com/family/I09010942.html", "ANNEIS PEERCE 1565 EN-1630 EN ID:09010943")</f>
        <v>ANNEIS PEERCE 1565 EN-1630 EN ID:09010943</v>
      </c>
      <c r="P4646" s="17"/>
      <c r="Q4646" s="17"/>
      <c r="R4646" s="17"/>
      <c r="S4646" s="17"/>
    </row>
    <row r="4647" spans="3:19" x14ac:dyDescent="0.35">
      <c r="C4647" s="15" t="s">
        <v>8</v>
      </c>
      <c r="D4647" s="15" t="s">
        <v>8</v>
      </c>
      <c r="E4647" s="15" t="s">
        <v>8</v>
      </c>
      <c r="F4647" s="15" t="s">
        <v>8</v>
      </c>
      <c r="G4647" s="15" t="s">
        <v>8</v>
      </c>
      <c r="H4647" s="8" t="s">
        <v>6</v>
      </c>
      <c r="I4647" s="15" t="s">
        <v>8</v>
      </c>
    </row>
    <row r="4648" spans="3:19" x14ac:dyDescent="0.35">
      <c r="C4648" s="15" t="s">
        <v>8</v>
      </c>
      <c r="D4648" s="15" t="s">
        <v>8</v>
      </c>
      <c r="E4648" s="15" t="s">
        <v>8</v>
      </c>
      <c r="F4648" s="15" t="s">
        <v>8</v>
      </c>
      <c r="G4648" s="15" t="s">
        <v>8</v>
      </c>
      <c r="H4648" s="16" t="str">
        <f>HYPERLINK("http://yeinfo.com/family/I09010879.html", "RUBY RHODA BLOSS 1806 PA-1866 IL ID:09000085")</f>
        <v>RUBY RHODA BLOSS 1806 PA-1866 IL ID:09000085</v>
      </c>
      <c r="I4648" s="11"/>
      <c r="J4648" s="11"/>
      <c r="K4648" s="11"/>
      <c r="L4648" s="11"/>
    </row>
    <row r="4649" spans="3:19" x14ac:dyDescent="0.35">
      <c r="C4649" s="15" t="s">
        <v>8</v>
      </c>
      <c r="D4649" s="15" t="s">
        <v>8</v>
      </c>
      <c r="E4649" s="15" t="s">
        <v>8</v>
      </c>
      <c r="F4649" s="15" t="s">
        <v>8</v>
      </c>
      <c r="G4649" s="15" t="s">
        <v>8</v>
      </c>
      <c r="I4649" s="8" t="s">
        <v>6</v>
      </c>
    </row>
    <row r="4650" spans="3:19" x14ac:dyDescent="0.35">
      <c r="C4650" s="15" t="s">
        <v>8</v>
      </c>
      <c r="D4650" s="15" t="s">
        <v>8</v>
      </c>
      <c r="E4650" s="15" t="s">
        <v>8</v>
      </c>
      <c r="F4650" s="15" t="s">
        <v>8</v>
      </c>
      <c r="G4650" s="15" t="s">
        <v>8</v>
      </c>
      <c r="I4650" s="16" t="str">
        <f>HYPERLINK("http://yeinfo.com/family/I09010943.html", "LUANIE CUTLER 1780 NY-1812 PA ID:09000171")</f>
        <v>LUANIE CUTLER 1780 NY-1812 PA ID:09000171</v>
      </c>
      <c r="J4650" s="11"/>
      <c r="K4650" s="11"/>
      <c r="L4650" s="11"/>
      <c r="M4650" s="11"/>
    </row>
    <row r="4651" spans="3:19" x14ac:dyDescent="0.35">
      <c r="C4651" s="15" t="s">
        <v>8</v>
      </c>
      <c r="D4651" s="15" t="s">
        <v>8</v>
      </c>
      <c r="E4651" s="15" t="s">
        <v>8</v>
      </c>
      <c r="F4651" s="8" t="s">
        <v>6</v>
      </c>
      <c r="G4651" s="15" t="s">
        <v>8</v>
      </c>
    </row>
    <row r="4652" spans="3:19" x14ac:dyDescent="0.35">
      <c r="C4652" s="15" t="s">
        <v>8</v>
      </c>
      <c r="D4652" s="15" t="s">
        <v>8</v>
      </c>
      <c r="E4652" s="15" t="s">
        <v>8</v>
      </c>
      <c r="F4652" s="16" t="str">
        <f>HYPERLINK("http://yeinfo.com/family/I09000083.html", "MARY LOUISE DOUGLASS 1858 IA-1945 MN ID:09000021")</f>
        <v>MARY LOUISE DOUGLASS 1858 IA-1945 MN ID:09000021</v>
      </c>
      <c r="G4652" s="11"/>
      <c r="H4652" s="11"/>
      <c r="I4652" s="11"/>
      <c r="J4652" s="11"/>
    </row>
    <row r="4653" spans="3:19" x14ac:dyDescent="0.35">
      <c r="C4653" s="15" t="s">
        <v>8</v>
      </c>
      <c r="D4653" s="15" t="s">
        <v>8</v>
      </c>
      <c r="E4653" s="15" t="s">
        <v>8</v>
      </c>
      <c r="G4653" s="15" t="s">
        <v>8</v>
      </c>
    </row>
    <row r="4654" spans="3:19" x14ac:dyDescent="0.35">
      <c r="C4654" s="15" t="s">
        <v>8</v>
      </c>
      <c r="D4654" s="15" t="s">
        <v>8</v>
      </c>
      <c r="E4654" s="15" t="s">
        <v>8</v>
      </c>
      <c r="G4654" s="15" t="s">
        <v>8</v>
      </c>
      <c r="K4654" s="21" t="str">
        <f>HYPERLINK("http://yeinfo.com/family/I09000344.html", "JAMES METIER 1697 NI-1785 PA ID:09000688")</f>
        <v>JAMES METIER 1697 NI-1785 PA ID:09000688</v>
      </c>
      <c r="L4654" s="6"/>
      <c r="M4654" s="6"/>
      <c r="N4654" s="6"/>
      <c r="O4654" s="6"/>
    </row>
    <row r="4655" spans="3:19" x14ac:dyDescent="0.35">
      <c r="C4655" s="15" t="s">
        <v>8</v>
      </c>
      <c r="D4655" s="15" t="s">
        <v>8</v>
      </c>
      <c r="E4655" s="15" t="s">
        <v>8</v>
      </c>
      <c r="G4655" s="15" t="s">
        <v>8</v>
      </c>
      <c r="K4655" s="8" t="s">
        <v>3</v>
      </c>
    </row>
    <row r="4656" spans="3:19" x14ac:dyDescent="0.35">
      <c r="C4656" s="15" t="s">
        <v>8</v>
      </c>
      <c r="D4656" s="15" t="s">
        <v>8</v>
      </c>
      <c r="E4656" s="15" t="s">
        <v>8</v>
      </c>
      <c r="G4656" s="15" t="s">
        <v>8</v>
      </c>
      <c r="J4656" s="5" t="str">
        <f>HYPERLINK("http://yeinfo.com/family/I09000172.html", "JOHN METIER 1736 PA-1790 PA ID:09000344")</f>
        <v>JOHN METIER 1736 PA-1790 PA ID:09000344</v>
      </c>
      <c r="K4656" s="3"/>
      <c r="L4656" s="3"/>
      <c r="M4656" s="3"/>
      <c r="N4656" s="3"/>
    </row>
    <row r="4657" spans="3:17" x14ac:dyDescent="0.35">
      <c r="C4657" s="15" t="s">
        <v>8</v>
      </c>
      <c r="D4657" s="15" t="s">
        <v>8</v>
      </c>
      <c r="E4657" s="15" t="s">
        <v>8</v>
      </c>
      <c r="G4657" s="15" t="s">
        <v>8</v>
      </c>
      <c r="J4657" s="8" t="s">
        <v>3</v>
      </c>
      <c r="K4657" s="8" t="s">
        <v>6</v>
      </c>
    </row>
    <row r="4658" spans="3:17" x14ac:dyDescent="0.35">
      <c r="C4658" s="15" t="s">
        <v>8</v>
      </c>
      <c r="D4658" s="15" t="s">
        <v>8</v>
      </c>
      <c r="E4658" s="15" t="s">
        <v>8</v>
      </c>
      <c r="G4658" s="15" t="s">
        <v>8</v>
      </c>
      <c r="J4658" s="15" t="s">
        <v>8</v>
      </c>
      <c r="K4658" s="22" t="str">
        <f>HYPERLINK("http://yeinfo.com/family/I09000688.html", "MARGARET ANDERSON 1700 NI-1770 PA ID:09000689")</f>
        <v>MARGARET ANDERSON 1700 NI-1770 PA ID:09000689</v>
      </c>
      <c r="L4658" s="13"/>
      <c r="M4658" s="13"/>
      <c r="N4658" s="13"/>
      <c r="O4658" s="13"/>
    </row>
    <row r="4659" spans="3:17" x14ac:dyDescent="0.35">
      <c r="C4659" s="15" t="s">
        <v>8</v>
      </c>
      <c r="D4659" s="15" t="s">
        <v>8</v>
      </c>
      <c r="E4659" s="15" t="s">
        <v>8</v>
      </c>
      <c r="G4659" s="15" t="s">
        <v>8</v>
      </c>
      <c r="J4659" s="15" t="s">
        <v>8</v>
      </c>
    </row>
    <row r="4660" spans="3:17" x14ac:dyDescent="0.35">
      <c r="C4660" s="15" t="s">
        <v>8</v>
      </c>
      <c r="D4660" s="15" t="s">
        <v>8</v>
      </c>
      <c r="E4660" s="15" t="s">
        <v>8</v>
      </c>
      <c r="G4660" s="15" t="s">
        <v>8</v>
      </c>
      <c r="I4660" s="5" t="str">
        <f>HYPERLINK("http://yeinfo.com/family/I09000086.html", "SAMUEL HUSTON METIER Jr. 1752 PA-1814 PA ID:09000172")</f>
        <v>SAMUEL HUSTON METIER Jr. 1752 PA-1814 PA ID:09000172</v>
      </c>
      <c r="J4660" s="3"/>
      <c r="K4660" s="3"/>
      <c r="L4660" s="3"/>
      <c r="M4660" s="3"/>
    </row>
    <row r="4661" spans="3:17" x14ac:dyDescent="0.35">
      <c r="C4661" s="15" t="s">
        <v>8</v>
      </c>
      <c r="D4661" s="15" t="s">
        <v>8</v>
      </c>
      <c r="E4661" s="15" t="s">
        <v>8</v>
      </c>
      <c r="G4661" s="15" t="s">
        <v>8</v>
      </c>
      <c r="I4661" s="8" t="s">
        <v>3</v>
      </c>
      <c r="J4661" s="15" t="s">
        <v>8</v>
      </c>
    </row>
    <row r="4662" spans="3:17" x14ac:dyDescent="0.35">
      <c r="C4662" s="15" t="s">
        <v>8</v>
      </c>
      <c r="D4662" s="15" t="s">
        <v>8</v>
      </c>
      <c r="E4662" s="15" t="s">
        <v>8</v>
      </c>
      <c r="G4662" s="15" t="s">
        <v>8</v>
      </c>
      <c r="I4662" s="15" t="s">
        <v>8</v>
      </c>
      <c r="J4662" s="15" t="s">
        <v>8</v>
      </c>
      <c r="L4662" s="5" t="str">
        <f>HYPERLINK("http://yeinfo.com/family/I09000690.html", "JOHN HUSTON 1670 IR-1760  ID:09001380")</f>
        <v>JOHN HUSTON 1670 IR-1760  ID:09001380</v>
      </c>
      <c r="M4662" s="3"/>
      <c r="N4662" s="3"/>
      <c r="O4662" s="3"/>
      <c r="P4662" s="3"/>
    </row>
    <row r="4663" spans="3:17" x14ac:dyDescent="0.35">
      <c r="C4663" s="15" t="s">
        <v>8</v>
      </c>
      <c r="D4663" s="15" t="s">
        <v>8</v>
      </c>
      <c r="E4663" s="15" t="s">
        <v>8</v>
      </c>
      <c r="G4663" s="15" t="s">
        <v>8</v>
      </c>
      <c r="I4663" s="15" t="s">
        <v>8</v>
      </c>
      <c r="J4663" s="15" t="s">
        <v>8</v>
      </c>
      <c r="L4663" s="8" t="s">
        <v>3</v>
      </c>
    </row>
    <row r="4664" spans="3:17" x14ac:dyDescent="0.35">
      <c r="C4664" s="15" t="s">
        <v>8</v>
      </c>
      <c r="D4664" s="15" t="s">
        <v>8</v>
      </c>
      <c r="E4664" s="15" t="s">
        <v>8</v>
      </c>
      <c r="G4664" s="15" t="s">
        <v>8</v>
      </c>
      <c r="I4664" s="15" t="s">
        <v>8</v>
      </c>
      <c r="J4664" s="15" t="s">
        <v>8</v>
      </c>
      <c r="K4664" s="5" t="str">
        <f>HYPERLINK("http://yeinfo.com/family/I09000345.html", "SAMUEL HUSTON 1708 PA-1784 PA ID:09000690")</f>
        <v>SAMUEL HUSTON 1708 PA-1784 PA ID:09000690</v>
      </c>
      <c r="L4664" s="3"/>
      <c r="M4664" s="3"/>
      <c r="N4664" s="3"/>
      <c r="O4664" s="3"/>
    </row>
    <row r="4665" spans="3:17" x14ac:dyDescent="0.35">
      <c r="C4665" s="15" t="s">
        <v>8</v>
      </c>
      <c r="D4665" s="15" t="s">
        <v>8</v>
      </c>
      <c r="E4665" s="15" t="s">
        <v>8</v>
      </c>
      <c r="G4665" s="15" t="s">
        <v>8</v>
      </c>
      <c r="I4665" s="15" t="s">
        <v>8</v>
      </c>
      <c r="J4665" s="15" t="s">
        <v>8</v>
      </c>
      <c r="K4665" s="8" t="s">
        <v>3</v>
      </c>
      <c r="L4665" s="8" t="s">
        <v>6</v>
      </c>
    </row>
    <row r="4666" spans="3:17" x14ac:dyDescent="0.35">
      <c r="C4666" s="15" t="s">
        <v>8</v>
      </c>
      <c r="D4666" s="15" t="s">
        <v>8</v>
      </c>
      <c r="E4666" s="15" t="s">
        <v>8</v>
      </c>
      <c r="G4666" s="15" t="s">
        <v>8</v>
      </c>
      <c r="I4666" s="15" t="s">
        <v>8</v>
      </c>
      <c r="J4666" s="15" t="s">
        <v>8</v>
      </c>
      <c r="K4666" s="15" t="s">
        <v>8</v>
      </c>
      <c r="L4666" s="22" t="str">
        <f>HYPERLINK("http://yeinfo.com/family/I09001380.html", "MARGARET CUNNINGHAM 1675 ST-1754 VA ID:09001381")</f>
        <v>MARGARET CUNNINGHAM 1675 ST-1754 VA ID:09001381</v>
      </c>
      <c r="M4666" s="13"/>
      <c r="N4666" s="13"/>
      <c r="O4666" s="13"/>
      <c r="P4666" s="13"/>
    </row>
    <row r="4667" spans="3:17" x14ac:dyDescent="0.35">
      <c r="C4667" s="15" t="s">
        <v>8</v>
      </c>
      <c r="D4667" s="15" t="s">
        <v>8</v>
      </c>
      <c r="E4667" s="15" t="s">
        <v>8</v>
      </c>
      <c r="G4667" s="15" t="s">
        <v>8</v>
      </c>
      <c r="I4667" s="15" t="s">
        <v>8</v>
      </c>
      <c r="J4667" s="8" t="s">
        <v>6</v>
      </c>
      <c r="K4667" s="15" t="s">
        <v>8</v>
      </c>
    </row>
    <row r="4668" spans="3:17" x14ac:dyDescent="0.35">
      <c r="C4668" s="15" t="s">
        <v>8</v>
      </c>
      <c r="D4668" s="15" t="s">
        <v>8</v>
      </c>
      <c r="E4668" s="15" t="s">
        <v>8</v>
      </c>
      <c r="G4668" s="15" t="s">
        <v>8</v>
      </c>
      <c r="I4668" s="15" t="s">
        <v>8</v>
      </c>
      <c r="J4668" s="16" t="str">
        <f>HYPERLINK("http://yeinfo.com/family/I09000689.html", "MARY HUSTON 1739 PA-1812 PA ID:09000345")</f>
        <v>MARY HUSTON 1739 PA-1812 PA ID:09000345</v>
      </c>
      <c r="K4668" s="11"/>
      <c r="L4668" s="11"/>
      <c r="M4668" s="11"/>
      <c r="N4668" s="11"/>
    </row>
    <row r="4669" spans="3:17" x14ac:dyDescent="0.35">
      <c r="C4669" s="15" t="s">
        <v>8</v>
      </c>
      <c r="D4669" s="15" t="s">
        <v>8</v>
      </c>
      <c r="E4669" s="15" t="s">
        <v>8</v>
      </c>
      <c r="G4669" s="15" t="s">
        <v>8</v>
      </c>
      <c r="I4669" s="15" t="s">
        <v>8</v>
      </c>
      <c r="K4669" s="15" t="s">
        <v>8</v>
      </c>
    </row>
    <row r="4670" spans="3:17" x14ac:dyDescent="0.35">
      <c r="C4670" s="15" t="s">
        <v>8</v>
      </c>
      <c r="D4670" s="15" t="s">
        <v>8</v>
      </c>
      <c r="E4670" s="15" t="s">
        <v>8</v>
      </c>
      <c r="G4670" s="15" t="s">
        <v>8</v>
      </c>
      <c r="I4670" s="15" t="s">
        <v>8</v>
      </c>
      <c r="K4670" s="15" t="s">
        <v>8</v>
      </c>
      <c r="M4670" s="21" t="str">
        <f>HYPERLINK("http://yeinfo.com/family/I09001382.html", "WILLIAM SHARON 1670 IR-1752 PA ID:09002764")</f>
        <v>WILLIAM SHARON 1670 IR-1752 PA ID:09002764</v>
      </c>
      <c r="N4670" s="6"/>
      <c r="O4670" s="6"/>
      <c r="P4670" s="6"/>
      <c r="Q4670" s="6"/>
    </row>
    <row r="4671" spans="3:17" x14ac:dyDescent="0.35">
      <c r="C4671" s="15" t="s">
        <v>8</v>
      </c>
      <c r="D4671" s="15" t="s">
        <v>8</v>
      </c>
      <c r="E4671" s="15" t="s">
        <v>8</v>
      </c>
      <c r="G4671" s="15" t="s">
        <v>8</v>
      </c>
      <c r="I4671" s="15" t="s">
        <v>8</v>
      </c>
      <c r="K4671" s="15" t="s">
        <v>8</v>
      </c>
      <c r="M4671" s="8" t="s">
        <v>3</v>
      </c>
    </row>
    <row r="4672" spans="3:17" x14ac:dyDescent="0.35">
      <c r="C4672" s="15" t="s">
        <v>8</v>
      </c>
      <c r="D4672" s="15" t="s">
        <v>8</v>
      </c>
      <c r="E4672" s="15" t="s">
        <v>8</v>
      </c>
      <c r="G4672" s="15" t="s">
        <v>8</v>
      </c>
      <c r="I4672" s="15" t="s">
        <v>8</v>
      </c>
      <c r="K4672" s="15" t="s">
        <v>8</v>
      </c>
      <c r="L4672" s="5" t="str">
        <f>HYPERLINK("http://yeinfo.com/family/I09000691.html", "JAMES SHARON 1700 PA-1808 OH ID:09001382")</f>
        <v>JAMES SHARON 1700 PA-1808 OH ID:09001382</v>
      </c>
      <c r="M4672" s="3"/>
      <c r="N4672" s="3"/>
      <c r="O4672" s="3"/>
      <c r="P4672" s="3"/>
    </row>
    <row r="4673" spans="3:17" x14ac:dyDescent="0.35">
      <c r="C4673" s="15" t="s">
        <v>8</v>
      </c>
      <c r="D4673" s="15" t="s">
        <v>8</v>
      </c>
      <c r="E4673" s="15" t="s">
        <v>8</v>
      </c>
      <c r="G4673" s="15" t="s">
        <v>8</v>
      </c>
      <c r="I4673" s="15" t="s">
        <v>8</v>
      </c>
      <c r="K4673" s="15" t="s">
        <v>8</v>
      </c>
      <c r="L4673" s="8" t="s">
        <v>3</v>
      </c>
      <c r="M4673" s="8" t="s">
        <v>6</v>
      </c>
    </row>
    <row r="4674" spans="3:17" x14ac:dyDescent="0.35">
      <c r="C4674" s="15" t="s">
        <v>8</v>
      </c>
      <c r="D4674" s="15" t="s">
        <v>8</v>
      </c>
      <c r="E4674" s="15" t="s">
        <v>8</v>
      </c>
      <c r="G4674" s="15" t="s">
        <v>8</v>
      </c>
      <c r="I4674" s="15" t="s">
        <v>8</v>
      </c>
      <c r="K4674" s="15" t="s">
        <v>8</v>
      </c>
      <c r="L4674" s="15" t="s">
        <v>8</v>
      </c>
      <c r="M4674" s="22" t="str">
        <f>HYPERLINK("http://yeinfo.com/family/I09002764.html", "MARGARET CHAMBERS 1670 IR-1759 PA ID:09002765")</f>
        <v>MARGARET CHAMBERS 1670 IR-1759 PA ID:09002765</v>
      </c>
      <c r="N4674" s="13"/>
      <c r="O4674" s="13"/>
      <c r="P4674" s="13"/>
      <c r="Q4674" s="13"/>
    </row>
    <row r="4675" spans="3:17" x14ac:dyDescent="0.35">
      <c r="C4675" s="15" t="s">
        <v>8</v>
      </c>
      <c r="D4675" s="15" t="s">
        <v>8</v>
      </c>
      <c r="E4675" s="15" t="s">
        <v>8</v>
      </c>
      <c r="G4675" s="15" t="s">
        <v>8</v>
      </c>
      <c r="I4675" s="15" t="s">
        <v>8</v>
      </c>
      <c r="K4675" s="8" t="s">
        <v>6</v>
      </c>
      <c r="L4675" s="15" t="s">
        <v>8</v>
      </c>
    </row>
    <row r="4676" spans="3:17" x14ac:dyDescent="0.35">
      <c r="C4676" s="15" t="s">
        <v>8</v>
      </c>
      <c r="D4676" s="15" t="s">
        <v>8</v>
      </c>
      <c r="E4676" s="15" t="s">
        <v>8</v>
      </c>
      <c r="G4676" s="15" t="s">
        <v>8</v>
      </c>
      <c r="I4676" s="15" t="s">
        <v>8</v>
      </c>
      <c r="K4676" s="16" t="str">
        <f>HYPERLINK("http://yeinfo.com/family/I09001381.html", "ISABELLA SHARON 1708 PA-1739 PA ID:09000691")</f>
        <v>ISABELLA SHARON 1708 PA-1739 PA ID:09000691</v>
      </c>
      <c r="L4676" s="11"/>
      <c r="M4676" s="11"/>
      <c r="N4676" s="11"/>
      <c r="O4676" s="11"/>
    </row>
    <row r="4677" spans="3:17" x14ac:dyDescent="0.35">
      <c r="C4677" s="15" t="s">
        <v>8</v>
      </c>
      <c r="D4677" s="15" t="s">
        <v>8</v>
      </c>
      <c r="E4677" s="15" t="s">
        <v>8</v>
      </c>
      <c r="G4677" s="15" t="s">
        <v>8</v>
      </c>
      <c r="I4677" s="15" t="s">
        <v>8</v>
      </c>
      <c r="L4677" s="8" t="s">
        <v>6</v>
      </c>
    </row>
    <row r="4678" spans="3:17" x14ac:dyDescent="0.35">
      <c r="C4678" s="15" t="s">
        <v>8</v>
      </c>
      <c r="D4678" s="15" t="s">
        <v>8</v>
      </c>
      <c r="E4678" s="15" t="s">
        <v>8</v>
      </c>
      <c r="G4678" s="15" t="s">
        <v>8</v>
      </c>
      <c r="I4678" s="15" t="s">
        <v>8</v>
      </c>
      <c r="L4678" s="16" t="str">
        <f>HYPERLINK("http://yeinfo.com/family/I09002765.html", "Mrs. {_?_} SHARON 1690 -1710  ID:09001383")</f>
        <v>Mrs. {_?_} SHARON 1690 -1710  ID:09001383</v>
      </c>
      <c r="M4678" s="11"/>
      <c r="N4678" s="11"/>
      <c r="O4678" s="11"/>
      <c r="P4678" s="11"/>
    </row>
    <row r="4679" spans="3:17" x14ac:dyDescent="0.35">
      <c r="C4679" s="15" t="s">
        <v>8</v>
      </c>
      <c r="D4679" s="15" t="s">
        <v>8</v>
      </c>
      <c r="E4679" s="15" t="s">
        <v>8</v>
      </c>
      <c r="G4679" s="15" t="s">
        <v>8</v>
      </c>
      <c r="I4679" s="15" t="s">
        <v>8</v>
      </c>
    </row>
    <row r="4680" spans="3:17" x14ac:dyDescent="0.35">
      <c r="C4680" s="15" t="s">
        <v>8</v>
      </c>
      <c r="D4680" s="15" t="s">
        <v>8</v>
      </c>
      <c r="E4680" s="15" t="s">
        <v>8</v>
      </c>
      <c r="G4680" s="15" t="s">
        <v>8</v>
      </c>
      <c r="H4680" s="5" t="str">
        <f>HYPERLINK("http://yeinfo.com/family/I09000043.html", "WILLIAM NESBIT METIER 1800 PA-1851 IL ID:09000086")</f>
        <v>WILLIAM NESBIT METIER 1800 PA-1851 IL ID:09000086</v>
      </c>
      <c r="I4680" s="3"/>
      <c r="J4680" s="3"/>
      <c r="K4680" s="3"/>
      <c r="L4680" s="3"/>
    </row>
    <row r="4681" spans="3:17" x14ac:dyDescent="0.35">
      <c r="C4681" s="15" t="s">
        <v>8</v>
      </c>
      <c r="D4681" s="15" t="s">
        <v>8</v>
      </c>
      <c r="E4681" s="15" t="s">
        <v>8</v>
      </c>
      <c r="G4681" s="15" t="s">
        <v>8</v>
      </c>
      <c r="H4681" s="8" t="s">
        <v>3</v>
      </c>
      <c r="I4681" s="15" t="s">
        <v>8</v>
      </c>
    </row>
    <row r="4682" spans="3:17" x14ac:dyDescent="0.35">
      <c r="C4682" s="15" t="s">
        <v>8</v>
      </c>
      <c r="D4682" s="15" t="s">
        <v>8</v>
      </c>
      <c r="E4682" s="15" t="s">
        <v>8</v>
      </c>
      <c r="G4682" s="15" t="s">
        <v>8</v>
      </c>
      <c r="H4682" s="15" t="s">
        <v>8</v>
      </c>
      <c r="I4682" s="15" t="s">
        <v>8</v>
      </c>
      <c r="M4682" s="5" t="str">
        <f>HYPERLINK("http://yeinfo.com/family/I09001384.html", "ALEXANDER NESBIT 1620 ST-1670  ID:09002768")</f>
        <v>ALEXANDER NESBIT 1620 ST-1670  ID:09002768</v>
      </c>
      <c r="N4682" s="3"/>
      <c r="O4682" s="3"/>
      <c r="P4682" s="3"/>
      <c r="Q4682" s="3"/>
    </row>
    <row r="4683" spans="3:17" x14ac:dyDescent="0.35">
      <c r="C4683" s="15" t="s">
        <v>8</v>
      </c>
      <c r="D4683" s="15" t="s">
        <v>8</v>
      </c>
      <c r="E4683" s="15" t="s">
        <v>8</v>
      </c>
      <c r="G4683" s="15" t="s">
        <v>8</v>
      </c>
      <c r="H4683" s="15" t="s">
        <v>8</v>
      </c>
      <c r="I4683" s="15" t="s">
        <v>8</v>
      </c>
      <c r="M4683" s="8" t="s">
        <v>3</v>
      </c>
    </row>
    <row r="4684" spans="3:17" x14ac:dyDescent="0.35">
      <c r="C4684" s="15" t="s">
        <v>8</v>
      </c>
      <c r="D4684" s="15" t="s">
        <v>8</v>
      </c>
      <c r="E4684" s="15" t="s">
        <v>8</v>
      </c>
      <c r="G4684" s="15" t="s">
        <v>8</v>
      </c>
      <c r="H4684" s="15" t="s">
        <v>8</v>
      </c>
      <c r="I4684" s="15" t="s">
        <v>8</v>
      </c>
      <c r="L4684" s="21" t="str">
        <f>HYPERLINK("http://yeinfo.com/family/I09000692.html", "ALEXANDER NESBIT 1670 ST-1691 PA ID:09001384")</f>
        <v>ALEXANDER NESBIT 1670 ST-1691 PA ID:09001384</v>
      </c>
      <c r="M4684" s="6"/>
      <c r="N4684" s="6"/>
      <c r="O4684" s="6"/>
      <c r="P4684" s="6"/>
    </row>
    <row r="4685" spans="3:17" x14ac:dyDescent="0.35">
      <c r="C4685" s="15" t="s">
        <v>8</v>
      </c>
      <c r="D4685" s="15" t="s">
        <v>8</v>
      </c>
      <c r="E4685" s="15" t="s">
        <v>8</v>
      </c>
      <c r="G4685" s="15" t="s">
        <v>8</v>
      </c>
      <c r="H4685" s="15" t="s">
        <v>8</v>
      </c>
      <c r="I4685" s="15" t="s">
        <v>8</v>
      </c>
      <c r="L4685" s="8" t="s">
        <v>3</v>
      </c>
      <c r="M4685" s="8" t="s">
        <v>6</v>
      </c>
    </row>
    <row r="4686" spans="3:17" x14ac:dyDescent="0.35">
      <c r="C4686" s="15" t="s">
        <v>8</v>
      </c>
      <c r="D4686" s="15" t="s">
        <v>8</v>
      </c>
      <c r="E4686" s="15" t="s">
        <v>8</v>
      </c>
      <c r="G4686" s="15" t="s">
        <v>8</v>
      </c>
      <c r="H4686" s="15" t="s">
        <v>8</v>
      </c>
      <c r="I4686" s="15" t="s">
        <v>8</v>
      </c>
      <c r="L4686" s="15" t="s">
        <v>8</v>
      </c>
      <c r="M4686" s="16" t="str">
        <f>HYPERLINK("http://yeinfo.com/family/I09002768.html", "Mrs. {_?_} NESBIT 1620 ST-1670  ID:09002769")</f>
        <v>Mrs. {_?_} NESBIT 1620 ST-1670  ID:09002769</v>
      </c>
      <c r="N4686" s="11"/>
      <c r="O4686" s="11"/>
      <c r="P4686" s="11"/>
      <c r="Q4686" s="11"/>
    </row>
    <row r="4687" spans="3:17" x14ac:dyDescent="0.35">
      <c r="C4687" s="15" t="s">
        <v>8</v>
      </c>
      <c r="D4687" s="15" t="s">
        <v>8</v>
      </c>
      <c r="E4687" s="15" t="s">
        <v>8</v>
      </c>
      <c r="G4687" s="15" t="s">
        <v>8</v>
      </c>
      <c r="H4687" s="15" t="s">
        <v>8</v>
      </c>
      <c r="I4687" s="15" t="s">
        <v>8</v>
      </c>
      <c r="L4687" s="15" t="s">
        <v>8</v>
      </c>
    </row>
    <row r="4688" spans="3:17" x14ac:dyDescent="0.35">
      <c r="C4688" s="15" t="s">
        <v>8</v>
      </c>
      <c r="D4688" s="15" t="s">
        <v>8</v>
      </c>
      <c r="E4688" s="15" t="s">
        <v>8</v>
      </c>
      <c r="G4688" s="15" t="s">
        <v>8</v>
      </c>
      <c r="H4688" s="15" t="s">
        <v>8</v>
      </c>
      <c r="I4688" s="15" t="s">
        <v>8</v>
      </c>
      <c r="K4688" s="5" t="str">
        <f>HYPERLINK("http://yeinfo.com/family/I09000346.html", "JAMES NESBIT 1691 PA-1730 PA ID:09000692")</f>
        <v>JAMES NESBIT 1691 PA-1730 PA ID:09000692</v>
      </c>
      <c r="L4688" s="3"/>
      <c r="M4688" s="3"/>
      <c r="N4688" s="3"/>
      <c r="O4688" s="3"/>
    </row>
    <row r="4689" spans="3:19" x14ac:dyDescent="0.35">
      <c r="C4689" s="15" t="s">
        <v>8</v>
      </c>
      <c r="D4689" s="15" t="s">
        <v>8</v>
      </c>
      <c r="E4689" s="15" t="s">
        <v>8</v>
      </c>
      <c r="G4689" s="15" t="s">
        <v>8</v>
      </c>
      <c r="H4689" s="15" t="s">
        <v>8</v>
      </c>
      <c r="I4689" s="15" t="s">
        <v>8</v>
      </c>
      <c r="K4689" s="8" t="s">
        <v>3</v>
      </c>
      <c r="L4689" s="8" t="s">
        <v>6</v>
      </c>
    </row>
    <row r="4690" spans="3:19" x14ac:dyDescent="0.35">
      <c r="C4690" s="15" t="s">
        <v>8</v>
      </c>
      <c r="D4690" s="15" t="s">
        <v>8</v>
      </c>
      <c r="E4690" s="15" t="s">
        <v>8</v>
      </c>
      <c r="G4690" s="15" t="s">
        <v>8</v>
      </c>
      <c r="H4690" s="15" t="s">
        <v>8</v>
      </c>
      <c r="I4690" s="15" t="s">
        <v>8</v>
      </c>
      <c r="K4690" s="15" t="s">
        <v>8</v>
      </c>
      <c r="L4690" s="22" t="str">
        <f>HYPERLINK("http://yeinfo.com/family/I09002769.html", "ELIZABETH GLEDSON 1672 ST-1692 PA ID:09001385")</f>
        <v>ELIZABETH GLEDSON 1672 ST-1692 PA ID:09001385</v>
      </c>
      <c r="M4690" s="13"/>
      <c r="N4690" s="13"/>
      <c r="O4690" s="13"/>
      <c r="P4690" s="13"/>
    </row>
    <row r="4691" spans="3:19" x14ac:dyDescent="0.35">
      <c r="C4691" s="15" t="s">
        <v>8</v>
      </c>
      <c r="D4691" s="15" t="s">
        <v>8</v>
      </c>
      <c r="E4691" s="15" t="s">
        <v>8</v>
      </c>
      <c r="G4691" s="15" t="s">
        <v>8</v>
      </c>
      <c r="H4691" s="15" t="s">
        <v>8</v>
      </c>
      <c r="I4691" s="15" t="s">
        <v>8</v>
      </c>
      <c r="K4691" s="15" t="s">
        <v>8</v>
      </c>
    </row>
    <row r="4692" spans="3:19" x14ac:dyDescent="0.35">
      <c r="C4692" s="15" t="s">
        <v>8</v>
      </c>
      <c r="D4692" s="15" t="s">
        <v>8</v>
      </c>
      <c r="E4692" s="15" t="s">
        <v>8</v>
      </c>
      <c r="G4692" s="15" t="s">
        <v>8</v>
      </c>
      <c r="H4692" s="15" t="s">
        <v>8</v>
      </c>
      <c r="I4692" s="15" t="s">
        <v>8</v>
      </c>
      <c r="J4692" s="5" t="str">
        <f>HYPERLINK("http://yeinfo.com/family/I09000173.html", "JOHN NESBIT 1720 PA-1801 PA ID:09000346")</f>
        <v>JOHN NESBIT 1720 PA-1801 PA ID:09000346</v>
      </c>
      <c r="K4692" s="3"/>
      <c r="L4692" s="3"/>
      <c r="M4692" s="3"/>
      <c r="N4692" s="3"/>
    </row>
    <row r="4693" spans="3:19" x14ac:dyDescent="0.35">
      <c r="C4693" s="15" t="s">
        <v>8</v>
      </c>
      <c r="D4693" s="15" t="s">
        <v>8</v>
      </c>
      <c r="E4693" s="15" t="s">
        <v>8</v>
      </c>
      <c r="G4693" s="15" t="s">
        <v>8</v>
      </c>
      <c r="H4693" s="15" t="s">
        <v>8</v>
      </c>
      <c r="I4693" s="15" t="s">
        <v>8</v>
      </c>
      <c r="J4693" s="8" t="s">
        <v>3</v>
      </c>
      <c r="K4693" s="15" t="s">
        <v>8</v>
      </c>
    </row>
    <row r="4694" spans="3:19" x14ac:dyDescent="0.35">
      <c r="C4694" s="15" t="s">
        <v>8</v>
      </c>
      <c r="D4694" s="15" t="s">
        <v>8</v>
      </c>
      <c r="E4694" s="15" t="s">
        <v>8</v>
      </c>
      <c r="G4694" s="15" t="s">
        <v>8</v>
      </c>
      <c r="H4694" s="15" t="s">
        <v>8</v>
      </c>
      <c r="I4694" s="15" t="s">
        <v>8</v>
      </c>
      <c r="J4694" s="15" t="s">
        <v>8</v>
      </c>
      <c r="K4694" s="15" t="s">
        <v>8</v>
      </c>
      <c r="N4694" s="21" t="str">
        <f>HYPERLINK("http://yeinfo.com/family/I09002772.html", "THOMAS PRATT Sr. &lt;2&gt; 1605 EN-1706 MA ID:09005544")</f>
        <v>THOMAS PRATT Sr. &lt;2&gt; 1605 EN-1706 MA ID:09005544</v>
      </c>
      <c r="O4694" s="6"/>
      <c r="P4694" s="6"/>
      <c r="Q4694" s="6"/>
      <c r="R4694" s="6"/>
    </row>
    <row r="4695" spans="3:19" x14ac:dyDescent="0.35">
      <c r="C4695" s="15" t="s">
        <v>8</v>
      </c>
      <c r="D4695" s="15" t="s">
        <v>8</v>
      </c>
      <c r="E4695" s="15" t="s">
        <v>8</v>
      </c>
      <c r="G4695" s="15" t="s">
        <v>8</v>
      </c>
      <c r="H4695" s="15" t="s">
        <v>8</v>
      </c>
      <c r="I4695" s="15" t="s">
        <v>8</v>
      </c>
      <c r="J4695" s="15" t="s">
        <v>8</v>
      </c>
      <c r="K4695" s="15" t="s">
        <v>8</v>
      </c>
      <c r="N4695" s="8" t="s">
        <v>3</v>
      </c>
    </row>
    <row r="4696" spans="3:19" x14ac:dyDescent="0.35">
      <c r="C4696" s="15" t="s">
        <v>8</v>
      </c>
      <c r="D4696" s="15" t="s">
        <v>8</v>
      </c>
      <c r="E4696" s="15" t="s">
        <v>8</v>
      </c>
      <c r="G4696" s="15" t="s">
        <v>8</v>
      </c>
      <c r="H4696" s="15" t="s">
        <v>8</v>
      </c>
      <c r="I4696" s="15" t="s">
        <v>8</v>
      </c>
      <c r="J4696" s="15" t="s">
        <v>8</v>
      </c>
      <c r="K4696" s="15" t="s">
        <v>8</v>
      </c>
      <c r="M4696" s="5" t="str">
        <f>HYPERLINK("http://yeinfo.com/family/I09001386.html", "THOMAS PRATT Jr. &lt;2&gt; 1633 MA-1692 MA ID:09002772")</f>
        <v>THOMAS PRATT Jr. &lt;2&gt; 1633 MA-1692 MA ID:09002772</v>
      </c>
      <c r="N4696" s="3"/>
      <c r="O4696" s="3"/>
      <c r="P4696" s="3"/>
      <c r="Q4696" s="3"/>
    </row>
    <row r="4697" spans="3:19" x14ac:dyDescent="0.35">
      <c r="C4697" s="15" t="s">
        <v>8</v>
      </c>
      <c r="D4697" s="15" t="s">
        <v>8</v>
      </c>
      <c r="E4697" s="15" t="s">
        <v>8</v>
      </c>
      <c r="G4697" s="15" t="s">
        <v>8</v>
      </c>
      <c r="H4697" s="15" t="s">
        <v>8</v>
      </c>
      <c r="I4697" s="15" t="s">
        <v>8</v>
      </c>
      <c r="J4697" s="15" t="s">
        <v>8</v>
      </c>
      <c r="K4697" s="15" t="s">
        <v>8</v>
      </c>
      <c r="M4697" s="8" t="s">
        <v>3</v>
      </c>
      <c r="N4697" s="8" t="s">
        <v>6</v>
      </c>
    </row>
    <row r="4698" spans="3:19" x14ac:dyDescent="0.35">
      <c r="C4698" s="15" t="s">
        <v>8</v>
      </c>
      <c r="D4698" s="15" t="s">
        <v>8</v>
      </c>
      <c r="E4698" s="15" t="s">
        <v>8</v>
      </c>
      <c r="G4698" s="15" t="s">
        <v>8</v>
      </c>
      <c r="H4698" s="15" t="s">
        <v>8</v>
      </c>
      <c r="I4698" s="15" t="s">
        <v>8</v>
      </c>
      <c r="J4698" s="15" t="s">
        <v>8</v>
      </c>
      <c r="K4698" s="15" t="s">
        <v>8</v>
      </c>
      <c r="M4698" s="15" t="s">
        <v>8</v>
      </c>
      <c r="N4698" s="22" t="str">
        <f>HYPERLINK("http://yeinfo.com/family/I09005544.html", "Mrs. {_?_} PRATT &lt;2&gt; 1605 EN-1633 MA ID:09005545")</f>
        <v>Mrs. {_?_} PRATT &lt;2&gt; 1605 EN-1633 MA ID:09005545</v>
      </c>
      <c r="O4698" s="13"/>
      <c r="P4698" s="13"/>
      <c r="Q4698" s="13"/>
      <c r="R4698" s="13"/>
    </row>
    <row r="4699" spans="3:19" x14ac:dyDescent="0.35">
      <c r="C4699" s="15" t="s">
        <v>8</v>
      </c>
      <c r="D4699" s="15" t="s">
        <v>8</v>
      </c>
      <c r="E4699" s="15" t="s">
        <v>8</v>
      </c>
      <c r="G4699" s="15" t="s">
        <v>8</v>
      </c>
      <c r="H4699" s="15" t="s">
        <v>8</v>
      </c>
      <c r="I4699" s="15" t="s">
        <v>8</v>
      </c>
      <c r="J4699" s="15" t="s">
        <v>8</v>
      </c>
      <c r="K4699" s="15" t="s">
        <v>8</v>
      </c>
      <c r="M4699" s="15" t="s">
        <v>8</v>
      </c>
    </row>
    <row r="4700" spans="3:19" x14ac:dyDescent="0.35">
      <c r="C4700" s="15" t="s">
        <v>8</v>
      </c>
      <c r="D4700" s="15" t="s">
        <v>8</v>
      </c>
      <c r="E4700" s="15" t="s">
        <v>8</v>
      </c>
      <c r="G4700" s="15" t="s">
        <v>8</v>
      </c>
      <c r="H4700" s="15" t="s">
        <v>8</v>
      </c>
      <c r="I4700" s="15" t="s">
        <v>8</v>
      </c>
      <c r="J4700" s="15" t="s">
        <v>8</v>
      </c>
      <c r="K4700" s="15" t="s">
        <v>8</v>
      </c>
      <c r="L4700" s="5" t="str">
        <f>HYPERLINK("http://yeinfo.com/family/I09000693.html", "EBENEZER PRATT 1660 MA-1737 MA ID:09001386")</f>
        <v>EBENEZER PRATT 1660 MA-1737 MA ID:09001386</v>
      </c>
      <c r="M4700" s="3"/>
      <c r="N4700" s="3"/>
      <c r="O4700" s="3"/>
      <c r="P4700" s="3"/>
    </row>
    <row r="4701" spans="3:19" x14ac:dyDescent="0.35">
      <c r="C4701" s="15" t="s">
        <v>8</v>
      </c>
      <c r="D4701" s="15" t="s">
        <v>8</v>
      </c>
      <c r="E4701" s="15" t="s">
        <v>8</v>
      </c>
      <c r="G4701" s="15" t="s">
        <v>8</v>
      </c>
      <c r="H4701" s="15" t="s">
        <v>8</v>
      </c>
      <c r="I4701" s="15" t="s">
        <v>8</v>
      </c>
      <c r="J4701" s="15" t="s">
        <v>8</v>
      </c>
      <c r="K4701" s="15" t="s">
        <v>8</v>
      </c>
      <c r="L4701" s="8" t="s">
        <v>3</v>
      </c>
      <c r="M4701" s="15" t="s">
        <v>8</v>
      </c>
    </row>
    <row r="4702" spans="3:19" x14ac:dyDescent="0.35">
      <c r="C4702" s="15" t="s">
        <v>8</v>
      </c>
      <c r="D4702" s="15" t="s">
        <v>8</v>
      </c>
      <c r="E4702" s="15" t="s">
        <v>8</v>
      </c>
      <c r="G4702" s="15" t="s">
        <v>8</v>
      </c>
      <c r="H4702" s="15" t="s">
        <v>8</v>
      </c>
      <c r="I4702" s="15" t="s">
        <v>8</v>
      </c>
      <c r="J4702" s="15" t="s">
        <v>8</v>
      </c>
      <c r="K4702" s="15" t="s">
        <v>8</v>
      </c>
      <c r="L4702" s="15" t="s">
        <v>8</v>
      </c>
      <c r="M4702" s="15" t="s">
        <v>8</v>
      </c>
      <c r="O4702" s="19" t="str">
        <f>HYPERLINK("http://yeinfo.com/family/I09005546.html", "THOMAS GLEASON &lt;2&gt; 1572 EN-1609 EN ID:09011092")</f>
        <v>THOMAS GLEASON &lt;2&gt; 1572 EN-1609 EN ID:09011092</v>
      </c>
      <c r="P4702" s="9"/>
      <c r="Q4702" s="9"/>
      <c r="R4702" s="9"/>
      <c r="S4702" s="9"/>
    </row>
    <row r="4703" spans="3:19" x14ac:dyDescent="0.35">
      <c r="C4703" s="15" t="s">
        <v>8</v>
      </c>
      <c r="D4703" s="15" t="s">
        <v>8</v>
      </c>
      <c r="E4703" s="15" t="s">
        <v>8</v>
      </c>
      <c r="G4703" s="15" t="s">
        <v>8</v>
      </c>
      <c r="H4703" s="15" t="s">
        <v>8</v>
      </c>
      <c r="I4703" s="15" t="s">
        <v>8</v>
      </c>
      <c r="J4703" s="15" t="s">
        <v>8</v>
      </c>
      <c r="K4703" s="15" t="s">
        <v>8</v>
      </c>
      <c r="L4703" s="15" t="s">
        <v>8</v>
      </c>
      <c r="M4703" s="15" t="s">
        <v>8</v>
      </c>
      <c r="O4703" s="8" t="s">
        <v>3</v>
      </c>
    </row>
    <row r="4704" spans="3:19" x14ac:dyDescent="0.35">
      <c r="C4704" s="15" t="s">
        <v>8</v>
      </c>
      <c r="D4704" s="15" t="s">
        <v>8</v>
      </c>
      <c r="E4704" s="15" t="s">
        <v>8</v>
      </c>
      <c r="G4704" s="15" t="s">
        <v>8</v>
      </c>
      <c r="H4704" s="15" t="s">
        <v>8</v>
      </c>
      <c r="I4704" s="15" t="s">
        <v>8</v>
      </c>
      <c r="J4704" s="15" t="s">
        <v>8</v>
      </c>
      <c r="K4704" s="15" t="s">
        <v>8</v>
      </c>
      <c r="L4704" s="15" t="s">
        <v>8</v>
      </c>
      <c r="M4704" s="15" t="s">
        <v>8</v>
      </c>
      <c r="N4704" s="21" t="str">
        <f>HYPERLINK("http://yeinfo.com/family/I09002773.html", "THOMAS GLEASON &lt;2&gt; 1609 EN-1686 MA ID:09005546")</f>
        <v>THOMAS GLEASON &lt;2&gt; 1609 EN-1686 MA ID:09005546</v>
      </c>
      <c r="O4704" s="6"/>
      <c r="P4704" s="6"/>
      <c r="Q4704" s="6"/>
      <c r="R4704" s="6"/>
    </row>
    <row r="4705" spans="3:20" x14ac:dyDescent="0.35">
      <c r="C4705" s="15" t="s">
        <v>8</v>
      </c>
      <c r="D4705" s="15" t="s">
        <v>8</v>
      </c>
      <c r="E4705" s="15" t="s">
        <v>8</v>
      </c>
      <c r="G4705" s="15" t="s">
        <v>8</v>
      </c>
      <c r="H4705" s="15" t="s">
        <v>8</v>
      </c>
      <c r="I4705" s="15" t="s">
        <v>8</v>
      </c>
      <c r="J4705" s="15" t="s">
        <v>8</v>
      </c>
      <c r="K4705" s="15" t="s">
        <v>8</v>
      </c>
      <c r="L4705" s="15" t="s">
        <v>8</v>
      </c>
      <c r="M4705" s="15" t="s">
        <v>8</v>
      </c>
      <c r="N4705" s="8" t="s">
        <v>3</v>
      </c>
      <c r="O4705" s="15" t="s">
        <v>8</v>
      </c>
    </row>
    <row r="4706" spans="3:20" x14ac:dyDescent="0.35">
      <c r="C4706" s="15" t="s">
        <v>8</v>
      </c>
      <c r="D4706" s="15" t="s">
        <v>8</v>
      </c>
      <c r="E4706" s="15" t="s">
        <v>8</v>
      </c>
      <c r="G4706" s="15" t="s">
        <v>8</v>
      </c>
      <c r="H4706" s="15" t="s">
        <v>8</v>
      </c>
      <c r="I4706" s="15" t="s">
        <v>8</v>
      </c>
      <c r="J4706" s="15" t="s">
        <v>8</v>
      </c>
      <c r="K4706" s="15" t="s">
        <v>8</v>
      </c>
      <c r="L4706" s="15" t="s">
        <v>8</v>
      </c>
      <c r="M4706" s="15" t="s">
        <v>8</v>
      </c>
      <c r="N4706" s="15" t="s">
        <v>8</v>
      </c>
      <c r="O4706" s="15" t="s">
        <v>8</v>
      </c>
      <c r="P4706" s="19" t="str">
        <f>HYPERLINK("http://yeinfo.com/family/I09011093.html", "JOHN ARMESBY &lt;2&gt; 1545 EN-1585 EN ID:09022186")</f>
        <v>JOHN ARMESBY &lt;2&gt; 1545 EN-1585 EN ID:09022186</v>
      </c>
      <c r="Q4706" s="9"/>
      <c r="R4706" s="9"/>
      <c r="S4706" s="9"/>
      <c r="T4706" s="9"/>
    </row>
    <row r="4707" spans="3:20" x14ac:dyDescent="0.35">
      <c r="C4707" s="15" t="s">
        <v>8</v>
      </c>
      <c r="D4707" s="15" t="s">
        <v>8</v>
      </c>
      <c r="E4707" s="15" t="s">
        <v>8</v>
      </c>
      <c r="G4707" s="15" t="s">
        <v>8</v>
      </c>
      <c r="H4707" s="15" t="s">
        <v>8</v>
      </c>
      <c r="I4707" s="15" t="s">
        <v>8</v>
      </c>
      <c r="J4707" s="15" t="s">
        <v>8</v>
      </c>
      <c r="K4707" s="15" t="s">
        <v>8</v>
      </c>
      <c r="L4707" s="15" t="s">
        <v>8</v>
      </c>
      <c r="M4707" s="15" t="s">
        <v>8</v>
      </c>
      <c r="N4707" s="15" t="s">
        <v>8</v>
      </c>
      <c r="O4707" s="8" t="s">
        <v>6</v>
      </c>
      <c r="P4707" s="8" t="s">
        <v>3</v>
      </c>
    </row>
    <row r="4708" spans="3:20" x14ac:dyDescent="0.35">
      <c r="C4708" s="15" t="s">
        <v>8</v>
      </c>
      <c r="D4708" s="15" t="s">
        <v>8</v>
      </c>
      <c r="E4708" s="15" t="s">
        <v>8</v>
      </c>
      <c r="G4708" s="15" t="s">
        <v>8</v>
      </c>
      <c r="H4708" s="15" t="s">
        <v>8</v>
      </c>
      <c r="I4708" s="15" t="s">
        <v>8</v>
      </c>
      <c r="J4708" s="15" t="s">
        <v>8</v>
      </c>
      <c r="K4708" s="15" t="s">
        <v>8</v>
      </c>
      <c r="L4708" s="15" t="s">
        <v>8</v>
      </c>
      <c r="M4708" s="15" t="s">
        <v>8</v>
      </c>
      <c r="N4708" s="15" t="s">
        <v>8</v>
      </c>
      <c r="O4708" s="20" t="str">
        <f>HYPERLINK("http://yeinfo.com/family/I09011092.html", "ANNE ARMESBY &lt;2&gt; 1572 EN-1699 EN ID:09011093")</f>
        <v>ANNE ARMESBY &lt;2&gt; 1572 EN-1699 EN ID:09011093</v>
      </c>
      <c r="P4708" s="17"/>
      <c r="Q4708" s="17"/>
      <c r="R4708" s="17"/>
      <c r="S4708" s="17"/>
    </row>
    <row r="4709" spans="3:20" x14ac:dyDescent="0.35">
      <c r="C4709" s="15" t="s">
        <v>8</v>
      </c>
      <c r="D4709" s="15" t="s">
        <v>8</v>
      </c>
      <c r="E4709" s="15" t="s">
        <v>8</v>
      </c>
      <c r="G4709" s="15" t="s">
        <v>8</v>
      </c>
      <c r="H4709" s="15" t="s">
        <v>8</v>
      </c>
      <c r="I4709" s="15" t="s">
        <v>8</v>
      </c>
      <c r="J4709" s="15" t="s">
        <v>8</v>
      </c>
      <c r="K4709" s="15" t="s">
        <v>8</v>
      </c>
      <c r="L4709" s="15" t="s">
        <v>8</v>
      </c>
      <c r="M4709" s="15" t="s">
        <v>8</v>
      </c>
      <c r="N4709" s="15" t="s">
        <v>8</v>
      </c>
      <c r="P4709" s="8" t="s">
        <v>6</v>
      </c>
    </row>
    <row r="4710" spans="3:20" x14ac:dyDescent="0.35">
      <c r="C4710" s="15" t="s">
        <v>8</v>
      </c>
      <c r="D4710" s="15" t="s">
        <v>8</v>
      </c>
      <c r="E4710" s="15" t="s">
        <v>8</v>
      </c>
      <c r="G4710" s="15" t="s">
        <v>8</v>
      </c>
      <c r="H4710" s="15" t="s">
        <v>8</v>
      </c>
      <c r="I4710" s="15" t="s">
        <v>8</v>
      </c>
      <c r="J4710" s="15" t="s">
        <v>8</v>
      </c>
      <c r="K4710" s="15" t="s">
        <v>8</v>
      </c>
      <c r="L4710" s="15" t="s">
        <v>8</v>
      </c>
      <c r="M4710" s="15" t="s">
        <v>8</v>
      </c>
      <c r="N4710" s="15" t="s">
        <v>8</v>
      </c>
      <c r="P4710" s="20" t="str">
        <f>HYPERLINK("http://yeinfo.com/family/I09022186.html", "FRANCES FROST &lt;2&gt; 1555 EN-1575 EN ID:09022187")</f>
        <v>FRANCES FROST &lt;2&gt; 1555 EN-1575 EN ID:09022187</v>
      </c>
      <c r="Q4710" s="17"/>
      <c r="R4710" s="17"/>
      <c r="S4710" s="17"/>
      <c r="T4710" s="17"/>
    </row>
    <row r="4711" spans="3:20" x14ac:dyDescent="0.35">
      <c r="C4711" s="15" t="s">
        <v>8</v>
      </c>
      <c r="D4711" s="15" t="s">
        <v>8</v>
      </c>
      <c r="E4711" s="15" t="s">
        <v>8</v>
      </c>
      <c r="G4711" s="15" t="s">
        <v>8</v>
      </c>
      <c r="H4711" s="15" t="s">
        <v>8</v>
      </c>
      <c r="I4711" s="15" t="s">
        <v>8</v>
      </c>
      <c r="J4711" s="15" t="s">
        <v>8</v>
      </c>
      <c r="K4711" s="15" t="s">
        <v>8</v>
      </c>
      <c r="L4711" s="15" t="s">
        <v>8</v>
      </c>
      <c r="M4711" s="8" t="s">
        <v>6</v>
      </c>
      <c r="N4711" s="15" t="s">
        <v>8</v>
      </c>
    </row>
    <row r="4712" spans="3:20" x14ac:dyDescent="0.35">
      <c r="C4712" s="15" t="s">
        <v>8</v>
      </c>
      <c r="D4712" s="15" t="s">
        <v>8</v>
      </c>
      <c r="E4712" s="15" t="s">
        <v>8</v>
      </c>
      <c r="G4712" s="15" t="s">
        <v>8</v>
      </c>
      <c r="H4712" s="15" t="s">
        <v>8</v>
      </c>
      <c r="I4712" s="15" t="s">
        <v>8</v>
      </c>
      <c r="J4712" s="15" t="s">
        <v>8</v>
      </c>
      <c r="K4712" s="15" t="s">
        <v>8</v>
      </c>
      <c r="L4712" s="15" t="s">
        <v>8</v>
      </c>
      <c r="M4712" s="22" t="str">
        <f>HYPERLINK("http://yeinfo.com/family/I09005545.html", "SUSANNAH PAGE GLEASON &lt;2&gt; 1635 EN-1677 MA ID:09002773")</f>
        <v>SUSANNAH PAGE GLEASON &lt;2&gt; 1635 EN-1677 MA ID:09002773</v>
      </c>
      <c r="N4712" s="13"/>
      <c r="O4712" s="13"/>
      <c r="P4712" s="13"/>
      <c r="Q4712" s="13"/>
    </row>
    <row r="4713" spans="3:20" x14ac:dyDescent="0.35">
      <c r="C4713" s="15" t="s">
        <v>8</v>
      </c>
      <c r="D4713" s="15" t="s">
        <v>8</v>
      </c>
      <c r="E4713" s="15" t="s">
        <v>8</v>
      </c>
      <c r="G4713" s="15" t="s">
        <v>8</v>
      </c>
      <c r="H4713" s="15" t="s">
        <v>8</v>
      </c>
      <c r="I4713" s="15" t="s">
        <v>8</v>
      </c>
      <c r="J4713" s="15" t="s">
        <v>8</v>
      </c>
      <c r="K4713" s="15" t="s">
        <v>8</v>
      </c>
      <c r="L4713" s="15" t="s">
        <v>8</v>
      </c>
      <c r="N4713" s="8" t="s">
        <v>6</v>
      </c>
    </row>
    <row r="4714" spans="3:20" x14ac:dyDescent="0.35">
      <c r="C4714" s="15" t="s">
        <v>8</v>
      </c>
      <c r="D4714" s="15" t="s">
        <v>8</v>
      </c>
      <c r="E4714" s="15" t="s">
        <v>8</v>
      </c>
      <c r="G4714" s="15" t="s">
        <v>8</v>
      </c>
      <c r="H4714" s="15" t="s">
        <v>8</v>
      </c>
      <c r="I4714" s="15" t="s">
        <v>8</v>
      </c>
      <c r="J4714" s="15" t="s">
        <v>8</v>
      </c>
      <c r="K4714" s="15" t="s">
        <v>8</v>
      </c>
      <c r="L4714" s="15" t="s">
        <v>8</v>
      </c>
      <c r="N4714" s="22" t="str">
        <f>HYPERLINK("http://yeinfo.com/family/I09022187.html", "SUSAN PAGE &lt;2&gt; 1614 EN-1681 MA ID:09005547")</f>
        <v>SUSAN PAGE &lt;2&gt; 1614 EN-1681 MA ID:09005547</v>
      </c>
      <c r="O4714" s="13"/>
      <c r="P4714" s="13"/>
      <c r="Q4714" s="13"/>
      <c r="R4714" s="13"/>
    </row>
    <row r="4715" spans="3:20" x14ac:dyDescent="0.35">
      <c r="C4715" s="15" t="s">
        <v>8</v>
      </c>
      <c r="D4715" s="15" t="s">
        <v>8</v>
      </c>
      <c r="E4715" s="15" t="s">
        <v>8</v>
      </c>
      <c r="G4715" s="15" t="s">
        <v>8</v>
      </c>
      <c r="H4715" s="15" t="s">
        <v>8</v>
      </c>
      <c r="I4715" s="15" t="s">
        <v>8</v>
      </c>
      <c r="J4715" s="15" t="s">
        <v>8</v>
      </c>
      <c r="K4715" s="8" t="s">
        <v>6</v>
      </c>
      <c r="L4715" s="15" t="s">
        <v>8</v>
      </c>
    </row>
    <row r="4716" spans="3:20" x14ac:dyDescent="0.35">
      <c r="C4716" s="15" t="s">
        <v>8</v>
      </c>
      <c r="D4716" s="15" t="s">
        <v>8</v>
      </c>
      <c r="E4716" s="15" t="s">
        <v>8</v>
      </c>
      <c r="G4716" s="15" t="s">
        <v>8</v>
      </c>
      <c r="H4716" s="15" t="s">
        <v>8</v>
      </c>
      <c r="I4716" s="15" t="s">
        <v>8</v>
      </c>
      <c r="J4716" s="15" t="s">
        <v>8</v>
      </c>
      <c r="K4716" s="16" t="str">
        <f>HYPERLINK("http://yeinfo.com/family/I09001385.html", "JEMIMA PRATT 1695 PA-1730 PA ID:09000693")</f>
        <v>JEMIMA PRATT 1695 PA-1730 PA ID:09000693</v>
      </c>
      <c r="L4716" s="11"/>
      <c r="M4716" s="11"/>
      <c r="N4716" s="11"/>
      <c r="O4716" s="11"/>
    </row>
    <row r="4717" spans="3:20" x14ac:dyDescent="0.35">
      <c r="C4717" s="15" t="s">
        <v>8</v>
      </c>
      <c r="D4717" s="15" t="s">
        <v>8</v>
      </c>
      <c r="E4717" s="15" t="s">
        <v>8</v>
      </c>
      <c r="G4717" s="15" t="s">
        <v>8</v>
      </c>
      <c r="H4717" s="15" t="s">
        <v>8</v>
      </c>
      <c r="I4717" s="15" t="s">
        <v>8</v>
      </c>
      <c r="J4717" s="15" t="s">
        <v>8</v>
      </c>
      <c r="L4717" s="15" t="s">
        <v>8</v>
      </c>
    </row>
    <row r="4718" spans="3:20" x14ac:dyDescent="0.35">
      <c r="C4718" s="15" t="s">
        <v>8</v>
      </c>
      <c r="D4718" s="15" t="s">
        <v>8</v>
      </c>
      <c r="E4718" s="15" t="s">
        <v>8</v>
      </c>
      <c r="G4718" s="15" t="s">
        <v>8</v>
      </c>
      <c r="H4718" s="15" t="s">
        <v>8</v>
      </c>
      <c r="I4718" s="15" t="s">
        <v>8</v>
      </c>
      <c r="J4718" s="15" t="s">
        <v>8</v>
      </c>
      <c r="L4718" s="15" t="s">
        <v>8</v>
      </c>
      <c r="O4718" s="5" t="str">
        <f>HYPERLINK("http://yeinfo.com/family/I09005548.html", "BARTHOLOMEW FLAGG 1585 EN-1629  ID:09011096")</f>
        <v>BARTHOLOMEW FLAGG 1585 EN-1629  ID:09011096</v>
      </c>
      <c r="P4718" s="3"/>
      <c r="Q4718" s="3"/>
      <c r="R4718" s="3"/>
      <c r="S4718" s="3"/>
    </row>
    <row r="4719" spans="3:20" x14ac:dyDescent="0.35">
      <c r="C4719" s="15" t="s">
        <v>8</v>
      </c>
      <c r="D4719" s="15" t="s">
        <v>8</v>
      </c>
      <c r="E4719" s="15" t="s">
        <v>8</v>
      </c>
      <c r="G4719" s="15" t="s">
        <v>8</v>
      </c>
      <c r="H4719" s="15" t="s">
        <v>8</v>
      </c>
      <c r="I4719" s="15" t="s">
        <v>8</v>
      </c>
      <c r="J4719" s="15" t="s">
        <v>8</v>
      </c>
      <c r="L4719" s="15" t="s">
        <v>8</v>
      </c>
      <c r="O4719" s="8" t="s">
        <v>3</v>
      </c>
    </row>
    <row r="4720" spans="3:20" x14ac:dyDescent="0.35">
      <c r="C4720" s="15" t="s">
        <v>8</v>
      </c>
      <c r="D4720" s="15" t="s">
        <v>8</v>
      </c>
      <c r="E4720" s="15" t="s">
        <v>8</v>
      </c>
      <c r="G4720" s="15" t="s">
        <v>8</v>
      </c>
      <c r="H4720" s="15" t="s">
        <v>8</v>
      </c>
      <c r="I4720" s="15" t="s">
        <v>8</v>
      </c>
      <c r="J4720" s="15" t="s">
        <v>8</v>
      </c>
      <c r="L4720" s="15" t="s">
        <v>8</v>
      </c>
      <c r="N4720" s="21" t="str">
        <f>HYPERLINK("http://yeinfo.com/family/I09002774.html", "THOMAS FLAGG 1615 EN-1698 MA ID:09005548")</f>
        <v>THOMAS FLAGG 1615 EN-1698 MA ID:09005548</v>
      </c>
      <c r="O4720" s="6"/>
      <c r="P4720" s="6"/>
      <c r="Q4720" s="6"/>
      <c r="R4720" s="6"/>
    </row>
    <row r="4721" spans="3:20" x14ac:dyDescent="0.35">
      <c r="C4721" s="15" t="s">
        <v>8</v>
      </c>
      <c r="D4721" s="15" t="s">
        <v>8</v>
      </c>
      <c r="E4721" s="15" t="s">
        <v>8</v>
      </c>
      <c r="G4721" s="15" t="s">
        <v>8</v>
      </c>
      <c r="H4721" s="15" t="s">
        <v>8</v>
      </c>
      <c r="I4721" s="15" t="s">
        <v>8</v>
      </c>
      <c r="J4721" s="15" t="s">
        <v>8</v>
      </c>
      <c r="L4721" s="15" t="s">
        <v>8</v>
      </c>
      <c r="N4721" s="8" t="s">
        <v>3</v>
      </c>
      <c r="O4721" s="8" t="s">
        <v>6</v>
      </c>
    </row>
    <row r="4722" spans="3:20" x14ac:dyDescent="0.35">
      <c r="C4722" s="15" t="s">
        <v>8</v>
      </c>
      <c r="D4722" s="15" t="s">
        <v>8</v>
      </c>
      <c r="E4722" s="15" t="s">
        <v>8</v>
      </c>
      <c r="G4722" s="15" t="s">
        <v>8</v>
      </c>
      <c r="H4722" s="15" t="s">
        <v>8</v>
      </c>
      <c r="I4722" s="15" t="s">
        <v>8</v>
      </c>
      <c r="J4722" s="15" t="s">
        <v>8</v>
      </c>
      <c r="L4722" s="15" t="s">
        <v>8</v>
      </c>
      <c r="N4722" s="15" t="s">
        <v>8</v>
      </c>
      <c r="O4722" s="16" t="str">
        <f>HYPERLINK("http://yeinfo.com/family/I09011096.html", "Mrs. ALICIA FLAGG 1585 EN-1615  ID:09011097")</f>
        <v>Mrs. ALICIA FLAGG 1585 EN-1615  ID:09011097</v>
      </c>
      <c r="P4722" s="11"/>
      <c r="Q4722" s="11"/>
      <c r="R4722" s="11"/>
      <c r="S4722" s="11"/>
    </row>
    <row r="4723" spans="3:20" x14ac:dyDescent="0.35">
      <c r="C4723" s="15" t="s">
        <v>8</v>
      </c>
      <c r="D4723" s="15" t="s">
        <v>8</v>
      </c>
      <c r="E4723" s="15" t="s">
        <v>8</v>
      </c>
      <c r="G4723" s="15" t="s">
        <v>8</v>
      </c>
      <c r="H4723" s="15" t="s">
        <v>8</v>
      </c>
      <c r="I4723" s="15" t="s">
        <v>8</v>
      </c>
      <c r="J4723" s="15" t="s">
        <v>8</v>
      </c>
      <c r="L4723" s="15" t="s">
        <v>8</v>
      </c>
      <c r="N4723" s="15" t="s">
        <v>8</v>
      </c>
    </row>
    <row r="4724" spans="3:20" x14ac:dyDescent="0.35">
      <c r="C4724" s="15" t="s">
        <v>8</v>
      </c>
      <c r="D4724" s="15" t="s">
        <v>8</v>
      </c>
      <c r="E4724" s="15" t="s">
        <v>8</v>
      </c>
      <c r="G4724" s="15" t="s">
        <v>8</v>
      </c>
      <c r="H4724" s="15" t="s">
        <v>8</v>
      </c>
      <c r="I4724" s="15" t="s">
        <v>8</v>
      </c>
      <c r="J4724" s="15" t="s">
        <v>8</v>
      </c>
      <c r="L4724" s="15" t="s">
        <v>8</v>
      </c>
      <c r="M4724" s="5" t="str">
        <f>HYPERLINK("http://yeinfo.com/family/I09001387.html", "JOHN FLAGG 1643 MA-1696 MA ID:09002774")</f>
        <v>JOHN FLAGG 1643 MA-1696 MA ID:09002774</v>
      </c>
      <c r="N4724" s="3"/>
      <c r="O4724" s="3"/>
      <c r="P4724" s="3"/>
      <c r="Q4724" s="3"/>
    </row>
    <row r="4725" spans="3:20" x14ac:dyDescent="0.35">
      <c r="C4725" s="15" t="s">
        <v>8</v>
      </c>
      <c r="D4725" s="15" t="s">
        <v>8</v>
      </c>
      <c r="E4725" s="15" t="s">
        <v>8</v>
      </c>
      <c r="G4725" s="15" t="s">
        <v>8</v>
      </c>
      <c r="H4725" s="15" t="s">
        <v>8</v>
      </c>
      <c r="I4725" s="15" t="s">
        <v>8</v>
      </c>
      <c r="J4725" s="15" t="s">
        <v>8</v>
      </c>
      <c r="L4725" s="15" t="s">
        <v>8</v>
      </c>
      <c r="M4725" s="8" t="s">
        <v>3</v>
      </c>
      <c r="N4725" s="8" t="s">
        <v>6</v>
      </c>
    </row>
    <row r="4726" spans="3:20" x14ac:dyDescent="0.35">
      <c r="C4726" s="15" t="s">
        <v>8</v>
      </c>
      <c r="D4726" s="15" t="s">
        <v>8</v>
      </c>
      <c r="E4726" s="15" t="s">
        <v>8</v>
      </c>
      <c r="G4726" s="15" t="s">
        <v>8</v>
      </c>
      <c r="H4726" s="15" t="s">
        <v>8</v>
      </c>
      <c r="I4726" s="15" t="s">
        <v>8</v>
      </c>
      <c r="J4726" s="15" t="s">
        <v>8</v>
      </c>
      <c r="L4726" s="15" t="s">
        <v>8</v>
      </c>
      <c r="M4726" s="15" t="s">
        <v>8</v>
      </c>
      <c r="N4726" s="22" t="str">
        <f>HYPERLINK("http://yeinfo.com/family/I09011097.html", "Mrs. MARY FLAGG 1620 EN-1665 MA ID:09005549")</f>
        <v>Mrs. MARY FLAGG 1620 EN-1665 MA ID:09005549</v>
      </c>
      <c r="O4726" s="13"/>
      <c r="P4726" s="13"/>
      <c r="Q4726" s="13"/>
      <c r="R4726" s="13"/>
    </row>
    <row r="4727" spans="3:20" x14ac:dyDescent="0.35">
      <c r="C4727" s="15" t="s">
        <v>8</v>
      </c>
      <c r="D4727" s="15" t="s">
        <v>8</v>
      </c>
      <c r="E4727" s="15" t="s">
        <v>8</v>
      </c>
      <c r="G4727" s="15" t="s">
        <v>8</v>
      </c>
      <c r="H4727" s="15" t="s">
        <v>8</v>
      </c>
      <c r="I4727" s="15" t="s">
        <v>8</v>
      </c>
      <c r="J4727" s="15" t="s">
        <v>8</v>
      </c>
      <c r="L4727" s="8" t="s">
        <v>6</v>
      </c>
      <c r="M4727" s="15" t="s">
        <v>8</v>
      </c>
    </row>
    <row r="4728" spans="3:20" x14ac:dyDescent="0.35">
      <c r="C4728" s="15" t="s">
        <v>8</v>
      </c>
      <c r="D4728" s="15" t="s">
        <v>8</v>
      </c>
      <c r="E4728" s="15" t="s">
        <v>8</v>
      </c>
      <c r="G4728" s="15" t="s">
        <v>8</v>
      </c>
      <c r="H4728" s="15" t="s">
        <v>8</v>
      </c>
      <c r="I4728" s="15" t="s">
        <v>8</v>
      </c>
      <c r="J4728" s="15" t="s">
        <v>8</v>
      </c>
      <c r="L4728" s="16" t="str">
        <f>HYPERLINK("http://yeinfo.com/family/I09005547.html", "MARY FLAGG 1672 MA-1733 MA ID:09001387")</f>
        <v>MARY FLAGG 1672 MA-1733 MA ID:09001387</v>
      </c>
      <c r="M4728" s="11"/>
      <c r="N4728" s="11"/>
      <c r="O4728" s="11"/>
      <c r="P4728" s="11"/>
    </row>
    <row r="4729" spans="3:20" x14ac:dyDescent="0.35">
      <c r="C4729" s="15" t="s">
        <v>8</v>
      </c>
      <c r="D4729" s="15" t="s">
        <v>8</v>
      </c>
      <c r="E4729" s="15" t="s">
        <v>8</v>
      </c>
      <c r="G4729" s="15" t="s">
        <v>8</v>
      </c>
      <c r="H4729" s="15" t="s">
        <v>8</v>
      </c>
      <c r="I4729" s="15" t="s">
        <v>8</v>
      </c>
      <c r="J4729" s="15" t="s">
        <v>8</v>
      </c>
      <c r="M4729" s="15" t="s">
        <v>8</v>
      </c>
    </row>
    <row r="4730" spans="3:20" x14ac:dyDescent="0.35">
      <c r="C4730" s="15" t="s">
        <v>8</v>
      </c>
      <c r="D4730" s="15" t="s">
        <v>8</v>
      </c>
      <c r="E4730" s="15" t="s">
        <v>8</v>
      </c>
      <c r="G4730" s="15" t="s">
        <v>8</v>
      </c>
      <c r="H4730" s="15" t="s">
        <v>8</v>
      </c>
      <c r="I4730" s="15" t="s">
        <v>8</v>
      </c>
      <c r="J4730" s="15" t="s">
        <v>8</v>
      </c>
      <c r="M4730" s="15" t="s">
        <v>8</v>
      </c>
      <c r="P4730" s="19" t="str">
        <f>HYPERLINK("http://yeinfo.com/family/I09011100.html", "ABRAHAM GALE &lt;2&gt; 1543 EN-1577 EN ID:09022200")</f>
        <v>ABRAHAM GALE &lt;2&gt; 1543 EN-1577 EN ID:09022200</v>
      </c>
      <c r="Q4730" s="9"/>
      <c r="R4730" s="9"/>
      <c r="S4730" s="9"/>
      <c r="T4730" s="9"/>
    </row>
    <row r="4731" spans="3:20" x14ac:dyDescent="0.35">
      <c r="C4731" s="15" t="s">
        <v>8</v>
      </c>
      <c r="D4731" s="15" t="s">
        <v>8</v>
      </c>
      <c r="E4731" s="15" t="s">
        <v>8</v>
      </c>
      <c r="G4731" s="15" t="s">
        <v>8</v>
      </c>
      <c r="H4731" s="15" t="s">
        <v>8</v>
      </c>
      <c r="I4731" s="15" t="s">
        <v>8</v>
      </c>
      <c r="J4731" s="15" t="s">
        <v>8</v>
      </c>
      <c r="M4731" s="15" t="s">
        <v>8</v>
      </c>
      <c r="P4731" s="8" t="s">
        <v>3</v>
      </c>
    </row>
    <row r="4732" spans="3:20" x14ac:dyDescent="0.35">
      <c r="C4732" s="15" t="s">
        <v>8</v>
      </c>
      <c r="D4732" s="15" t="s">
        <v>8</v>
      </c>
      <c r="E4732" s="15" t="s">
        <v>8</v>
      </c>
      <c r="G4732" s="15" t="s">
        <v>8</v>
      </c>
      <c r="H4732" s="15" t="s">
        <v>8</v>
      </c>
      <c r="I4732" s="15" t="s">
        <v>8</v>
      </c>
      <c r="J4732" s="15" t="s">
        <v>8</v>
      </c>
      <c r="M4732" s="15" t="s">
        <v>8</v>
      </c>
      <c r="O4732" s="19" t="str">
        <f>HYPERLINK("http://yeinfo.com/family/I09005550.html", "RICHARD GALE Sr. &lt;2&gt; 1577 EN-1638 EN ID:09011100")</f>
        <v>RICHARD GALE Sr. &lt;2&gt; 1577 EN-1638 EN ID:09011100</v>
      </c>
      <c r="P4732" s="9"/>
      <c r="Q4732" s="9"/>
      <c r="R4732" s="9"/>
      <c r="S4732" s="9"/>
    </row>
    <row r="4733" spans="3:20" x14ac:dyDescent="0.35">
      <c r="C4733" s="15" t="s">
        <v>8</v>
      </c>
      <c r="D4733" s="15" t="s">
        <v>8</v>
      </c>
      <c r="E4733" s="15" t="s">
        <v>8</v>
      </c>
      <c r="G4733" s="15" t="s">
        <v>8</v>
      </c>
      <c r="H4733" s="15" t="s">
        <v>8</v>
      </c>
      <c r="I4733" s="15" t="s">
        <v>8</v>
      </c>
      <c r="J4733" s="15" t="s">
        <v>8</v>
      </c>
      <c r="M4733" s="15" t="s">
        <v>8</v>
      </c>
      <c r="O4733" s="8" t="s">
        <v>3</v>
      </c>
      <c r="P4733" s="8" t="s">
        <v>6</v>
      </c>
    </row>
    <row r="4734" spans="3:20" x14ac:dyDescent="0.35">
      <c r="C4734" s="15" t="s">
        <v>8</v>
      </c>
      <c r="D4734" s="15" t="s">
        <v>8</v>
      </c>
      <c r="E4734" s="15" t="s">
        <v>8</v>
      </c>
      <c r="G4734" s="15" t="s">
        <v>8</v>
      </c>
      <c r="H4734" s="15" t="s">
        <v>8</v>
      </c>
      <c r="I4734" s="15" t="s">
        <v>8</v>
      </c>
      <c r="J4734" s="15" t="s">
        <v>8</v>
      </c>
      <c r="M4734" s="15" t="s">
        <v>8</v>
      </c>
      <c r="O4734" s="15" t="s">
        <v>8</v>
      </c>
      <c r="P4734" s="20" t="str">
        <f>HYPERLINK("http://yeinfo.com/family/I09022200.html", "Mrs. MARGARET GALE &lt;2&gt; 1548 EN-1577 EN ID:09022201")</f>
        <v>Mrs. MARGARET GALE &lt;2&gt; 1548 EN-1577 EN ID:09022201</v>
      </c>
      <c r="Q4734" s="17"/>
      <c r="R4734" s="17"/>
      <c r="S4734" s="17"/>
      <c r="T4734" s="17"/>
    </row>
    <row r="4735" spans="3:20" x14ac:dyDescent="0.35">
      <c r="C4735" s="15" t="s">
        <v>8</v>
      </c>
      <c r="D4735" s="15" t="s">
        <v>8</v>
      </c>
      <c r="E4735" s="15" t="s">
        <v>8</v>
      </c>
      <c r="G4735" s="15" t="s">
        <v>8</v>
      </c>
      <c r="H4735" s="15" t="s">
        <v>8</v>
      </c>
      <c r="I4735" s="15" t="s">
        <v>8</v>
      </c>
      <c r="J4735" s="15" t="s">
        <v>8</v>
      </c>
      <c r="M4735" s="15" t="s">
        <v>8</v>
      </c>
      <c r="O4735" s="15" t="s">
        <v>8</v>
      </c>
    </row>
    <row r="4736" spans="3:20" x14ac:dyDescent="0.35">
      <c r="C4736" s="15" t="s">
        <v>8</v>
      </c>
      <c r="D4736" s="15" t="s">
        <v>8</v>
      </c>
      <c r="E4736" s="15" t="s">
        <v>8</v>
      </c>
      <c r="G4736" s="15" t="s">
        <v>8</v>
      </c>
      <c r="H4736" s="15" t="s">
        <v>8</v>
      </c>
      <c r="I4736" s="15" t="s">
        <v>8</v>
      </c>
      <c r="J4736" s="15" t="s">
        <v>8</v>
      </c>
      <c r="M4736" s="15" t="s">
        <v>8</v>
      </c>
      <c r="N4736" s="21" t="str">
        <f>HYPERLINK("http://yeinfo.com/family/I09002775.html", "RICHARD GALE Jr. &lt;2&gt; 1618 EN-1679 MA ID:09005550")</f>
        <v>RICHARD GALE Jr. &lt;2&gt; 1618 EN-1679 MA ID:09005550</v>
      </c>
      <c r="O4736" s="6"/>
      <c r="P4736" s="6"/>
      <c r="Q4736" s="6"/>
      <c r="R4736" s="6"/>
    </row>
    <row r="4737" spans="3:20" x14ac:dyDescent="0.35">
      <c r="C4737" s="15" t="s">
        <v>8</v>
      </c>
      <c r="D4737" s="15" t="s">
        <v>8</v>
      </c>
      <c r="E4737" s="15" t="s">
        <v>8</v>
      </c>
      <c r="G4737" s="15" t="s">
        <v>8</v>
      </c>
      <c r="H4737" s="15" t="s">
        <v>8</v>
      </c>
      <c r="I4737" s="15" t="s">
        <v>8</v>
      </c>
      <c r="J4737" s="15" t="s">
        <v>8</v>
      </c>
      <c r="M4737" s="15" t="s">
        <v>8</v>
      </c>
      <c r="N4737" s="8" t="s">
        <v>3</v>
      </c>
      <c r="O4737" s="8" t="s">
        <v>6</v>
      </c>
    </row>
    <row r="4738" spans="3:20" x14ac:dyDescent="0.35">
      <c r="C4738" s="15" t="s">
        <v>8</v>
      </c>
      <c r="D4738" s="15" t="s">
        <v>8</v>
      </c>
      <c r="E4738" s="15" t="s">
        <v>8</v>
      </c>
      <c r="G4738" s="15" t="s">
        <v>8</v>
      </c>
      <c r="H4738" s="15" t="s">
        <v>8</v>
      </c>
      <c r="I4738" s="15" t="s">
        <v>8</v>
      </c>
      <c r="J4738" s="15" t="s">
        <v>8</v>
      </c>
      <c r="M4738" s="15" t="s">
        <v>8</v>
      </c>
      <c r="N4738" s="15" t="s">
        <v>8</v>
      </c>
      <c r="O4738" s="20" t="str">
        <f>HYPERLINK("http://yeinfo.com/family/I09022201.html", "ALICE ATWOOD &lt;2&gt; 1578 EN-1618 EN ID:09011101")</f>
        <v>ALICE ATWOOD &lt;2&gt; 1578 EN-1618 EN ID:09011101</v>
      </c>
      <c r="P4738" s="17"/>
      <c r="Q4738" s="17"/>
      <c r="R4738" s="17"/>
      <c r="S4738" s="17"/>
    </row>
    <row r="4739" spans="3:20" x14ac:dyDescent="0.35">
      <c r="C4739" s="15" t="s">
        <v>8</v>
      </c>
      <c r="D4739" s="15" t="s">
        <v>8</v>
      </c>
      <c r="E4739" s="15" t="s">
        <v>8</v>
      </c>
      <c r="G4739" s="15" t="s">
        <v>8</v>
      </c>
      <c r="H4739" s="15" t="s">
        <v>8</v>
      </c>
      <c r="I4739" s="15" t="s">
        <v>8</v>
      </c>
      <c r="J4739" s="15" t="s">
        <v>8</v>
      </c>
      <c r="M4739" s="8" t="s">
        <v>6</v>
      </c>
      <c r="N4739" s="15" t="s">
        <v>8</v>
      </c>
    </row>
    <row r="4740" spans="3:20" x14ac:dyDescent="0.35">
      <c r="C4740" s="15" t="s">
        <v>8</v>
      </c>
      <c r="D4740" s="15" t="s">
        <v>8</v>
      </c>
      <c r="E4740" s="15" t="s">
        <v>8</v>
      </c>
      <c r="G4740" s="15" t="s">
        <v>8</v>
      </c>
      <c r="H4740" s="15" t="s">
        <v>8</v>
      </c>
      <c r="I4740" s="15" t="s">
        <v>8</v>
      </c>
      <c r="J4740" s="15" t="s">
        <v>8</v>
      </c>
      <c r="M4740" s="16" t="str">
        <f>HYPERLINK("http://yeinfo.com/family/I09005549.html", "MARY GALE 1641 MA-1715 MA ID:09002775")</f>
        <v>MARY GALE 1641 MA-1715 MA ID:09002775</v>
      </c>
      <c r="N4740" s="11"/>
      <c r="O4740" s="11"/>
      <c r="P4740" s="11"/>
      <c r="Q4740" s="11"/>
    </row>
    <row r="4741" spans="3:20" x14ac:dyDescent="0.35">
      <c r="C4741" s="15" t="s">
        <v>8</v>
      </c>
      <c r="D4741" s="15" t="s">
        <v>8</v>
      </c>
      <c r="E4741" s="15" t="s">
        <v>8</v>
      </c>
      <c r="G4741" s="15" t="s">
        <v>8</v>
      </c>
      <c r="H4741" s="15" t="s">
        <v>8</v>
      </c>
      <c r="I4741" s="15" t="s">
        <v>8</v>
      </c>
      <c r="J4741" s="15" t="s">
        <v>8</v>
      </c>
      <c r="N4741" s="15" t="s">
        <v>8</v>
      </c>
    </row>
    <row r="4742" spans="3:20" x14ac:dyDescent="0.35">
      <c r="C4742" s="15" t="s">
        <v>8</v>
      </c>
      <c r="D4742" s="15" t="s">
        <v>8</v>
      </c>
      <c r="E4742" s="15" t="s">
        <v>8</v>
      </c>
      <c r="G4742" s="15" t="s">
        <v>8</v>
      </c>
      <c r="H4742" s="15" t="s">
        <v>8</v>
      </c>
      <c r="I4742" s="15" t="s">
        <v>8</v>
      </c>
      <c r="J4742" s="15" t="s">
        <v>8</v>
      </c>
      <c r="N4742" s="15" t="s">
        <v>8</v>
      </c>
      <c r="P4742" s="19" t="str">
        <f>HYPERLINK("http://yeinfo.com/family/I09011102.html", "RICHARD CASTLE &lt;2&gt; 1538 EN-1594 EN ID:09022204")</f>
        <v>RICHARD CASTLE &lt;2&gt; 1538 EN-1594 EN ID:09022204</v>
      </c>
      <c r="Q4742" s="9"/>
      <c r="R4742" s="9"/>
      <c r="S4742" s="9"/>
      <c r="T4742" s="9"/>
    </row>
    <row r="4743" spans="3:20" x14ac:dyDescent="0.35">
      <c r="C4743" s="15" t="s">
        <v>8</v>
      </c>
      <c r="D4743" s="15" t="s">
        <v>8</v>
      </c>
      <c r="E4743" s="15" t="s">
        <v>8</v>
      </c>
      <c r="G4743" s="15" t="s">
        <v>8</v>
      </c>
      <c r="H4743" s="15" t="s">
        <v>8</v>
      </c>
      <c r="I4743" s="15" t="s">
        <v>8</v>
      </c>
      <c r="J4743" s="15" t="s">
        <v>8</v>
      </c>
      <c r="N4743" s="15" t="s">
        <v>8</v>
      </c>
      <c r="P4743" s="8" t="s">
        <v>3</v>
      </c>
    </row>
    <row r="4744" spans="3:20" x14ac:dyDescent="0.35">
      <c r="C4744" s="15" t="s">
        <v>8</v>
      </c>
      <c r="D4744" s="15" t="s">
        <v>8</v>
      </c>
      <c r="E4744" s="15" t="s">
        <v>8</v>
      </c>
      <c r="G4744" s="15" t="s">
        <v>8</v>
      </c>
      <c r="H4744" s="15" t="s">
        <v>8</v>
      </c>
      <c r="I4744" s="15" t="s">
        <v>8</v>
      </c>
      <c r="J4744" s="15" t="s">
        <v>8</v>
      </c>
      <c r="N4744" s="15" t="s">
        <v>8</v>
      </c>
      <c r="O4744" s="19" t="str">
        <f>HYPERLINK("http://yeinfo.com/family/I09005551.html", "RICHARD CASTLE &lt;2&gt; 1577 EN-1632 EN ID:09011102")</f>
        <v>RICHARD CASTLE &lt;2&gt; 1577 EN-1632 EN ID:09011102</v>
      </c>
      <c r="P4744" s="9"/>
      <c r="Q4744" s="9"/>
      <c r="R4744" s="9"/>
      <c r="S4744" s="9"/>
    </row>
    <row r="4745" spans="3:20" x14ac:dyDescent="0.35">
      <c r="C4745" s="15" t="s">
        <v>8</v>
      </c>
      <c r="D4745" s="15" t="s">
        <v>8</v>
      </c>
      <c r="E4745" s="15" t="s">
        <v>8</v>
      </c>
      <c r="G4745" s="15" t="s">
        <v>8</v>
      </c>
      <c r="H4745" s="15" t="s">
        <v>8</v>
      </c>
      <c r="I4745" s="15" t="s">
        <v>8</v>
      </c>
      <c r="J4745" s="15" t="s">
        <v>8</v>
      </c>
      <c r="N4745" s="15" t="s">
        <v>8</v>
      </c>
      <c r="O4745" s="8" t="s">
        <v>3</v>
      </c>
      <c r="P4745" s="8" t="s">
        <v>6</v>
      </c>
    </row>
    <row r="4746" spans="3:20" x14ac:dyDescent="0.35">
      <c r="C4746" s="15" t="s">
        <v>8</v>
      </c>
      <c r="D4746" s="15" t="s">
        <v>8</v>
      </c>
      <c r="E4746" s="15" t="s">
        <v>8</v>
      </c>
      <c r="G4746" s="15" t="s">
        <v>8</v>
      </c>
      <c r="H4746" s="15" t="s">
        <v>8</v>
      </c>
      <c r="I4746" s="15" t="s">
        <v>8</v>
      </c>
      <c r="J4746" s="15" t="s">
        <v>8</v>
      </c>
      <c r="N4746" s="15" t="s">
        <v>8</v>
      </c>
      <c r="O4746" s="15" t="s">
        <v>8</v>
      </c>
      <c r="P4746" s="20" t="str">
        <f>HYPERLINK("http://yeinfo.com/family/I09022204.html", "ELIZABETH SMITH &lt;2&gt; 1538 EN-1583 EN ID:09022205")</f>
        <v>ELIZABETH SMITH &lt;2&gt; 1538 EN-1583 EN ID:09022205</v>
      </c>
      <c r="Q4746" s="17"/>
      <c r="R4746" s="17"/>
      <c r="S4746" s="17"/>
      <c r="T4746" s="17"/>
    </row>
    <row r="4747" spans="3:20" x14ac:dyDescent="0.35">
      <c r="C4747" s="15" t="s">
        <v>8</v>
      </c>
      <c r="D4747" s="15" t="s">
        <v>8</v>
      </c>
      <c r="E4747" s="15" t="s">
        <v>8</v>
      </c>
      <c r="G4747" s="15" t="s">
        <v>8</v>
      </c>
      <c r="H4747" s="15" t="s">
        <v>8</v>
      </c>
      <c r="I4747" s="15" t="s">
        <v>8</v>
      </c>
      <c r="J4747" s="15" t="s">
        <v>8</v>
      </c>
      <c r="N4747" s="8" t="s">
        <v>6</v>
      </c>
      <c r="O4747" s="15" t="s">
        <v>8</v>
      </c>
    </row>
    <row r="4748" spans="3:20" x14ac:dyDescent="0.35">
      <c r="C4748" s="15" t="s">
        <v>8</v>
      </c>
      <c r="D4748" s="15" t="s">
        <v>8</v>
      </c>
      <c r="E4748" s="15" t="s">
        <v>8</v>
      </c>
      <c r="G4748" s="15" t="s">
        <v>8</v>
      </c>
      <c r="H4748" s="15" t="s">
        <v>8</v>
      </c>
      <c r="I4748" s="15" t="s">
        <v>8</v>
      </c>
      <c r="J4748" s="15" t="s">
        <v>8</v>
      </c>
      <c r="N4748" s="22" t="str">
        <f>HYPERLINK("http://yeinfo.com/family/I09011101.html", "MARY CASTLE &lt;2&gt; 1624 EN-1681 MA ID:09005551")</f>
        <v>MARY CASTLE &lt;2&gt; 1624 EN-1681 MA ID:09005551</v>
      </c>
      <c r="O4748" s="13"/>
      <c r="P4748" s="13"/>
      <c r="Q4748" s="13"/>
      <c r="R4748" s="13"/>
    </row>
    <row r="4749" spans="3:20" x14ac:dyDescent="0.35">
      <c r="C4749" s="15" t="s">
        <v>8</v>
      </c>
      <c r="D4749" s="15" t="s">
        <v>8</v>
      </c>
      <c r="E4749" s="15" t="s">
        <v>8</v>
      </c>
      <c r="G4749" s="15" t="s">
        <v>8</v>
      </c>
      <c r="H4749" s="15" t="s">
        <v>8</v>
      </c>
      <c r="I4749" s="15" t="s">
        <v>8</v>
      </c>
      <c r="J4749" s="15" t="s">
        <v>8</v>
      </c>
      <c r="O4749" s="8" t="s">
        <v>6</v>
      </c>
    </row>
    <row r="4750" spans="3:20" x14ac:dyDescent="0.35">
      <c r="C4750" s="15" t="s">
        <v>8</v>
      </c>
      <c r="D4750" s="15" t="s">
        <v>8</v>
      </c>
      <c r="E4750" s="15" t="s">
        <v>8</v>
      </c>
      <c r="G4750" s="15" t="s">
        <v>8</v>
      </c>
      <c r="H4750" s="15" t="s">
        <v>8</v>
      </c>
      <c r="I4750" s="15" t="s">
        <v>8</v>
      </c>
      <c r="J4750" s="15" t="s">
        <v>8</v>
      </c>
      <c r="O4750" s="20" t="str">
        <f>HYPERLINK("http://yeinfo.com/family/I09022205.html", "ALICE ELIZABETH CATER &lt;2&gt; 1586 EN-1632 EN ID:09011103")</f>
        <v>ALICE ELIZABETH CATER &lt;2&gt; 1586 EN-1632 EN ID:09011103</v>
      </c>
      <c r="P4750" s="17"/>
      <c r="Q4750" s="17"/>
      <c r="R4750" s="17"/>
      <c r="S4750" s="17"/>
    </row>
    <row r="4751" spans="3:20" x14ac:dyDescent="0.35">
      <c r="C4751" s="15" t="s">
        <v>8</v>
      </c>
      <c r="D4751" s="15" t="s">
        <v>8</v>
      </c>
      <c r="E4751" s="15" t="s">
        <v>8</v>
      </c>
      <c r="G4751" s="15" t="s">
        <v>8</v>
      </c>
      <c r="H4751" s="15" t="s">
        <v>8</v>
      </c>
      <c r="I4751" s="8" t="s">
        <v>6</v>
      </c>
      <c r="J4751" s="15" t="s">
        <v>8</v>
      </c>
    </row>
    <row r="4752" spans="3:20" x14ac:dyDescent="0.35">
      <c r="C4752" s="15" t="s">
        <v>8</v>
      </c>
      <c r="D4752" s="15" t="s">
        <v>8</v>
      </c>
      <c r="E4752" s="15" t="s">
        <v>8</v>
      </c>
      <c r="G4752" s="15" t="s">
        <v>8</v>
      </c>
      <c r="H4752" s="15" t="s">
        <v>8</v>
      </c>
      <c r="I4752" s="16" t="str">
        <f>HYPERLINK("http://yeinfo.com/family/I09001383.html", "HANNAH NESBIT 1770 PA-1836 PA ID:09000173")</f>
        <v>HANNAH NESBIT 1770 PA-1836 PA ID:09000173</v>
      </c>
      <c r="J4752" s="11"/>
      <c r="K4752" s="11"/>
      <c r="L4752" s="11"/>
      <c r="M4752" s="11"/>
    </row>
    <row r="4753" spans="3:17" x14ac:dyDescent="0.35">
      <c r="C4753" s="15" t="s">
        <v>8</v>
      </c>
      <c r="D4753" s="15" t="s">
        <v>8</v>
      </c>
      <c r="E4753" s="15" t="s">
        <v>8</v>
      </c>
      <c r="G4753" s="15" t="s">
        <v>8</v>
      </c>
      <c r="H4753" s="15" t="s">
        <v>8</v>
      </c>
      <c r="J4753" s="15" t="s">
        <v>8</v>
      </c>
    </row>
    <row r="4754" spans="3:17" x14ac:dyDescent="0.35">
      <c r="C4754" s="15" t="s">
        <v>8</v>
      </c>
      <c r="D4754" s="15" t="s">
        <v>8</v>
      </c>
      <c r="E4754" s="15" t="s">
        <v>8</v>
      </c>
      <c r="G4754" s="15" t="s">
        <v>8</v>
      </c>
      <c r="H4754" s="15" t="s">
        <v>8</v>
      </c>
      <c r="J4754" s="15" t="s">
        <v>8</v>
      </c>
      <c r="M4754" s="5" t="str">
        <f>HYPERLINK("http://yeinfo.com/family/I09001388.html", "JOHN WICKERSHAM 1641 EN-1660  ID:09002776")</f>
        <v>JOHN WICKERSHAM 1641 EN-1660  ID:09002776</v>
      </c>
      <c r="N4754" s="3"/>
      <c r="O4754" s="3"/>
      <c r="P4754" s="3"/>
      <c r="Q4754" s="3"/>
    </row>
    <row r="4755" spans="3:17" x14ac:dyDescent="0.35">
      <c r="C4755" s="15" t="s">
        <v>8</v>
      </c>
      <c r="D4755" s="15" t="s">
        <v>8</v>
      </c>
      <c r="E4755" s="15" t="s">
        <v>8</v>
      </c>
      <c r="G4755" s="15" t="s">
        <v>8</v>
      </c>
      <c r="H4755" s="15" t="s">
        <v>8</v>
      </c>
      <c r="J4755" s="15" t="s">
        <v>8</v>
      </c>
      <c r="M4755" s="8" t="s">
        <v>3</v>
      </c>
    </row>
    <row r="4756" spans="3:17" x14ac:dyDescent="0.35">
      <c r="C4756" s="15" t="s">
        <v>8</v>
      </c>
      <c r="D4756" s="15" t="s">
        <v>8</v>
      </c>
      <c r="E4756" s="15" t="s">
        <v>8</v>
      </c>
      <c r="G4756" s="15" t="s">
        <v>8</v>
      </c>
      <c r="H4756" s="15" t="s">
        <v>8</v>
      </c>
      <c r="J4756" s="15" t="s">
        <v>8</v>
      </c>
      <c r="L4756" s="21" t="str">
        <f>HYPERLINK("http://yeinfo.com/family/I09000694.html", "THOMAS WICKERSHAM 1660 EN-1730 PA ID:09001388")</f>
        <v>THOMAS WICKERSHAM 1660 EN-1730 PA ID:09001388</v>
      </c>
      <c r="M4756" s="6"/>
      <c r="N4756" s="6"/>
      <c r="O4756" s="6"/>
      <c r="P4756" s="6"/>
    </row>
    <row r="4757" spans="3:17" x14ac:dyDescent="0.35">
      <c r="C4757" s="15" t="s">
        <v>8</v>
      </c>
      <c r="D4757" s="15" t="s">
        <v>8</v>
      </c>
      <c r="E4757" s="15" t="s">
        <v>8</v>
      </c>
      <c r="G4757" s="15" t="s">
        <v>8</v>
      </c>
      <c r="H4757" s="15" t="s">
        <v>8</v>
      </c>
      <c r="J4757" s="15" t="s">
        <v>8</v>
      </c>
      <c r="L4757" s="8" t="s">
        <v>3</v>
      </c>
      <c r="M4757" s="8" t="s">
        <v>6</v>
      </c>
    </row>
    <row r="4758" spans="3:17" x14ac:dyDescent="0.35">
      <c r="C4758" s="15" t="s">
        <v>8</v>
      </c>
      <c r="D4758" s="15" t="s">
        <v>8</v>
      </c>
      <c r="E4758" s="15" t="s">
        <v>8</v>
      </c>
      <c r="G4758" s="15" t="s">
        <v>8</v>
      </c>
      <c r="H4758" s="15" t="s">
        <v>8</v>
      </c>
      <c r="J4758" s="15" t="s">
        <v>8</v>
      </c>
      <c r="L4758" s="15" t="s">
        <v>8</v>
      </c>
      <c r="M4758" s="16" t="str">
        <f>HYPERLINK("http://yeinfo.com/family/I09002776.html", "Mrs. ELIZABETH WICKERSHAM 1638 EN-1660  ID:09002777")</f>
        <v>Mrs. ELIZABETH WICKERSHAM 1638 EN-1660  ID:09002777</v>
      </c>
      <c r="N4758" s="11"/>
      <c r="O4758" s="11"/>
      <c r="P4758" s="11"/>
      <c r="Q4758" s="11"/>
    </row>
    <row r="4759" spans="3:17" x14ac:dyDescent="0.35">
      <c r="C4759" s="15" t="s">
        <v>8</v>
      </c>
      <c r="D4759" s="15" t="s">
        <v>8</v>
      </c>
      <c r="E4759" s="15" t="s">
        <v>8</v>
      </c>
      <c r="G4759" s="15" t="s">
        <v>8</v>
      </c>
      <c r="H4759" s="15" t="s">
        <v>8</v>
      </c>
      <c r="J4759" s="15" t="s">
        <v>8</v>
      </c>
      <c r="L4759" s="15" t="s">
        <v>8</v>
      </c>
    </row>
    <row r="4760" spans="3:17" x14ac:dyDescent="0.35">
      <c r="C4760" s="15" t="s">
        <v>8</v>
      </c>
      <c r="D4760" s="15" t="s">
        <v>8</v>
      </c>
      <c r="E4760" s="15" t="s">
        <v>8</v>
      </c>
      <c r="G4760" s="15" t="s">
        <v>8</v>
      </c>
      <c r="H4760" s="15" t="s">
        <v>8</v>
      </c>
      <c r="J4760" s="15" t="s">
        <v>8</v>
      </c>
      <c r="K4760" s="21" t="str">
        <f>HYPERLINK("http://yeinfo.com/family/I09000347.html", "THOMAS WICKERSHAM 1691 EN-1726 PA ID:09000694")</f>
        <v>THOMAS WICKERSHAM 1691 EN-1726 PA ID:09000694</v>
      </c>
      <c r="L4760" s="6"/>
      <c r="M4760" s="6"/>
      <c r="N4760" s="6"/>
      <c r="O4760" s="6"/>
    </row>
    <row r="4761" spans="3:17" x14ac:dyDescent="0.35">
      <c r="C4761" s="15" t="s">
        <v>8</v>
      </c>
      <c r="D4761" s="15" t="s">
        <v>8</v>
      </c>
      <c r="E4761" s="15" t="s">
        <v>8</v>
      </c>
      <c r="G4761" s="15" t="s">
        <v>8</v>
      </c>
      <c r="H4761" s="15" t="s">
        <v>8</v>
      </c>
      <c r="J4761" s="15" t="s">
        <v>8</v>
      </c>
      <c r="K4761" s="8" t="s">
        <v>3</v>
      </c>
      <c r="L4761" s="15" t="s">
        <v>8</v>
      </c>
    </row>
    <row r="4762" spans="3:17" x14ac:dyDescent="0.35">
      <c r="C4762" s="15" t="s">
        <v>8</v>
      </c>
      <c r="D4762" s="15" t="s">
        <v>8</v>
      </c>
      <c r="E4762" s="15" t="s">
        <v>8</v>
      </c>
      <c r="G4762" s="15" t="s">
        <v>8</v>
      </c>
      <c r="H4762" s="15" t="s">
        <v>8</v>
      </c>
      <c r="J4762" s="15" t="s">
        <v>8</v>
      </c>
      <c r="K4762" s="15" t="s">
        <v>8</v>
      </c>
      <c r="L4762" s="15" t="s">
        <v>8</v>
      </c>
      <c r="M4762" s="19" t="str">
        <f>HYPERLINK("http://yeinfo.com/family/I09001389.html", "JOHN GROVER 1646 EN-1689 EN ID:09002778")</f>
        <v>JOHN GROVER 1646 EN-1689 EN ID:09002778</v>
      </c>
      <c r="N4762" s="9"/>
      <c r="O4762" s="9"/>
      <c r="P4762" s="9"/>
      <c r="Q4762" s="9"/>
    </row>
    <row r="4763" spans="3:17" x14ac:dyDescent="0.35">
      <c r="C4763" s="15" t="s">
        <v>8</v>
      </c>
      <c r="D4763" s="15" t="s">
        <v>8</v>
      </c>
      <c r="E4763" s="15" t="s">
        <v>8</v>
      </c>
      <c r="G4763" s="15" t="s">
        <v>8</v>
      </c>
      <c r="H4763" s="15" t="s">
        <v>8</v>
      </c>
      <c r="J4763" s="15" t="s">
        <v>8</v>
      </c>
      <c r="K4763" s="15" t="s">
        <v>8</v>
      </c>
      <c r="L4763" s="8" t="s">
        <v>6</v>
      </c>
      <c r="M4763" s="8" t="s">
        <v>3</v>
      </c>
    </row>
    <row r="4764" spans="3:17" x14ac:dyDescent="0.35">
      <c r="C4764" s="15" t="s">
        <v>8</v>
      </c>
      <c r="D4764" s="15" t="s">
        <v>8</v>
      </c>
      <c r="E4764" s="15" t="s">
        <v>8</v>
      </c>
      <c r="G4764" s="15" t="s">
        <v>8</v>
      </c>
      <c r="H4764" s="15" t="s">
        <v>8</v>
      </c>
      <c r="J4764" s="15" t="s">
        <v>8</v>
      </c>
      <c r="K4764" s="15" t="s">
        <v>8</v>
      </c>
      <c r="L4764" s="20" t="str">
        <f>HYPERLINK("http://yeinfo.com/family/I09002777.html", "ANN GROVER 1668 EN-1697 EN ID:09001389")</f>
        <v>ANN GROVER 1668 EN-1697 EN ID:09001389</v>
      </c>
      <c r="M4764" s="17"/>
      <c r="N4764" s="17"/>
      <c r="O4764" s="17"/>
      <c r="P4764" s="17"/>
    </row>
    <row r="4765" spans="3:17" x14ac:dyDescent="0.35">
      <c r="C4765" s="15" t="s">
        <v>8</v>
      </c>
      <c r="D4765" s="15" t="s">
        <v>8</v>
      </c>
      <c r="E4765" s="15" t="s">
        <v>8</v>
      </c>
      <c r="G4765" s="15" t="s">
        <v>8</v>
      </c>
      <c r="H4765" s="15" t="s">
        <v>8</v>
      </c>
      <c r="J4765" s="15" t="s">
        <v>8</v>
      </c>
      <c r="K4765" s="15" t="s">
        <v>8</v>
      </c>
      <c r="M4765" s="8" t="s">
        <v>6</v>
      </c>
    </row>
    <row r="4766" spans="3:17" x14ac:dyDescent="0.35">
      <c r="C4766" s="15" t="s">
        <v>8</v>
      </c>
      <c r="D4766" s="15" t="s">
        <v>8</v>
      </c>
      <c r="E4766" s="15" t="s">
        <v>8</v>
      </c>
      <c r="G4766" s="15" t="s">
        <v>8</v>
      </c>
      <c r="H4766" s="15" t="s">
        <v>8</v>
      </c>
      <c r="J4766" s="15" t="s">
        <v>8</v>
      </c>
      <c r="K4766" s="15" t="s">
        <v>8</v>
      </c>
      <c r="M4766" s="20" t="str">
        <f>HYPERLINK("http://yeinfo.com/family/I09002778.html", "ANN KILLINGBECK 1650 EN-1672 EN ID:09002779")</f>
        <v>ANN KILLINGBECK 1650 EN-1672 EN ID:09002779</v>
      </c>
      <c r="N4766" s="17"/>
      <c r="O4766" s="17"/>
      <c r="P4766" s="17"/>
      <c r="Q4766" s="17"/>
    </row>
    <row r="4767" spans="3:17" x14ac:dyDescent="0.35">
      <c r="C4767" s="15" t="s">
        <v>8</v>
      </c>
      <c r="D4767" s="15" t="s">
        <v>8</v>
      </c>
      <c r="E4767" s="15" t="s">
        <v>8</v>
      </c>
      <c r="G4767" s="15" t="s">
        <v>8</v>
      </c>
      <c r="H4767" s="15" t="s">
        <v>8</v>
      </c>
      <c r="J4767" s="8" t="s">
        <v>6</v>
      </c>
      <c r="K4767" s="15" t="s">
        <v>8</v>
      </c>
    </row>
    <row r="4768" spans="3:17" x14ac:dyDescent="0.35">
      <c r="C4768" s="15" t="s">
        <v>8</v>
      </c>
      <c r="D4768" s="15" t="s">
        <v>8</v>
      </c>
      <c r="E4768" s="15" t="s">
        <v>8</v>
      </c>
      <c r="G4768" s="15" t="s">
        <v>8</v>
      </c>
      <c r="H4768" s="15" t="s">
        <v>8</v>
      </c>
      <c r="J4768" s="16" t="str">
        <f>HYPERLINK("http://yeinfo.com/family/I09011103.html", "HANNAH WICKERSHAM 1723 PA-1811 PA ID:09000347")</f>
        <v>HANNAH WICKERSHAM 1723 PA-1811 PA ID:09000347</v>
      </c>
      <c r="K4768" s="11"/>
      <c r="L4768" s="11"/>
      <c r="M4768" s="11"/>
      <c r="N4768" s="11"/>
    </row>
    <row r="4769" spans="3:18" x14ac:dyDescent="0.35">
      <c r="C4769" s="15" t="s">
        <v>8</v>
      </c>
      <c r="D4769" s="15" t="s">
        <v>8</v>
      </c>
      <c r="E4769" s="15" t="s">
        <v>8</v>
      </c>
      <c r="G4769" s="15" t="s">
        <v>8</v>
      </c>
      <c r="H4769" s="15" t="s">
        <v>8</v>
      </c>
      <c r="K4769" s="15" t="s">
        <v>8</v>
      </c>
    </row>
    <row r="4770" spans="3:18" x14ac:dyDescent="0.35">
      <c r="C4770" s="15" t="s">
        <v>8</v>
      </c>
      <c r="D4770" s="15" t="s">
        <v>8</v>
      </c>
      <c r="E4770" s="15" t="s">
        <v>8</v>
      </c>
      <c r="G4770" s="15" t="s">
        <v>8</v>
      </c>
      <c r="H4770" s="15" t="s">
        <v>8</v>
      </c>
      <c r="K4770" s="15" t="s">
        <v>8</v>
      </c>
      <c r="N4770" s="19" t="str">
        <f>HYPERLINK("http://yeinfo.com/family/I09002780.html", "WILLIAM JOHNSON 1593 ST-1658 EN ID:09005560")</f>
        <v>WILLIAM JOHNSON 1593 ST-1658 EN ID:09005560</v>
      </c>
      <c r="O4770" s="9"/>
      <c r="P4770" s="9"/>
      <c r="Q4770" s="9"/>
      <c r="R4770" s="9"/>
    </row>
    <row r="4771" spans="3:18" x14ac:dyDescent="0.35">
      <c r="C4771" s="15" t="s">
        <v>8</v>
      </c>
      <c r="D4771" s="15" t="s">
        <v>8</v>
      </c>
      <c r="E4771" s="15" t="s">
        <v>8</v>
      </c>
      <c r="G4771" s="15" t="s">
        <v>8</v>
      </c>
      <c r="H4771" s="15" t="s">
        <v>8</v>
      </c>
      <c r="K4771" s="15" t="s">
        <v>8</v>
      </c>
      <c r="N4771" s="8" t="s">
        <v>3</v>
      </c>
    </row>
    <row r="4772" spans="3:18" x14ac:dyDescent="0.35">
      <c r="C4772" s="15" t="s">
        <v>8</v>
      </c>
      <c r="D4772" s="15" t="s">
        <v>8</v>
      </c>
      <c r="E4772" s="15" t="s">
        <v>8</v>
      </c>
      <c r="G4772" s="15" t="s">
        <v>8</v>
      </c>
      <c r="H4772" s="15" t="s">
        <v>8</v>
      </c>
      <c r="K4772" s="15" t="s">
        <v>8</v>
      </c>
      <c r="M4772" s="19" t="str">
        <f>HYPERLINK("http://yeinfo.com/family/I09001390.html", "JOSEPH JOHNSON 1644 IR-1695 IR ID:09002780")</f>
        <v>JOSEPH JOHNSON 1644 IR-1695 IR ID:09002780</v>
      </c>
      <c r="N4772" s="9"/>
      <c r="O4772" s="9"/>
      <c r="P4772" s="9"/>
      <c r="Q4772" s="9"/>
    </row>
    <row r="4773" spans="3:18" x14ac:dyDescent="0.35">
      <c r="C4773" s="15" t="s">
        <v>8</v>
      </c>
      <c r="D4773" s="15" t="s">
        <v>8</v>
      </c>
      <c r="E4773" s="15" t="s">
        <v>8</v>
      </c>
      <c r="G4773" s="15" t="s">
        <v>8</v>
      </c>
      <c r="H4773" s="15" t="s">
        <v>8</v>
      </c>
      <c r="K4773" s="15" t="s">
        <v>8</v>
      </c>
      <c r="M4773" s="8" t="s">
        <v>3</v>
      </c>
      <c r="N4773" s="8" t="s">
        <v>6</v>
      </c>
    </row>
    <row r="4774" spans="3:18" x14ac:dyDescent="0.35">
      <c r="C4774" s="15" t="s">
        <v>8</v>
      </c>
      <c r="D4774" s="15" t="s">
        <v>8</v>
      </c>
      <c r="E4774" s="15" t="s">
        <v>8</v>
      </c>
      <c r="G4774" s="15" t="s">
        <v>8</v>
      </c>
      <c r="H4774" s="15" t="s">
        <v>8</v>
      </c>
      <c r="K4774" s="15" t="s">
        <v>8</v>
      </c>
      <c r="M4774" s="15" t="s">
        <v>8</v>
      </c>
      <c r="N4774" s="20" t="str">
        <f>HYPERLINK("http://yeinfo.com/family/I09005560.html", "AGNES MAXWELL 1607 ST-1650 EN ID:09005561")</f>
        <v>AGNES MAXWELL 1607 ST-1650 EN ID:09005561</v>
      </c>
      <c r="O4774" s="17"/>
      <c r="P4774" s="17"/>
      <c r="Q4774" s="17"/>
      <c r="R4774" s="17"/>
    </row>
    <row r="4775" spans="3:18" x14ac:dyDescent="0.35">
      <c r="C4775" s="15" t="s">
        <v>8</v>
      </c>
      <c r="D4775" s="15" t="s">
        <v>8</v>
      </c>
      <c r="E4775" s="15" t="s">
        <v>8</v>
      </c>
      <c r="G4775" s="15" t="s">
        <v>8</v>
      </c>
      <c r="H4775" s="15" t="s">
        <v>8</v>
      </c>
      <c r="K4775" s="15" t="s">
        <v>8</v>
      </c>
      <c r="M4775" s="15" t="s">
        <v>8</v>
      </c>
    </row>
    <row r="4776" spans="3:18" x14ac:dyDescent="0.35">
      <c r="C4776" s="15" t="s">
        <v>8</v>
      </c>
      <c r="D4776" s="15" t="s">
        <v>8</v>
      </c>
      <c r="E4776" s="15" t="s">
        <v>8</v>
      </c>
      <c r="G4776" s="15" t="s">
        <v>8</v>
      </c>
      <c r="H4776" s="15" t="s">
        <v>8</v>
      </c>
      <c r="K4776" s="15" t="s">
        <v>8</v>
      </c>
      <c r="L4776" s="21" t="str">
        <f>HYPERLINK("http://yeinfo.com/family/I09000695.html", "ROBERT JOHNSON 1669 IR-1732 PA ID:09001390")</f>
        <v>ROBERT JOHNSON 1669 IR-1732 PA ID:09001390</v>
      </c>
      <c r="M4776" s="6"/>
      <c r="N4776" s="6"/>
      <c r="O4776" s="6"/>
      <c r="P4776" s="6"/>
    </row>
    <row r="4777" spans="3:18" x14ac:dyDescent="0.35">
      <c r="C4777" s="15" t="s">
        <v>8</v>
      </c>
      <c r="D4777" s="15" t="s">
        <v>8</v>
      </c>
      <c r="E4777" s="15" t="s">
        <v>8</v>
      </c>
      <c r="G4777" s="15" t="s">
        <v>8</v>
      </c>
      <c r="H4777" s="15" t="s">
        <v>8</v>
      </c>
      <c r="K4777" s="15" t="s">
        <v>8</v>
      </c>
      <c r="L4777" s="8" t="s">
        <v>3</v>
      </c>
      <c r="M4777" s="8" t="s">
        <v>6</v>
      </c>
    </row>
    <row r="4778" spans="3:18" x14ac:dyDescent="0.35">
      <c r="C4778" s="15" t="s">
        <v>8</v>
      </c>
      <c r="D4778" s="15" t="s">
        <v>8</v>
      </c>
      <c r="E4778" s="15" t="s">
        <v>8</v>
      </c>
      <c r="G4778" s="15" t="s">
        <v>8</v>
      </c>
      <c r="H4778" s="15" t="s">
        <v>8</v>
      </c>
      <c r="K4778" s="15" t="s">
        <v>8</v>
      </c>
      <c r="L4778" s="15" t="s">
        <v>8</v>
      </c>
      <c r="M4778" s="20" t="str">
        <f>HYPERLINK("http://yeinfo.com/family/I09005561.html", "AGNES HENDRY 1644 IR-1669 IR ID:09002781")</f>
        <v>AGNES HENDRY 1644 IR-1669 IR ID:09002781</v>
      </c>
      <c r="N4778" s="17"/>
      <c r="O4778" s="17"/>
      <c r="P4778" s="17"/>
      <c r="Q4778" s="17"/>
    </row>
    <row r="4779" spans="3:18" x14ac:dyDescent="0.35">
      <c r="C4779" s="15" t="s">
        <v>8</v>
      </c>
      <c r="D4779" s="15" t="s">
        <v>8</v>
      </c>
      <c r="E4779" s="15" t="s">
        <v>8</v>
      </c>
      <c r="G4779" s="15" t="s">
        <v>8</v>
      </c>
      <c r="H4779" s="15" t="s">
        <v>8</v>
      </c>
      <c r="K4779" s="8" t="s">
        <v>6</v>
      </c>
      <c r="L4779" s="15" t="s">
        <v>8</v>
      </c>
    </row>
    <row r="4780" spans="3:18" x14ac:dyDescent="0.35">
      <c r="C4780" s="15" t="s">
        <v>8</v>
      </c>
      <c r="D4780" s="15" t="s">
        <v>8</v>
      </c>
      <c r="E4780" s="15" t="s">
        <v>8</v>
      </c>
      <c r="G4780" s="15" t="s">
        <v>8</v>
      </c>
      <c r="H4780" s="15" t="s">
        <v>8</v>
      </c>
      <c r="K4780" s="16" t="str">
        <f>HYPERLINK("http://yeinfo.com/family/I09002779.html", "ABIGAIL JOHNSON 1704 PA-1759 PA ID:09000695")</f>
        <v>ABIGAIL JOHNSON 1704 PA-1759 PA ID:09000695</v>
      </c>
      <c r="L4780" s="11"/>
      <c r="M4780" s="11"/>
      <c r="N4780" s="11"/>
      <c r="O4780" s="11"/>
    </row>
    <row r="4781" spans="3:18" x14ac:dyDescent="0.35">
      <c r="C4781" s="15" t="s">
        <v>8</v>
      </c>
      <c r="D4781" s="15" t="s">
        <v>8</v>
      </c>
      <c r="E4781" s="15" t="s">
        <v>8</v>
      </c>
      <c r="G4781" s="15" t="s">
        <v>8</v>
      </c>
      <c r="H4781" s="15" t="s">
        <v>8</v>
      </c>
      <c r="L4781" s="15" t="s">
        <v>8</v>
      </c>
    </row>
    <row r="4782" spans="3:18" x14ac:dyDescent="0.35">
      <c r="C4782" s="15" t="s">
        <v>8</v>
      </c>
      <c r="D4782" s="15" t="s">
        <v>8</v>
      </c>
      <c r="E4782" s="15" t="s">
        <v>8</v>
      </c>
      <c r="G4782" s="15" t="s">
        <v>8</v>
      </c>
      <c r="H4782" s="15" t="s">
        <v>8</v>
      </c>
      <c r="L4782" s="15" t="s">
        <v>8</v>
      </c>
      <c r="M4782" s="5" t="str">
        <f>HYPERLINK("http://yeinfo.com/family/I09001391.html", "JAMES BRAITHWAITE 1654 -1673 EN ID:09002782")</f>
        <v>JAMES BRAITHWAITE 1654 -1673 EN ID:09002782</v>
      </c>
      <c r="N4782" s="3"/>
      <c r="O4782" s="3"/>
      <c r="P4782" s="3"/>
      <c r="Q4782" s="3"/>
    </row>
    <row r="4783" spans="3:18" x14ac:dyDescent="0.35">
      <c r="C4783" s="15" t="s">
        <v>8</v>
      </c>
      <c r="D4783" s="15" t="s">
        <v>8</v>
      </c>
      <c r="E4783" s="15" t="s">
        <v>8</v>
      </c>
      <c r="G4783" s="15" t="s">
        <v>8</v>
      </c>
      <c r="H4783" s="15" t="s">
        <v>8</v>
      </c>
      <c r="L4783" s="8" t="s">
        <v>6</v>
      </c>
      <c r="M4783" s="8" t="s">
        <v>3</v>
      </c>
    </row>
    <row r="4784" spans="3:18" x14ac:dyDescent="0.35">
      <c r="C4784" s="15" t="s">
        <v>8</v>
      </c>
      <c r="D4784" s="15" t="s">
        <v>8</v>
      </c>
      <c r="E4784" s="15" t="s">
        <v>8</v>
      </c>
      <c r="G4784" s="15" t="s">
        <v>8</v>
      </c>
      <c r="H4784" s="15" t="s">
        <v>8</v>
      </c>
      <c r="L4784" s="16" t="str">
        <f>HYPERLINK("http://yeinfo.com/family/I09002781.html", "MARGARET BRAITHWAITE 1673 EN-1704  ID:09001391")</f>
        <v>MARGARET BRAITHWAITE 1673 EN-1704  ID:09001391</v>
      </c>
      <c r="M4784" s="11"/>
      <c r="N4784" s="11"/>
      <c r="O4784" s="11"/>
      <c r="P4784" s="11"/>
    </row>
    <row r="4785" spans="3:17" x14ac:dyDescent="0.35">
      <c r="C4785" s="15" t="s">
        <v>8</v>
      </c>
      <c r="D4785" s="15" t="s">
        <v>8</v>
      </c>
      <c r="E4785" s="15" t="s">
        <v>8</v>
      </c>
      <c r="G4785" s="15" t="s">
        <v>8</v>
      </c>
      <c r="H4785" s="15" t="s">
        <v>8</v>
      </c>
      <c r="M4785" s="8" t="s">
        <v>6</v>
      </c>
    </row>
    <row r="4786" spans="3:17" x14ac:dyDescent="0.35">
      <c r="C4786" s="15" t="s">
        <v>8</v>
      </c>
      <c r="D4786" s="15" t="s">
        <v>8</v>
      </c>
      <c r="E4786" s="15" t="s">
        <v>8</v>
      </c>
      <c r="G4786" s="15" t="s">
        <v>8</v>
      </c>
      <c r="H4786" s="15" t="s">
        <v>8</v>
      </c>
      <c r="M4786" s="16" t="str">
        <f>HYPERLINK("http://yeinfo.com/family/I09002782.html", "MARGARET BOULTON 1653 -1750 EN ID:09002783")</f>
        <v>MARGARET BOULTON 1653 -1750 EN ID:09002783</v>
      </c>
      <c r="N4786" s="11"/>
      <c r="O4786" s="11"/>
      <c r="P4786" s="11"/>
      <c r="Q4786" s="11"/>
    </row>
    <row r="4787" spans="3:17" x14ac:dyDescent="0.35">
      <c r="C4787" s="15" t="s">
        <v>8</v>
      </c>
      <c r="D4787" s="15" t="s">
        <v>8</v>
      </c>
      <c r="E4787" s="15" t="s">
        <v>8</v>
      </c>
      <c r="G4787" s="8" t="s">
        <v>6</v>
      </c>
      <c r="H4787" s="15" t="s">
        <v>8</v>
      </c>
    </row>
    <row r="4788" spans="3:17" x14ac:dyDescent="0.35">
      <c r="C4788" s="15" t="s">
        <v>8</v>
      </c>
      <c r="D4788" s="15" t="s">
        <v>8</v>
      </c>
      <c r="E4788" s="15" t="s">
        <v>8</v>
      </c>
      <c r="G4788" s="16" t="str">
        <f>HYPERLINK("http://yeinfo.com/family/I09000171.html", "ELIZABETH ANN METIER 1829 OH-1911 CA ID:09000043")</f>
        <v>ELIZABETH ANN METIER 1829 OH-1911 CA ID:09000043</v>
      </c>
      <c r="H4788" s="11"/>
      <c r="I4788" s="11"/>
      <c r="J4788" s="11"/>
      <c r="K4788" s="11"/>
    </row>
    <row r="4789" spans="3:17" x14ac:dyDescent="0.35">
      <c r="C4789" s="15" t="s">
        <v>8</v>
      </c>
      <c r="D4789" s="15" t="s">
        <v>8</v>
      </c>
      <c r="E4789" s="15" t="s">
        <v>8</v>
      </c>
      <c r="H4789" s="15" t="s">
        <v>8</v>
      </c>
    </row>
    <row r="4790" spans="3:17" x14ac:dyDescent="0.35">
      <c r="C4790" s="15" t="s">
        <v>8</v>
      </c>
      <c r="D4790" s="15" t="s">
        <v>8</v>
      </c>
      <c r="E4790" s="15" t="s">
        <v>8</v>
      </c>
      <c r="H4790" s="15" t="s">
        <v>8</v>
      </c>
      <c r="L4790" s="21" t="str">
        <f>HYPERLINK("http://yeinfo.com/family/I09000696.html", "HENRY MOYERS 1705 AS-1730 PA ID:09001392")</f>
        <v>HENRY MOYERS 1705 AS-1730 PA ID:09001392</v>
      </c>
      <c r="M4790" s="6"/>
      <c r="N4790" s="6"/>
      <c r="O4790" s="6"/>
      <c r="P4790" s="6"/>
    </row>
    <row r="4791" spans="3:17" x14ac:dyDescent="0.35">
      <c r="C4791" s="15" t="s">
        <v>8</v>
      </c>
      <c r="D4791" s="15" t="s">
        <v>8</v>
      </c>
      <c r="E4791" s="15" t="s">
        <v>8</v>
      </c>
      <c r="H4791" s="15" t="s">
        <v>8</v>
      </c>
      <c r="L4791" s="8" t="s">
        <v>3</v>
      </c>
    </row>
    <row r="4792" spans="3:17" x14ac:dyDescent="0.35">
      <c r="C4792" s="15" t="s">
        <v>8</v>
      </c>
      <c r="D4792" s="15" t="s">
        <v>8</v>
      </c>
      <c r="E4792" s="15" t="s">
        <v>8</v>
      </c>
      <c r="H4792" s="15" t="s">
        <v>8</v>
      </c>
      <c r="K4792" s="21" t="str">
        <f>HYPERLINK("http://yeinfo.com/family/I09000348.html", "JACOB MOYERS 1730 AS-1808 PA ID:09000696")</f>
        <v>JACOB MOYERS 1730 AS-1808 PA ID:09000696</v>
      </c>
      <c r="L4792" s="6"/>
      <c r="M4792" s="6"/>
      <c r="N4792" s="6"/>
      <c r="O4792" s="6"/>
    </row>
    <row r="4793" spans="3:17" x14ac:dyDescent="0.35">
      <c r="C4793" s="15" t="s">
        <v>8</v>
      </c>
      <c r="D4793" s="15" t="s">
        <v>8</v>
      </c>
      <c r="E4793" s="15" t="s">
        <v>8</v>
      </c>
      <c r="H4793" s="15" t="s">
        <v>8</v>
      </c>
      <c r="K4793" s="8" t="s">
        <v>3</v>
      </c>
      <c r="L4793" s="8" t="s">
        <v>6</v>
      </c>
    </row>
    <row r="4794" spans="3:17" x14ac:dyDescent="0.35">
      <c r="C4794" s="15" t="s">
        <v>8</v>
      </c>
      <c r="D4794" s="15" t="s">
        <v>8</v>
      </c>
      <c r="E4794" s="15" t="s">
        <v>8</v>
      </c>
      <c r="H4794" s="15" t="s">
        <v>8</v>
      </c>
      <c r="K4794" s="15" t="s">
        <v>8</v>
      </c>
      <c r="L4794" s="22" t="str">
        <f>HYPERLINK("http://yeinfo.com/family/I09001392.html", "Mrs. {_?_} MOYERS 1700 AS-1730 PA ID:09001393")</f>
        <v>Mrs. {_?_} MOYERS 1700 AS-1730 PA ID:09001393</v>
      </c>
      <c r="M4794" s="13"/>
      <c r="N4794" s="13"/>
      <c r="O4794" s="13"/>
      <c r="P4794" s="13"/>
    </row>
    <row r="4795" spans="3:17" x14ac:dyDescent="0.35">
      <c r="C4795" s="15" t="s">
        <v>8</v>
      </c>
      <c r="D4795" s="15" t="s">
        <v>8</v>
      </c>
      <c r="E4795" s="15" t="s">
        <v>8</v>
      </c>
      <c r="H4795" s="15" t="s">
        <v>8</v>
      </c>
      <c r="K4795" s="15" t="s">
        <v>8</v>
      </c>
    </row>
    <row r="4796" spans="3:17" x14ac:dyDescent="0.35">
      <c r="C4796" s="15" t="s">
        <v>8</v>
      </c>
      <c r="D4796" s="15" t="s">
        <v>8</v>
      </c>
      <c r="E4796" s="15" t="s">
        <v>8</v>
      </c>
      <c r="H4796" s="15" t="s">
        <v>8</v>
      </c>
      <c r="J4796" s="5" t="str">
        <f>HYPERLINK("http://yeinfo.com/family/I09000174.html", "JOHN\PHILIP MOYERS 1755 PA-1831 PA ID:09000348")</f>
        <v>JOHN\PHILIP MOYERS 1755 PA-1831 PA ID:09000348</v>
      </c>
      <c r="K4796" s="3"/>
      <c r="L4796" s="3"/>
      <c r="M4796" s="3"/>
      <c r="N4796" s="3"/>
      <c r="O4796" s="3"/>
    </row>
    <row r="4797" spans="3:17" x14ac:dyDescent="0.35">
      <c r="C4797" s="15" t="s">
        <v>8</v>
      </c>
      <c r="D4797" s="15" t="s">
        <v>8</v>
      </c>
      <c r="E4797" s="15" t="s">
        <v>8</v>
      </c>
      <c r="H4797" s="15" t="s">
        <v>8</v>
      </c>
      <c r="J4797" s="8" t="s">
        <v>3</v>
      </c>
      <c r="K4797" s="15" t="s">
        <v>8</v>
      </c>
    </row>
    <row r="4798" spans="3:17" x14ac:dyDescent="0.35">
      <c r="C4798" s="15" t="s">
        <v>8</v>
      </c>
      <c r="D4798" s="15" t="s">
        <v>8</v>
      </c>
      <c r="E4798" s="15" t="s">
        <v>8</v>
      </c>
      <c r="H4798" s="15" t="s">
        <v>8</v>
      </c>
      <c r="J4798" s="15" t="s">
        <v>8</v>
      </c>
      <c r="K4798" s="15" t="s">
        <v>8</v>
      </c>
      <c r="L4798" s="21" t="str">
        <f>HYPERLINK("http://yeinfo.com/family/I09000697.html", "PETER REAM 1705 GE-1730 PA ID:09001394")</f>
        <v>PETER REAM 1705 GE-1730 PA ID:09001394</v>
      </c>
      <c r="M4798" s="6"/>
      <c r="N4798" s="6"/>
      <c r="O4798" s="6"/>
      <c r="P4798" s="6"/>
    </row>
    <row r="4799" spans="3:17" x14ac:dyDescent="0.35">
      <c r="C4799" s="15" t="s">
        <v>8</v>
      </c>
      <c r="D4799" s="15" t="s">
        <v>8</v>
      </c>
      <c r="E4799" s="15" t="s">
        <v>8</v>
      </c>
      <c r="H4799" s="15" t="s">
        <v>8</v>
      </c>
      <c r="J4799" s="15" t="s">
        <v>8</v>
      </c>
      <c r="K4799" s="8" t="s">
        <v>6</v>
      </c>
      <c r="L4799" s="8" t="s">
        <v>3</v>
      </c>
    </row>
    <row r="4800" spans="3:17" x14ac:dyDescent="0.35">
      <c r="C4800" s="15" t="s">
        <v>8</v>
      </c>
      <c r="D4800" s="15" t="s">
        <v>8</v>
      </c>
      <c r="E4800" s="15" t="s">
        <v>8</v>
      </c>
      <c r="H4800" s="15" t="s">
        <v>8</v>
      </c>
      <c r="J4800" s="15" t="s">
        <v>8</v>
      </c>
      <c r="K4800" s="16" t="str">
        <f>HYPERLINK("http://yeinfo.com/family/I09001393.html", "SUSANNA REAM 1730 PA-1807 PA ID:09000697")</f>
        <v>SUSANNA REAM 1730 PA-1807 PA ID:09000697</v>
      </c>
      <c r="L4800" s="11"/>
      <c r="M4800" s="11"/>
      <c r="N4800" s="11"/>
      <c r="O4800" s="11"/>
    </row>
    <row r="4801" spans="3:17" x14ac:dyDescent="0.35">
      <c r="C4801" s="15" t="s">
        <v>8</v>
      </c>
      <c r="D4801" s="15" t="s">
        <v>8</v>
      </c>
      <c r="E4801" s="15" t="s">
        <v>8</v>
      </c>
      <c r="H4801" s="15" t="s">
        <v>8</v>
      </c>
      <c r="J4801" s="15" t="s">
        <v>8</v>
      </c>
      <c r="L4801" s="8" t="s">
        <v>6</v>
      </c>
    </row>
    <row r="4802" spans="3:17" x14ac:dyDescent="0.35">
      <c r="C4802" s="15" t="s">
        <v>8</v>
      </c>
      <c r="D4802" s="15" t="s">
        <v>8</v>
      </c>
      <c r="E4802" s="15" t="s">
        <v>8</v>
      </c>
      <c r="H4802" s="15" t="s">
        <v>8</v>
      </c>
      <c r="J4802" s="15" t="s">
        <v>8</v>
      </c>
      <c r="L4802" s="22" t="str">
        <f>HYPERLINK("http://yeinfo.com/family/I09001394.html", "JOHANN\ANNA ELIZABETHA EBERHARDT 1700 GE-1730 PA ID:09001395")</f>
        <v>JOHANN\ANNA ELIZABETHA EBERHARDT 1700 GE-1730 PA ID:09001395</v>
      </c>
      <c r="M4802" s="13"/>
      <c r="N4802" s="13"/>
      <c r="O4802" s="13"/>
      <c r="P4802" s="13"/>
      <c r="Q4802" s="13"/>
    </row>
    <row r="4803" spans="3:17" x14ac:dyDescent="0.35">
      <c r="C4803" s="15" t="s">
        <v>8</v>
      </c>
      <c r="D4803" s="15" t="s">
        <v>8</v>
      </c>
      <c r="E4803" s="15" t="s">
        <v>8</v>
      </c>
      <c r="H4803" s="15" t="s">
        <v>8</v>
      </c>
      <c r="J4803" s="15" t="s">
        <v>8</v>
      </c>
    </row>
    <row r="4804" spans="3:17" x14ac:dyDescent="0.35">
      <c r="C4804" s="15" t="s">
        <v>8</v>
      </c>
      <c r="D4804" s="15" t="s">
        <v>8</v>
      </c>
      <c r="E4804" s="15" t="s">
        <v>8</v>
      </c>
      <c r="H4804" s="15" t="s">
        <v>8</v>
      </c>
      <c r="I4804" s="5" t="str">
        <f>HYPERLINK("http://yeinfo.com/family/I09000087.html", "PHILIP MOYERS 1780 PA-1858 OH ID:09000174")</f>
        <v>PHILIP MOYERS 1780 PA-1858 OH ID:09000174</v>
      </c>
      <c r="J4804" s="3"/>
      <c r="K4804" s="3"/>
      <c r="L4804" s="3"/>
      <c r="M4804" s="3"/>
    </row>
    <row r="4805" spans="3:17" x14ac:dyDescent="0.35">
      <c r="C4805" s="15" t="s">
        <v>8</v>
      </c>
      <c r="D4805" s="15" t="s">
        <v>8</v>
      </c>
      <c r="E4805" s="15" t="s">
        <v>8</v>
      </c>
      <c r="H4805" s="15" t="s">
        <v>8</v>
      </c>
      <c r="I4805" s="8" t="s">
        <v>3</v>
      </c>
      <c r="J4805" s="15" t="s">
        <v>8</v>
      </c>
    </row>
    <row r="4806" spans="3:17" x14ac:dyDescent="0.35">
      <c r="C4806" s="15" t="s">
        <v>8</v>
      </c>
      <c r="D4806" s="15" t="s">
        <v>8</v>
      </c>
      <c r="E4806" s="15" t="s">
        <v>8</v>
      </c>
      <c r="H4806" s="15" t="s">
        <v>8</v>
      </c>
      <c r="I4806" s="15" t="s">
        <v>8</v>
      </c>
      <c r="J4806" s="15" t="s">
        <v>8</v>
      </c>
      <c r="M4806" s="21" t="str">
        <f>HYPERLINK("http://yeinfo.com/family/I09001396.html", "JOHAN NICHOLAS MORR 1660 GE-1750 PA ID:09002792")</f>
        <v>JOHAN NICHOLAS MORR 1660 GE-1750 PA ID:09002792</v>
      </c>
      <c r="N4806" s="6"/>
      <c r="O4806" s="6"/>
      <c r="P4806" s="6"/>
      <c r="Q4806" s="6"/>
    </row>
    <row r="4807" spans="3:17" x14ac:dyDescent="0.35">
      <c r="C4807" s="15" t="s">
        <v>8</v>
      </c>
      <c r="D4807" s="15" t="s">
        <v>8</v>
      </c>
      <c r="E4807" s="15" t="s">
        <v>8</v>
      </c>
      <c r="H4807" s="15" t="s">
        <v>8</v>
      </c>
      <c r="I4807" s="15" t="s">
        <v>8</v>
      </c>
      <c r="J4807" s="15" t="s">
        <v>8</v>
      </c>
      <c r="M4807" s="8" t="s">
        <v>3</v>
      </c>
    </row>
    <row r="4808" spans="3:17" x14ac:dyDescent="0.35">
      <c r="C4808" s="15" t="s">
        <v>8</v>
      </c>
      <c r="D4808" s="15" t="s">
        <v>8</v>
      </c>
      <c r="E4808" s="15" t="s">
        <v>8</v>
      </c>
      <c r="H4808" s="15" t="s">
        <v>8</v>
      </c>
      <c r="I4808" s="15" t="s">
        <v>8</v>
      </c>
      <c r="J4808" s="15" t="s">
        <v>8</v>
      </c>
      <c r="L4808" s="21" t="str">
        <f>HYPERLINK("http://yeinfo.com/family/I09000698.html", "JOHANN ANDREAS MORR Sr. 1702 GE-1758 PA ID:09001396")</f>
        <v>JOHANN ANDREAS MORR Sr. 1702 GE-1758 PA ID:09001396</v>
      </c>
      <c r="M4808" s="6"/>
      <c r="N4808" s="6"/>
      <c r="O4808" s="6"/>
      <c r="P4808" s="6"/>
    </row>
    <row r="4809" spans="3:17" x14ac:dyDescent="0.35">
      <c r="C4809" s="15" t="s">
        <v>8</v>
      </c>
      <c r="D4809" s="15" t="s">
        <v>8</v>
      </c>
      <c r="E4809" s="15" t="s">
        <v>8</v>
      </c>
      <c r="H4809" s="15" t="s">
        <v>8</v>
      </c>
      <c r="I4809" s="15" t="s">
        <v>8</v>
      </c>
      <c r="J4809" s="15" t="s">
        <v>8</v>
      </c>
      <c r="L4809" s="8" t="s">
        <v>3</v>
      </c>
      <c r="M4809" s="8" t="s">
        <v>6</v>
      </c>
    </row>
    <row r="4810" spans="3:17" x14ac:dyDescent="0.35">
      <c r="C4810" s="15" t="s">
        <v>8</v>
      </c>
      <c r="D4810" s="15" t="s">
        <v>8</v>
      </c>
      <c r="E4810" s="15" t="s">
        <v>8</v>
      </c>
      <c r="H4810" s="15" t="s">
        <v>8</v>
      </c>
      <c r="I4810" s="15" t="s">
        <v>8</v>
      </c>
      <c r="J4810" s="15" t="s">
        <v>8</v>
      </c>
      <c r="L4810" s="15" t="s">
        <v>8</v>
      </c>
      <c r="M4810" s="22" t="str">
        <f>HYPERLINK("http://yeinfo.com/family/I09002792.html", "BARBARA MARIA SCHMEUSER 1667 GE-1755 PA ID:09002793")</f>
        <v>BARBARA MARIA SCHMEUSER 1667 GE-1755 PA ID:09002793</v>
      </c>
      <c r="N4810" s="13"/>
      <c r="O4810" s="13"/>
      <c r="P4810" s="13"/>
      <c r="Q4810" s="13"/>
    </row>
    <row r="4811" spans="3:17" x14ac:dyDescent="0.35">
      <c r="C4811" s="15" t="s">
        <v>8</v>
      </c>
      <c r="D4811" s="15" t="s">
        <v>8</v>
      </c>
      <c r="E4811" s="15" t="s">
        <v>8</v>
      </c>
      <c r="H4811" s="15" t="s">
        <v>8</v>
      </c>
      <c r="I4811" s="15" t="s">
        <v>8</v>
      </c>
      <c r="J4811" s="15" t="s">
        <v>8</v>
      </c>
      <c r="L4811" s="15" t="s">
        <v>8</v>
      </c>
    </row>
    <row r="4812" spans="3:17" x14ac:dyDescent="0.35">
      <c r="C4812" s="15" t="s">
        <v>8</v>
      </c>
      <c r="D4812" s="15" t="s">
        <v>8</v>
      </c>
      <c r="E4812" s="15" t="s">
        <v>8</v>
      </c>
      <c r="H4812" s="15" t="s">
        <v>8</v>
      </c>
      <c r="I4812" s="15" t="s">
        <v>8</v>
      </c>
      <c r="J4812" s="15" t="s">
        <v>8</v>
      </c>
      <c r="K4812" s="21" t="str">
        <f>HYPERLINK("http://yeinfo.com/family/I09000349.html", "JOHANN ANDREAS MORR Jr. 1727 GE-1801 PA ID:09000698")</f>
        <v>JOHANN ANDREAS MORR Jr. 1727 GE-1801 PA ID:09000698</v>
      </c>
      <c r="L4812" s="6"/>
      <c r="M4812" s="6"/>
      <c r="N4812" s="6"/>
      <c r="O4812" s="6"/>
    </row>
    <row r="4813" spans="3:17" x14ac:dyDescent="0.35">
      <c r="C4813" s="15" t="s">
        <v>8</v>
      </c>
      <c r="D4813" s="15" t="s">
        <v>8</v>
      </c>
      <c r="E4813" s="15" t="s">
        <v>8</v>
      </c>
      <c r="H4813" s="15" t="s">
        <v>8</v>
      </c>
      <c r="I4813" s="15" t="s">
        <v>8</v>
      </c>
      <c r="J4813" s="15" t="s">
        <v>8</v>
      </c>
      <c r="K4813" s="8" t="s">
        <v>3</v>
      </c>
      <c r="L4813" s="8" t="s">
        <v>6</v>
      </c>
    </row>
    <row r="4814" spans="3:17" x14ac:dyDescent="0.35">
      <c r="C4814" s="15" t="s">
        <v>8</v>
      </c>
      <c r="D4814" s="15" t="s">
        <v>8</v>
      </c>
      <c r="E4814" s="15" t="s">
        <v>8</v>
      </c>
      <c r="H4814" s="15" t="s">
        <v>8</v>
      </c>
      <c r="I4814" s="15" t="s">
        <v>8</v>
      </c>
      <c r="J4814" s="15" t="s">
        <v>8</v>
      </c>
      <c r="K4814" s="15" t="s">
        <v>8</v>
      </c>
      <c r="L4814" s="22" t="str">
        <f>HYPERLINK("http://yeinfo.com/family/I09002793.html", "ANNA ELIZABETH SCHWIND 1706 GE-1750 PA ID:09001397")</f>
        <v>ANNA ELIZABETH SCHWIND 1706 GE-1750 PA ID:09001397</v>
      </c>
      <c r="M4814" s="13"/>
      <c r="N4814" s="13"/>
      <c r="O4814" s="13"/>
      <c r="P4814" s="13"/>
    </row>
    <row r="4815" spans="3:17" x14ac:dyDescent="0.35">
      <c r="C4815" s="15" t="s">
        <v>8</v>
      </c>
      <c r="D4815" s="15" t="s">
        <v>8</v>
      </c>
      <c r="E4815" s="15" t="s">
        <v>8</v>
      </c>
      <c r="H4815" s="15" t="s">
        <v>8</v>
      </c>
      <c r="I4815" s="15" t="s">
        <v>8</v>
      </c>
      <c r="J4815" s="8" t="s">
        <v>6</v>
      </c>
      <c r="K4815" s="15" t="s">
        <v>8</v>
      </c>
    </row>
    <row r="4816" spans="3:17" x14ac:dyDescent="0.35">
      <c r="C4816" s="15" t="s">
        <v>8</v>
      </c>
      <c r="D4816" s="15" t="s">
        <v>8</v>
      </c>
      <c r="E4816" s="15" t="s">
        <v>8</v>
      </c>
      <c r="H4816" s="15" t="s">
        <v>8</v>
      </c>
      <c r="I4816" s="15" t="s">
        <v>8</v>
      </c>
      <c r="J4816" s="16" t="str">
        <f>HYPERLINK("http://yeinfo.com/family/I09001395.html", "ANNA\MARGARET MORR 1759 PA-1829 PA ID:09000349")</f>
        <v>ANNA\MARGARET MORR 1759 PA-1829 PA ID:09000349</v>
      </c>
      <c r="K4816" s="11"/>
      <c r="L4816" s="11"/>
      <c r="M4816" s="11"/>
      <c r="N4816" s="11"/>
      <c r="O4816" s="11"/>
    </row>
    <row r="4817" spans="3:18" x14ac:dyDescent="0.35">
      <c r="C4817" s="15" t="s">
        <v>8</v>
      </c>
      <c r="D4817" s="15" t="s">
        <v>8</v>
      </c>
      <c r="E4817" s="15" t="s">
        <v>8</v>
      </c>
      <c r="H4817" s="15" t="s">
        <v>8</v>
      </c>
      <c r="I4817" s="15" t="s">
        <v>8</v>
      </c>
      <c r="K4817" s="8" t="s">
        <v>6</v>
      </c>
    </row>
    <row r="4818" spans="3:18" x14ac:dyDescent="0.35">
      <c r="C4818" s="15" t="s">
        <v>8</v>
      </c>
      <c r="D4818" s="15" t="s">
        <v>8</v>
      </c>
      <c r="E4818" s="15" t="s">
        <v>8</v>
      </c>
      <c r="H4818" s="15" t="s">
        <v>8</v>
      </c>
      <c r="I4818" s="15" t="s">
        <v>8</v>
      </c>
      <c r="K4818" s="22" t="str">
        <f>HYPERLINK("http://yeinfo.com/family/I09001397.html", "CATHARINA ELIZABETHA RENNINGER 1732 GE-1795 PA ID:09000699")</f>
        <v>CATHARINA ELIZABETHA RENNINGER 1732 GE-1795 PA ID:09000699</v>
      </c>
      <c r="L4818" s="13"/>
      <c r="M4818" s="13"/>
      <c r="N4818" s="13"/>
      <c r="O4818" s="13"/>
    </row>
    <row r="4819" spans="3:18" x14ac:dyDescent="0.35">
      <c r="C4819" s="15" t="s">
        <v>8</v>
      </c>
      <c r="D4819" s="15" t="s">
        <v>8</v>
      </c>
      <c r="E4819" s="15" t="s">
        <v>8</v>
      </c>
      <c r="H4819" s="8" t="s">
        <v>6</v>
      </c>
      <c r="I4819" s="15" t="s">
        <v>8</v>
      </c>
    </row>
    <row r="4820" spans="3:18" x14ac:dyDescent="0.35">
      <c r="C4820" s="15" t="s">
        <v>8</v>
      </c>
      <c r="D4820" s="15" t="s">
        <v>8</v>
      </c>
      <c r="E4820" s="15" t="s">
        <v>8</v>
      </c>
      <c r="H4820" s="16" t="str">
        <f>HYPERLINK("http://yeinfo.com/family/I09002783.html", "SARAH MOYERS 1807 OH-1879 IL ID:09000087")</f>
        <v>SARAH MOYERS 1807 OH-1879 IL ID:09000087</v>
      </c>
      <c r="I4820" s="11"/>
      <c r="J4820" s="11"/>
      <c r="K4820" s="11"/>
      <c r="L4820" s="11"/>
    </row>
    <row r="4821" spans="3:18" x14ac:dyDescent="0.35">
      <c r="C4821" s="15" t="s">
        <v>8</v>
      </c>
      <c r="D4821" s="15" t="s">
        <v>8</v>
      </c>
      <c r="E4821" s="15" t="s">
        <v>8</v>
      </c>
      <c r="I4821" s="15" t="s">
        <v>8</v>
      </c>
    </row>
    <row r="4822" spans="3:18" x14ac:dyDescent="0.35">
      <c r="C4822" s="15" t="s">
        <v>8</v>
      </c>
      <c r="D4822" s="15" t="s">
        <v>8</v>
      </c>
      <c r="E4822" s="15" t="s">
        <v>8</v>
      </c>
      <c r="I4822" s="15" t="s">
        <v>8</v>
      </c>
      <c r="M4822" s="21" t="str">
        <f>HYPERLINK("http://yeinfo.com/family/I09001400.html", "JOHANNES MOYERS 1630 SZ-1687 PA ID:09002800")</f>
        <v>JOHANNES MOYERS 1630 SZ-1687 PA ID:09002800</v>
      </c>
      <c r="N4822" s="6"/>
      <c r="O4822" s="6"/>
      <c r="P4822" s="6"/>
      <c r="Q4822" s="6"/>
    </row>
    <row r="4823" spans="3:18" x14ac:dyDescent="0.35">
      <c r="C4823" s="15" t="s">
        <v>8</v>
      </c>
      <c r="D4823" s="15" t="s">
        <v>8</v>
      </c>
      <c r="E4823" s="15" t="s">
        <v>8</v>
      </c>
      <c r="I4823" s="15" t="s">
        <v>8</v>
      </c>
      <c r="M4823" s="8" t="s">
        <v>3</v>
      </c>
    </row>
    <row r="4824" spans="3:18" x14ac:dyDescent="0.35">
      <c r="C4824" s="15" t="s">
        <v>8</v>
      </c>
      <c r="D4824" s="15" t="s">
        <v>8</v>
      </c>
      <c r="E4824" s="15" t="s">
        <v>8</v>
      </c>
      <c r="I4824" s="15" t="s">
        <v>8</v>
      </c>
      <c r="L4824" s="21" t="str">
        <f>HYPERLINK("http://yeinfo.com/family/I09000700.html", "RUDOLPH MOYERS 1682 FR-1767 PA ID:09001400")</f>
        <v>RUDOLPH MOYERS 1682 FR-1767 PA ID:09001400</v>
      </c>
      <c r="M4824" s="6"/>
      <c r="N4824" s="6"/>
      <c r="O4824" s="6"/>
      <c r="P4824" s="6"/>
    </row>
    <row r="4825" spans="3:18" x14ac:dyDescent="0.35">
      <c r="C4825" s="15" t="s">
        <v>8</v>
      </c>
      <c r="D4825" s="15" t="s">
        <v>8</v>
      </c>
      <c r="E4825" s="15" t="s">
        <v>8</v>
      </c>
      <c r="I4825" s="15" t="s">
        <v>8</v>
      </c>
      <c r="L4825" s="8" t="s">
        <v>3</v>
      </c>
      <c r="M4825" s="8" t="s">
        <v>6</v>
      </c>
    </row>
    <row r="4826" spans="3:18" x14ac:dyDescent="0.35">
      <c r="C4826" s="15" t="s">
        <v>8</v>
      </c>
      <c r="D4826" s="15" t="s">
        <v>8</v>
      </c>
      <c r="E4826" s="15" t="s">
        <v>8</v>
      </c>
      <c r="I4826" s="15" t="s">
        <v>8</v>
      </c>
      <c r="L4826" s="15" t="s">
        <v>8</v>
      </c>
      <c r="M4826" s="20" t="str">
        <f>HYPERLINK("http://yeinfo.com/family/I09002800.html", "ANNA\ANNALI ANNATOLI BAUMAN 1635 SZ-1686 GE ID:09002801")</f>
        <v>ANNA\ANNALI ANNATOLI BAUMAN 1635 SZ-1686 GE ID:09002801</v>
      </c>
      <c r="N4826" s="17"/>
      <c r="O4826" s="17"/>
      <c r="P4826" s="17"/>
      <c r="Q4826" s="17"/>
      <c r="R4826" s="17"/>
    </row>
    <row r="4827" spans="3:18" x14ac:dyDescent="0.35">
      <c r="C4827" s="15" t="s">
        <v>8</v>
      </c>
      <c r="D4827" s="15" t="s">
        <v>8</v>
      </c>
      <c r="E4827" s="15" t="s">
        <v>8</v>
      </c>
      <c r="I4827" s="15" t="s">
        <v>8</v>
      </c>
      <c r="L4827" s="15" t="s">
        <v>8</v>
      </c>
    </row>
    <row r="4828" spans="3:18" x14ac:dyDescent="0.35">
      <c r="C4828" s="15" t="s">
        <v>8</v>
      </c>
      <c r="D4828" s="15" t="s">
        <v>8</v>
      </c>
      <c r="E4828" s="15" t="s">
        <v>8</v>
      </c>
      <c r="I4828" s="15" t="s">
        <v>8</v>
      </c>
      <c r="K4828" s="5" t="str">
        <f>HYPERLINK("http://yeinfo.com/family/I09000350.html", "JOHN MOYERS 1730 PA-1793 PA ID:09000700")</f>
        <v>JOHN MOYERS 1730 PA-1793 PA ID:09000700</v>
      </c>
      <c r="L4828" s="3"/>
      <c r="M4828" s="3"/>
      <c r="N4828" s="3"/>
      <c r="O4828" s="3"/>
    </row>
    <row r="4829" spans="3:18" x14ac:dyDescent="0.35">
      <c r="C4829" s="15" t="s">
        <v>8</v>
      </c>
      <c r="D4829" s="15" t="s">
        <v>8</v>
      </c>
      <c r="E4829" s="15" t="s">
        <v>8</v>
      </c>
      <c r="I4829" s="15" t="s">
        <v>8</v>
      </c>
      <c r="K4829" s="8" t="s">
        <v>3</v>
      </c>
      <c r="L4829" s="8" t="s">
        <v>6</v>
      </c>
    </row>
    <row r="4830" spans="3:18" x14ac:dyDescent="0.35">
      <c r="C4830" s="15" t="s">
        <v>8</v>
      </c>
      <c r="D4830" s="15" t="s">
        <v>8</v>
      </c>
      <c r="E4830" s="15" t="s">
        <v>8</v>
      </c>
      <c r="I4830" s="15" t="s">
        <v>8</v>
      </c>
      <c r="K4830" s="15" t="s">
        <v>8</v>
      </c>
      <c r="L4830" s="22" t="str">
        <f>HYPERLINK("http://yeinfo.com/family/I09002801.html", "BARBARA BERGEY 1695 GE-1767 PA ID:09001401")</f>
        <v>BARBARA BERGEY 1695 GE-1767 PA ID:09001401</v>
      </c>
      <c r="M4830" s="13"/>
      <c r="N4830" s="13"/>
      <c r="O4830" s="13"/>
      <c r="P4830" s="13"/>
    </row>
    <row r="4831" spans="3:18" x14ac:dyDescent="0.35">
      <c r="C4831" s="15" t="s">
        <v>8</v>
      </c>
      <c r="D4831" s="15" t="s">
        <v>8</v>
      </c>
      <c r="E4831" s="15" t="s">
        <v>8</v>
      </c>
      <c r="I4831" s="15" t="s">
        <v>8</v>
      </c>
      <c r="K4831" s="15" t="s">
        <v>8</v>
      </c>
    </row>
    <row r="4832" spans="3:18" x14ac:dyDescent="0.35">
      <c r="C4832" s="15" t="s">
        <v>8</v>
      </c>
      <c r="D4832" s="15" t="s">
        <v>8</v>
      </c>
      <c r="E4832" s="15" t="s">
        <v>8</v>
      </c>
      <c r="I4832" s="15" t="s">
        <v>8</v>
      </c>
      <c r="J4832" s="5" t="str">
        <f>HYPERLINK("http://yeinfo.com/family/I09000175.html", "PHILIP MOYERS 1758 PA-1796 PA ID:09000350")</f>
        <v>PHILIP MOYERS 1758 PA-1796 PA ID:09000350</v>
      </c>
      <c r="K4832" s="3"/>
      <c r="L4832" s="3"/>
      <c r="M4832" s="3"/>
      <c r="N4832" s="3"/>
    </row>
    <row r="4833" spans="3:17" x14ac:dyDescent="0.35">
      <c r="C4833" s="15" t="s">
        <v>8</v>
      </c>
      <c r="D4833" s="15" t="s">
        <v>8</v>
      </c>
      <c r="E4833" s="15" t="s">
        <v>8</v>
      </c>
      <c r="I4833" s="15" t="s">
        <v>8</v>
      </c>
      <c r="J4833" s="8" t="s">
        <v>3</v>
      </c>
      <c r="K4833" s="8" t="s">
        <v>6</v>
      </c>
    </row>
    <row r="4834" spans="3:17" x14ac:dyDescent="0.35">
      <c r="C4834" s="15" t="s">
        <v>8</v>
      </c>
      <c r="D4834" s="15" t="s">
        <v>8</v>
      </c>
      <c r="E4834" s="15" t="s">
        <v>8</v>
      </c>
      <c r="I4834" s="15" t="s">
        <v>8</v>
      </c>
      <c r="J4834" s="15" t="s">
        <v>8</v>
      </c>
      <c r="K4834" s="16" t="str">
        <f>HYPERLINK("http://yeinfo.com/family/I09001401.html", "Mrs. MARGARETTA MOYERS 1737 PA-1806 PA ID:09000701")</f>
        <v>Mrs. MARGARETTA MOYERS 1737 PA-1806 PA ID:09000701</v>
      </c>
      <c r="L4834" s="11"/>
      <c r="M4834" s="11"/>
      <c r="N4834" s="11"/>
      <c r="O4834" s="11"/>
    </row>
    <row r="4835" spans="3:17" x14ac:dyDescent="0.35">
      <c r="C4835" s="15" t="s">
        <v>8</v>
      </c>
      <c r="D4835" s="15" t="s">
        <v>8</v>
      </c>
      <c r="E4835" s="15" t="s">
        <v>8</v>
      </c>
      <c r="I4835" s="8" t="s">
        <v>6</v>
      </c>
      <c r="J4835" s="15" t="s">
        <v>8</v>
      </c>
    </row>
    <row r="4836" spans="3:17" x14ac:dyDescent="0.35">
      <c r="C4836" s="15" t="s">
        <v>8</v>
      </c>
      <c r="D4836" s="15" t="s">
        <v>8</v>
      </c>
      <c r="E4836" s="15" t="s">
        <v>8</v>
      </c>
      <c r="I4836" s="16" t="str">
        <f>HYPERLINK("http://yeinfo.com/family/I09000699.html", "ELIZABETH MOYERS 1779 PA-1815 OH ID:09000175")</f>
        <v>ELIZABETH MOYERS 1779 PA-1815 OH ID:09000175</v>
      </c>
      <c r="J4836" s="11"/>
      <c r="K4836" s="11"/>
      <c r="L4836" s="11"/>
      <c r="M4836" s="11"/>
    </row>
    <row r="4837" spans="3:17" x14ac:dyDescent="0.35">
      <c r="C4837" s="15" t="s">
        <v>8</v>
      </c>
      <c r="D4837" s="15" t="s">
        <v>8</v>
      </c>
      <c r="E4837" s="15" t="s">
        <v>8</v>
      </c>
      <c r="J4837" s="15" t="s">
        <v>8</v>
      </c>
    </row>
    <row r="4838" spans="3:17" x14ac:dyDescent="0.35">
      <c r="C4838" s="15" t="s">
        <v>8</v>
      </c>
      <c r="D4838" s="15" t="s">
        <v>8</v>
      </c>
      <c r="E4838" s="15" t="s">
        <v>8</v>
      </c>
      <c r="J4838" s="15" t="s">
        <v>8</v>
      </c>
      <c r="M4838" s="19" t="str">
        <f>HYPERLINK("http://yeinfo.com/family/I09001404.html", "JOHANN JACOB KLEIN 1683 GE-1751 GE ID:09002808")</f>
        <v>JOHANN JACOB KLEIN 1683 GE-1751 GE ID:09002808</v>
      </c>
      <c r="N4838" s="9"/>
      <c r="O4838" s="9"/>
      <c r="P4838" s="9"/>
      <c r="Q4838" s="9"/>
    </row>
    <row r="4839" spans="3:17" x14ac:dyDescent="0.35">
      <c r="C4839" s="15" t="s">
        <v>8</v>
      </c>
      <c r="D4839" s="15" t="s">
        <v>8</v>
      </c>
      <c r="E4839" s="15" t="s">
        <v>8</v>
      </c>
      <c r="J4839" s="15" t="s">
        <v>8</v>
      </c>
      <c r="M4839" s="8" t="s">
        <v>3</v>
      </c>
    </row>
    <row r="4840" spans="3:17" x14ac:dyDescent="0.35">
      <c r="C4840" s="15" t="s">
        <v>8</v>
      </c>
      <c r="D4840" s="15" t="s">
        <v>8</v>
      </c>
      <c r="E4840" s="15" t="s">
        <v>8</v>
      </c>
      <c r="J4840" s="15" t="s">
        <v>8</v>
      </c>
      <c r="L4840" s="21" t="str">
        <f>HYPERLINK("http://yeinfo.com/family/I09000702.html", "JOHANN GEORGE KLEIN 1715 GE-1783 PA ID:09001404")</f>
        <v>JOHANN GEORGE KLEIN 1715 GE-1783 PA ID:09001404</v>
      </c>
      <c r="M4840" s="6"/>
      <c r="N4840" s="6"/>
      <c r="O4840" s="6"/>
      <c r="P4840" s="6"/>
    </row>
    <row r="4841" spans="3:17" x14ac:dyDescent="0.35">
      <c r="C4841" s="15" t="s">
        <v>8</v>
      </c>
      <c r="D4841" s="15" t="s">
        <v>8</v>
      </c>
      <c r="E4841" s="15" t="s">
        <v>8</v>
      </c>
      <c r="J4841" s="15" t="s">
        <v>8</v>
      </c>
      <c r="L4841" s="8" t="s">
        <v>3</v>
      </c>
      <c r="M4841" s="8" t="s">
        <v>6</v>
      </c>
    </row>
    <row r="4842" spans="3:17" x14ac:dyDescent="0.35">
      <c r="C4842" s="15" t="s">
        <v>8</v>
      </c>
      <c r="D4842" s="15" t="s">
        <v>8</v>
      </c>
      <c r="E4842" s="15" t="s">
        <v>8</v>
      </c>
      <c r="J4842" s="15" t="s">
        <v>8</v>
      </c>
      <c r="L4842" s="15" t="s">
        <v>8</v>
      </c>
      <c r="M4842" s="20" t="str">
        <f>HYPERLINK("http://yeinfo.com/family/I09002808.html", "MARIA DOROTHEA CULTER 1686 GE-1756 GE ID:09002809")</f>
        <v>MARIA DOROTHEA CULTER 1686 GE-1756 GE ID:09002809</v>
      </c>
      <c r="N4842" s="17"/>
      <c r="O4842" s="17"/>
      <c r="P4842" s="17"/>
      <c r="Q4842" s="17"/>
    </row>
    <row r="4843" spans="3:17" x14ac:dyDescent="0.35">
      <c r="C4843" s="15" t="s">
        <v>8</v>
      </c>
      <c r="D4843" s="15" t="s">
        <v>8</v>
      </c>
      <c r="E4843" s="15" t="s">
        <v>8</v>
      </c>
      <c r="J4843" s="15" t="s">
        <v>8</v>
      </c>
      <c r="L4843" s="15" t="s">
        <v>8</v>
      </c>
    </row>
    <row r="4844" spans="3:17" x14ac:dyDescent="0.35">
      <c r="C4844" s="15" t="s">
        <v>8</v>
      </c>
      <c r="D4844" s="15" t="s">
        <v>8</v>
      </c>
      <c r="E4844" s="15" t="s">
        <v>8</v>
      </c>
      <c r="J4844" s="15" t="s">
        <v>8</v>
      </c>
      <c r="K4844" s="5" t="str">
        <f>HYPERLINK("http://yeinfo.com/family/I09000351.html", "DAVID REBMAN KLINE 1746 PA-1814 PA ID:09000702")</f>
        <v>DAVID REBMAN KLINE 1746 PA-1814 PA ID:09000702</v>
      </c>
      <c r="L4844" s="3"/>
      <c r="M4844" s="3"/>
      <c r="N4844" s="3"/>
      <c r="O4844" s="3"/>
    </row>
    <row r="4845" spans="3:17" x14ac:dyDescent="0.35">
      <c r="C4845" s="15" t="s">
        <v>8</v>
      </c>
      <c r="D4845" s="15" t="s">
        <v>8</v>
      </c>
      <c r="E4845" s="15" t="s">
        <v>8</v>
      </c>
      <c r="J4845" s="15" t="s">
        <v>8</v>
      </c>
      <c r="K4845" s="8" t="s">
        <v>3</v>
      </c>
      <c r="L4845" s="15" t="s">
        <v>8</v>
      </c>
    </row>
    <row r="4846" spans="3:17" x14ac:dyDescent="0.35">
      <c r="C4846" s="15" t="s">
        <v>8</v>
      </c>
      <c r="D4846" s="15" t="s">
        <v>8</v>
      </c>
      <c r="E4846" s="15" t="s">
        <v>8</v>
      </c>
      <c r="J4846" s="15" t="s">
        <v>8</v>
      </c>
      <c r="K4846" s="15" t="s">
        <v>8</v>
      </c>
      <c r="L4846" s="15" t="s">
        <v>8</v>
      </c>
      <c r="M4846" s="21" t="str">
        <f>HYPERLINK("http://yeinfo.com/family/I09001405.html", "JOHANN CONRAD REBMAN 1680 FR-1751 PA ID:09002810")</f>
        <v>JOHANN CONRAD REBMAN 1680 FR-1751 PA ID:09002810</v>
      </c>
      <c r="N4846" s="6"/>
      <c r="O4846" s="6"/>
      <c r="P4846" s="6"/>
      <c r="Q4846" s="6"/>
    </row>
    <row r="4847" spans="3:17" x14ac:dyDescent="0.35">
      <c r="C4847" s="15" t="s">
        <v>8</v>
      </c>
      <c r="D4847" s="15" t="s">
        <v>8</v>
      </c>
      <c r="E4847" s="15" t="s">
        <v>8</v>
      </c>
      <c r="J4847" s="15" t="s">
        <v>8</v>
      </c>
      <c r="K4847" s="15" t="s">
        <v>8</v>
      </c>
      <c r="L4847" s="8" t="s">
        <v>6</v>
      </c>
      <c r="M4847" s="8" t="s">
        <v>3</v>
      </c>
    </row>
    <row r="4848" spans="3:17" x14ac:dyDescent="0.35">
      <c r="C4848" s="15" t="s">
        <v>8</v>
      </c>
      <c r="D4848" s="15" t="s">
        <v>8</v>
      </c>
      <c r="E4848" s="15" t="s">
        <v>8</v>
      </c>
      <c r="J4848" s="15" t="s">
        <v>8</v>
      </c>
      <c r="K4848" s="15" t="s">
        <v>8</v>
      </c>
      <c r="L4848" s="22" t="str">
        <f>HYPERLINK("http://yeinfo.com/family/I09002809.html", "MARIA DORTHEA REBMAN 1714 GE-1777 PA ID:09001405")</f>
        <v>MARIA DORTHEA REBMAN 1714 GE-1777 PA ID:09001405</v>
      </c>
      <c r="M4848" s="13"/>
      <c r="N4848" s="13"/>
      <c r="O4848" s="13"/>
      <c r="P4848" s="13"/>
    </row>
    <row r="4849" spans="3:20" x14ac:dyDescent="0.35">
      <c r="C4849" s="15" t="s">
        <v>8</v>
      </c>
      <c r="D4849" s="15" t="s">
        <v>8</v>
      </c>
      <c r="E4849" s="15" t="s">
        <v>8</v>
      </c>
      <c r="J4849" s="15" t="s">
        <v>8</v>
      </c>
      <c r="K4849" s="15" t="s">
        <v>8</v>
      </c>
      <c r="M4849" s="8" t="s">
        <v>6</v>
      </c>
    </row>
    <row r="4850" spans="3:20" x14ac:dyDescent="0.35">
      <c r="C4850" s="15" t="s">
        <v>8</v>
      </c>
      <c r="D4850" s="15" t="s">
        <v>8</v>
      </c>
      <c r="E4850" s="15" t="s">
        <v>8</v>
      </c>
      <c r="J4850" s="15" t="s">
        <v>8</v>
      </c>
      <c r="K4850" s="15" t="s">
        <v>8</v>
      </c>
      <c r="M4850" s="22" t="str">
        <f>HYPERLINK("http://yeinfo.com/family/I09002810.html", "ANNA MARIA HOENNEU 1686 GE-1737 PA ID:09002811")</f>
        <v>ANNA MARIA HOENNEU 1686 GE-1737 PA ID:09002811</v>
      </c>
      <c r="N4850" s="13"/>
      <c r="O4850" s="13"/>
      <c r="P4850" s="13"/>
      <c r="Q4850" s="13"/>
    </row>
    <row r="4851" spans="3:20" x14ac:dyDescent="0.35">
      <c r="C4851" s="15" t="s">
        <v>8</v>
      </c>
      <c r="D4851" s="15" t="s">
        <v>8</v>
      </c>
      <c r="E4851" s="15" t="s">
        <v>8</v>
      </c>
      <c r="J4851" s="8" t="s">
        <v>6</v>
      </c>
      <c r="K4851" s="15" t="s">
        <v>8</v>
      </c>
    </row>
    <row r="4852" spans="3:20" x14ac:dyDescent="0.35">
      <c r="C4852" s="15" t="s">
        <v>8</v>
      </c>
      <c r="D4852" s="15" t="s">
        <v>8</v>
      </c>
      <c r="E4852" s="15" t="s">
        <v>8</v>
      </c>
      <c r="J4852" s="16" t="str">
        <f>HYPERLINK("http://yeinfo.com/family/I09000701.html", "ESTHER KLINE 1770 PA-1840 PA ID:09000351")</f>
        <v>ESTHER KLINE 1770 PA-1840 PA ID:09000351</v>
      </c>
      <c r="K4852" s="11"/>
      <c r="L4852" s="11"/>
      <c r="M4852" s="11"/>
      <c r="N4852" s="11"/>
    </row>
    <row r="4853" spans="3:20" x14ac:dyDescent="0.35">
      <c r="C4853" s="15" t="s">
        <v>8</v>
      </c>
      <c r="D4853" s="15" t="s">
        <v>8</v>
      </c>
      <c r="E4853" s="15" t="s">
        <v>8</v>
      </c>
      <c r="K4853" s="15" t="s">
        <v>8</v>
      </c>
    </row>
    <row r="4854" spans="3:20" x14ac:dyDescent="0.35">
      <c r="C4854" s="15" t="s">
        <v>8</v>
      </c>
      <c r="D4854" s="15" t="s">
        <v>8</v>
      </c>
      <c r="E4854" s="15" t="s">
        <v>8</v>
      </c>
      <c r="K4854" s="15" t="s">
        <v>8</v>
      </c>
      <c r="M4854" s="21" t="str">
        <f>HYPERLINK("http://yeinfo.com/family/I09001406.html", "JOHANN\HANS\JOHN VALENTINE BRENEISEN 1698 GE-1737 PA ID:09002812")</f>
        <v>JOHANN\HANS\JOHN VALENTINE BRENEISEN 1698 GE-1737 PA ID:09002812</v>
      </c>
      <c r="N4854" s="6"/>
      <c r="O4854" s="6"/>
      <c r="P4854" s="6"/>
      <c r="Q4854" s="6"/>
      <c r="R4854" s="6"/>
    </row>
    <row r="4855" spans="3:20" x14ac:dyDescent="0.35">
      <c r="C4855" s="15" t="s">
        <v>8</v>
      </c>
      <c r="D4855" s="15" t="s">
        <v>8</v>
      </c>
      <c r="E4855" s="15" t="s">
        <v>8</v>
      </c>
      <c r="K4855" s="15" t="s">
        <v>8</v>
      </c>
      <c r="M4855" s="8" t="s">
        <v>3</v>
      </c>
    </row>
    <row r="4856" spans="3:20" x14ac:dyDescent="0.35">
      <c r="C4856" s="15" t="s">
        <v>8</v>
      </c>
      <c r="D4856" s="15" t="s">
        <v>8</v>
      </c>
      <c r="E4856" s="15" t="s">
        <v>8</v>
      </c>
      <c r="K4856" s="15" t="s">
        <v>8</v>
      </c>
      <c r="L4856" s="5" t="str">
        <f>HYPERLINK("http://yeinfo.com/family/I09000703.html", "JOHANN JACOB BRENEISEN 1733 PA-1778 PA ID:09001406")</f>
        <v>JOHANN JACOB BRENEISEN 1733 PA-1778 PA ID:09001406</v>
      </c>
      <c r="M4856" s="3"/>
      <c r="N4856" s="3"/>
      <c r="O4856" s="3"/>
      <c r="P4856" s="3"/>
    </row>
    <row r="4857" spans="3:20" x14ac:dyDescent="0.35">
      <c r="C4857" s="15" t="s">
        <v>8</v>
      </c>
      <c r="D4857" s="15" t="s">
        <v>8</v>
      </c>
      <c r="E4857" s="15" t="s">
        <v>8</v>
      </c>
      <c r="K4857" s="15" t="s">
        <v>8</v>
      </c>
      <c r="L4857" s="8" t="s">
        <v>3</v>
      </c>
      <c r="M4857" s="15" t="s">
        <v>8</v>
      </c>
    </row>
    <row r="4858" spans="3:20" x14ac:dyDescent="0.35">
      <c r="C4858" s="15" t="s">
        <v>8</v>
      </c>
      <c r="D4858" s="15" t="s">
        <v>8</v>
      </c>
      <c r="E4858" s="15" t="s">
        <v>8</v>
      </c>
      <c r="K4858" s="15" t="s">
        <v>8</v>
      </c>
      <c r="L4858" s="15" t="s">
        <v>8</v>
      </c>
      <c r="M4858" s="15" t="s">
        <v>8</v>
      </c>
      <c r="P4858" s="19" t="str">
        <f>HYPERLINK("http://yeinfo.com/family/I09011252.html", "JOHANNES HERTZLER 1630 GE-1698 GE ID:09022504")</f>
        <v>JOHANNES HERTZLER 1630 GE-1698 GE ID:09022504</v>
      </c>
      <c r="Q4858" s="9"/>
      <c r="R4858" s="9"/>
      <c r="S4858" s="9"/>
      <c r="T4858" s="9"/>
    </row>
    <row r="4859" spans="3:20" x14ac:dyDescent="0.35">
      <c r="C4859" s="15" t="s">
        <v>8</v>
      </c>
      <c r="D4859" s="15" t="s">
        <v>8</v>
      </c>
      <c r="E4859" s="15" t="s">
        <v>8</v>
      </c>
      <c r="K4859" s="15" t="s">
        <v>8</v>
      </c>
      <c r="L4859" s="15" t="s">
        <v>8</v>
      </c>
      <c r="M4859" s="15" t="s">
        <v>8</v>
      </c>
      <c r="P4859" s="8" t="s">
        <v>3</v>
      </c>
    </row>
    <row r="4860" spans="3:20" x14ac:dyDescent="0.35">
      <c r="C4860" s="15" t="s">
        <v>8</v>
      </c>
      <c r="D4860" s="15" t="s">
        <v>8</v>
      </c>
      <c r="E4860" s="15" t="s">
        <v>8</v>
      </c>
      <c r="K4860" s="15" t="s">
        <v>8</v>
      </c>
      <c r="L4860" s="15" t="s">
        <v>8</v>
      </c>
      <c r="M4860" s="15" t="s">
        <v>8</v>
      </c>
      <c r="O4860" s="19" t="str">
        <f>HYPERLINK("http://yeinfo.com/family/I09005626.html", "ARTHUR HERTZLER 1650 GE-1670 GE ID:09011252")</f>
        <v>ARTHUR HERTZLER 1650 GE-1670 GE ID:09011252</v>
      </c>
      <c r="P4860" s="9"/>
      <c r="Q4860" s="9"/>
      <c r="R4860" s="9"/>
      <c r="S4860" s="9"/>
    </row>
    <row r="4861" spans="3:20" x14ac:dyDescent="0.35">
      <c r="C4861" s="15" t="s">
        <v>8</v>
      </c>
      <c r="D4861" s="15" t="s">
        <v>8</v>
      </c>
      <c r="E4861" s="15" t="s">
        <v>8</v>
      </c>
      <c r="K4861" s="15" t="s">
        <v>8</v>
      </c>
      <c r="L4861" s="15" t="s">
        <v>8</v>
      </c>
      <c r="M4861" s="15" t="s">
        <v>8</v>
      </c>
      <c r="O4861" s="8" t="s">
        <v>3</v>
      </c>
      <c r="P4861" s="8" t="s">
        <v>6</v>
      </c>
    </row>
    <row r="4862" spans="3:20" x14ac:dyDescent="0.35">
      <c r="C4862" s="15" t="s">
        <v>8</v>
      </c>
      <c r="D4862" s="15" t="s">
        <v>8</v>
      </c>
      <c r="E4862" s="15" t="s">
        <v>8</v>
      </c>
      <c r="K4862" s="15" t="s">
        <v>8</v>
      </c>
      <c r="L4862" s="15" t="s">
        <v>8</v>
      </c>
      <c r="M4862" s="15" t="s">
        <v>8</v>
      </c>
      <c r="O4862" s="15" t="s">
        <v>8</v>
      </c>
      <c r="P4862" s="20" t="str">
        <f>HYPERLINK("http://yeinfo.com/family/I09022504.html", "ANNA EYMANN 1633 GE-1712 GE ID:09022505")</f>
        <v>ANNA EYMANN 1633 GE-1712 GE ID:09022505</v>
      </c>
      <c r="Q4862" s="17"/>
      <c r="R4862" s="17"/>
      <c r="S4862" s="17"/>
      <c r="T4862" s="17"/>
    </row>
    <row r="4863" spans="3:20" x14ac:dyDescent="0.35">
      <c r="C4863" s="15" t="s">
        <v>8</v>
      </c>
      <c r="D4863" s="15" t="s">
        <v>8</v>
      </c>
      <c r="E4863" s="15" t="s">
        <v>8</v>
      </c>
      <c r="K4863" s="15" t="s">
        <v>8</v>
      </c>
      <c r="L4863" s="15" t="s">
        <v>8</v>
      </c>
      <c r="M4863" s="15" t="s">
        <v>8</v>
      </c>
      <c r="O4863" s="15" t="s">
        <v>8</v>
      </c>
    </row>
    <row r="4864" spans="3:20" x14ac:dyDescent="0.35">
      <c r="C4864" s="15" t="s">
        <v>8</v>
      </c>
      <c r="D4864" s="15" t="s">
        <v>8</v>
      </c>
      <c r="E4864" s="15" t="s">
        <v>8</v>
      </c>
      <c r="K4864" s="15" t="s">
        <v>8</v>
      </c>
      <c r="L4864" s="15" t="s">
        <v>8</v>
      </c>
      <c r="M4864" s="15" t="s">
        <v>8</v>
      </c>
      <c r="N4864" s="21" t="str">
        <f>HYPERLINK("http://yeinfo.com/family/I09002813.html", "ANDREAS HERTZLER 1670 GE-1730 PA ID:09005626")</f>
        <v>ANDREAS HERTZLER 1670 GE-1730 PA ID:09005626</v>
      </c>
      <c r="O4864" s="6"/>
      <c r="P4864" s="6"/>
      <c r="Q4864" s="6"/>
      <c r="R4864" s="6"/>
    </row>
    <row r="4865" spans="3:19" x14ac:dyDescent="0.35">
      <c r="C4865" s="15" t="s">
        <v>8</v>
      </c>
      <c r="D4865" s="15" t="s">
        <v>8</v>
      </c>
      <c r="E4865" s="15" t="s">
        <v>8</v>
      </c>
      <c r="K4865" s="15" t="s">
        <v>8</v>
      </c>
      <c r="L4865" s="15" t="s">
        <v>8</v>
      </c>
      <c r="M4865" s="15" t="s">
        <v>8</v>
      </c>
      <c r="N4865" s="8" t="s">
        <v>3</v>
      </c>
      <c r="O4865" s="8" t="s">
        <v>6</v>
      </c>
    </row>
    <row r="4866" spans="3:19" x14ac:dyDescent="0.35">
      <c r="C4866" s="15" t="s">
        <v>8</v>
      </c>
      <c r="D4866" s="15" t="s">
        <v>8</v>
      </c>
      <c r="E4866" s="15" t="s">
        <v>8</v>
      </c>
      <c r="K4866" s="15" t="s">
        <v>8</v>
      </c>
      <c r="L4866" s="15" t="s">
        <v>8</v>
      </c>
      <c r="M4866" s="15" t="s">
        <v>8</v>
      </c>
      <c r="N4866" s="15" t="s">
        <v>8</v>
      </c>
      <c r="O4866" s="20" t="str">
        <f>HYPERLINK("http://yeinfo.com/family/I09022505.html", "Mrs. {_?_} HERTZLER 1650 GE-1670 GE ID:09011253")</f>
        <v>Mrs. {_?_} HERTZLER 1650 GE-1670 GE ID:09011253</v>
      </c>
      <c r="P4866" s="17"/>
      <c r="Q4866" s="17"/>
      <c r="R4866" s="17"/>
      <c r="S4866" s="17"/>
    </row>
    <row r="4867" spans="3:19" x14ac:dyDescent="0.35">
      <c r="C4867" s="15" t="s">
        <v>8</v>
      </c>
      <c r="D4867" s="15" t="s">
        <v>8</v>
      </c>
      <c r="E4867" s="15" t="s">
        <v>8</v>
      </c>
      <c r="K4867" s="15" t="s">
        <v>8</v>
      </c>
      <c r="L4867" s="15" t="s">
        <v>8</v>
      </c>
      <c r="M4867" s="8" t="s">
        <v>6</v>
      </c>
      <c r="N4867" s="15" t="s">
        <v>8</v>
      </c>
    </row>
    <row r="4868" spans="3:19" x14ac:dyDescent="0.35">
      <c r="C4868" s="15" t="s">
        <v>8</v>
      </c>
      <c r="D4868" s="15" t="s">
        <v>8</v>
      </c>
      <c r="E4868" s="15" t="s">
        <v>8</v>
      </c>
      <c r="K4868" s="15" t="s">
        <v>8</v>
      </c>
      <c r="L4868" s="15" t="s">
        <v>8</v>
      </c>
      <c r="M4868" s="22" t="str">
        <f>HYPERLINK("http://yeinfo.com/family/I09002812.html", "ANNA MARGARETHA HERTZLER 1702 GE-1797 PA ID:09002813")</f>
        <v>ANNA MARGARETHA HERTZLER 1702 GE-1797 PA ID:09002813</v>
      </c>
      <c r="N4868" s="13"/>
      <c r="O4868" s="13"/>
      <c r="P4868" s="13"/>
      <c r="Q4868" s="13"/>
    </row>
    <row r="4869" spans="3:19" x14ac:dyDescent="0.35">
      <c r="C4869" s="15" t="s">
        <v>8</v>
      </c>
      <c r="D4869" s="15" t="s">
        <v>8</v>
      </c>
      <c r="E4869" s="15" t="s">
        <v>8</v>
      </c>
      <c r="K4869" s="15" t="s">
        <v>8</v>
      </c>
      <c r="L4869" s="15" t="s">
        <v>8</v>
      </c>
      <c r="N4869" s="8" t="s">
        <v>6</v>
      </c>
    </row>
    <row r="4870" spans="3:19" x14ac:dyDescent="0.35">
      <c r="C4870" s="15" t="s">
        <v>8</v>
      </c>
      <c r="D4870" s="15" t="s">
        <v>8</v>
      </c>
      <c r="E4870" s="15" t="s">
        <v>8</v>
      </c>
      <c r="K4870" s="15" t="s">
        <v>8</v>
      </c>
      <c r="L4870" s="15" t="s">
        <v>8</v>
      </c>
      <c r="N4870" s="16" t="str">
        <f>HYPERLINK("http://yeinfo.com/family/I09011253.html", "Mrs. {_?_} HERTZLER 1681 GE-1702  ID:09005627")</f>
        <v>Mrs. {_?_} HERTZLER 1681 GE-1702  ID:09005627</v>
      </c>
      <c r="O4870" s="11"/>
      <c r="P4870" s="11"/>
      <c r="Q4870" s="11"/>
      <c r="R4870" s="11"/>
    </row>
    <row r="4871" spans="3:19" x14ac:dyDescent="0.35">
      <c r="C4871" s="15" t="s">
        <v>8</v>
      </c>
      <c r="D4871" s="15" t="s">
        <v>8</v>
      </c>
      <c r="E4871" s="15" t="s">
        <v>8</v>
      </c>
      <c r="K4871" s="8" t="s">
        <v>6</v>
      </c>
      <c r="L4871" s="15" t="s">
        <v>8</v>
      </c>
    </row>
    <row r="4872" spans="3:19" x14ac:dyDescent="0.35">
      <c r="C4872" s="15" t="s">
        <v>8</v>
      </c>
      <c r="D4872" s="15" t="s">
        <v>8</v>
      </c>
      <c r="E4872" s="15" t="s">
        <v>8</v>
      </c>
      <c r="K4872" s="16" t="str">
        <f>HYPERLINK("http://yeinfo.com/family/I09002811.html", "ANNA ELIZABETHA BRENEISEN 1750 PA-1827 PA ID:09000703")</f>
        <v>ANNA ELIZABETHA BRENEISEN 1750 PA-1827 PA ID:09000703</v>
      </c>
      <c r="L4872" s="11"/>
      <c r="M4872" s="11"/>
      <c r="N4872" s="11"/>
      <c r="O4872" s="11"/>
    </row>
    <row r="4873" spans="3:19" x14ac:dyDescent="0.35">
      <c r="C4873" s="15" t="s">
        <v>8</v>
      </c>
      <c r="D4873" s="15" t="s">
        <v>8</v>
      </c>
      <c r="E4873" s="15" t="s">
        <v>8</v>
      </c>
      <c r="L4873" s="15" t="s">
        <v>8</v>
      </c>
    </row>
    <row r="4874" spans="3:19" x14ac:dyDescent="0.35">
      <c r="C4874" s="15" t="s">
        <v>8</v>
      </c>
      <c r="D4874" s="15" t="s">
        <v>8</v>
      </c>
      <c r="E4874" s="15" t="s">
        <v>8</v>
      </c>
      <c r="L4874" s="15" t="s">
        <v>8</v>
      </c>
      <c r="M4874" s="21" t="str">
        <f>HYPERLINK("http://yeinfo.com/family/I09001407.html", "HANS PETER WAMPFLER 1701 FR-1749 PA ID:09002814")</f>
        <v>HANS PETER WAMPFLER 1701 FR-1749 PA ID:09002814</v>
      </c>
      <c r="N4874" s="6"/>
      <c r="O4874" s="6"/>
      <c r="P4874" s="6"/>
      <c r="Q4874" s="6"/>
    </row>
    <row r="4875" spans="3:19" x14ac:dyDescent="0.35">
      <c r="C4875" s="15" t="s">
        <v>8</v>
      </c>
      <c r="D4875" s="15" t="s">
        <v>8</v>
      </c>
      <c r="E4875" s="15" t="s">
        <v>8</v>
      </c>
      <c r="L4875" s="8" t="s">
        <v>6</v>
      </c>
      <c r="M4875" s="8" t="s">
        <v>3</v>
      </c>
    </row>
    <row r="4876" spans="3:19" x14ac:dyDescent="0.35">
      <c r="C4876" s="15" t="s">
        <v>8</v>
      </c>
      <c r="D4876" s="15" t="s">
        <v>8</v>
      </c>
      <c r="E4876" s="15" t="s">
        <v>8</v>
      </c>
      <c r="L4876" s="16" t="str">
        <f>HYPERLINK("http://yeinfo.com/family/I09005627.html", "ANNA CATHERINA WAMPFLER 1726 FR-1750  ID:09001407")</f>
        <v>ANNA CATHERINA WAMPFLER 1726 FR-1750  ID:09001407</v>
      </c>
      <c r="M4876" s="11"/>
      <c r="N4876" s="11"/>
      <c r="O4876" s="11"/>
      <c r="P4876" s="11"/>
    </row>
    <row r="4877" spans="3:19" x14ac:dyDescent="0.35">
      <c r="C4877" s="15" t="s">
        <v>8</v>
      </c>
      <c r="D4877" s="15" t="s">
        <v>8</v>
      </c>
      <c r="E4877" s="15" t="s">
        <v>8</v>
      </c>
      <c r="M4877" s="8" t="s">
        <v>6</v>
      </c>
    </row>
    <row r="4878" spans="3:19" x14ac:dyDescent="0.35">
      <c r="C4878" s="15" t="s">
        <v>8</v>
      </c>
      <c r="D4878" s="15" t="s">
        <v>8</v>
      </c>
      <c r="E4878" s="15" t="s">
        <v>8</v>
      </c>
      <c r="M4878" s="22" t="str">
        <f>HYPERLINK("http://yeinfo.com/family/I09002814.html", "ANNA VERONICA LUNG 1702 FR-1726 PA ID:09002815")</f>
        <v>ANNA VERONICA LUNG 1702 FR-1726 PA ID:09002815</v>
      </c>
      <c r="N4878" s="13"/>
      <c r="O4878" s="13"/>
      <c r="P4878" s="13"/>
      <c r="Q4878" s="13"/>
    </row>
    <row r="4879" spans="3:19" x14ac:dyDescent="0.35">
      <c r="C4879" s="15" t="s">
        <v>8</v>
      </c>
      <c r="D4879" s="8" t="s">
        <v>6</v>
      </c>
      <c r="E4879" s="15" t="s">
        <v>8</v>
      </c>
    </row>
    <row r="4880" spans="3:19" x14ac:dyDescent="0.35">
      <c r="C4880" s="15" t="s">
        <v>8</v>
      </c>
      <c r="D4880" s="16" t="str">
        <f>HYPERLINK("http://yeinfo.com/family/I09000019.html", "Ancestor ID:09000005")</f>
        <v>Ancestor ID:09000005</v>
      </c>
      <c r="E4880" s="11"/>
      <c r="F4880" s="11"/>
      <c r="G4880" s="11"/>
      <c r="H4880" s="11"/>
    </row>
    <row r="4881" spans="3:19" x14ac:dyDescent="0.35">
      <c r="C4881" s="15" t="s">
        <v>8</v>
      </c>
      <c r="E4881" s="15" t="s">
        <v>8</v>
      </c>
    </row>
    <row r="4882" spans="3:19" x14ac:dyDescent="0.35">
      <c r="C4882" s="15" t="s">
        <v>8</v>
      </c>
      <c r="E4882" s="15" t="s">
        <v>8</v>
      </c>
      <c r="M4882" s="21" t="str">
        <f>HYPERLINK("http://yeinfo.com/family/I09005446.html", "JOHN MOORE &lt;5&gt; 1598 EN-1674 MA ID:09005446")</f>
        <v>JOHN MOORE &lt;5&gt; 1598 EN-1674 MA ID:09005446</v>
      </c>
      <c r="N4882" s="6"/>
      <c r="O4882" s="6"/>
      <c r="P4882" s="6"/>
      <c r="Q4882" s="6"/>
    </row>
    <row r="4883" spans="3:19" x14ac:dyDescent="0.35">
      <c r="C4883" s="15" t="s">
        <v>8</v>
      </c>
      <c r="E4883" s="15" t="s">
        <v>8</v>
      </c>
      <c r="M4883" s="8" t="s">
        <v>3</v>
      </c>
    </row>
    <row r="4884" spans="3:19" x14ac:dyDescent="0.35">
      <c r="C4884" s="15" t="s">
        <v>8</v>
      </c>
      <c r="E4884" s="15" t="s">
        <v>8</v>
      </c>
      <c r="L4884" s="21" t="str">
        <f>HYPERLINK("http://yeinfo.com/family/I09000704.html", "JOHN MOORE Jr. &lt;2&gt; 1628 EN-1702 MA ID:09001408")</f>
        <v>JOHN MOORE Jr. &lt;2&gt; 1628 EN-1702 MA ID:09001408</v>
      </c>
      <c r="M4884" s="6"/>
      <c r="N4884" s="6"/>
      <c r="O4884" s="6"/>
      <c r="P4884" s="6"/>
    </row>
    <row r="4885" spans="3:19" x14ac:dyDescent="0.35">
      <c r="C4885" s="15" t="s">
        <v>8</v>
      </c>
      <c r="E4885" s="15" t="s">
        <v>8</v>
      </c>
      <c r="L4885" s="8" t="s">
        <v>3</v>
      </c>
      <c r="M4885" s="8" t="s">
        <v>6</v>
      </c>
    </row>
    <row r="4886" spans="3:19" x14ac:dyDescent="0.35">
      <c r="C4886" s="15" t="s">
        <v>8</v>
      </c>
      <c r="E4886" s="15" t="s">
        <v>8</v>
      </c>
      <c r="L4886" s="15" t="s">
        <v>8</v>
      </c>
      <c r="M4886" s="20" t="str">
        <f>HYPERLINK("http://yeinfo.com/family/I09001408.html", "Mrs. ELIZABETH MOORE &lt;4&gt; 1600 EN-1633 EN ID:09002817")</f>
        <v>Mrs. ELIZABETH MOORE &lt;4&gt; 1600 EN-1633 EN ID:09002817</v>
      </c>
      <c r="N4886" s="17"/>
      <c r="O4886" s="17"/>
      <c r="P4886" s="17"/>
      <c r="Q4886" s="17"/>
    </row>
    <row r="4887" spans="3:19" x14ac:dyDescent="0.35">
      <c r="C4887" s="15" t="s">
        <v>8</v>
      </c>
      <c r="E4887" s="15" t="s">
        <v>8</v>
      </c>
      <c r="L4887" s="15" t="s">
        <v>8</v>
      </c>
    </row>
    <row r="4888" spans="3:19" x14ac:dyDescent="0.35">
      <c r="C4888" s="15" t="s">
        <v>8</v>
      </c>
      <c r="E4888" s="15" t="s">
        <v>8</v>
      </c>
      <c r="K4888" s="5" t="str">
        <f>HYPERLINK("http://yeinfo.com/family/I09000352.html", "JOHN MOORE 1662 MA-1740 MA ID:09000704")</f>
        <v>JOHN MOORE 1662 MA-1740 MA ID:09000704</v>
      </c>
      <c r="L4888" s="3"/>
      <c r="M4888" s="3"/>
      <c r="N4888" s="3"/>
      <c r="O4888" s="3"/>
    </row>
    <row r="4889" spans="3:19" x14ac:dyDescent="0.35">
      <c r="C4889" s="15" t="s">
        <v>8</v>
      </c>
      <c r="E4889" s="15" t="s">
        <v>8</v>
      </c>
      <c r="K4889" s="8" t="s">
        <v>3</v>
      </c>
      <c r="L4889" s="15" t="s">
        <v>8</v>
      </c>
    </row>
    <row r="4890" spans="3:19" x14ac:dyDescent="0.35">
      <c r="C4890" s="15" t="s">
        <v>8</v>
      </c>
      <c r="E4890" s="15" t="s">
        <v>8</v>
      </c>
      <c r="K4890" s="15" t="s">
        <v>8</v>
      </c>
      <c r="L4890" s="15" t="s">
        <v>8</v>
      </c>
      <c r="M4890" s="21" t="str">
        <f>HYPERLINK("http://yeinfo.com/family/I09001409.html", "JOHN SMITH &lt;2&gt; 1610 EN-1669 MA ID:09002818")</f>
        <v>JOHN SMITH &lt;2&gt; 1610 EN-1669 MA ID:09002818</v>
      </c>
      <c r="N4890" s="6"/>
      <c r="O4890" s="6"/>
      <c r="P4890" s="6"/>
      <c r="Q4890" s="6"/>
    </row>
    <row r="4891" spans="3:19" x14ac:dyDescent="0.35">
      <c r="C4891" s="15" t="s">
        <v>8</v>
      </c>
      <c r="E4891" s="15" t="s">
        <v>8</v>
      </c>
      <c r="K4891" s="15" t="s">
        <v>8</v>
      </c>
      <c r="L4891" s="8" t="s">
        <v>6</v>
      </c>
      <c r="M4891" s="8" t="s">
        <v>3</v>
      </c>
    </row>
    <row r="4892" spans="3:19" x14ac:dyDescent="0.35">
      <c r="C4892" s="15" t="s">
        <v>8</v>
      </c>
      <c r="E4892" s="15" t="s">
        <v>8</v>
      </c>
      <c r="K4892" s="15" t="s">
        <v>8</v>
      </c>
      <c r="L4892" s="16" t="str">
        <f>HYPERLINK("http://yeinfo.com/family/I09002817.html", "ANN SMITH &lt;2&gt; 1635 MA-1671 MA ID:09001409")</f>
        <v>ANN SMITH &lt;2&gt; 1635 MA-1671 MA ID:09001409</v>
      </c>
      <c r="M4892" s="11"/>
      <c r="N4892" s="11"/>
      <c r="O4892" s="11"/>
      <c r="P4892" s="11"/>
    </row>
    <row r="4893" spans="3:19" x14ac:dyDescent="0.35">
      <c r="C4893" s="15" t="s">
        <v>8</v>
      </c>
      <c r="E4893" s="15" t="s">
        <v>8</v>
      </c>
      <c r="K4893" s="15" t="s">
        <v>8</v>
      </c>
      <c r="M4893" s="8" t="s">
        <v>6</v>
      </c>
    </row>
    <row r="4894" spans="3:19" x14ac:dyDescent="0.35">
      <c r="C4894" s="15" t="s">
        <v>8</v>
      </c>
      <c r="E4894" s="15" t="s">
        <v>8</v>
      </c>
      <c r="K4894" s="15" t="s">
        <v>8</v>
      </c>
      <c r="M4894" s="22" t="str">
        <f>HYPERLINK("http://yeinfo.com/family/I09002818.html", "Mrs. ALICE\MARY SMITH &lt;2&gt; 1610 EN-1659 MA ID:09002819")</f>
        <v>Mrs. ALICE\MARY SMITH &lt;2&gt; 1610 EN-1659 MA ID:09002819</v>
      </c>
      <c r="N4894" s="13"/>
      <c r="O4894" s="13"/>
      <c r="P4894" s="13"/>
      <c r="Q4894" s="13"/>
      <c r="R4894" s="13"/>
      <c r="S4894" s="13"/>
    </row>
    <row r="4895" spans="3:19" x14ac:dyDescent="0.35">
      <c r="C4895" s="15" t="s">
        <v>8</v>
      </c>
      <c r="E4895" s="15" t="s">
        <v>8</v>
      </c>
      <c r="K4895" s="15" t="s">
        <v>8</v>
      </c>
    </row>
    <row r="4896" spans="3:19" x14ac:dyDescent="0.35">
      <c r="C4896" s="15" t="s">
        <v>8</v>
      </c>
      <c r="E4896" s="15" t="s">
        <v>8</v>
      </c>
      <c r="J4896" s="5" t="str">
        <f>HYPERLINK("http://yeinfo.com/family/I09000176.html", "JOHN MOORE 1684 MA-1750 MA ID:09000352")</f>
        <v>JOHN MOORE 1684 MA-1750 MA ID:09000352</v>
      </c>
      <c r="K4896" s="3"/>
      <c r="L4896" s="3"/>
      <c r="M4896" s="3"/>
      <c r="N4896" s="3"/>
    </row>
    <row r="4897" spans="3:21" x14ac:dyDescent="0.35">
      <c r="C4897" s="15" t="s">
        <v>8</v>
      </c>
      <c r="E4897" s="15" t="s">
        <v>8</v>
      </c>
      <c r="J4897" s="8" t="s">
        <v>3</v>
      </c>
      <c r="K4897" s="15" t="s">
        <v>8</v>
      </c>
    </row>
    <row r="4898" spans="3:21" x14ac:dyDescent="0.35">
      <c r="C4898" s="15" t="s">
        <v>8</v>
      </c>
      <c r="E4898" s="15" t="s">
        <v>8</v>
      </c>
      <c r="J4898" s="15" t="s">
        <v>8</v>
      </c>
      <c r="K4898" s="15" t="s">
        <v>8</v>
      </c>
      <c r="Q4898" s="19" t="str">
        <f>HYPERLINK("http://yeinfo.com/family/I09022560.html", "WILLIAM FAIRBANK &lt;2&gt; 1455 EN-1518 EN ID:09045120")</f>
        <v>WILLIAM FAIRBANK &lt;2&gt; 1455 EN-1518 EN ID:09045120</v>
      </c>
      <c r="R4898" s="9"/>
      <c r="S4898" s="9"/>
      <c r="T4898" s="9"/>
      <c r="U4898" s="9"/>
    </row>
    <row r="4899" spans="3:21" x14ac:dyDescent="0.35">
      <c r="C4899" s="15" t="s">
        <v>8</v>
      </c>
      <c r="E4899" s="15" t="s">
        <v>8</v>
      </c>
      <c r="J4899" s="15" t="s">
        <v>8</v>
      </c>
      <c r="K4899" s="15" t="s">
        <v>8</v>
      </c>
      <c r="Q4899" s="8" t="s">
        <v>3</v>
      </c>
    </row>
    <row r="4900" spans="3:21" x14ac:dyDescent="0.35">
      <c r="C4900" s="15" t="s">
        <v>8</v>
      </c>
      <c r="E4900" s="15" t="s">
        <v>8</v>
      </c>
      <c r="J4900" s="15" t="s">
        <v>8</v>
      </c>
      <c r="K4900" s="15" t="s">
        <v>8</v>
      </c>
      <c r="P4900" s="19" t="str">
        <f>HYPERLINK("http://yeinfo.com/family/I09011280.html", "JOHN FAIRBANK &lt;2&gt; 1480 EN-1551 EN ID:09022560")</f>
        <v>JOHN FAIRBANK &lt;2&gt; 1480 EN-1551 EN ID:09022560</v>
      </c>
      <c r="Q4900" s="9"/>
      <c r="R4900" s="9"/>
      <c r="S4900" s="9"/>
      <c r="T4900" s="9"/>
    </row>
    <row r="4901" spans="3:21" x14ac:dyDescent="0.35">
      <c r="C4901" s="15" t="s">
        <v>8</v>
      </c>
      <c r="E4901" s="15" t="s">
        <v>8</v>
      </c>
      <c r="J4901" s="15" t="s">
        <v>8</v>
      </c>
      <c r="K4901" s="15" t="s">
        <v>8</v>
      </c>
      <c r="P4901" s="8" t="s">
        <v>3</v>
      </c>
      <c r="Q4901" s="8" t="s">
        <v>6</v>
      </c>
    </row>
    <row r="4902" spans="3:21" x14ac:dyDescent="0.35">
      <c r="C4902" s="15" t="s">
        <v>8</v>
      </c>
      <c r="E4902" s="15" t="s">
        <v>8</v>
      </c>
      <c r="J4902" s="15" t="s">
        <v>8</v>
      </c>
      <c r="K4902" s="15" t="s">
        <v>8</v>
      </c>
      <c r="P4902" s="15" t="s">
        <v>8</v>
      </c>
      <c r="Q4902" s="20" t="str">
        <f>HYPERLINK("http://yeinfo.com/family/I09045120.html", "Mrs. {_?_} FAIRBANK &lt;2&gt; 1455 EN-1480  ID:09045121")</f>
        <v>Mrs. {_?_} FAIRBANK &lt;2&gt; 1455 EN-1480  ID:09045121</v>
      </c>
      <c r="R4902" s="17"/>
      <c r="S4902" s="17"/>
      <c r="T4902" s="17"/>
      <c r="U4902" s="17"/>
    </row>
    <row r="4903" spans="3:21" x14ac:dyDescent="0.35">
      <c r="C4903" s="15" t="s">
        <v>8</v>
      </c>
      <c r="E4903" s="15" t="s">
        <v>8</v>
      </c>
      <c r="J4903" s="15" t="s">
        <v>8</v>
      </c>
      <c r="K4903" s="15" t="s">
        <v>8</v>
      </c>
      <c r="P4903" s="15" t="s">
        <v>8</v>
      </c>
    </row>
    <row r="4904" spans="3:21" x14ac:dyDescent="0.35">
      <c r="C4904" s="15" t="s">
        <v>8</v>
      </c>
      <c r="E4904" s="15" t="s">
        <v>8</v>
      </c>
      <c r="J4904" s="15" t="s">
        <v>8</v>
      </c>
      <c r="K4904" s="15" t="s">
        <v>8</v>
      </c>
      <c r="O4904" s="19" t="str">
        <f>HYPERLINK("http://yeinfo.com/family/I09005640.html", "GILBERT FAIRBANK &lt;2&gt; 1505 EN-1578 EN ID:09011280")</f>
        <v>GILBERT FAIRBANK &lt;2&gt; 1505 EN-1578 EN ID:09011280</v>
      </c>
      <c r="P4904" s="9"/>
      <c r="Q4904" s="9"/>
      <c r="R4904" s="9"/>
      <c r="S4904" s="9"/>
    </row>
    <row r="4905" spans="3:21" x14ac:dyDescent="0.35">
      <c r="C4905" s="15" t="s">
        <v>8</v>
      </c>
      <c r="E4905" s="15" t="s">
        <v>8</v>
      </c>
      <c r="J4905" s="15" t="s">
        <v>8</v>
      </c>
      <c r="K4905" s="15" t="s">
        <v>8</v>
      </c>
      <c r="O4905" s="8" t="s">
        <v>3</v>
      </c>
      <c r="P4905" s="8" t="s">
        <v>6</v>
      </c>
    </row>
    <row r="4906" spans="3:21" x14ac:dyDescent="0.35">
      <c r="C4906" s="15" t="s">
        <v>8</v>
      </c>
      <c r="E4906" s="15" t="s">
        <v>8</v>
      </c>
      <c r="J4906" s="15" t="s">
        <v>8</v>
      </c>
      <c r="K4906" s="15" t="s">
        <v>8</v>
      </c>
      <c r="O4906" s="15" t="s">
        <v>8</v>
      </c>
      <c r="P4906" s="20" t="str">
        <f>HYPERLINK("http://yeinfo.com/family/I09045121.html", "Mrs. MARGARET FAIRBANK &lt;2&gt; 1480 EN-1505  ID:09022561")</f>
        <v>Mrs. MARGARET FAIRBANK &lt;2&gt; 1480 EN-1505  ID:09022561</v>
      </c>
      <c r="Q4906" s="17"/>
      <c r="R4906" s="17"/>
      <c r="S4906" s="17"/>
      <c r="T4906" s="17"/>
    </row>
    <row r="4907" spans="3:21" x14ac:dyDescent="0.35">
      <c r="C4907" s="15" t="s">
        <v>8</v>
      </c>
      <c r="E4907" s="15" t="s">
        <v>8</v>
      </c>
      <c r="J4907" s="15" t="s">
        <v>8</v>
      </c>
      <c r="K4907" s="15" t="s">
        <v>8</v>
      </c>
      <c r="O4907" s="15" t="s">
        <v>8</v>
      </c>
    </row>
    <row r="4908" spans="3:21" x14ac:dyDescent="0.35">
      <c r="C4908" s="15" t="s">
        <v>8</v>
      </c>
      <c r="E4908" s="15" t="s">
        <v>8</v>
      </c>
      <c r="J4908" s="15" t="s">
        <v>8</v>
      </c>
      <c r="K4908" s="15" t="s">
        <v>8</v>
      </c>
      <c r="N4908" s="19" t="str">
        <f>HYPERLINK("http://yeinfo.com/family/I09002820.html", "JOHN FAIRBANK &lt;2&gt; 1565 EN-1625 EN ID:09005640")</f>
        <v>JOHN FAIRBANK &lt;2&gt; 1565 EN-1625 EN ID:09005640</v>
      </c>
      <c r="O4908" s="9"/>
      <c r="P4908" s="9"/>
      <c r="Q4908" s="9"/>
      <c r="R4908" s="9"/>
    </row>
    <row r="4909" spans="3:21" x14ac:dyDescent="0.35">
      <c r="C4909" s="15" t="s">
        <v>8</v>
      </c>
      <c r="E4909" s="15" t="s">
        <v>8</v>
      </c>
      <c r="J4909" s="15" t="s">
        <v>8</v>
      </c>
      <c r="K4909" s="15" t="s">
        <v>8</v>
      </c>
      <c r="N4909" s="8" t="s">
        <v>3</v>
      </c>
      <c r="O4909" s="8" t="s">
        <v>6</v>
      </c>
    </row>
    <row r="4910" spans="3:21" x14ac:dyDescent="0.35">
      <c r="C4910" s="15" t="s">
        <v>8</v>
      </c>
      <c r="E4910" s="15" t="s">
        <v>8</v>
      </c>
      <c r="J4910" s="15" t="s">
        <v>8</v>
      </c>
      <c r="K4910" s="15" t="s">
        <v>8</v>
      </c>
      <c r="N4910" s="15" t="s">
        <v>8</v>
      </c>
      <c r="O4910" s="20" t="str">
        <f>HYPERLINK("http://yeinfo.com/family/I09022561.html", "CIBELLA WAIDE &lt;2&gt; 1540 EN-1576 EN ID:09011281")</f>
        <v>CIBELLA WAIDE &lt;2&gt; 1540 EN-1576 EN ID:09011281</v>
      </c>
      <c r="P4910" s="17"/>
      <c r="Q4910" s="17"/>
      <c r="R4910" s="17"/>
      <c r="S4910" s="17"/>
    </row>
    <row r="4911" spans="3:21" x14ac:dyDescent="0.35">
      <c r="C4911" s="15" t="s">
        <v>8</v>
      </c>
      <c r="E4911" s="15" t="s">
        <v>8</v>
      </c>
      <c r="J4911" s="15" t="s">
        <v>8</v>
      </c>
      <c r="K4911" s="15" t="s">
        <v>8</v>
      </c>
      <c r="N4911" s="15" t="s">
        <v>8</v>
      </c>
    </row>
    <row r="4912" spans="3:21" x14ac:dyDescent="0.35">
      <c r="C4912" s="15" t="s">
        <v>8</v>
      </c>
      <c r="E4912" s="15" t="s">
        <v>8</v>
      </c>
      <c r="J4912" s="15" t="s">
        <v>8</v>
      </c>
      <c r="K4912" s="15" t="s">
        <v>8</v>
      </c>
      <c r="M4912" s="21" t="str">
        <f>HYPERLINK("http://yeinfo.com/family/I09001410.html", "JONATHAN FAIRBANK &lt;2&gt; 1595 EN-1668 MA ID:09002820")</f>
        <v>JONATHAN FAIRBANK &lt;2&gt; 1595 EN-1668 MA ID:09002820</v>
      </c>
      <c r="N4912" s="6"/>
      <c r="O4912" s="6"/>
      <c r="P4912" s="6"/>
      <c r="Q4912" s="6"/>
    </row>
    <row r="4913" spans="3:18" x14ac:dyDescent="0.35">
      <c r="C4913" s="15" t="s">
        <v>8</v>
      </c>
      <c r="E4913" s="15" t="s">
        <v>8</v>
      </c>
      <c r="J4913" s="15" t="s">
        <v>8</v>
      </c>
      <c r="K4913" s="15" t="s">
        <v>8</v>
      </c>
      <c r="M4913" s="8" t="s">
        <v>3</v>
      </c>
      <c r="N4913" s="8" t="s">
        <v>6</v>
      </c>
    </row>
    <row r="4914" spans="3:18" x14ac:dyDescent="0.35">
      <c r="C4914" s="15" t="s">
        <v>8</v>
      </c>
      <c r="E4914" s="15" t="s">
        <v>8</v>
      </c>
      <c r="J4914" s="15" t="s">
        <v>8</v>
      </c>
      <c r="K4914" s="15" t="s">
        <v>8</v>
      </c>
      <c r="M4914" s="15" t="s">
        <v>8</v>
      </c>
      <c r="N4914" s="20" t="str">
        <f>HYPERLINK("http://yeinfo.com/family/I09011281.html", "ISABEL STANCLIFFE &lt;2&gt; 1565 EN-1597 EN ID:09005641")</f>
        <v>ISABEL STANCLIFFE &lt;2&gt; 1565 EN-1597 EN ID:09005641</v>
      </c>
      <c r="O4914" s="17"/>
      <c r="P4914" s="17"/>
      <c r="Q4914" s="17"/>
      <c r="R4914" s="17"/>
    </row>
    <row r="4915" spans="3:18" x14ac:dyDescent="0.35">
      <c r="C4915" s="15" t="s">
        <v>8</v>
      </c>
      <c r="E4915" s="15" t="s">
        <v>8</v>
      </c>
      <c r="J4915" s="15" t="s">
        <v>8</v>
      </c>
      <c r="K4915" s="15" t="s">
        <v>8</v>
      </c>
      <c r="M4915" s="15" t="s">
        <v>8</v>
      </c>
    </row>
    <row r="4916" spans="3:18" x14ac:dyDescent="0.35">
      <c r="C4916" s="15" t="s">
        <v>8</v>
      </c>
      <c r="E4916" s="15" t="s">
        <v>8</v>
      </c>
      <c r="J4916" s="15" t="s">
        <v>8</v>
      </c>
      <c r="K4916" s="15" t="s">
        <v>8</v>
      </c>
      <c r="L4916" s="21" t="str">
        <f>HYPERLINK("http://yeinfo.com/family/I09000705.html", "JONAS FAIRBANK 1624 EN-1676 MA ID:09001410")</f>
        <v>JONAS FAIRBANK 1624 EN-1676 MA ID:09001410</v>
      </c>
      <c r="M4916" s="6"/>
      <c r="N4916" s="6"/>
      <c r="O4916" s="6"/>
      <c r="P4916" s="6"/>
    </row>
    <row r="4917" spans="3:18" x14ac:dyDescent="0.35">
      <c r="C4917" s="15" t="s">
        <v>8</v>
      </c>
      <c r="E4917" s="15" t="s">
        <v>8</v>
      </c>
      <c r="J4917" s="15" t="s">
        <v>8</v>
      </c>
      <c r="K4917" s="15" t="s">
        <v>8</v>
      </c>
      <c r="L4917" s="8" t="s">
        <v>3</v>
      </c>
      <c r="M4917" s="8" t="s">
        <v>6</v>
      </c>
    </row>
    <row r="4918" spans="3:18" x14ac:dyDescent="0.35">
      <c r="C4918" s="15" t="s">
        <v>8</v>
      </c>
      <c r="E4918" s="15" t="s">
        <v>8</v>
      </c>
      <c r="J4918" s="15" t="s">
        <v>8</v>
      </c>
      <c r="K4918" s="15" t="s">
        <v>8</v>
      </c>
      <c r="L4918" s="15" t="s">
        <v>8</v>
      </c>
      <c r="M4918" s="22" t="str">
        <f>HYPERLINK("http://yeinfo.com/family/I09005641.html", "GRACE SMITH &lt;2&gt; 1600 EN-1673 MA ID:09002821")</f>
        <v>GRACE SMITH &lt;2&gt; 1600 EN-1673 MA ID:09002821</v>
      </c>
      <c r="N4918" s="13"/>
      <c r="O4918" s="13"/>
      <c r="P4918" s="13"/>
      <c r="Q4918" s="13"/>
    </row>
    <row r="4919" spans="3:18" x14ac:dyDescent="0.35">
      <c r="C4919" s="15" t="s">
        <v>8</v>
      </c>
      <c r="E4919" s="15" t="s">
        <v>8</v>
      </c>
      <c r="J4919" s="15" t="s">
        <v>8</v>
      </c>
      <c r="K4919" s="8" t="s">
        <v>6</v>
      </c>
      <c r="L4919" s="15" t="s">
        <v>8</v>
      </c>
    </row>
    <row r="4920" spans="3:18" x14ac:dyDescent="0.35">
      <c r="C4920" s="15" t="s">
        <v>8</v>
      </c>
      <c r="E4920" s="15" t="s">
        <v>8</v>
      </c>
      <c r="J4920" s="15" t="s">
        <v>8</v>
      </c>
      <c r="K4920" s="16" t="str">
        <f>HYPERLINK("http://yeinfo.com/family/I09002819.html", "HASADIAH FAIRBANK 1668 MA-1740 MA ID:09000705")</f>
        <v>HASADIAH FAIRBANK 1668 MA-1740 MA ID:09000705</v>
      </c>
      <c r="L4920" s="11"/>
      <c r="M4920" s="11"/>
      <c r="N4920" s="11"/>
      <c r="O4920" s="11"/>
    </row>
    <row r="4921" spans="3:18" x14ac:dyDescent="0.35">
      <c r="C4921" s="15" t="s">
        <v>8</v>
      </c>
      <c r="E4921" s="15" t="s">
        <v>8</v>
      </c>
      <c r="J4921" s="15" t="s">
        <v>8</v>
      </c>
      <c r="L4921" s="15" t="s">
        <v>8</v>
      </c>
    </row>
    <row r="4922" spans="3:18" x14ac:dyDescent="0.35">
      <c r="C4922" s="15" t="s">
        <v>8</v>
      </c>
      <c r="E4922" s="15" t="s">
        <v>8</v>
      </c>
      <c r="J4922" s="15" t="s">
        <v>8</v>
      </c>
      <c r="L4922" s="15" t="s">
        <v>8</v>
      </c>
      <c r="M4922" s="21" t="str">
        <f>HYPERLINK("http://yeinfo.com/family/I09001411.html", "JOHN PRESCOTT &lt;2&gt; 1604 EN-1681 MA ID:09002822")</f>
        <v>JOHN PRESCOTT &lt;2&gt; 1604 EN-1681 MA ID:09002822</v>
      </c>
      <c r="N4922" s="6"/>
      <c r="O4922" s="6"/>
      <c r="P4922" s="6"/>
      <c r="Q4922" s="6"/>
    </row>
    <row r="4923" spans="3:18" x14ac:dyDescent="0.35">
      <c r="C4923" s="15" t="s">
        <v>8</v>
      </c>
      <c r="E4923" s="15" t="s">
        <v>8</v>
      </c>
      <c r="J4923" s="15" t="s">
        <v>8</v>
      </c>
      <c r="L4923" s="8" t="s">
        <v>6</v>
      </c>
      <c r="M4923" s="8" t="s">
        <v>3</v>
      </c>
    </row>
    <row r="4924" spans="3:18" x14ac:dyDescent="0.35">
      <c r="C4924" s="15" t="s">
        <v>8</v>
      </c>
      <c r="E4924" s="15" t="s">
        <v>8</v>
      </c>
      <c r="J4924" s="15" t="s">
        <v>8</v>
      </c>
      <c r="L4924" s="16" t="str">
        <f>HYPERLINK("http://yeinfo.com/family/I09002821.html", "LYDIA PRESCOTT 1641 MA-1723 MA ID:09001411")</f>
        <v>LYDIA PRESCOTT 1641 MA-1723 MA ID:09001411</v>
      </c>
      <c r="M4924" s="11"/>
      <c r="N4924" s="11"/>
      <c r="O4924" s="11"/>
      <c r="P4924" s="11"/>
    </row>
    <row r="4925" spans="3:18" x14ac:dyDescent="0.35">
      <c r="C4925" s="15" t="s">
        <v>8</v>
      </c>
      <c r="E4925" s="15" t="s">
        <v>8</v>
      </c>
      <c r="J4925" s="15" t="s">
        <v>8</v>
      </c>
      <c r="M4925" s="8" t="s">
        <v>6</v>
      </c>
    </row>
    <row r="4926" spans="3:18" x14ac:dyDescent="0.35">
      <c r="C4926" s="15" t="s">
        <v>8</v>
      </c>
      <c r="E4926" s="15" t="s">
        <v>8</v>
      </c>
      <c r="J4926" s="15" t="s">
        <v>8</v>
      </c>
      <c r="M4926" s="22" t="str">
        <f>HYPERLINK("http://yeinfo.com/family/I09002822.html", "MARY PLATTS &lt;2&gt; 1606 EN-1674 MA ID:09002823")</f>
        <v>MARY PLATTS &lt;2&gt; 1606 EN-1674 MA ID:09002823</v>
      </c>
      <c r="N4926" s="13"/>
      <c r="O4926" s="13"/>
      <c r="P4926" s="13"/>
      <c r="Q4926" s="13"/>
    </row>
    <row r="4927" spans="3:18" x14ac:dyDescent="0.35">
      <c r="C4927" s="15" t="s">
        <v>8</v>
      </c>
      <c r="E4927" s="15" t="s">
        <v>8</v>
      </c>
      <c r="J4927" s="15" t="s">
        <v>8</v>
      </c>
    </row>
    <row r="4928" spans="3:18" x14ac:dyDescent="0.35">
      <c r="C4928" s="15" t="s">
        <v>8</v>
      </c>
      <c r="E4928" s="15" t="s">
        <v>8</v>
      </c>
      <c r="I4928" s="5" t="str">
        <f>HYPERLINK("http://yeinfo.com/family/I09000088.html", "SAMUEL MOORE 1732 MA-1812 MA ID:09000176")</f>
        <v>SAMUEL MOORE 1732 MA-1812 MA ID:09000176</v>
      </c>
      <c r="J4928" s="3"/>
      <c r="K4928" s="3"/>
      <c r="L4928" s="3"/>
      <c r="M4928" s="3"/>
    </row>
    <row r="4929" spans="3:19" x14ac:dyDescent="0.35">
      <c r="C4929" s="15" t="s">
        <v>8</v>
      </c>
      <c r="E4929" s="15" t="s">
        <v>8</v>
      </c>
      <c r="I4929" s="8" t="s">
        <v>3</v>
      </c>
      <c r="J4929" s="15" t="s">
        <v>8</v>
      </c>
    </row>
    <row r="4930" spans="3:19" x14ac:dyDescent="0.35">
      <c r="C4930" s="15" t="s">
        <v>8</v>
      </c>
      <c r="E4930" s="15" t="s">
        <v>8</v>
      </c>
      <c r="I4930" s="15" t="s">
        <v>8</v>
      </c>
      <c r="J4930" s="15" t="s">
        <v>8</v>
      </c>
      <c r="O4930" s="19" t="str">
        <f>HYPERLINK("http://yeinfo.com/family/I09005648.html", "RICHARD WILLARD 1510 EN-1558 EN ID:09011296")</f>
        <v>RICHARD WILLARD 1510 EN-1558 EN ID:09011296</v>
      </c>
      <c r="P4930" s="9"/>
      <c r="Q4930" s="9"/>
      <c r="R4930" s="9"/>
      <c r="S4930" s="9"/>
    </row>
    <row r="4931" spans="3:19" x14ac:dyDescent="0.35">
      <c r="C4931" s="15" t="s">
        <v>8</v>
      </c>
      <c r="E4931" s="15" t="s">
        <v>8</v>
      </c>
      <c r="I4931" s="15" t="s">
        <v>8</v>
      </c>
      <c r="J4931" s="15" t="s">
        <v>8</v>
      </c>
      <c r="O4931" s="8" t="s">
        <v>3</v>
      </c>
    </row>
    <row r="4932" spans="3:19" x14ac:dyDescent="0.35">
      <c r="C4932" s="15" t="s">
        <v>8</v>
      </c>
      <c r="E4932" s="15" t="s">
        <v>8</v>
      </c>
      <c r="I4932" s="15" t="s">
        <v>8</v>
      </c>
      <c r="J4932" s="15" t="s">
        <v>8</v>
      </c>
      <c r="N4932" s="19" t="str">
        <f>HYPERLINK("http://yeinfo.com/family/I09002824.html", "SYMON WILLARD 1545 EN-1584 EN ID:09005648")</f>
        <v>SYMON WILLARD 1545 EN-1584 EN ID:09005648</v>
      </c>
      <c r="O4932" s="9"/>
      <c r="P4932" s="9"/>
      <c r="Q4932" s="9"/>
      <c r="R4932" s="9"/>
    </row>
    <row r="4933" spans="3:19" x14ac:dyDescent="0.35">
      <c r="C4933" s="15" t="s">
        <v>8</v>
      </c>
      <c r="E4933" s="15" t="s">
        <v>8</v>
      </c>
      <c r="I4933" s="15" t="s">
        <v>8</v>
      </c>
      <c r="J4933" s="15" t="s">
        <v>8</v>
      </c>
      <c r="N4933" s="8" t="s">
        <v>3</v>
      </c>
      <c r="O4933" s="8" t="s">
        <v>6</v>
      </c>
    </row>
    <row r="4934" spans="3:19" x14ac:dyDescent="0.35">
      <c r="C4934" s="15" t="s">
        <v>8</v>
      </c>
      <c r="E4934" s="15" t="s">
        <v>8</v>
      </c>
      <c r="I4934" s="15" t="s">
        <v>8</v>
      </c>
      <c r="J4934" s="15" t="s">
        <v>8</v>
      </c>
      <c r="N4934" s="15" t="s">
        <v>8</v>
      </c>
      <c r="O4934" s="20" t="str">
        <f>HYPERLINK("http://yeinfo.com/family/I09011296.html", "ELIZABETH FREMINGHAM 1510 EN-1552  ID:09011297")</f>
        <v>ELIZABETH FREMINGHAM 1510 EN-1552  ID:09011297</v>
      </c>
      <c r="P4934" s="17"/>
      <c r="Q4934" s="17"/>
      <c r="R4934" s="17"/>
      <c r="S4934" s="17"/>
    </row>
    <row r="4935" spans="3:19" x14ac:dyDescent="0.35">
      <c r="C4935" s="15" t="s">
        <v>8</v>
      </c>
      <c r="E4935" s="15" t="s">
        <v>8</v>
      </c>
      <c r="I4935" s="15" t="s">
        <v>8</v>
      </c>
      <c r="J4935" s="15" t="s">
        <v>8</v>
      </c>
      <c r="N4935" s="15" t="s">
        <v>8</v>
      </c>
    </row>
    <row r="4936" spans="3:19" x14ac:dyDescent="0.35">
      <c r="C4936" s="15" t="s">
        <v>8</v>
      </c>
      <c r="E4936" s="15" t="s">
        <v>8</v>
      </c>
      <c r="I4936" s="15" t="s">
        <v>8</v>
      </c>
      <c r="J4936" s="15" t="s">
        <v>8</v>
      </c>
      <c r="M4936" s="19" t="str">
        <f>HYPERLINK("http://yeinfo.com/family/I09001412.html", "RICHARD WILLARD 1572 EN-1616 EN ID:09002824")</f>
        <v>RICHARD WILLARD 1572 EN-1616 EN ID:09002824</v>
      </c>
      <c r="N4936" s="9"/>
      <c r="O4936" s="9"/>
      <c r="P4936" s="9"/>
      <c r="Q4936" s="9"/>
    </row>
    <row r="4937" spans="3:19" x14ac:dyDescent="0.35">
      <c r="C4937" s="15" t="s">
        <v>8</v>
      </c>
      <c r="E4937" s="15" t="s">
        <v>8</v>
      </c>
      <c r="I4937" s="15" t="s">
        <v>8</v>
      </c>
      <c r="J4937" s="15" t="s">
        <v>8</v>
      </c>
      <c r="M4937" s="8" t="s">
        <v>3</v>
      </c>
      <c r="N4937" s="8" t="s">
        <v>6</v>
      </c>
    </row>
    <row r="4938" spans="3:19" x14ac:dyDescent="0.35">
      <c r="C4938" s="15" t="s">
        <v>8</v>
      </c>
      <c r="E4938" s="15" t="s">
        <v>8</v>
      </c>
      <c r="I4938" s="15" t="s">
        <v>8</v>
      </c>
      <c r="J4938" s="15" t="s">
        <v>8</v>
      </c>
      <c r="M4938" s="15" t="s">
        <v>8</v>
      </c>
      <c r="N4938" s="20" t="str">
        <f>HYPERLINK("http://yeinfo.com/family/I09011297.html", "ELIZABETH WATERMAN 1545 EN-1587 EN ID:09005649")</f>
        <v>ELIZABETH WATERMAN 1545 EN-1587 EN ID:09005649</v>
      </c>
      <c r="O4938" s="17"/>
      <c r="P4938" s="17"/>
      <c r="Q4938" s="17"/>
      <c r="R4938" s="17"/>
    </row>
    <row r="4939" spans="3:19" x14ac:dyDescent="0.35">
      <c r="C4939" s="15" t="s">
        <v>8</v>
      </c>
      <c r="E4939" s="15" t="s">
        <v>8</v>
      </c>
      <c r="I4939" s="15" t="s">
        <v>8</v>
      </c>
      <c r="J4939" s="15" t="s">
        <v>8</v>
      </c>
      <c r="M4939" s="15" t="s">
        <v>8</v>
      </c>
    </row>
    <row r="4940" spans="3:19" x14ac:dyDescent="0.35">
      <c r="C4940" s="15" t="s">
        <v>8</v>
      </c>
      <c r="E4940" s="15" t="s">
        <v>8</v>
      </c>
      <c r="I4940" s="15" t="s">
        <v>8</v>
      </c>
      <c r="J4940" s="15" t="s">
        <v>8</v>
      </c>
      <c r="L4940" s="5" t="str">
        <f>HYPERLINK("http://yeinfo.com/family/I09000706.html", "SIMON WILLARD 1605 EN-1676  ID:09001412")</f>
        <v>SIMON WILLARD 1605 EN-1676  ID:09001412</v>
      </c>
      <c r="M4940" s="3"/>
      <c r="N4940" s="3"/>
      <c r="O4940" s="3"/>
      <c r="P4940" s="3"/>
    </row>
    <row r="4941" spans="3:19" x14ac:dyDescent="0.35">
      <c r="C4941" s="15" t="s">
        <v>8</v>
      </c>
      <c r="E4941" s="15" t="s">
        <v>8</v>
      </c>
      <c r="I4941" s="15" t="s">
        <v>8</v>
      </c>
      <c r="J4941" s="15" t="s">
        <v>8</v>
      </c>
      <c r="L4941" s="8" t="s">
        <v>3</v>
      </c>
      <c r="M4941" s="8" t="s">
        <v>6</v>
      </c>
    </row>
    <row r="4942" spans="3:19" x14ac:dyDescent="0.35">
      <c r="C4942" s="15" t="s">
        <v>8</v>
      </c>
      <c r="E4942" s="15" t="s">
        <v>8</v>
      </c>
      <c r="I4942" s="15" t="s">
        <v>8</v>
      </c>
      <c r="J4942" s="15" t="s">
        <v>8</v>
      </c>
      <c r="L4942" s="15" t="s">
        <v>8</v>
      </c>
      <c r="M4942" s="20" t="str">
        <f>HYPERLINK("http://yeinfo.com/family/I09005649.html", "MARGERY HUMPHREY 1575 EN-1608 EN ID:09002825")</f>
        <v>MARGERY HUMPHREY 1575 EN-1608 EN ID:09002825</v>
      </c>
      <c r="N4942" s="17"/>
      <c r="O4942" s="17"/>
      <c r="P4942" s="17"/>
      <c r="Q4942" s="17"/>
    </row>
    <row r="4943" spans="3:19" x14ac:dyDescent="0.35">
      <c r="C4943" s="15" t="s">
        <v>8</v>
      </c>
      <c r="E4943" s="15" t="s">
        <v>8</v>
      </c>
      <c r="I4943" s="15" t="s">
        <v>8</v>
      </c>
      <c r="J4943" s="15" t="s">
        <v>8</v>
      </c>
      <c r="L4943" s="15" t="s">
        <v>8</v>
      </c>
    </row>
    <row r="4944" spans="3:19" x14ac:dyDescent="0.35">
      <c r="C4944" s="15" t="s">
        <v>8</v>
      </c>
      <c r="E4944" s="15" t="s">
        <v>8</v>
      </c>
      <c r="I4944" s="15" t="s">
        <v>8</v>
      </c>
      <c r="J4944" s="15" t="s">
        <v>8</v>
      </c>
      <c r="K4944" s="5" t="str">
        <f>HYPERLINK("http://yeinfo.com/family/I09000353.html", "HENRY WILLARD 1655 MA-1701 MA ID:09000706")</f>
        <v>HENRY WILLARD 1655 MA-1701 MA ID:09000706</v>
      </c>
      <c r="L4944" s="3"/>
      <c r="M4944" s="3"/>
      <c r="N4944" s="3"/>
      <c r="O4944" s="3"/>
    </row>
    <row r="4945" spans="3:17" x14ac:dyDescent="0.35">
      <c r="C4945" s="15" t="s">
        <v>8</v>
      </c>
      <c r="E4945" s="15" t="s">
        <v>8</v>
      </c>
      <c r="I4945" s="15" t="s">
        <v>8</v>
      </c>
      <c r="J4945" s="15" t="s">
        <v>8</v>
      </c>
      <c r="K4945" s="8" t="s">
        <v>3</v>
      </c>
      <c r="L4945" s="15" t="s">
        <v>8</v>
      </c>
    </row>
    <row r="4946" spans="3:17" x14ac:dyDescent="0.35">
      <c r="C4946" s="15" t="s">
        <v>8</v>
      </c>
      <c r="E4946" s="15" t="s">
        <v>8</v>
      </c>
      <c r="I4946" s="15" t="s">
        <v>8</v>
      </c>
      <c r="J4946" s="15" t="s">
        <v>8</v>
      </c>
      <c r="K4946" s="15" t="s">
        <v>8</v>
      </c>
      <c r="L4946" s="15" t="s">
        <v>8</v>
      </c>
      <c r="M4946" s="19" t="str">
        <f>HYPERLINK("http://yeinfo.com/family/I09001413.html", "HENRY SHARPE 1588 EN-1650 EN ID:09002826")</f>
        <v>HENRY SHARPE 1588 EN-1650 EN ID:09002826</v>
      </c>
      <c r="N4946" s="9"/>
      <c r="O4946" s="9"/>
      <c r="P4946" s="9"/>
      <c r="Q4946" s="9"/>
    </row>
    <row r="4947" spans="3:17" x14ac:dyDescent="0.35">
      <c r="C4947" s="15" t="s">
        <v>8</v>
      </c>
      <c r="E4947" s="15" t="s">
        <v>8</v>
      </c>
      <c r="I4947" s="15" t="s">
        <v>8</v>
      </c>
      <c r="J4947" s="15" t="s">
        <v>8</v>
      </c>
      <c r="K4947" s="15" t="s">
        <v>8</v>
      </c>
      <c r="L4947" s="8" t="s">
        <v>6</v>
      </c>
      <c r="M4947" s="8" t="s">
        <v>3</v>
      </c>
    </row>
    <row r="4948" spans="3:17" x14ac:dyDescent="0.35">
      <c r="C4948" s="15" t="s">
        <v>8</v>
      </c>
      <c r="E4948" s="15" t="s">
        <v>8</v>
      </c>
      <c r="I4948" s="15" t="s">
        <v>8</v>
      </c>
      <c r="J4948" s="15" t="s">
        <v>8</v>
      </c>
      <c r="K4948" s="15" t="s">
        <v>8</v>
      </c>
      <c r="L4948" s="22" t="str">
        <f>HYPERLINK("http://yeinfo.com/family/I09002825.html", "MARY\JANE SHARPE 1614 EN-1655 MA ID:09001413")</f>
        <v>MARY\JANE SHARPE 1614 EN-1655 MA ID:09001413</v>
      </c>
      <c r="M4948" s="13"/>
      <c r="N4948" s="13"/>
      <c r="O4948" s="13"/>
      <c r="P4948" s="13"/>
      <c r="Q4948" s="13"/>
    </row>
    <row r="4949" spans="3:17" x14ac:dyDescent="0.35">
      <c r="C4949" s="15" t="s">
        <v>8</v>
      </c>
      <c r="E4949" s="15" t="s">
        <v>8</v>
      </c>
      <c r="I4949" s="15" t="s">
        <v>8</v>
      </c>
      <c r="J4949" s="15" t="s">
        <v>8</v>
      </c>
      <c r="K4949" s="15" t="s">
        <v>8</v>
      </c>
      <c r="M4949" s="8" t="s">
        <v>6</v>
      </c>
    </row>
    <row r="4950" spans="3:17" x14ac:dyDescent="0.35">
      <c r="C4950" s="15" t="s">
        <v>8</v>
      </c>
      <c r="E4950" s="15" t="s">
        <v>8</v>
      </c>
      <c r="I4950" s="15" t="s">
        <v>8</v>
      </c>
      <c r="J4950" s="15" t="s">
        <v>8</v>
      </c>
      <c r="K4950" s="15" t="s">
        <v>8</v>
      </c>
      <c r="M4950" s="20" t="str">
        <f>HYPERLINK("http://yeinfo.com/family/I09002826.html", "JANE FIELD 1590 EN-1650 EN ID:09002827")</f>
        <v>JANE FIELD 1590 EN-1650 EN ID:09002827</v>
      </c>
      <c r="N4950" s="17"/>
      <c r="O4950" s="17"/>
      <c r="P4950" s="17"/>
      <c r="Q4950" s="17"/>
    </row>
    <row r="4951" spans="3:17" x14ac:dyDescent="0.35">
      <c r="C4951" s="15" t="s">
        <v>8</v>
      </c>
      <c r="E4951" s="15" t="s">
        <v>8</v>
      </c>
      <c r="I4951" s="15" t="s">
        <v>8</v>
      </c>
      <c r="J4951" s="8" t="s">
        <v>6</v>
      </c>
      <c r="K4951" s="15" t="s">
        <v>8</v>
      </c>
    </row>
    <row r="4952" spans="3:17" x14ac:dyDescent="0.35">
      <c r="C4952" s="15" t="s">
        <v>8</v>
      </c>
      <c r="E4952" s="15" t="s">
        <v>8</v>
      </c>
      <c r="I4952" s="15" t="s">
        <v>8</v>
      </c>
      <c r="J4952" s="16" t="str">
        <f>HYPERLINK("http://yeinfo.com/family/I09002823.html", "SUSANNAH WILLARD 1701 MA-1743 MA ID:09000353")</f>
        <v>SUSANNAH WILLARD 1701 MA-1743 MA ID:09000353</v>
      </c>
      <c r="K4952" s="11"/>
      <c r="L4952" s="11"/>
      <c r="M4952" s="11"/>
      <c r="N4952" s="11"/>
    </row>
    <row r="4953" spans="3:17" x14ac:dyDescent="0.35">
      <c r="C4953" s="15" t="s">
        <v>8</v>
      </c>
      <c r="E4953" s="15" t="s">
        <v>8</v>
      </c>
      <c r="I4953" s="15" t="s">
        <v>8</v>
      </c>
      <c r="K4953" s="15" t="s">
        <v>8</v>
      </c>
    </row>
    <row r="4954" spans="3:17" x14ac:dyDescent="0.35">
      <c r="C4954" s="15" t="s">
        <v>8</v>
      </c>
      <c r="E4954" s="15" t="s">
        <v>8</v>
      </c>
      <c r="I4954" s="15" t="s">
        <v>8</v>
      </c>
      <c r="K4954" s="15" t="s">
        <v>8</v>
      </c>
      <c r="M4954" s="5" t="str">
        <f>HYPERLINK("http://yeinfo.com/family/I09005444.html", "JAMES CUTLER &lt;3&gt; 1606 EN-1694  ID:09005444")</f>
        <v>JAMES CUTLER &lt;3&gt; 1606 EN-1694  ID:09005444</v>
      </c>
      <c r="N4954" s="3"/>
      <c r="O4954" s="3"/>
      <c r="P4954" s="3"/>
      <c r="Q4954" s="3"/>
    </row>
    <row r="4955" spans="3:17" x14ac:dyDescent="0.35">
      <c r="C4955" s="15" t="s">
        <v>8</v>
      </c>
      <c r="E4955" s="15" t="s">
        <v>8</v>
      </c>
      <c r="I4955" s="15" t="s">
        <v>8</v>
      </c>
      <c r="K4955" s="15" t="s">
        <v>8</v>
      </c>
      <c r="M4955" s="8" t="s">
        <v>3</v>
      </c>
    </row>
    <row r="4956" spans="3:17" x14ac:dyDescent="0.35">
      <c r="C4956" s="15" t="s">
        <v>8</v>
      </c>
      <c r="E4956" s="15" t="s">
        <v>8</v>
      </c>
      <c r="I4956" s="15" t="s">
        <v>8</v>
      </c>
      <c r="K4956" s="15" t="s">
        <v>8</v>
      </c>
      <c r="L4956" s="5" t="str">
        <f>HYPERLINK("http://yeinfo.com/family/I09000707.html", "THOMAS CUTLER 1648 MA-1722 MA ID:09001414")</f>
        <v>THOMAS CUTLER 1648 MA-1722 MA ID:09001414</v>
      </c>
      <c r="M4956" s="3"/>
      <c r="N4956" s="3"/>
      <c r="O4956" s="3"/>
      <c r="P4956" s="3"/>
    </row>
    <row r="4957" spans="3:17" x14ac:dyDescent="0.35">
      <c r="C4957" s="15" t="s">
        <v>8</v>
      </c>
      <c r="E4957" s="15" t="s">
        <v>8</v>
      </c>
      <c r="I4957" s="15" t="s">
        <v>8</v>
      </c>
      <c r="K4957" s="15" t="s">
        <v>8</v>
      </c>
      <c r="L4957" s="8" t="s">
        <v>3</v>
      </c>
      <c r="M4957" s="8" t="s">
        <v>6</v>
      </c>
    </row>
    <row r="4958" spans="3:17" x14ac:dyDescent="0.35">
      <c r="C4958" s="15" t="s">
        <v>8</v>
      </c>
      <c r="E4958" s="15" t="s">
        <v>8</v>
      </c>
      <c r="I4958" s="15" t="s">
        <v>8</v>
      </c>
      <c r="K4958" s="15" t="s">
        <v>8</v>
      </c>
      <c r="L4958" s="15" t="s">
        <v>8</v>
      </c>
      <c r="M4958" s="22" t="str">
        <f>HYPERLINK("http://yeinfo.com/family/I09001414.html", "MARY BARNARD 1610 EN-1654 MA ID:09002829")</f>
        <v>MARY BARNARD 1610 EN-1654 MA ID:09002829</v>
      </c>
      <c r="N4958" s="13"/>
      <c r="O4958" s="13"/>
      <c r="P4958" s="13"/>
      <c r="Q4958" s="13"/>
    </row>
    <row r="4959" spans="3:17" x14ac:dyDescent="0.35">
      <c r="C4959" s="15" t="s">
        <v>8</v>
      </c>
      <c r="E4959" s="15" t="s">
        <v>8</v>
      </c>
      <c r="I4959" s="15" t="s">
        <v>8</v>
      </c>
      <c r="K4959" s="8" t="s">
        <v>6</v>
      </c>
      <c r="L4959" s="15" t="s">
        <v>8</v>
      </c>
    </row>
    <row r="4960" spans="3:17" x14ac:dyDescent="0.35">
      <c r="C4960" s="15" t="s">
        <v>8</v>
      </c>
      <c r="E4960" s="15" t="s">
        <v>8</v>
      </c>
      <c r="I4960" s="15" t="s">
        <v>8</v>
      </c>
      <c r="K4960" s="16" t="str">
        <f>HYPERLINK("http://yeinfo.com/family/I09002827.html", "DORCAS CUTLER 1675 MA-1747 MA ID:09000707")</f>
        <v>DORCAS CUTLER 1675 MA-1747 MA ID:09000707</v>
      </c>
      <c r="L4960" s="11"/>
      <c r="M4960" s="11"/>
      <c r="N4960" s="11"/>
      <c r="O4960" s="11"/>
    </row>
    <row r="4961" spans="3:18" x14ac:dyDescent="0.35">
      <c r="C4961" s="15" t="s">
        <v>8</v>
      </c>
      <c r="E4961" s="15" t="s">
        <v>8</v>
      </c>
      <c r="I4961" s="15" t="s">
        <v>8</v>
      </c>
      <c r="L4961" s="15" t="s">
        <v>8</v>
      </c>
    </row>
    <row r="4962" spans="3:18" x14ac:dyDescent="0.35">
      <c r="C4962" s="15" t="s">
        <v>8</v>
      </c>
      <c r="E4962" s="15" t="s">
        <v>8</v>
      </c>
      <c r="I4962" s="15" t="s">
        <v>8</v>
      </c>
      <c r="L4962" s="15" t="s">
        <v>8</v>
      </c>
      <c r="M4962" s="21" t="str">
        <f>HYPERLINK("http://yeinfo.com/family/I09001415.html", "THOMAS DEWEY 1606 EN-1648 CT ID:09002830")</f>
        <v>THOMAS DEWEY 1606 EN-1648 CT ID:09002830</v>
      </c>
      <c r="N4962" s="6"/>
      <c r="O4962" s="6"/>
      <c r="P4962" s="6"/>
      <c r="Q4962" s="6"/>
    </row>
    <row r="4963" spans="3:18" x14ac:dyDescent="0.35">
      <c r="C4963" s="15" t="s">
        <v>8</v>
      </c>
      <c r="E4963" s="15" t="s">
        <v>8</v>
      </c>
      <c r="I4963" s="15" t="s">
        <v>8</v>
      </c>
      <c r="L4963" s="8" t="s">
        <v>6</v>
      </c>
      <c r="M4963" s="8" t="s">
        <v>3</v>
      </c>
    </row>
    <row r="4964" spans="3:18" x14ac:dyDescent="0.35">
      <c r="C4964" s="15" t="s">
        <v>8</v>
      </c>
      <c r="E4964" s="15" t="s">
        <v>8</v>
      </c>
      <c r="I4964" s="15" t="s">
        <v>8</v>
      </c>
      <c r="L4964" s="16" t="str">
        <f>HYPERLINK("http://yeinfo.com/family/I09002829.html", "ABIGAIL DEWEY 1646 MA-1711 MA ID:09001415")</f>
        <v>ABIGAIL DEWEY 1646 MA-1711 MA ID:09001415</v>
      </c>
      <c r="M4964" s="11"/>
      <c r="N4964" s="11"/>
      <c r="O4964" s="11"/>
      <c r="P4964" s="11"/>
    </row>
    <row r="4965" spans="3:18" x14ac:dyDescent="0.35">
      <c r="C4965" s="15" t="s">
        <v>8</v>
      </c>
      <c r="E4965" s="15" t="s">
        <v>8</v>
      </c>
      <c r="I4965" s="15" t="s">
        <v>8</v>
      </c>
      <c r="M4965" s="8" t="s">
        <v>6</v>
      </c>
    </row>
    <row r="4966" spans="3:18" x14ac:dyDescent="0.35">
      <c r="C4966" s="15" t="s">
        <v>8</v>
      </c>
      <c r="E4966" s="15" t="s">
        <v>8</v>
      </c>
      <c r="I4966" s="15" t="s">
        <v>8</v>
      </c>
      <c r="M4966" s="22" t="str">
        <f>HYPERLINK("http://yeinfo.com/family/I09002830.html", "FRANCES RANDALL 1611 EN-1690 MA ID:09002831")</f>
        <v>FRANCES RANDALL 1611 EN-1690 MA ID:09002831</v>
      </c>
      <c r="N4966" s="13"/>
      <c r="O4966" s="13"/>
      <c r="P4966" s="13"/>
      <c r="Q4966" s="13"/>
    </row>
    <row r="4967" spans="3:18" x14ac:dyDescent="0.35">
      <c r="C4967" s="15" t="s">
        <v>8</v>
      </c>
      <c r="E4967" s="15" t="s">
        <v>8</v>
      </c>
      <c r="I4967" s="15" t="s">
        <v>8</v>
      </c>
    </row>
    <row r="4968" spans="3:18" x14ac:dyDescent="0.35">
      <c r="C4968" s="15" t="s">
        <v>8</v>
      </c>
      <c r="E4968" s="15" t="s">
        <v>8</v>
      </c>
      <c r="H4968" s="5" t="str">
        <f>HYPERLINK("http://yeinfo.com/family/I09000044.html", "RUFUS MOORE 1761 MA-1836 VT ID:09000088")</f>
        <v>RUFUS MOORE 1761 MA-1836 VT ID:09000088</v>
      </c>
      <c r="I4968" s="3"/>
      <c r="J4968" s="3"/>
      <c r="K4968" s="3"/>
      <c r="L4968" s="3"/>
    </row>
    <row r="4969" spans="3:18" x14ac:dyDescent="0.35">
      <c r="C4969" s="15" t="s">
        <v>8</v>
      </c>
      <c r="E4969" s="15" t="s">
        <v>8</v>
      </c>
      <c r="H4969" s="8" t="s">
        <v>3</v>
      </c>
      <c r="I4969" s="15" t="s">
        <v>8</v>
      </c>
    </row>
    <row r="4970" spans="3:18" x14ac:dyDescent="0.35">
      <c r="C4970" s="15" t="s">
        <v>8</v>
      </c>
      <c r="E4970" s="15" t="s">
        <v>8</v>
      </c>
      <c r="H4970" s="15" t="s">
        <v>8</v>
      </c>
      <c r="I4970" s="15" t="s">
        <v>8</v>
      </c>
      <c r="N4970" s="19" t="str">
        <f>HYPERLINK("http://yeinfo.com/family/I09002832.html", "JOHN HOUGHTON &lt;2&gt; 1573 EN-1618 EN ID:09005664")</f>
        <v>JOHN HOUGHTON &lt;2&gt; 1573 EN-1618 EN ID:09005664</v>
      </c>
      <c r="O4970" s="9"/>
      <c r="P4970" s="9"/>
      <c r="Q4970" s="9"/>
      <c r="R4970" s="9"/>
    </row>
    <row r="4971" spans="3:18" x14ac:dyDescent="0.35">
      <c r="C4971" s="15" t="s">
        <v>8</v>
      </c>
      <c r="E4971" s="15" t="s">
        <v>8</v>
      </c>
      <c r="H4971" s="15" t="s">
        <v>8</v>
      </c>
      <c r="I4971" s="15" t="s">
        <v>8</v>
      </c>
      <c r="N4971" s="8" t="s">
        <v>3</v>
      </c>
    </row>
    <row r="4972" spans="3:18" x14ac:dyDescent="0.35">
      <c r="C4972" s="15" t="s">
        <v>8</v>
      </c>
      <c r="E4972" s="15" t="s">
        <v>8</v>
      </c>
      <c r="H4972" s="15" t="s">
        <v>8</v>
      </c>
      <c r="I4972" s="15" t="s">
        <v>8</v>
      </c>
      <c r="M4972" s="19" t="str">
        <f>HYPERLINK("http://yeinfo.com/family/I09001416.html", "JOHN HOUGHTON &lt;2&gt; 1593 EN-1629 EN ID:09002832")</f>
        <v>JOHN HOUGHTON &lt;2&gt; 1593 EN-1629 EN ID:09002832</v>
      </c>
      <c r="N4972" s="9"/>
      <c r="O4972" s="9"/>
      <c r="P4972" s="9"/>
      <c r="Q4972" s="9"/>
    </row>
    <row r="4973" spans="3:18" x14ac:dyDescent="0.35">
      <c r="C4973" s="15" t="s">
        <v>8</v>
      </c>
      <c r="E4973" s="15" t="s">
        <v>8</v>
      </c>
      <c r="H4973" s="15" t="s">
        <v>8</v>
      </c>
      <c r="I4973" s="15" t="s">
        <v>8</v>
      </c>
      <c r="M4973" s="8" t="s">
        <v>3</v>
      </c>
      <c r="N4973" s="8" t="s">
        <v>6</v>
      </c>
    </row>
    <row r="4974" spans="3:18" x14ac:dyDescent="0.35">
      <c r="C4974" s="15" t="s">
        <v>8</v>
      </c>
      <c r="E4974" s="15" t="s">
        <v>8</v>
      </c>
      <c r="H4974" s="15" t="s">
        <v>8</v>
      </c>
      <c r="I4974" s="15" t="s">
        <v>8</v>
      </c>
      <c r="M4974" s="15" t="s">
        <v>8</v>
      </c>
      <c r="N4974" s="20" t="str">
        <f>HYPERLINK("http://yeinfo.com/family/I09005664.html", "Mrs. KATHERINE HOUGHTON &lt;2&gt; 1575 EN-1595 EN ID:09005665")</f>
        <v>Mrs. KATHERINE HOUGHTON &lt;2&gt; 1575 EN-1595 EN ID:09005665</v>
      </c>
      <c r="O4974" s="17"/>
      <c r="P4974" s="17"/>
      <c r="Q4974" s="17"/>
      <c r="R4974" s="17"/>
    </row>
    <row r="4975" spans="3:18" x14ac:dyDescent="0.35">
      <c r="C4975" s="15" t="s">
        <v>8</v>
      </c>
      <c r="E4975" s="15" t="s">
        <v>8</v>
      </c>
      <c r="H4975" s="15" t="s">
        <v>8</v>
      </c>
      <c r="I4975" s="15" t="s">
        <v>8</v>
      </c>
      <c r="M4975" s="15" t="s">
        <v>8</v>
      </c>
    </row>
    <row r="4976" spans="3:18" x14ac:dyDescent="0.35">
      <c r="C4976" s="15" t="s">
        <v>8</v>
      </c>
      <c r="E4976" s="15" t="s">
        <v>8</v>
      </c>
      <c r="H4976" s="15" t="s">
        <v>8</v>
      </c>
      <c r="I4976" s="15" t="s">
        <v>8</v>
      </c>
      <c r="L4976" s="21" t="str">
        <f>HYPERLINK("http://yeinfo.com/family/I09000708.html", "JOHN HOUGHTON &lt;2&gt; 1624 EN-1684 MA ID:09001416")</f>
        <v>JOHN HOUGHTON &lt;2&gt; 1624 EN-1684 MA ID:09001416</v>
      </c>
      <c r="M4976" s="6"/>
      <c r="N4976" s="6"/>
      <c r="O4976" s="6"/>
      <c r="P4976" s="6"/>
    </row>
    <row r="4977" spans="3:20" x14ac:dyDescent="0.35">
      <c r="C4977" s="15" t="s">
        <v>8</v>
      </c>
      <c r="E4977" s="15" t="s">
        <v>8</v>
      </c>
      <c r="H4977" s="15" t="s">
        <v>8</v>
      </c>
      <c r="I4977" s="15" t="s">
        <v>8</v>
      </c>
      <c r="L4977" s="8" t="s">
        <v>3</v>
      </c>
      <c r="M4977" s="15" t="s">
        <v>8</v>
      </c>
    </row>
    <row r="4978" spans="3:20" x14ac:dyDescent="0.35">
      <c r="C4978" s="15" t="s">
        <v>8</v>
      </c>
      <c r="E4978" s="15" t="s">
        <v>8</v>
      </c>
      <c r="H4978" s="15" t="s">
        <v>8</v>
      </c>
      <c r="I4978" s="15" t="s">
        <v>8</v>
      </c>
      <c r="L4978" s="15" t="s">
        <v>8</v>
      </c>
      <c r="M4978" s="15" t="s">
        <v>8</v>
      </c>
      <c r="N4978" s="19" t="str">
        <f>HYPERLINK("http://yeinfo.com/family/I09002833.html", "ANDREW BUCKMASTER &lt;2&gt; 1567 EN-1598 EN ID:09005666")</f>
        <v>ANDREW BUCKMASTER &lt;2&gt; 1567 EN-1598 EN ID:09005666</v>
      </c>
      <c r="O4978" s="9"/>
      <c r="P4978" s="9"/>
      <c r="Q4978" s="9"/>
      <c r="R4978" s="9"/>
    </row>
    <row r="4979" spans="3:20" x14ac:dyDescent="0.35">
      <c r="C4979" s="15" t="s">
        <v>8</v>
      </c>
      <c r="E4979" s="15" t="s">
        <v>8</v>
      </c>
      <c r="H4979" s="15" t="s">
        <v>8</v>
      </c>
      <c r="I4979" s="15" t="s">
        <v>8</v>
      </c>
      <c r="L4979" s="15" t="s">
        <v>8</v>
      </c>
      <c r="M4979" s="8" t="s">
        <v>6</v>
      </c>
      <c r="N4979" s="8" t="s">
        <v>3</v>
      </c>
    </row>
    <row r="4980" spans="3:20" x14ac:dyDescent="0.35">
      <c r="C4980" s="15" t="s">
        <v>8</v>
      </c>
      <c r="E4980" s="15" t="s">
        <v>8</v>
      </c>
      <c r="H4980" s="15" t="s">
        <v>8</v>
      </c>
      <c r="I4980" s="15" t="s">
        <v>8</v>
      </c>
      <c r="L4980" s="15" t="s">
        <v>8</v>
      </c>
      <c r="M4980" s="20" t="str">
        <f>HYPERLINK("http://yeinfo.com/family/I09005665.html", "DAMARIS BUCKMASTER &lt;2&gt; 1593 EN-1666 EN ID:09002833")</f>
        <v>DAMARIS BUCKMASTER &lt;2&gt; 1593 EN-1666 EN ID:09002833</v>
      </c>
      <c r="N4980" s="17"/>
      <c r="O4980" s="17"/>
      <c r="P4980" s="17"/>
      <c r="Q4980" s="17"/>
    </row>
    <row r="4981" spans="3:20" x14ac:dyDescent="0.35">
      <c r="C4981" s="15" t="s">
        <v>8</v>
      </c>
      <c r="E4981" s="15" t="s">
        <v>8</v>
      </c>
      <c r="H4981" s="15" t="s">
        <v>8</v>
      </c>
      <c r="I4981" s="15" t="s">
        <v>8</v>
      </c>
      <c r="L4981" s="15" t="s">
        <v>8</v>
      </c>
      <c r="N4981" s="8" t="s">
        <v>6</v>
      </c>
    </row>
    <row r="4982" spans="3:20" x14ac:dyDescent="0.35">
      <c r="C4982" s="15" t="s">
        <v>8</v>
      </c>
      <c r="E4982" s="15" t="s">
        <v>8</v>
      </c>
      <c r="H4982" s="15" t="s">
        <v>8</v>
      </c>
      <c r="I4982" s="15" t="s">
        <v>8</v>
      </c>
      <c r="L4982" s="15" t="s">
        <v>8</v>
      </c>
      <c r="N4982" s="20" t="str">
        <f>HYPERLINK("http://yeinfo.com/family/I09005666.html", "MARY\MARIE ROBERTS &lt;2&gt; 1575 EN-1595  ID:09005667")</f>
        <v>MARY\MARIE ROBERTS &lt;2&gt; 1575 EN-1595  ID:09005667</v>
      </c>
      <c r="O4982" s="17"/>
      <c r="P4982" s="17"/>
      <c r="Q4982" s="17"/>
      <c r="R4982" s="17"/>
      <c r="S4982" s="17"/>
    </row>
    <row r="4983" spans="3:20" x14ac:dyDescent="0.35">
      <c r="C4983" s="15" t="s">
        <v>8</v>
      </c>
      <c r="E4983" s="15" t="s">
        <v>8</v>
      </c>
      <c r="H4983" s="15" t="s">
        <v>8</v>
      </c>
      <c r="I4983" s="15" t="s">
        <v>8</v>
      </c>
      <c r="L4983" s="15" t="s">
        <v>8</v>
      </c>
    </row>
    <row r="4984" spans="3:20" x14ac:dyDescent="0.35">
      <c r="C4984" s="15" t="s">
        <v>8</v>
      </c>
      <c r="E4984" s="15" t="s">
        <v>8</v>
      </c>
      <c r="H4984" s="15" t="s">
        <v>8</v>
      </c>
      <c r="I4984" s="15" t="s">
        <v>8</v>
      </c>
      <c r="K4984" s="5" t="str">
        <f>HYPERLINK("http://yeinfo.com/family/I09000354.html", "JOHN HOUGHTON &lt;2&gt; 1650 MA-1737  ID:09000708")</f>
        <v>JOHN HOUGHTON &lt;2&gt; 1650 MA-1737  ID:09000708</v>
      </c>
      <c r="L4984" s="3"/>
      <c r="M4984" s="3"/>
      <c r="N4984" s="3"/>
      <c r="O4984" s="3"/>
    </row>
    <row r="4985" spans="3:20" x14ac:dyDescent="0.35">
      <c r="C4985" s="15" t="s">
        <v>8</v>
      </c>
      <c r="E4985" s="15" t="s">
        <v>8</v>
      </c>
      <c r="H4985" s="15" t="s">
        <v>8</v>
      </c>
      <c r="I4985" s="15" t="s">
        <v>8</v>
      </c>
      <c r="K4985" s="8" t="s">
        <v>3</v>
      </c>
      <c r="L4985" s="8" t="s">
        <v>6</v>
      </c>
    </row>
    <row r="4986" spans="3:20" x14ac:dyDescent="0.35">
      <c r="C4986" s="15" t="s">
        <v>8</v>
      </c>
      <c r="E4986" s="15" t="s">
        <v>8</v>
      </c>
      <c r="H4986" s="15" t="s">
        <v>8</v>
      </c>
      <c r="I4986" s="15" t="s">
        <v>8</v>
      </c>
      <c r="K4986" s="15" t="s">
        <v>8</v>
      </c>
      <c r="L4986" s="22" t="str">
        <f>HYPERLINK("http://yeinfo.com/family/I09005667.html", "BEATRIX WALKER &lt;2&gt; 1625 EN-1711 MA ID:09001417")</f>
        <v>BEATRIX WALKER &lt;2&gt; 1625 EN-1711 MA ID:09001417</v>
      </c>
      <c r="M4986" s="13"/>
      <c r="N4986" s="13"/>
      <c r="O4986" s="13"/>
      <c r="P4986" s="13"/>
    </row>
    <row r="4987" spans="3:20" x14ac:dyDescent="0.35">
      <c r="C4987" s="15" t="s">
        <v>8</v>
      </c>
      <c r="E4987" s="15" t="s">
        <v>8</v>
      </c>
      <c r="H4987" s="15" t="s">
        <v>8</v>
      </c>
      <c r="I4987" s="15" t="s">
        <v>8</v>
      </c>
      <c r="K4987" s="15" t="s">
        <v>8</v>
      </c>
    </row>
    <row r="4988" spans="3:20" x14ac:dyDescent="0.35">
      <c r="C4988" s="15" t="s">
        <v>8</v>
      </c>
      <c r="E4988" s="15" t="s">
        <v>8</v>
      </c>
      <c r="H4988" s="15" t="s">
        <v>8</v>
      </c>
      <c r="I4988" s="15" t="s">
        <v>8</v>
      </c>
      <c r="J4988" s="5" t="str">
        <f>HYPERLINK("http://yeinfo.com/family/I09000177.html", "JONATHAN HOUGHTON 1685 MA-1737 MA ID:09000354")</f>
        <v>JONATHAN HOUGHTON 1685 MA-1737 MA ID:09000354</v>
      </c>
      <c r="K4988" s="3"/>
      <c r="L4988" s="3"/>
      <c r="M4988" s="3"/>
      <c r="N4988" s="3"/>
    </row>
    <row r="4989" spans="3:20" x14ac:dyDescent="0.35">
      <c r="C4989" s="15" t="s">
        <v>8</v>
      </c>
      <c r="E4989" s="15" t="s">
        <v>8</v>
      </c>
      <c r="H4989" s="15" t="s">
        <v>8</v>
      </c>
      <c r="I4989" s="15" t="s">
        <v>8</v>
      </c>
      <c r="J4989" s="8" t="s">
        <v>3</v>
      </c>
      <c r="K4989" s="15" t="s">
        <v>8</v>
      </c>
    </row>
    <row r="4990" spans="3:20" x14ac:dyDescent="0.35">
      <c r="C4990" s="15" t="s">
        <v>8</v>
      </c>
      <c r="E4990" s="15" t="s">
        <v>8</v>
      </c>
      <c r="H4990" s="15" t="s">
        <v>8</v>
      </c>
      <c r="I4990" s="15" t="s">
        <v>8</v>
      </c>
      <c r="J4990" s="15" t="s">
        <v>8</v>
      </c>
      <c r="K4990" s="15" t="s">
        <v>8</v>
      </c>
      <c r="P4990" s="19" t="str">
        <f>HYPERLINK("http://yeinfo.com/family/I09011344.html", "HENRY FARRAR &lt;2&gt; 1492 EN-1549 EN ID:09022688")</f>
        <v>HENRY FARRAR &lt;2&gt; 1492 EN-1549 EN ID:09022688</v>
      </c>
      <c r="Q4990" s="9"/>
      <c r="R4990" s="9"/>
      <c r="S4990" s="9"/>
      <c r="T4990" s="9"/>
    </row>
    <row r="4991" spans="3:20" x14ac:dyDescent="0.35">
      <c r="C4991" s="15" t="s">
        <v>8</v>
      </c>
      <c r="E4991" s="15" t="s">
        <v>8</v>
      </c>
      <c r="H4991" s="15" t="s">
        <v>8</v>
      </c>
      <c r="I4991" s="15" t="s">
        <v>8</v>
      </c>
      <c r="J4991" s="15" t="s">
        <v>8</v>
      </c>
      <c r="K4991" s="15" t="s">
        <v>8</v>
      </c>
      <c r="P4991" s="8" t="s">
        <v>3</v>
      </c>
    </row>
    <row r="4992" spans="3:20" x14ac:dyDescent="0.35">
      <c r="C4992" s="15" t="s">
        <v>8</v>
      </c>
      <c r="E4992" s="15" t="s">
        <v>8</v>
      </c>
      <c r="H4992" s="15" t="s">
        <v>8</v>
      </c>
      <c r="I4992" s="15" t="s">
        <v>8</v>
      </c>
      <c r="J4992" s="15" t="s">
        <v>8</v>
      </c>
      <c r="K4992" s="15" t="s">
        <v>8</v>
      </c>
      <c r="O4992" s="19" t="str">
        <f>HYPERLINK("http://yeinfo.com/family/I09005672.html", "HENRY FARRAR &lt;2&gt; 1520 EN-1575 EN ID:09011344")</f>
        <v>HENRY FARRAR &lt;2&gt; 1520 EN-1575 EN ID:09011344</v>
      </c>
      <c r="P4992" s="9"/>
      <c r="Q4992" s="9"/>
      <c r="R4992" s="9"/>
      <c r="S4992" s="9"/>
    </row>
    <row r="4993" spans="3:28" x14ac:dyDescent="0.35">
      <c r="C4993" s="15" t="s">
        <v>8</v>
      </c>
      <c r="E4993" s="15" t="s">
        <v>8</v>
      </c>
      <c r="H4993" s="15" t="s">
        <v>8</v>
      </c>
      <c r="I4993" s="15" t="s">
        <v>8</v>
      </c>
      <c r="J4993" s="15" t="s">
        <v>8</v>
      </c>
      <c r="K4993" s="15" t="s">
        <v>8</v>
      </c>
      <c r="O4993" s="8" t="s">
        <v>3</v>
      </c>
      <c r="P4993" s="15" t="s">
        <v>8</v>
      </c>
    </row>
    <row r="4994" spans="3:28" x14ac:dyDescent="0.35">
      <c r="C4994" s="15" t="s">
        <v>8</v>
      </c>
      <c r="E4994" s="15" t="s">
        <v>8</v>
      </c>
      <c r="H4994" s="15" t="s">
        <v>8</v>
      </c>
      <c r="I4994" s="15" t="s">
        <v>8</v>
      </c>
      <c r="J4994" s="15" t="s">
        <v>8</v>
      </c>
      <c r="K4994" s="15" t="s">
        <v>8</v>
      </c>
      <c r="O4994" s="15" t="s">
        <v>8</v>
      </c>
      <c r="P4994" s="15" t="s">
        <v>8</v>
      </c>
      <c r="S4994" s="19" t="str">
        <f>HYPERLINK("http://yeinfo.com/family/I09065653.html", "THOMAS HORSFAL &lt;2&gt; 1420 EN-1480 EN ID:09065783")</f>
        <v>THOMAS HORSFAL &lt;2&gt; 1420 EN-1480 EN ID:09065783</v>
      </c>
      <c r="T4994" s="9"/>
      <c r="U4994" s="9"/>
      <c r="V4994" s="9"/>
      <c r="W4994" s="9"/>
    </row>
    <row r="4995" spans="3:28" x14ac:dyDescent="0.35">
      <c r="C4995" s="15" t="s">
        <v>8</v>
      </c>
      <c r="E4995" s="15" t="s">
        <v>8</v>
      </c>
      <c r="H4995" s="15" t="s">
        <v>8</v>
      </c>
      <c r="I4995" s="15" t="s">
        <v>8</v>
      </c>
      <c r="J4995" s="15" t="s">
        <v>8</v>
      </c>
      <c r="K4995" s="15" t="s">
        <v>8</v>
      </c>
      <c r="O4995" s="15" t="s">
        <v>8</v>
      </c>
      <c r="P4995" s="15" t="s">
        <v>8</v>
      </c>
      <c r="S4995" s="8" t="s">
        <v>3</v>
      </c>
    </row>
    <row r="4996" spans="3:28" x14ac:dyDescent="0.35">
      <c r="C4996" s="15" t="s">
        <v>8</v>
      </c>
      <c r="E4996" s="15" t="s">
        <v>8</v>
      </c>
      <c r="H4996" s="15" t="s">
        <v>8</v>
      </c>
      <c r="I4996" s="15" t="s">
        <v>8</v>
      </c>
      <c r="J4996" s="15" t="s">
        <v>8</v>
      </c>
      <c r="K4996" s="15" t="s">
        <v>8</v>
      </c>
      <c r="O4996" s="15" t="s">
        <v>8</v>
      </c>
      <c r="P4996" s="15" t="s">
        <v>8</v>
      </c>
      <c r="R4996" s="19" t="str">
        <f>HYPERLINK("http://yeinfo.com/family/I09045378.html", "JOHN FRANK HORSFAL &lt;2&gt; 1441 EN-1547 EN ID:09065653")</f>
        <v>JOHN FRANK HORSFAL &lt;2&gt; 1441 EN-1547 EN ID:09065653</v>
      </c>
      <c r="S4996" s="9"/>
      <c r="T4996" s="9"/>
      <c r="U4996" s="9"/>
      <c r="V4996" s="9"/>
    </row>
    <row r="4997" spans="3:28" x14ac:dyDescent="0.35">
      <c r="C4997" s="15" t="s">
        <v>8</v>
      </c>
      <c r="E4997" s="15" t="s">
        <v>8</v>
      </c>
      <c r="H4997" s="15" t="s">
        <v>8</v>
      </c>
      <c r="I4997" s="15" t="s">
        <v>8</v>
      </c>
      <c r="J4997" s="15" t="s">
        <v>8</v>
      </c>
      <c r="K4997" s="15" t="s">
        <v>8</v>
      </c>
      <c r="O4997" s="15" t="s">
        <v>8</v>
      </c>
      <c r="P4997" s="15" t="s">
        <v>8</v>
      </c>
      <c r="R4997" s="8" t="s">
        <v>3</v>
      </c>
      <c r="S4997" s="8" t="s">
        <v>6</v>
      </c>
    </row>
    <row r="4998" spans="3:28" x14ac:dyDescent="0.35">
      <c r="C4998" s="15" t="s">
        <v>8</v>
      </c>
      <c r="E4998" s="15" t="s">
        <v>8</v>
      </c>
      <c r="H4998" s="15" t="s">
        <v>8</v>
      </c>
      <c r="I4998" s="15" t="s">
        <v>8</v>
      </c>
      <c r="J4998" s="15" t="s">
        <v>8</v>
      </c>
      <c r="K4998" s="15" t="s">
        <v>8</v>
      </c>
      <c r="O4998" s="15" t="s">
        <v>8</v>
      </c>
      <c r="P4998" s="15" t="s">
        <v>8</v>
      </c>
      <c r="R4998" s="15" t="s">
        <v>8</v>
      </c>
      <c r="S4998" s="20" t="str">
        <f>HYPERLINK("http://yeinfo.com/family/I09065783.html", "JANETT DRYVER &lt;2&gt; 1420 EN-1490 EN ID:09065777")</f>
        <v>JANETT DRYVER &lt;2&gt; 1420 EN-1490 EN ID:09065777</v>
      </c>
      <c r="T4998" s="17"/>
      <c r="U4998" s="17"/>
      <c r="V4998" s="17"/>
      <c r="W4998" s="17"/>
    </row>
    <row r="4999" spans="3:28" x14ac:dyDescent="0.35">
      <c r="C4999" s="15" t="s">
        <v>8</v>
      </c>
      <c r="E4999" s="15" t="s">
        <v>8</v>
      </c>
      <c r="H4999" s="15" t="s">
        <v>8</v>
      </c>
      <c r="I4999" s="15" t="s">
        <v>8</v>
      </c>
      <c r="J4999" s="15" t="s">
        <v>8</v>
      </c>
      <c r="K4999" s="15" t="s">
        <v>8</v>
      </c>
      <c r="O4999" s="15" t="s">
        <v>8</v>
      </c>
      <c r="P4999" s="15" t="s">
        <v>8</v>
      </c>
      <c r="R4999" s="15" t="s">
        <v>8</v>
      </c>
    </row>
    <row r="5000" spans="3:28" x14ac:dyDescent="0.35">
      <c r="C5000" s="15" t="s">
        <v>8</v>
      </c>
      <c r="E5000" s="15" t="s">
        <v>8</v>
      </c>
      <c r="H5000" s="15" t="s">
        <v>8</v>
      </c>
      <c r="I5000" s="15" t="s">
        <v>8</v>
      </c>
      <c r="J5000" s="15" t="s">
        <v>8</v>
      </c>
      <c r="K5000" s="15" t="s">
        <v>8</v>
      </c>
      <c r="O5000" s="15" t="s">
        <v>8</v>
      </c>
      <c r="P5000" s="15" t="s">
        <v>8</v>
      </c>
      <c r="Q5000" s="19" t="str">
        <f>HYPERLINK("http://yeinfo.com/family/I09022689.html", "WILLIAM JOHN HORSFAL &lt;2&gt; 1462 EN-1548 EN ID:09045378")</f>
        <v>WILLIAM JOHN HORSFAL &lt;2&gt; 1462 EN-1548 EN ID:09045378</v>
      </c>
      <c r="R5000" s="9"/>
      <c r="S5000" s="9"/>
      <c r="T5000" s="9"/>
      <c r="U5000" s="9"/>
    </row>
    <row r="5001" spans="3:28" x14ac:dyDescent="0.35">
      <c r="C5001" s="15" t="s">
        <v>8</v>
      </c>
      <c r="E5001" s="15" t="s">
        <v>8</v>
      </c>
      <c r="H5001" s="15" t="s">
        <v>8</v>
      </c>
      <c r="I5001" s="15" t="s">
        <v>8</v>
      </c>
      <c r="J5001" s="15" t="s">
        <v>8</v>
      </c>
      <c r="K5001" s="15" t="s">
        <v>8</v>
      </c>
      <c r="O5001" s="15" t="s">
        <v>8</v>
      </c>
      <c r="P5001" s="15" t="s">
        <v>8</v>
      </c>
      <c r="Q5001" s="8" t="s">
        <v>3</v>
      </c>
      <c r="R5001" s="15" t="s">
        <v>8</v>
      </c>
    </row>
    <row r="5002" spans="3:28" x14ac:dyDescent="0.35">
      <c r="C5002" s="15" t="s">
        <v>8</v>
      </c>
      <c r="E5002" s="15" t="s">
        <v>8</v>
      </c>
      <c r="H5002" s="15" t="s">
        <v>8</v>
      </c>
      <c r="I5002" s="15" t="s">
        <v>8</v>
      </c>
      <c r="J5002" s="15" t="s">
        <v>8</v>
      </c>
      <c r="K5002" s="15" t="s">
        <v>8</v>
      </c>
      <c r="O5002" s="15" t="s">
        <v>8</v>
      </c>
      <c r="P5002" s="15" t="s">
        <v>8</v>
      </c>
      <c r="Q5002" s="15" t="s">
        <v>8</v>
      </c>
      <c r="R5002" s="15" t="s">
        <v>8</v>
      </c>
      <c r="X5002" s="19" t="str">
        <f>HYPERLINK("http://yeinfo.com/family/I09066440.html", "MATTHEW BARCROFT &lt;2&gt; 1291 EN-1322 EN ID:09066776")</f>
        <v>MATTHEW BARCROFT &lt;2&gt; 1291 EN-1322 EN ID:09066776</v>
      </c>
      <c r="Y5002" s="9"/>
      <c r="Z5002" s="9"/>
      <c r="AA5002" s="9"/>
      <c r="AB5002" s="9"/>
    </row>
    <row r="5003" spans="3:28" x14ac:dyDescent="0.35">
      <c r="C5003" s="15" t="s">
        <v>8</v>
      </c>
      <c r="E5003" s="15" t="s">
        <v>8</v>
      </c>
      <c r="H5003" s="15" t="s">
        <v>8</v>
      </c>
      <c r="I5003" s="15" t="s">
        <v>8</v>
      </c>
      <c r="J5003" s="15" t="s">
        <v>8</v>
      </c>
      <c r="K5003" s="15" t="s">
        <v>8</v>
      </c>
      <c r="O5003" s="15" t="s">
        <v>8</v>
      </c>
      <c r="P5003" s="15" t="s">
        <v>8</v>
      </c>
      <c r="Q5003" s="15" t="s">
        <v>8</v>
      </c>
      <c r="R5003" s="15" t="s">
        <v>8</v>
      </c>
      <c r="X5003" s="8" t="s">
        <v>3</v>
      </c>
    </row>
    <row r="5004" spans="3:28" x14ac:dyDescent="0.35">
      <c r="C5004" s="15" t="s">
        <v>8</v>
      </c>
      <c r="E5004" s="15" t="s">
        <v>8</v>
      </c>
      <c r="H5004" s="15" t="s">
        <v>8</v>
      </c>
      <c r="I5004" s="15" t="s">
        <v>8</v>
      </c>
      <c r="J5004" s="15" t="s">
        <v>8</v>
      </c>
      <c r="K5004" s="15" t="s">
        <v>8</v>
      </c>
      <c r="O5004" s="15" t="s">
        <v>8</v>
      </c>
      <c r="P5004" s="15" t="s">
        <v>8</v>
      </c>
      <c r="Q5004" s="15" t="s">
        <v>8</v>
      </c>
      <c r="R5004" s="15" t="s">
        <v>8</v>
      </c>
      <c r="W5004" s="19" t="str">
        <f>HYPERLINK("http://yeinfo.com/family/I09066278.html", "RICHARD BARCROFT &lt;2&gt; 1322 EN-1348 EN ID:09066440")</f>
        <v>RICHARD BARCROFT &lt;2&gt; 1322 EN-1348 EN ID:09066440</v>
      </c>
      <c r="X5004" s="9"/>
      <c r="Y5004" s="9"/>
      <c r="Z5004" s="9"/>
      <c r="AA5004" s="9"/>
    </row>
    <row r="5005" spans="3:28" x14ac:dyDescent="0.35">
      <c r="C5005" s="15" t="s">
        <v>8</v>
      </c>
      <c r="E5005" s="15" t="s">
        <v>8</v>
      </c>
      <c r="H5005" s="15" t="s">
        <v>8</v>
      </c>
      <c r="I5005" s="15" t="s">
        <v>8</v>
      </c>
      <c r="J5005" s="15" t="s">
        <v>8</v>
      </c>
      <c r="K5005" s="15" t="s">
        <v>8</v>
      </c>
      <c r="O5005" s="15" t="s">
        <v>8</v>
      </c>
      <c r="P5005" s="15" t="s">
        <v>8</v>
      </c>
      <c r="Q5005" s="15" t="s">
        <v>8</v>
      </c>
      <c r="R5005" s="15" t="s">
        <v>8</v>
      </c>
      <c r="W5005" s="8" t="s">
        <v>3</v>
      </c>
      <c r="X5005" s="8" t="s">
        <v>6</v>
      </c>
    </row>
    <row r="5006" spans="3:28" x14ac:dyDescent="0.35">
      <c r="C5006" s="15" t="s">
        <v>8</v>
      </c>
      <c r="E5006" s="15" t="s">
        <v>8</v>
      </c>
      <c r="H5006" s="15" t="s">
        <v>8</v>
      </c>
      <c r="I5006" s="15" t="s">
        <v>8</v>
      </c>
      <c r="J5006" s="15" t="s">
        <v>8</v>
      </c>
      <c r="K5006" s="15" t="s">
        <v>8</v>
      </c>
      <c r="O5006" s="15" t="s">
        <v>8</v>
      </c>
      <c r="P5006" s="15" t="s">
        <v>8</v>
      </c>
      <c r="Q5006" s="15" t="s">
        <v>8</v>
      </c>
      <c r="R5006" s="15" t="s">
        <v>8</v>
      </c>
      <c r="W5006" s="15" t="s">
        <v>8</v>
      </c>
      <c r="X5006" s="20" t="str">
        <f>HYPERLINK("http://yeinfo.com/family/I09066776.html", "Mrs. {_?_} BARCROFT &lt;2&gt; 1295 EN-1348 EN ID:09066775")</f>
        <v>Mrs. {_?_} BARCROFT &lt;2&gt; 1295 EN-1348 EN ID:09066775</v>
      </c>
      <c r="Y5006" s="17"/>
      <c r="Z5006" s="17"/>
      <c r="AA5006" s="17"/>
      <c r="AB5006" s="17"/>
    </row>
    <row r="5007" spans="3:28" x14ac:dyDescent="0.35">
      <c r="C5007" s="15" t="s">
        <v>8</v>
      </c>
      <c r="E5007" s="15" t="s">
        <v>8</v>
      </c>
      <c r="H5007" s="15" t="s">
        <v>8</v>
      </c>
      <c r="I5007" s="15" t="s">
        <v>8</v>
      </c>
      <c r="J5007" s="15" t="s">
        <v>8</v>
      </c>
      <c r="K5007" s="15" t="s">
        <v>8</v>
      </c>
      <c r="O5007" s="15" t="s">
        <v>8</v>
      </c>
      <c r="P5007" s="15" t="s">
        <v>8</v>
      </c>
      <c r="Q5007" s="15" t="s">
        <v>8</v>
      </c>
      <c r="R5007" s="15" t="s">
        <v>8</v>
      </c>
      <c r="W5007" s="15" t="s">
        <v>8</v>
      </c>
    </row>
    <row r="5008" spans="3:28" x14ac:dyDescent="0.35">
      <c r="C5008" s="15" t="s">
        <v>8</v>
      </c>
      <c r="E5008" s="15" t="s">
        <v>8</v>
      </c>
      <c r="H5008" s="15" t="s">
        <v>8</v>
      </c>
      <c r="I5008" s="15" t="s">
        <v>8</v>
      </c>
      <c r="J5008" s="15" t="s">
        <v>8</v>
      </c>
      <c r="K5008" s="15" t="s">
        <v>8</v>
      </c>
      <c r="O5008" s="15" t="s">
        <v>8</v>
      </c>
      <c r="P5008" s="15" t="s">
        <v>8</v>
      </c>
      <c r="Q5008" s="15" t="s">
        <v>8</v>
      </c>
      <c r="R5008" s="15" t="s">
        <v>8</v>
      </c>
      <c r="V5008" s="19" t="str">
        <f>HYPERLINK("http://yeinfo.com/family/I09066078.html", "MATTHEW BARCROFT &lt;2&gt; 1348 EN-1382 EN ID:09066278")</f>
        <v>MATTHEW BARCROFT &lt;2&gt; 1348 EN-1382 EN ID:09066278</v>
      </c>
      <c r="W5008" s="9"/>
      <c r="X5008" s="9"/>
      <c r="Y5008" s="9"/>
      <c r="Z5008" s="9"/>
    </row>
    <row r="5009" spans="3:27" x14ac:dyDescent="0.35">
      <c r="C5009" s="15" t="s">
        <v>8</v>
      </c>
      <c r="E5009" s="15" t="s">
        <v>8</v>
      </c>
      <c r="H5009" s="15" t="s">
        <v>8</v>
      </c>
      <c r="I5009" s="15" t="s">
        <v>8</v>
      </c>
      <c r="J5009" s="15" t="s">
        <v>8</v>
      </c>
      <c r="K5009" s="15" t="s">
        <v>8</v>
      </c>
      <c r="O5009" s="15" t="s">
        <v>8</v>
      </c>
      <c r="P5009" s="15" t="s">
        <v>8</v>
      </c>
      <c r="Q5009" s="15" t="s">
        <v>8</v>
      </c>
      <c r="R5009" s="15" t="s">
        <v>8</v>
      </c>
      <c r="V5009" s="8" t="s">
        <v>3</v>
      </c>
      <c r="W5009" s="8" t="s">
        <v>6</v>
      </c>
    </row>
    <row r="5010" spans="3:27" x14ac:dyDescent="0.35">
      <c r="C5010" s="15" t="s">
        <v>8</v>
      </c>
      <c r="E5010" s="15" t="s">
        <v>8</v>
      </c>
      <c r="H5010" s="15" t="s">
        <v>8</v>
      </c>
      <c r="I5010" s="15" t="s">
        <v>8</v>
      </c>
      <c r="J5010" s="15" t="s">
        <v>8</v>
      </c>
      <c r="K5010" s="15" t="s">
        <v>8</v>
      </c>
      <c r="O5010" s="15" t="s">
        <v>8</v>
      </c>
      <c r="P5010" s="15" t="s">
        <v>8</v>
      </c>
      <c r="Q5010" s="15" t="s">
        <v>8</v>
      </c>
      <c r="R5010" s="15" t="s">
        <v>8</v>
      </c>
      <c r="V5010" s="15" t="s">
        <v>8</v>
      </c>
      <c r="W5010" s="20" t="str">
        <f>HYPERLINK("http://yeinfo.com/family/I09066775.html", "Mrs. {_?_} BARCROFT &lt;2&gt; 1326 EN-1348 EN ID:09066439")</f>
        <v>Mrs. {_?_} BARCROFT &lt;2&gt; 1326 EN-1348 EN ID:09066439</v>
      </c>
      <c r="X5010" s="17"/>
      <c r="Y5010" s="17"/>
      <c r="Z5010" s="17"/>
      <c r="AA5010" s="17"/>
    </row>
    <row r="5011" spans="3:27" x14ac:dyDescent="0.35">
      <c r="C5011" s="15" t="s">
        <v>8</v>
      </c>
      <c r="E5011" s="15" t="s">
        <v>8</v>
      </c>
      <c r="H5011" s="15" t="s">
        <v>8</v>
      </c>
      <c r="I5011" s="15" t="s">
        <v>8</v>
      </c>
      <c r="J5011" s="15" t="s">
        <v>8</v>
      </c>
      <c r="K5011" s="15" t="s">
        <v>8</v>
      </c>
      <c r="O5011" s="15" t="s">
        <v>8</v>
      </c>
      <c r="P5011" s="15" t="s">
        <v>8</v>
      </c>
      <c r="Q5011" s="15" t="s">
        <v>8</v>
      </c>
      <c r="R5011" s="15" t="s">
        <v>8</v>
      </c>
      <c r="V5011" s="15" t="s">
        <v>8</v>
      </c>
    </row>
    <row r="5012" spans="3:27" x14ac:dyDescent="0.35">
      <c r="C5012" s="15" t="s">
        <v>8</v>
      </c>
      <c r="E5012" s="15" t="s">
        <v>8</v>
      </c>
      <c r="H5012" s="15" t="s">
        <v>8</v>
      </c>
      <c r="I5012" s="15" t="s">
        <v>8</v>
      </c>
      <c r="J5012" s="15" t="s">
        <v>8</v>
      </c>
      <c r="K5012" s="15" t="s">
        <v>8</v>
      </c>
      <c r="O5012" s="15" t="s">
        <v>8</v>
      </c>
      <c r="P5012" s="15" t="s">
        <v>8</v>
      </c>
      <c r="Q5012" s="15" t="s">
        <v>8</v>
      </c>
      <c r="R5012" s="15" t="s">
        <v>8</v>
      </c>
      <c r="U5012" s="19" t="str">
        <f>HYPERLINK("http://yeinfo.com/family/I09065914.html", "WILLIAM BARCROFT &lt;2&gt; 1382 EN-1426 EN ID:09066078")</f>
        <v>WILLIAM BARCROFT &lt;2&gt; 1382 EN-1426 EN ID:09066078</v>
      </c>
      <c r="V5012" s="9"/>
      <c r="W5012" s="9"/>
      <c r="X5012" s="9"/>
      <c r="Y5012" s="9"/>
    </row>
    <row r="5013" spans="3:27" x14ac:dyDescent="0.35">
      <c r="C5013" s="15" t="s">
        <v>8</v>
      </c>
      <c r="E5013" s="15" t="s">
        <v>8</v>
      </c>
      <c r="H5013" s="15" t="s">
        <v>8</v>
      </c>
      <c r="I5013" s="15" t="s">
        <v>8</v>
      </c>
      <c r="J5013" s="15" t="s">
        <v>8</v>
      </c>
      <c r="K5013" s="15" t="s">
        <v>8</v>
      </c>
      <c r="O5013" s="15" t="s">
        <v>8</v>
      </c>
      <c r="P5013" s="15" t="s">
        <v>8</v>
      </c>
      <c r="Q5013" s="15" t="s">
        <v>8</v>
      </c>
      <c r="R5013" s="15" t="s">
        <v>8</v>
      </c>
      <c r="U5013" s="8" t="s">
        <v>3</v>
      </c>
      <c r="V5013" s="8" t="s">
        <v>6</v>
      </c>
    </row>
    <row r="5014" spans="3:27" x14ac:dyDescent="0.35">
      <c r="C5014" s="15" t="s">
        <v>8</v>
      </c>
      <c r="E5014" s="15" t="s">
        <v>8</v>
      </c>
      <c r="H5014" s="15" t="s">
        <v>8</v>
      </c>
      <c r="I5014" s="15" t="s">
        <v>8</v>
      </c>
      <c r="J5014" s="15" t="s">
        <v>8</v>
      </c>
      <c r="K5014" s="15" t="s">
        <v>8</v>
      </c>
      <c r="O5014" s="15" t="s">
        <v>8</v>
      </c>
      <c r="P5014" s="15" t="s">
        <v>8</v>
      </c>
      <c r="Q5014" s="15" t="s">
        <v>8</v>
      </c>
      <c r="R5014" s="15" t="s">
        <v>8</v>
      </c>
      <c r="U5014" s="15" t="s">
        <v>8</v>
      </c>
      <c r="V5014" s="20" t="str">
        <f>HYPERLINK("http://yeinfo.com/family/I09066439.html", "Mrs. ELEANOR BARCROFT &lt;2&gt; 1350 EN-1382 EN ID:09066277")</f>
        <v>Mrs. ELEANOR BARCROFT &lt;2&gt; 1350 EN-1382 EN ID:09066277</v>
      </c>
      <c r="W5014" s="17"/>
      <c r="X5014" s="17"/>
      <c r="Y5014" s="17"/>
      <c r="Z5014" s="17"/>
    </row>
    <row r="5015" spans="3:27" x14ac:dyDescent="0.35">
      <c r="C5015" s="15" t="s">
        <v>8</v>
      </c>
      <c r="E5015" s="15" t="s">
        <v>8</v>
      </c>
      <c r="H5015" s="15" t="s">
        <v>8</v>
      </c>
      <c r="I5015" s="15" t="s">
        <v>8</v>
      </c>
      <c r="J5015" s="15" t="s">
        <v>8</v>
      </c>
      <c r="K5015" s="15" t="s">
        <v>8</v>
      </c>
      <c r="O5015" s="15" t="s">
        <v>8</v>
      </c>
      <c r="P5015" s="15" t="s">
        <v>8</v>
      </c>
      <c r="Q5015" s="15" t="s">
        <v>8</v>
      </c>
      <c r="R5015" s="15" t="s">
        <v>8</v>
      </c>
      <c r="U5015" s="15" t="s">
        <v>8</v>
      </c>
    </row>
    <row r="5016" spans="3:27" x14ac:dyDescent="0.35">
      <c r="C5016" s="15" t="s">
        <v>8</v>
      </c>
      <c r="E5016" s="15" t="s">
        <v>8</v>
      </c>
      <c r="H5016" s="15" t="s">
        <v>8</v>
      </c>
      <c r="I5016" s="15" t="s">
        <v>8</v>
      </c>
      <c r="J5016" s="15" t="s">
        <v>8</v>
      </c>
      <c r="K5016" s="15" t="s">
        <v>8</v>
      </c>
      <c r="O5016" s="15" t="s">
        <v>8</v>
      </c>
      <c r="P5016" s="15" t="s">
        <v>8</v>
      </c>
      <c r="Q5016" s="15" t="s">
        <v>8</v>
      </c>
      <c r="R5016" s="15" t="s">
        <v>8</v>
      </c>
      <c r="T5016" s="19" t="str">
        <f>HYPERLINK("http://yeinfo.com/family/I09065770.html", "THOMAS BARCROFT &lt;2&gt; 1406 EN-1458 EN ID:09065914")</f>
        <v>THOMAS BARCROFT &lt;2&gt; 1406 EN-1458 EN ID:09065914</v>
      </c>
      <c r="U5016" s="9"/>
      <c r="V5016" s="9"/>
      <c r="W5016" s="9"/>
      <c r="X5016" s="9"/>
    </row>
    <row r="5017" spans="3:27" x14ac:dyDescent="0.35">
      <c r="C5017" s="15" t="s">
        <v>8</v>
      </c>
      <c r="E5017" s="15" t="s">
        <v>8</v>
      </c>
      <c r="H5017" s="15" t="s">
        <v>8</v>
      </c>
      <c r="I5017" s="15" t="s">
        <v>8</v>
      </c>
      <c r="J5017" s="15" t="s">
        <v>8</v>
      </c>
      <c r="K5017" s="15" t="s">
        <v>8</v>
      </c>
      <c r="O5017" s="15" t="s">
        <v>8</v>
      </c>
      <c r="P5017" s="15" t="s">
        <v>8</v>
      </c>
      <c r="Q5017" s="15" t="s">
        <v>8</v>
      </c>
      <c r="R5017" s="15" t="s">
        <v>8</v>
      </c>
      <c r="T5017" s="8" t="s">
        <v>3</v>
      </c>
      <c r="U5017" s="8" t="s">
        <v>6</v>
      </c>
    </row>
    <row r="5018" spans="3:27" x14ac:dyDescent="0.35">
      <c r="C5018" s="15" t="s">
        <v>8</v>
      </c>
      <c r="E5018" s="15" t="s">
        <v>8</v>
      </c>
      <c r="H5018" s="15" t="s">
        <v>8</v>
      </c>
      <c r="I5018" s="15" t="s">
        <v>8</v>
      </c>
      <c r="J5018" s="15" t="s">
        <v>8</v>
      </c>
      <c r="K5018" s="15" t="s">
        <v>8</v>
      </c>
      <c r="O5018" s="15" t="s">
        <v>8</v>
      </c>
      <c r="P5018" s="15" t="s">
        <v>8</v>
      </c>
      <c r="Q5018" s="15" t="s">
        <v>8</v>
      </c>
      <c r="R5018" s="15" t="s">
        <v>8</v>
      </c>
      <c r="T5018" s="15" t="s">
        <v>8</v>
      </c>
      <c r="U5018" s="20" t="str">
        <f>HYPERLINK("http://yeinfo.com/family/I09066277.html", "Mrs. {_?_} BARCROFT &lt;2&gt; 1378 EN-1406 EN ID:09066077")</f>
        <v>Mrs. {_?_} BARCROFT &lt;2&gt; 1378 EN-1406 EN ID:09066077</v>
      </c>
      <c r="V5018" s="17"/>
      <c r="W5018" s="17"/>
      <c r="X5018" s="17"/>
      <c r="Y5018" s="17"/>
    </row>
    <row r="5019" spans="3:27" x14ac:dyDescent="0.35">
      <c r="C5019" s="15" t="s">
        <v>8</v>
      </c>
      <c r="E5019" s="15" t="s">
        <v>8</v>
      </c>
      <c r="H5019" s="15" t="s">
        <v>8</v>
      </c>
      <c r="I5019" s="15" t="s">
        <v>8</v>
      </c>
      <c r="J5019" s="15" t="s">
        <v>8</v>
      </c>
      <c r="K5019" s="15" t="s">
        <v>8</v>
      </c>
      <c r="O5019" s="15" t="s">
        <v>8</v>
      </c>
      <c r="P5019" s="15" t="s">
        <v>8</v>
      </c>
      <c r="Q5019" s="15" t="s">
        <v>8</v>
      </c>
      <c r="R5019" s="15" t="s">
        <v>8</v>
      </c>
      <c r="T5019" s="15" t="s">
        <v>8</v>
      </c>
    </row>
    <row r="5020" spans="3:27" x14ac:dyDescent="0.35">
      <c r="C5020" s="15" t="s">
        <v>8</v>
      </c>
      <c r="E5020" s="15" t="s">
        <v>8</v>
      </c>
      <c r="H5020" s="15" t="s">
        <v>8</v>
      </c>
      <c r="I5020" s="15" t="s">
        <v>8</v>
      </c>
      <c r="J5020" s="15" t="s">
        <v>8</v>
      </c>
      <c r="K5020" s="15" t="s">
        <v>8</v>
      </c>
      <c r="O5020" s="15" t="s">
        <v>8</v>
      </c>
      <c r="P5020" s="15" t="s">
        <v>8</v>
      </c>
      <c r="Q5020" s="15" t="s">
        <v>8</v>
      </c>
      <c r="R5020" s="15" t="s">
        <v>8</v>
      </c>
      <c r="S5020" s="19" t="str">
        <f>HYPERLINK("http://yeinfo.com/family/I09065638.html", "WILLIAM BARCROFT &lt;2&gt; 1426 EN-1446 EN ID:09065770")</f>
        <v>WILLIAM BARCROFT &lt;2&gt; 1426 EN-1446 EN ID:09065770</v>
      </c>
      <c r="T5020" s="9"/>
      <c r="U5020" s="9"/>
      <c r="V5020" s="9"/>
      <c r="W5020" s="9"/>
    </row>
    <row r="5021" spans="3:27" x14ac:dyDescent="0.35">
      <c r="C5021" s="15" t="s">
        <v>8</v>
      </c>
      <c r="E5021" s="15" t="s">
        <v>8</v>
      </c>
      <c r="H5021" s="15" t="s">
        <v>8</v>
      </c>
      <c r="I5021" s="15" t="s">
        <v>8</v>
      </c>
      <c r="J5021" s="15" t="s">
        <v>8</v>
      </c>
      <c r="K5021" s="15" t="s">
        <v>8</v>
      </c>
      <c r="O5021" s="15" t="s">
        <v>8</v>
      </c>
      <c r="P5021" s="15" t="s">
        <v>8</v>
      </c>
      <c r="Q5021" s="15" t="s">
        <v>8</v>
      </c>
      <c r="R5021" s="15" t="s">
        <v>8</v>
      </c>
      <c r="S5021" s="8" t="s">
        <v>3</v>
      </c>
      <c r="T5021" s="8" t="s">
        <v>6</v>
      </c>
    </row>
    <row r="5022" spans="3:27" x14ac:dyDescent="0.35">
      <c r="C5022" s="15" t="s">
        <v>8</v>
      </c>
      <c r="E5022" s="15" t="s">
        <v>8</v>
      </c>
      <c r="H5022" s="15" t="s">
        <v>8</v>
      </c>
      <c r="I5022" s="15" t="s">
        <v>8</v>
      </c>
      <c r="J5022" s="15" t="s">
        <v>8</v>
      </c>
      <c r="K5022" s="15" t="s">
        <v>8</v>
      </c>
      <c r="O5022" s="15" t="s">
        <v>8</v>
      </c>
      <c r="P5022" s="15" t="s">
        <v>8</v>
      </c>
      <c r="Q5022" s="15" t="s">
        <v>8</v>
      </c>
      <c r="R5022" s="15" t="s">
        <v>8</v>
      </c>
      <c r="S5022" s="15" t="s">
        <v>8</v>
      </c>
      <c r="T5022" s="20" t="str">
        <f>HYPERLINK("http://yeinfo.com/family/I09066077.html", "Mrs. {_?_} BARCROFT &lt;2&gt; 1406 EN-1426 EN ID:09065913")</f>
        <v>Mrs. {_?_} BARCROFT &lt;2&gt; 1406 EN-1426 EN ID:09065913</v>
      </c>
      <c r="U5022" s="17"/>
      <c r="V5022" s="17"/>
      <c r="W5022" s="17"/>
      <c r="X5022" s="17"/>
    </row>
    <row r="5023" spans="3:27" x14ac:dyDescent="0.35">
      <c r="C5023" s="15" t="s">
        <v>8</v>
      </c>
      <c r="E5023" s="15" t="s">
        <v>8</v>
      </c>
      <c r="H5023" s="15" t="s">
        <v>8</v>
      </c>
      <c r="I5023" s="15" t="s">
        <v>8</v>
      </c>
      <c r="J5023" s="15" t="s">
        <v>8</v>
      </c>
      <c r="K5023" s="15" t="s">
        <v>8</v>
      </c>
      <c r="O5023" s="15" t="s">
        <v>8</v>
      </c>
      <c r="P5023" s="15" t="s">
        <v>8</v>
      </c>
      <c r="Q5023" s="15" t="s">
        <v>8</v>
      </c>
      <c r="R5023" s="8" t="s">
        <v>6</v>
      </c>
      <c r="S5023" s="15" t="s">
        <v>8</v>
      </c>
    </row>
    <row r="5024" spans="3:27" x14ac:dyDescent="0.35">
      <c r="C5024" s="15" t="s">
        <v>8</v>
      </c>
      <c r="E5024" s="15" t="s">
        <v>8</v>
      </c>
      <c r="H5024" s="15" t="s">
        <v>8</v>
      </c>
      <c r="I5024" s="15" t="s">
        <v>8</v>
      </c>
      <c r="J5024" s="15" t="s">
        <v>8</v>
      </c>
      <c r="K5024" s="15" t="s">
        <v>8</v>
      </c>
      <c r="O5024" s="15" t="s">
        <v>8</v>
      </c>
      <c r="P5024" s="15" t="s">
        <v>8</v>
      </c>
      <c r="Q5024" s="15" t="s">
        <v>8</v>
      </c>
      <c r="R5024" s="20" t="str">
        <f>HYPERLINK("http://yeinfo.com/family/I09065777.html", "AGNES BARCROFT &lt;2&gt; 1444 EN-1464 EN ID:09065638")</f>
        <v>AGNES BARCROFT &lt;2&gt; 1444 EN-1464 EN ID:09065638</v>
      </c>
      <c r="S5024" s="17"/>
      <c r="T5024" s="17"/>
      <c r="U5024" s="17"/>
      <c r="V5024" s="17"/>
    </row>
    <row r="5025" spans="3:27" x14ac:dyDescent="0.35">
      <c r="C5025" s="15" t="s">
        <v>8</v>
      </c>
      <c r="E5025" s="15" t="s">
        <v>8</v>
      </c>
      <c r="H5025" s="15" t="s">
        <v>8</v>
      </c>
      <c r="I5025" s="15" t="s">
        <v>8</v>
      </c>
      <c r="J5025" s="15" t="s">
        <v>8</v>
      </c>
      <c r="K5025" s="15" t="s">
        <v>8</v>
      </c>
      <c r="O5025" s="15" t="s">
        <v>8</v>
      </c>
      <c r="P5025" s="15" t="s">
        <v>8</v>
      </c>
      <c r="Q5025" s="15" t="s">
        <v>8</v>
      </c>
      <c r="S5025" s="8" t="s">
        <v>6</v>
      </c>
    </row>
    <row r="5026" spans="3:27" x14ac:dyDescent="0.35">
      <c r="C5026" s="15" t="s">
        <v>8</v>
      </c>
      <c r="E5026" s="15" t="s">
        <v>8</v>
      </c>
      <c r="H5026" s="15" t="s">
        <v>8</v>
      </c>
      <c r="I5026" s="15" t="s">
        <v>8</v>
      </c>
      <c r="J5026" s="15" t="s">
        <v>8</v>
      </c>
      <c r="K5026" s="15" t="s">
        <v>8</v>
      </c>
      <c r="O5026" s="15" t="s">
        <v>8</v>
      </c>
      <c r="P5026" s="15" t="s">
        <v>8</v>
      </c>
      <c r="Q5026" s="15" t="s">
        <v>8</v>
      </c>
      <c r="S5026" s="20" t="str">
        <f>HYPERLINK("http://yeinfo.com/family/I09065913.html", "Mrs. {_?_} BARCROFT &lt;2&gt; 1426 EN-1446 EN ID:09065769")</f>
        <v>Mrs. {_?_} BARCROFT &lt;2&gt; 1426 EN-1446 EN ID:09065769</v>
      </c>
      <c r="T5026" s="17"/>
      <c r="U5026" s="17"/>
      <c r="V5026" s="17"/>
      <c r="W5026" s="17"/>
    </row>
    <row r="5027" spans="3:27" x14ac:dyDescent="0.35">
      <c r="C5027" s="15" t="s">
        <v>8</v>
      </c>
      <c r="E5027" s="15" t="s">
        <v>8</v>
      </c>
      <c r="H5027" s="15" t="s">
        <v>8</v>
      </c>
      <c r="I5027" s="15" t="s">
        <v>8</v>
      </c>
      <c r="J5027" s="15" t="s">
        <v>8</v>
      </c>
      <c r="K5027" s="15" t="s">
        <v>8</v>
      </c>
      <c r="O5027" s="15" t="s">
        <v>8</v>
      </c>
      <c r="P5027" s="8" t="s">
        <v>6</v>
      </c>
      <c r="Q5027" s="15" t="s">
        <v>8</v>
      </c>
    </row>
    <row r="5028" spans="3:27" x14ac:dyDescent="0.35">
      <c r="C5028" s="15" t="s">
        <v>8</v>
      </c>
      <c r="E5028" s="15" t="s">
        <v>8</v>
      </c>
      <c r="H5028" s="15" t="s">
        <v>8</v>
      </c>
      <c r="I5028" s="15" t="s">
        <v>8</v>
      </c>
      <c r="J5028" s="15" t="s">
        <v>8</v>
      </c>
      <c r="K5028" s="15" t="s">
        <v>8</v>
      </c>
      <c r="O5028" s="15" t="s">
        <v>8</v>
      </c>
      <c r="P5028" s="20" t="str">
        <f>HYPERLINK("http://yeinfo.com/family/I09022688.html", "AGNES ANN HORSFALL &lt;2&gt; 1495 EN-1522 EN ID:09022689")</f>
        <v>AGNES ANN HORSFALL &lt;2&gt; 1495 EN-1522 EN ID:09022689</v>
      </c>
      <c r="Q5028" s="17"/>
      <c r="R5028" s="17"/>
      <c r="S5028" s="17"/>
      <c r="T5028" s="17"/>
    </row>
    <row r="5029" spans="3:27" x14ac:dyDescent="0.35">
      <c r="C5029" s="15" t="s">
        <v>8</v>
      </c>
      <c r="E5029" s="15" t="s">
        <v>8</v>
      </c>
      <c r="H5029" s="15" t="s">
        <v>8</v>
      </c>
      <c r="I5029" s="15" t="s">
        <v>8</v>
      </c>
      <c r="J5029" s="15" t="s">
        <v>8</v>
      </c>
      <c r="K5029" s="15" t="s">
        <v>8</v>
      </c>
      <c r="O5029" s="15" t="s">
        <v>8</v>
      </c>
      <c r="Q5029" s="15" t="s">
        <v>8</v>
      </c>
    </row>
    <row r="5030" spans="3:27" x14ac:dyDescent="0.35">
      <c r="C5030" s="15" t="s">
        <v>8</v>
      </c>
      <c r="E5030" s="15" t="s">
        <v>8</v>
      </c>
      <c r="H5030" s="15" t="s">
        <v>8</v>
      </c>
      <c r="I5030" s="15" t="s">
        <v>8</v>
      </c>
      <c r="J5030" s="15" t="s">
        <v>8</v>
      </c>
      <c r="K5030" s="15" t="s">
        <v>8</v>
      </c>
      <c r="O5030" s="15" t="s">
        <v>8</v>
      </c>
      <c r="Q5030" s="15" t="s">
        <v>8</v>
      </c>
      <c r="W5030" s="19" t="str">
        <f>HYPERLINK("http://yeinfo.com/family/I09066305.html", "JOHN SAVILLE II &lt;2&gt; 1300 EN-1343 EN ID:09066476")</f>
        <v>JOHN SAVILLE II &lt;2&gt; 1300 EN-1343 EN ID:09066476</v>
      </c>
      <c r="X5030" s="9"/>
      <c r="Y5030" s="9"/>
      <c r="Z5030" s="9"/>
      <c r="AA5030" s="9"/>
    </row>
    <row r="5031" spans="3:27" x14ac:dyDescent="0.35">
      <c r="C5031" s="15" t="s">
        <v>8</v>
      </c>
      <c r="E5031" s="15" t="s">
        <v>8</v>
      </c>
      <c r="H5031" s="15" t="s">
        <v>8</v>
      </c>
      <c r="I5031" s="15" t="s">
        <v>8</v>
      </c>
      <c r="J5031" s="15" t="s">
        <v>8</v>
      </c>
      <c r="K5031" s="15" t="s">
        <v>8</v>
      </c>
      <c r="O5031" s="15" t="s">
        <v>8</v>
      </c>
      <c r="Q5031" s="15" t="s">
        <v>8</v>
      </c>
      <c r="W5031" s="8" t="s">
        <v>3</v>
      </c>
    </row>
    <row r="5032" spans="3:27" x14ac:dyDescent="0.35">
      <c r="C5032" s="15" t="s">
        <v>8</v>
      </c>
      <c r="E5032" s="15" t="s">
        <v>8</v>
      </c>
      <c r="H5032" s="15" t="s">
        <v>8</v>
      </c>
      <c r="I5032" s="15" t="s">
        <v>8</v>
      </c>
      <c r="J5032" s="15" t="s">
        <v>8</v>
      </c>
      <c r="K5032" s="15" t="s">
        <v>8</v>
      </c>
      <c r="O5032" s="15" t="s">
        <v>8</v>
      </c>
      <c r="Q5032" s="15" t="s">
        <v>8</v>
      </c>
      <c r="V5032" s="19" t="str">
        <f>HYPERLINK("http://yeinfo.com/family/I09066111.html", "JOHN SAVILLE III &lt;2&gt; 1329 EN-1399 EN ID:09066305")</f>
        <v>JOHN SAVILLE III &lt;2&gt; 1329 EN-1399 EN ID:09066305</v>
      </c>
      <c r="W5032" s="9"/>
      <c r="X5032" s="9"/>
      <c r="Y5032" s="9"/>
      <c r="Z5032" s="9"/>
    </row>
    <row r="5033" spans="3:27" x14ac:dyDescent="0.35">
      <c r="C5033" s="15" t="s">
        <v>8</v>
      </c>
      <c r="E5033" s="15" t="s">
        <v>8</v>
      </c>
      <c r="H5033" s="15" t="s">
        <v>8</v>
      </c>
      <c r="I5033" s="15" t="s">
        <v>8</v>
      </c>
      <c r="J5033" s="15" t="s">
        <v>8</v>
      </c>
      <c r="K5033" s="15" t="s">
        <v>8</v>
      </c>
      <c r="O5033" s="15" t="s">
        <v>8</v>
      </c>
      <c r="Q5033" s="15" t="s">
        <v>8</v>
      </c>
      <c r="V5033" s="8" t="s">
        <v>3</v>
      </c>
      <c r="W5033" s="8" t="s">
        <v>6</v>
      </c>
    </row>
    <row r="5034" spans="3:27" x14ac:dyDescent="0.35">
      <c r="C5034" s="15" t="s">
        <v>8</v>
      </c>
      <c r="E5034" s="15" t="s">
        <v>8</v>
      </c>
      <c r="H5034" s="15" t="s">
        <v>8</v>
      </c>
      <c r="I5034" s="15" t="s">
        <v>8</v>
      </c>
      <c r="J5034" s="15" t="s">
        <v>8</v>
      </c>
      <c r="K5034" s="15" t="s">
        <v>8</v>
      </c>
      <c r="O5034" s="15" t="s">
        <v>8</v>
      </c>
      <c r="Q5034" s="15" t="s">
        <v>8</v>
      </c>
      <c r="V5034" s="15" t="s">
        <v>8</v>
      </c>
      <c r="W5034" s="20" t="str">
        <f>HYPERLINK("http://yeinfo.com/family/I09066476.html", "MARGERY BOSCO &lt;2&gt; 1312 EN-1343 EN ID:09066444")</f>
        <v>MARGERY BOSCO &lt;2&gt; 1312 EN-1343 EN ID:09066444</v>
      </c>
      <c r="X5034" s="17"/>
      <c r="Y5034" s="17"/>
      <c r="Z5034" s="17"/>
      <c r="AA5034" s="17"/>
    </row>
    <row r="5035" spans="3:27" x14ac:dyDescent="0.35">
      <c r="C5035" s="15" t="s">
        <v>8</v>
      </c>
      <c r="E5035" s="15" t="s">
        <v>8</v>
      </c>
      <c r="H5035" s="15" t="s">
        <v>8</v>
      </c>
      <c r="I5035" s="15" t="s">
        <v>8</v>
      </c>
      <c r="J5035" s="15" t="s">
        <v>8</v>
      </c>
      <c r="K5035" s="15" t="s">
        <v>8</v>
      </c>
      <c r="O5035" s="15" t="s">
        <v>8</v>
      </c>
      <c r="Q5035" s="15" t="s">
        <v>8</v>
      </c>
      <c r="V5035" s="15" t="s">
        <v>8</v>
      </c>
    </row>
    <row r="5036" spans="3:27" x14ac:dyDescent="0.35">
      <c r="C5036" s="15" t="s">
        <v>8</v>
      </c>
      <c r="E5036" s="15" t="s">
        <v>8</v>
      </c>
      <c r="H5036" s="15" t="s">
        <v>8</v>
      </c>
      <c r="I5036" s="15" t="s">
        <v>8</v>
      </c>
      <c r="J5036" s="15" t="s">
        <v>8</v>
      </c>
      <c r="K5036" s="15" t="s">
        <v>8</v>
      </c>
      <c r="O5036" s="15" t="s">
        <v>8</v>
      </c>
      <c r="Q5036" s="15" t="s">
        <v>8</v>
      </c>
      <c r="U5036" s="19" t="str">
        <f>HYPERLINK("http://yeinfo.com/family/I09065941.html", "HENRY SAVILLE II &lt;2&gt; 1355 EN-1437 EN ID:09066111")</f>
        <v>HENRY SAVILLE II &lt;2&gt; 1355 EN-1437 EN ID:09066111</v>
      </c>
      <c r="V5036" s="9"/>
      <c r="W5036" s="9"/>
      <c r="X5036" s="9"/>
      <c r="Y5036" s="9"/>
    </row>
    <row r="5037" spans="3:27" x14ac:dyDescent="0.35">
      <c r="C5037" s="15" t="s">
        <v>8</v>
      </c>
      <c r="E5037" s="15" t="s">
        <v>8</v>
      </c>
      <c r="H5037" s="15" t="s">
        <v>8</v>
      </c>
      <c r="I5037" s="15" t="s">
        <v>8</v>
      </c>
      <c r="J5037" s="15" t="s">
        <v>8</v>
      </c>
      <c r="K5037" s="15" t="s">
        <v>8</v>
      </c>
      <c r="O5037" s="15" t="s">
        <v>8</v>
      </c>
      <c r="Q5037" s="15" t="s">
        <v>8</v>
      </c>
      <c r="U5037" s="8" t="s">
        <v>3</v>
      </c>
      <c r="V5037" s="8" t="s">
        <v>6</v>
      </c>
    </row>
    <row r="5038" spans="3:27" x14ac:dyDescent="0.35">
      <c r="C5038" s="15" t="s">
        <v>8</v>
      </c>
      <c r="E5038" s="15" t="s">
        <v>8</v>
      </c>
      <c r="H5038" s="15" t="s">
        <v>8</v>
      </c>
      <c r="I5038" s="15" t="s">
        <v>8</v>
      </c>
      <c r="J5038" s="15" t="s">
        <v>8</v>
      </c>
      <c r="K5038" s="15" t="s">
        <v>8</v>
      </c>
      <c r="O5038" s="15" t="s">
        <v>8</v>
      </c>
      <c r="Q5038" s="15" t="s">
        <v>8</v>
      </c>
      <c r="U5038" s="15" t="s">
        <v>8</v>
      </c>
      <c r="V5038" s="20" t="str">
        <f>HYPERLINK("http://yeinfo.com/family/I09066444.html", "ISOBEL ELAND &lt;2&gt; 1335 EN-1355 EN ID:09066285")</f>
        <v>ISOBEL ELAND &lt;2&gt; 1335 EN-1355 EN ID:09066285</v>
      </c>
      <c r="W5038" s="17"/>
      <c r="X5038" s="17"/>
      <c r="Y5038" s="17"/>
      <c r="Z5038" s="17"/>
    </row>
    <row r="5039" spans="3:27" x14ac:dyDescent="0.35">
      <c r="C5039" s="15" t="s">
        <v>8</v>
      </c>
      <c r="E5039" s="15" t="s">
        <v>8</v>
      </c>
      <c r="H5039" s="15" t="s">
        <v>8</v>
      </c>
      <c r="I5039" s="15" t="s">
        <v>8</v>
      </c>
      <c r="J5039" s="15" t="s">
        <v>8</v>
      </c>
      <c r="K5039" s="15" t="s">
        <v>8</v>
      </c>
      <c r="O5039" s="15" t="s">
        <v>8</v>
      </c>
      <c r="Q5039" s="15" t="s">
        <v>8</v>
      </c>
      <c r="U5039" s="15" t="s">
        <v>8</v>
      </c>
    </row>
    <row r="5040" spans="3:27" x14ac:dyDescent="0.35">
      <c r="C5040" s="15" t="s">
        <v>8</v>
      </c>
      <c r="E5040" s="15" t="s">
        <v>8</v>
      </c>
      <c r="H5040" s="15" t="s">
        <v>8</v>
      </c>
      <c r="I5040" s="15" t="s">
        <v>8</v>
      </c>
      <c r="J5040" s="15" t="s">
        <v>8</v>
      </c>
      <c r="K5040" s="15" t="s">
        <v>8</v>
      </c>
      <c r="O5040" s="15" t="s">
        <v>8</v>
      </c>
      <c r="Q5040" s="15" t="s">
        <v>8</v>
      </c>
      <c r="T5040" s="19" t="str">
        <f>HYPERLINK("http://yeinfo.com/family/I09065793.html", "THOMAS SAVILLE &lt;2&gt; 1381 EN-1406 EN ID:09065941")</f>
        <v>THOMAS SAVILLE &lt;2&gt; 1381 EN-1406 EN ID:09065941</v>
      </c>
      <c r="U5040" s="9"/>
      <c r="V5040" s="9"/>
      <c r="W5040" s="9"/>
      <c r="X5040" s="9"/>
    </row>
    <row r="5041" spans="3:28" x14ac:dyDescent="0.35">
      <c r="C5041" s="15" t="s">
        <v>8</v>
      </c>
      <c r="E5041" s="15" t="s">
        <v>8</v>
      </c>
      <c r="H5041" s="15" t="s">
        <v>8</v>
      </c>
      <c r="I5041" s="15" t="s">
        <v>8</v>
      </c>
      <c r="J5041" s="15" t="s">
        <v>8</v>
      </c>
      <c r="K5041" s="15" t="s">
        <v>8</v>
      </c>
      <c r="O5041" s="15" t="s">
        <v>8</v>
      </c>
      <c r="Q5041" s="15" t="s">
        <v>8</v>
      </c>
      <c r="T5041" s="8" t="s">
        <v>3</v>
      </c>
      <c r="U5041" s="15" t="s">
        <v>8</v>
      </c>
    </row>
    <row r="5042" spans="3:28" x14ac:dyDescent="0.35">
      <c r="C5042" s="15" t="s">
        <v>8</v>
      </c>
      <c r="E5042" s="15" t="s">
        <v>8</v>
      </c>
      <c r="H5042" s="15" t="s">
        <v>8</v>
      </c>
      <c r="I5042" s="15" t="s">
        <v>8</v>
      </c>
      <c r="J5042" s="15" t="s">
        <v>8</v>
      </c>
      <c r="K5042" s="15" t="s">
        <v>8</v>
      </c>
      <c r="O5042" s="15" t="s">
        <v>8</v>
      </c>
      <c r="Q5042" s="15" t="s">
        <v>8</v>
      </c>
      <c r="T5042" s="15" t="s">
        <v>8</v>
      </c>
      <c r="U5042" s="15" t="s">
        <v>8</v>
      </c>
      <c r="W5042" s="19" t="str">
        <f>HYPERLINK("http://yeinfo.com/family/I09066310.html", "BRYAN THORNHILL &lt;2&gt; 1300 EN-1369  ID:09066481")</f>
        <v>BRYAN THORNHILL &lt;2&gt; 1300 EN-1369  ID:09066481</v>
      </c>
      <c r="X5042" s="9"/>
      <c r="Y5042" s="9"/>
      <c r="Z5042" s="9"/>
      <c r="AA5042" s="9"/>
    </row>
    <row r="5043" spans="3:28" x14ac:dyDescent="0.35">
      <c r="C5043" s="15" t="s">
        <v>8</v>
      </c>
      <c r="E5043" s="15" t="s">
        <v>8</v>
      </c>
      <c r="H5043" s="15" t="s">
        <v>8</v>
      </c>
      <c r="I5043" s="15" t="s">
        <v>8</v>
      </c>
      <c r="J5043" s="15" t="s">
        <v>8</v>
      </c>
      <c r="K5043" s="15" t="s">
        <v>8</v>
      </c>
      <c r="O5043" s="15" t="s">
        <v>8</v>
      </c>
      <c r="Q5043" s="15" t="s">
        <v>8</v>
      </c>
      <c r="T5043" s="15" t="s">
        <v>8</v>
      </c>
      <c r="U5043" s="15" t="s">
        <v>8</v>
      </c>
      <c r="W5043" s="8" t="s">
        <v>3</v>
      </c>
    </row>
    <row r="5044" spans="3:28" x14ac:dyDescent="0.35">
      <c r="C5044" s="15" t="s">
        <v>8</v>
      </c>
      <c r="E5044" s="15" t="s">
        <v>8</v>
      </c>
      <c r="H5044" s="15" t="s">
        <v>8</v>
      </c>
      <c r="I5044" s="15" t="s">
        <v>8</v>
      </c>
      <c r="J5044" s="15" t="s">
        <v>8</v>
      </c>
      <c r="K5044" s="15" t="s">
        <v>8</v>
      </c>
      <c r="O5044" s="15" t="s">
        <v>8</v>
      </c>
      <c r="Q5044" s="15" t="s">
        <v>8</v>
      </c>
      <c r="T5044" s="15" t="s">
        <v>8</v>
      </c>
      <c r="U5044" s="15" t="s">
        <v>8</v>
      </c>
      <c r="V5044" s="19" t="str">
        <f>HYPERLINK("http://yeinfo.com/family/I09066116.html", "SIMON THORNHILL &lt;2&gt; 1330 EN-1378 EN ID:09066310")</f>
        <v>SIMON THORNHILL &lt;2&gt; 1330 EN-1378 EN ID:09066310</v>
      </c>
      <c r="W5044" s="9"/>
      <c r="X5044" s="9"/>
      <c r="Y5044" s="9"/>
      <c r="Z5044" s="9"/>
    </row>
    <row r="5045" spans="3:28" x14ac:dyDescent="0.35">
      <c r="C5045" s="15" t="s">
        <v>8</v>
      </c>
      <c r="E5045" s="15" t="s">
        <v>8</v>
      </c>
      <c r="H5045" s="15" t="s">
        <v>8</v>
      </c>
      <c r="I5045" s="15" t="s">
        <v>8</v>
      </c>
      <c r="J5045" s="15" t="s">
        <v>8</v>
      </c>
      <c r="K5045" s="15" t="s">
        <v>8</v>
      </c>
      <c r="O5045" s="15" t="s">
        <v>8</v>
      </c>
      <c r="Q5045" s="15" t="s">
        <v>8</v>
      </c>
      <c r="T5045" s="15" t="s">
        <v>8</v>
      </c>
      <c r="U5045" s="15" t="s">
        <v>8</v>
      </c>
      <c r="V5045" s="8" t="s">
        <v>3</v>
      </c>
      <c r="W5045" s="8" t="s">
        <v>6</v>
      </c>
    </row>
    <row r="5046" spans="3:28" x14ac:dyDescent="0.35">
      <c r="C5046" s="15" t="s">
        <v>8</v>
      </c>
      <c r="E5046" s="15" t="s">
        <v>8</v>
      </c>
      <c r="H5046" s="15" t="s">
        <v>8</v>
      </c>
      <c r="I5046" s="15" t="s">
        <v>8</v>
      </c>
      <c r="J5046" s="15" t="s">
        <v>8</v>
      </c>
      <c r="K5046" s="15" t="s">
        <v>8</v>
      </c>
      <c r="O5046" s="15" t="s">
        <v>8</v>
      </c>
      <c r="Q5046" s="15" t="s">
        <v>8</v>
      </c>
      <c r="T5046" s="15" t="s">
        <v>8</v>
      </c>
      <c r="U5046" s="15" t="s">
        <v>8</v>
      </c>
      <c r="V5046" s="15" t="s">
        <v>8</v>
      </c>
      <c r="W5046" s="20" t="str">
        <f>HYPERLINK("http://yeinfo.com/family/I09066481.html", "JOAN WILLIAM &lt;2&gt; 1317 EN-1384 EN ID:09066487")</f>
        <v>JOAN WILLIAM &lt;2&gt; 1317 EN-1384 EN ID:09066487</v>
      </c>
      <c r="X5046" s="17"/>
      <c r="Y5046" s="17"/>
      <c r="Z5046" s="17"/>
      <c r="AA5046" s="17"/>
    </row>
    <row r="5047" spans="3:28" x14ac:dyDescent="0.35">
      <c r="C5047" s="15" t="s">
        <v>8</v>
      </c>
      <c r="E5047" s="15" t="s">
        <v>8</v>
      </c>
      <c r="H5047" s="15" t="s">
        <v>8</v>
      </c>
      <c r="I5047" s="15" t="s">
        <v>8</v>
      </c>
      <c r="J5047" s="15" t="s">
        <v>8</v>
      </c>
      <c r="K5047" s="15" t="s">
        <v>8</v>
      </c>
      <c r="O5047" s="15" t="s">
        <v>8</v>
      </c>
      <c r="Q5047" s="15" t="s">
        <v>8</v>
      </c>
      <c r="T5047" s="15" t="s">
        <v>8</v>
      </c>
      <c r="U5047" s="8" t="s">
        <v>6</v>
      </c>
      <c r="V5047" s="15" t="s">
        <v>8</v>
      </c>
    </row>
    <row r="5048" spans="3:28" x14ac:dyDescent="0.35">
      <c r="C5048" s="15" t="s">
        <v>8</v>
      </c>
      <c r="E5048" s="15" t="s">
        <v>8</v>
      </c>
      <c r="H5048" s="15" t="s">
        <v>8</v>
      </c>
      <c r="I5048" s="15" t="s">
        <v>8</v>
      </c>
      <c r="J5048" s="15" t="s">
        <v>8</v>
      </c>
      <c r="K5048" s="15" t="s">
        <v>8</v>
      </c>
      <c r="O5048" s="15" t="s">
        <v>8</v>
      </c>
      <c r="Q5048" s="15" t="s">
        <v>8</v>
      </c>
      <c r="T5048" s="15" t="s">
        <v>8</v>
      </c>
      <c r="U5048" s="20" t="str">
        <f>HYPERLINK("http://yeinfo.com/family/I09066285.html", "ELIZABETH THORNHILL &lt;2&gt; 1360 EN-1437 EN ID:09066116")</f>
        <v>ELIZABETH THORNHILL &lt;2&gt; 1360 EN-1437 EN ID:09066116</v>
      </c>
      <c r="V5048" s="17"/>
      <c r="W5048" s="17"/>
      <c r="X5048" s="17"/>
      <c r="Y5048" s="17"/>
    </row>
    <row r="5049" spans="3:28" x14ac:dyDescent="0.35">
      <c r="C5049" s="15" t="s">
        <v>8</v>
      </c>
      <c r="E5049" s="15" t="s">
        <v>8</v>
      </c>
      <c r="H5049" s="15" t="s">
        <v>8</v>
      </c>
      <c r="I5049" s="15" t="s">
        <v>8</v>
      </c>
      <c r="J5049" s="15" t="s">
        <v>8</v>
      </c>
      <c r="K5049" s="15" t="s">
        <v>8</v>
      </c>
      <c r="O5049" s="15" t="s">
        <v>8</v>
      </c>
      <c r="Q5049" s="15" t="s">
        <v>8</v>
      </c>
      <c r="T5049" s="15" t="s">
        <v>8</v>
      </c>
      <c r="V5049" s="15" t="s">
        <v>8</v>
      </c>
    </row>
    <row r="5050" spans="3:28" x14ac:dyDescent="0.35">
      <c r="C5050" s="15" t="s">
        <v>8</v>
      </c>
      <c r="E5050" s="15" t="s">
        <v>8</v>
      </c>
      <c r="H5050" s="15" t="s">
        <v>8</v>
      </c>
      <c r="I5050" s="15" t="s">
        <v>8</v>
      </c>
      <c r="J5050" s="15" t="s">
        <v>8</v>
      </c>
      <c r="K5050" s="15" t="s">
        <v>8</v>
      </c>
      <c r="O5050" s="15" t="s">
        <v>8</v>
      </c>
      <c r="Q5050" s="15" t="s">
        <v>8</v>
      </c>
      <c r="T5050" s="15" t="s">
        <v>8</v>
      </c>
      <c r="V5050" s="15" t="s">
        <v>8</v>
      </c>
      <c r="X5050" s="19" t="str">
        <f>HYPERLINK("http://yeinfo.com/family/I09066437.html", "THOMAS BABTHORPE &lt;2&gt; 1290 EN-1310 EN ID:09066743")</f>
        <v>THOMAS BABTHORPE &lt;2&gt; 1290 EN-1310 EN ID:09066743</v>
      </c>
      <c r="Y5050" s="9"/>
      <c r="Z5050" s="9"/>
      <c r="AA5050" s="9"/>
      <c r="AB5050" s="9"/>
    </row>
    <row r="5051" spans="3:28" x14ac:dyDescent="0.35">
      <c r="C5051" s="15" t="s">
        <v>8</v>
      </c>
      <c r="E5051" s="15" t="s">
        <v>8</v>
      </c>
      <c r="H5051" s="15" t="s">
        <v>8</v>
      </c>
      <c r="I5051" s="15" t="s">
        <v>8</v>
      </c>
      <c r="J5051" s="15" t="s">
        <v>8</v>
      </c>
      <c r="K5051" s="15" t="s">
        <v>8</v>
      </c>
      <c r="O5051" s="15" t="s">
        <v>8</v>
      </c>
      <c r="Q5051" s="15" t="s">
        <v>8</v>
      </c>
      <c r="T5051" s="15" t="s">
        <v>8</v>
      </c>
      <c r="V5051" s="15" t="s">
        <v>8</v>
      </c>
      <c r="X5051" s="8" t="s">
        <v>3</v>
      </c>
    </row>
    <row r="5052" spans="3:28" x14ac:dyDescent="0.35">
      <c r="C5052" s="15" t="s">
        <v>8</v>
      </c>
      <c r="E5052" s="15" t="s">
        <v>8</v>
      </c>
      <c r="H5052" s="15" t="s">
        <v>8</v>
      </c>
      <c r="I5052" s="15" t="s">
        <v>8</v>
      </c>
      <c r="J5052" s="15" t="s">
        <v>8</v>
      </c>
      <c r="K5052" s="15" t="s">
        <v>8</v>
      </c>
      <c r="O5052" s="15" t="s">
        <v>8</v>
      </c>
      <c r="Q5052" s="15" t="s">
        <v>8</v>
      </c>
      <c r="T5052" s="15" t="s">
        <v>8</v>
      </c>
      <c r="V5052" s="15" t="s">
        <v>8</v>
      </c>
      <c r="W5052" s="19" t="str">
        <f>HYPERLINK("http://yeinfo.com/family/I09066275.html", "EDWARD BABTHORPE &lt;2&gt; 1315 EN-1340 EN ID:09066437")</f>
        <v>EDWARD BABTHORPE &lt;2&gt; 1315 EN-1340 EN ID:09066437</v>
      </c>
      <c r="X5052" s="9"/>
      <c r="Y5052" s="9"/>
      <c r="Z5052" s="9"/>
      <c r="AA5052" s="9"/>
    </row>
    <row r="5053" spans="3:28" x14ac:dyDescent="0.35">
      <c r="C5053" s="15" t="s">
        <v>8</v>
      </c>
      <c r="E5053" s="15" t="s">
        <v>8</v>
      </c>
      <c r="H5053" s="15" t="s">
        <v>8</v>
      </c>
      <c r="I5053" s="15" t="s">
        <v>8</v>
      </c>
      <c r="J5053" s="15" t="s">
        <v>8</v>
      </c>
      <c r="K5053" s="15" t="s">
        <v>8</v>
      </c>
      <c r="O5053" s="15" t="s">
        <v>8</v>
      </c>
      <c r="Q5053" s="15" t="s">
        <v>8</v>
      </c>
      <c r="T5053" s="15" t="s">
        <v>8</v>
      </c>
      <c r="V5053" s="15" t="s">
        <v>8</v>
      </c>
      <c r="W5053" s="8" t="s">
        <v>3</v>
      </c>
      <c r="X5053" s="8" t="s">
        <v>6</v>
      </c>
    </row>
    <row r="5054" spans="3:28" x14ac:dyDescent="0.35">
      <c r="C5054" s="15" t="s">
        <v>8</v>
      </c>
      <c r="E5054" s="15" t="s">
        <v>8</v>
      </c>
      <c r="H5054" s="15" t="s">
        <v>8</v>
      </c>
      <c r="I5054" s="15" t="s">
        <v>8</v>
      </c>
      <c r="J5054" s="15" t="s">
        <v>8</v>
      </c>
      <c r="K5054" s="15" t="s">
        <v>8</v>
      </c>
      <c r="O5054" s="15" t="s">
        <v>8</v>
      </c>
      <c r="Q5054" s="15" t="s">
        <v>8</v>
      </c>
      <c r="T5054" s="15" t="s">
        <v>8</v>
      </c>
      <c r="V5054" s="15" t="s">
        <v>8</v>
      </c>
      <c r="W5054" s="15" t="s">
        <v>8</v>
      </c>
      <c r="X5054" s="20" t="str">
        <f>HYPERLINK("http://yeinfo.com/family/I09066743.html", "ANSWITH HAYE &lt;2&gt; 1290 EN-1310 EN ID:09066744")</f>
        <v>ANSWITH HAYE &lt;2&gt; 1290 EN-1310 EN ID:09066744</v>
      </c>
      <c r="Y5054" s="17"/>
      <c r="Z5054" s="17"/>
      <c r="AA5054" s="17"/>
      <c r="AB5054" s="17"/>
    </row>
    <row r="5055" spans="3:28" x14ac:dyDescent="0.35">
      <c r="C5055" s="15" t="s">
        <v>8</v>
      </c>
      <c r="E5055" s="15" t="s">
        <v>8</v>
      </c>
      <c r="H5055" s="15" t="s">
        <v>8</v>
      </c>
      <c r="I5055" s="15" t="s">
        <v>8</v>
      </c>
      <c r="J5055" s="15" t="s">
        <v>8</v>
      </c>
      <c r="K5055" s="15" t="s">
        <v>8</v>
      </c>
      <c r="O5055" s="15" t="s">
        <v>8</v>
      </c>
      <c r="Q5055" s="15" t="s">
        <v>8</v>
      </c>
      <c r="T5055" s="15" t="s">
        <v>8</v>
      </c>
      <c r="V5055" s="8" t="s">
        <v>6</v>
      </c>
      <c r="W5055" s="15" t="s">
        <v>8</v>
      </c>
    </row>
    <row r="5056" spans="3:28" x14ac:dyDescent="0.35">
      <c r="C5056" s="15" t="s">
        <v>8</v>
      </c>
      <c r="E5056" s="15" t="s">
        <v>8</v>
      </c>
      <c r="H5056" s="15" t="s">
        <v>8</v>
      </c>
      <c r="I5056" s="15" t="s">
        <v>8</v>
      </c>
      <c r="J5056" s="15" t="s">
        <v>8</v>
      </c>
      <c r="K5056" s="15" t="s">
        <v>8</v>
      </c>
      <c r="O5056" s="15" t="s">
        <v>8</v>
      </c>
      <c r="Q5056" s="15" t="s">
        <v>8</v>
      </c>
      <c r="T5056" s="15" t="s">
        <v>8</v>
      </c>
      <c r="V5056" s="20" t="str">
        <f>HYPERLINK("http://yeinfo.com/family/I09066487.html", "ELIZABETH BABTHORPE &lt;2&gt; 1340 EN-1385 EN ID:09066275")</f>
        <v>ELIZABETH BABTHORPE &lt;2&gt; 1340 EN-1385 EN ID:09066275</v>
      </c>
      <c r="W5056" s="17"/>
      <c r="X5056" s="17"/>
      <c r="Y5056" s="17"/>
      <c r="Z5056" s="17"/>
    </row>
    <row r="5057" spans="3:27" x14ac:dyDescent="0.35">
      <c r="C5057" s="15" t="s">
        <v>8</v>
      </c>
      <c r="E5057" s="15" t="s">
        <v>8</v>
      </c>
      <c r="H5057" s="15" t="s">
        <v>8</v>
      </c>
      <c r="I5057" s="15" t="s">
        <v>8</v>
      </c>
      <c r="J5057" s="15" t="s">
        <v>8</v>
      </c>
      <c r="K5057" s="15" t="s">
        <v>8</v>
      </c>
      <c r="O5057" s="15" t="s">
        <v>8</v>
      </c>
      <c r="Q5057" s="15" t="s">
        <v>8</v>
      </c>
      <c r="T5057" s="15" t="s">
        <v>8</v>
      </c>
      <c r="W5057" s="8" t="s">
        <v>6</v>
      </c>
    </row>
    <row r="5058" spans="3:27" x14ac:dyDescent="0.35">
      <c r="C5058" s="15" t="s">
        <v>8</v>
      </c>
      <c r="E5058" s="15" t="s">
        <v>8</v>
      </c>
      <c r="H5058" s="15" t="s">
        <v>8</v>
      </c>
      <c r="I5058" s="15" t="s">
        <v>8</v>
      </c>
      <c r="J5058" s="15" t="s">
        <v>8</v>
      </c>
      <c r="K5058" s="15" t="s">
        <v>8</v>
      </c>
      <c r="O5058" s="15" t="s">
        <v>8</v>
      </c>
      <c r="Q5058" s="15" t="s">
        <v>8</v>
      </c>
      <c r="T5058" s="15" t="s">
        <v>8</v>
      </c>
      <c r="W5058" s="20" t="str">
        <f>HYPERLINK("http://yeinfo.com/family/I09066744.html", "JULIANNE SALVAIN &lt;2&gt; 1310 EN-1340 EN ID:09066474")</f>
        <v>JULIANNE SALVAIN &lt;2&gt; 1310 EN-1340 EN ID:09066474</v>
      </c>
      <c r="X5058" s="17"/>
      <c r="Y5058" s="17"/>
      <c r="Z5058" s="17"/>
      <c r="AA5058" s="17"/>
    </row>
    <row r="5059" spans="3:27" x14ac:dyDescent="0.35">
      <c r="C5059" s="15" t="s">
        <v>8</v>
      </c>
      <c r="E5059" s="15" t="s">
        <v>8</v>
      </c>
      <c r="H5059" s="15" t="s">
        <v>8</v>
      </c>
      <c r="I5059" s="15" t="s">
        <v>8</v>
      </c>
      <c r="J5059" s="15" t="s">
        <v>8</v>
      </c>
      <c r="K5059" s="15" t="s">
        <v>8</v>
      </c>
      <c r="O5059" s="15" t="s">
        <v>8</v>
      </c>
      <c r="Q5059" s="15" t="s">
        <v>8</v>
      </c>
      <c r="T5059" s="15" t="s">
        <v>8</v>
      </c>
    </row>
    <row r="5060" spans="3:27" x14ac:dyDescent="0.35">
      <c r="C5060" s="15" t="s">
        <v>8</v>
      </c>
      <c r="E5060" s="15" t="s">
        <v>8</v>
      </c>
      <c r="H5060" s="15" t="s">
        <v>8</v>
      </c>
      <c r="I5060" s="15" t="s">
        <v>8</v>
      </c>
      <c r="J5060" s="15" t="s">
        <v>8</v>
      </c>
      <c r="K5060" s="15" t="s">
        <v>8</v>
      </c>
      <c r="O5060" s="15" t="s">
        <v>8</v>
      </c>
      <c r="Q5060" s="15" t="s">
        <v>8</v>
      </c>
      <c r="S5060" s="19" t="str">
        <f>HYPERLINK("http://yeinfo.com/family/I09065666.html", "JOHN SAVILLE &lt;2&gt; 1406 EN-1482 EN ID:09065793")</f>
        <v>JOHN SAVILLE &lt;2&gt; 1406 EN-1482 EN ID:09065793</v>
      </c>
      <c r="T5060" s="9"/>
      <c r="U5060" s="9"/>
      <c r="V5060" s="9"/>
      <c r="W5060" s="9"/>
    </row>
    <row r="5061" spans="3:27" x14ac:dyDescent="0.35">
      <c r="C5061" s="15" t="s">
        <v>8</v>
      </c>
      <c r="E5061" s="15" t="s">
        <v>8</v>
      </c>
      <c r="H5061" s="15" t="s">
        <v>8</v>
      </c>
      <c r="I5061" s="15" t="s">
        <v>8</v>
      </c>
      <c r="J5061" s="15" t="s">
        <v>8</v>
      </c>
      <c r="K5061" s="15" t="s">
        <v>8</v>
      </c>
      <c r="O5061" s="15" t="s">
        <v>8</v>
      </c>
      <c r="Q5061" s="15" t="s">
        <v>8</v>
      </c>
      <c r="S5061" s="8" t="s">
        <v>3</v>
      </c>
      <c r="T5061" s="15" t="s">
        <v>8</v>
      </c>
    </row>
    <row r="5062" spans="3:27" x14ac:dyDescent="0.35">
      <c r="C5062" s="15" t="s">
        <v>8</v>
      </c>
      <c r="E5062" s="15" t="s">
        <v>8</v>
      </c>
      <c r="H5062" s="15" t="s">
        <v>8</v>
      </c>
      <c r="I5062" s="15" t="s">
        <v>8</v>
      </c>
      <c r="J5062" s="15" t="s">
        <v>8</v>
      </c>
      <c r="K5062" s="15" t="s">
        <v>8</v>
      </c>
      <c r="O5062" s="15" t="s">
        <v>8</v>
      </c>
      <c r="Q5062" s="15" t="s">
        <v>8</v>
      </c>
      <c r="S5062" s="15" t="s">
        <v>8</v>
      </c>
      <c r="T5062" s="15" t="s">
        <v>8</v>
      </c>
      <c r="W5062" s="19" t="str">
        <f>HYPERLINK("http://yeinfo.com/family/I09066301.html", "ROGER PILKINGTON IV &lt;2&gt; 1291 EN-1347 EN ID:09066473")</f>
        <v>ROGER PILKINGTON IV &lt;2&gt; 1291 EN-1347 EN ID:09066473</v>
      </c>
      <c r="X5062" s="9"/>
      <c r="Y5062" s="9"/>
      <c r="Z5062" s="9"/>
      <c r="AA5062" s="9"/>
    </row>
    <row r="5063" spans="3:27" x14ac:dyDescent="0.35">
      <c r="C5063" s="15" t="s">
        <v>8</v>
      </c>
      <c r="E5063" s="15" t="s">
        <v>8</v>
      </c>
      <c r="H5063" s="15" t="s">
        <v>8</v>
      </c>
      <c r="I5063" s="15" t="s">
        <v>8</v>
      </c>
      <c r="J5063" s="15" t="s">
        <v>8</v>
      </c>
      <c r="K5063" s="15" t="s">
        <v>8</v>
      </c>
      <c r="O5063" s="15" t="s">
        <v>8</v>
      </c>
      <c r="Q5063" s="15" t="s">
        <v>8</v>
      </c>
      <c r="S5063" s="15" t="s">
        <v>8</v>
      </c>
      <c r="T5063" s="15" t="s">
        <v>8</v>
      </c>
      <c r="W5063" s="8" t="s">
        <v>3</v>
      </c>
    </row>
    <row r="5064" spans="3:27" x14ac:dyDescent="0.35">
      <c r="C5064" s="15" t="s">
        <v>8</v>
      </c>
      <c r="E5064" s="15" t="s">
        <v>8</v>
      </c>
      <c r="H5064" s="15" t="s">
        <v>8</v>
      </c>
      <c r="I5064" s="15" t="s">
        <v>8</v>
      </c>
      <c r="J5064" s="15" t="s">
        <v>8</v>
      </c>
      <c r="K5064" s="15" t="s">
        <v>8</v>
      </c>
      <c r="O5064" s="15" t="s">
        <v>8</v>
      </c>
      <c r="Q5064" s="15" t="s">
        <v>8</v>
      </c>
      <c r="S5064" s="15" t="s">
        <v>8</v>
      </c>
      <c r="T5064" s="15" t="s">
        <v>8</v>
      </c>
      <c r="V5064" s="19" t="str">
        <f>HYPERLINK("http://yeinfo.com/family/I09066106.html", "ROGER PILKINGTON V &lt;2&gt; 1323 EN-1406 EN ID:09066301")</f>
        <v>ROGER PILKINGTON V &lt;2&gt; 1323 EN-1406 EN ID:09066301</v>
      </c>
      <c r="W5064" s="9"/>
      <c r="X5064" s="9"/>
      <c r="Y5064" s="9"/>
      <c r="Z5064" s="9"/>
    </row>
    <row r="5065" spans="3:27" x14ac:dyDescent="0.35">
      <c r="C5065" s="15" t="s">
        <v>8</v>
      </c>
      <c r="E5065" s="15" t="s">
        <v>8</v>
      </c>
      <c r="H5065" s="15" t="s">
        <v>8</v>
      </c>
      <c r="I5065" s="15" t="s">
        <v>8</v>
      </c>
      <c r="J5065" s="15" t="s">
        <v>8</v>
      </c>
      <c r="K5065" s="15" t="s">
        <v>8</v>
      </c>
      <c r="O5065" s="15" t="s">
        <v>8</v>
      </c>
      <c r="Q5065" s="15" t="s">
        <v>8</v>
      </c>
      <c r="S5065" s="15" t="s">
        <v>8</v>
      </c>
      <c r="T5065" s="15" t="s">
        <v>8</v>
      </c>
      <c r="V5065" s="8" t="s">
        <v>3</v>
      </c>
      <c r="W5065" s="8" t="s">
        <v>6</v>
      </c>
    </row>
    <row r="5066" spans="3:27" x14ac:dyDescent="0.35">
      <c r="C5066" s="15" t="s">
        <v>8</v>
      </c>
      <c r="E5066" s="15" t="s">
        <v>8</v>
      </c>
      <c r="H5066" s="15" t="s">
        <v>8</v>
      </c>
      <c r="I5066" s="15" t="s">
        <v>8</v>
      </c>
      <c r="J5066" s="15" t="s">
        <v>8</v>
      </c>
      <c r="K5066" s="15" t="s">
        <v>8</v>
      </c>
      <c r="O5066" s="15" t="s">
        <v>8</v>
      </c>
      <c r="Q5066" s="15" t="s">
        <v>8</v>
      </c>
      <c r="S5066" s="15" t="s">
        <v>8</v>
      </c>
      <c r="T5066" s="15" t="s">
        <v>8</v>
      </c>
      <c r="V5066" s="15" t="s">
        <v>8</v>
      </c>
      <c r="W5066" s="20" t="str">
        <f>HYPERLINK("http://yeinfo.com/family/I09066473.html", "ALICE BURY &lt;2&gt; 1300 EN-1347 EN ID:09066446")</f>
        <v>ALICE BURY &lt;2&gt; 1300 EN-1347 EN ID:09066446</v>
      </c>
      <c r="X5066" s="17"/>
      <c r="Y5066" s="17"/>
      <c r="Z5066" s="17"/>
      <c r="AA5066" s="17"/>
    </row>
    <row r="5067" spans="3:27" x14ac:dyDescent="0.35">
      <c r="C5067" s="15" t="s">
        <v>8</v>
      </c>
      <c r="E5067" s="15" t="s">
        <v>8</v>
      </c>
      <c r="H5067" s="15" t="s">
        <v>8</v>
      </c>
      <c r="I5067" s="15" t="s">
        <v>8</v>
      </c>
      <c r="J5067" s="15" t="s">
        <v>8</v>
      </c>
      <c r="K5067" s="15" t="s">
        <v>8</v>
      </c>
      <c r="O5067" s="15" t="s">
        <v>8</v>
      </c>
      <c r="Q5067" s="15" t="s">
        <v>8</v>
      </c>
      <c r="S5067" s="15" t="s">
        <v>8</v>
      </c>
      <c r="T5067" s="15" t="s">
        <v>8</v>
      </c>
      <c r="V5067" s="15" t="s">
        <v>8</v>
      </c>
    </row>
    <row r="5068" spans="3:27" x14ac:dyDescent="0.35">
      <c r="C5068" s="15" t="s">
        <v>8</v>
      </c>
      <c r="E5068" s="15" t="s">
        <v>8</v>
      </c>
      <c r="H5068" s="15" t="s">
        <v>8</v>
      </c>
      <c r="I5068" s="15" t="s">
        <v>8</v>
      </c>
      <c r="J5068" s="15" t="s">
        <v>8</v>
      </c>
      <c r="K5068" s="15" t="s">
        <v>8</v>
      </c>
      <c r="O5068" s="15" t="s">
        <v>8</v>
      </c>
      <c r="Q5068" s="15" t="s">
        <v>8</v>
      </c>
      <c r="S5068" s="15" t="s">
        <v>8</v>
      </c>
      <c r="T5068" s="15" t="s">
        <v>8</v>
      </c>
      <c r="U5068" s="19" t="str">
        <f>HYPERLINK("http://yeinfo.com/family/I09065938.html", "JOHN PILKINGTON &lt;2&gt; 1365 EN-1421 EN ID:09066106")</f>
        <v>JOHN PILKINGTON &lt;2&gt; 1365 EN-1421 EN ID:09066106</v>
      </c>
      <c r="V5068" s="9"/>
      <c r="W5068" s="9"/>
      <c r="X5068" s="9"/>
      <c r="Y5068" s="9"/>
    </row>
    <row r="5069" spans="3:27" x14ac:dyDescent="0.35">
      <c r="C5069" s="15" t="s">
        <v>8</v>
      </c>
      <c r="E5069" s="15" t="s">
        <v>8</v>
      </c>
      <c r="H5069" s="15" t="s">
        <v>8</v>
      </c>
      <c r="I5069" s="15" t="s">
        <v>8</v>
      </c>
      <c r="J5069" s="15" t="s">
        <v>8</v>
      </c>
      <c r="K5069" s="15" t="s">
        <v>8</v>
      </c>
      <c r="O5069" s="15" t="s">
        <v>8</v>
      </c>
      <c r="Q5069" s="15" t="s">
        <v>8</v>
      </c>
      <c r="S5069" s="15" t="s">
        <v>8</v>
      </c>
      <c r="T5069" s="15" t="s">
        <v>8</v>
      </c>
      <c r="U5069" s="8" t="s">
        <v>3</v>
      </c>
      <c r="V5069" s="15" t="s">
        <v>8</v>
      </c>
    </row>
    <row r="5070" spans="3:27" x14ac:dyDescent="0.35">
      <c r="C5070" s="15" t="s">
        <v>8</v>
      </c>
      <c r="E5070" s="15" t="s">
        <v>8</v>
      </c>
      <c r="H5070" s="15" t="s">
        <v>8</v>
      </c>
      <c r="I5070" s="15" t="s">
        <v>8</v>
      </c>
      <c r="J5070" s="15" t="s">
        <v>8</v>
      </c>
      <c r="K5070" s="15" t="s">
        <v>8</v>
      </c>
      <c r="O5070" s="15" t="s">
        <v>8</v>
      </c>
      <c r="Q5070" s="15" t="s">
        <v>8</v>
      </c>
      <c r="S5070" s="15" t="s">
        <v>8</v>
      </c>
      <c r="T5070" s="15" t="s">
        <v>8</v>
      </c>
      <c r="U5070" s="15" t="s">
        <v>8</v>
      </c>
      <c r="V5070" s="15" t="s">
        <v>8</v>
      </c>
      <c r="W5070" s="19" t="str">
        <f>HYPERLINK("http://yeinfo.com/family/I09066304.html", "JOHN SAVAGE &lt;2&gt; 1311 EN-1336 EN ID:09066475")</f>
        <v>JOHN SAVAGE &lt;2&gt; 1311 EN-1336 EN ID:09066475</v>
      </c>
      <c r="X5070" s="9"/>
      <c r="Y5070" s="9"/>
      <c r="Z5070" s="9"/>
      <c r="AA5070" s="9"/>
    </row>
    <row r="5071" spans="3:27" x14ac:dyDescent="0.35">
      <c r="C5071" s="15" t="s">
        <v>8</v>
      </c>
      <c r="E5071" s="15" t="s">
        <v>8</v>
      </c>
      <c r="H5071" s="15" t="s">
        <v>8</v>
      </c>
      <c r="I5071" s="15" t="s">
        <v>8</v>
      </c>
      <c r="J5071" s="15" t="s">
        <v>8</v>
      </c>
      <c r="K5071" s="15" t="s">
        <v>8</v>
      </c>
      <c r="O5071" s="15" t="s">
        <v>8</v>
      </c>
      <c r="Q5071" s="15" t="s">
        <v>8</v>
      </c>
      <c r="S5071" s="15" t="s">
        <v>8</v>
      </c>
      <c r="T5071" s="15" t="s">
        <v>8</v>
      </c>
      <c r="U5071" s="15" t="s">
        <v>8</v>
      </c>
      <c r="V5071" s="8" t="s">
        <v>6</v>
      </c>
      <c r="W5071" s="8" t="s">
        <v>3</v>
      </c>
    </row>
    <row r="5072" spans="3:27" x14ac:dyDescent="0.35">
      <c r="C5072" s="15" t="s">
        <v>8</v>
      </c>
      <c r="E5072" s="15" t="s">
        <v>8</v>
      </c>
      <c r="H5072" s="15" t="s">
        <v>8</v>
      </c>
      <c r="I5072" s="15" t="s">
        <v>8</v>
      </c>
      <c r="J5072" s="15" t="s">
        <v>8</v>
      </c>
      <c r="K5072" s="15" t="s">
        <v>8</v>
      </c>
      <c r="O5072" s="15" t="s">
        <v>8</v>
      </c>
      <c r="Q5072" s="15" t="s">
        <v>8</v>
      </c>
      <c r="S5072" s="15" t="s">
        <v>8</v>
      </c>
      <c r="T5072" s="15" t="s">
        <v>8</v>
      </c>
      <c r="U5072" s="15" t="s">
        <v>8</v>
      </c>
      <c r="V5072" s="20" t="str">
        <f>HYPERLINK("http://yeinfo.com/family/I09066446.html", "ANNE SAVAGE &lt;2&gt; 1336 EN-1398 EN ID:09066304")</f>
        <v>ANNE SAVAGE &lt;2&gt; 1336 EN-1398 EN ID:09066304</v>
      </c>
      <c r="W5072" s="17"/>
      <c r="X5072" s="17"/>
      <c r="Y5072" s="17"/>
      <c r="Z5072" s="17"/>
    </row>
    <row r="5073" spans="3:27" x14ac:dyDescent="0.35">
      <c r="C5073" s="15" t="s">
        <v>8</v>
      </c>
      <c r="E5073" s="15" t="s">
        <v>8</v>
      </c>
      <c r="H5073" s="15" t="s">
        <v>8</v>
      </c>
      <c r="I5073" s="15" t="s">
        <v>8</v>
      </c>
      <c r="J5073" s="15" t="s">
        <v>8</v>
      </c>
      <c r="K5073" s="15" t="s">
        <v>8</v>
      </c>
      <c r="O5073" s="15" t="s">
        <v>8</v>
      </c>
      <c r="Q5073" s="15" t="s">
        <v>8</v>
      </c>
      <c r="S5073" s="15" t="s">
        <v>8</v>
      </c>
      <c r="T5073" s="15" t="s">
        <v>8</v>
      </c>
      <c r="U5073" s="15" t="s">
        <v>8</v>
      </c>
      <c r="W5073" s="8" t="s">
        <v>6</v>
      </c>
    </row>
    <row r="5074" spans="3:27" x14ac:dyDescent="0.35">
      <c r="C5074" s="15" t="s">
        <v>8</v>
      </c>
      <c r="E5074" s="15" t="s">
        <v>8</v>
      </c>
      <c r="H5074" s="15" t="s">
        <v>8</v>
      </c>
      <c r="I5074" s="15" t="s">
        <v>8</v>
      </c>
      <c r="J5074" s="15" t="s">
        <v>8</v>
      </c>
      <c r="K5074" s="15" t="s">
        <v>8</v>
      </c>
      <c r="O5074" s="15" t="s">
        <v>8</v>
      </c>
      <c r="Q5074" s="15" t="s">
        <v>8</v>
      </c>
      <c r="S5074" s="15" t="s">
        <v>8</v>
      </c>
      <c r="T5074" s="15" t="s">
        <v>8</v>
      </c>
      <c r="U5074" s="15" t="s">
        <v>8</v>
      </c>
      <c r="W5074" s="20" t="str">
        <f>HYPERLINK("http://yeinfo.com/family/I09066475.html", "ELIZABETH BRERTON &lt;2&gt; 1316 EN-1336 EN ID:09066445")</f>
        <v>ELIZABETH BRERTON &lt;2&gt; 1316 EN-1336 EN ID:09066445</v>
      </c>
      <c r="X5074" s="17"/>
      <c r="Y5074" s="17"/>
      <c r="Z5074" s="17"/>
      <c r="AA5074" s="17"/>
    </row>
    <row r="5075" spans="3:27" x14ac:dyDescent="0.35">
      <c r="C5075" s="15" t="s">
        <v>8</v>
      </c>
      <c r="E5075" s="15" t="s">
        <v>8</v>
      </c>
      <c r="H5075" s="15" t="s">
        <v>8</v>
      </c>
      <c r="I5075" s="15" t="s">
        <v>8</v>
      </c>
      <c r="J5075" s="15" t="s">
        <v>8</v>
      </c>
      <c r="K5075" s="15" t="s">
        <v>8</v>
      </c>
      <c r="O5075" s="15" t="s">
        <v>8</v>
      </c>
      <c r="Q5075" s="15" t="s">
        <v>8</v>
      </c>
      <c r="S5075" s="15" t="s">
        <v>8</v>
      </c>
      <c r="T5075" s="8" t="s">
        <v>6</v>
      </c>
      <c r="U5075" s="15" t="s">
        <v>8</v>
      </c>
    </row>
    <row r="5076" spans="3:27" x14ac:dyDescent="0.35">
      <c r="C5076" s="15" t="s">
        <v>8</v>
      </c>
      <c r="E5076" s="15" t="s">
        <v>8</v>
      </c>
      <c r="H5076" s="15" t="s">
        <v>8</v>
      </c>
      <c r="I5076" s="15" t="s">
        <v>8</v>
      </c>
      <c r="J5076" s="15" t="s">
        <v>8</v>
      </c>
      <c r="K5076" s="15" t="s">
        <v>8</v>
      </c>
      <c r="O5076" s="15" t="s">
        <v>8</v>
      </c>
      <c r="Q5076" s="15" t="s">
        <v>8</v>
      </c>
      <c r="S5076" s="15" t="s">
        <v>8</v>
      </c>
      <c r="T5076" s="20" t="str">
        <f>HYPERLINK("http://yeinfo.com/family/I09066474.html", "MARGARET PILKINGTON &lt;2&gt; 1383 EN-1445 EN ID:09065938")</f>
        <v>MARGARET PILKINGTON &lt;2&gt; 1383 EN-1445 EN ID:09065938</v>
      </c>
      <c r="U5076" s="17"/>
      <c r="V5076" s="17"/>
      <c r="W5076" s="17"/>
      <c r="X5076" s="17"/>
    </row>
    <row r="5077" spans="3:27" x14ac:dyDescent="0.35">
      <c r="C5077" s="15" t="s">
        <v>8</v>
      </c>
      <c r="E5077" s="15" t="s">
        <v>8</v>
      </c>
      <c r="H5077" s="15" t="s">
        <v>8</v>
      </c>
      <c r="I5077" s="15" t="s">
        <v>8</v>
      </c>
      <c r="J5077" s="15" t="s">
        <v>8</v>
      </c>
      <c r="K5077" s="15" t="s">
        <v>8</v>
      </c>
      <c r="O5077" s="15" t="s">
        <v>8</v>
      </c>
      <c r="Q5077" s="15" t="s">
        <v>8</v>
      </c>
      <c r="S5077" s="15" t="s">
        <v>8</v>
      </c>
      <c r="U5077" s="15" t="s">
        <v>8</v>
      </c>
    </row>
    <row r="5078" spans="3:27" x14ac:dyDescent="0.35">
      <c r="C5078" s="15" t="s">
        <v>8</v>
      </c>
      <c r="E5078" s="15" t="s">
        <v>8</v>
      </c>
      <c r="H5078" s="15" t="s">
        <v>8</v>
      </c>
      <c r="I5078" s="15" t="s">
        <v>8</v>
      </c>
      <c r="J5078" s="15" t="s">
        <v>8</v>
      </c>
      <c r="K5078" s="15" t="s">
        <v>8</v>
      </c>
      <c r="O5078" s="15" t="s">
        <v>8</v>
      </c>
      <c r="Q5078" s="15" t="s">
        <v>8</v>
      </c>
      <c r="S5078" s="15" t="s">
        <v>8</v>
      </c>
      <c r="U5078" s="15" t="s">
        <v>8</v>
      </c>
      <c r="W5078" s="19" t="str">
        <f>HYPERLINK("http://yeinfo.com/family/I09066313.html", "JOHN VERDUN &lt;2&gt; 1299 EN-1376 EN ID:09066483")</f>
        <v>JOHN VERDUN &lt;2&gt; 1299 EN-1376 EN ID:09066483</v>
      </c>
      <c r="X5078" s="9"/>
      <c r="Y5078" s="9"/>
      <c r="Z5078" s="9"/>
      <c r="AA5078" s="9"/>
    </row>
    <row r="5079" spans="3:27" x14ac:dyDescent="0.35">
      <c r="C5079" s="15" t="s">
        <v>8</v>
      </c>
      <c r="E5079" s="15" t="s">
        <v>8</v>
      </c>
      <c r="H5079" s="15" t="s">
        <v>8</v>
      </c>
      <c r="I5079" s="15" t="s">
        <v>8</v>
      </c>
      <c r="J5079" s="15" t="s">
        <v>8</v>
      </c>
      <c r="K5079" s="15" t="s">
        <v>8</v>
      </c>
      <c r="O5079" s="15" t="s">
        <v>8</v>
      </c>
      <c r="Q5079" s="15" t="s">
        <v>8</v>
      </c>
      <c r="S5079" s="15" t="s">
        <v>8</v>
      </c>
      <c r="U5079" s="15" t="s">
        <v>8</v>
      </c>
      <c r="W5079" s="8" t="s">
        <v>3</v>
      </c>
    </row>
    <row r="5080" spans="3:27" x14ac:dyDescent="0.35">
      <c r="C5080" s="15" t="s">
        <v>8</v>
      </c>
      <c r="E5080" s="15" t="s">
        <v>8</v>
      </c>
      <c r="H5080" s="15" t="s">
        <v>8</v>
      </c>
      <c r="I5080" s="15" t="s">
        <v>8</v>
      </c>
      <c r="J5080" s="15" t="s">
        <v>8</v>
      </c>
      <c r="K5080" s="15" t="s">
        <v>8</v>
      </c>
      <c r="O5080" s="15" t="s">
        <v>8</v>
      </c>
      <c r="Q5080" s="15" t="s">
        <v>8</v>
      </c>
      <c r="S5080" s="15" t="s">
        <v>8</v>
      </c>
      <c r="U5080" s="15" t="s">
        <v>8</v>
      </c>
      <c r="V5080" s="19" t="str">
        <f>HYPERLINK("http://yeinfo.com/family/I09066121.html", "EDMUND VERDUN &lt;2&gt; 1325 EN-1376 EN ID:09066313")</f>
        <v>EDMUND VERDUN &lt;2&gt; 1325 EN-1376 EN ID:09066313</v>
      </c>
      <c r="W5080" s="9"/>
      <c r="X5080" s="9"/>
      <c r="Y5080" s="9"/>
      <c r="Z5080" s="9"/>
    </row>
    <row r="5081" spans="3:27" x14ac:dyDescent="0.35">
      <c r="C5081" s="15" t="s">
        <v>8</v>
      </c>
      <c r="E5081" s="15" t="s">
        <v>8</v>
      </c>
      <c r="H5081" s="15" t="s">
        <v>8</v>
      </c>
      <c r="I5081" s="15" t="s">
        <v>8</v>
      </c>
      <c r="J5081" s="15" t="s">
        <v>8</v>
      </c>
      <c r="K5081" s="15" t="s">
        <v>8</v>
      </c>
      <c r="O5081" s="15" t="s">
        <v>8</v>
      </c>
      <c r="Q5081" s="15" t="s">
        <v>8</v>
      </c>
      <c r="S5081" s="15" t="s">
        <v>8</v>
      </c>
      <c r="U5081" s="15" t="s">
        <v>8</v>
      </c>
      <c r="V5081" s="8" t="s">
        <v>3</v>
      </c>
      <c r="W5081" s="8" t="s">
        <v>6</v>
      </c>
    </row>
    <row r="5082" spans="3:27" x14ac:dyDescent="0.35">
      <c r="C5082" s="15" t="s">
        <v>8</v>
      </c>
      <c r="E5082" s="15" t="s">
        <v>8</v>
      </c>
      <c r="H5082" s="15" t="s">
        <v>8</v>
      </c>
      <c r="I5082" s="15" t="s">
        <v>8</v>
      </c>
      <c r="J5082" s="15" t="s">
        <v>8</v>
      </c>
      <c r="K5082" s="15" t="s">
        <v>8</v>
      </c>
      <c r="O5082" s="15" t="s">
        <v>8</v>
      </c>
      <c r="Q5082" s="15" t="s">
        <v>8</v>
      </c>
      <c r="S5082" s="15" t="s">
        <v>8</v>
      </c>
      <c r="U5082" s="15" t="s">
        <v>8</v>
      </c>
      <c r="V5082" s="15" t="s">
        <v>8</v>
      </c>
      <c r="W5082" s="20" t="str">
        <f>HYPERLINK("http://yeinfo.com/family/I09066483.html", "Mrs. AGNES VERDUN &lt;2&gt; 1308 EN-1328 EN ID:09066482")</f>
        <v>Mrs. AGNES VERDUN &lt;2&gt; 1308 EN-1328 EN ID:09066482</v>
      </c>
      <c r="X5082" s="17"/>
      <c r="Y5082" s="17"/>
      <c r="Z5082" s="17"/>
      <c r="AA5082" s="17"/>
    </row>
    <row r="5083" spans="3:27" x14ac:dyDescent="0.35">
      <c r="C5083" s="15" t="s">
        <v>8</v>
      </c>
      <c r="E5083" s="15" t="s">
        <v>8</v>
      </c>
      <c r="H5083" s="15" t="s">
        <v>8</v>
      </c>
      <c r="I5083" s="15" t="s">
        <v>8</v>
      </c>
      <c r="J5083" s="15" t="s">
        <v>8</v>
      </c>
      <c r="K5083" s="15" t="s">
        <v>8</v>
      </c>
      <c r="O5083" s="15" t="s">
        <v>8</v>
      </c>
      <c r="Q5083" s="15" t="s">
        <v>8</v>
      </c>
      <c r="S5083" s="15" t="s">
        <v>8</v>
      </c>
      <c r="U5083" s="8" t="s">
        <v>6</v>
      </c>
      <c r="V5083" s="15" t="s">
        <v>8</v>
      </c>
    </row>
    <row r="5084" spans="3:27" x14ac:dyDescent="0.35">
      <c r="C5084" s="15" t="s">
        <v>8</v>
      </c>
      <c r="E5084" s="15" t="s">
        <v>8</v>
      </c>
      <c r="H5084" s="15" t="s">
        <v>8</v>
      </c>
      <c r="I5084" s="15" t="s">
        <v>8</v>
      </c>
      <c r="J5084" s="15" t="s">
        <v>8</v>
      </c>
      <c r="K5084" s="15" t="s">
        <v>8</v>
      </c>
      <c r="O5084" s="15" t="s">
        <v>8</v>
      </c>
      <c r="Q5084" s="15" t="s">
        <v>8</v>
      </c>
      <c r="S5084" s="15" t="s">
        <v>8</v>
      </c>
      <c r="U5084" s="20" t="str">
        <f>HYPERLINK("http://yeinfo.com/family/I09066445.html", "MARGARET VERDUN &lt;2&gt; 1356 EN-1436 EN ID:09066121")</f>
        <v>MARGARET VERDUN &lt;2&gt; 1356 EN-1436 EN ID:09066121</v>
      </c>
      <c r="V5084" s="17"/>
      <c r="W5084" s="17"/>
      <c r="X5084" s="17"/>
      <c r="Y5084" s="17"/>
    </row>
    <row r="5085" spans="3:27" x14ac:dyDescent="0.35">
      <c r="C5085" s="15" t="s">
        <v>8</v>
      </c>
      <c r="E5085" s="15" t="s">
        <v>8</v>
      </c>
      <c r="H5085" s="15" t="s">
        <v>8</v>
      </c>
      <c r="I5085" s="15" t="s">
        <v>8</v>
      </c>
      <c r="J5085" s="15" t="s">
        <v>8</v>
      </c>
      <c r="K5085" s="15" t="s">
        <v>8</v>
      </c>
      <c r="O5085" s="15" t="s">
        <v>8</v>
      </c>
      <c r="Q5085" s="15" t="s">
        <v>8</v>
      </c>
      <c r="S5085" s="15" t="s">
        <v>8</v>
      </c>
      <c r="V5085" s="8" t="s">
        <v>6</v>
      </c>
    </row>
    <row r="5086" spans="3:27" x14ac:dyDescent="0.35">
      <c r="C5086" s="15" t="s">
        <v>8</v>
      </c>
      <c r="E5086" s="15" t="s">
        <v>8</v>
      </c>
      <c r="H5086" s="15" t="s">
        <v>8</v>
      </c>
      <c r="I5086" s="15" t="s">
        <v>8</v>
      </c>
      <c r="J5086" s="15" t="s">
        <v>8</v>
      </c>
      <c r="K5086" s="15" t="s">
        <v>8</v>
      </c>
      <c r="O5086" s="15" t="s">
        <v>8</v>
      </c>
      <c r="Q5086" s="15" t="s">
        <v>8</v>
      </c>
      <c r="S5086" s="15" t="s">
        <v>8</v>
      </c>
      <c r="V5086" s="20" t="str">
        <f>HYPERLINK("http://yeinfo.com/family/I09066482.html", "Mrs. JOAN VERDUN &lt;2&gt; 1330 EN-1356 EN ID:09066312")</f>
        <v>Mrs. JOAN VERDUN &lt;2&gt; 1330 EN-1356 EN ID:09066312</v>
      </c>
      <c r="W5086" s="17"/>
      <c r="X5086" s="17"/>
      <c r="Y5086" s="17"/>
      <c r="Z5086" s="17"/>
    </row>
    <row r="5087" spans="3:27" x14ac:dyDescent="0.35">
      <c r="C5087" s="15" t="s">
        <v>8</v>
      </c>
      <c r="E5087" s="15" t="s">
        <v>8</v>
      </c>
      <c r="H5087" s="15" t="s">
        <v>8</v>
      </c>
      <c r="I5087" s="15" t="s">
        <v>8</v>
      </c>
      <c r="J5087" s="15" t="s">
        <v>8</v>
      </c>
      <c r="K5087" s="15" t="s">
        <v>8</v>
      </c>
      <c r="O5087" s="15" t="s">
        <v>8</v>
      </c>
      <c r="Q5087" s="15" t="s">
        <v>8</v>
      </c>
      <c r="S5087" s="15" t="s">
        <v>8</v>
      </c>
    </row>
    <row r="5088" spans="3:27" x14ac:dyDescent="0.35">
      <c r="C5088" s="15" t="s">
        <v>8</v>
      </c>
      <c r="E5088" s="15" t="s">
        <v>8</v>
      </c>
      <c r="H5088" s="15" t="s">
        <v>8</v>
      </c>
      <c r="I5088" s="15" t="s">
        <v>8</v>
      </c>
      <c r="J5088" s="15" t="s">
        <v>8</v>
      </c>
      <c r="K5088" s="15" t="s">
        <v>8</v>
      </c>
      <c r="O5088" s="15" t="s">
        <v>8</v>
      </c>
      <c r="Q5088" s="15" t="s">
        <v>8</v>
      </c>
      <c r="R5088" s="19" t="str">
        <f>HYPERLINK("http://yeinfo.com/family/I09045379.html", "NICHOLAS SAVILLE &lt;2&gt; 1440 EN-1481 EN ID:09065666")</f>
        <v>NICHOLAS SAVILLE &lt;2&gt; 1440 EN-1481 EN ID:09065666</v>
      </c>
      <c r="S5088" s="9"/>
      <c r="T5088" s="9"/>
      <c r="U5088" s="9"/>
      <c r="V5088" s="9"/>
    </row>
    <row r="5089" spans="3:27" x14ac:dyDescent="0.35">
      <c r="C5089" s="15" t="s">
        <v>8</v>
      </c>
      <c r="E5089" s="15" t="s">
        <v>8</v>
      </c>
      <c r="H5089" s="15" t="s">
        <v>8</v>
      </c>
      <c r="I5089" s="15" t="s">
        <v>8</v>
      </c>
      <c r="J5089" s="15" t="s">
        <v>8</v>
      </c>
      <c r="K5089" s="15" t="s">
        <v>8</v>
      </c>
      <c r="O5089" s="15" t="s">
        <v>8</v>
      </c>
      <c r="Q5089" s="15" t="s">
        <v>8</v>
      </c>
      <c r="R5089" s="8" t="s">
        <v>3</v>
      </c>
      <c r="S5089" s="15" t="s">
        <v>8</v>
      </c>
    </row>
    <row r="5090" spans="3:27" x14ac:dyDescent="0.35">
      <c r="C5090" s="15" t="s">
        <v>8</v>
      </c>
      <c r="E5090" s="15" t="s">
        <v>8</v>
      </c>
      <c r="H5090" s="15" t="s">
        <v>8</v>
      </c>
      <c r="I5090" s="15" t="s">
        <v>8</v>
      </c>
      <c r="J5090" s="15" t="s">
        <v>8</v>
      </c>
      <c r="K5090" s="15" t="s">
        <v>8</v>
      </c>
      <c r="O5090" s="15" t="s">
        <v>8</v>
      </c>
      <c r="Q5090" s="15" t="s">
        <v>8</v>
      </c>
      <c r="R5090" s="15" t="s">
        <v>8</v>
      </c>
      <c r="S5090" s="15" t="s">
        <v>8</v>
      </c>
      <c r="W5090" s="19" t="str">
        <f>HYPERLINK("http://yeinfo.com/family/I09066291.html", "WILLIAM GASCOIGNE &lt;2&gt; 1250 EN-1330 EN ID:09066464")</f>
        <v>WILLIAM GASCOIGNE &lt;2&gt; 1250 EN-1330 EN ID:09066464</v>
      </c>
      <c r="X5090" s="9"/>
      <c r="Y5090" s="9"/>
      <c r="Z5090" s="9"/>
      <c r="AA5090" s="9"/>
    </row>
    <row r="5091" spans="3:27" x14ac:dyDescent="0.35">
      <c r="C5091" s="15" t="s">
        <v>8</v>
      </c>
      <c r="E5091" s="15" t="s">
        <v>8</v>
      </c>
      <c r="H5091" s="15" t="s">
        <v>8</v>
      </c>
      <c r="I5091" s="15" t="s">
        <v>8</v>
      </c>
      <c r="J5091" s="15" t="s">
        <v>8</v>
      </c>
      <c r="K5091" s="15" t="s">
        <v>8</v>
      </c>
      <c r="O5091" s="15" t="s">
        <v>8</v>
      </c>
      <c r="Q5091" s="15" t="s">
        <v>8</v>
      </c>
      <c r="R5091" s="15" t="s">
        <v>8</v>
      </c>
      <c r="S5091" s="15" t="s">
        <v>8</v>
      </c>
      <c r="W5091" s="8" t="s">
        <v>3</v>
      </c>
    </row>
    <row r="5092" spans="3:27" x14ac:dyDescent="0.35">
      <c r="C5092" s="15" t="s">
        <v>8</v>
      </c>
      <c r="E5092" s="15" t="s">
        <v>8</v>
      </c>
      <c r="H5092" s="15" t="s">
        <v>8</v>
      </c>
      <c r="I5092" s="15" t="s">
        <v>8</v>
      </c>
      <c r="J5092" s="15" t="s">
        <v>8</v>
      </c>
      <c r="K5092" s="15" t="s">
        <v>8</v>
      </c>
      <c r="O5092" s="15" t="s">
        <v>8</v>
      </c>
      <c r="Q5092" s="15" t="s">
        <v>8</v>
      </c>
      <c r="R5092" s="15" t="s">
        <v>8</v>
      </c>
      <c r="S5092" s="15" t="s">
        <v>8</v>
      </c>
      <c r="V5092" s="19" t="str">
        <f>HYPERLINK("http://yeinfo.com/family/I09066090.html", "WILLIAM GASCOIGNE Sr. &lt;2&gt; 1293 EN-1378 EN ID:09066291")</f>
        <v>WILLIAM GASCOIGNE Sr. &lt;2&gt; 1293 EN-1378 EN ID:09066291</v>
      </c>
      <c r="W5092" s="9"/>
      <c r="X5092" s="9"/>
      <c r="Y5092" s="9"/>
      <c r="Z5092" s="9"/>
    </row>
    <row r="5093" spans="3:27" x14ac:dyDescent="0.35">
      <c r="C5093" s="15" t="s">
        <v>8</v>
      </c>
      <c r="E5093" s="15" t="s">
        <v>8</v>
      </c>
      <c r="H5093" s="15" t="s">
        <v>8</v>
      </c>
      <c r="I5093" s="15" t="s">
        <v>8</v>
      </c>
      <c r="J5093" s="15" t="s">
        <v>8</v>
      </c>
      <c r="K5093" s="15" t="s">
        <v>8</v>
      </c>
      <c r="O5093" s="15" t="s">
        <v>8</v>
      </c>
      <c r="Q5093" s="15" t="s">
        <v>8</v>
      </c>
      <c r="R5093" s="15" t="s">
        <v>8</v>
      </c>
      <c r="S5093" s="15" t="s">
        <v>8</v>
      </c>
      <c r="V5093" s="8" t="s">
        <v>3</v>
      </c>
      <c r="W5093" s="8" t="s">
        <v>6</v>
      </c>
    </row>
    <row r="5094" spans="3:27" x14ac:dyDescent="0.35">
      <c r="C5094" s="15" t="s">
        <v>8</v>
      </c>
      <c r="E5094" s="15" t="s">
        <v>8</v>
      </c>
      <c r="H5094" s="15" t="s">
        <v>8</v>
      </c>
      <c r="I5094" s="15" t="s">
        <v>8</v>
      </c>
      <c r="J5094" s="15" t="s">
        <v>8</v>
      </c>
      <c r="K5094" s="15" t="s">
        <v>8</v>
      </c>
      <c r="O5094" s="15" t="s">
        <v>8</v>
      </c>
      <c r="Q5094" s="15" t="s">
        <v>8</v>
      </c>
      <c r="R5094" s="15" t="s">
        <v>8</v>
      </c>
      <c r="S5094" s="15" t="s">
        <v>8</v>
      </c>
      <c r="V5094" s="15" t="s">
        <v>8</v>
      </c>
      <c r="W5094" s="20" t="str">
        <f>HYPERLINK("http://yeinfo.com/family/I09066464.html", "Mrs. MATILDA GASCOIGNE &lt;2&gt; 1264 EN-1317 EN ID:09066463")</f>
        <v>Mrs. MATILDA GASCOIGNE &lt;2&gt; 1264 EN-1317 EN ID:09066463</v>
      </c>
      <c r="X5094" s="17"/>
      <c r="Y5094" s="17"/>
      <c r="Z5094" s="17"/>
      <c r="AA5094" s="17"/>
    </row>
    <row r="5095" spans="3:27" x14ac:dyDescent="0.35">
      <c r="C5095" s="15" t="s">
        <v>8</v>
      </c>
      <c r="E5095" s="15" t="s">
        <v>8</v>
      </c>
      <c r="H5095" s="15" t="s">
        <v>8</v>
      </c>
      <c r="I5095" s="15" t="s">
        <v>8</v>
      </c>
      <c r="J5095" s="15" t="s">
        <v>8</v>
      </c>
      <c r="K5095" s="15" t="s">
        <v>8</v>
      </c>
      <c r="O5095" s="15" t="s">
        <v>8</v>
      </c>
      <c r="Q5095" s="15" t="s">
        <v>8</v>
      </c>
      <c r="R5095" s="15" t="s">
        <v>8</v>
      </c>
      <c r="S5095" s="15" t="s">
        <v>8</v>
      </c>
      <c r="V5095" s="15" t="s">
        <v>8</v>
      </c>
    </row>
    <row r="5096" spans="3:27" x14ac:dyDescent="0.35">
      <c r="C5096" s="15" t="s">
        <v>8</v>
      </c>
      <c r="E5096" s="15" t="s">
        <v>8</v>
      </c>
      <c r="H5096" s="15" t="s">
        <v>8</v>
      </c>
      <c r="I5096" s="15" t="s">
        <v>8</v>
      </c>
      <c r="J5096" s="15" t="s">
        <v>8</v>
      </c>
      <c r="K5096" s="15" t="s">
        <v>8</v>
      </c>
      <c r="O5096" s="15" t="s">
        <v>8</v>
      </c>
      <c r="Q5096" s="15" t="s">
        <v>8</v>
      </c>
      <c r="R5096" s="15" t="s">
        <v>8</v>
      </c>
      <c r="S5096" s="15" t="s">
        <v>8</v>
      </c>
      <c r="U5096" s="19" t="str">
        <f>HYPERLINK("http://yeinfo.com/family/I09065925.html", "WILLIAM GASCOIGNE &lt;2&gt; 1350 EN-1419 EN ID:09066090")</f>
        <v>WILLIAM GASCOIGNE &lt;2&gt; 1350 EN-1419 EN ID:09066090</v>
      </c>
      <c r="V5096" s="9"/>
      <c r="W5096" s="9"/>
      <c r="X5096" s="9"/>
      <c r="Y5096" s="9"/>
    </row>
    <row r="5097" spans="3:27" x14ac:dyDescent="0.35">
      <c r="C5097" s="15" t="s">
        <v>8</v>
      </c>
      <c r="E5097" s="15" t="s">
        <v>8</v>
      </c>
      <c r="H5097" s="15" t="s">
        <v>8</v>
      </c>
      <c r="I5097" s="15" t="s">
        <v>8</v>
      </c>
      <c r="J5097" s="15" t="s">
        <v>8</v>
      </c>
      <c r="K5097" s="15" t="s">
        <v>8</v>
      </c>
      <c r="O5097" s="15" t="s">
        <v>8</v>
      </c>
      <c r="Q5097" s="15" t="s">
        <v>8</v>
      </c>
      <c r="R5097" s="15" t="s">
        <v>8</v>
      </c>
      <c r="S5097" s="15" t="s">
        <v>8</v>
      </c>
      <c r="U5097" s="8" t="s">
        <v>3</v>
      </c>
      <c r="V5097" s="15" t="s">
        <v>8</v>
      </c>
    </row>
    <row r="5098" spans="3:27" x14ac:dyDescent="0.35">
      <c r="C5098" s="15" t="s">
        <v>8</v>
      </c>
      <c r="E5098" s="15" t="s">
        <v>8</v>
      </c>
      <c r="H5098" s="15" t="s">
        <v>8</v>
      </c>
      <c r="I5098" s="15" t="s">
        <v>8</v>
      </c>
      <c r="J5098" s="15" t="s">
        <v>8</v>
      </c>
      <c r="K5098" s="15" t="s">
        <v>8</v>
      </c>
      <c r="O5098" s="15" t="s">
        <v>8</v>
      </c>
      <c r="Q5098" s="15" t="s">
        <v>8</v>
      </c>
      <c r="R5098" s="15" t="s">
        <v>8</v>
      </c>
      <c r="S5098" s="15" t="s">
        <v>8</v>
      </c>
      <c r="U5098" s="15" t="s">
        <v>8</v>
      </c>
      <c r="V5098" s="15" t="s">
        <v>8</v>
      </c>
      <c r="W5098" s="19" t="str">
        <f>HYPERLINK("http://yeinfo.com/family/I09066289.html", "NICHOLAS FRANKE &lt;2&gt; 1285 EN-1377 EN ID:09066459")</f>
        <v>NICHOLAS FRANKE &lt;2&gt; 1285 EN-1377 EN ID:09066459</v>
      </c>
      <c r="X5098" s="9"/>
      <c r="Y5098" s="9"/>
      <c r="Z5098" s="9"/>
      <c r="AA5098" s="9"/>
    </row>
    <row r="5099" spans="3:27" x14ac:dyDescent="0.35">
      <c r="C5099" s="15" t="s">
        <v>8</v>
      </c>
      <c r="E5099" s="15" t="s">
        <v>8</v>
      </c>
      <c r="H5099" s="15" t="s">
        <v>8</v>
      </c>
      <c r="I5099" s="15" t="s">
        <v>8</v>
      </c>
      <c r="J5099" s="15" t="s">
        <v>8</v>
      </c>
      <c r="K5099" s="15" t="s">
        <v>8</v>
      </c>
      <c r="O5099" s="15" t="s">
        <v>8</v>
      </c>
      <c r="Q5099" s="15" t="s">
        <v>8</v>
      </c>
      <c r="R5099" s="15" t="s">
        <v>8</v>
      </c>
      <c r="S5099" s="15" t="s">
        <v>8</v>
      </c>
      <c r="U5099" s="15" t="s">
        <v>8</v>
      </c>
      <c r="V5099" s="8" t="s">
        <v>6</v>
      </c>
      <c r="W5099" s="8" t="s">
        <v>3</v>
      </c>
    </row>
    <row r="5100" spans="3:27" x14ac:dyDescent="0.35">
      <c r="C5100" s="15" t="s">
        <v>8</v>
      </c>
      <c r="E5100" s="15" t="s">
        <v>8</v>
      </c>
      <c r="H5100" s="15" t="s">
        <v>8</v>
      </c>
      <c r="I5100" s="15" t="s">
        <v>8</v>
      </c>
      <c r="J5100" s="15" t="s">
        <v>8</v>
      </c>
      <c r="K5100" s="15" t="s">
        <v>8</v>
      </c>
      <c r="O5100" s="15" t="s">
        <v>8</v>
      </c>
      <c r="Q5100" s="15" t="s">
        <v>8</v>
      </c>
      <c r="R5100" s="15" t="s">
        <v>8</v>
      </c>
      <c r="S5100" s="15" t="s">
        <v>8</v>
      </c>
      <c r="U5100" s="15" t="s">
        <v>8</v>
      </c>
      <c r="V5100" s="20" t="str">
        <f>HYPERLINK("http://yeinfo.com/family/I09066463.html", "AGNES FRANKE &lt;2&gt; 1312 EN-1389 EN ID:09066289")</f>
        <v>AGNES FRANKE &lt;2&gt; 1312 EN-1389 EN ID:09066289</v>
      </c>
      <c r="W5100" s="17"/>
      <c r="X5100" s="17"/>
      <c r="Y5100" s="17"/>
      <c r="Z5100" s="17"/>
    </row>
    <row r="5101" spans="3:27" x14ac:dyDescent="0.35">
      <c r="C5101" s="15" t="s">
        <v>8</v>
      </c>
      <c r="E5101" s="15" t="s">
        <v>8</v>
      </c>
      <c r="H5101" s="15" t="s">
        <v>8</v>
      </c>
      <c r="I5101" s="15" t="s">
        <v>8</v>
      </c>
      <c r="J5101" s="15" t="s">
        <v>8</v>
      </c>
      <c r="K5101" s="15" t="s">
        <v>8</v>
      </c>
      <c r="O5101" s="15" t="s">
        <v>8</v>
      </c>
      <c r="Q5101" s="15" t="s">
        <v>8</v>
      </c>
      <c r="R5101" s="15" t="s">
        <v>8</v>
      </c>
      <c r="S5101" s="15" t="s">
        <v>8</v>
      </c>
      <c r="U5101" s="15" t="s">
        <v>8</v>
      </c>
      <c r="W5101" s="8" t="s">
        <v>6</v>
      </c>
    </row>
    <row r="5102" spans="3:27" x14ac:dyDescent="0.35">
      <c r="C5102" s="15" t="s">
        <v>8</v>
      </c>
      <c r="E5102" s="15" t="s">
        <v>8</v>
      </c>
      <c r="H5102" s="15" t="s">
        <v>8</v>
      </c>
      <c r="I5102" s="15" t="s">
        <v>8</v>
      </c>
      <c r="J5102" s="15" t="s">
        <v>8</v>
      </c>
      <c r="K5102" s="15" t="s">
        <v>8</v>
      </c>
      <c r="O5102" s="15" t="s">
        <v>8</v>
      </c>
      <c r="Q5102" s="15" t="s">
        <v>8</v>
      </c>
      <c r="R5102" s="15" t="s">
        <v>8</v>
      </c>
      <c r="S5102" s="15" t="s">
        <v>8</v>
      </c>
      <c r="U5102" s="15" t="s">
        <v>8</v>
      </c>
      <c r="W5102" s="20" t="str">
        <f>HYPERLINK("http://yeinfo.com/family/I09066459.html", "KATHERINE ELLIS &lt;2&gt; 1288 EN-1377 EN ID:09066450")</f>
        <v>KATHERINE ELLIS &lt;2&gt; 1288 EN-1377 EN ID:09066450</v>
      </c>
      <c r="X5102" s="17"/>
      <c r="Y5102" s="17"/>
      <c r="Z5102" s="17"/>
      <c r="AA5102" s="17"/>
    </row>
    <row r="5103" spans="3:27" x14ac:dyDescent="0.35">
      <c r="C5103" s="15" t="s">
        <v>8</v>
      </c>
      <c r="E5103" s="15" t="s">
        <v>8</v>
      </c>
      <c r="H5103" s="15" t="s">
        <v>8</v>
      </c>
      <c r="I5103" s="15" t="s">
        <v>8</v>
      </c>
      <c r="J5103" s="15" t="s">
        <v>8</v>
      </c>
      <c r="K5103" s="15" t="s">
        <v>8</v>
      </c>
      <c r="O5103" s="15" t="s">
        <v>8</v>
      </c>
      <c r="Q5103" s="15" t="s">
        <v>8</v>
      </c>
      <c r="R5103" s="15" t="s">
        <v>8</v>
      </c>
      <c r="S5103" s="15" t="s">
        <v>8</v>
      </c>
      <c r="U5103" s="15" t="s">
        <v>8</v>
      </c>
    </row>
    <row r="5104" spans="3:27" x14ac:dyDescent="0.35">
      <c r="C5104" s="15" t="s">
        <v>8</v>
      </c>
      <c r="E5104" s="15" t="s">
        <v>8</v>
      </c>
      <c r="H5104" s="15" t="s">
        <v>8</v>
      </c>
      <c r="I5104" s="15" t="s">
        <v>8</v>
      </c>
      <c r="J5104" s="15" t="s">
        <v>8</v>
      </c>
      <c r="K5104" s="15" t="s">
        <v>8</v>
      </c>
      <c r="O5104" s="15" t="s">
        <v>8</v>
      </c>
      <c r="Q5104" s="15" t="s">
        <v>8</v>
      </c>
      <c r="R5104" s="15" t="s">
        <v>8</v>
      </c>
      <c r="S5104" s="15" t="s">
        <v>8</v>
      </c>
      <c r="T5104" s="19" t="str">
        <f>HYPERLINK("http://yeinfo.com/family/I09065778.html", "WILLIAM GASCOIGNE II &lt;2&gt; 1387 EN-1422 EN ID:09065925")</f>
        <v>WILLIAM GASCOIGNE II &lt;2&gt; 1387 EN-1422 EN ID:09065925</v>
      </c>
      <c r="U5104" s="9"/>
      <c r="V5104" s="9"/>
      <c r="W5104" s="9"/>
      <c r="X5104" s="9"/>
    </row>
    <row r="5105" spans="3:25" x14ac:dyDescent="0.35">
      <c r="C5105" s="15" t="s">
        <v>8</v>
      </c>
      <c r="E5105" s="15" t="s">
        <v>8</v>
      </c>
      <c r="H5105" s="15" t="s">
        <v>8</v>
      </c>
      <c r="I5105" s="15" t="s">
        <v>8</v>
      </c>
      <c r="J5105" s="15" t="s">
        <v>8</v>
      </c>
      <c r="K5105" s="15" t="s">
        <v>8</v>
      </c>
      <c r="O5105" s="15" t="s">
        <v>8</v>
      </c>
      <c r="Q5105" s="15" t="s">
        <v>8</v>
      </c>
      <c r="R5105" s="15" t="s">
        <v>8</v>
      </c>
      <c r="S5105" s="15" t="s">
        <v>8</v>
      </c>
      <c r="T5105" s="8" t="s">
        <v>3</v>
      </c>
      <c r="U5105" s="8" t="s">
        <v>6</v>
      </c>
    </row>
    <row r="5106" spans="3:25" x14ac:dyDescent="0.35">
      <c r="C5106" s="15" t="s">
        <v>8</v>
      </c>
      <c r="E5106" s="15" t="s">
        <v>8</v>
      </c>
      <c r="H5106" s="15" t="s">
        <v>8</v>
      </c>
      <c r="I5106" s="15" t="s">
        <v>8</v>
      </c>
      <c r="J5106" s="15" t="s">
        <v>8</v>
      </c>
      <c r="K5106" s="15" t="s">
        <v>8</v>
      </c>
      <c r="O5106" s="15" t="s">
        <v>8</v>
      </c>
      <c r="Q5106" s="15" t="s">
        <v>8</v>
      </c>
      <c r="R5106" s="15" t="s">
        <v>8</v>
      </c>
      <c r="S5106" s="15" t="s">
        <v>8</v>
      </c>
      <c r="T5106" s="15" t="s">
        <v>8</v>
      </c>
      <c r="U5106" s="20" t="str">
        <f>HYPERLINK("http://yeinfo.com/family/I09066450.html", "ELIZABETH MOWBRAY &lt;2&gt; 1340 EN-1403 EN ID:09066104")</f>
        <v>ELIZABETH MOWBRAY &lt;2&gt; 1340 EN-1403 EN ID:09066104</v>
      </c>
      <c r="V5106" s="17"/>
      <c r="W5106" s="17"/>
      <c r="X5106" s="17"/>
      <c r="Y5106" s="17"/>
    </row>
    <row r="5107" spans="3:25" x14ac:dyDescent="0.35">
      <c r="C5107" s="15" t="s">
        <v>8</v>
      </c>
      <c r="E5107" s="15" t="s">
        <v>8</v>
      </c>
      <c r="H5107" s="15" t="s">
        <v>8</v>
      </c>
      <c r="I5107" s="15" t="s">
        <v>8</v>
      </c>
      <c r="J5107" s="15" t="s">
        <v>8</v>
      </c>
      <c r="K5107" s="15" t="s">
        <v>8</v>
      </c>
      <c r="O5107" s="15" t="s">
        <v>8</v>
      </c>
      <c r="Q5107" s="15" t="s">
        <v>8</v>
      </c>
      <c r="R5107" s="15" t="s">
        <v>8</v>
      </c>
      <c r="S5107" s="8" t="s">
        <v>6</v>
      </c>
      <c r="T5107" s="15" t="s">
        <v>8</v>
      </c>
    </row>
    <row r="5108" spans="3:25" x14ac:dyDescent="0.35">
      <c r="C5108" s="15" t="s">
        <v>8</v>
      </c>
      <c r="E5108" s="15" t="s">
        <v>8</v>
      </c>
      <c r="H5108" s="15" t="s">
        <v>8</v>
      </c>
      <c r="I5108" s="15" t="s">
        <v>8</v>
      </c>
      <c r="J5108" s="15" t="s">
        <v>8</v>
      </c>
      <c r="K5108" s="15" t="s">
        <v>8</v>
      </c>
      <c r="O5108" s="15" t="s">
        <v>8</v>
      </c>
      <c r="Q5108" s="15" t="s">
        <v>8</v>
      </c>
      <c r="R5108" s="15" t="s">
        <v>8</v>
      </c>
      <c r="S5108" s="20" t="str">
        <f>HYPERLINK("http://yeinfo.com/family/I09066312.html", "ALICE GASCOIGNE &lt;2&gt; 1415 EN-1482 EN ID:09065778")</f>
        <v>ALICE GASCOIGNE &lt;2&gt; 1415 EN-1482 EN ID:09065778</v>
      </c>
      <c r="T5108" s="17"/>
      <c r="U5108" s="17"/>
      <c r="V5108" s="17"/>
      <c r="W5108" s="17"/>
    </row>
    <row r="5109" spans="3:25" x14ac:dyDescent="0.35">
      <c r="C5109" s="15" t="s">
        <v>8</v>
      </c>
      <c r="E5109" s="15" t="s">
        <v>8</v>
      </c>
      <c r="H5109" s="15" t="s">
        <v>8</v>
      </c>
      <c r="I5109" s="15" t="s">
        <v>8</v>
      </c>
      <c r="J5109" s="15" t="s">
        <v>8</v>
      </c>
      <c r="K5109" s="15" t="s">
        <v>8</v>
      </c>
      <c r="O5109" s="15" t="s">
        <v>8</v>
      </c>
      <c r="Q5109" s="15" t="s">
        <v>8</v>
      </c>
      <c r="R5109" s="15" t="s">
        <v>8</v>
      </c>
      <c r="T5109" s="15" t="s">
        <v>8</v>
      </c>
    </row>
    <row r="5110" spans="3:25" x14ac:dyDescent="0.35">
      <c r="C5110" s="15" t="s">
        <v>8</v>
      </c>
      <c r="E5110" s="15" t="s">
        <v>8</v>
      </c>
      <c r="H5110" s="15" t="s">
        <v>8</v>
      </c>
      <c r="I5110" s="15" t="s">
        <v>8</v>
      </c>
      <c r="J5110" s="15" t="s">
        <v>8</v>
      </c>
      <c r="K5110" s="15" t="s">
        <v>8</v>
      </c>
      <c r="O5110" s="15" t="s">
        <v>8</v>
      </c>
      <c r="Q5110" s="15" t="s">
        <v>8</v>
      </c>
      <c r="R5110" s="15" t="s">
        <v>8</v>
      </c>
      <c r="T5110" s="15" t="s">
        <v>8</v>
      </c>
      <c r="U5110" s="19" t="str">
        <f>HYPERLINK("http://yeinfo.com/family/I09065952.html", "HENRY WYMAN &lt;2&gt; 1344 EN-1411 EN ID:09066123")</f>
        <v>HENRY WYMAN &lt;2&gt; 1344 EN-1411 EN ID:09066123</v>
      </c>
      <c r="V5110" s="9"/>
      <c r="W5110" s="9"/>
      <c r="X5110" s="9"/>
      <c r="Y5110" s="9"/>
    </row>
    <row r="5111" spans="3:25" x14ac:dyDescent="0.35">
      <c r="C5111" s="15" t="s">
        <v>8</v>
      </c>
      <c r="E5111" s="15" t="s">
        <v>8</v>
      </c>
      <c r="H5111" s="15" t="s">
        <v>8</v>
      </c>
      <c r="I5111" s="15" t="s">
        <v>8</v>
      </c>
      <c r="J5111" s="15" t="s">
        <v>8</v>
      </c>
      <c r="K5111" s="15" t="s">
        <v>8</v>
      </c>
      <c r="O5111" s="15" t="s">
        <v>8</v>
      </c>
      <c r="Q5111" s="15" t="s">
        <v>8</v>
      </c>
      <c r="R5111" s="15" t="s">
        <v>8</v>
      </c>
      <c r="T5111" s="8" t="s">
        <v>6</v>
      </c>
      <c r="U5111" s="8" t="s">
        <v>3</v>
      </c>
    </row>
    <row r="5112" spans="3:25" x14ac:dyDescent="0.35">
      <c r="C5112" s="15" t="s">
        <v>8</v>
      </c>
      <c r="E5112" s="15" t="s">
        <v>8</v>
      </c>
      <c r="H5112" s="15" t="s">
        <v>8</v>
      </c>
      <c r="I5112" s="15" t="s">
        <v>8</v>
      </c>
      <c r="J5112" s="15" t="s">
        <v>8</v>
      </c>
      <c r="K5112" s="15" t="s">
        <v>8</v>
      </c>
      <c r="O5112" s="15" t="s">
        <v>8</v>
      </c>
      <c r="Q5112" s="15" t="s">
        <v>8</v>
      </c>
      <c r="R5112" s="15" t="s">
        <v>8</v>
      </c>
      <c r="T5112" s="20" t="str">
        <f>HYPERLINK("http://yeinfo.com/family/I09066104.html", "JOAN WYMAN &lt;2&gt; 1370 EN-1432 EN ID:09065952")</f>
        <v>JOAN WYMAN &lt;2&gt; 1370 EN-1432 EN ID:09065952</v>
      </c>
      <c r="U5112" s="17"/>
      <c r="V5112" s="17"/>
      <c r="W5112" s="17"/>
      <c r="X5112" s="17"/>
    </row>
    <row r="5113" spans="3:25" x14ac:dyDescent="0.35">
      <c r="C5113" s="15" t="s">
        <v>8</v>
      </c>
      <c r="E5113" s="15" t="s">
        <v>8</v>
      </c>
      <c r="H5113" s="15" t="s">
        <v>8</v>
      </c>
      <c r="I5113" s="15" t="s">
        <v>8</v>
      </c>
      <c r="J5113" s="15" t="s">
        <v>8</v>
      </c>
      <c r="K5113" s="15" t="s">
        <v>8</v>
      </c>
      <c r="O5113" s="15" t="s">
        <v>8</v>
      </c>
      <c r="Q5113" s="15" t="s">
        <v>8</v>
      </c>
      <c r="R5113" s="15" t="s">
        <v>8</v>
      </c>
      <c r="U5113" s="8" t="s">
        <v>6</v>
      </c>
    </row>
    <row r="5114" spans="3:25" x14ac:dyDescent="0.35">
      <c r="C5114" s="15" t="s">
        <v>8</v>
      </c>
      <c r="E5114" s="15" t="s">
        <v>8</v>
      </c>
      <c r="H5114" s="15" t="s">
        <v>8</v>
      </c>
      <c r="I5114" s="15" t="s">
        <v>8</v>
      </c>
      <c r="J5114" s="15" t="s">
        <v>8</v>
      </c>
      <c r="K5114" s="15" t="s">
        <v>8</v>
      </c>
      <c r="O5114" s="15" t="s">
        <v>8</v>
      </c>
      <c r="Q5114" s="15" t="s">
        <v>8</v>
      </c>
      <c r="R5114" s="15" t="s">
        <v>8</v>
      </c>
      <c r="U5114" s="20" t="str">
        <f>HYPERLINK("http://yeinfo.com/family/I09066123.html", "AGNES BARDEN &lt;2&gt; 1346 EN-1403 EN ID:09066079")</f>
        <v>AGNES BARDEN &lt;2&gt; 1346 EN-1403 EN ID:09066079</v>
      </c>
      <c r="V5114" s="17"/>
      <c r="W5114" s="17"/>
      <c r="X5114" s="17"/>
      <c r="Y5114" s="17"/>
    </row>
    <row r="5115" spans="3:25" x14ac:dyDescent="0.35">
      <c r="C5115" s="15" t="s">
        <v>8</v>
      </c>
      <c r="E5115" s="15" t="s">
        <v>8</v>
      </c>
      <c r="H5115" s="15" t="s">
        <v>8</v>
      </c>
      <c r="I5115" s="15" t="s">
        <v>8</v>
      </c>
      <c r="J5115" s="15" t="s">
        <v>8</v>
      </c>
      <c r="K5115" s="15" t="s">
        <v>8</v>
      </c>
      <c r="O5115" s="15" t="s">
        <v>8</v>
      </c>
      <c r="Q5115" s="8" t="s">
        <v>6</v>
      </c>
      <c r="R5115" s="15" t="s">
        <v>8</v>
      </c>
    </row>
    <row r="5116" spans="3:25" x14ac:dyDescent="0.35">
      <c r="C5116" s="15" t="s">
        <v>8</v>
      </c>
      <c r="E5116" s="15" t="s">
        <v>8</v>
      </c>
      <c r="H5116" s="15" t="s">
        <v>8</v>
      </c>
      <c r="I5116" s="15" t="s">
        <v>8</v>
      </c>
      <c r="J5116" s="15" t="s">
        <v>8</v>
      </c>
      <c r="K5116" s="15" t="s">
        <v>8</v>
      </c>
      <c r="O5116" s="15" t="s">
        <v>8</v>
      </c>
      <c r="Q5116" s="20" t="str">
        <f>HYPERLINK("http://yeinfo.com/family/I09065769.html", "AGNES SAVILLE &lt;2&gt; 1478 EN-1554 EN ID:09045379")</f>
        <v>AGNES SAVILLE &lt;2&gt; 1478 EN-1554 EN ID:09045379</v>
      </c>
      <c r="R5116" s="17"/>
      <c r="S5116" s="17"/>
      <c r="T5116" s="17"/>
      <c r="U5116" s="17"/>
    </row>
    <row r="5117" spans="3:25" x14ac:dyDescent="0.35">
      <c r="C5117" s="15" t="s">
        <v>8</v>
      </c>
      <c r="E5117" s="15" t="s">
        <v>8</v>
      </c>
      <c r="H5117" s="15" t="s">
        <v>8</v>
      </c>
      <c r="I5117" s="15" t="s">
        <v>8</v>
      </c>
      <c r="J5117" s="15" t="s">
        <v>8</v>
      </c>
      <c r="K5117" s="15" t="s">
        <v>8</v>
      </c>
      <c r="O5117" s="15" t="s">
        <v>8</v>
      </c>
      <c r="R5117" s="15" t="s">
        <v>8</v>
      </c>
    </row>
    <row r="5118" spans="3:25" x14ac:dyDescent="0.35">
      <c r="C5118" s="15" t="s">
        <v>8</v>
      </c>
      <c r="E5118" s="15" t="s">
        <v>8</v>
      </c>
      <c r="H5118" s="15" t="s">
        <v>8</v>
      </c>
      <c r="I5118" s="15" t="s">
        <v>8</v>
      </c>
      <c r="J5118" s="15" t="s">
        <v>8</v>
      </c>
      <c r="K5118" s="15" t="s">
        <v>8</v>
      </c>
      <c r="O5118" s="15" t="s">
        <v>8</v>
      </c>
      <c r="R5118" s="15" t="s">
        <v>8</v>
      </c>
      <c r="U5118" s="19" t="str">
        <f>HYPERLINK("http://yeinfo.com/family/I09065945.html", "THOMAS STANDISFIELD &lt;2&gt; 1350 EN-1380 EN ID:09066114")</f>
        <v>THOMAS STANDISFIELD &lt;2&gt; 1350 EN-1380 EN ID:09066114</v>
      </c>
      <c r="V5118" s="9"/>
      <c r="W5118" s="9"/>
      <c r="X5118" s="9"/>
      <c r="Y5118" s="9"/>
    </row>
    <row r="5119" spans="3:25" x14ac:dyDescent="0.35">
      <c r="C5119" s="15" t="s">
        <v>8</v>
      </c>
      <c r="E5119" s="15" t="s">
        <v>8</v>
      </c>
      <c r="H5119" s="15" t="s">
        <v>8</v>
      </c>
      <c r="I5119" s="15" t="s">
        <v>8</v>
      </c>
      <c r="J5119" s="15" t="s">
        <v>8</v>
      </c>
      <c r="K5119" s="15" t="s">
        <v>8</v>
      </c>
      <c r="O5119" s="15" t="s">
        <v>8</v>
      </c>
      <c r="R5119" s="15" t="s">
        <v>8</v>
      </c>
      <c r="U5119" s="8" t="s">
        <v>3</v>
      </c>
    </row>
    <row r="5120" spans="3:25" x14ac:dyDescent="0.35">
      <c r="C5120" s="15" t="s">
        <v>8</v>
      </c>
      <c r="E5120" s="15" t="s">
        <v>8</v>
      </c>
      <c r="H5120" s="15" t="s">
        <v>8</v>
      </c>
      <c r="I5120" s="15" t="s">
        <v>8</v>
      </c>
      <c r="J5120" s="15" t="s">
        <v>8</v>
      </c>
      <c r="K5120" s="15" t="s">
        <v>8</v>
      </c>
      <c r="O5120" s="15" t="s">
        <v>8</v>
      </c>
      <c r="R5120" s="15" t="s">
        <v>8</v>
      </c>
      <c r="T5120" s="19" t="str">
        <f>HYPERLINK("http://yeinfo.com/family/I09065800.html", "JOHN STANDISFIELD &lt;2&gt; 1380 EN-1457 EN ID:09065945")</f>
        <v>JOHN STANDISFIELD &lt;2&gt; 1380 EN-1457 EN ID:09065945</v>
      </c>
      <c r="U5120" s="9"/>
      <c r="V5120" s="9"/>
      <c r="W5120" s="9"/>
      <c r="X5120" s="9"/>
    </row>
    <row r="5121" spans="3:27" x14ac:dyDescent="0.35">
      <c r="C5121" s="15" t="s">
        <v>8</v>
      </c>
      <c r="E5121" s="15" t="s">
        <v>8</v>
      </c>
      <c r="H5121" s="15" t="s">
        <v>8</v>
      </c>
      <c r="I5121" s="15" t="s">
        <v>8</v>
      </c>
      <c r="J5121" s="15" t="s">
        <v>8</v>
      </c>
      <c r="K5121" s="15" t="s">
        <v>8</v>
      </c>
      <c r="O5121" s="15" t="s">
        <v>8</v>
      </c>
      <c r="R5121" s="15" t="s">
        <v>8</v>
      </c>
      <c r="T5121" s="8" t="s">
        <v>3</v>
      </c>
      <c r="U5121" s="15" t="s">
        <v>8</v>
      </c>
    </row>
    <row r="5122" spans="3:27" x14ac:dyDescent="0.35">
      <c r="C5122" s="15" t="s">
        <v>8</v>
      </c>
      <c r="E5122" s="15" t="s">
        <v>8</v>
      </c>
      <c r="H5122" s="15" t="s">
        <v>8</v>
      </c>
      <c r="I5122" s="15" t="s">
        <v>8</v>
      </c>
      <c r="J5122" s="15" t="s">
        <v>8</v>
      </c>
      <c r="K5122" s="15" t="s">
        <v>8</v>
      </c>
      <c r="O5122" s="15" t="s">
        <v>8</v>
      </c>
      <c r="R5122" s="15" t="s">
        <v>8</v>
      </c>
      <c r="T5122" s="15" t="s">
        <v>8</v>
      </c>
      <c r="U5122" s="15" t="s">
        <v>8</v>
      </c>
      <c r="W5122" s="19" t="str">
        <f>HYPERLINK("http://yeinfo.com/family/I09066298.html", "RANULPH RALPH LASCELLES &lt;2&gt; 1300 EN-1343 EN ID:09066470")</f>
        <v>RANULPH RALPH LASCELLES &lt;2&gt; 1300 EN-1343 EN ID:09066470</v>
      </c>
      <c r="X5122" s="9"/>
      <c r="Y5122" s="9"/>
      <c r="Z5122" s="9"/>
      <c r="AA5122" s="9"/>
    </row>
    <row r="5123" spans="3:27" x14ac:dyDescent="0.35">
      <c r="C5123" s="15" t="s">
        <v>8</v>
      </c>
      <c r="E5123" s="15" t="s">
        <v>8</v>
      </c>
      <c r="H5123" s="15" t="s">
        <v>8</v>
      </c>
      <c r="I5123" s="15" t="s">
        <v>8</v>
      </c>
      <c r="J5123" s="15" t="s">
        <v>8</v>
      </c>
      <c r="K5123" s="15" t="s">
        <v>8</v>
      </c>
      <c r="O5123" s="15" t="s">
        <v>8</v>
      </c>
      <c r="R5123" s="15" t="s">
        <v>8</v>
      </c>
      <c r="T5123" s="15" t="s">
        <v>8</v>
      </c>
      <c r="U5123" s="15" t="s">
        <v>8</v>
      </c>
      <c r="W5123" s="8" t="s">
        <v>3</v>
      </c>
    </row>
    <row r="5124" spans="3:27" x14ac:dyDescent="0.35">
      <c r="C5124" s="15" t="s">
        <v>8</v>
      </c>
      <c r="E5124" s="15" t="s">
        <v>8</v>
      </c>
      <c r="H5124" s="15" t="s">
        <v>8</v>
      </c>
      <c r="I5124" s="15" t="s">
        <v>8</v>
      </c>
      <c r="J5124" s="15" t="s">
        <v>8</v>
      </c>
      <c r="K5124" s="15" t="s">
        <v>8</v>
      </c>
      <c r="O5124" s="15" t="s">
        <v>8</v>
      </c>
      <c r="R5124" s="15" t="s">
        <v>8</v>
      </c>
      <c r="T5124" s="15" t="s">
        <v>8</v>
      </c>
      <c r="U5124" s="15" t="s">
        <v>8</v>
      </c>
      <c r="V5124" s="19" t="str">
        <f>HYPERLINK("http://yeinfo.com/family/I09066100.html", "JOHN LASCELLES &lt;2&gt; 1330 EN-1352 EN ID:09066298")</f>
        <v>JOHN LASCELLES &lt;2&gt; 1330 EN-1352 EN ID:09066298</v>
      </c>
      <c r="W5124" s="9"/>
      <c r="X5124" s="9"/>
      <c r="Y5124" s="9"/>
      <c r="Z5124" s="9"/>
    </row>
    <row r="5125" spans="3:27" x14ac:dyDescent="0.35">
      <c r="C5125" s="15" t="s">
        <v>8</v>
      </c>
      <c r="E5125" s="15" t="s">
        <v>8</v>
      </c>
      <c r="H5125" s="15" t="s">
        <v>8</v>
      </c>
      <c r="I5125" s="15" t="s">
        <v>8</v>
      </c>
      <c r="J5125" s="15" t="s">
        <v>8</v>
      </c>
      <c r="K5125" s="15" t="s">
        <v>8</v>
      </c>
      <c r="O5125" s="15" t="s">
        <v>8</v>
      </c>
      <c r="R5125" s="15" t="s">
        <v>8</v>
      </c>
      <c r="T5125" s="15" t="s">
        <v>8</v>
      </c>
      <c r="U5125" s="15" t="s">
        <v>8</v>
      </c>
      <c r="V5125" s="8" t="s">
        <v>3</v>
      </c>
      <c r="W5125" s="8" t="s">
        <v>6</v>
      </c>
    </row>
    <row r="5126" spans="3:27" x14ac:dyDescent="0.35">
      <c r="C5126" s="15" t="s">
        <v>8</v>
      </c>
      <c r="E5126" s="15" t="s">
        <v>8</v>
      </c>
      <c r="H5126" s="15" t="s">
        <v>8</v>
      </c>
      <c r="I5126" s="15" t="s">
        <v>8</v>
      </c>
      <c r="J5126" s="15" t="s">
        <v>8</v>
      </c>
      <c r="K5126" s="15" t="s">
        <v>8</v>
      </c>
      <c r="O5126" s="15" t="s">
        <v>8</v>
      </c>
      <c r="R5126" s="15" t="s">
        <v>8</v>
      </c>
      <c r="T5126" s="15" t="s">
        <v>8</v>
      </c>
      <c r="U5126" s="15" t="s">
        <v>8</v>
      </c>
      <c r="V5126" s="15" t="s">
        <v>8</v>
      </c>
      <c r="W5126" s="20" t="str">
        <f>HYPERLINK("http://yeinfo.com/family/I09066470.html", "ISABEL FITZRALPH &lt;2&gt; 1304 EN-1388 EN ID:09066454")</f>
        <v>ISABEL FITZRALPH &lt;2&gt; 1304 EN-1388 EN ID:09066454</v>
      </c>
      <c r="X5126" s="17"/>
      <c r="Y5126" s="17"/>
      <c r="Z5126" s="17"/>
      <c r="AA5126" s="17"/>
    </row>
    <row r="5127" spans="3:27" x14ac:dyDescent="0.35">
      <c r="C5127" s="15" t="s">
        <v>8</v>
      </c>
      <c r="E5127" s="15" t="s">
        <v>8</v>
      </c>
      <c r="H5127" s="15" t="s">
        <v>8</v>
      </c>
      <c r="I5127" s="15" t="s">
        <v>8</v>
      </c>
      <c r="J5127" s="15" t="s">
        <v>8</v>
      </c>
      <c r="K5127" s="15" t="s">
        <v>8</v>
      </c>
      <c r="O5127" s="15" t="s">
        <v>8</v>
      </c>
      <c r="R5127" s="15" t="s">
        <v>8</v>
      </c>
      <c r="T5127" s="15" t="s">
        <v>8</v>
      </c>
      <c r="U5127" s="8" t="s">
        <v>6</v>
      </c>
      <c r="V5127" s="15" t="s">
        <v>8</v>
      </c>
    </row>
    <row r="5128" spans="3:27" x14ac:dyDescent="0.35">
      <c r="C5128" s="15" t="s">
        <v>8</v>
      </c>
      <c r="E5128" s="15" t="s">
        <v>8</v>
      </c>
      <c r="H5128" s="15" t="s">
        <v>8</v>
      </c>
      <c r="I5128" s="15" t="s">
        <v>8</v>
      </c>
      <c r="J5128" s="15" t="s">
        <v>8</v>
      </c>
      <c r="K5128" s="15" t="s">
        <v>8</v>
      </c>
      <c r="O5128" s="15" t="s">
        <v>8</v>
      </c>
      <c r="R5128" s="15" t="s">
        <v>8</v>
      </c>
      <c r="T5128" s="15" t="s">
        <v>8</v>
      </c>
      <c r="U5128" s="20" t="str">
        <f>HYPERLINK("http://yeinfo.com/family/I09066114.html", "BARBARA LASCELLES &lt;2&gt; 1352 EN-1380 EN ID:09066100")</f>
        <v>BARBARA LASCELLES &lt;2&gt; 1352 EN-1380 EN ID:09066100</v>
      </c>
      <c r="V5128" s="17"/>
      <c r="W5128" s="17"/>
      <c r="X5128" s="17"/>
      <c r="Y5128" s="17"/>
    </row>
    <row r="5129" spans="3:27" x14ac:dyDescent="0.35">
      <c r="C5129" s="15" t="s">
        <v>8</v>
      </c>
      <c r="E5129" s="15" t="s">
        <v>8</v>
      </c>
      <c r="H5129" s="15" t="s">
        <v>8</v>
      </c>
      <c r="I5129" s="15" t="s">
        <v>8</v>
      </c>
      <c r="J5129" s="15" t="s">
        <v>8</v>
      </c>
      <c r="K5129" s="15" t="s">
        <v>8</v>
      </c>
      <c r="O5129" s="15" t="s">
        <v>8</v>
      </c>
      <c r="R5129" s="15" t="s">
        <v>8</v>
      </c>
      <c r="T5129" s="15" t="s">
        <v>8</v>
      </c>
      <c r="V5129" s="8" t="s">
        <v>6</v>
      </c>
    </row>
    <row r="5130" spans="3:27" x14ac:dyDescent="0.35">
      <c r="C5130" s="15" t="s">
        <v>8</v>
      </c>
      <c r="E5130" s="15" t="s">
        <v>8</v>
      </c>
      <c r="H5130" s="15" t="s">
        <v>8</v>
      </c>
      <c r="I5130" s="15" t="s">
        <v>8</v>
      </c>
      <c r="J5130" s="15" t="s">
        <v>8</v>
      </c>
      <c r="K5130" s="15" t="s">
        <v>8</v>
      </c>
      <c r="O5130" s="15" t="s">
        <v>8</v>
      </c>
      <c r="R5130" s="15" t="s">
        <v>8</v>
      </c>
      <c r="T5130" s="15" t="s">
        <v>8</v>
      </c>
      <c r="V5130" s="20" t="str">
        <f>HYPERLINK("http://yeinfo.com/family/I09066454.html", "Mrs. {_?_} LASCELLES &lt;2&gt; 1330 EN-1352 EN ID:09066297")</f>
        <v>Mrs. {_?_} LASCELLES &lt;2&gt; 1330 EN-1352 EN ID:09066297</v>
      </c>
      <c r="W5130" s="17"/>
      <c r="X5130" s="17"/>
      <c r="Y5130" s="17"/>
      <c r="Z5130" s="17"/>
    </row>
    <row r="5131" spans="3:27" x14ac:dyDescent="0.35">
      <c r="C5131" s="15" t="s">
        <v>8</v>
      </c>
      <c r="E5131" s="15" t="s">
        <v>8</v>
      </c>
      <c r="H5131" s="15" t="s">
        <v>8</v>
      </c>
      <c r="I5131" s="15" t="s">
        <v>8</v>
      </c>
      <c r="J5131" s="15" t="s">
        <v>8</v>
      </c>
      <c r="K5131" s="15" t="s">
        <v>8</v>
      </c>
      <c r="O5131" s="15" t="s">
        <v>8</v>
      </c>
      <c r="R5131" s="15" t="s">
        <v>8</v>
      </c>
      <c r="T5131" s="15" t="s">
        <v>8</v>
      </c>
    </row>
    <row r="5132" spans="3:27" x14ac:dyDescent="0.35">
      <c r="C5132" s="15" t="s">
        <v>8</v>
      </c>
      <c r="E5132" s="15" t="s">
        <v>8</v>
      </c>
      <c r="H5132" s="15" t="s">
        <v>8</v>
      </c>
      <c r="I5132" s="15" t="s">
        <v>8</v>
      </c>
      <c r="J5132" s="15" t="s">
        <v>8</v>
      </c>
      <c r="K5132" s="15" t="s">
        <v>8</v>
      </c>
      <c r="O5132" s="15" t="s">
        <v>8</v>
      </c>
      <c r="R5132" s="15" t="s">
        <v>8</v>
      </c>
      <c r="S5132" s="19" t="str">
        <f>HYPERLINK("http://yeinfo.com/family/I09065670.html", "THOMAS STANDISFIELD &lt;2&gt; 1400 EN-1450 EN ID:09065800")</f>
        <v>THOMAS STANDISFIELD &lt;2&gt; 1400 EN-1450 EN ID:09065800</v>
      </c>
      <c r="T5132" s="9"/>
      <c r="U5132" s="9"/>
      <c r="V5132" s="9"/>
      <c r="W5132" s="9"/>
    </row>
    <row r="5133" spans="3:27" x14ac:dyDescent="0.35">
      <c r="C5133" s="15" t="s">
        <v>8</v>
      </c>
      <c r="E5133" s="15" t="s">
        <v>8</v>
      </c>
      <c r="H5133" s="15" t="s">
        <v>8</v>
      </c>
      <c r="I5133" s="15" t="s">
        <v>8</v>
      </c>
      <c r="J5133" s="15" t="s">
        <v>8</v>
      </c>
      <c r="K5133" s="15" t="s">
        <v>8</v>
      </c>
      <c r="O5133" s="15" t="s">
        <v>8</v>
      </c>
      <c r="R5133" s="15" t="s">
        <v>8</v>
      </c>
      <c r="S5133" s="8" t="s">
        <v>3</v>
      </c>
      <c r="T5133" s="15" t="s">
        <v>8</v>
      </c>
    </row>
    <row r="5134" spans="3:27" x14ac:dyDescent="0.35">
      <c r="C5134" s="15" t="s">
        <v>8</v>
      </c>
      <c r="E5134" s="15" t="s">
        <v>8</v>
      </c>
      <c r="H5134" s="15" t="s">
        <v>8</v>
      </c>
      <c r="I5134" s="15" t="s">
        <v>8</v>
      </c>
      <c r="J5134" s="15" t="s">
        <v>8</v>
      </c>
      <c r="K5134" s="15" t="s">
        <v>8</v>
      </c>
      <c r="O5134" s="15" t="s">
        <v>8</v>
      </c>
      <c r="R5134" s="15" t="s">
        <v>8</v>
      </c>
      <c r="S5134" s="15" t="s">
        <v>8</v>
      </c>
      <c r="T5134" s="15" t="s">
        <v>8</v>
      </c>
      <c r="W5134" s="19" t="str">
        <f>HYPERLINK("http://yeinfo.com/family/I09066288.html", "THOMAS FLEMING &lt;2&gt; 1300 EN-1360 EN ID:09066457")</f>
        <v>THOMAS FLEMING &lt;2&gt; 1300 EN-1360 EN ID:09066457</v>
      </c>
      <c r="X5134" s="9"/>
      <c r="Y5134" s="9"/>
      <c r="Z5134" s="9"/>
      <c r="AA5134" s="9"/>
    </row>
    <row r="5135" spans="3:27" x14ac:dyDescent="0.35">
      <c r="C5135" s="15" t="s">
        <v>8</v>
      </c>
      <c r="E5135" s="15" t="s">
        <v>8</v>
      </c>
      <c r="H5135" s="15" t="s">
        <v>8</v>
      </c>
      <c r="I5135" s="15" t="s">
        <v>8</v>
      </c>
      <c r="J5135" s="15" t="s">
        <v>8</v>
      </c>
      <c r="K5135" s="15" t="s">
        <v>8</v>
      </c>
      <c r="O5135" s="15" t="s">
        <v>8</v>
      </c>
      <c r="R5135" s="15" t="s">
        <v>8</v>
      </c>
      <c r="S5135" s="15" t="s">
        <v>8</v>
      </c>
      <c r="T5135" s="15" t="s">
        <v>8</v>
      </c>
      <c r="W5135" s="8" t="s">
        <v>3</v>
      </c>
    </row>
    <row r="5136" spans="3:27" x14ac:dyDescent="0.35">
      <c r="C5136" s="15" t="s">
        <v>8</v>
      </c>
      <c r="E5136" s="15" t="s">
        <v>8</v>
      </c>
      <c r="H5136" s="15" t="s">
        <v>8</v>
      </c>
      <c r="I5136" s="15" t="s">
        <v>8</v>
      </c>
      <c r="J5136" s="15" t="s">
        <v>8</v>
      </c>
      <c r="K5136" s="15" t="s">
        <v>8</v>
      </c>
      <c r="O5136" s="15" t="s">
        <v>8</v>
      </c>
      <c r="R5136" s="15" t="s">
        <v>8</v>
      </c>
      <c r="S5136" s="15" t="s">
        <v>8</v>
      </c>
      <c r="T5136" s="15" t="s">
        <v>8</v>
      </c>
      <c r="V5136" s="19" t="str">
        <f>HYPERLINK("http://yeinfo.com/family/I09066088.html", "THOMAS FLEMING II &lt;2&gt; 1332 EN-1412 EN ID:09066288")</f>
        <v>THOMAS FLEMING II &lt;2&gt; 1332 EN-1412 EN ID:09066288</v>
      </c>
      <c r="W5136" s="9"/>
      <c r="X5136" s="9"/>
      <c r="Y5136" s="9"/>
      <c r="Z5136" s="9"/>
    </row>
    <row r="5137" spans="3:27" x14ac:dyDescent="0.35">
      <c r="C5137" s="15" t="s">
        <v>8</v>
      </c>
      <c r="E5137" s="15" t="s">
        <v>8</v>
      </c>
      <c r="H5137" s="15" t="s">
        <v>8</v>
      </c>
      <c r="I5137" s="15" t="s">
        <v>8</v>
      </c>
      <c r="J5137" s="15" t="s">
        <v>8</v>
      </c>
      <c r="K5137" s="15" t="s">
        <v>8</v>
      </c>
      <c r="O5137" s="15" t="s">
        <v>8</v>
      </c>
      <c r="R5137" s="15" t="s">
        <v>8</v>
      </c>
      <c r="S5137" s="15" t="s">
        <v>8</v>
      </c>
      <c r="T5137" s="15" t="s">
        <v>8</v>
      </c>
      <c r="V5137" s="8" t="s">
        <v>3</v>
      </c>
      <c r="W5137" s="8" t="s">
        <v>6</v>
      </c>
    </row>
    <row r="5138" spans="3:27" x14ac:dyDescent="0.35">
      <c r="C5138" s="15" t="s">
        <v>8</v>
      </c>
      <c r="E5138" s="15" t="s">
        <v>8</v>
      </c>
      <c r="H5138" s="15" t="s">
        <v>8</v>
      </c>
      <c r="I5138" s="15" t="s">
        <v>8</v>
      </c>
      <c r="J5138" s="15" t="s">
        <v>8</v>
      </c>
      <c r="K5138" s="15" t="s">
        <v>8</v>
      </c>
      <c r="O5138" s="15" t="s">
        <v>8</v>
      </c>
      <c r="R5138" s="15" t="s">
        <v>8</v>
      </c>
      <c r="S5138" s="15" t="s">
        <v>8</v>
      </c>
      <c r="T5138" s="15" t="s">
        <v>8</v>
      </c>
      <c r="V5138" s="15" t="s">
        <v>8</v>
      </c>
      <c r="W5138" s="20" t="str">
        <f>HYPERLINK("http://yeinfo.com/family/I09066457.html", "Mrs. {_?_} FLEMING &lt;2&gt; 1300 EN-1332 EN ID:09066456")</f>
        <v>Mrs. {_?_} FLEMING &lt;2&gt; 1300 EN-1332 EN ID:09066456</v>
      </c>
      <c r="X5138" s="17"/>
      <c r="Y5138" s="17"/>
      <c r="Z5138" s="17"/>
      <c r="AA5138" s="17"/>
    </row>
    <row r="5139" spans="3:27" x14ac:dyDescent="0.35">
      <c r="C5139" s="15" t="s">
        <v>8</v>
      </c>
      <c r="E5139" s="15" t="s">
        <v>8</v>
      </c>
      <c r="H5139" s="15" t="s">
        <v>8</v>
      </c>
      <c r="I5139" s="15" t="s">
        <v>8</v>
      </c>
      <c r="J5139" s="15" t="s">
        <v>8</v>
      </c>
      <c r="K5139" s="15" t="s">
        <v>8</v>
      </c>
      <c r="O5139" s="15" t="s">
        <v>8</v>
      </c>
      <c r="R5139" s="15" t="s">
        <v>8</v>
      </c>
      <c r="S5139" s="15" t="s">
        <v>8</v>
      </c>
      <c r="T5139" s="15" t="s">
        <v>8</v>
      </c>
      <c r="V5139" s="15" t="s">
        <v>8</v>
      </c>
    </row>
    <row r="5140" spans="3:27" x14ac:dyDescent="0.35">
      <c r="C5140" s="15" t="s">
        <v>8</v>
      </c>
      <c r="E5140" s="15" t="s">
        <v>8</v>
      </c>
      <c r="H5140" s="15" t="s">
        <v>8</v>
      </c>
      <c r="I5140" s="15" t="s">
        <v>8</v>
      </c>
      <c r="J5140" s="15" t="s">
        <v>8</v>
      </c>
      <c r="K5140" s="15" t="s">
        <v>8</v>
      </c>
      <c r="O5140" s="15" t="s">
        <v>8</v>
      </c>
      <c r="R5140" s="15" t="s">
        <v>8</v>
      </c>
      <c r="S5140" s="15" t="s">
        <v>8</v>
      </c>
      <c r="T5140" s="15" t="s">
        <v>8</v>
      </c>
      <c r="U5140" s="19" t="str">
        <f>HYPERLINK("http://yeinfo.com/family/I09065924.html", "JOHN FLEMING &lt;2&gt; 1358 EN-1432 EN ID:09066088")</f>
        <v>JOHN FLEMING &lt;2&gt; 1358 EN-1432 EN ID:09066088</v>
      </c>
      <c r="V5140" s="9"/>
      <c r="W5140" s="9"/>
      <c r="X5140" s="9"/>
      <c r="Y5140" s="9"/>
    </row>
    <row r="5141" spans="3:27" x14ac:dyDescent="0.35">
      <c r="C5141" s="15" t="s">
        <v>8</v>
      </c>
      <c r="E5141" s="15" t="s">
        <v>8</v>
      </c>
      <c r="H5141" s="15" t="s">
        <v>8</v>
      </c>
      <c r="I5141" s="15" t="s">
        <v>8</v>
      </c>
      <c r="J5141" s="15" t="s">
        <v>8</v>
      </c>
      <c r="K5141" s="15" t="s">
        <v>8</v>
      </c>
      <c r="O5141" s="15" t="s">
        <v>8</v>
      </c>
      <c r="R5141" s="15" t="s">
        <v>8</v>
      </c>
      <c r="S5141" s="15" t="s">
        <v>8</v>
      </c>
      <c r="T5141" s="15" t="s">
        <v>8</v>
      </c>
      <c r="U5141" s="8" t="s">
        <v>3</v>
      </c>
      <c r="V5141" s="8" t="s">
        <v>6</v>
      </c>
    </row>
    <row r="5142" spans="3:27" x14ac:dyDescent="0.35">
      <c r="C5142" s="15" t="s">
        <v>8</v>
      </c>
      <c r="E5142" s="15" t="s">
        <v>8</v>
      </c>
      <c r="H5142" s="15" t="s">
        <v>8</v>
      </c>
      <c r="I5142" s="15" t="s">
        <v>8</v>
      </c>
      <c r="J5142" s="15" t="s">
        <v>8</v>
      </c>
      <c r="K5142" s="15" t="s">
        <v>8</v>
      </c>
      <c r="O5142" s="15" t="s">
        <v>8</v>
      </c>
      <c r="R5142" s="15" t="s">
        <v>8</v>
      </c>
      <c r="S5142" s="15" t="s">
        <v>8</v>
      </c>
      <c r="T5142" s="15" t="s">
        <v>8</v>
      </c>
      <c r="U5142" s="15" t="s">
        <v>8</v>
      </c>
      <c r="V5142" s="20" t="str">
        <f>HYPERLINK("http://yeinfo.com/family/I09066456.html", "Mrs. {_?_} FLEMING &lt;2&gt; 1335 EN-1358 EN ID:09066287")</f>
        <v>Mrs. {_?_} FLEMING &lt;2&gt; 1335 EN-1358 EN ID:09066287</v>
      </c>
      <c r="W5142" s="17"/>
      <c r="X5142" s="17"/>
      <c r="Y5142" s="17"/>
      <c r="Z5142" s="17"/>
    </row>
    <row r="5143" spans="3:27" x14ac:dyDescent="0.35">
      <c r="C5143" s="15" t="s">
        <v>8</v>
      </c>
      <c r="E5143" s="15" t="s">
        <v>8</v>
      </c>
      <c r="H5143" s="15" t="s">
        <v>8</v>
      </c>
      <c r="I5143" s="15" t="s">
        <v>8</v>
      </c>
      <c r="J5143" s="15" t="s">
        <v>8</v>
      </c>
      <c r="K5143" s="15" t="s">
        <v>8</v>
      </c>
      <c r="O5143" s="15" t="s">
        <v>8</v>
      </c>
      <c r="R5143" s="15" t="s">
        <v>8</v>
      </c>
      <c r="S5143" s="15" t="s">
        <v>8</v>
      </c>
      <c r="T5143" s="8" t="s">
        <v>6</v>
      </c>
      <c r="U5143" s="15" t="s">
        <v>8</v>
      </c>
    </row>
    <row r="5144" spans="3:27" x14ac:dyDescent="0.35">
      <c r="C5144" s="15" t="s">
        <v>8</v>
      </c>
      <c r="E5144" s="15" t="s">
        <v>8</v>
      </c>
      <c r="H5144" s="15" t="s">
        <v>8</v>
      </c>
      <c r="I5144" s="15" t="s">
        <v>8</v>
      </c>
      <c r="J5144" s="15" t="s">
        <v>8</v>
      </c>
      <c r="K5144" s="15" t="s">
        <v>8</v>
      </c>
      <c r="O5144" s="15" t="s">
        <v>8</v>
      </c>
      <c r="R5144" s="15" t="s">
        <v>8</v>
      </c>
      <c r="S5144" s="15" t="s">
        <v>8</v>
      </c>
      <c r="T5144" s="20" t="str">
        <f>HYPERLINK("http://yeinfo.com/family/I09066297.html", "MARY FLEMING &lt;2&gt; 1382 EN-1482 EN ID:09065924")</f>
        <v>MARY FLEMING &lt;2&gt; 1382 EN-1482 EN ID:09065924</v>
      </c>
      <c r="U5144" s="17"/>
      <c r="V5144" s="17"/>
      <c r="W5144" s="17"/>
      <c r="X5144" s="17"/>
    </row>
    <row r="5145" spans="3:27" x14ac:dyDescent="0.35">
      <c r="C5145" s="15" t="s">
        <v>8</v>
      </c>
      <c r="E5145" s="15" t="s">
        <v>8</v>
      </c>
      <c r="H5145" s="15" t="s">
        <v>8</v>
      </c>
      <c r="I5145" s="15" t="s">
        <v>8</v>
      </c>
      <c r="J5145" s="15" t="s">
        <v>8</v>
      </c>
      <c r="K5145" s="15" t="s">
        <v>8</v>
      </c>
      <c r="O5145" s="15" t="s">
        <v>8</v>
      </c>
      <c r="R5145" s="15" t="s">
        <v>8</v>
      </c>
      <c r="S5145" s="15" t="s">
        <v>8</v>
      </c>
      <c r="U5145" s="8" t="s">
        <v>6</v>
      </c>
    </row>
    <row r="5146" spans="3:27" x14ac:dyDescent="0.35">
      <c r="C5146" s="15" t="s">
        <v>8</v>
      </c>
      <c r="E5146" s="15" t="s">
        <v>8</v>
      </c>
      <c r="H5146" s="15" t="s">
        <v>8</v>
      </c>
      <c r="I5146" s="15" t="s">
        <v>8</v>
      </c>
      <c r="J5146" s="15" t="s">
        <v>8</v>
      </c>
      <c r="K5146" s="15" t="s">
        <v>8</v>
      </c>
      <c r="O5146" s="15" t="s">
        <v>8</v>
      </c>
      <c r="R5146" s="15" t="s">
        <v>8</v>
      </c>
      <c r="S5146" s="15" t="s">
        <v>8</v>
      </c>
      <c r="U5146" s="20" t="str">
        <f>HYPERLINK("http://yeinfo.com/family/I09066287.html", "ALICE LEA &lt;2&gt; 1362 EN-1382 EN ID:09066101")</f>
        <v>ALICE LEA &lt;2&gt; 1362 EN-1382 EN ID:09066101</v>
      </c>
      <c r="V5146" s="17"/>
      <c r="W5146" s="17"/>
      <c r="X5146" s="17"/>
      <c r="Y5146" s="17"/>
    </row>
    <row r="5147" spans="3:27" x14ac:dyDescent="0.35">
      <c r="C5147" s="15" t="s">
        <v>8</v>
      </c>
      <c r="E5147" s="15" t="s">
        <v>8</v>
      </c>
      <c r="H5147" s="15" t="s">
        <v>8</v>
      </c>
      <c r="I5147" s="15" t="s">
        <v>8</v>
      </c>
      <c r="J5147" s="15" t="s">
        <v>8</v>
      </c>
      <c r="K5147" s="15" t="s">
        <v>8</v>
      </c>
      <c r="O5147" s="15" t="s">
        <v>8</v>
      </c>
      <c r="R5147" s="8" t="s">
        <v>6</v>
      </c>
      <c r="S5147" s="15" t="s">
        <v>8</v>
      </c>
    </row>
    <row r="5148" spans="3:27" x14ac:dyDescent="0.35">
      <c r="C5148" s="15" t="s">
        <v>8</v>
      </c>
      <c r="E5148" s="15" t="s">
        <v>8</v>
      </c>
      <c r="H5148" s="15" t="s">
        <v>8</v>
      </c>
      <c r="I5148" s="15" t="s">
        <v>8</v>
      </c>
      <c r="J5148" s="15" t="s">
        <v>8</v>
      </c>
      <c r="K5148" s="15" t="s">
        <v>8</v>
      </c>
      <c r="O5148" s="15" t="s">
        <v>8</v>
      </c>
      <c r="R5148" s="20" t="str">
        <f>HYPERLINK("http://yeinfo.com/family/I09066079.html", "ANN STANDISFIELD &lt;2&gt; 1450 EN-1470 EN ID:09065670")</f>
        <v>ANN STANDISFIELD &lt;2&gt; 1450 EN-1470 EN ID:09065670</v>
      </c>
      <c r="S5148" s="17"/>
      <c r="T5148" s="17"/>
      <c r="U5148" s="17"/>
      <c r="V5148" s="17"/>
    </row>
    <row r="5149" spans="3:27" x14ac:dyDescent="0.35">
      <c r="C5149" s="15" t="s">
        <v>8</v>
      </c>
      <c r="E5149" s="15" t="s">
        <v>8</v>
      </c>
      <c r="H5149" s="15" t="s">
        <v>8</v>
      </c>
      <c r="I5149" s="15" t="s">
        <v>8</v>
      </c>
      <c r="J5149" s="15" t="s">
        <v>8</v>
      </c>
      <c r="K5149" s="15" t="s">
        <v>8</v>
      </c>
      <c r="O5149" s="15" t="s">
        <v>8</v>
      </c>
      <c r="S5149" s="15" t="s">
        <v>8</v>
      </c>
    </row>
    <row r="5150" spans="3:27" x14ac:dyDescent="0.35">
      <c r="C5150" s="15" t="s">
        <v>8</v>
      </c>
      <c r="E5150" s="15" t="s">
        <v>8</v>
      </c>
      <c r="H5150" s="15" t="s">
        <v>8</v>
      </c>
      <c r="I5150" s="15" t="s">
        <v>8</v>
      </c>
      <c r="J5150" s="15" t="s">
        <v>8</v>
      </c>
      <c r="K5150" s="15" t="s">
        <v>8</v>
      </c>
      <c r="O5150" s="15" t="s">
        <v>8</v>
      </c>
      <c r="S5150" s="15" t="s">
        <v>8</v>
      </c>
      <c r="V5150" s="19" t="str">
        <f>HYPERLINK("http://yeinfo.com/family/I09066124.html", "HENRY SAVILLE &lt;2&gt; 1341 EN-1365 EN ID:09066315")</f>
        <v>HENRY SAVILLE &lt;2&gt; 1341 EN-1365 EN ID:09066315</v>
      </c>
      <c r="W5150" s="9"/>
      <c r="X5150" s="9"/>
      <c r="Y5150" s="9"/>
      <c r="Z5150" s="9"/>
    </row>
    <row r="5151" spans="3:27" x14ac:dyDescent="0.35">
      <c r="C5151" s="15" t="s">
        <v>8</v>
      </c>
      <c r="E5151" s="15" t="s">
        <v>8</v>
      </c>
      <c r="H5151" s="15" t="s">
        <v>8</v>
      </c>
      <c r="I5151" s="15" t="s">
        <v>8</v>
      </c>
      <c r="J5151" s="15" t="s">
        <v>8</v>
      </c>
      <c r="K5151" s="15" t="s">
        <v>8</v>
      </c>
      <c r="O5151" s="15" t="s">
        <v>8</v>
      </c>
      <c r="S5151" s="15" t="s">
        <v>8</v>
      </c>
      <c r="V5151" s="8" t="s">
        <v>3</v>
      </c>
    </row>
    <row r="5152" spans="3:27" x14ac:dyDescent="0.35">
      <c r="C5152" s="15" t="s">
        <v>8</v>
      </c>
      <c r="E5152" s="15" t="s">
        <v>8</v>
      </c>
      <c r="H5152" s="15" t="s">
        <v>8</v>
      </c>
      <c r="I5152" s="15" t="s">
        <v>8</v>
      </c>
      <c r="J5152" s="15" t="s">
        <v>8</v>
      </c>
      <c r="K5152" s="15" t="s">
        <v>8</v>
      </c>
      <c r="O5152" s="15" t="s">
        <v>8</v>
      </c>
      <c r="S5152" s="15" t="s">
        <v>8</v>
      </c>
      <c r="U5152" s="19" t="str">
        <f>HYPERLINK("http://yeinfo.com/family/I09065954.html", "HENRY SAVILLE &lt;2&gt; 1365 EN-1390 EN ID:09066124")</f>
        <v>HENRY SAVILLE &lt;2&gt; 1365 EN-1390 EN ID:09066124</v>
      </c>
      <c r="V5152" s="9"/>
      <c r="W5152" s="9"/>
      <c r="X5152" s="9"/>
      <c r="Y5152" s="9"/>
    </row>
    <row r="5153" spans="3:28" x14ac:dyDescent="0.35">
      <c r="C5153" s="15" t="s">
        <v>8</v>
      </c>
      <c r="E5153" s="15" t="s">
        <v>8</v>
      </c>
      <c r="H5153" s="15" t="s">
        <v>8</v>
      </c>
      <c r="I5153" s="15" t="s">
        <v>8</v>
      </c>
      <c r="J5153" s="15" t="s">
        <v>8</v>
      </c>
      <c r="K5153" s="15" t="s">
        <v>8</v>
      </c>
      <c r="O5153" s="15" t="s">
        <v>8</v>
      </c>
      <c r="S5153" s="15" t="s">
        <v>8</v>
      </c>
      <c r="U5153" s="8" t="s">
        <v>3</v>
      </c>
      <c r="V5153" s="8" t="s">
        <v>6</v>
      </c>
    </row>
    <row r="5154" spans="3:28" x14ac:dyDescent="0.35">
      <c r="C5154" s="15" t="s">
        <v>8</v>
      </c>
      <c r="E5154" s="15" t="s">
        <v>8</v>
      </c>
      <c r="H5154" s="15" t="s">
        <v>8</v>
      </c>
      <c r="I5154" s="15" t="s">
        <v>8</v>
      </c>
      <c r="J5154" s="15" t="s">
        <v>8</v>
      </c>
      <c r="K5154" s="15" t="s">
        <v>8</v>
      </c>
      <c r="O5154" s="15" t="s">
        <v>8</v>
      </c>
      <c r="S5154" s="15" t="s">
        <v>8</v>
      </c>
      <c r="U5154" s="15" t="s">
        <v>8</v>
      </c>
      <c r="V5154" s="20" t="str">
        <f>HYPERLINK("http://yeinfo.com/family/I09066315.html", "ELLEN COPLEY &lt;2&gt; 1347 EN-1367 EN ID:09066316")</f>
        <v>ELLEN COPLEY &lt;2&gt; 1347 EN-1367 EN ID:09066316</v>
      </c>
      <c r="W5154" s="17"/>
      <c r="X5154" s="17"/>
      <c r="Y5154" s="17"/>
      <c r="Z5154" s="17"/>
    </row>
    <row r="5155" spans="3:28" x14ac:dyDescent="0.35">
      <c r="C5155" s="15" t="s">
        <v>8</v>
      </c>
      <c r="E5155" s="15" t="s">
        <v>8</v>
      </c>
      <c r="H5155" s="15" t="s">
        <v>8</v>
      </c>
      <c r="I5155" s="15" t="s">
        <v>8</v>
      </c>
      <c r="J5155" s="15" t="s">
        <v>8</v>
      </c>
      <c r="K5155" s="15" t="s">
        <v>8</v>
      </c>
      <c r="O5155" s="15" t="s">
        <v>8</v>
      </c>
      <c r="S5155" s="15" t="s">
        <v>8</v>
      </c>
      <c r="U5155" s="15" t="s">
        <v>8</v>
      </c>
    </row>
    <row r="5156" spans="3:28" x14ac:dyDescent="0.35">
      <c r="C5156" s="15" t="s">
        <v>8</v>
      </c>
      <c r="E5156" s="15" t="s">
        <v>8</v>
      </c>
      <c r="H5156" s="15" t="s">
        <v>8</v>
      </c>
      <c r="I5156" s="15" t="s">
        <v>8</v>
      </c>
      <c r="J5156" s="15" t="s">
        <v>8</v>
      </c>
      <c r="K5156" s="15" t="s">
        <v>8</v>
      </c>
      <c r="O5156" s="15" t="s">
        <v>8</v>
      </c>
      <c r="S5156" s="15" t="s">
        <v>8</v>
      </c>
      <c r="T5156" s="19" t="str">
        <f>HYPERLINK("http://yeinfo.com/family/I09065804.html", "JOHN SAVILLE IV &lt;2&gt; 1390 EN-1459 EN ID:09065954")</f>
        <v>JOHN SAVILLE IV &lt;2&gt; 1390 EN-1459 EN ID:09065954</v>
      </c>
      <c r="U5156" s="9"/>
      <c r="V5156" s="9"/>
      <c r="W5156" s="9"/>
      <c r="X5156" s="9"/>
    </row>
    <row r="5157" spans="3:28" x14ac:dyDescent="0.35">
      <c r="C5157" s="15" t="s">
        <v>8</v>
      </c>
      <c r="E5157" s="15" t="s">
        <v>8</v>
      </c>
      <c r="H5157" s="15" t="s">
        <v>8</v>
      </c>
      <c r="I5157" s="15" t="s">
        <v>8</v>
      </c>
      <c r="J5157" s="15" t="s">
        <v>8</v>
      </c>
      <c r="K5157" s="15" t="s">
        <v>8</v>
      </c>
      <c r="O5157" s="15" t="s">
        <v>8</v>
      </c>
      <c r="S5157" s="15" t="s">
        <v>8</v>
      </c>
      <c r="T5157" s="8" t="s">
        <v>3</v>
      </c>
      <c r="U5157" s="8" t="s">
        <v>6</v>
      </c>
    </row>
    <row r="5158" spans="3:28" x14ac:dyDescent="0.35">
      <c r="C5158" s="15" t="s">
        <v>8</v>
      </c>
      <c r="E5158" s="15" t="s">
        <v>8</v>
      </c>
      <c r="H5158" s="15" t="s">
        <v>8</v>
      </c>
      <c r="I5158" s="15" t="s">
        <v>8</v>
      </c>
      <c r="J5158" s="15" t="s">
        <v>8</v>
      </c>
      <c r="K5158" s="15" t="s">
        <v>8</v>
      </c>
      <c r="O5158" s="15" t="s">
        <v>8</v>
      </c>
      <c r="S5158" s="15" t="s">
        <v>8</v>
      </c>
      <c r="T5158" s="15" t="s">
        <v>8</v>
      </c>
      <c r="U5158" s="20" t="str">
        <f>HYPERLINK("http://yeinfo.com/family/I09066316.html", "HELEN COPLEY &lt;2&gt; 1370 EN-1390 EN ID:09066125")</f>
        <v>HELEN COPLEY &lt;2&gt; 1370 EN-1390 EN ID:09066125</v>
      </c>
      <c r="V5158" s="17"/>
      <c r="W5158" s="17"/>
      <c r="X5158" s="17"/>
      <c r="Y5158" s="17"/>
    </row>
    <row r="5159" spans="3:28" x14ac:dyDescent="0.35">
      <c r="C5159" s="15" t="s">
        <v>8</v>
      </c>
      <c r="E5159" s="15" t="s">
        <v>8</v>
      </c>
      <c r="H5159" s="15" t="s">
        <v>8</v>
      </c>
      <c r="I5159" s="15" t="s">
        <v>8</v>
      </c>
      <c r="J5159" s="15" t="s">
        <v>8</v>
      </c>
      <c r="K5159" s="15" t="s">
        <v>8</v>
      </c>
      <c r="O5159" s="15" t="s">
        <v>8</v>
      </c>
      <c r="S5159" s="8" t="s">
        <v>6</v>
      </c>
      <c r="T5159" s="15" t="s">
        <v>8</v>
      </c>
    </row>
    <row r="5160" spans="3:28" x14ac:dyDescent="0.35">
      <c r="C5160" s="15" t="s">
        <v>8</v>
      </c>
      <c r="E5160" s="15" t="s">
        <v>8</v>
      </c>
      <c r="H5160" s="15" t="s">
        <v>8</v>
      </c>
      <c r="I5160" s="15" t="s">
        <v>8</v>
      </c>
      <c r="J5160" s="15" t="s">
        <v>8</v>
      </c>
      <c r="K5160" s="15" t="s">
        <v>8</v>
      </c>
      <c r="O5160" s="15" t="s">
        <v>8</v>
      </c>
      <c r="S5160" s="20" t="str">
        <f>HYPERLINK("http://yeinfo.com/family/I09066101.html", "ALICE SAVILLE &lt;2&gt; 1405 EN-1451 EN ID:09065804")</f>
        <v>ALICE SAVILLE &lt;2&gt; 1405 EN-1451 EN ID:09065804</v>
      </c>
      <c r="T5160" s="17"/>
      <c r="U5160" s="17"/>
      <c r="V5160" s="17"/>
      <c r="W5160" s="17"/>
    </row>
    <row r="5161" spans="3:28" x14ac:dyDescent="0.35">
      <c r="C5161" s="15" t="s">
        <v>8</v>
      </c>
      <c r="E5161" s="15" t="s">
        <v>8</v>
      </c>
      <c r="H5161" s="15" t="s">
        <v>8</v>
      </c>
      <c r="I5161" s="15" t="s">
        <v>8</v>
      </c>
      <c r="J5161" s="15" t="s">
        <v>8</v>
      </c>
      <c r="K5161" s="15" t="s">
        <v>8</v>
      </c>
      <c r="O5161" s="15" t="s">
        <v>8</v>
      </c>
      <c r="T5161" s="15" t="s">
        <v>8</v>
      </c>
    </row>
    <row r="5162" spans="3:28" x14ac:dyDescent="0.35">
      <c r="C5162" s="15" t="s">
        <v>8</v>
      </c>
      <c r="E5162" s="15" t="s">
        <v>8</v>
      </c>
      <c r="H5162" s="15" t="s">
        <v>8</v>
      </c>
      <c r="I5162" s="15" t="s">
        <v>8</v>
      </c>
      <c r="J5162" s="15" t="s">
        <v>8</v>
      </c>
      <c r="K5162" s="15" t="s">
        <v>8</v>
      </c>
      <c r="O5162" s="15" t="s">
        <v>8</v>
      </c>
      <c r="T5162" s="15" t="s">
        <v>8</v>
      </c>
      <c r="X5162" s="19" t="str">
        <f>HYPERLINK("http://yeinfo.com/family/I09066981.html", "HENRY TRAFFORD &lt;9&gt; 1225 EN-1264 EN ID:09066981")</f>
        <v>HENRY TRAFFORD &lt;9&gt; 1225 EN-1264 EN ID:09066981</v>
      </c>
      <c r="Y5162" s="9"/>
      <c r="Z5162" s="9"/>
      <c r="AA5162" s="9"/>
      <c r="AB5162" s="9"/>
    </row>
    <row r="5163" spans="3:28" x14ac:dyDescent="0.35">
      <c r="C5163" s="15" t="s">
        <v>8</v>
      </c>
      <c r="E5163" s="15" t="s">
        <v>8</v>
      </c>
      <c r="H5163" s="15" t="s">
        <v>8</v>
      </c>
      <c r="I5163" s="15" t="s">
        <v>8</v>
      </c>
      <c r="J5163" s="15" t="s">
        <v>8</v>
      </c>
      <c r="K5163" s="15" t="s">
        <v>8</v>
      </c>
      <c r="O5163" s="15" t="s">
        <v>8</v>
      </c>
      <c r="T5163" s="15" t="s">
        <v>8</v>
      </c>
      <c r="X5163" s="8" t="s">
        <v>3</v>
      </c>
    </row>
    <row r="5164" spans="3:28" x14ac:dyDescent="0.35">
      <c r="C5164" s="15" t="s">
        <v>8</v>
      </c>
      <c r="E5164" s="15" t="s">
        <v>8</v>
      </c>
      <c r="H5164" s="15" t="s">
        <v>8</v>
      </c>
      <c r="I5164" s="15" t="s">
        <v>8</v>
      </c>
      <c r="J5164" s="15" t="s">
        <v>8</v>
      </c>
      <c r="K5164" s="15" t="s">
        <v>8</v>
      </c>
      <c r="O5164" s="15" t="s">
        <v>8</v>
      </c>
      <c r="T5164" s="15" t="s">
        <v>8</v>
      </c>
      <c r="W5164" s="19" t="str">
        <f>HYPERLINK("http://yeinfo.com/family/I09066434.html", "JOHN TRAFFORD &lt;9&gt; 1264 EN-1340 EN ID:09066434")</f>
        <v>JOHN TRAFFORD &lt;9&gt; 1264 EN-1340 EN ID:09066434</v>
      </c>
      <c r="X5164" s="9"/>
      <c r="Y5164" s="9"/>
      <c r="Z5164" s="9"/>
      <c r="AA5164" s="9"/>
    </row>
    <row r="5165" spans="3:28" x14ac:dyDescent="0.35">
      <c r="C5165" s="15" t="s">
        <v>8</v>
      </c>
      <c r="E5165" s="15" t="s">
        <v>8</v>
      </c>
      <c r="H5165" s="15" t="s">
        <v>8</v>
      </c>
      <c r="I5165" s="15" t="s">
        <v>8</v>
      </c>
      <c r="J5165" s="15" t="s">
        <v>8</v>
      </c>
      <c r="K5165" s="15" t="s">
        <v>8</v>
      </c>
      <c r="O5165" s="15" t="s">
        <v>8</v>
      </c>
      <c r="T5165" s="15" t="s">
        <v>8</v>
      </c>
      <c r="W5165" s="8" t="s">
        <v>3</v>
      </c>
      <c r="X5165" s="8" t="s">
        <v>6</v>
      </c>
    </row>
    <row r="5166" spans="3:28" x14ac:dyDescent="0.35">
      <c r="C5166" s="15" t="s">
        <v>8</v>
      </c>
      <c r="E5166" s="15" t="s">
        <v>8</v>
      </c>
      <c r="H5166" s="15" t="s">
        <v>8</v>
      </c>
      <c r="I5166" s="15" t="s">
        <v>8</v>
      </c>
      <c r="J5166" s="15" t="s">
        <v>8</v>
      </c>
      <c r="K5166" s="15" t="s">
        <v>8</v>
      </c>
      <c r="O5166" s="15" t="s">
        <v>8</v>
      </c>
      <c r="T5166" s="15" t="s">
        <v>8</v>
      </c>
      <c r="W5166" s="15" t="s">
        <v>8</v>
      </c>
      <c r="X5166" s="20" t="str">
        <f>HYPERLINK("http://yeinfo.com/family/I09066980.html", "Mrs. MARGARET TRAFFORD &lt;9&gt; 1236 EN-1334 EN ID:09066980")</f>
        <v>Mrs. MARGARET TRAFFORD &lt;9&gt; 1236 EN-1334 EN ID:09066980</v>
      </c>
      <c r="Y5166" s="17"/>
      <c r="Z5166" s="17"/>
      <c r="AA5166" s="17"/>
      <c r="AB5166" s="17"/>
    </row>
    <row r="5167" spans="3:28" x14ac:dyDescent="0.35">
      <c r="C5167" s="15" t="s">
        <v>8</v>
      </c>
      <c r="E5167" s="15" t="s">
        <v>8</v>
      </c>
      <c r="H5167" s="15" t="s">
        <v>8</v>
      </c>
      <c r="I5167" s="15" t="s">
        <v>8</v>
      </c>
      <c r="J5167" s="15" t="s">
        <v>8</v>
      </c>
      <c r="K5167" s="15" t="s">
        <v>8</v>
      </c>
      <c r="O5167" s="15" t="s">
        <v>8</v>
      </c>
      <c r="T5167" s="15" t="s">
        <v>8</v>
      </c>
      <c r="W5167" s="15" t="s">
        <v>8</v>
      </c>
    </row>
    <row r="5168" spans="3:28" x14ac:dyDescent="0.35">
      <c r="C5168" s="15" t="s">
        <v>8</v>
      </c>
      <c r="E5168" s="15" t="s">
        <v>8</v>
      </c>
      <c r="H5168" s="15" t="s">
        <v>8</v>
      </c>
      <c r="I5168" s="15" t="s">
        <v>8</v>
      </c>
      <c r="J5168" s="15" t="s">
        <v>8</v>
      </c>
      <c r="K5168" s="15" t="s">
        <v>8</v>
      </c>
      <c r="O5168" s="15" t="s">
        <v>8</v>
      </c>
      <c r="T5168" s="15" t="s">
        <v>8</v>
      </c>
      <c r="V5168" s="19" t="str">
        <f>HYPERLINK("http://yeinfo.com/family/I09066317.html", "HENRY TRAFFORD &lt;9&gt; 1292 EN-1370 EN ID:09066317")</f>
        <v>HENRY TRAFFORD &lt;9&gt; 1292 EN-1370 EN ID:09066317</v>
      </c>
      <c r="W5168" s="9"/>
      <c r="X5168" s="9"/>
      <c r="Y5168" s="9"/>
      <c r="Z5168" s="9"/>
    </row>
    <row r="5169" spans="3:27" x14ac:dyDescent="0.35">
      <c r="C5169" s="15" t="s">
        <v>8</v>
      </c>
      <c r="E5169" s="15" t="s">
        <v>8</v>
      </c>
      <c r="H5169" s="15" t="s">
        <v>8</v>
      </c>
      <c r="I5169" s="15" t="s">
        <v>8</v>
      </c>
      <c r="J5169" s="15" t="s">
        <v>8</v>
      </c>
      <c r="K5169" s="15" t="s">
        <v>8</v>
      </c>
      <c r="O5169" s="15" t="s">
        <v>8</v>
      </c>
      <c r="T5169" s="15" t="s">
        <v>8</v>
      </c>
      <c r="V5169" s="8" t="s">
        <v>3</v>
      </c>
      <c r="W5169" s="8" t="s">
        <v>6</v>
      </c>
    </row>
    <row r="5170" spans="3:27" x14ac:dyDescent="0.35">
      <c r="C5170" s="15" t="s">
        <v>8</v>
      </c>
      <c r="E5170" s="15" t="s">
        <v>8</v>
      </c>
      <c r="H5170" s="15" t="s">
        <v>8</v>
      </c>
      <c r="I5170" s="15" t="s">
        <v>8</v>
      </c>
      <c r="J5170" s="15" t="s">
        <v>8</v>
      </c>
      <c r="K5170" s="15" t="s">
        <v>8</v>
      </c>
      <c r="O5170" s="15" t="s">
        <v>8</v>
      </c>
      <c r="T5170" s="15" t="s">
        <v>8</v>
      </c>
      <c r="V5170" s="15" t="s">
        <v>8</v>
      </c>
      <c r="W5170" s="20" t="str">
        <f>HYPERLINK("http://yeinfo.com/family/I09066433.html", "ELIZABETH ASHTON &lt;9&gt; 1268 EN-1340 EN ID:09066433")</f>
        <v>ELIZABETH ASHTON &lt;9&gt; 1268 EN-1340 EN ID:09066433</v>
      </c>
      <c r="X5170" s="17"/>
      <c r="Y5170" s="17"/>
      <c r="Z5170" s="17"/>
      <c r="AA5170" s="17"/>
    </row>
    <row r="5171" spans="3:27" x14ac:dyDescent="0.35">
      <c r="C5171" s="15" t="s">
        <v>8</v>
      </c>
      <c r="E5171" s="15" t="s">
        <v>8</v>
      </c>
      <c r="H5171" s="15" t="s">
        <v>8</v>
      </c>
      <c r="I5171" s="15" t="s">
        <v>8</v>
      </c>
      <c r="J5171" s="15" t="s">
        <v>8</v>
      </c>
      <c r="K5171" s="15" t="s">
        <v>8</v>
      </c>
      <c r="O5171" s="15" t="s">
        <v>8</v>
      </c>
      <c r="T5171" s="15" t="s">
        <v>8</v>
      </c>
      <c r="V5171" s="15" t="s">
        <v>8</v>
      </c>
    </row>
    <row r="5172" spans="3:27" x14ac:dyDescent="0.35">
      <c r="C5172" s="15" t="s">
        <v>8</v>
      </c>
      <c r="E5172" s="15" t="s">
        <v>8</v>
      </c>
      <c r="H5172" s="15" t="s">
        <v>8</v>
      </c>
      <c r="I5172" s="15" t="s">
        <v>8</v>
      </c>
      <c r="J5172" s="15" t="s">
        <v>8</v>
      </c>
      <c r="K5172" s="15" t="s">
        <v>8</v>
      </c>
      <c r="O5172" s="15" t="s">
        <v>8</v>
      </c>
      <c r="T5172" s="15" t="s">
        <v>8</v>
      </c>
      <c r="U5172" s="19" t="str">
        <f>HYPERLINK("http://yeinfo.com/family/I09065953.html", "THOMAS TRAFFORD &lt;2&gt; 1336 EN-1410 EN ID:09066126")</f>
        <v>THOMAS TRAFFORD &lt;2&gt; 1336 EN-1410 EN ID:09066126</v>
      </c>
      <c r="V5172" s="9"/>
      <c r="W5172" s="9"/>
      <c r="X5172" s="9"/>
      <c r="Y5172" s="9"/>
    </row>
    <row r="5173" spans="3:27" x14ac:dyDescent="0.35">
      <c r="C5173" s="15" t="s">
        <v>8</v>
      </c>
      <c r="E5173" s="15" t="s">
        <v>8</v>
      </c>
      <c r="H5173" s="15" t="s">
        <v>8</v>
      </c>
      <c r="I5173" s="15" t="s">
        <v>8</v>
      </c>
      <c r="J5173" s="15" t="s">
        <v>8</v>
      </c>
      <c r="K5173" s="15" t="s">
        <v>8</v>
      </c>
      <c r="O5173" s="15" t="s">
        <v>8</v>
      </c>
      <c r="T5173" s="15" t="s">
        <v>8</v>
      </c>
      <c r="U5173" s="8" t="s">
        <v>3</v>
      </c>
      <c r="V5173" s="15" t="s">
        <v>8</v>
      </c>
    </row>
    <row r="5174" spans="3:27" x14ac:dyDescent="0.35">
      <c r="C5174" s="15" t="s">
        <v>8</v>
      </c>
      <c r="E5174" s="15" t="s">
        <v>8</v>
      </c>
      <c r="H5174" s="15" t="s">
        <v>8</v>
      </c>
      <c r="I5174" s="15" t="s">
        <v>8</v>
      </c>
      <c r="J5174" s="15" t="s">
        <v>8</v>
      </c>
      <c r="K5174" s="15" t="s">
        <v>8</v>
      </c>
      <c r="O5174" s="15" t="s">
        <v>8</v>
      </c>
      <c r="T5174" s="15" t="s">
        <v>8</v>
      </c>
      <c r="U5174" s="15" t="s">
        <v>8</v>
      </c>
      <c r="V5174" s="15" t="s">
        <v>8</v>
      </c>
      <c r="W5174" s="19" t="str">
        <f>HYPERLINK("http://yeinfo.com/family/I09066492.html", "RICHARD DOTERINDE &lt;9&gt; 1280 EN-1345 EN ID:09066492")</f>
        <v>RICHARD DOTERINDE &lt;9&gt; 1280 EN-1345 EN ID:09066492</v>
      </c>
      <c r="X5174" s="9"/>
      <c r="Y5174" s="9"/>
      <c r="Z5174" s="9"/>
      <c r="AA5174" s="9"/>
    </row>
    <row r="5175" spans="3:27" x14ac:dyDescent="0.35">
      <c r="C5175" s="15" t="s">
        <v>8</v>
      </c>
      <c r="E5175" s="15" t="s">
        <v>8</v>
      </c>
      <c r="H5175" s="15" t="s">
        <v>8</v>
      </c>
      <c r="I5175" s="15" t="s">
        <v>8</v>
      </c>
      <c r="J5175" s="15" t="s">
        <v>8</v>
      </c>
      <c r="K5175" s="15" t="s">
        <v>8</v>
      </c>
      <c r="O5175" s="15" t="s">
        <v>8</v>
      </c>
      <c r="T5175" s="15" t="s">
        <v>8</v>
      </c>
      <c r="U5175" s="15" t="s">
        <v>8</v>
      </c>
      <c r="V5175" s="8" t="s">
        <v>6</v>
      </c>
      <c r="W5175" s="8" t="s">
        <v>3</v>
      </c>
    </row>
    <row r="5176" spans="3:27" x14ac:dyDescent="0.35">
      <c r="C5176" s="15" t="s">
        <v>8</v>
      </c>
      <c r="E5176" s="15" t="s">
        <v>8</v>
      </c>
      <c r="H5176" s="15" t="s">
        <v>8</v>
      </c>
      <c r="I5176" s="15" t="s">
        <v>8</v>
      </c>
      <c r="J5176" s="15" t="s">
        <v>8</v>
      </c>
      <c r="K5176" s="15" t="s">
        <v>8</v>
      </c>
      <c r="O5176" s="15" t="s">
        <v>8</v>
      </c>
      <c r="T5176" s="15" t="s">
        <v>8</v>
      </c>
      <c r="U5176" s="15" t="s">
        <v>8</v>
      </c>
      <c r="V5176" s="20" t="str">
        <f>HYPERLINK("http://yeinfo.com/family/I09066318.html", "AGNES DOTERINDE &lt;9&gt; 1302 EN-1360 EN ID:09066318")</f>
        <v>AGNES DOTERINDE &lt;9&gt; 1302 EN-1360 EN ID:09066318</v>
      </c>
      <c r="W5176" s="17"/>
      <c r="X5176" s="17"/>
      <c r="Y5176" s="17"/>
      <c r="Z5176" s="17"/>
    </row>
    <row r="5177" spans="3:27" x14ac:dyDescent="0.35">
      <c r="C5177" s="15" t="s">
        <v>8</v>
      </c>
      <c r="E5177" s="15" t="s">
        <v>8</v>
      </c>
      <c r="H5177" s="15" t="s">
        <v>8</v>
      </c>
      <c r="I5177" s="15" t="s">
        <v>8</v>
      </c>
      <c r="J5177" s="15" t="s">
        <v>8</v>
      </c>
      <c r="K5177" s="15" t="s">
        <v>8</v>
      </c>
      <c r="O5177" s="15" t="s">
        <v>8</v>
      </c>
      <c r="T5177" s="15" t="s">
        <v>8</v>
      </c>
      <c r="U5177" s="15" t="s">
        <v>8</v>
      </c>
      <c r="W5177" s="8" t="s">
        <v>6</v>
      </c>
    </row>
    <row r="5178" spans="3:27" x14ac:dyDescent="0.35">
      <c r="C5178" s="15" t="s">
        <v>8</v>
      </c>
      <c r="E5178" s="15" t="s">
        <v>8</v>
      </c>
      <c r="H5178" s="15" t="s">
        <v>8</v>
      </c>
      <c r="I5178" s="15" t="s">
        <v>8</v>
      </c>
      <c r="J5178" s="15" t="s">
        <v>8</v>
      </c>
      <c r="K5178" s="15" t="s">
        <v>8</v>
      </c>
      <c r="O5178" s="15" t="s">
        <v>8</v>
      </c>
      <c r="T5178" s="15" t="s">
        <v>8</v>
      </c>
      <c r="U5178" s="15" t="s">
        <v>8</v>
      </c>
      <c r="W5178" s="20" t="str">
        <f>HYPERLINK("http://yeinfo.com/family/I09066493.html", "Mrs. {_?_} DOTERINDE &lt;9&gt; 1280 EN-1302 EN ID:09066493")</f>
        <v>Mrs. {_?_} DOTERINDE &lt;9&gt; 1280 EN-1302 EN ID:09066493</v>
      </c>
      <c r="X5178" s="17"/>
      <c r="Y5178" s="17"/>
      <c r="Z5178" s="17"/>
      <c r="AA5178" s="17"/>
    </row>
    <row r="5179" spans="3:27" x14ac:dyDescent="0.35">
      <c r="C5179" s="15" t="s">
        <v>8</v>
      </c>
      <c r="E5179" s="15" t="s">
        <v>8</v>
      </c>
      <c r="H5179" s="15" t="s">
        <v>8</v>
      </c>
      <c r="I5179" s="15" t="s">
        <v>8</v>
      </c>
      <c r="J5179" s="15" t="s">
        <v>8</v>
      </c>
      <c r="K5179" s="15" t="s">
        <v>8</v>
      </c>
      <c r="O5179" s="15" t="s">
        <v>8</v>
      </c>
      <c r="T5179" s="8" t="s">
        <v>6</v>
      </c>
      <c r="U5179" s="15" t="s">
        <v>8</v>
      </c>
    </row>
    <row r="5180" spans="3:27" x14ac:dyDescent="0.35">
      <c r="C5180" s="15" t="s">
        <v>8</v>
      </c>
      <c r="E5180" s="15" t="s">
        <v>8</v>
      </c>
      <c r="H5180" s="15" t="s">
        <v>8</v>
      </c>
      <c r="I5180" s="15" t="s">
        <v>8</v>
      </c>
      <c r="J5180" s="15" t="s">
        <v>8</v>
      </c>
      <c r="K5180" s="15" t="s">
        <v>8</v>
      </c>
      <c r="O5180" s="15" t="s">
        <v>8</v>
      </c>
      <c r="T5180" s="20" t="str">
        <f>HYPERLINK("http://yeinfo.com/family/I09066125.html", "MAUD TRAFFORD &lt;2&gt; 1386 EN-1450 EN ID:09065953")</f>
        <v>MAUD TRAFFORD &lt;2&gt; 1386 EN-1450 EN ID:09065953</v>
      </c>
      <c r="U5180" s="17"/>
      <c r="V5180" s="17"/>
      <c r="W5180" s="17"/>
      <c r="X5180" s="17"/>
    </row>
    <row r="5181" spans="3:27" x14ac:dyDescent="0.35">
      <c r="C5181" s="15" t="s">
        <v>8</v>
      </c>
      <c r="E5181" s="15" t="s">
        <v>8</v>
      </c>
      <c r="H5181" s="15" t="s">
        <v>8</v>
      </c>
      <c r="I5181" s="15" t="s">
        <v>8</v>
      </c>
      <c r="J5181" s="15" t="s">
        <v>8</v>
      </c>
      <c r="K5181" s="15" t="s">
        <v>8</v>
      </c>
      <c r="O5181" s="15" t="s">
        <v>8</v>
      </c>
      <c r="U5181" s="8" t="s">
        <v>6</v>
      </c>
    </row>
    <row r="5182" spans="3:27" x14ac:dyDescent="0.35">
      <c r="C5182" s="15" t="s">
        <v>8</v>
      </c>
      <c r="E5182" s="15" t="s">
        <v>8</v>
      </c>
      <c r="H5182" s="15" t="s">
        <v>8</v>
      </c>
      <c r="I5182" s="15" t="s">
        <v>8</v>
      </c>
      <c r="J5182" s="15" t="s">
        <v>8</v>
      </c>
      <c r="K5182" s="15" t="s">
        <v>8</v>
      </c>
      <c r="O5182" s="15" t="s">
        <v>8</v>
      </c>
      <c r="U5182" s="20" t="str">
        <f>HYPERLINK("http://yeinfo.com/family/I09066126.html", "Mrs. {_?_} TRAFFORD &lt;2&gt; 1340 EN-1386 EN ID:09066127")</f>
        <v>Mrs. {_?_} TRAFFORD &lt;2&gt; 1340 EN-1386 EN ID:09066127</v>
      </c>
      <c r="V5182" s="17"/>
      <c r="W5182" s="17"/>
      <c r="X5182" s="17"/>
      <c r="Y5182" s="17"/>
    </row>
    <row r="5183" spans="3:27" x14ac:dyDescent="0.35">
      <c r="C5183" s="15" t="s">
        <v>8</v>
      </c>
      <c r="E5183" s="15" t="s">
        <v>8</v>
      </c>
      <c r="H5183" s="15" t="s">
        <v>8</v>
      </c>
      <c r="I5183" s="15" t="s">
        <v>8</v>
      </c>
      <c r="J5183" s="15" t="s">
        <v>8</v>
      </c>
      <c r="K5183" s="15" t="s">
        <v>8</v>
      </c>
      <c r="O5183" s="15" t="s">
        <v>8</v>
      </c>
    </row>
    <row r="5184" spans="3:27" x14ac:dyDescent="0.35">
      <c r="C5184" s="15" t="s">
        <v>8</v>
      </c>
      <c r="E5184" s="15" t="s">
        <v>8</v>
      </c>
      <c r="H5184" s="15" t="s">
        <v>8</v>
      </c>
      <c r="I5184" s="15" t="s">
        <v>8</v>
      </c>
      <c r="J5184" s="15" t="s">
        <v>8</v>
      </c>
      <c r="K5184" s="15" t="s">
        <v>8</v>
      </c>
      <c r="N5184" s="19" t="str">
        <f>HYPERLINK("http://yeinfo.com/family/I09002836.html", "WILLIAM FARRAR &lt;2&gt; 1550 EN-1605 EN ID:09005672")</f>
        <v>WILLIAM FARRAR &lt;2&gt; 1550 EN-1605 EN ID:09005672</v>
      </c>
      <c r="O5184" s="9"/>
      <c r="P5184" s="9"/>
      <c r="Q5184" s="9"/>
      <c r="R5184" s="9"/>
    </row>
    <row r="5185" spans="3:20" x14ac:dyDescent="0.35">
      <c r="C5185" s="15" t="s">
        <v>8</v>
      </c>
      <c r="E5185" s="15" t="s">
        <v>8</v>
      </c>
      <c r="H5185" s="15" t="s">
        <v>8</v>
      </c>
      <c r="I5185" s="15" t="s">
        <v>8</v>
      </c>
      <c r="J5185" s="15" t="s">
        <v>8</v>
      </c>
      <c r="K5185" s="15" t="s">
        <v>8</v>
      </c>
      <c r="N5185" s="8" t="s">
        <v>3</v>
      </c>
      <c r="O5185" s="8" t="s">
        <v>6</v>
      </c>
    </row>
    <row r="5186" spans="3:20" x14ac:dyDescent="0.35">
      <c r="C5186" s="15" t="s">
        <v>8</v>
      </c>
      <c r="E5186" s="15" t="s">
        <v>8</v>
      </c>
      <c r="H5186" s="15" t="s">
        <v>8</v>
      </c>
      <c r="I5186" s="15" t="s">
        <v>8</v>
      </c>
      <c r="J5186" s="15" t="s">
        <v>8</v>
      </c>
      <c r="K5186" s="15" t="s">
        <v>8</v>
      </c>
      <c r="N5186" s="15" t="s">
        <v>8</v>
      </c>
      <c r="O5186" s="20" t="str">
        <f>HYPERLINK("http://yeinfo.com/family/I09066127.html", "MARY\ISABELLA\ANN THOMPSON &lt;2&gt; 1525 EN-1550 EN ID:09011345")</f>
        <v>MARY\ISABELLA\ANN THOMPSON &lt;2&gt; 1525 EN-1550 EN ID:09011345</v>
      </c>
      <c r="P5186" s="17"/>
      <c r="Q5186" s="17"/>
      <c r="R5186" s="17"/>
      <c r="S5186" s="17"/>
      <c r="T5186" s="17"/>
    </row>
    <row r="5187" spans="3:20" x14ac:dyDescent="0.35">
      <c r="C5187" s="15" t="s">
        <v>8</v>
      </c>
      <c r="E5187" s="15" t="s">
        <v>8</v>
      </c>
      <c r="H5187" s="15" t="s">
        <v>8</v>
      </c>
      <c r="I5187" s="15" t="s">
        <v>8</v>
      </c>
      <c r="J5187" s="15" t="s">
        <v>8</v>
      </c>
      <c r="K5187" s="15" t="s">
        <v>8</v>
      </c>
      <c r="N5187" s="15" t="s">
        <v>8</v>
      </c>
    </row>
    <row r="5188" spans="3:20" x14ac:dyDescent="0.35">
      <c r="C5188" s="15" t="s">
        <v>8</v>
      </c>
      <c r="E5188" s="15" t="s">
        <v>8</v>
      </c>
      <c r="H5188" s="15" t="s">
        <v>8</v>
      </c>
      <c r="I5188" s="15" t="s">
        <v>8</v>
      </c>
      <c r="J5188" s="15" t="s">
        <v>8</v>
      </c>
      <c r="K5188" s="15" t="s">
        <v>8</v>
      </c>
      <c r="M5188" s="5" t="str">
        <f>HYPERLINK("http://yeinfo.com/family/I09001418.html", "JACOB FARRAR &lt;2&gt; 1584 EN-1639  ID:09002836")</f>
        <v>JACOB FARRAR &lt;2&gt; 1584 EN-1639  ID:09002836</v>
      </c>
      <c r="N5188" s="3"/>
      <c r="O5188" s="3"/>
      <c r="P5188" s="3"/>
      <c r="Q5188" s="3"/>
    </row>
    <row r="5189" spans="3:20" x14ac:dyDescent="0.35">
      <c r="C5189" s="15" t="s">
        <v>8</v>
      </c>
      <c r="E5189" s="15" t="s">
        <v>8</v>
      </c>
      <c r="H5189" s="15" t="s">
        <v>8</v>
      </c>
      <c r="I5189" s="15" t="s">
        <v>8</v>
      </c>
      <c r="J5189" s="15" t="s">
        <v>8</v>
      </c>
      <c r="K5189" s="15" t="s">
        <v>8</v>
      </c>
      <c r="M5189" s="8" t="s">
        <v>3</v>
      </c>
      <c r="N5189" s="15" t="s">
        <v>8</v>
      </c>
    </row>
    <row r="5190" spans="3:20" x14ac:dyDescent="0.35">
      <c r="C5190" s="15" t="s">
        <v>8</v>
      </c>
      <c r="E5190" s="15" t="s">
        <v>8</v>
      </c>
      <c r="H5190" s="15" t="s">
        <v>8</v>
      </c>
      <c r="I5190" s="15" t="s">
        <v>8</v>
      </c>
      <c r="J5190" s="15" t="s">
        <v>8</v>
      </c>
      <c r="K5190" s="15" t="s">
        <v>8</v>
      </c>
      <c r="M5190" s="15" t="s">
        <v>8</v>
      </c>
      <c r="N5190" s="15" t="s">
        <v>8</v>
      </c>
      <c r="P5190" s="19" t="str">
        <f>HYPERLINK("http://yeinfo.com/family/I09011346.html", "GEORGE BANNISTER &lt;2&gt; 1500 EN-1538 EN ID:09022692")</f>
        <v>GEORGE BANNISTER &lt;2&gt; 1500 EN-1538 EN ID:09022692</v>
      </c>
      <c r="Q5190" s="9"/>
      <c r="R5190" s="9"/>
      <c r="S5190" s="9"/>
      <c r="T5190" s="9"/>
    </row>
    <row r="5191" spans="3:20" x14ac:dyDescent="0.35">
      <c r="C5191" s="15" t="s">
        <v>8</v>
      </c>
      <c r="E5191" s="15" t="s">
        <v>8</v>
      </c>
      <c r="H5191" s="15" t="s">
        <v>8</v>
      </c>
      <c r="I5191" s="15" t="s">
        <v>8</v>
      </c>
      <c r="J5191" s="15" t="s">
        <v>8</v>
      </c>
      <c r="K5191" s="15" t="s">
        <v>8</v>
      </c>
      <c r="M5191" s="15" t="s">
        <v>8</v>
      </c>
      <c r="N5191" s="15" t="s">
        <v>8</v>
      </c>
      <c r="P5191" s="8" t="s">
        <v>3</v>
      </c>
    </row>
    <row r="5192" spans="3:20" x14ac:dyDescent="0.35">
      <c r="C5192" s="15" t="s">
        <v>8</v>
      </c>
      <c r="E5192" s="15" t="s">
        <v>8</v>
      </c>
      <c r="H5192" s="15" t="s">
        <v>8</v>
      </c>
      <c r="I5192" s="15" t="s">
        <v>8</v>
      </c>
      <c r="J5192" s="15" t="s">
        <v>8</v>
      </c>
      <c r="K5192" s="15" t="s">
        <v>8</v>
      </c>
      <c r="M5192" s="15" t="s">
        <v>8</v>
      </c>
      <c r="N5192" s="15" t="s">
        <v>8</v>
      </c>
      <c r="O5192" s="19" t="str">
        <f>HYPERLINK("http://yeinfo.com/family/I09005673.html", "GEORGE BANNISTER &lt;2&gt; 1520 EN-1572 EN ID:09011346")</f>
        <v>GEORGE BANNISTER &lt;2&gt; 1520 EN-1572 EN ID:09011346</v>
      </c>
      <c r="P5192" s="9"/>
      <c r="Q5192" s="9"/>
      <c r="R5192" s="9"/>
      <c r="S5192" s="9"/>
    </row>
    <row r="5193" spans="3:20" x14ac:dyDescent="0.35">
      <c r="C5193" s="15" t="s">
        <v>8</v>
      </c>
      <c r="E5193" s="15" t="s">
        <v>8</v>
      </c>
      <c r="H5193" s="15" t="s">
        <v>8</v>
      </c>
      <c r="I5193" s="15" t="s">
        <v>8</v>
      </c>
      <c r="J5193" s="15" t="s">
        <v>8</v>
      </c>
      <c r="K5193" s="15" t="s">
        <v>8</v>
      </c>
      <c r="M5193" s="15" t="s">
        <v>8</v>
      </c>
      <c r="N5193" s="15" t="s">
        <v>8</v>
      </c>
      <c r="O5193" s="8" t="s">
        <v>3</v>
      </c>
      <c r="P5193" s="8" t="s">
        <v>6</v>
      </c>
    </row>
    <row r="5194" spans="3:20" x14ac:dyDescent="0.35">
      <c r="C5194" s="15" t="s">
        <v>8</v>
      </c>
      <c r="E5194" s="15" t="s">
        <v>8</v>
      </c>
      <c r="H5194" s="15" t="s">
        <v>8</v>
      </c>
      <c r="I5194" s="15" t="s">
        <v>8</v>
      </c>
      <c r="J5194" s="15" t="s">
        <v>8</v>
      </c>
      <c r="K5194" s="15" t="s">
        <v>8</v>
      </c>
      <c r="M5194" s="15" t="s">
        <v>8</v>
      </c>
      <c r="N5194" s="15" t="s">
        <v>8</v>
      </c>
      <c r="O5194" s="15" t="s">
        <v>8</v>
      </c>
      <c r="P5194" s="20" t="str">
        <f>HYPERLINK("http://yeinfo.com/family/I09022692.html", "Mrs. {_?_} BANNISTER &lt;2&gt; 1500 EN-1520 EN ID:09022693")</f>
        <v>Mrs. {_?_} BANNISTER &lt;2&gt; 1500 EN-1520 EN ID:09022693</v>
      </c>
      <c r="Q5194" s="17"/>
      <c r="R5194" s="17"/>
      <c r="S5194" s="17"/>
      <c r="T5194" s="17"/>
    </row>
    <row r="5195" spans="3:20" x14ac:dyDescent="0.35">
      <c r="C5195" s="15" t="s">
        <v>8</v>
      </c>
      <c r="E5195" s="15" t="s">
        <v>8</v>
      </c>
      <c r="H5195" s="15" t="s">
        <v>8</v>
      </c>
      <c r="I5195" s="15" t="s">
        <v>8</v>
      </c>
      <c r="J5195" s="15" t="s">
        <v>8</v>
      </c>
      <c r="K5195" s="15" t="s">
        <v>8</v>
      </c>
      <c r="M5195" s="15" t="s">
        <v>8</v>
      </c>
      <c r="N5195" s="8" t="s">
        <v>6</v>
      </c>
      <c r="O5195" s="15" t="s">
        <v>8</v>
      </c>
    </row>
    <row r="5196" spans="3:20" x14ac:dyDescent="0.35">
      <c r="C5196" s="15" t="s">
        <v>8</v>
      </c>
      <c r="E5196" s="15" t="s">
        <v>8</v>
      </c>
      <c r="H5196" s="15" t="s">
        <v>8</v>
      </c>
      <c r="I5196" s="15" t="s">
        <v>8</v>
      </c>
      <c r="J5196" s="15" t="s">
        <v>8</v>
      </c>
      <c r="K5196" s="15" t="s">
        <v>8</v>
      </c>
      <c r="M5196" s="15" t="s">
        <v>8</v>
      </c>
      <c r="N5196" s="20" t="str">
        <f>HYPERLINK("http://yeinfo.com/family/I09011345.html", "MARGARET BANNISTER &lt;2&gt; 1546 EN-1624 EN ID:09005673")</f>
        <v>MARGARET BANNISTER &lt;2&gt; 1546 EN-1624 EN ID:09005673</v>
      </c>
      <c r="O5196" s="17"/>
      <c r="P5196" s="17"/>
      <c r="Q5196" s="17"/>
      <c r="R5196" s="17"/>
    </row>
    <row r="5197" spans="3:20" x14ac:dyDescent="0.35">
      <c r="C5197" s="15" t="s">
        <v>8</v>
      </c>
      <c r="E5197" s="15" t="s">
        <v>8</v>
      </c>
      <c r="H5197" s="15" t="s">
        <v>8</v>
      </c>
      <c r="I5197" s="15" t="s">
        <v>8</v>
      </c>
      <c r="J5197" s="15" t="s">
        <v>8</v>
      </c>
      <c r="K5197" s="15" t="s">
        <v>8</v>
      </c>
      <c r="M5197" s="15" t="s">
        <v>8</v>
      </c>
      <c r="O5197" s="8" t="s">
        <v>6</v>
      </c>
    </row>
    <row r="5198" spans="3:20" x14ac:dyDescent="0.35">
      <c r="C5198" s="15" t="s">
        <v>8</v>
      </c>
      <c r="E5198" s="15" t="s">
        <v>8</v>
      </c>
      <c r="H5198" s="15" t="s">
        <v>8</v>
      </c>
      <c r="I5198" s="15" t="s">
        <v>8</v>
      </c>
      <c r="J5198" s="15" t="s">
        <v>8</v>
      </c>
      <c r="K5198" s="15" t="s">
        <v>8</v>
      </c>
      <c r="M5198" s="15" t="s">
        <v>8</v>
      </c>
      <c r="O5198" s="20" t="str">
        <f>HYPERLINK("http://yeinfo.com/family/I09022693.html", "MARGARET CROWTHER &lt;2&gt; 1520 EN-1546  ID:09011347")</f>
        <v>MARGARET CROWTHER &lt;2&gt; 1520 EN-1546  ID:09011347</v>
      </c>
      <c r="P5198" s="17"/>
      <c r="Q5198" s="17"/>
      <c r="R5198" s="17"/>
      <c r="S5198" s="17"/>
    </row>
    <row r="5199" spans="3:20" x14ac:dyDescent="0.35">
      <c r="C5199" s="15" t="s">
        <v>8</v>
      </c>
      <c r="E5199" s="15" t="s">
        <v>8</v>
      </c>
      <c r="H5199" s="15" t="s">
        <v>8</v>
      </c>
      <c r="I5199" s="15" t="s">
        <v>8</v>
      </c>
      <c r="J5199" s="15" t="s">
        <v>8</v>
      </c>
      <c r="K5199" s="15" t="s">
        <v>8</v>
      </c>
      <c r="M5199" s="15" t="s">
        <v>8</v>
      </c>
    </row>
    <row r="5200" spans="3:20" x14ac:dyDescent="0.35">
      <c r="C5200" s="15" t="s">
        <v>8</v>
      </c>
      <c r="E5200" s="15" t="s">
        <v>8</v>
      </c>
      <c r="H5200" s="15" t="s">
        <v>8</v>
      </c>
      <c r="I5200" s="15" t="s">
        <v>8</v>
      </c>
      <c r="J5200" s="15" t="s">
        <v>8</v>
      </c>
      <c r="K5200" s="15" t="s">
        <v>8</v>
      </c>
      <c r="L5200" s="21" t="str">
        <f>HYPERLINK("http://yeinfo.com/family/I09000709.html", "JACOB FARRAR &lt;2&gt; 1614 EN-1677 MA ID:09001418")</f>
        <v>JACOB FARRAR &lt;2&gt; 1614 EN-1677 MA ID:09001418</v>
      </c>
      <c r="M5200" s="6"/>
      <c r="N5200" s="6"/>
      <c r="O5200" s="6"/>
      <c r="P5200" s="6"/>
    </row>
    <row r="5201" spans="3:20" x14ac:dyDescent="0.35">
      <c r="C5201" s="15" t="s">
        <v>8</v>
      </c>
      <c r="E5201" s="15" t="s">
        <v>8</v>
      </c>
      <c r="H5201" s="15" t="s">
        <v>8</v>
      </c>
      <c r="I5201" s="15" t="s">
        <v>8</v>
      </c>
      <c r="J5201" s="15" t="s">
        <v>8</v>
      </c>
      <c r="K5201" s="15" t="s">
        <v>8</v>
      </c>
      <c r="L5201" s="8" t="s">
        <v>3</v>
      </c>
      <c r="M5201" s="8" t="s">
        <v>6</v>
      </c>
    </row>
    <row r="5202" spans="3:20" x14ac:dyDescent="0.35">
      <c r="C5202" s="15" t="s">
        <v>8</v>
      </c>
      <c r="E5202" s="15" t="s">
        <v>8</v>
      </c>
      <c r="H5202" s="15" t="s">
        <v>8</v>
      </c>
      <c r="I5202" s="15" t="s">
        <v>8</v>
      </c>
      <c r="J5202" s="15" t="s">
        <v>8</v>
      </c>
      <c r="K5202" s="15" t="s">
        <v>8</v>
      </c>
      <c r="L5202" s="15" t="s">
        <v>8</v>
      </c>
      <c r="M5202" s="16" t="str">
        <f>HYPERLINK("http://yeinfo.com/family/I09011347.html", "MARY HAUGHTON &lt;2&gt; 1585 EN-1639  ID:09002837")</f>
        <v>MARY HAUGHTON &lt;2&gt; 1585 EN-1639  ID:09002837</v>
      </c>
      <c r="N5202" s="11"/>
      <c r="O5202" s="11"/>
      <c r="P5202" s="11"/>
      <c r="Q5202" s="11"/>
    </row>
    <row r="5203" spans="3:20" x14ac:dyDescent="0.35">
      <c r="C5203" s="15" t="s">
        <v>8</v>
      </c>
      <c r="E5203" s="15" t="s">
        <v>8</v>
      </c>
      <c r="H5203" s="15" t="s">
        <v>8</v>
      </c>
      <c r="I5203" s="15" t="s">
        <v>8</v>
      </c>
      <c r="J5203" s="15" t="s">
        <v>8</v>
      </c>
      <c r="K5203" s="8" t="s">
        <v>6</v>
      </c>
      <c r="L5203" s="15" t="s">
        <v>8</v>
      </c>
    </row>
    <row r="5204" spans="3:20" x14ac:dyDescent="0.35">
      <c r="C5204" s="15" t="s">
        <v>8</v>
      </c>
      <c r="E5204" s="15" t="s">
        <v>8</v>
      </c>
      <c r="H5204" s="15" t="s">
        <v>8</v>
      </c>
      <c r="I5204" s="15" t="s">
        <v>8</v>
      </c>
      <c r="J5204" s="15" t="s">
        <v>8</v>
      </c>
      <c r="K5204" s="16" t="str">
        <f>HYPERLINK("http://yeinfo.com/family/I09001417.html", "MARY FARRAR &lt;2&gt; 1648 MA-1696  ID:09000709")</f>
        <v>MARY FARRAR &lt;2&gt; 1648 MA-1696  ID:09000709</v>
      </c>
      <c r="L5204" s="11"/>
      <c r="M5204" s="11"/>
      <c r="N5204" s="11"/>
      <c r="O5204" s="11"/>
    </row>
    <row r="5205" spans="3:20" x14ac:dyDescent="0.35">
      <c r="C5205" s="15" t="s">
        <v>8</v>
      </c>
      <c r="E5205" s="15" t="s">
        <v>8</v>
      </c>
      <c r="H5205" s="15" t="s">
        <v>8</v>
      </c>
      <c r="I5205" s="15" t="s">
        <v>8</v>
      </c>
      <c r="J5205" s="15" t="s">
        <v>8</v>
      </c>
      <c r="L5205" s="8" t="s">
        <v>6</v>
      </c>
    </row>
    <row r="5206" spans="3:20" x14ac:dyDescent="0.35">
      <c r="C5206" s="15" t="s">
        <v>8</v>
      </c>
      <c r="E5206" s="15" t="s">
        <v>8</v>
      </c>
      <c r="H5206" s="15" t="s">
        <v>8</v>
      </c>
      <c r="I5206" s="15" t="s">
        <v>8</v>
      </c>
      <c r="J5206" s="15" t="s">
        <v>8</v>
      </c>
      <c r="L5206" s="22" t="str">
        <f>HYPERLINK("http://yeinfo.com/family/I09002837.html", "Mrs. ANN FARRAR &lt;2&gt; 1620 EN-1660 MA ID:09001419")</f>
        <v>Mrs. ANN FARRAR &lt;2&gt; 1620 EN-1660 MA ID:09001419</v>
      </c>
      <c r="M5206" s="13"/>
      <c r="N5206" s="13"/>
      <c r="O5206" s="13"/>
      <c r="P5206" s="13"/>
    </row>
    <row r="5207" spans="3:20" x14ac:dyDescent="0.35">
      <c r="C5207" s="15" t="s">
        <v>8</v>
      </c>
      <c r="E5207" s="15" t="s">
        <v>8</v>
      </c>
      <c r="H5207" s="15" t="s">
        <v>8</v>
      </c>
      <c r="I5207" s="8" t="s">
        <v>6</v>
      </c>
      <c r="J5207" s="15" t="s">
        <v>8</v>
      </c>
    </row>
    <row r="5208" spans="3:20" x14ac:dyDescent="0.35">
      <c r="C5208" s="15" t="s">
        <v>8</v>
      </c>
      <c r="E5208" s="15" t="s">
        <v>8</v>
      </c>
      <c r="H5208" s="15" t="s">
        <v>8</v>
      </c>
      <c r="I5208" s="16" t="str">
        <f>HYPERLINK("http://yeinfo.com/family/I09002831.html", "ZERISH HOUGHTON 1729 MA-1769 MA ID:09000177")</f>
        <v>ZERISH HOUGHTON 1729 MA-1769 MA ID:09000177</v>
      </c>
      <c r="J5208" s="11"/>
      <c r="K5208" s="11"/>
      <c r="L5208" s="11"/>
      <c r="M5208" s="11"/>
    </row>
    <row r="5209" spans="3:20" x14ac:dyDescent="0.35">
      <c r="C5209" s="15" t="s">
        <v>8</v>
      </c>
      <c r="E5209" s="15" t="s">
        <v>8</v>
      </c>
      <c r="H5209" s="15" t="s">
        <v>8</v>
      </c>
      <c r="J5209" s="15" t="s">
        <v>8</v>
      </c>
    </row>
    <row r="5210" spans="3:20" x14ac:dyDescent="0.35">
      <c r="C5210" s="15" t="s">
        <v>8</v>
      </c>
      <c r="E5210" s="15" t="s">
        <v>8</v>
      </c>
      <c r="H5210" s="15" t="s">
        <v>8</v>
      </c>
      <c r="J5210" s="15" t="s">
        <v>8</v>
      </c>
      <c r="P5210" s="19" t="str">
        <f>HYPERLINK("http://yeinfo.com/family/I09011360.html", "THOMAS WHITE 1500 EN-1538 EN ID:09022720")</f>
        <v>THOMAS WHITE 1500 EN-1538 EN ID:09022720</v>
      </c>
      <c r="Q5210" s="9"/>
      <c r="R5210" s="9"/>
      <c r="S5210" s="9"/>
      <c r="T5210" s="9"/>
    </row>
    <row r="5211" spans="3:20" x14ac:dyDescent="0.35">
      <c r="C5211" s="15" t="s">
        <v>8</v>
      </c>
      <c r="E5211" s="15" t="s">
        <v>8</v>
      </c>
      <c r="H5211" s="15" t="s">
        <v>8</v>
      </c>
      <c r="J5211" s="15" t="s">
        <v>8</v>
      </c>
      <c r="P5211" s="8" t="s">
        <v>3</v>
      </c>
    </row>
    <row r="5212" spans="3:20" x14ac:dyDescent="0.35">
      <c r="C5212" s="15" t="s">
        <v>8</v>
      </c>
      <c r="E5212" s="15" t="s">
        <v>8</v>
      </c>
      <c r="H5212" s="15" t="s">
        <v>8</v>
      </c>
      <c r="J5212" s="15" t="s">
        <v>8</v>
      </c>
      <c r="O5212" s="19" t="str">
        <f>HYPERLINK("http://yeinfo.com/family/I09005680.html", "RICHARD\ROBERT WHITE 1525 EN-1578 EN ID:09011360")</f>
        <v>RICHARD\ROBERT WHITE 1525 EN-1578 EN ID:09011360</v>
      </c>
      <c r="P5212" s="9"/>
      <c r="Q5212" s="9"/>
      <c r="R5212" s="9"/>
      <c r="S5212" s="9"/>
      <c r="T5212" s="9"/>
    </row>
    <row r="5213" spans="3:20" x14ac:dyDescent="0.35">
      <c r="C5213" s="15" t="s">
        <v>8</v>
      </c>
      <c r="E5213" s="15" t="s">
        <v>8</v>
      </c>
      <c r="H5213" s="15" t="s">
        <v>8</v>
      </c>
      <c r="J5213" s="15" t="s">
        <v>8</v>
      </c>
      <c r="O5213" s="8" t="s">
        <v>3</v>
      </c>
      <c r="P5213" s="8" t="s">
        <v>6</v>
      </c>
    </row>
    <row r="5214" spans="3:20" x14ac:dyDescent="0.35">
      <c r="C5214" s="15" t="s">
        <v>8</v>
      </c>
      <c r="E5214" s="15" t="s">
        <v>8</v>
      </c>
      <c r="H5214" s="15" t="s">
        <v>8</v>
      </c>
      <c r="J5214" s="15" t="s">
        <v>8</v>
      </c>
      <c r="O5214" s="15" t="s">
        <v>8</v>
      </c>
      <c r="P5214" s="20" t="str">
        <f>HYPERLINK("http://yeinfo.com/family/I09022720.html", "AGNES RICHARD 1500 EN-1549 EN ID:09022721")</f>
        <v>AGNES RICHARD 1500 EN-1549 EN ID:09022721</v>
      </c>
      <c r="Q5214" s="17"/>
      <c r="R5214" s="17"/>
      <c r="S5214" s="17"/>
      <c r="T5214" s="17"/>
    </row>
    <row r="5215" spans="3:20" x14ac:dyDescent="0.35">
      <c r="C5215" s="15" t="s">
        <v>8</v>
      </c>
      <c r="E5215" s="15" t="s">
        <v>8</v>
      </c>
      <c r="H5215" s="15" t="s">
        <v>8</v>
      </c>
      <c r="J5215" s="15" t="s">
        <v>8</v>
      </c>
      <c r="O5215" s="15" t="s">
        <v>8</v>
      </c>
    </row>
    <row r="5216" spans="3:20" x14ac:dyDescent="0.35">
      <c r="C5216" s="15" t="s">
        <v>8</v>
      </c>
      <c r="E5216" s="15" t="s">
        <v>8</v>
      </c>
      <c r="H5216" s="15" t="s">
        <v>8</v>
      </c>
      <c r="J5216" s="15" t="s">
        <v>8</v>
      </c>
      <c r="N5216" s="19" t="str">
        <f>HYPERLINK("http://yeinfo.com/family/I09002840.html", "ROBERT WHITE 1550 EN-1600 EN ID:09005680")</f>
        <v>ROBERT WHITE 1550 EN-1600 EN ID:09005680</v>
      </c>
      <c r="O5216" s="9"/>
      <c r="P5216" s="9"/>
      <c r="Q5216" s="9"/>
      <c r="R5216" s="9"/>
    </row>
    <row r="5217" spans="3:20" x14ac:dyDescent="0.35">
      <c r="C5217" s="15" t="s">
        <v>8</v>
      </c>
      <c r="E5217" s="15" t="s">
        <v>8</v>
      </c>
      <c r="H5217" s="15" t="s">
        <v>8</v>
      </c>
      <c r="J5217" s="15" t="s">
        <v>8</v>
      </c>
      <c r="N5217" s="8" t="s">
        <v>3</v>
      </c>
      <c r="O5217" s="8" t="s">
        <v>6</v>
      </c>
    </row>
    <row r="5218" spans="3:20" x14ac:dyDescent="0.35">
      <c r="C5218" s="15" t="s">
        <v>8</v>
      </c>
      <c r="E5218" s="15" t="s">
        <v>8</v>
      </c>
      <c r="H5218" s="15" t="s">
        <v>8</v>
      </c>
      <c r="J5218" s="15" t="s">
        <v>8</v>
      </c>
      <c r="N5218" s="15" t="s">
        <v>8</v>
      </c>
      <c r="O5218" s="20" t="str">
        <f>HYPERLINK("http://yeinfo.com/family/I09022721.html", "ELLEN\HELEN KIRTON 1525 EN-1568 EN ID:09011361")</f>
        <v>ELLEN\HELEN KIRTON 1525 EN-1568 EN ID:09011361</v>
      </c>
      <c r="P5218" s="17"/>
      <c r="Q5218" s="17"/>
      <c r="R5218" s="17"/>
      <c r="S5218" s="17"/>
      <c r="T5218" s="17"/>
    </row>
    <row r="5219" spans="3:20" x14ac:dyDescent="0.35">
      <c r="C5219" s="15" t="s">
        <v>8</v>
      </c>
      <c r="E5219" s="15" t="s">
        <v>8</v>
      </c>
      <c r="H5219" s="15" t="s">
        <v>8</v>
      </c>
      <c r="J5219" s="15" t="s">
        <v>8</v>
      </c>
      <c r="N5219" s="15" t="s">
        <v>8</v>
      </c>
    </row>
    <row r="5220" spans="3:20" x14ac:dyDescent="0.35">
      <c r="C5220" s="15" t="s">
        <v>8</v>
      </c>
      <c r="E5220" s="15" t="s">
        <v>8</v>
      </c>
      <c r="H5220" s="15" t="s">
        <v>8</v>
      </c>
      <c r="J5220" s="15" t="s">
        <v>8</v>
      </c>
      <c r="M5220" s="5" t="str">
        <f>HYPERLINK("http://yeinfo.com/family/I09001420.html", "ROBERT WHITE 1577 -1642 EN ID:09002840")</f>
        <v>ROBERT WHITE 1577 -1642 EN ID:09002840</v>
      </c>
      <c r="N5220" s="3"/>
      <c r="O5220" s="3"/>
      <c r="P5220" s="3"/>
      <c r="Q5220" s="3"/>
    </row>
    <row r="5221" spans="3:20" x14ac:dyDescent="0.35">
      <c r="C5221" s="15" t="s">
        <v>8</v>
      </c>
      <c r="E5221" s="15" t="s">
        <v>8</v>
      </c>
      <c r="H5221" s="15" t="s">
        <v>8</v>
      </c>
      <c r="J5221" s="15" t="s">
        <v>8</v>
      </c>
      <c r="M5221" s="8" t="s">
        <v>3</v>
      </c>
      <c r="N5221" s="8" t="s">
        <v>6</v>
      </c>
    </row>
    <row r="5222" spans="3:20" x14ac:dyDescent="0.35">
      <c r="C5222" s="15" t="s">
        <v>8</v>
      </c>
      <c r="E5222" s="15" t="s">
        <v>8</v>
      </c>
      <c r="H5222" s="15" t="s">
        <v>8</v>
      </c>
      <c r="J5222" s="15" t="s">
        <v>8</v>
      </c>
      <c r="M5222" s="15" t="s">
        <v>8</v>
      </c>
      <c r="N5222" s="20" t="str">
        <f>HYPERLINK("http://yeinfo.com/family/I09011361.html", "ALICE RICH 1550 EN-1577  ID:09005681")</f>
        <v>ALICE RICH 1550 EN-1577  ID:09005681</v>
      </c>
      <c r="O5222" s="17"/>
      <c r="P5222" s="17"/>
      <c r="Q5222" s="17"/>
      <c r="R5222" s="17"/>
    </row>
    <row r="5223" spans="3:20" x14ac:dyDescent="0.35">
      <c r="C5223" s="15" t="s">
        <v>8</v>
      </c>
      <c r="E5223" s="15" t="s">
        <v>8</v>
      </c>
      <c r="H5223" s="15" t="s">
        <v>8</v>
      </c>
      <c r="J5223" s="15" t="s">
        <v>8</v>
      </c>
      <c r="M5223" s="15" t="s">
        <v>8</v>
      </c>
    </row>
    <row r="5224" spans="3:20" x14ac:dyDescent="0.35">
      <c r="C5224" s="15" t="s">
        <v>8</v>
      </c>
      <c r="E5224" s="15" t="s">
        <v>8</v>
      </c>
      <c r="H5224" s="15" t="s">
        <v>8</v>
      </c>
      <c r="J5224" s="15" t="s">
        <v>8</v>
      </c>
      <c r="L5224" s="5" t="str">
        <f>HYPERLINK("http://yeinfo.com/family/I09000710.html", "JOHN WHITE 1602 -1683 MA ID:09001420")</f>
        <v>JOHN WHITE 1602 -1683 MA ID:09001420</v>
      </c>
      <c r="M5224" s="3"/>
      <c r="N5224" s="3"/>
      <c r="O5224" s="3"/>
      <c r="P5224" s="3"/>
    </row>
    <row r="5225" spans="3:20" x14ac:dyDescent="0.35">
      <c r="C5225" s="15" t="s">
        <v>8</v>
      </c>
      <c r="E5225" s="15" t="s">
        <v>8</v>
      </c>
      <c r="H5225" s="15" t="s">
        <v>8</v>
      </c>
      <c r="J5225" s="15" t="s">
        <v>8</v>
      </c>
      <c r="L5225" s="8" t="s">
        <v>3</v>
      </c>
      <c r="M5225" s="15" t="s">
        <v>8</v>
      </c>
    </row>
    <row r="5226" spans="3:20" x14ac:dyDescent="0.35">
      <c r="C5226" s="15" t="s">
        <v>8</v>
      </c>
      <c r="E5226" s="15" t="s">
        <v>8</v>
      </c>
      <c r="H5226" s="15" t="s">
        <v>8</v>
      </c>
      <c r="J5226" s="15" t="s">
        <v>8</v>
      </c>
      <c r="L5226" s="15" t="s">
        <v>8</v>
      </c>
      <c r="M5226" s="15" t="s">
        <v>8</v>
      </c>
      <c r="N5226" s="19" t="str">
        <f>HYPERLINK("http://yeinfo.com/family/I09002841.html", "NICHOLAS WEST &lt;2&gt; 1555 EN-1601 EN ID:09005682")</f>
        <v>NICHOLAS WEST &lt;2&gt; 1555 EN-1601 EN ID:09005682</v>
      </c>
      <c r="O5226" s="9"/>
      <c r="P5226" s="9"/>
      <c r="Q5226" s="9"/>
      <c r="R5226" s="9"/>
    </row>
    <row r="5227" spans="3:20" x14ac:dyDescent="0.35">
      <c r="C5227" s="15" t="s">
        <v>8</v>
      </c>
      <c r="E5227" s="15" t="s">
        <v>8</v>
      </c>
      <c r="H5227" s="15" t="s">
        <v>8</v>
      </c>
      <c r="J5227" s="15" t="s">
        <v>8</v>
      </c>
      <c r="L5227" s="15" t="s">
        <v>8</v>
      </c>
      <c r="M5227" s="8" t="s">
        <v>6</v>
      </c>
      <c r="N5227" s="8" t="s">
        <v>3</v>
      </c>
    </row>
    <row r="5228" spans="3:20" x14ac:dyDescent="0.35">
      <c r="C5228" s="15" t="s">
        <v>8</v>
      </c>
      <c r="E5228" s="15" t="s">
        <v>8</v>
      </c>
      <c r="H5228" s="15" t="s">
        <v>8</v>
      </c>
      <c r="J5228" s="15" t="s">
        <v>8</v>
      </c>
      <c r="L5228" s="15" t="s">
        <v>8</v>
      </c>
      <c r="M5228" s="20" t="str">
        <f>HYPERLINK("http://yeinfo.com/family/I09005681.html", "JOAN\JEAN\BRIDGET WEST 1577 EN-1631 EN ID:09002841")</f>
        <v>JOAN\JEAN\BRIDGET WEST 1577 EN-1631 EN ID:09002841</v>
      </c>
      <c r="N5228" s="17"/>
      <c r="O5228" s="17"/>
      <c r="P5228" s="17"/>
      <c r="Q5228" s="17"/>
      <c r="R5228" s="17"/>
    </row>
    <row r="5229" spans="3:20" x14ac:dyDescent="0.35">
      <c r="C5229" s="15" t="s">
        <v>8</v>
      </c>
      <c r="E5229" s="15" t="s">
        <v>8</v>
      </c>
      <c r="H5229" s="15" t="s">
        <v>8</v>
      </c>
      <c r="J5229" s="15" t="s">
        <v>8</v>
      </c>
      <c r="L5229" s="15" t="s">
        <v>8</v>
      </c>
      <c r="N5229" s="8" t="s">
        <v>6</v>
      </c>
    </row>
    <row r="5230" spans="3:20" x14ac:dyDescent="0.35">
      <c r="C5230" s="15" t="s">
        <v>8</v>
      </c>
      <c r="E5230" s="15" t="s">
        <v>8</v>
      </c>
      <c r="H5230" s="15" t="s">
        <v>8</v>
      </c>
      <c r="J5230" s="15" t="s">
        <v>8</v>
      </c>
      <c r="L5230" s="15" t="s">
        <v>8</v>
      </c>
      <c r="N5230" s="20" t="str">
        <f>HYPERLINK("http://yeinfo.com/family/I09005682.html", "ANN\PHILIPA BENEDICT &lt;2&gt; 1555 EN-1595 EN ID:09005683")</f>
        <v>ANN\PHILIPA BENEDICT &lt;2&gt; 1555 EN-1595 EN ID:09005683</v>
      </c>
      <c r="O5230" s="17"/>
      <c r="P5230" s="17"/>
      <c r="Q5230" s="17"/>
      <c r="R5230" s="17"/>
      <c r="S5230" s="17"/>
    </row>
    <row r="5231" spans="3:20" x14ac:dyDescent="0.35">
      <c r="C5231" s="15" t="s">
        <v>8</v>
      </c>
      <c r="E5231" s="15" t="s">
        <v>8</v>
      </c>
      <c r="H5231" s="15" t="s">
        <v>8</v>
      </c>
      <c r="J5231" s="15" t="s">
        <v>8</v>
      </c>
      <c r="L5231" s="15" t="s">
        <v>8</v>
      </c>
    </row>
    <row r="5232" spans="3:20" x14ac:dyDescent="0.35">
      <c r="C5232" s="15" t="s">
        <v>8</v>
      </c>
      <c r="E5232" s="15" t="s">
        <v>8</v>
      </c>
      <c r="H5232" s="15" t="s">
        <v>8</v>
      </c>
      <c r="J5232" s="15" t="s">
        <v>8</v>
      </c>
      <c r="K5232" s="5" t="str">
        <f>HYPERLINK("http://yeinfo.com/family/I09000355.html", "JOSIAH WHITE 1643 -1714  ID:09000710")</f>
        <v>JOSIAH WHITE 1643 -1714  ID:09000710</v>
      </c>
      <c r="L5232" s="3"/>
      <c r="M5232" s="3"/>
      <c r="N5232" s="3"/>
      <c r="O5232" s="3"/>
    </row>
    <row r="5233" spans="3:19" x14ac:dyDescent="0.35">
      <c r="C5233" s="15" t="s">
        <v>8</v>
      </c>
      <c r="E5233" s="15" t="s">
        <v>8</v>
      </c>
      <c r="H5233" s="15" t="s">
        <v>8</v>
      </c>
      <c r="J5233" s="15" t="s">
        <v>8</v>
      </c>
      <c r="K5233" s="8" t="s">
        <v>3</v>
      </c>
      <c r="L5233" s="15" t="s">
        <v>8</v>
      </c>
    </row>
    <row r="5234" spans="3:19" x14ac:dyDescent="0.35">
      <c r="C5234" s="15" t="s">
        <v>8</v>
      </c>
      <c r="E5234" s="15" t="s">
        <v>8</v>
      </c>
      <c r="H5234" s="15" t="s">
        <v>8</v>
      </c>
      <c r="J5234" s="15" t="s">
        <v>8</v>
      </c>
      <c r="K5234" s="15" t="s">
        <v>8</v>
      </c>
      <c r="L5234" s="15" t="s">
        <v>8</v>
      </c>
      <c r="N5234" s="19" t="str">
        <f>HYPERLINK("http://yeinfo.com/family/I09005682.html", "NICHOLAS WEST &lt;2&gt; 1555 EN-1601 EN ID:09005682")</f>
        <v>NICHOLAS WEST &lt;2&gt; 1555 EN-1601 EN ID:09005682</v>
      </c>
      <c r="O5234" s="9"/>
      <c r="P5234" s="9"/>
      <c r="Q5234" s="9"/>
      <c r="R5234" s="9"/>
    </row>
    <row r="5235" spans="3:19" x14ac:dyDescent="0.35">
      <c r="C5235" s="15" t="s">
        <v>8</v>
      </c>
      <c r="E5235" s="15" t="s">
        <v>8</v>
      </c>
      <c r="H5235" s="15" t="s">
        <v>8</v>
      </c>
      <c r="J5235" s="15" t="s">
        <v>8</v>
      </c>
      <c r="K5235" s="15" t="s">
        <v>8</v>
      </c>
      <c r="L5235" s="15" t="s">
        <v>8</v>
      </c>
      <c r="N5235" s="8" t="s">
        <v>3</v>
      </c>
    </row>
    <row r="5236" spans="3:19" x14ac:dyDescent="0.35">
      <c r="C5236" s="15" t="s">
        <v>8</v>
      </c>
      <c r="E5236" s="15" t="s">
        <v>8</v>
      </c>
      <c r="H5236" s="15" t="s">
        <v>8</v>
      </c>
      <c r="J5236" s="15" t="s">
        <v>8</v>
      </c>
      <c r="K5236" s="15" t="s">
        <v>8</v>
      </c>
      <c r="L5236" s="15" t="s">
        <v>8</v>
      </c>
      <c r="M5236" s="19" t="str">
        <f>HYPERLINK("http://yeinfo.com/family/I09001421.html", "RICHARD WEST 1579 EN-1643 EN ID:09002842")</f>
        <v>RICHARD WEST 1579 EN-1643 EN ID:09002842</v>
      </c>
      <c r="N5236" s="9"/>
      <c r="O5236" s="9"/>
      <c r="P5236" s="9"/>
      <c r="Q5236" s="9"/>
    </row>
    <row r="5237" spans="3:19" x14ac:dyDescent="0.35">
      <c r="C5237" s="15" t="s">
        <v>8</v>
      </c>
      <c r="E5237" s="15" t="s">
        <v>8</v>
      </c>
      <c r="H5237" s="15" t="s">
        <v>8</v>
      </c>
      <c r="J5237" s="15" t="s">
        <v>8</v>
      </c>
      <c r="K5237" s="15" t="s">
        <v>8</v>
      </c>
      <c r="L5237" s="15" t="s">
        <v>8</v>
      </c>
      <c r="M5237" s="8" t="s">
        <v>3</v>
      </c>
      <c r="N5237" s="8" t="s">
        <v>6</v>
      </c>
    </row>
    <row r="5238" spans="3:19" x14ac:dyDescent="0.35">
      <c r="C5238" s="15" t="s">
        <v>8</v>
      </c>
      <c r="E5238" s="15" t="s">
        <v>8</v>
      </c>
      <c r="H5238" s="15" t="s">
        <v>8</v>
      </c>
      <c r="J5238" s="15" t="s">
        <v>8</v>
      </c>
      <c r="K5238" s="15" t="s">
        <v>8</v>
      </c>
      <c r="L5238" s="15" t="s">
        <v>8</v>
      </c>
      <c r="M5238" s="15" t="s">
        <v>8</v>
      </c>
      <c r="N5238" s="20" t="str">
        <f>HYPERLINK("http://yeinfo.com/family/I09005683.html", "ANN\PHILIPA BENEDICT &lt;2&gt; 1555 EN-1595 EN ID:09005683")</f>
        <v>ANN\PHILIPA BENEDICT &lt;2&gt; 1555 EN-1595 EN ID:09005683</v>
      </c>
      <c r="O5238" s="17"/>
      <c r="P5238" s="17"/>
      <c r="Q5238" s="17"/>
      <c r="R5238" s="17"/>
      <c r="S5238" s="17"/>
    </row>
    <row r="5239" spans="3:19" x14ac:dyDescent="0.35">
      <c r="C5239" s="15" t="s">
        <v>8</v>
      </c>
      <c r="E5239" s="15" t="s">
        <v>8</v>
      </c>
      <c r="H5239" s="15" t="s">
        <v>8</v>
      </c>
      <c r="J5239" s="15" t="s">
        <v>8</v>
      </c>
      <c r="K5239" s="15" t="s">
        <v>8</v>
      </c>
      <c r="L5239" s="8" t="s">
        <v>6</v>
      </c>
      <c r="M5239" s="15" t="s">
        <v>8</v>
      </c>
    </row>
    <row r="5240" spans="3:19" x14ac:dyDescent="0.35">
      <c r="C5240" s="15" t="s">
        <v>8</v>
      </c>
      <c r="E5240" s="15" t="s">
        <v>8</v>
      </c>
      <c r="H5240" s="15" t="s">
        <v>8</v>
      </c>
      <c r="J5240" s="15" t="s">
        <v>8</v>
      </c>
      <c r="K5240" s="15" t="s">
        <v>8</v>
      </c>
      <c r="L5240" s="16" t="str">
        <f>HYPERLINK("http://yeinfo.com/family/I09005683.html", "JOANE\JEAN WEST 1606 EN-1654  ID:09001421")</f>
        <v>JOANE\JEAN WEST 1606 EN-1654  ID:09001421</v>
      </c>
      <c r="M5240" s="11"/>
      <c r="N5240" s="11"/>
      <c r="O5240" s="11"/>
      <c r="P5240" s="11"/>
      <c r="Q5240" s="11"/>
    </row>
    <row r="5241" spans="3:19" x14ac:dyDescent="0.35">
      <c r="C5241" s="15" t="s">
        <v>8</v>
      </c>
      <c r="E5241" s="15" t="s">
        <v>8</v>
      </c>
      <c r="H5241" s="15" t="s">
        <v>8</v>
      </c>
      <c r="J5241" s="15" t="s">
        <v>8</v>
      </c>
      <c r="K5241" s="15" t="s">
        <v>8</v>
      </c>
      <c r="M5241" s="8" t="s">
        <v>6</v>
      </c>
    </row>
    <row r="5242" spans="3:19" x14ac:dyDescent="0.35">
      <c r="C5242" s="15" t="s">
        <v>8</v>
      </c>
      <c r="E5242" s="15" t="s">
        <v>8</v>
      </c>
      <c r="H5242" s="15" t="s">
        <v>8</v>
      </c>
      <c r="J5242" s="15" t="s">
        <v>8</v>
      </c>
      <c r="K5242" s="15" t="s">
        <v>8</v>
      </c>
      <c r="M5242" s="16" t="str">
        <f>HYPERLINK("http://yeinfo.com/family/I09002842.html", "MAUDLIN MAGDALINE STAPLE 1602 -1641 EN ID:09002843")</f>
        <v>MAUDLIN MAGDALINE STAPLE 1602 -1641 EN ID:09002843</v>
      </c>
      <c r="N5242" s="11"/>
      <c r="O5242" s="11"/>
      <c r="P5242" s="11"/>
      <c r="Q5242" s="11"/>
    </row>
    <row r="5243" spans="3:19" x14ac:dyDescent="0.35">
      <c r="C5243" s="15" t="s">
        <v>8</v>
      </c>
      <c r="E5243" s="15" t="s">
        <v>8</v>
      </c>
      <c r="H5243" s="15" t="s">
        <v>8</v>
      </c>
      <c r="J5243" s="8" t="s">
        <v>6</v>
      </c>
      <c r="K5243" s="15" t="s">
        <v>8</v>
      </c>
    </row>
    <row r="5244" spans="3:19" x14ac:dyDescent="0.35">
      <c r="C5244" s="15" t="s">
        <v>8</v>
      </c>
      <c r="E5244" s="15" t="s">
        <v>8</v>
      </c>
      <c r="H5244" s="15" t="s">
        <v>8</v>
      </c>
      <c r="J5244" s="16" t="str">
        <f>HYPERLINK("http://yeinfo.com/family/I09001419.html", "THANKFUL WHITE 1689 MA-1737 MA ID:09000355")</f>
        <v>THANKFUL WHITE 1689 MA-1737 MA ID:09000355</v>
      </c>
      <c r="K5244" s="11"/>
      <c r="L5244" s="11"/>
      <c r="M5244" s="11"/>
      <c r="N5244" s="11"/>
    </row>
    <row r="5245" spans="3:19" x14ac:dyDescent="0.35">
      <c r="C5245" s="15" t="s">
        <v>8</v>
      </c>
      <c r="E5245" s="15" t="s">
        <v>8</v>
      </c>
      <c r="H5245" s="15" t="s">
        <v>8</v>
      </c>
      <c r="K5245" s="15" t="s">
        <v>8</v>
      </c>
    </row>
    <row r="5246" spans="3:19" x14ac:dyDescent="0.35">
      <c r="C5246" s="15" t="s">
        <v>8</v>
      </c>
      <c r="E5246" s="15" t="s">
        <v>8</v>
      </c>
      <c r="H5246" s="15" t="s">
        <v>8</v>
      </c>
      <c r="K5246" s="15" t="s">
        <v>8</v>
      </c>
      <c r="N5246" s="19" t="str">
        <f>HYPERLINK("http://yeinfo.com/family/I09021788.html", "Mr. {_?_} RICE &lt;5&gt; 1560 EN-1594  ID:09021788")</f>
        <v>Mr. {_?_} RICE &lt;5&gt; 1560 EN-1594  ID:09021788</v>
      </c>
      <c r="O5246" s="9"/>
      <c r="P5246" s="9"/>
      <c r="Q5246" s="9"/>
      <c r="R5246" s="9"/>
    </row>
    <row r="5247" spans="3:19" x14ac:dyDescent="0.35">
      <c r="C5247" s="15" t="s">
        <v>8</v>
      </c>
      <c r="E5247" s="15" t="s">
        <v>8</v>
      </c>
      <c r="H5247" s="15" t="s">
        <v>8</v>
      </c>
      <c r="K5247" s="15" t="s">
        <v>8</v>
      </c>
      <c r="N5247" s="8" t="s">
        <v>3</v>
      </c>
    </row>
    <row r="5248" spans="3:19" x14ac:dyDescent="0.35">
      <c r="C5248" s="15" t="s">
        <v>8</v>
      </c>
      <c r="E5248" s="15" t="s">
        <v>8</v>
      </c>
      <c r="H5248" s="15" t="s">
        <v>8</v>
      </c>
      <c r="K5248" s="15" t="s">
        <v>8</v>
      </c>
      <c r="M5248" s="21" t="str">
        <f>HYPERLINK("http://yeinfo.com/family/I09001422.html", "EDMUND RICE &lt;4&gt; 1594 EN-1663 MA ID:09002844")</f>
        <v>EDMUND RICE &lt;4&gt; 1594 EN-1663 MA ID:09002844</v>
      </c>
      <c r="N5248" s="6"/>
      <c r="O5248" s="6"/>
      <c r="P5248" s="6"/>
      <c r="Q5248" s="6"/>
    </row>
    <row r="5249" spans="3:21" x14ac:dyDescent="0.35">
      <c r="C5249" s="15" t="s">
        <v>8</v>
      </c>
      <c r="E5249" s="15" t="s">
        <v>8</v>
      </c>
      <c r="H5249" s="15" t="s">
        <v>8</v>
      </c>
      <c r="K5249" s="15" t="s">
        <v>8</v>
      </c>
      <c r="M5249" s="8" t="s">
        <v>3</v>
      </c>
      <c r="N5249" s="8" t="s">
        <v>6</v>
      </c>
    </row>
    <row r="5250" spans="3:21" x14ac:dyDescent="0.35">
      <c r="C5250" s="15" t="s">
        <v>8</v>
      </c>
      <c r="E5250" s="15" t="s">
        <v>8</v>
      </c>
      <c r="H5250" s="15" t="s">
        <v>8</v>
      </c>
      <c r="K5250" s="15" t="s">
        <v>8</v>
      </c>
      <c r="M5250" s="15" t="s">
        <v>8</v>
      </c>
      <c r="N5250" s="20" t="str">
        <f>HYPERLINK("http://yeinfo.com/family/I09021789.html", "Mrs. {_?_} RICE &lt;5&gt; 1560 EN-1594  ID:09021789")</f>
        <v>Mrs. {_?_} RICE &lt;5&gt; 1560 EN-1594  ID:09021789</v>
      </c>
      <c r="O5250" s="17"/>
      <c r="P5250" s="17"/>
      <c r="Q5250" s="17"/>
      <c r="R5250" s="17"/>
    </row>
    <row r="5251" spans="3:21" x14ac:dyDescent="0.35">
      <c r="C5251" s="15" t="s">
        <v>8</v>
      </c>
      <c r="E5251" s="15" t="s">
        <v>8</v>
      </c>
      <c r="H5251" s="15" t="s">
        <v>8</v>
      </c>
      <c r="K5251" s="15" t="s">
        <v>8</v>
      </c>
      <c r="M5251" s="15" t="s">
        <v>8</v>
      </c>
    </row>
    <row r="5252" spans="3:21" x14ac:dyDescent="0.35">
      <c r="C5252" s="15" t="s">
        <v>8</v>
      </c>
      <c r="E5252" s="15" t="s">
        <v>8</v>
      </c>
      <c r="H5252" s="15" t="s">
        <v>8</v>
      </c>
      <c r="K5252" s="15" t="s">
        <v>8</v>
      </c>
      <c r="L5252" s="21" t="str">
        <f>HYPERLINK("http://yeinfo.com/family/I09000711.html", "THOMAS RICE 1622 EN-1681 MA ID:09001422")</f>
        <v>THOMAS RICE 1622 EN-1681 MA ID:09001422</v>
      </c>
      <c r="M5252" s="6"/>
      <c r="N5252" s="6"/>
      <c r="O5252" s="6"/>
      <c r="P5252" s="6"/>
    </row>
    <row r="5253" spans="3:21" x14ac:dyDescent="0.35">
      <c r="C5253" s="15" t="s">
        <v>8</v>
      </c>
      <c r="E5253" s="15" t="s">
        <v>8</v>
      </c>
      <c r="H5253" s="15" t="s">
        <v>8</v>
      </c>
      <c r="K5253" s="15" t="s">
        <v>8</v>
      </c>
      <c r="L5253" s="8" t="s">
        <v>3</v>
      </c>
      <c r="M5253" s="15" t="s">
        <v>8</v>
      </c>
    </row>
    <row r="5254" spans="3:21" x14ac:dyDescent="0.35">
      <c r="C5254" s="15" t="s">
        <v>8</v>
      </c>
      <c r="E5254" s="15" t="s">
        <v>8</v>
      </c>
      <c r="H5254" s="15" t="s">
        <v>8</v>
      </c>
      <c r="K5254" s="15" t="s">
        <v>8</v>
      </c>
      <c r="L5254" s="15" t="s">
        <v>8</v>
      </c>
      <c r="M5254" s="15" t="s">
        <v>8</v>
      </c>
      <c r="P5254" s="19" t="str">
        <f>HYPERLINK("http://yeinfo.com/family/I09065537.html", "WILLIAM\HENRY FROST &lt;5&gt; 1480 EN-1549 EN ID:09065537")</f>
        <v>WILLIAM\HENRY FROST &lt;5&gt; 1480 EN-1549 EN ID:09065537</v>
      </c>
      <c r="Q5254" s="9"/>
      <c r="R5254" s="9"/>
      <c r="S5254" s="9"/>
      <c r="T5254" s="9"/>
      <c r="U5254" s="9"/>
    </row>
    <row r="5255" spans="3:21" x14ac:dyDescent="0.35">
      <c r="C5255" s="15" t="s">
        <v>8</v>
      </c>
      <c r="E5255" s="15" t="s">
        <v>8</v>
      </c>
      <c r="H5255" s="15" t="s">
        <v>8</v>
      </c>
      <c r="K5255" s="15" t="s">
        <v>8</v>
      </c>
      <c r="L5255" s="15" t="s">
        <v>8</v>
      </c>
      <c r="M5255" s="15" t="s">
        <v>8</v>
      </c>
      <c r="P5255" s="8" t="s">
        <v>3</v>
      </c>
    </row>
    <row r="5256" spans="3:21" x14ac:dyDescent="0.35">
      <c r="C5256" s="15" t="s">
        <v>8</v>
      </c>
      <c r="E5256" s="15" t="s">
        <v>8</v>
      </c>
      <c r="H5256" s="15" t="s">
        <v>8</v>
      </c>
      <c r="K5256" s="15" t="s">
        <v>8</v>
      </c>
      <c r="L5256" s="15" t="s">
        <v>8</v>
      </c>
      <c r="M5256" s="15" t="s">
        <v>8</v>
      </c>
      <c r="O5256" s="19" t="str">
        <f>HYPERLINK("http://yeinfo.com/family/I09043580.html", "JOHN\THOMAS FROST &lt;5&gt; 1537 -1610  ID:09043580")</f>
        <v>JOHN\THOMAS FROST &lt;5&gt; 1537 -1610  ID:09043580</v>
      </c>
      <c r="P5256" s="9"/>
      <c r="Q5256" s="9"/>
      <c r="R5256" s="9"/>
      <c r="S5256" s="9"/>
      <c r="T5256" s="9"/>
    </row>
    <row r="5257" spans="3:21" x14ac:dyDescent="0.35">
      <c r="C5257" s="15" t="s">
        <v>8</v>
      </c>
      <c r="E5257" s="15" t="s">
        <v>8</v>
      </c>
      <c r="H5257" s="15" t="s">
        <v>8</v>
      </c>
      <c r="K5257" s="15" t="s">
        <v>8</v>
      </c>
      <c r="L5257" s="15" t="s">
        <v>8</v>
      </c>
      <c r="M5257" s="15" t="s">
        <v>8</v>
      </c>
      <c r="O5257" s="8" t="s">
        <v>3</v>
      </c>
      <c r="P5257" s="8" t="s">
        <v>6</v>
      </c>
    </row>
    <row r="5258" spans="3:21" x14ac:dyDescent="0.35">
      <c r="C5258" s="15" t="s">
        <v>8</v>
      </c>
      <c r="E5258" s="15" t="s">
        <v>8</v>
      </c>
      <c r="H5258" s="15" t="s">
        <v>8</v>
      </c>
      <c r="K5258" s="15" t="s">
        <v>8</v>
      </c>
      <c r="L5258" s="15" t="s">
        <v>8</v>
      </c>
      <c r="M5258" s="15" t="s">
        <v>8</v>
      </c>
      <c r="O5258" s="15" t="s">
        <v>8</v>
      </c>
      <c r="P5258" s="20" t="str">
        <f>HYPERLINK("http://yeinfo.com/family/I09065538.html", "PHILLIPA SCOTT &lt;5&gt; 1505 EN-1558 EN ID:09065538")</f>
        <v>PHILLIPA SCOTT &lt;5&gt; 1505 EN-1558 EN ID:09065538</v>
      </c>
      <c r="Q5258" s="17"/>
      <c r="R5258" s="17"/>
      <c r="S5258" s="17"/>
      <c r="T5258" s="17"/>
    </row>
    <row r="5259" spans="3:21" x14ac:dyDescent="0.35">
      <c r="C5259" s="15" t="s">
        <v>8</v>
      </c>
      <c r="E5259" s="15" t="s">
        <v>8</v>
      </c>
      <c r="H5259" s="15" t="s">
        <v>8</v>
      </c>
      <c r="K5259" s="15" t="s">
        <v>8</v>
      </c>
      <c r="L5259" s="15" t="s">
        <v>8</v>
      </c>
      <c r="M5259" s="15" t="s">
        <v>8</v>
      </c>
      <c r="O5259" s="15" t="s">
        <v>8</v>
      </c>
    </row>
    <row r="5260" spans="3:21" x14ac:dyDescent="0.35">
      <c r="C5260" s="15" t="s">
        <v>8</v>
      </c>
      <c r="E5260" s="15" t="s">
        <v>8</v>
      </c>
      <c r="H5260" s="15" t="s">
        <v>8</v>
      </c>
      <c r="K5260" s="15" t="s">
        <v>8</v>
      </c>
      <c r="L5260" s="15" t="s">
        <v>8</v>
      </c>
      <c r="M5260" s="15" t="s">
        <v>8</v>
      </c>
      <c r="N5260" s="19" t="str">
        <f>HYPERLINK("http://yeinfo.com/family/I09021790.html", "EDWARD\EDMUND FROST &lt;5&gt; 1560 EN-1616 EN ID:09021790")</f>
        <v>EDWARD\EDMUND FROST &lt;5&gt; 1560 EN-1616 EN ID:09021790</v>
      </c>
      <c r="O5260" s="9"/>
      <c r="P5260" s="9"/>
      <c r="Q5260" s="9"/>
      <c r="R5260" s="9"/>
      <c r="S5260" s="9"/>
    </row>
    <row r="5261" spans="3:21" x14ac:dyDescent="0.35">
      <c r="C5261" s="15" t="s">
        <v>8</v>
      </c>
      <c r="E5261" s="15" t="s">
        <v>8</v>
      </c>
      <c r="H5261" s="15" t="s">
        <v>8</v>
      </c>
      <c r="K5261" s="15" t="s">
        <v>8</v>
      </c>
      <c r="L5261" s="15" t="s">
        <v>8</v>
      </c>
      <c r="M5261" s="15" t="s">
        <v>8</v>
      </c>
      <c r="N5261" s="8" t="s">
        <v>3</v>
      </c>
      <c r="O5261" s="15" t="s">
        <v>8</v>
      </c>
    </row>
    <row r="5262" spans="3:21" x14ac:dyDescent="0.35">
      <c r="C5262" s="15" t="s">
        <v>8</v>
      </c>
      <c r="E5262" s="15" t="s">
        <v>8</v>
      </c>
      <c r="H5262" s="15" t="s">
        <v>8</v>
      </c>
      <c r="K5262" s="15" t="s">
        <v>8</v>
      </c>
      <c r="L5262" s="15" t="s">
        <v>8</v>
      </c>
      <c r="M5262" s="15" t="s">
        <v>8</v>
      </c>
      <c r="N5262" s="15" t="s">
        <v>8</v>
      </c>
      <c r="O5262" s="15" t="s">
        <v>8</v>
      </c>
      <c r="P5262" s="19" t="str">
        <f>HYPERLINK("http://yeinfo.com/family/I09065539.html", "RICHARD SCOTT &lt;5&gt; 1505 EN-1565 EN ID:09065539")</f>
        <v>RICHARD SCOTT &lt;5&gt; 1505 EN-1565 EN ID:09065539</v>
      </c>
      <c r="Q5262" s="9"/>
      <c r="R5262" s="9"/>
      <c r="S5262" s="9"/>
      <c r="T5262" s="9"/>
    </row>
    <row r="5263" spans="3:21" x14ac:dyDescent="0.35">
      <c r="C5263" s="15" t="s">
        <v>8</v>
      </c>
      <c r="E5263" s="15" t="s">
        <v>8</v>
      </c>
      <c r="H5263" s="15" t="s">
        <v>8</v>
      </c>
      <c r="K5263" s="15" t="s">
        <v>8</v>
      </c>
      <c r="L5263" s="15" t="s">
        <v>8</v>
      </c>
      <c r="M5263" s="15" t="s">
        <v>8</v>
      </c>
      <c r="N5263" s="15" t="s">
        <v>8</v>
      </c>
      <c r="O5263" s="8" t="s">
        <v>6</v>
      </c>
      <c r="P5263" s="8" t="s">
        <v>3</v>
      </c>
    </row>
    <row r="5264" spans="3:21" x14ac:dyDescent="0.35">
      <c r="C5264" s="15" t="s">
        <v>8</v>
      </c>
      <c r="E5264" s="15" t="s">
        <v>8</v>
      </c>
      <c r="H5264" s="15" t="s">
        <v>8</v>
      </c>
      <c r="K5264" s="15" t="s">
        <v>8</v>
      </c>
      <c r="L5264" s="15" t="s">
        <v>8</v>
      </c>
      <c r="M5264" s="15" t="s">
        <v>8</v>
      </c>
      <c r="N5264" s="15" t="s">
        <v>8</v>
      </c>
      <c r="O5264" s="20" t="str">
        <f>HYPERLINK("http://yeinfo.com/family/I09043581.html", "ANN SCOTT &lt;5&gt; 1540 -1588  ID:09043581")</f>
        <v>ANN SCOTT &lt;5&gt; 1540 -1588  ID:09043581</v>
      </c>
      <c r="P5264" s="17"/>
      <c r="Q5264" s="17"/>
      <c r="R5264" s="17"/>
      <c r="S5264" s="17"/>
    </row>
    <row r="5265" spans="3:22" x14ac:dyDescent="0.35">
      <c r="C5265" s="15" t="s">
        <v>8</v>
      </c>
      <c r="E5265" s="15" t="s">
        <v>8</v>
      </c>
      <c r="H5265" s="15" t="s">
        <v>8</v>
      </c>
      <c r="K5265" s="15" t="s">
        <v>8</v>
      </c>
      <c r="L5265" s="15" t="s">
        <v>8</v>
      </c>
      <c r="M5265" s="15" t="s">
        <v>8</v>
      </c>
      <c r="N5265" s="15" t="s">
        <v>8</v>
      </c>
      <c r="P5265" s="8" t="s">
        <v>6</v>
      </c>
    </row>
    <row r="5266" spans="3:22" x14ac:dyDescent="0.35">
      <c r="C5266" s="15" t="s">
        <v>8</v>
      </c>
      <c r="E5266" s="15" t="s">
        <v>8</v>
      </c>
      <c r="H5266" s="15" t="s">
        <v>8</v>
      </c>
      <c r="K5266" s="15" t="s">
        <v>8</v>
      </c>
      <c r="L5266" s="15" t="s">
        <v>8</v>
      </c>
      <c r="M5266" s="15" t="s">
        <v>8</v>
      </c>
      <c r="N5266" s="15" t="s">
        <v>8</v>
      </c>
      <c r="P5266" s="20" t="str">
        <f>HYPERLINK("http://yeinfo.com/family/I09065540.html", "Mrs. JOANNA SCOTT &lt;5&gt; 1505 EN-1556 EN ID:09065540")</f>
        <v>Mrs. JOANNA SCOTT &lt;5&gt; 1505 EN-1556 EN ID:09065540</v>
      </c>
      <c r="Q5266" s="17"/>
      <c r="R5266" s="17"/>
      <c r="S5266" s="17"/>
      <c r="T5266" s="17"/>
    </row>
    <row r="5267" spans="3:22" x14ac:dyDescent="0.35">
      <c r="C5267" s="15" t="s">
        <v>8</v>
      </c>
      <c r="E5267" s="15" t="s">
        <v>8</v>
      </c>
      <c r="H5267" s="15" t="s">
        <v>8</v>
      </c>
      <c r="K5267" s="15" t="s">
        <v>8</v>
      </c>
      <c r="L5267" s="15" t="s">
        <v>8</v>
      </c>
      <c r="M5267" s="8" t="s">
        <v>6</v>
      </c>
      <c r="N5267" s="15" t="s">
        <v>8</v>
      </c>
    </row>
    <row r="5268" spans="3:22" x14ac:dyDescent="0.35">
      <c r="C5268" s="15" t="s">
        <v>8</v>
      </c>
      <c r="E5268" s="15" t="s">
        <v>8</v>
      </c>
      <c r="H5268" s="15" t="s">
        <v>8</v>
      </c>
      <c r="K5268" s="15" t="s">
        <v>8</v>
      </c>
      <c r="L5268" s="15" t="s">
        <v>8</v>
      </c>
      <c r="M5268" s="16" t="str">
        <f>HYPERLINK("http://yeinfo.com/family/I09002844.html", "THOMAZINE\ESTHER FROST &lt;4&gt; 1600 -1654  ID:09002845")</f>
        <v>THOMAZINE\ESTHER FROST &lt;4&gt; 1600 -1654  ID:09002845</v>
      </c>
      <c r="N5268" s="11"/>
      <c r="O5268" s="11"/>
      <c r="P5268" s="11"/>
      <c r="Q5268" s="11"/>
      <c r="R5268" s="11"/>
    </row>
    <row r="5269" spans="3:22" x14ac:dyDescent="0.35">
      <c r="C5269" s="15" t="s">
        <v>8</v>
      </c>
      <c r="E5269" s="15" t="s">
        <v>8</v>
      </c>
      <c r="H5269" s="15" t="s">
        <v>8</v>
      </c>
      <c r="K5269" s="15" t="s">
        <v>8</v>
      </c>
      <c r="L5269" s="15" t="s">
        <v>8</v>
      </c>
      <c r="N5269" s="15" t="s">
        <v>8</v>
      </c>
    </row>
    <row r="5270" spans="3:22" x14ac:dyDescent="0.35">
      <c r="C5270" s="15" t="s">
        <v>8</v>
      </c>
      <c r="E5270" s="15" t="s">
        <v>8</v>
      </c>
      <c r="H5270" s="15" t="s">
        <v>8</v>
      </c>
      <c r="K5270" s="15" t="s">
        <v>8</v>
      </c>
      <c r="L5270" s="15" t="s">
        <v>8</v>
      </c>
      <c r="N5270" s="15" t="s">
        <v>8</v>
      </c>
      <c r="O5270" s="19" t="str">
        <f>HYPERLINK("http://yeinfo.com/family/I09043582.html", "JOHN BELGRAVE &lt;5&gt; 1535 EN-1591 EN ID:09043582")</f>
        <v>JOHN BELGRAVE &lt;5&gt; 1535 EN-1591 EN ID:09043582</v>
      </c>
      <c r="P5270" s="9"/>
      <c r="Q5270" s="9"/>
      <c r="R5270" s="9"/>
      <c r="S5270" s="9"/>
    </row>
    <row r="5271" spans="3:22" x14ac:dyDescent="0.35">
      <c r="C5271" s="15" t="s">
        <v>8</v>
      </c>
      <c r="E5271" s="15" t="s">
        <v>8</v>
      </c>
      <c r="H5271" s="15" t="s">
        <v>8</v>
      </c>
      <c r="K5271" s="15" t="s">
        <v>8</v>
      </c>
      <c r="L5271" s="15" t="s">
        <v>8</v>
      </c>
      <c r="N5271" s="8" t="s">
        <v>6</v>
      </c>
      <c r="O5271" s="8" t="s">
        <v>3</v>
      </c>
    </row>
    <row r="5272" spans="3:22" x14ac:dyDescent="0.35">
      <c r="C5272" s="15" t="s">
        <v>8</v>
      </c>
      <c r="E5272" s="15" t="s">
        <v>8</v>
      </c>
      <c r="H5272" s="15" t="s">
        <v>8</v>
      </c>
      <c r="K5272" s="15" t="s">
        <v>8</v>
      </c>
      <c r="L5272" s="15" t="s">
        <v>8</v>
      </c>
      <c r="N5272" s="16" t="str">
        <f>HYPERLINK("http://yeinfo.com/family/I09021791.html", "THOMASINE BELGRAVE &lt;5&gt; 1562 -1653 EN ID:09021791")</f>
        <v>THOMASINE BELGRAVE &lt;5&gt; 1562 -1653 EN ID:09021791</v>
      </c>
      <c r="O5272" s="11"/>
      <c r="P5272" s="11"/>
      <c r="Q5272" s="11"/>
      <c r="R5272" s="11"/>
    </row>
    <row r="5273" spans="3:22" x14ac:dyDescent="0.35">
      <c r="C5273" s="15" t="s">
        <v>8</v>
      </c>
      <c r="E5273" s="15" t="s">
        <v>8</v>
      </c>
      <c r="H5273" s="15" t="s">
        <v>8</v>
      </c>
      <c r="K5273" s="15" t="s">
        <v>8</v>
      </c>
      <c r="L5273" s="15" t="s">
        <v>8</v>
      </c>
      <c r="O5273" s="15" t="s">
        <v>8</v>
      </c>
    </row>
    <row r="5274" spans="3:22" x14ac:dyDescent="0.35">
      <c r="C5274" s="15" t="s">
        <v>8</v>
      </c>
      <c r="E5274" s="15" t="s">
        <v>8</v>
      </c>
      <c r="H5274" s="15" t="s">
        <v>8</v>
      </c>
      <c r="K5274" s="15" t="s">
        <v>8</v>
      </c>
      <c r="L5274" s="15" t="s">
        <v>8</v>
      </c>
      <c r="O5274" s="15" t="s">
        <v>8</v>
      </c>
      <c r="R5274" s="19" t="str">
        <f>HYPERLINK("http://yeinfo.com/family/I09065805.html", "JOHN STRUTT &lt;5&gt; 1450 EN-1516 EN ID:09065805")</f>
        <v>JOHN STRUTT &lt;5&gt; 1450 EN-1516 EN ID:09065805</v>
      </c>
      <c r="S5274" s="9"/>
      <c r="T5274" s="9"/>
      <c r="U5274" s="9"/>
      <c r="V5274" s="9"/>
    </row>
    <row r="5275" spans="3:22" x14ac:dyDescent="0.35">
      <c r="C5275" s="15" t="s">
        <v>8</v>
      </c>
      <c r="E5275" s="15" t="s">
        <v>8</v>
      </c>
      <c r="H5275" s="15" t="s">
        <v>8</v>
      </c>
      <c r="K5275" s="15" t="s">
        <v>8</v>
      </c>
      <c r="L5275" s="15" t="s">
        <v>8</v>
      </c>
      <c r="O5275" s="15" t="s">
        <v>8</v>
      </c>
      <c r="R5275" s="8" t="s">
        <v>3</v>
      </c>
    </row>
    <row r="5276" spans="3:22" x14ac:dyDescent="0.35">
      <c r="C5276" s="15" t="s">
        <v>8</v>
      </c>
      <c r="E5276" s="15" t="s">
        <v>8</v>
      </c>
      <c r="H5276" s="15" t="s">
        <v>8</v>
      </c>
      <c r="K5276" s="15" t="s">
        <v>8</v>
      </c>
      <c r="L5276" s="15" t="s">
        <v>8</v>
      </c>
      <c r="O5276" s="15" t="s">
        <v>8</v>
      </c>
      <c r="Q5276" s="19" t="str">
        <f>HYPERLINK("http://yeinfo.com/family/I09065679.html", "THOMAS STRUTT &lt;5&gt; 1475 EN-1548 EN ID:09065679")</f>
        <v>THOMAS STRUTT &lt;5&gt; 1475 EN-1548 EN ID:09065679</v>
      </c>
      <c r="R5276" s="9"/>
      <c r="S5276" s="9"/>
      <c r="T5276" s="9"/>
      <c r="U5276" s="9"/>
    </row>
    <row r="5277" spans="3:22" x14ac:dyDescent="0.35">
      <c r="C5277" s="15" t="s">
        <v>8</v>
      </c>
      <c r="E5277" s="15" t="s">
        <v>8</v>
      </c>
      <c r="H5277" s="15" t="s">
        <v>8</v>
      </c>
      <c r="K5277" s="15" t="s">
        <v>8</v>
      </c>
      <c r="L5277" s="15" t="s">
        <v>8</v>
      </c>
      <c r="O5277" s="15" t="s">
        <v>8</v>
      </c>
      <c r="Q5277" s="8" t="s">
        <v>3</v>
      </c>
      <c r="R5277" s="8" t="s">
        <v>6</v>
      </c>
    </row>
    <row r="5278" spans="3:22" x14ac:dyDescent="0.35">
      <c r="C5278" s="15" t="s">
        <v>8</v>
      </c>
      <c r="E5278" s="15" t="s">
        <v>8</v>
      </c>
      <c r="H5278" s="15" t="s">
        <v>8</v>
      </c>
      <c r="K5278" s="15" t="s">
        <v>8</v>
      </c>
      <c r="L5278" s="15" t="s">
        <v>8</v>
      </c>
      <c r="O5278" s="15" t="s">
        <v>8</v>
      </c>
      <c r="Q5278" s="15" t="s">
        <v>8</v>
      </c>
      <c r="R5278" s="20" t="str">
        <f>HYPERLINK("http://yeinfo.com/family/I09065806.html", "ISABELLE ELIZABETH GOLDING &lt;5&gt; 1450 EN-1526 EN ID:09065806")</f>
        <v>ISABELLE ELIZABETH GOLDING &lt;5&gt; 1450 EN-1526 EN ID:09065806</v>
      </c>
      <c r="S5278" s="17"/>
      <c r="T5278" s="17"/>
      <c r="U5278" s="17"/>
      <c r="V5278" s="17"/>
    </row>
    <row r="5279" spans="3:22" x14ac:dyDescent="0.35">
      <c r="C5279" s="15" t="s">
        <v>8</v>
      </c>
      <c r="E5279" s="15" t="s">
        <v>8</v>
      </c>
      <c r="H5279" s="15" t="s">
        <v>8</v>
      </c>
      <c r="K5279" s="15" t="s">
        <v>8</v>
      </c>
      <c r="L5279" s="15" t="s">
        <v>8</v>
      </c>
      <c r="O5279" s="15" t="s">
        <v>8</v>
      </c>
      <c r="Q5279" s="15" t="s">
        <v>8</v>
      </c>
    </row>
    <row r="5280" spans="3:22" x14ac:dyDescent="0.35">
      <c r="C5280" s="15" t="s">
        <v>8</v>
      </c>
      <c r="E5280" s="15" t="s">
        <v>8</v>
      </c>
      <c r="H5280" s="15" t="s">
        <v>8</v>
      </c>
      <c r="K5280" s="15" t="s">
        <v>8</v>
      </c>
      <c r="L5280" s="15" t="s">
        <v>8</v>
      </c>
      <c r="O5280" s="15" t="s">
        <v>8</v>
      </c>
      <c r="P5280" s="19" t="str">
        <f>HYPERLINK("http://yeinfo.com/family/I09065541.html", "JOHN STRUTT &lt;5&gt; 1502 EN-1591 EN ID:09065541")</f>
        <v>JOHN STRUTT &lt;5&gt; 1502 EN-1591 EN ID:09065541</v>
      </c>
      <c r="Q5280" s="9"/>
      <c r="R5280" s="9"/>
      <c r="S5280" s="9"/>
      <c r="T5280" s="9"/>
    </row>
    <row r="5281" spans="3:21" x14ac:dyDescent="0.35">
      <c r="C5281" s="15" t="s">
        <v>8</v>
      </c>
      <c r="E5281" s="15" t="s">
        <v>8</v>
      </c>
      <c r="H5281" s="15" t="s">
        <v>8</v>
      </c>
      <c r="K5281" s="15" t="s">
        <v>8</v>
      </c>
      <c r="L5281" s="15" t="s">
        <v>8</v>
      </c>
      <c r="O5281" s="15" t="s">
        <v>8</v>
      </c>
      <c r="P5281" s="8" t="s">
        <v>3</v>
      </c>
      <c r="Q5281" s="8" t="s">
        <v>6</v>
      </c>
    </row>
    <row r="5282" spans="3:21" x14ac:dyDescent="0.35">
      <c r="C5282" s="15" t="s">
        <v>8</v>
      </c>
      <c r="E5282" s="15" t="s">
        <v>8</v>
      </c>
      <c r="H5282" s="15" t="s">
        <v>8</v>
      </c>
      <c r="K5282" s="15" t="s">
        <v>8</v>
      </c>
      <c r="L5282" s="15" t="s">
        <v>8</v>
      </c>
      <c r="O5282" s="15" t="s">
        <v>8</v>
      </c>
      <c r="P5282" s="15" t="s">
        <v>8</v>
      </c>
      <c r="Q5282" s="20" t="str">
        <f>HYPERLINK("http://yeinfo.com/family/I09065680.html", "Mrs. JOHANE STRUTT &lt;5&gt; 1480 EN-1510 EN ID:09065680")</f>
        <v>Mrs. JOHANE STRUTT &lt;5&gt; 1480 EN-1510 EN ID:09065680</v>
      </c>
      <c r="R5282" s="17"/>
      <c r="S5282" s="17"/>
      <c r="T5282" s="17"/>
      <c r="U5282" s="17"/>
    </row>
    <row r="5283" spans="3:21" x14ac:dyDescent="0.35">
      <c r="C5283" s="15" t="s">
        <v>8</v>
      </c>
      <c r="E5283" s="15" t="s">
        <v>8</v>
      </c>
      <c r="H5283" s="15" t="s">
        <v>8</v>
      </c>
      <c r="K5283" s="15" t="s">
        <v>8</v>
      </c>
      <c r="L5283" s="15" t="s">
        <v>8</v>
      </c>
      <c r="O5283" s="8" t="s">
        <v>6</v>
      </c>
      <c r="P5283" s="15" t="s">
        <v>8</v>
      </c>
    </row>
    <row r="5284" spans="3:21" x14ac:dyDescent="0.35">
      <c r="C5284" s="15" t="s">
        <v>8</v>
      </c>
      <c r="E5284" s="15" t="s">
        <v>8</v>
      </c>
      <c r="H5284" s="15" t="s">
        <v>8</v>
      </c>
      <c r="K5284" s="15" t="s">
        <v>8</v>
      </c>
      <c r="L5284" s="15" t="s">
        <v>8</v>
      </c>
      <c r="O5284" s="20" t="str">
        <f>HYPERLINK("http://yeinfo.com/family/I09043583.html", "JOANNA STRUTT &lt;5&gt; 1538 EN-1577 EN ID:09043583")</f>
        <v>JOANNA STRUTT &lt;5&gt; 1538 EN-1577 EN ID:09043583</v>
      </c>
      <c r="P5284" s="17"/>
      <c r="Q5284" s="17"/>
      <c r="R5284" s="17"/>
      <c r="S5284" s="17"/>
    </row>
    <row r="5285" spans="3:21" x14ac:dyDescent="0.35">
      <c r="C5285" s="15" t="s">
        <v>8</v>
      </c>
      <c r="E5285" s="15" t="s">
        <v>8</v>
      </c>
      <c r="H5285" s="15" t="s">
        <v>8</v>
      </c>
      <c r="K5285" s="15" t="s">
        <v>8</v>
      </c>
      <c r="L5285" s="15" t="s">
        <v>8</v>
      </c>
      <c r="P5285" s="8" t="s">
        <v>6</v>
      </c>
    </row>
    <row r="5286" spans="3:21" x14ac:dyDescent="0.35">
      <c r="C5286" s="15" t="s">
        <v>8</v>
      </c>
      <c r="E5286" s="15" t="s">
        <v>8</v>
      </c>
      <c r="H5286" s="15" t="s">
        <v>8</v>
      </c>
      <c r="K5286" s="15" t="s">
        <v>8</v>
      </c>
      <c r="L5286" s="15" t="s">
        <v>8</v>
      </c>
      <c r="P5286" s="20" t="str">
        <f>HYPERLINK("http://yeinfo.com/family/I09065542.html", "CATHERINE\JOHANNA SCOTT &lt;5&gt; 1510 EN-1578 EN ID:09065542")</f>
        <v>CATHERINE\JOHANNA SCOTT &lt;5&gt; 1510 EN-1578 EN ID:09065542</v>
      </c>
      <c r="Q5286" s="17"/>
      <c r="R5286" s="17"/>
      <c r="S5286" s="17"/>
      <c r="T5286" s="17"/>
      <c r="U5286" s="17"/>
    </row>
    <row r="5287" spans="3:21" x14ac:dyDescent="0.35">
      <c r="C5287" s="15" t="s">
        <v>8</v>
      </c>
      <c r="E5287" s="15" t="s">
        <v>8</v>
      </c>
      <c r="H5287" s="15" t="s">
        <v>8</v>
      </c>
      <c r="K5287" s="8" t="s">
        <v>6</v>
      </c>
      <c r="L5287" s="15" t="s">
        <v>8</v>
      </c>
    </row>
    <row r="5288" spans="3:21" x14ac:dyDescent="0.35">
      <c r="C5288" s="15" t="s">
        <v>8</v>
      </c>
      <c r="E5288" s="15" t="s">
        <v>8</v>
      </c>
      <c r="H5288" s="15" t="s">
        <v>8</v>
      </c>
      <c r="K5288" s="16" t="str">
        <f>HYPERLINK("http://yeinfo.com/family/I09002843.html", "MARY\KEZIAH RICE 1656 MA-1733  ID:09000711")</f>
        <v>MARY\KEZIAH RICE 1656 MA-1733  ID:09000711</v>
      </c>
      <c r="L5288" s="11"/>
      <c r="M5288" s="11"/>
      <c r="N5288" s="11"/>
      <c r="O5288" s="11"/>
      <c r="P5288" s="11"/>
    </row>
    <row r="5289" spans="3:21" x14ac:dyDescent="0.35">
      <c r="C5289" s="15" t="s">
        <v>8</v>
      </c>
      <c r="E5289" s="15" t="s">
        <v>8</v>
      </c>
      <c r="H5289" s="15" t="s">
        <v>8</v>
      </c>
      <c r="L5289" s="15" t="s">
        <v>8</v>
      </c>
    </row>
    <row r="5290" spans="3:21" x14ac:dyDescent="0.35">
      <c r="C5290" s="15" t="s">
        <v>8</v>
      </c>
      <c r="E5290" s="15" t="s">
        <v>8</v>
      </c>
      <c r="H5290" s="15" t="s">
        <v>8</v>
      </c>
      <c r="L5290" s="15" t="s">
        <v>8</v>
      </c>
      <c r="P5290" s="19" t="str">
        <f>HYPERLINK("http://yeinfo.com/family/I09011384.html", "THOMAS KING 1510 EN-1538 EN ID:09022768")</f>
        <v>THOMAS KING 1510 EN-1538 EN ID:09022768</v>
      </c>
      <c r="Q5290" s="9"/>
      <c r="R5290" s="9"/>
      <c r="S5290" s="9"/>
      <c r="T5290" s="9"/>
    </row>
    <row r="5291" spans="3:21" x14ac:dyDescent="0.35">
      <c r="C5291" s="15" t="s">
        <v>8</v>
      </c>
      <c r="E5291" s="15" t="s">
        <v>8</v>
      </c>
      <c r="H5291" s="15" t="s">
        <v>8</v>
      </c>
      <c r="L5291" s="15" t="s">
        <v>8</v>
      </c>
      <c r="P5291" s="8" t="s">
        <v>3</v>
      </c>
    </row>
    <row r="5292" spans="3:21" x14ac:dyDescent="0.35">
      <c r="C5292" s="15" t="s">
        <v>8</v>
      </c>
      <c r="E5292" s="15" t="s">
        <v>8</v>
      </c>
      <c r="H5292" s="15" t="s">
        <v>8</v>
      </c>
      <c r="L5292" s="15" t="s">
        <v>8</v>
      </c>
      <c r="O5292" s="19" t="str">
        <f>HYPERLINK("http://yeinfo.com/family/I09005692.html", "WILLIAM KING 1538 EN-1570 EN ID:09011384")</f>
        <v>WILLIAM KING 1538 EN-1570 EN ID:09011384</v>
      </c>
      <c r="P5292" s="9"/>
      <c r="Q5292" s="9"/>
      <c r="R5292" s="9"/>
      <c r="S5292" s="9"/>
    </row>
    <row r="5293" spans="3:21" x14ac:dyDescent="0.35">
      <c r="C5293" s="15" t="s">
        <v>8</v>
      </c>
      <c r="E5293" s="15" t="s">
        <v>8</v>
      </c>
      <c r="H5293" s="15" t="s">
        <v>8</v>
      </c>
      <c r="L5293" s="15" t="s">
        <v>8</v>
      </c>
      <c r="O5293" s="8" t="s">
        <v>3</v>
      </c>
      <c r="P5293" s="8" t="s">
        <v>6</v>
      </c>
    </row>
    <row r="5294" spans="3:21" x14ac:dyDescent="0.35">
      <c r="C5294" s="15" t="s">
        <v>8</v>
      </c>
      <c r="E5294" s="15" t="s">
        <v>8</v>
      </c>
      <c r="H5294" s="15" t="s">
        <v>8</v>
      </c>
      <c r="L5294" s="15" t="s">
        <v>8</v>
      </c>
      <c r="O5294" s="15" t="s">
        <v>8</v>
      </c>
      <c r="P5294" s="20" t="str">
        <f>HYPERLINK("http://yeinfo.com/family/I09022768.html", "Mrs. REBECCA KING 1510 EN-1538 EN ID:09022769")</f>
        <v>Mrs. REBECCA KING 1510 EN-1538 EN ID:09022769</v>
      </c>
      <c r="Q5294" s="17"/>
      <c r="R5294" s="17"/>
      <c r="S5294" s="17"/>
      <c r="T5294" s="17"/>
    </row>
    <row r="5295" spans="3:21" x14ac:dyDescent="0.35">
      <c r="C5295" s="15" t="s">
        <v>8</v>
      </c>
      <c r="E5295" s="15" t="s">
        <v>8</v>
      </c>
      <c r="H5295" s="15" t="s">
        <v>8</v>
      </c>
      <c r="L5295" s="15" t="s">
        <v>8</v>
      </c>
      <c r="O5295" s="15" t="s">
        <v>8</v>
      </c>
    </row>
    <row r="5296" spans="3:21" x14ac:dyDescent="0.35">
      <c r="C5296" s="15" t="s">
        <v>8</v>
      </c>
      <c r="E5296" s="15" t="s">
        <v>8</v>
      </c>
      <c r="H5296" s="15" t="s">
        <v>8</v>
      </c>
      <c r="L5296" s="15" t="s">
        <v>8</v>
      </c>
      <c r="N5296" s="21" t="str">
        <f>HYPERLINK("http://yeinfo.com/family/I09002846.html", "THOMAS KING Sr. 1570 EN-1644 MA ID:09005692")</f>
        <v>THOMAS KING Sr. 1570 EN-1644 MA ID:09005692</v>
      </c>
      <c r="O5296" s="6"/>
      <c r="P5296" s="6"/>
      <c r="Q5296" s="6"/>
      <c r="R5296" s="6"/>
    </row>
    <row r="5297" spans="3:23" x14ac:dyDescent="0.35">
      <c r="C5297" s="15" t="s">
        <v>8</v>
      </c>
      <c r="E5297" s="15" t="s">
        <v>8</v>
      </c>
      <c r="H5297" s="15" t="s">
        <v>8</v>
      </c>
      <c r="L5297" s="15" t="s">
        <v>8</v>
      </c>
      <c r="N5297" s="8" t="s">
        <v>3</v>
      </c>
      <c r="O5297" s="8" t="s">
        <v>6</v>
      </c>
    </row>
    <row r="5298" spans="3:23" x14ac:dyDescent="0.35">
      <c r="C5298" s="15" t="s">
        <v>8</v>
      </c>
      <c r="E5298" s="15" t="s">
        <v>8</v>
      </c>
      <c r="H5298" s="15" t="s">
        <v>8</v>
      </c>
      <c r="L5298" s="15" t="s">
        <v>8</v>
      </c>
      <c r="N5298" s="15" t="s">
        <v>8</v>
      </c>
      <c r="O5298" s="20" t="str">
        <f>HYPERLINK("http://yeinfo.com/family/I09022769.html", "Mrs. CECILY KING 1540 EN-1570 EN ID:09011385")</f>
        <v>Mrs. CECILY KING 1540 EN-1570 EN ID:09011385</v>
      </c>
      <c r="P5298" s="17"/>
      <c r="Q5298" s="17"/>
      <c r="R5298" s="17"/>
      <c r="S5298" s="17"/>
    </row>
    <row r="5299" spans="3:23" x14ac:dyDescent="0.35">
      <c r="C5299" s="15" t="s">
        <v>8</v>
      </c>
      <c r="E5299" s="15" t="s">
        <v>8</v>
      </c>
      <c r="H5299" s="15" t="s">
        <v>8</v>
      </c>
      <c r="L5299" s="15" t="s">
        <v>8</v>
      </c>
      <c r="N5299" s="15" t="s">
        <v>8</v>
      </c>
    </row>
    <row r="5300" spans="3:23" x14ac:dyDescent="0.35">
      <c r="C5300" s="15" t="s">
        <v>8</v>
      </c>
      <c r="E5300" s="15" t="s">
        <v>8</v>
      </c>
      <c r="H5300" s="15" t="s">
        <v>8</v>
      </c>
      <c r="L5300" s="15" t="s">
        <v>8</v>
      </c>
      <c r="M5300" s="21" t="str">
        <f>HYPERLINK("http://yeinfo.com/family/I09001423.html", "THOMAS KING Jr. 1600 EN-1676 MA ID:09002846")</f>
        <v>THOMAS KING Jr. 1600 EN-1676 MA ID:09002846</v>
      </c>
      <c r="N5300" s="6"/>
      <c r="O5300" s="6"/>
      <c r="P5300" s="6"/>
      <c r="Q5300" s="6"/>
    </row>
    <row r="5301" spans="3:23" x14ac:dyDescent="0.35">
      <c r="C5301" s="15" t="s">
        <v>8</v>
      </c>
      <c r="E5301" s="15" t="s">
        <v>8</v>
      </c>
      <c r="H5301" s="15" t="s">
        <v>8</v>
      </c>
      <c r="L5301" s="15" t="s">
        <v>8</v>
      </c>
      <c r="M5301" s="8" t="s">
        <v>3</v>
      </c>
      <c r="N5301" s="15" t="s">
        <v>8</v>
      </c>
    </row>
    <row r="5302" spans="3:23" x14ac:dyDescent="0.35">
      <c r="C5302" s="15" t="s">
        <v>8</v>
      </c>
      <c r="E5302" s="15" t="s">
        <v>8</v>
      </c>
      <c r="H5302" s="15" t="s">
        <v>8</v>
      </c>
      <c r="L5302" s="15" t="s">
        <v>8</v>
      </c>
      <c r="M5302" s="15" t="s">
        <v>8</v>
      </c>
      <c r="N5302" s="15" t="s">
        <v>8</v>
      </c>
      <c r="R5302" s="19" t="str">
        <f>HYPERLINK("http://yeinfo.com/family/I09045544.html", "JOHN KING 1489 EN-1543 EN ID:09065655")</f>
        <v>JOHN KING 1489 EN-1543 EN ID:09065655</v>
      </c>
      <c r="S5302" s="9"/>
      <c r="T5302" s="9"/>
      <c r="U5302" s="9"/>
      <c r="V5302" s="9"/>
    </row>
    <row r="5303" spans="3:23" x14ac:dyDescent="0.35">
      <c r="C5303" s="15" t="s">
        <v>8</v>
      </c>
      <c r="E5303" s="15" t="s">
        <v>8</v>
      </c>
      <c r="H5303" s="15" t="s">
        <v>8</v>
      </c>
      <c r="L5303" s="15" t="s">
        <v>8</v>
      </c>
      <c r="M5303" s="15" t="s">
        <v>8</v>
      </c>
      <c r="N5303" s="15" t="s">
        <v>8</v>
      </c>
      <c r="R5303" s="8" t="s">
        <v>3</v>
      </c>
    </row>
    <row r="5304" spans="3:23" x14ac:dyDescent="0.35">
      <c r="C5304" s="15" t="s">
        <v>8</v>
      </c>
      <c r="E5304" s="15" t="s">
        <v>8</v>
      </c>
      <c r="H5304" s="15" t="s">
        <v>8</v>
      </c>
      <c r="L5304" s="15" t="s">
        <v>8</v>
      </c>
      <c r="M5304" s="15" t="s">
        <v>8</v>
      </c>
      <c r="N5304" s="15" t="s">
        <v>8</v>
      </c>
      <c r="Q5304" s="19" t="str">
        <f>HYPERLINK("http://yeinfo.com/family/I09022772.html", "THOMAS KING 1506 EN-1570 EN ID:09045544")</f>
        <v>THOMAS KING 1506 EN-1570 EN ID:09045544</v>
      </c>
      <c r="R5304" s="9"/>
      <c r="S5304" s="9"/>
      <c r="T5304" s="9"/>
      <c r="U5304" s="9"/>
    </row>
    <row r="5305" spans="3:23" x14ac:dyDescent="0.35">
      <c r="C5305" s="15" t="s">
        <v>8</v>
      </c>
      <c r="E5305" s="15" t="s">
        <v>8</v>
      </c>
      <c r="H5305" s="15" t="s">
        <v>8</v>
      </c>
      <c r="L5305" s="15" t="s">
        <v>8</v>
      </c>
      <c r="M5305" s="15" t="s">
        <v>8</v>
      </c>
      <c r="N5305" s="15" t="s">
        <v>8</v>
      </c>
      <c r="Q5305" s="8" t="s">
        <v>3</v>
      </c>
      <c r="R5305" s="15" t="s">
        <v>8</v>
      </c>
    </row>
    <row r="5306" spans="3:23" x14ac:dyDescent="0.35">
      <c r="C5306" s="15" t="s">
        <v>8</v>
      </c>
      <c r="E5306" s="15" t="s">
        <v>8</v>
      </c>
      <c r="H5306" s="15" t="s">
        <v>8</v>
      </c>
      <c r="L5306" s="15" t="s">
        <v>8</v>
      </c>
      <c r="M5306" s="15" t="s">
        <v>8</v>
      </c>
      <c r="N5306" s="15" t="s">
        <v>8</v>
      </c>
      <c r="Q5306" s="15" t="s">
        <v>8</v>
      </c>
      <c r="R5306" s="15" t="s">
        <v>8</v>
      </c>
      <c r="S5306" s="19" t="str">
        <f>HYPERLINK("http://yeinfo.com/family/I09065668.html", "WILLIAM JOHN SLYNY 1470 EN-1494 EN ID:09065797")</f>
        <v>WILLIAM JOHN SLYNY 1470 EN-1494 EN ID:09065797</v>
      </c>
      <c r="T5306" s="9"/>
      <c r="U5306" s="9"/>
      <c r="V5306" s="9"/>
      <c r="W5306" s="9"/>
    </row>
    <row r="5307" spans="3:23" x14ac:dyDescent="0.35">
      <c r="C5307" s="15" t="s">
        <v>8</v>
      </c>
      <c r="E5307" s="15" t="s">
        <v>8</v>
      </c>
      <c r="H5307" s="15" t="s">
        <v>8</v>
      </c>
      <c r="L5307" s="15" t="s">
        <v>8</v>
      </c>
      <c r="M5307" s="15" t="s">
        <v>8</v>
      </c>
      <c r="N5307" s="15" t="s">
        <v>8</v>
      </c>
      <c r="Q5307" s="15" t="s">
        <v>8</v>
      </c>
      <c r="R5307" s="8" t="s">
        <v>6</v>
      </c>
      <c r="S5307" s="8" t="s">
        <v>3</v>
      </c>
    </row>
    <row r="5308" spans="3:23" x14ac:dyDescent="0.35">
      <c r="C5308" s="15" t="s">
        <v>8</v>
      </c>
      <c r="E5308" s="15" t="s">
        <v>8</v>
      </c>
      <c r="H5308" s="15" t="s">
        <v>8</v>
      </c>
      <c r="L5308" s="15" t="s">
        <v>8</v>
      </c>
      <c r="M5308" s="15" t="s">
        <v>8</v>
      </c>
      <c r="N5308" s="15" t="s">
        <v>8</v>
      </c>
      <c r="Q5308" s="15" t="s">
        <v>8</v>
      </c>
      <c r="R5308" s="20" t="str">
        <f>HYPERLINK("http://yeinfo.com/family/I09065655.html", "ALICE SLYNY 1493 EN-1540 EN ID:09065668")</f>
        <v>ALICE SLYNY 1493 EN-1540 EN ID:09065668</v>
      </c>
      <c r="S5308" s="17"/>
      <c r="T5308" s="17"/>
      <c r="U5308" s="17"/>
      <c r="V5308" s="17"/>
    </row>
    <row r="5309" spans="3:23" x14ac:dyDescent="0.35">
      <c r="C5309" s="15" t="s">
        <v>8</v>
      </c>
      <c r="E5309" s="15" t="s">
        <v>8</v>
      </c>
      <c r="H5309" s="15" t="s">
        <v>8</v>
      </c>
      <c r="L5309" s="15" t="s">
        <v>8</v>
      </c>
      <c r="M5309" s="15" t="s">
        <v>8</v>
      </c>
      <c r="N5309" s="15" t="s">
        <v>8</v>
      </c>
      <c r="Q5309" s="15" t="s">
        <v>8</v>
      </c>
      <c r="S5309" s="8" t="s">
        <v>6</v>
      </c>
    </row>
    <row r="5310" spans="3:23" x14ac:dyDescent="0.35">
      <c r="C5310" s="15" t="s">
        <v>8</v>
      </c>
      <c r="E5310" s="15" t="s">
        <v>8</v>
      </c>
      <c r="H5310" s="15" t="s">
        <v>8</v>
      </c>
      <c r="L5310" s="15" t="s">
        <v>8</v>
      </c>
      <c r="M5310" s="15" t="s">
        <v>8</v>
      </c>
      <c r="N5310" s="15" t="s">
        <v>8</v>
      </c>
      <c r="Q5310" s="15" t="s">
        <v>8</v>
      </c>
      <c r="S5310" s="20" t="str">
        <f>HYPERLINK("http://yeinfo.com/family/I09065797.html", "Mrs. {_?_} SLYNY 1472 EN-1494 EN ID:09065796")</f>
        <v>Mrs. {_?_} SLYNY 1472 EN-1494 EN ID:09065796</v>
      </c>
      <c r="T5310" s="17"/>
      <c r="U5310" s="17"/>
      <c r="V5310" s="17"/>
      <c r="W5310" s="17"/>
    </row>
    <row r="5311" spans="3:23" x14ac:dyDescent="0.35">
      <c r="C5311" s="15" t="s">
        <v>8</v>
      </c>
      <c r="E5311" s="15" t="s">
        <v>8</v>
      </c>
      <c r="H5311" s="15" t="s">
        <v>8</v>
      </c>
      <c r="L5311" s="15" t="s">
        <v>8</v>
      </c>
      <c r="M5311" s="15" t="s">
        <v>8</v>
      </c>
      <c r="N5311" s="15" t="s">
        <v>8</v>
      </c>
      <c r="Q5311" s="15" t="s">
        <v>8</v>
      </c>
    </row>
    <row r="5312" spans="3:23" x14ac:dyDescent="0.35">
      <c r="C5312" s="15" t="s">
        <v>8</v>
      </c>
      <c r="E5312" s="15" t="s">
        <v>8</v>
      </c>
      <c r="H5312" s="15" t="s">
        <v>8</v>
      </c>
      <c r="L5312" s="15" t="s">
        <v>8</v>
      </c>
      <c r="M5312" s="15" t="s">
        <v>8</v>
      </c>
      <c r="N5312" s="15" t="s">
        <v>8</v>
      </c>
      <c r="P5312" s="19" t="str">
        <f>HYPERLINK("http://yeinfo.com/family/I09011386.html", "THOMAS KING II 1525 EN-1602 EN ID:09022772")</f>
        <v>THOMAS KING II 1525 EN-1602 EN ID:09022772</v>
      </c>
      <c r="Q5312" s="9"/>
      <c r="R5312" s="9"/>
      <c r="S5312" s="9"/>
      <c r="T5312" s="9"/>
    </row>
    <row r="5313" spans="3:22" x14ac:dyDescent="0.35">
      <c r="C5313" s="15" t="s">
        <v>8</v>
      </c>
      <c r="E5313" s="15" t="s">
        <v>8</v>
      </c>
      <c r="H5313" s="15" t="s">
        <v>8</v>
      </c>
      <c r="L5313" s="15" t="s">
        <v>8</v>
      </c>
      <c r="M5313" s="15" t="s">
        <v>8</v>
      </c>
      <c r="N5313" s="15" t="s">
        <v>8</v>
      </c>
      <c r="P5313" s="8" t="s">
        <v>3</v>
      </c>
      <c r="Q5313" s="8" t="s">
        <v>6</v>
      </c>
    </row>
    <row r="5314" spans="3:22" x14ac:dyDescent="0.35">
      <c r="C5314" s="15" t="s">
        <v>8</v>
      </c>
      <c r="E5314" s="15" t="s">
        <v>8</v>
      </c>
      <c r="H5314" s="15" t="s">
        <v>8</v>
      </c>
      <c r="L5314" s="15" t="s">
        <v>8</v>
      </c>
      <c r="M5314" s="15" t="s">
        <v>8</v>
      </c>
      <c r="N5314" s="15" t="s">
        <v>8</v>
      </c>
      <c r="P5314" s="15" t="s">
        <v>8</v>
      </c>
      <c r="Q5314" s="20" t="str">
        <f>HYPERLINK("http://yeinfo.com/family/I09065796.html", "ISABELLA JOHNS 1509 EN-1540 EN ID:09045545")</f>
        <v>ISABELLA JOHNS 1509 EN-1540 EN ID:09045545</v>
      </c>
      <c r="R5314" s="17"/>
      <c r="S5314" s="17"/>
      <c r="T5314" s="17"/>
      <c r="U5314" s="17"/>
    </row>
    <row r="5315" spans="3:22" x14ac:dyDescent="0.35">
      <c r="C5315" s="15" t="s">
        <v>8</v>
      </c>
      <c r="E5315" s="15" t="s">
        <v>8</v>
      </c>
      <c r="H5315" s="15" t="s">
        <v>8</v>
      </c>
      <c r="L5315" s="15" t="s">
        <v>8</v>
      </c>
      <c r="M5315" s="15" t="s">
        <v>8</v>
      </c>
      <c r="N5315" s="15" t="s">
        <v>8</v>
      </c>
      <c r="P5315" s="15" t="s">
        <v>8</v>
      </c>
    </row>
    <row r="5316" spans="3:22" x14ac:dyDescent="0.35">
      <c r="C5316" s="15" t="s">
        <v>8</v>
      </c>
      <c r="E5316" s="15" t="s">
        <v>8</v>
      </c>
      <c r="H5316" s="15" t="s">
        <v>8</v>
      </c>
      <c r="L5316" s="15" t="s">
        <v>8</v>
      </c>
      <c r="M5316" s="15" t="s">
        <v>8</v>
      </c>
      <c r="N5316" s="15" t="s">
        <v>8</v>
      </c>
      <c r="O5316" s="19" t="str">
        <f>HYPERLINK("http://yeinfo.com/family/I09005693.html", "ROBERT KING 1557 EN-1577  ID:09011386")</f>
        <v>ROBERT KING 1557 EN-1577  ID:09011386</v>
      </c>
      <c r="P5316" s="9"/>
      <c r="Q5316" s="9"/>
      <c r="R5316" s="9"/>
      <c r="S5316" s="9"/>
    </row>
    <row r="5317" spans="3:22" x14ac:dyDescent="0.35">
      <c r="C5317" s="15" t="s">
        <v>8</v>
      </c>
      <c r="E5317" s="15" t="s">
        <v>8</v>
      </c>
      <c r="H5317" s="15" t="s">
        <v>8</v>
      </c>
      <c r="L5317" s="15" t="s">
        <v>8</v>
      </c>
      <c r="M5317" s="15" t="s">
        <v>8</v>
      </c>
      <c r="N5317" s="15" t="s">
        <v>8</v>
      </c>
      <c r="O5317" s="8" t="s">
        <v>3</v>
      </c>
      <c r="P5317" s="15" t="s">
        <v>8</v>
      </c>
    </row>
    <row r="5318" spans="3:22" x14ac:dyDescent="0.35">
      <c r="C5318" s="15" t="s">
        <v>8</v>
      </c>
      <c r="E5318" s="15" t="s">
        <v>8</v>
      </c>
      <c r="H5318" s="15" t="s">
        <v>8</v>
      </c>
      <c r="L5318" s="15" t="s">
        <v>8</v>
      </c>
      <c r="M5318" s="15" t="s">
        <v>8</v>
      </c>
      <c r="N5318" s="15" t="s">
        <v>8</v>
      </c>
      <c r="O5318" s="15" t="s">
        <v>8</v>
      </c>
      <c r="P5318" s="15" t="s">
        <v>8</v>
      </c>
      <c r="R5318" s="19" t="str">
        <f>HYPERLINK("http://yeinfo.com/family/I09045546.html", "GEORGE BROAD CHALK 1485 EN-1511 EN ID:09065642")</f>
        <v>GEORGE BROAD CHALK 1485 EN-1511 EN ID:09065642</v>
      </c>
      <c r="S5318" s="9"/>
      <c r="T5318" s="9"/>
      <c r="U5318" s="9"/>
      <c r="V5318" s="9"/>
    </row>
    <row r="5319" spans="3:22" x14ac:dyDescent="0.35">
      <c r="C5319" s="15" t="s">
        <v>8</v>
      </c>
      <c r="E5319" s="15" t="s">
        <v>8</v>
      </c>
      <c r="H5319" s="15" t="s">
        <v>8</v>
      </c>
      <c r="L5319" s="15" t="s">
        <v>8</v>
      </c>
      <c r="M5319" s="15" t="s">
        <v>8</v>
      </c>
      <c r="N5319" s="15" t="s">
        <v>8</v>
      </c>
      <c r="O5319" s="15" t="s">
        <v>8</v>
      </c>
      <c r="P5319" s="15" t="s">
        <v>8</v>
      </c>
      <c r="R5319" s="8" t="s">
        <v>3</v>
      </c>
    </row>
    <row r="5320" spans="3:22" x14ac:dyDescent="0.35">
      <c r="C5320" s="15" t="s">
        <v>8</v>
      </c>
      <c r="E5320" s="15" t="s">
        <v>8</v>
      </c>
      <c r="H5320" s="15" t="s">
        <v>8</v>
      </c>
      <c r="L5320" s="15" t="s">
        <v>8</v>
      </c>
      <c r="M5320" s="15" t="s">
        <v>8</v>
      </c>
      <c r="N5320" s="15" t="s">
        <v>8</v>
      </c>
      <c r="O5320" s="15" t="s">
        <v>8</v>
      </c>
      <c r="P5320" s="15" t="s">
        <v>8</v>
      </c>
      <c r="Q5320" s="19" t="str">
        <f>HYPERLINK("http://yeinfo.com/family/I09022773.html", "JAMES ASKEW CHALK 1505 EN-1536 EN ID:09045546")</f>
        <v>JAMES ASKEW CHALK 1505 EN-1536 EN ID:09045546</v>
      </c>
      <c r="R5320" s="9"/>
      <c r="S5320" s="9"/>
      <c r="T5320" s="9"/>
      <c r="U5320" s="9"/>
    </row>
    <row r="5321" spans="3:22" x14ac:dyDescent="0.35">
      <c r="C5321" s="15" t="s">
        <v>8</v>
      </c>
      <c r="E5321" s="15" t="s">
        <v>8</v>
      </c>
      <c r="H5321" s="15" t="s">
        <v>8</v>
      </c>
      <c r="L5321" s="15" t="s">
        <v>8</v>
      </c>
      <c r="M5321" s="15" t="s">
        <v>8</v>
      </c>
      <c r="N5321" s="15" t="s">
        <v>8</v>
      </c>
      <c r="O5321" s="15" t="s">
        <v>8</v>
      </c>
      <c r="P5321" s="15" t="s">
        <v>8</v>
      </c>
      <c r="Q5321" s="8" t="s">
        <v>3</v>
      </c>
      <c r="R5321" s="8" t="s">
        <v>6</v>
      </c>
    </row>
    <row r="5322" spans="3:22" x14ac:dyDescent="0.35">
      <c r="C5322" s="15" t="s">
        <v>8</v>
      </c>
      <c r="E5322" s="15" t="s">
        <v>8</v>
      </c>
      <c r="H5322" s="15" t="s">
        <v>8</v>
      </c>
      <c r="L5322" s="15" t="s">
        <v>8</v>
      </c>
      <c r="M5322" s="15" t="s">
        <v>8</v>
      </c>
      <c r="N5322" s="15" t="s">
        <v>8</v>
      </c>
      <c r="O5322" s="15" t="s">
        <v>8</v>
      </c>
      <c r="P5322" s="15" t="s">
        <v>8</v>
      </c>
      <c r="Q5322" s="15" t="s">
        <v>8</v>
      </c>
      <c r="R5322" s="20" t="str">
        <f>HYPERLINK("http://yeinfo.com/family/I09065642.html", "MARY MARIA CAPLIN 1485 EN-1505 EN ID:09065641")</f>
        <v>MARY MARIA CAPLIN 1485 EN-1505 EN ID:09065641</v>
      </c>
      <c r="S5322" s="17"/>
      <c r="T5322" s="17"/>
      <c r="U5322" s="17"/>
      <c r="V5322" s="17"/>
    </row>
    <row r="5323" spans="3:22" x14ac:dyDescent="0.35">
      <c r="C5323" s="15" t="s">
        <v>8</v>
      </c>
      <c r="E5323" s="15" t="s">
        <v>8</v>
      </c>
      <c r="H5323" s="15" t="s">
        <v>8</v>
      </c>
      <c r="L5323" s="15" t="s">
        <v>8</v>
      </c>
      <c r="M5323" s="15" t="s">
        <v>8</v>
      </c>
      <c r="N5323" s="15" t="s">
        <v>8</v>
      </c>
      <c r="O5323" s="15" t="s">
        <v>8</v>
      </c>
      <c r="P5323" s="8" t="s">
        <v>6</v>
      </c>
      <c r="Q5323" s="15" t="s">
        <v>8</v>
      </c>
    </row>
    <row r="5324" spans="3:22" x14ac:dyDescent="0.35">
      <c r="C5324" s="15" t="s">
        <v>8</v>
      </c>
      <c r="E5324" s="15" t="s">
        <v>8</v>
      </c>
      <c r="H5324" s="15" t="s">
        <v>8</v>
      </c>
      <c r="L5324" s="15" t="s">
        <v>8</v>
      </c>
      <c r="M5324" s="15" t="s">
        <v>8</v>
      </c>
      <c r="N5324" s="15" t="s">
        <v>8</v>
      </c>
      <c r="O5324" s="15" t="s">
        <v>8</v>
      </c>
      <c r="P5324" s="20" t="str">
        <f>HYPERLINK("http://yeinfo.com/family/I09045545.html", "REBECCA JOAN CHALK 1535 EN-1605 EN ID:09022773")</f>
        <v>REBECCA JOAN CHALK 1535 EN-1605 EN ID:09022773</v>
      </c>
      <c r="Q5324" s="17"/>
      <c r="R5324" s="17"/>
      <c r="S5324" s="17"/>
      <c r="T5324" s="17"/>
    </row>
    <row r="5325" spans="3:22" x14ac:dyDescent="0.35">
      <c r="C5325" s="15" t="s">
        <v>8</v>
      </c>
      <c r="E5325" s="15" t="s">
        <v>8</v>
      </c>
      <c r="H5325" s="15" t="s">
        <v>8</v>
      </c>
      <c r="L5325" s="15" t="s">
        <v>8</v>
      </c>
      <c r="M5325" s="15" t="s">
        <v>8</v>
      </c>
      <c r="N5325" s="15" t="s">
        <v>8</v>
      </c>
      <c r="O5325" s="15" t="s">
        <v>8</v>
      </c>
      <c r="Q5325" s="8" t="s">
        <v>6</v>
      </c>
    </row>
    <row r="5326" spans="3:22" x14ac:dyDescent="0.35">
      <c r="C5326" s="15" t="s">
        <v>8</v>
      </c>
      <c r="E5326" s="15" t="s">
        <v>8</v>
      </c>
      <c r="H5326" s="15" t="s">
        <v>8</v>
      </c>
      <c r="L5326" s="15" t="s">
        <v>8</v>
      </c>
      <c r="M5326" s="15" t="s">
        <v>8</v>
      </c>
      <c r="N5326" s="15" t="s">
        <v>8</v>
      </c>
      <c r="O5326" s="15" t="s">
        <v>8</v>
      </c>
      <c r="Q5326" s="20" t="str">
        <f>HYPERLINK("http://yeinfo.com/family/I09065641.html", "MALINDA SIMMONS 1508 EN-1535 EN ID:09045547")</f>
        <v>MALINDA SIMMONS 1508 EN-1535 EN ID:09045547</v>
      </c>
      <c r="R5326" s="17"/>
      <c r="S5326" s="17"/>
      <c r="T5326" s="17"/>
      <c r="U5326" s="17"/>
    </row>
    <row r="5327" spans="3:22" x14ac:dyDescent="0.35">
      <c r="C5327" s="15" t="s">
        <v>8</v>
      </c>
      <c r="E5327" s="15" t="s">
        <v>8</v>
      </c>
      <c r="H5327" s="15" t="s">
        <v>8</v>
      </c>
      <c r="L5327" s="15" t="s">
        <v>8</v>
      </c>
      <c r="M5327" s="15" t="s">
        <v>8</v>
      </c>
      <c r="N5327" s="8" t="s">
        <v>6</v>
      </c>
      <c r="O5327" s="15" t="s">
        <v>8</v>
      </c>
    </row>
    <row r="5328" spans="3:22" x14ac:dyDescent="0.35">
      <c r="C5328" s="15" t="s">
        <v>8</v>
      </c>
      <c r="E5328" s="15" t="s">
        <v>8</v>
      </c>
      <c r="H5328" s="15" t="s">
        <v>8</v>
      </c>
      <c r="L5328" s="15" t="s">
        <v>8</v>
      </c>
      <c r="M5328" s="15" t="s">
        <v>8</v>
      </c>
      <c r="N5328" s="22" t="str">
        <f>HYPERLINK("http://yeinfo.com/family/I09011385.html", "SARAH\SUSAN KING 1575 EN-1678 MA ID:09005693")</f>
        <v>SARAH\SUSAN KING 1575 EN-1678 MA ID:09005693</v>
      </c>
      <c r="O5328" s="13"/>
      <c r="P5328" s="13"/>
      <c r="Q5328" s="13"/>
      <c r="R5328" s="13"/>
      <c r="S5328" s="13"/>
    </row>
    <row r="5329" spans="3:22" x14ac:dyDescent="0.35">
      <c r="C5329" s="15" t="s">
        <v>8</v>
      </c>
      <c r="E5329" s="15" t="s">
        <v>8</v>
      </c>
      <c r="H5329" s="15" t="s">
        <v>8</v>
      </c>
      <c r="L5329" s="15" t="s">
        <v>8</v>
      </c>
      <c r="M5329" s="15" t="s">
        <v>8</v>
      </c>
      <c r="O5329" s="15" t="s">
        <v>8</v>
      </c>
    </row>
    <row r="5330" spans="3:22" x14ac:dyDescent="0.35">
      <c r="C5330" s="15" t="s">
        <v>8</v>
      </c>
      <c r="E5330" s="15" t="s">
        <v>8</v>
      </c>
      <c r="H5330" s="15" t="s">
        <v>8</v>
      </c>
      <c r="L5330" s="15" t="s">
        <v>8</v>
      </c>
      <c r="M5330" s="15" t="s">
        <v>8</v>
      </c>
      <c r="O5330" s="15" t="s">
        <v>8</v>
      </c>
      <c r="R5330" s="19" t="str">
        <f>HYPERLINK("http://yeinfo.com/family/I09045548.html", "CHARLES HAWKS 1500 EN-1521 EN ID:09065650")</f>
        <v>CHARLES HAWKS 1500 EN-1521 EN ID:09065650</v>
      </c>
      <c r="S5330" s="9"/>
      <c r="T5330" s="9"/>
      <c r="U5330" s="9"/>
      <c r="V5330" s="9"/>
    </row>
    <row r="5331" spans="3:22" x14ac:dyDescent="0.35">
      <c r="C5331" s="15" t="s">
        <v>8</v>
      </c>
      <c r="E5331" s="15" t="s">
        <v>8</v>
      </c>
      <c r="H5331" s="15" t="s">
        <v>8</v>
      </c>
      <c r="L5331" s="15" t="s">
        <v>8</v>
      </c>
      <c r="M5331" s="15" t="s">
        <v>8</v>
      </c>
      <c r="O5331" s="15" t="s">
        <v>8</v>
      </c>
      <c r="R5331" s="8" t="s">
        <v>3</v>
      </c>
    </row>
    <row r="5332" spans="3:22" x14ac:dyDescent="0.35">
      <c r="C5332" s="15" t="s">
        <v>8</v>
      </c>
      <c r="E5332" s="15" t="s">
        <v>8</v>
      </c>
      <c r="H5332" s="15" t="s">
        <v>8</v>
      </c>
      <c r="L5332" s="15" t="s">
        <v>8</v>
      </c>
      <c r="M5332" s="15" t="s">
        <v>8</v>
      </c>
      <c r="O5332" s="15" t="s">
        <v>8</v>
      </c>
      <c r="Q5332" s="19" t="str">
        <f>HYPERLINK("http://yeinfo.com/family/I09022774.html", "JOHN HAWKS 1521 EN-1588 EN ID:09045548")</f>
        <v>JOHN HAWKS 1521 EN-1588 EN ID:09045548</v>
      </c>
      <c r="R5332" s="9"/>
      <c r="S5332" s="9"/>
      <c r="T5332" s="9"/>
      <c r="U5332" s="9"/>
    </row>
    <row r="5333" spans="3:22" x14ac:dyDescent="0.35">
      <c r="C5333" s="15" t="s">
        <v>8</v>
      </c>
      <c r="E5333" s="15" t="s">
        <v>8</v>
      </c>
      <c r="H5333" s="15" t="s">
        <v>8</v>
      </c>
      <c r="L5333" s="15" t="s">
        <v>8</v>
      </c>
      <c r="M5333" s="15" t="s">
        <v>8</v>
      </c>
      <c r="O5333" s="15" t="s">
        <v>8</v>
      </c>
      <c r="Q5333" s="8" t="s">
        <v>3</v>
      </c>
      <c r="R5333" s="8" t="s">
        <v>6</v>
      </c>
    </row>
    <row r="5334" spans="3:22" x14ac:dyDescent="0.35">
      <c r="C5334" s="15" t="s">
        <v>8</v>
      </c>
      <c r="E5334" s="15" t="s">
        <v>8</v>
      </c>
      <c r="H5334" s="15" t="s">
        <v>8</v>
      </c>
      <c r="L5334" s="15" t="s">
        <v>8</v>
      </c>
      <c r="M5334" s="15" t="s">
        <v>8</v>
      </c>
      <c r="O5334" s="15" t="s">
        <v>8</v>
      </c>
      <c r="Q5334" s="15" t="s">
        <v>8</v>
      </c>
      <c r="R5334" s="20" t="str">
        <f>HYPERLINK("http://yeinfo.com/family/I09065650.html", "AGNES GREADE 1500 EN-1521 EN ID:09065648")</f>
        <v>AGNES GREADE 1500 EN-1521 EN ID:09065648</v>
      </c>
      <c r="S5334" s="17"/>
      <c r="T5334" s="17"/>
      <c r="U5334" s="17"/>
      <c r="V5334" s="17"/>
    </row>
    <row r="5335" spans="3:22" x14ac:dyDescent="0.35">
      <c r="C5335" s="15" t="s">
        <v>8</v>
      </c>
      <c r="E5335" s="15" t="s">
        <v>8</v>
      </c>
      <c r="H5335" s="15" t="s">
        <v>8</v>
      </c>
      <c r="L5335" s="15" t="s">
        <v>8</v>
      </c>
      <c r="M5335" s="15" t="s">
        <v>8</v>
      </c>
      <c r="O5335" s="15" t="s">
        <v>8</v>
      </c>
      <c r="Q5335" s="15" t="s">
        <v>8</v>
      </c>
    </row>
    <row r="5336" spans="3:22" x14ac:dyDescent="0.35">
      <c r="C5336" s="15" t="s">
        <v>8</v>
      </c>
      <c r="E5336" s="15" t="s">
        <v>8</v>
      </c>
      <c r="H5336" s="15" t="s">
        <v>8</v>
      </c>
      <c r="L5336" s="15" t="s">
        <v>8</v>
      </c>
      <c r="M5336" s="15" t="s">
        <v>8</v>
      </c>
      <c r="O5336" s="15" t="s">
        <v>8</v>
      </c>
      <c r="P5336" s="19" t="str">
        <f>HYPERLINK("http://yeinfo.com/family/I09011387.html", "ABRAHAM HAWKS 1541 EN-1639 EN ID:09022774")</f>
        <v>ABRAHAM HAWKS 1541 EN-1639 EN ID:09022774</v>
      </c>
      <c r="Q5336" s="9"/>
      <c r="R5336" s="9"/>
      <c r="S5336" s="9"/>
      <c r="T5336" s="9"/>
    </row>
    <row r="5337" spans="3:22" x14ac:dyDescent="0.35">
      <c r="C5337" s="15" t="s">
        <v>8</v>
      </c>
      <c r="E5337" s="15" t="s">
        <v>8</v>
      </c>
      <c r="H5337" s="15" t="s">
        <v>8</v>
      </c>
      <c r="L5337" s="15" t="s">
        <v>8</v>
      </c>
      <c r="M5337" s="15" t="s">
        <v>8</v>
      </c>
      <c r="O5337" s="15" t="s">
        <v>8</v>
      </c>
      <c r="P5337" s="8" t="s">
        <v>3</v>
      </c>
      <c r="Q5337" s="8" t="s">
        <v>6</v>
      </c>
    </row>
    <row r="5338" spans="3:22" x14ac:dyDescent="0.35">
      <c r="C5338" s="15" t="s">
        <v>8</v>
      </c>
      <c r="E5338" s="15" t="s">
        <v>8</v>
      </c>
      <c r="H5338" s="15" t="s">
        <v>8</v>
      </c>
      <c r="L5338" s="15" t="s">
        <v>8</v>
      </c>
      <c r="M5338" s="15" t="s">
        <v>8</v>
      </c>
      <c r="O5338" s="15" t="s">
        <v>8</v>
      </c>
      <c r="P5338" s="15" t="s">
        <v>8</v>
      </c>
      <c r="Q5338" s="20" t="str">
        <f>HYPERLINK("http://yeinfo.com/family/I09065648.html", "ELIZABETH RAWVERENT 1520 EN-1602 EN ID:09045549")</f>
        <v>ELIZABETH RAWVERENT 1520 EN-1602 EN ID:09045549</v>
      </c>
      <c r="R5338" s="17"/>
      <c r="S5338" s="17"/>
      <c r="T5338" s="17"/>
      <c r="U5338" s="17"/>
    </row>
    <row r="5339" spans="3:22" x14ac:dyDescent="0.35">
      <c r="C5339" s="15" t="s">
        <v>8</v>
      </c>
      <c r="E5339" s="15" t="s">
        <v>8</v>
      </c>
      <c r="H5339" s="15" t="s">
        <v>8</v>
      </c>
      <c r="L5339" s="15" t="s">
        <v>8</v>
      </c>
      <c r="M5339" s="15" t="s">
        <v>8</v>
      </c>
      <c r="O5339" s="8" t="s">
        <v>6</v>
      </c>
      <c r="P5339" s="15" t="s">
        <v>8</v>
      </c>
    </row>
    <row r="5340" spans="3:22" x14ac:dyDescent="0.35">
      <c r="C5340" s="15" t="s">
        <v>8</v>
      </c>
      <c r="E5340" s="15" t="s">
        <v>8</v>
      </c>
      <c r="H5340" s="15" t="s">
        <v>8</v>
      </c>
      <c r="L5340" s="15" t="s">
        <v>8</v>
      </c>
      <c r="M5340" s="15" t="s">
        <v>8</v>
      </c>
      <c r="O5340" s="20" t="str">
        <f>HYPERLINK("http://yeinfo.com/family/I09045547.html", "ANN HAWKS 1561 EN-1581  ID:09011387")</f>
        <v>ANN HAWKS 1561 EN-1581  ID:09011387</v>
      </c>
      <c r="P5340" s="17"/>
      <c r="Q5340" s="17"/>
      <c r="R5340" s="17"/>
      <c r="S5340" s="17"/>
    </row>
    <row r="5341" spans="3:22" x14ac:dyDescent="0.35">
      <c r="C5341" s="15" t="s">
        <v>8</v>
      </c>
      <c r="E5341" s="15" t="s">
        <v>8</v>
      </c>
      <c r="H5341" s="15" t="s">
        <v>8</v>
      </c>
      <c r="L5341" s="15" t="s">
        <v>8</v>
      </c>
      <c r="M5341" s="15" t="s">
        <v>8</v>
      </c>
      <c r="P5341" s="8" t="s">
        <v>6</v>
      </c>
    </row>
    <row r="5342" spans="3:22" x14ac:dyDescent="0.35">
      <c r="C5342" s="15" t="s">
        <v>8</v>
      </c>
      <c r="E5342" s="15" t="s">
        <v>8</v>
      </c>
      <c r="H5342" s="15" t="s">
        <v>8</v>
      </c>
      <c r="L5342" s="15" t="s">
        <v>8</v>
      </c>
      <c r="M5342" s="15" t="s">
        <v>8</v>
      </c>
      <c r="P5342" s="20" t="str">
        <f>HYPERLINK("http://yeinfo.com/family/I09045549.html", "Mrs. {_?_} HAWKS 1541 EN-1561 EN ID:09022775")</f>
        <v>Mrs. {_?_} HAWKS 1541 EN-1561 EN ID:09022775</v>
      </c>
      <c r="Q5342" s="17"/>
      <c r="R5342" s="17"/>
      <c r="S5342" s="17"/>
      <c r="T5342" s="17"/>
    </row>
    <row r="5343" spans="3:22" x14ac:dyDescent="0.35">
      <c r="C5343" s="15" t="s">
        <v>8</v>
      </c>
      <c r="E5343" s="15" t="s">
        <v>8</v>
      </c>
      <c r="H5343" s="15" t="s">
        <v>8</v>
      </c>
      <c r="L5343" s="8" t="s">
        <v>6</v>
      </c>
      <c r="M5343" s="15" t="s">
        <v>8</v>
      </c>
    </row>
    <row r="5344" spans="3:22" x14ac:dyDescent="0.35">
      <c r="C5344" s="15" t="s">
        <v>8</v>
      </c>
      <c r="E5344" s="15" t="s">
        <v>8</v>
      </c>
      <c r="H5344" s="15" t="s">
        <v>8</v>
      </c>
      <c r="L5344" s="16" t="str">
        <f>HYPERLINK("http://yeinfo.com/family/I09002845.html", "MARY\BLANDENIA KING 1631 -1715  ID:09001423")</f>
        <v>MARY\BLANDENIA KING 1631 -1715  ID:09001423</v>
      </c>
      <c r="M5344" s="11"/>
      <c r="N5344" s="11"/>
      <c r="O5344" s="11"/>
      <c r="P5344" s="11"/>
      <c r="Q5344" s="11"/>
    </row>
    <row r="5345" spans="3:17" x14ac:dyDescent="0.35">
      <c r="C5345" s="15" t="s">
        <v>8</v>
      </c>
      <c r="E5345" s="15" t="s">
        <v>8</v>
      </c>
      <c r="H5345" s="15" t="s">
        <v>8</v>
      </c>
      <c r="M5345" s="8" t="s">
        <v>6</v>
      </c>
    </row>
    <row r="5346" spans="3:17" x14ac:dyDescent="0.35">
      <c r="C5346" s="15" t="s">
        <v>8</v>
      </c>
      <c r="E5346" s="15" t="s">
        <v>8</v>
      </c>
      <c r="H5346" s="15" t="s">
        <v>8</v>
      </c>
      <c r="M5346" s="22" t="str">
        <f>HYPERLINK("http://yeinfo.com/family/I09022775.html", "ANN COLLINS 1605 EN-1642 MA ID:09002847")</f>
        <v>ANN COLLINS 1605 EN-1642 MA ID:09002847</v>
      </c>
      <c r="N5346" s="13"/>
      <c r="O5346" s="13"/>
      <c r="P5346" s="13"/>
      <c r="Q5346" s="13"/>
    </row>
    <row r="5347" spans="3:17" x14ac:dyDescent="0.35">
      <c r="C5347" s="15" t="s">
        <v>8</v>
      </c>
      <c r="E5347" s="15" t="s">
        <v>8</v>
      </c>
      <c r="H5347" s="15" t="s">
        <v>8</v>
      </c>
    </row>
    <row r="5348" spans="3:17" x14ac:dyDescent="0.35">
      <c r="C5348" s="15" t="s">
        <v>8</v>
      </c>
      <c r="E5348" s="15" t="s">
        <v>8</v>
      </c>
      <c r="G5348" s="5" t="str">
        <f>HYPERLINK("http://yeinfo.com/family/I09000022.html", "MARTIN MOORE 1804 VT-1878 MA ID:09000044")</f>
        <v>MARTIN MOORE 1804 VT-1878 MA ID:09000044</v>
      </c>
      <c r="H5348" s="3"/>
      <c r="I5348" s="3"/>
      <c r="J5348" s="3"/>
      <c r="K5348" s="3"/>
    </row>
    <row r="5349" spans="3:17" x14ac:dyDescent="0.35">
      <c r="C5349" s="15" t="s">
        <v>8</v>
      </c>
      <c r="E5349" s="15" t="s">
        <v>8</v>
      </c>
      <c r="G5349" s="8" t="s">
        <v>3</v>
      </c>
      <c r="H5349" s="15" t="s">
        <v>8</v>
      </c>
    </row>
    <row r="5350" spans="3:17" x14ac:dyDescent="0.35">
      <c r="C5350" s="15" t="s">
        <v>8</v>
      </c>
      <c r="E5350" s="15" t="s">
        <v>8</v>
      </c>
      <c r="G5350" s="15" t="s">
        <v>8</v>
      </c>
      <c r="H5350" s="15" t="s">
        <v>8</v>
      </c>
      <c r="M5350" s="21" t="str">
        <f>HYPERLINK("http://yeinfo.com/family/I09005446.html", "JOHN MOORE &lt;5&gt; 1598 EN-1674 MA ID:09005446")</f>
        <v>JOHN MOORE &lt;5&gt; 1598 EN-1674 MA ID:09005446</v>
      </c>
      <c r="N5350" s="6"/>
      <c r="O5350" s="6"/>
      <c r="P5350" s="6"/>
      <c r="Q5350" s="6"/>
    </row>
    <row r="5351" spans="3:17" x14ac:dyDescent="0.35">
      <c r="C5351" s="15" t="s">
        <v>8</v>
      </c>
      <c r="E5351" s="15" t="s">
        <v>8</v>
      </c>
      <c r="G5351" s="15" t="s">
        <v>8</v>
      </c>
      <c r="H5351" s="15" t="s">
        <v>8</v>
      </c>
      <c r="M5351" s="8" t="s">
        <v>3</v>
      </c>
    </row>
    <row r="5352" spans="3:17" x14ac:dyDescent="0.35">
      <c r="C5352" s="15" t="s">
        <v>8</v>
      </c>
      <c r="E5352" s="15" t="s">
        <v>8</v>
      </c>
      <c r="G5352" s="15" t="s">
        <v>8</v>
      </c>
      <c r="H5352" s="15" t="s">
        <v>8</v>
      </c>
      <c r="L5352" s="21" t="str">
        <f>HYPERLINK("http://yeinfo.com/family/I09001408.html", "JOHN MOORE Jr. &lt;2&gt; 1628 EN-1702 MA ID:09001408")</f>
        <v>JOHN MOORE Jr. &lt;2&gt; 1628 EN-1702 MA ID:09001408</v>
      </c>
      <c r="M5352" s="6"/>
      <c r="N5352" s="6"/>
      <c r="O5352" s="6"/>
      <c r="P5352" s="6"/>
    </row>
    <row r="5353" spans="3:17" x14ac:dyDescent="0.35">
      <c r="C5353" s="15" t="s">
        <v>8</v>
      </c>
      <c r="E5353" s="15" t="s">
        <v>8</v>
      </c>
      <c r="G5353" s="15" t="s">
        <v>8</v>
      </c>
      <c r="H5353" s="15" t="s">
        <v>8</v>
      </c>
      <c r="L5353" s="8" t="s">
        <v>3</v>
      </c>
      <c r="M5353" s="8" t="s">
        <v>6</v>
      </c>
    </row>
    <row r="5354" spans="3:17" x14ac:dyDescent="0.35">
      <c r="C5354" s="15" t="s">
        <v>8</v>
      </c>
      <c r="E5354" s="15" t="s">
        <v>8</v>
      </c>
      <c r="G5354" s="15" t="s">
        <v>8</v>
      </c>
      <c r="H5354" s="15" t="s">
        <v>8</v>
      </c>
      <c r="L5354" s="15" t="s">
        <v>8</v>
      </c>
      <c r="M5354" s="20" t="str">
        <f>HYPERLINK("http://yeinfo.com/family/I09002817.html", "Mrs. ELIZABETH MOORE &lt;4&gt; 1600 EN-1633 EN ID:09002817")</f>
        <v>Mrs. ELIZABETH MOORE &lt;4&gt; 1600 EN-1633 EN ID:09002817</v>
      </c>
      <c r="N5354" s="17"/>
      <c r="O5354" s="17"/>
      <c r="P5354" s="17"/>
      <c r="Q5354" s="17"/>
    </row>
    <row r="5355" spans="3:17" x14ac:dyDescent="0.35">
      <c r="C5355" s="15" t="s">
        <v>8</v>
      </c>
      <c r="E5355" s="15" t="s">
        <v>8</v>
      </c>
      <c r="G5355" s="15" t="s">
        <v>8</v>
      </c>
      <c r="H5355" s="15" t="s">
        <v>8</v>
      </c>
      <c r="L5355" s="15" t="s">
        <v>8</v>
      </c>
    </row>
    <row r="5356" spans="3:17" x14ac:dyDescent="0.35">
      <c r="C5356" s="15" t="s">
        <v>8</v>
      </c>
      <c r="E5356" s="15" t="s">
        <v>8</v>
      </c>
      <c r="G5356" s="15" t="s">
        <v>8</v>
      </c>
      <c r="H5356" s="15" t="s">
        <v>8</v>
      </c>
      <c r="K5356" s="5" t="str">
        <f>HYPERLINK("http://yeinfo.com/family/I09000356.html", "JONATHAN MOORE 1669 MA-1742 MA ID:09000712")</f>
        <v>JONATHAN MOORE 1669 MA-1742 MA ID:09000712</v>
      </c>
      <c r="L5356" s="3"/>
      <c r="M5356" s="3"/>
      <c r="N5356" s="3"/>
      <c r="O5356" s="3"/>
    </row>
    <row r="5357" spans="3:17" x14ac:dyDescent="0.35">
      <c r="C5357" s="15" t="s">
        <v>8</v>
      </c>
      <c r="E5357" s="15" t="s">
        <v>8</v>
      </c>
      <c r="G5357" s="15" t="s">
        <v>8</v>
      </c>
      <c r="H5357" s="15" t="s">
        <v>8</v>
      </c>
      <c r="K5357" s="8" t="s">
        <v>3</v>
      </c>
      <c r="L5357" s="15" t="s">
        <v>8</v>
      </c>
    </row>
    <row r="5358" spans="3:17" x14ac:dyDescent="0.35">
      <c r="C5358" s="15" t="s">
        <v>8</v>
      </c>
      <c r="E5358" s="15" t="s">
        <v>8</v>
      </c>
      <c r="G5358" s="15" t="s">
        <v>8</v>
      </c>
      <c r="H5358" s="15" t="s">
        <v>8</v>
      </c>
      <c r="K5358" s="15" t="s">
        <v>8</v>
      </c>
      <c r="L5358" s="15" t="s">
        <v>8</v>
      </c>
      <c r="M5358" s="21" t="str">
        <f>HYPERLINK("http://yeinfo.com/family/I09002818.html", "JOHN SMITH &lt;2&gt; 1610 EN-1669 MA ID:09002818")</f>
        <v>JOHN SMITH &lt;2&gt; 1610 EN-1669 MA ID:09002818</v>
      </c>
      <c r="N5358" s="6"/>
      <c r="O5358" s="6"/>
      <c r="P5358" s="6"/>
      <c r="Q5358" s="6"/>
    </row>
    <row r="5359" spans="3:17" x14ac:dyDescent="0.35">
      <c r="C5359" s="15" t="s">
        <v>8</v>
      </c>
      <c r="E5359" s="15" t="s">
        <v>8</v>
      </c>
      <c r="G5359" s="15" t="s">
        <v>8</v>
      </c>
      <c r="H5359" s="15" t="s">
        <v>8</v>
      </c>
      <c r="K5359" s="15" t="s">
        <v>8</v>
      </c>
      <c r="L5359" s="8" t="s">
        <v>6</v>
      </c>
      <c r="M5359" s="8" t="s">
        <v>3</v>
      </c>
    </row>
    <row r="5360" spans="3:17" x14ac:dyDescent="0.35">
      <c r="C5360" s="15" t="s">
        <v>8</v>
      </c>
      <c r="E5360" s="15" t="s">
        <v>8</v>
      </c>
      <c r="G5360" s="15" t="s">
        <v>8</v>
      </c>
      <c r="H5360" s="15" t="s">
        <v>8</v>
      </c>
      <c r="K5360" s="15" t="s">
        <v>8</v>
      </c>
      <c r="L5360" s="16" t="str">
        <f>HYPERLINK("http://yeinfo.com/family/I09001409.html", "ANN SMITH &lt;2&gt; 1635 MA-1671 MA ID:09001409")</f>
        <v>ANN SMITH &lt;2&gt; 1635 MA-1671 MA ID:09001409</v>
      </c>
      <c r="M5360" s="11"/>
      <c r="N5360" s="11"/>
      <c r="O5360" s="11"/>
      <c r="P5360" s="11"/>
    </row>
    <row r="5361" spans="3:19" x14ac:dyDescent="0.35">
      <c r="C5361" s="15" t="s">
        <v>8</v>
      </c>
      <c r="E5361" s="15" t="s">
        <v>8</v>
      </c>
      <c r="G5361" s="15" t="s">
        <v>8</v>
      </c>
      <c r="H5361" s="15" t="s">
        <v>8</v>
      </c>
      <c r="K5361" s="15" t="s">
        <v>8</v>
      </c>
      <c r="M5361" s="8" t="s">
        <v>6</v>
      </c>
    </row>
    <row r="5362" spans="3:19" x14ac:dyDescent="0.35">
      <c r="C5362" s="15" t="s">
        <v>8</v>
      </c>
      <c r="E5362" s="15" t="s">
        <v>8</v>
      </c>
      <c r="G5362" s="15" t="s">
        <v>8</v>
      </c>
      <c r="H5362" s="15" t="s">
        <v>8</v>
      </c>
      <c r="K5362" s="15" t="s">
        <v>8</v>
      </c>
      <c r="M5362" s="22" t="str">
        <f>HYPERLINK("http://yeinfo.com/family/I09002819.html", "Mrs. ALICE\MARY SMITH &lt;2&gt; 1610 EN-1659 MA ID:09002819")</f>
        <v>Mrs. ALICE\MARY SMITH &lt;2&gt; 1610 EN-1659 MA ID:09002819</v>
      </c>
      <c r="N5362" s="13"/>
      <c r="O5362" s="13"/>
      <c r="P5362" s="13"/>
      <c r="Q5362" s="13"/>
      <c r="R5362" s="13"/>
      <c r="S5362" s="13"/>
    </row>
    <row r="5363" spans="3:19" x14ac:dyDescent="0.35">
      <c r="C5363" s="15" t="s">
        <v>8</v>
      </c>
      <c r="E5363" s="15" t="s">
        <v>8</v>
      </c>
      <c r="G5363" s="15" t="s">
        <v>8</v>
      </c>
      <c r="H5363" s="15" t="s">
        <v>8</v>
      </c>
      <c r="K5363" s="15" t="s">
        <v>8</v>
      </c>
    </row>
    <row r="5364" spans="3:19" x14ac:dyDescent="0.35">
      <c r="C5364" s="15" t="s">
        <v>8</v>
      </c>
      <c r="E5364" s="15" t="s">
        <v>8</v>
      </c>
      <c r="G5364" s="15" t="s">
        <v>8</v>
      </c>
      <c r="H5364" s="15" t="s">
        <v>8</v>
      </c>
      <c r="J5364" s="5" t="str">
        <f>HYPERLINK("http://yeinfo.com/family/I09000178.html", "ABRAHAM MOORE 1716 MA-1773 MA ID:09000356")</f>
        <v>ABRAHAM MOORE 1716 MA-1773 MA ID:09000356</v>
      </c>
      <c r="K5364" s="3"/>
      <c r="L5364" s="3"/>
      <c r="M5364" s="3"/>
      <c r="N5364" s="3"/>
    </row>
    <row r="5365" spans="3:19" x14ac:dyDescent="0.35">
      <c r="C5365" s="15" t="s">
        <v>8</v>
      </c>
      <c r="E5365" s="15" t="s">
        <v>8</v>
      </c>
      <c r="G5365" s="15" t="s">
        <v>8</v>
      </c>
      <c r="H5365" s="15" t="s">
        <v>8</v>
      </c>
      <c r="J5365" s="8" t="s">
        <v>3</v>
      </c>
      <c r="K5365" s="15" t="s">
        <v>8</v>
      </c>
    </row>
    <row r="5366" spans="3:19" x14ac:dyDescent="0.35">
      <c r="C5366" s="15" t="s">
        <v>8</v>
      </c>
      <c r="E5366" s="15" t="s">
        <v>8</v>
      </c>
      <c r="G5366" s="15" t="s">
        <v>8</v>
      </c>
      <c r="H5366" s="15" t="s">
        <v>8</v>
      </c>
      <c r="J5366" s="15" t="s">
        <v>8</v>
      </c>
      <c r="K5366" s="15" t="s">
        <v>8</v>
      </c>
      <c r="N5366" s="19" t="str">
        <f>HYPERLINK("http://yeinfo.com/family/I09002852.html", "JOHN SAWYER 1580 EN-1616 EN ID:09005704")</f>
        <v>JOHN SAWYER 1580 EN-1616 EN ID:09005704</v>
      </c>
      <c r="O5366" s="9"/>
      <c r="P5366" s="9"/>
      <c r="Q5366" s="9"/>
      <c r="R5366" s="9"/>
    </row>
    <row r="5367" spans="3:19" x14ac:dyDescent="0.35">
      <c r="C5367" s="15" t="s">
        <v>8</v>
      </c>
      <c r="E5367" s="15" t="s">
        <v>8</v>
      </c>
      <c r="G5367" s="15" t="s">
        <v>8</v>
      </c>
      <c r="H5367" s="15" t="s">
        <v>8</v>
      </c>
      <c r="J5367" s="15" t="s">
        <v>8</v>
      </c>
      <c r="K5367" s="15" t="s">
        <v>8</v>
      </c>
      <c r="N5367" s="8" t="s">
        <v>3</v>
      </c>
    </row>
    <row r="5368" spans="3:19" x14ac:dyDescent="0.35">
      <c r="C5368" s="15" t="s">
        <v>8</v>
      </c>
      <c r="E5368" s="15" t="s">
        <v>8</v>
      </c>
      <c r="G5368" s="15" t="s">
        <v>8</v>
      </c>
      <c r="H5368" s="15" t="s">
        <v>8</v>
      </c>
      <c r="J5368" s="15" t="s">
        <v>8</v>
      </c>
      <c r="K5368" s="15" t="s">
        <v>8</v>
      </c>
      <c r="M5368" s="21" t="str">
        <f>HYPERLINK("http://yeinfo.com/family/I09001426.html", "THOMAS SAWYER 1616 EN-1706 MA ID:09002852")</f>
        <v>THOMAS SAWYER 1616 EN-1706 MA ID:09002852</v>
      </c>
      <c r="N5368" s="6"/>
      <c r="O5368" s="6"/>
      <c r="P5368" s="6"/>
      <c r="Q5368" s="6"/>
    </row>
    <row r="5369" spans="3:19" x14ac:dyDescent="0.35">
      <c r="C5369" s="15" t="s">
        <v>8</v>
      </c>
      <c r="E5369" s="15" t="s">
        <v>8</v>
      </c>
      <c r="G5369" s="15" t="s">
        <v>8</v>
      </c>
      <c r="H5369" s="15" t="s">
        <v>8</v>
      </c>
      <c r="J5369" s="15" t="s">
        <v>8</v>
      </c>
      <c r="K5369" s="15" t="s">
        <v>8</v>
      </c>
      <c r="M5369" s="8" t="s">
        <v>3</v>
      </c>
      <c r="N5369" s="8" t="s">
        <v>6</v>
      </c>
    </row>
    <row r="5370" spans="3:19" x14ac:dyDescent="0.35">
      <c r="C5370" s="15" t="s">
        <v>8</v>
      </c>
      <c r="E5370" s="15" t="s">
        <v>8</v>
      </c>
      <c r="G5370" s="15" t="s">
        <v>8</v>
      </c>
      <c r="H5370" s="15" t="s">
        <v>8</v>
      </c>
      <c r="J5370" s="15" t="s">
        <v>8</v>
      </c>
      <c r="K5370" s="15" t="s">
        <v>8</v>
      </c>
      <c r="M5370" s="15" t="s">
        <v>8</v>
      </c>
      <c r="N5370" s="20" t="str">
        <f>HYPERLINK("http://yeinfo.com/family/I09005704.html", "AGNES SHARPE 1580 EN-1616 EN ID:09005705")</f>
        <v>AGNES SHARPE 1580 EN-1616 EN ID:09005705</v>
      </c>
      <c r="O5370" s="17"/>
      <c r="P5370" s="17"/>
      <c r="Q5370" s="17"/>
      <c r="R5370" s="17"/>
    </row>
    <row r="5371" spans="3:19" x14ac:dyDescent="0.35">
      <c r="C5371" s="15" t="s">
        <v>8</v>
      </c>
      <c r="E5371" s="15" t="s">
        <v>8</v>
      </c>
      <c r="G5371" s="15" t="s">
        <v>8</v>
      </c>
      <c r="H5371" s="15" t="s">
        <v>8</v>
      </c>
      <c r="J5371" s="15" t="s">
        <v>8</v>
      </c>
      <c r="K5371" s="15" t="s">
        <v>8</v>
      </c>
      <c r="M5371" s="15" t="s">
        <v>8</v>
      </c>
    </row>
    <row r="5372" spans="3:19" x14ac:dyDescent="0.35">
      <c r="C5372" s="15" t="s">
        <v>8</v>
      </c>
      <c r="E5372" s="15" t="s">
        <v>8</v>
      </c>
      <c r="G5372" s="15" t="s">
        <v>8</v>
      </c>
      <c r="H5372" s="15" t="s">
        <v>8</v>
      </c>
      <c r="J5372" s="15" t="s">
        <v>8</v>
      </c>
      <c r="K5372" s="15" t="s">
        <v>8</v>
      </c>
      <c r="L5372" s="5" t="str">
        <f>HYPERLINK("http://yeinfo.com/family/I09000713.html", "THOMAS SAWYER 1649 MA-1736 MA ID:09001426")</f>
        <v>THOMAS SAWYER 1649 MA-1736 MA ID:09001426</v>
      </c>
      <c r="M5372" s="3"/>
      <c r="N5372" s="3"/>
      <c r="O5372" s="3"/>
      <c r="P5372" s="3"/>
    </row>
    <row r="5373" spans="3:19" x14ac:dyDescent="0.35">
      <c r="C5373" s="15" t="s">
        <v>8</v>
      </c>
      <c r="E5373" s="15" t="s">
        <v>8</v>
      </c>
      <c r="G5373" s="15" t="s">
        <v>8</v>
      </c>
      <c r="H5373" s="15" t="s">
        <v>8</v>
      </c>
      <c r="J5373" s="15" t="s">
        <v>8</v>
      </c>
      <c r="K5373" s="15" t="s">
        <v>8</v>
      </c>
      <c r="L5373" s="8" t="s">
        <v>3</v>
      </c>
      <c r="M5373" s="15" t="s">
        <v>8</v>
      </c>
    </row>
    <row r="5374" spans="3:19" x14ac:dyDescent="0.35">
      <c r="C5374" s="15" t="s">
        <v>8</v>
      </c>
      <c r="E5374" s="15" t="s">
        <v>8</v>
      </c>
      <c r="G5374" s="15" t="s">
        <v>8</v>
      </c>
      <c r="H5374" s="15" t="s">
        <v>8</v>
      </c>
      <c r="J5374" s="15" t="s">
        <v>8</v>
      </c>
      <c r="K5374" s="15" t="s">
        <v>8</v>
      </c>
      <c r="L5374" s="15" t="s">
        <v>8</v>
      </c>
      <c r="M5374" s="15" t="s">
        <v>8</v>
      </c>
      <c r="N5374" s="21" t="str">
        <f>HYPERLINK("http://yeinfo.com/family/I09002822.html", "JOHN PRESCOTT &lt;2&gt; 1604 EN-1681 MA ID:09002822")</f>
        <v>JOHN PRESCOTT &lt;2&gt; 1604 EN-1681 MA ID:09002822</v>
      </c>
      <c r="O5374" s="6"/>
      <c r="P5374" s="6"/>
      <c r="Q5374" s="6"/>
      <c r="R5374" s="6"/>
    </row>
    <row r="5375" spans="3:19" x14ac:dyDescent="0.35">
      <c r="C5375" s="15" t="s">
        <v>8</v>
      </c>
      <c r="E5375" s="15" t="s">
        <v>8</v>
      </c>
      <c r="G5375" s="15" t="s">
        <v>8</v>
      </c>
      <c r="H5375" s="15" t="s">
        <v>8</v>
      </c>
      <c r="J5375" s="15" t="s">
        <v>8</v>
      </c>
      <c r="K5375" s="15" t="s">
        <v>8</v>
      </c>
      <c r="L5375" s="15" t="s">
        <v>8</v>
      </c>
      <c r="M5375" s="8" t="s">
        <v>6</v>
      </c>
      <c r="N5375" s="8" t="s">
        <v>3</v>
      </c>
    </row>
    <row r="5376" spans="3:19" x14ac:dyDescent="0.35">
      <c r="C5376" s="15" t="s">
        <v>8</v>
      </c>
      <c r="E5376" s="15" t="s">
        <v>8</v>
      </c>
      <c r="G5376" s="15" t="s">
        <v>8</v>
      </c>
      <c r="H5376" s="15" t="s">
        <v>8</v>
      </c>
      <c r="J5376" s="15" t="s">
        <v>8</v>
      </c>
      <c r="K5376" s="15" t="s">
        <v>8</v>
      </c>
      <c r="L5376" s="15" t="s">
        <v>8</v>
      </c>
      <c r="M5376" s="22" t="str">
        <f>HYPERLINK("http://yeinfo.com/family/I09005705.html", "MARY PRESCOTT 1630 EN-1716 MA ID:09002853")</f>
        <v>MARY PRESCOTT 1630 EN-1716 MA ID:09002853</v>
      </c>
      <c r="N5376" s="13"/>
      <c r="O5376" s="13"/>
      <c r="P5376" s="13"/>
      <c r="Q5376" s="13"/>
    </row>
    <row r="5377" spans="3:19" x14ac:dyDescent="0.35">
      <c r="C5377" s="15" t="s">
        <v>8</v>
      </c>
      <c r="E5377" s="15" t="s">
        <v>8</v>
      </c>
      <c r="G5377" s="15" t="s">
        <v>8</v>
      </c>
      <c r="H5377" s="15" t="s">
        <v>8</v>
      </c>
      <c r="J5377" s="15" t="s">
        <v>8</v>
      </c>
      <c r="K5377" s="15" t="s">
        <v>8</v>
      </c>
      <c r="L5377" s="15" t="s">
        <v>8</v>
      </c>
      <c r="N5377" s="8" t="s">
        <v>6</v>
      </c>
    </row>
    <row r="5378" spans="3:19" x14ac:dyDescent="0.35">
      <c r="C5378" s="15" t="s">
        <v>8</v>
      </c>
      <c r="E5378" s="15" t="s">
        <v>8</v>
      </c>
      <c r="G5378" s="15" t="s">
        <v>8</v>
      </c>
      <c r="H5378" s="15" t="s">
        <v>8</v>
      </c>
      <c r="J5378" s="15" t="s">
        <v>8</v>
      </c>
      <c r="K5378" s="15" t="s">
        <v>8</v>
      </c>
      <c r="L5378" s="15" t="s">
        <v>8</v>
      </c>
      <c r="N5378" s="22" t="str">
        <f>HYPERLINK("http://yeinfo.com/family/I09002823.html", "MARY PLATTS &lt;2&gt; 1606 EN-1674 MA ID:09002823")</f>
        <v>MARY PLATTS &lt;2&gt; 1606 EN-1674 MA ID:09002823</v>
      </c>
      <c r="O5378" s="13"/>
      <c r="P5378" s="13"/>
      <c r="Q5378" s="13"/>
      <c r="R5378" s="13"/>
    </row>
    <row r="5379" spans="3:19" x14ac:dyDescent="0.35">
      <c r="C5379" s="15" t="s">
        <v>8</v>
      </c>
      <c r="E5379" s="15" t="s">
        <v>8</v>
      </c>
      <c r="G5379" s="15" t="s">
        <v>8</v>
      </c>
      <c r="H5379" s="15" t="s">
        <v>8</v>
      </c>
      <c r="J5379" s="15" t="s">
        <v>8</v>
      </c>
      <c r="K5379" s="8" t="s">
        <v>6</v>
      </c>
      <c r="L5379" s="15" t="s">
        <v>8</v>
      </c>
    </row>
    <row r="5380" spans="3:19" x14ac:dyDescent="0.35">
      <c r="C5380" s="15" t="s">
        <v>8</v>
      </c>
      <c r="E5380" s="15" t="s">
        <v>8</v>
      </c>
      <c r="G5380" s="15" t="s">
        <v>8</v>
      </c>
      <c r="H5380" s="15" t="s">
        <v>8</v>
      </c>
      <c r="J5380" s="15" t="s">
        <v>8</v>
      </c>
      <c r="K5380" s="16" t="str">
        <f>HYPERLINK("http://yeinfo.com/family/I09000712.html", "HANNAH SAWYER 1675 MA-1765 MA ID:09000713")</f>
        <v>HANNAH SAWYER 1675 MA-1765 MA ID:09000713</v>
      </c>
      <c r="L5380" s="11"/>
      <c r="M5380" s="11"/>
      <c r="N5380" s="11"/>
      <c r="O5380" s="11"/>
    </row>
    <row r="5381" spans="3:19" x14ac:dyDescent="0.35">
      <c r="C5381" s="15" t="s">
        <v>8</v>
      </c>
      <c r="E5381" s="15" t="s">
        <v>8</v>
      </c>
      <c r="G5381" s="15" t="s">
        <v>8</v>
      </c>
      <c r="H5381" s="15" t="s">
        <v>8</v>
      </c>
      <c r="J5381" s="15" t="s">
        <v>8</v>
      </c>
      <c r="L5381" s="15" t="s">
        <v>8</v>
      </c>
    </row>
    <row r="5382" spans="3:19" x14ac:dyDescent="0.35">
      <c r="C5382" s="15" t="s">
        <v>8</v>
      </c>
      <c r="E5382" s="15" t="s">
        <v>8</v>
      </c>
      <c r="G5382" s="15" t="s">
        <v>8</v>
      </c>
      <c r="H5382" s="15" t="s">
        <v>8</v>
      </c>
      <c r="J5382" s="15" t="s">
        <v>8</v>
      </c>
      <c r="L5382" s="15" t="s">
        <v>8</v>
      </c>
      <c r="O5382" s="19" t="str">
        <f>HYPERLINK("http://yeinfo.com/family/I09005708.html", "EDMUND LEWIS 1540 EN-1563 EN ID:09011416")</f>
        <v>EDMUND LEWIS 1540 EN-1563 EN ID:09011416</v>
      </c>
      <c r="P5382" s="9"/>
      <c r="Q5382" s="9"/>
      <c r="R5382" s="9"/>
      <c r="S5382" s="9"/>
    </row>
    <row r="5383" spans="3:19" x14ac:dyDescent="0.35">
      <c r="C5383" s="15" t="s">
        <v>8</v>
      </c>
      <c r="E5383" s="15" t="s">
        <v>8</v>
      </c>
      <c r="G5383" s="15" t="s">
        <v>8</v>
      </c>
      <c r="H5383" s="15" t="s">
        <v>8</v>
      </c>
      <c r="J5383" s="15" t="s">
        <v>8</v>
      </c>
      <c r="L5383" s="15" t="s">
        <v>8</v>
      </c>
      <c r="O5383" s="8" t="s">
        <v>3</v>
      </c>
    </row>
    <row r="5384" spans="3:19" x14ac:dyDescent="0.35">
      <c r="C5384" s="15" t="s">
        <v>8</v>
      </c>
      <c r="E5384" s="15" t="s">
        <v>8</v>
      </c>
      <c r="G5384" s="15" t="s">
        <v>8</v>
      </c>
      <c r="H5384" s="15" t="s">
        <v>8</v>
      </c>
      <c r="J5384" s="15" t="s">
        <v>8</v>
      </c>
      <c r="L5384" s="15" t="s">
        <v>8</v>
      </c>
      <c r="N5384" s="19" t="str">
        <f>HYPERLINK("http://yeinfo.com/family/I09002854.html", "WILLIAM LEWIS 1563 EN-1634 EN ID:09005708")</f>
        <v>WILLIAM LEWIS 1563 EN-1634 EN ID:09005708</v>
      </c>
      <c r="O5384" s="9"/>
      <c r="P5384" s="9"/>
      <c r="Q5384" s="9"/>
      <c r="R5384" s="9"/>
    </row>
    <row r="5385" spans="3:19" x14ac:dyDescent="0.35">
      <c r="C5385" s="15" t="s">
        <v>8</v>
      </c>
      <c r="E5385" s="15" t="s">
        <v>8</v>
      </c>
      <c r="G5385" s="15" t="s">
        <v>8</v>
      </c>
      <c r="H5385" s="15" t="s">
        <v>8</v>
      </c>
      <c r="J5385" s="15" t="s">
        <v>8</v>
      </c>
      <c r="L5385" s="15" t="s">
        <v>8</v>
      </c>
      <c r="N5385" s="8" t="s">
        <v>3</v>
      </c>
      <c r="O5385" s="8" t="s">
        <v>6</v>
      </c>
    </row>
    <row r="5386" spans="3:19" x14ac:dyDescent="0.35">
      <c r="C5386" s="15" t="s">
        <v>8</v>
      </c>
      <c r="E5386" s="15" t="s">
        <v>8</v>
      </c>
      <c r="G5386" s="15" t="s">
        <v>8</v>
      </c>
      <c r="H5386" s="15" t="s">
        <v>8</v>
      </c>
      <c r="J5386" s="15" t="s">
        <v>8</v>
      </c>
      <c r="L5386" s="15" t="s">
        <v>8</v>
      </c>
      <c r="N5386" s="15" t="s">
        <v>8</v>
      </c>
      <c r="O5386" s="20" t="str">
        <f>HYPERLINK("http://yeinfo.com/family/I09011416.html", "Mrs. ANNE LEWIS 1540 EN-1563 EN ID:09011417")</f>
        <v>Mrs. ANNE LEWIS 1540 EN-1563 EN ID:09011417</v>
      </c>
      <c r="P5386" s="17"/>
      <c r="Q5386" s="17"/>
      <c r="R5386" s="17"/>
      <c r="S5386" s="17"/>
    </row>
    <row r="5387" spans="3:19" x14ac:dyDescent="0.35">
      <c r="C5387" s="15" t="s">
        <v>8</v>
      </c>
      <c r="E5387" s="15" t="s">
        <v>8</v>
      </c>
      <c r="G5387" s="15" t="s">
        <v>8</v>
      </c>
      <c r="H5387" s="15" t="s">
        <v>8</v>
      </c>
      <c r="J5387" s="15" t="s">
        <v>8</v>
      </c>
      <c r="L5387" s="15" t="s">
        <v>8</v>
      </c>
      <c r="N5387" s="15" t="s">
        <v>8</v>
      </c>
    </row>
    <row r="5388" spans="3:19" x14ac:dyDescent="0.35">
      <c r="C5388" s="15" t="s">
        <v>8</v>
      </c>
      <c r="E5388" s="15" t="s">
        <v>8</v>
      </c>
      <c r="G5388" s="15" t="s">
        <v>8</v>
      </c>
      <c r="H5388" s="15" t="s">
        <v>8</v>
      </c>
      <c r="J5388" s="15" t="s">
        <v>8</v>
      </c>
      <c r="L5388" s="15" t="s">
        <v>8</v>
      </c>
      <c r="M5388" s="21" t="str">
        <f>HYPERLINK("http://yeinfo.com/family/I09001427.html", "WILLIAM LEWIS 1609 EN-1671 MA ID:09002854")</f>
        <v>WILLIAM LEWIS 1609 EN-1671 MA ID:09002854</v>
      </c>
      <c r="N5388" s="6"/>
      <c r="O5388" s="6"/>
      <c r="P5388" s="6"/>
      <c r="Q5388" s="6"/>
    </row>
    <row r="5389" spans="3:19" x14ac:dyDescent="0.35">
      <c r="C5389" s="15" t="s">
        <v>8</v>
      </c>
      <c r="E5389" s="15" t="s">
        <v>8</v>
      </c>
      <c r="G5389" s="15" t="s">
        <v>8</v>
      </c>
      <c r="H5389" s="15" t="s">
        <v>8</v>
      </c>
      <c r="J5389" s="15" t="s">
        <v>8</v>
      </c>
      <c r="L5389" s="15" t="s">
        <v>8</v>
      </c>
      <c r="M5389" s="8" t="s">
        <v>3</v>
      </c>
      <c r="N5389" s="15" t="s">
        <v>8</v>
      </c>
    </row>
    <row r="5390" spans="3:19" x14ac:dyDescent="0.35">
      <c r="C5390" s="15" t="s">
        <v>8</v>
      </c>
      <c r="E5390" s="15" t="s">
        <v>8</v>
      </c>
      <c r="G5390" s="15" t="s">
        <v>8</v>
      </c>
      <c r="H5390" s="15" t="s">
        <v>8</v>
      </c>
      <c r="J5390" s="15" t="s">
        <v>8</v>
      </c>
      <c r="L5390" s="15" t="s">
        <v>8</v>
      </c>
      <c r="M5390" s="15" t="s">
        <v>8</v>
      </c>
      <c r="N5390" s="15" t="s">
        <v>8</v>
      </c>
      <c r="O5390" s="19" t="str">
        <f>HYPERLINK("http://yeinfo.com/family/I09005709.html", "WILLIAM TAYLOR 1540 EN-1612 EN ID:09011418")</f>
        <v>WILLIAM TAYLOR 1540 EN-1612 EN ID:09011418</v>
      </c>
      <c r="P5390" s="9"/>
      <c r="Q5390" s="9"/>
      <c r="R5390" s="9"/>
      <c r="S5390" s="9"/>
    </row>
    <row r="5391" spans="3:19" x14ac:dyDescent="0.35">
      <c r="C5391" s="15" t="s">
        <v>8</v>
      </c>
      <c r="E5391" s="15" t="s">
        <v>8</v>
      </c>
      <c r="G5391" s="15" t="s">
        <v>8</v>
      </c>
      <c r="H5391" s="15" t="s">
        <v>8</v>
      </c>
      <c r="J5391" s="15" t="s">
        <v>8</v>
      </c>
      <c r="L5391" s="15" t="s">
        <v>8</v>
      </c>
      <c r="M5391" s="15" t="s">
        <v>8</v>
      </c>
      <c r="N5391" s="8" t="s">
        <v>6</v>
      </c>
      <c r="O5391" s="8" t="s">
        <v>3</v>
      </c>
    </row>
    <row r="5392" spans="3:19" x14ac:dyDescent="0.35">
      <c r="C5392" s="15" t="s">
        <v>8</v>
      </c>
      <c r="E5392" s="15" t="s">
        <v>8</v>
      </c>
      <c r="G5392" s="15" t="s">
        <v>8</v>
      </c>
      <c r="H5392" s="15" t="s">
        <v>8</v>
      </c>
      <c r="J5392" s="15" t="s">
        <v>8</v>
      </c>
      <c r="L5392" s="15" t="s">
        <v>8</v>
      </c>
      <c r="M5392" s="15" t="s">
        <v>8</v>
      </c>
      <c r="N5392" s="20" t="str">
        <f>HYPERLINK("http://yeinfo.com/family/I09011417.html", "ELINOR TAYLOR 1570 EN-1609 EN ID:09005709")</f>
        <v>ELINOR TAYLOR 1570 EN-1609 EN ID:09005709</v>
      </c>
      <c r="O5392" s="17"/>
      <c r="P5392" s="17"/>
      <c r="Q5392" s="17"/>
      <c r="R5392" s="17"/>
    </row>
    <row r="5393" spans="3:19" x14ac:dyDescent="0.35">
      <c r="C5393" s="15" t="s">
        <v>8</v>
      </c>
      <c r="E5393" s="15" t="s">
        <v>8</v>
      </c>
      <c r="G5393" s="15" t="s">
        <v>8</v>
      </c>
      <c r="H5393" s="15" t="s">
        <v>8</v>
      </c>
      <c r="J5393" s="15" t="s">
        <v>8</v>
      </c>
      <c r="L5393" s="15" t="s">
        <v>8</v>
      </c>
      <c r="M5393" s="15" t="s">
        <v>8</v>
      </c>
      <c r="O5393" s="8" t="s">
        <v>6</v>
      </c>
    </row>
    <row r="5394" spans="3:19" x14ac:dyDescent="0.35">
      <c r="C5394" s="15" t="s">
        <v>8</v>
      </c>
      <c r="E5394" s="15" t="s">
        <v>8</v>
      </c>
      <c r="G5394" s="15" t="s">
        <v>8</v>
      </c>
      <c r="H5394" s="15" t="s">
        <v>8</v>
      </c>
      <c r="J5394" s="15" t="s">
        <v>8</v>
      </c>
      <c r="L5394" s="15" t="s">
        <v>8</v>
      </c>
      <c r="M5394" s="15" t="s">
        <v>8</v>
      </c>
      <c r="O5394" s="20" t="str">
        <f>HYPERLINK("http://yeinfo.com/family/I09011418.html", "Mrs. {_?_} TAYLOR 1540 EN-1570 EN ID:09011419")</f>
        <v>Mrs. {_?_} TAYLOR 1540 EN-1570 EN ID:09011419</v>
      </c>
      <c r="P5394" s="17"/>
      <c r="Q5394" s="17"/>
      <c r="R5394" s="17"/>
      <c r="S5394" s="17"/>
    </row>
    <row r="5395" spans="3:19" x14ac:dyDescent="0.35">
      <c r="C5395" s="15" t="s">
        <v>8</v>
      </c>
      <c r="E5395" s="15" t="s">
        <v>8</v>
      </c>
      <c r="G5395" s="15" t="s">
        <v>8</v>
      </c>
      <c r="H5395" s="15" t="s">
        <v>8</v>
      </c>
      <c r="J5395" s="15" t="s">
        <v>8</v>
      </c>
      <c r="L5395" s="8" t="s">
        <v>6</v>
      </c>
      <c r="M5395" s="15" t="s">
        <v>8</v>
      </c>
    </row>
    <row r="5396" spans="3:19" x14ac:dyDescent="0.35">
      <c r="C5396" s="15" t="s">
        <v>8</v>
      </c>
      <c r="E5396" s="15" t="s">
        <v>8</v>
      </c>
      <c r="G5396" s="15" t="s">
        <v>8</v>
      </c>
      <c r="H5396" s="15" t="s">
        <v>8</v>
      </c>
      <c r="J5396" s="15" t="s">
        <v>8</v>
      </c>
      <c r="L5396" s="16" t="str">
        <f>HYPERLINK("http://yeinfo.com/family/I09002853.html", "ABIGAIL HANNAH LEWIS 1649 MA-1689 MA ID:09001427")</f>
        <v>ABIGAIL HANNAH LEWIS 1649 MA-1689 MA ID:09001427</v>
      </c>
      <c r="M5396" s="11"/>
      <c r="N5396" s="11"/>
      <c r="O5396" s="11"/>
      <c r="P5396" s="11"/>
    </row>
    <row r="5397" spans="3:19" x14ac:dyDescent="0.35">
      <c r="C5397" s="15" t="s">
        <v>8</v>
      </c>
      <c r="E5397" s="15" t="s">
        <v>8</v>
      </c>
      <c r="G5397" s="15" t="s">
        <v>8</v>
      </c>
      <c r="H5397" s="15" t="s">
        <v>8</v>
      </c>
      <c r="J5397" s="15" t="s">
        <v>8</v>
      </c>
      <c r="M5397" s="15" t="s">
        <v>8</v>
      </c>
    </row>
    <row r="5398" spans="3:19" x14ac:dyDescent="0.35">
      <c r="C5398" s="15" t="s">
        <v>8</v>
      </c>
      <c r="E5398" s="15" t="s">
        <v>8</v>
      </c>
      <c r="G5398" s="15" t="s">
        <v>8</v>
      </c>
      <c r="H5398" s="15" t="s">
        <v>8</v>
      </c>
      <c r="J5398" s="15" t="s">
        <v>8</v>
      </c>
      <c r="M5398" s="15" t="s">
        <v>8</v>
      </c>
      <c r="N5398" s="5" t="str">
        <f>HYPERLINK("http://yeinfo.com/family/I09002855.html", "JOSEPH WELD 1595 EN-1615  ID:09005710")</f>
        <v>JOSEPH WELD 1595 EN-1615  ID:09005710</v>
      </c>
      <c r="O5398" s="3"/>
      <c r="P5398" s="3"/>
      <c r="Q5398" s="3"/>
      <c r="R5398" s="3"/>
    </row>
    <row r="5399" spans="3:19" x14ac:dyDescent="0.35">
      <c r="C5399" s="15" t="s">
        <v>8</v>
      </c>
      <c r="E5399" s="15" t="s">
        <v>8</v>
      </c>
      <c r="G5399" s="15" t="s">
        <v>8</v>
      </c>
      <c r="H5399" s="15" t="s">
        <v>8</v>
      </c>
      <c r="J5399" s="15" t="s">
        <v>8</v>
      </c>
      <c r="M5399" s="8" t="s">
        <v>6</v>
      </c>
      <c r="N5399" s="8" t="s">
        <v>3</v>
      </c>
    </row>
    <row r="5400" spans="3:19" x14ac:dyDescent="0.35">
      <c r="C5400" s="15" t="s">
        <v>8</v>
      </c>
      <c r="E5400" s="15" t="s">
        <v>8</v>
      </c>
      <c r="G5400" s="15" t="s">
        <v>8</v>
      </c>
      <c r="H5400" s="15" t="s">
        <v>8</v>
      </c>
      <c r="J5400" s="15" t="s">
        <v>8</v>
      </c>
      <c r="M5400" s="22" t="str">
        <f>HYPERLINK("http://yeinfo.com/family/I09011419.html", "AMY\ANN WELD 1615 EN-1649 MA ID:09002855")</f>
        <v>AMY\ANN WELD 1615 EN-1649 MA ID:09002855</v>
      </c>
      <c r="N5400" s="13"/>
      <c r="O5400" s="13"/>
      <c r="P5400" s="13"/>
      <c r="Q5400" s="13"/>
      <c r="R5400" s="13"/>
    </row>
    <row r="5401" spans="3:19" x14ac:dyDescent="0.35">
      <c r="C5401" s="15" t="s">
        <v>8</v>
      </c>
      <c r="E5401" s="15" t="s">
        <v>8</v>
      </c>
      <c r="G5401" s="15" t="s">
        <v>8</v>
      </c>
      <c r="H5401" s="15" t="s">
        <v>8</v>
      </c>
      <c r="J5401" s="15" t="s">
        <v>8</v>
      </c>
      <c r="N5401" s="8" t="s">
        <v>6</v>
      </c>
    </row>
    <row r="5402" spans="3:19" x14ac:dyDescent="0.35">
      <c r="C5402" s="15" t="s">
        <v>8</v>
      </c>
      <c r="E5402" s="15" t="s">
        <v>8</v>
      </c>
      <c r="G5402" s="15" t="s">
        <v>8</v>
      </c>
      <c r="H5402" s="15" t="s">
        <v>8</v>
      </c>
      <c r="J5402" s="15" t="s">
        <v>8</v>
      </c>
      <c r="N5402" s="16" t="str">
        <f>HYPERLINK("http://yeinfo.com/family/I09005710.html", "ELIZABETH WISE 1600 EN-1620  ID:09005711")</f>
        <v>ELIZABETH WISE 1600 EN-1620  ID:09005711</v>
      </c>
      <c r="O5402" s="11"/>
      <c r="P5402" s="11"/>
      <c r="Q5402" s="11"/>
      <c r="R5402" s="11"/>
    </row>
    <row r="5403" spans="3:19" x14ac:dyDescent="0.35">
      <c r="C5403" s="15" t="s">
        <v>8</v>
      </c>
      <c r="E5403" s="15" t="s">
        <v>8</v>
      </c>
      <c r="G5403" s="15" t="s">
        <v>8</v>
      </c>
      <c r="H5403" s="15" t="s">
        <v>8</v>
      </c>
      <c r="J5403" s="15" t="s">
        <v>8</v>
      </c>
    </row>
    <row r="5404" spans="3:19" x14ac:dyDescent="0.35">
      <c r="C5404" s="15" t="s">
        <v>8</v>
      </c>
      <c r="E5404" s="15" t="s">
        <v>8</v>
      </c>
      <c r="G5404" s="15" t="s">
        <v>8</v>
      </c>
      <c r="H5404" s="15" t="s">
        <v>8</v>
      </c>
      <c r="I5404" s="5" t="str">
        <f>HYPERLINK("http://yeinfo.com/family/I09000089.html", "DAVID MOORE 1742 -1808  ID:09000178")</f>
        <v>DAVID MOORE 1742 -1808  ID:09000178</v>
      </c>
      <c r="J5404" s="3"/>
      <c r="K5404" s="3"/>
      <c r="L5404" s="3"/>
      <c r="M5404" s="3"/>
    </row>
    <row r="5405" spans="3:19" x14ac:dyDescent="0.35">
      <c r="C5405" s="15" t="s">
        <v>8</v>
      </c>
      <c r="E5405" s="15" t="s">
        <v>8</v>
      </c>
      <c r="G5405" s="15" t="s">
        <v>8</v>
      </c>
      <c r="H5405" s="15" t="s">
        <v>8</v>
      </c>
      <c r="I5405" s="8" t="s">
        <v>3</v>
      </c>
      <c r="J5405" s="15" t="s">
        <v>8</v>
      </c>
    </row>
    <row r="5406" spans="3:19" x14ac:dyDescent="0.35">
      <c r="C5406" s="15" t="s">
        <v>8</v>
      </c>
      <c r="E5406" s="15" t="s">
        <v>8</v>
      </c>
      <c r="G5406" s="15" t="s">
        <v>8</v>
      </c>
      <c r="H5406" s="15" t="s">
        <v>8</v>
      </c>
      <c r="I5406" s="15" t="s">
        <v>8</v>
      </c>
      <c r="J5406" s="15" t="s">
        <v>8</v>
      </c>
      <c r="N5406" s="19" t="str">
        <f>HYPERLINK("http://yeinfo.com/family/I09002856.html", "WALTER NICHOLS &lt;2&gt; 1582 EN-1624 EN ID:09005712")</f>
        <v>WALTER NICHOLS &lt;2&gt; 1582 EN-1624 EN ID:09005712</v>
      </c>
      <c r="O5406" s="9"/>
      <c r="P5406" s="9"/>
      <c r="Q5406" s="9"/>
      <c r="R5406" s="9"/>
    </row>
    <row r="5407" spans="3:19" x14ac:dyDescent="0.35">
      <c r="C5407" s="15" t="s">
        <v>8</v>
      </c>
      <c r="E5407" s="15" t="s">
        <v>8</v>
      </c>
      <c r="G5407" s="15" t="s">
        <v>8</v>
      </c>
      <c r="H5407" s="15" t="s">
        <v>8</v>
      </c>
      <c r="I5407" s="15" t="s">
        <v>8</v>
      </c>
      <c r="J5407" s="15" t="s">
        <v>8</v>
      </c>
      <c r="N5407" s="8" t="s">
        <v>3</v>
      </c>
    </row>
    <row r="5408" spans="3:19" x14ac:dyDescent="0.35">
      <c r="C5408" s="15" t="s">
        <v>8</v>
      </c>
      <c r="E5408" s="15" t="s">
        <v>8</v>
      </c>
      <c r="G5408" s="15" t="s">
        <v>8</v>
      </c>
      <c r="H5408" s="15" t="s">
        <v>8</v>
      </c>
      <c r="I5408" s="15" t="s">
        <v>8</v>
      </c>
      <c r="J5408" s="15" t="s">
        <v>8</v>
      </c>
      <c r="M5408" s="5" t="str">
        <f>HYPERLINK("http://yeinfo.com/family/I09001428.html", "THOMAS NICHOLS 1615 EN-1696  ID:09002856")</f>
        <v>THOMAS NICHOLS 1615 EN-1696  ID:09002856</v>
      </c>
      <c r="N5408" s="3"/>
      <c r="O5408" s="3"/>
      <c r="P5408" s="3"/>
      <c r="Q5408" s="3"/>
    </row>
    <row r="5409" spans="3:19" x14ac:dyDescent="0.35">
      <c r="C5409" s="15" t="s">
        <v>8</v>
      </c>
      <c r="E5409" s="15" t="s">
        <v>8</v>
      </c>
      <c r="G5409" s="15" t="s">
        <v>8</v>
      </c>
      <c r="H5409" s="15" t="s">
        <v>8</v>
      </c>
      <c r="I5409" s="15" t="s">
        <v>8</v>
      </c>
      <c r="J5409" s="15" t="s">
        <v>8</v>
      </c>
      <c r="M5409" s="8" t="s">
        <v>3</v>
      </c>
      <c r="N5409" s="8" t="s">
        <v>6</v>
      </c>
    </row>
    <row r="5410" spans="3:19" x14ac:dyDescent="0.35">
      <c r="C5410" s="15" t="s">
        <v>8</v>
      </c>
      <c r="E5410" s="15" t="s">
        <v>8</v>
      </c>
      <c r="G5410" s="15" t="s">
        <v>8</v>
      </c>
      <c r="H5410" s="15" t="s">
        <v>8</v>
      </c>
      <c r="I5410" s="15" t="s">
        <v>8</v>
      </c>
      <c r="J5410" s="15" t="s">
        <v>8</v>
      </c>
      <c r="M5410" s="15" t="s">
        <v>8</v>
      </c>
      <c r="N5410" s="20" t="str">
        <f>HYPERLINK("http://yeinfo.com/family/I09005712.html", "ELIZABETH CATTLYN &lt;2&gt; 1585 EN-1628 EN ID:09005713")</f>
        <v>ELIZABETH CATTLYN &lt;2&gt; 1585 EN-1628 EN ID:09005713</v>
      </c>
      <c r="O5410" s="17"/>
      <c r="P5410" s="17"/>
      <c r="Q5410" s="17"/>
      <c r="R5410" s="17"/>
    </row>
    <row r="5411" spans="3:19" x14ac:dyDescent="0.35">
      <c r="C5411" s="15" t="s">
        <v>8</v>
      </c>
      <c r="E5411" s="15" t="s">
        <v>8</v>
      </c>
      <c r="G5411" s="15" t="s">
        <v>8</v>
      </c>
      <c r="H5411" s="15" t="s">
        <v>8</v>
      </c>
      <c r="I5411" s="15" t="s">
        <v>8</v>
      </c>
      <c r="J5411" s="15" t="s">
        <v>8</v>
      </c>
      <c r="M5411" s="15" t="s">
        <v>8</v>
      </c>
    </row>
    <row r="5412" spans="3:19" x14ac:dyDescent="0.35">
      <c r="C5412" s="15" t="s">
        <v>8</v>
      </c>
      <c r="E5412" s="15" t="s">
        <v>8</v>
      </c>
      <c r="G5412" s="15" t="s">
        <v>8</v>
      </c>
      <c r="H5412" s="15" t="s">
        <v>8</v>
      </c>
      <c r="I5412" s="15" t="s">
        <v>8</v>
      </c>
      <c r="J5412" s="15" t="s">
        <v>8</v>
      </c>
      <c r="L5412" s="5" t="str">
        <f>HYPERLINK("http://yeinfo.com/family/I09000714.html", "ISRAEL WINSLOW NICHOLS 1650 MA-1734 MA ID:09001428")</f>
        <v>ISRAEL WINSLOW NICHOLS 1650 MA-1734 MA ID:09001428</v>
      </c>
      <c r="M5412" s="3"/>
      <c r="N5412" s="3"/>
      <c r="O5412" s="3"/>
      <c r="P5412" s="3"/>
    </row>
    <row r="5413" spans="3:19" x14ac:dyDescent="0.35">
      <c r="C5413" s="15" t="s">
        <v>8</v>
      </c>
      <c r="E5413" s="15" t="s">
        <v>8</v>
      </c>
      <c r="G5413" s="15" t="s">
        <v>8</v>
      </c>
      <c r="H5413" s="15" t="s">
        <v>8</v>
      </c>
      <c r="I5413" s="15" t="s">
        <v>8</v>
      </c>
      <c r="J5413" s="15" t="s">
        <v>8</v>
      </c>
      <c r="L5413" s="8" t="s">
        <v>3</v>
      </c>
      <c r="M5413" s="15" t="s">
        <v>8</v>
      </c>
    </row>
    <row r="5414" spans="3:19" x14ac:dyDescent="0.35">
      <c r="C5414" s="15" t="s">
        <v>8</v>
      </c>
      <c r="E5414" s="15" t="s">
        <v>8</v>
      </c>
      <c r="G5414" s="15" t="s">
        <v>8</v>
      </c>
      <c r="H5414" s="15" t="s">
        <v>8</v>
      </c>
      <c r="I5414" s="15" t="s">
        <v>8</v>
      </c>
      <c r="J5414" s="15" t="s">
        <v>8</v>
      </c>
      <c r="L5414" s="15" t="s">
        <v>8</v>
      </c>
      <c r="M5414" s="15" t="s">
        <v>8</v>
      </c>
      <c r="O5414" s="19" t="str">
        <f>HYPERLINK("http://yeinfo.com/family/I09005714.html", "RALPH JOSLIN &lt;2&gt; 1556 EN-1604 EN ID:09011428")</f>
        <v>RALPH JOSLIN &lt;2&gt; 1556 EN-1604 EN ID:09011428</v>
      </c>
      <c r="P5414" s="9"/>
      <c r="Q5414" s="9"/>
      <c r="R5414" s="9"/>
      <c r="S5414" s="9"/>
    </row>
    <row r="5415" spans="3:19" x14ac:dyDescent="0.35">
      <c r="C5415" s="15" t="s">
        <v>8</v>
      </c>
      <c r="E5415" s="15" t="s">
        <v>8</v>
      </c>
      <c r="G5415" s="15" t="s">
        <v>8</v>
      </c>
      <c r="H5415" s="15" t="s">
        <v>8</v>
      </c>
      <c r="I5415" s="15" t="s">
        <v>8</v>
      </c>
      <c r="J5415" s="15" t="s">
        <v>8</v>
      </c>
      <c r="L5415" s="15" t="s">
        <v>8</v>
      </c>
      <c r="M5415" s="15" t="s">
        <v>8</v>
      </c>
      <c r="O5415" s="8" t="s">
        <v>3</v>
      </c>
    </row>
    <row r="5416" spans="3:19" x14ac:dyDescent="0.35">
      <c r="C5416" s="15" t="s">
        <v>8</v>
      </c>
      <c r="E5416" s="15" t="s">
        <v>8</v>
      </c>
      <c r="G5416" s="15" t="s">
        <v>8</v>
      </c>
      <c r="H5416" s="15" t="s">
        <v>8</v>
      </c>
      <c r="I5416" s="15" t="s">
        <v>8</v>
      </c>
      <c r="J5416" s="15" t="s">
        <v>8</v>
      </c>
      <c r="L5416" s="15" t="s">
        <v>8</v>
      </c>
      <c r="M5416" s="15" t="s">
        <v>8</v>
      </c>
      <c r="N5416" s="21" t="str">
        <f>HYPERLINK("http://yeinfo.com/family/I09002857.html", "THOMAS JOSLIN &lt;2&gt; 1592 EN-1661 MA ID:09005714")</f>
        <v>THOMAS JOSLIN &lt;2&gt; 1592 EN-1661 MA ID:09005714</v>
      </c>
      <c r="O5416" s="6"/>
      <c r="P5416" s="6"/>
      <c r="Q5416" s="6"/>
      <c r="R5416" s="6"/>
    </row>
    <row r="5417" spans="3:19" x14ac:dyDescent="0.35">
      <c r="C5417" s="15" t="s">
        <v>8</v>
      </c>
      <c r="E5417" s="15" t="s">
        <v>8</v>
      </c>
      <c r="G5417" s="15" t="s">
        <v>8</v>
      </c>
      <c r="H5417" s="15" t="s">
        <v>8</v>
      </c>
      <c r="I5417" s="15" t="s">
        <v>8</v>
      </c>
      <c r="J5417" s="15" t="s">
        <v>8</v>
      </c>
      <c r="L5417" s="15" t="s">
        <v>8</v>
      </c>
      <c r="M5417" s="15" t="s">
        <v>8</v>
      </c>
      <c r="N5417" s="8" t="s">
        <v>3</v>
      </c>
      <c r="O5417" s="8" t="s">
        <v>6</v>
      </c>
    </row>
    <row r="5418" spans="3:19" x14ac:dyDescent="0.35">
      <c r="C5418" s="15" t="s">
        <v>8</v>
      </c>
      <c r="E5418" s="15" t="s">
        <v>8</v>
      </c>
      <c r="G5418" s="15" t="s">
        <v>8</v>
      </c>
      <c r="H5418" s="15" t="s">
        <v>8</v>
      </c>
      <c r="I5418" s="15" t="s">
        <v>8</v>
      </c>
      <c r="J5418" s="15" t="s">
        <v>8</v>
      </c>
      <c r="L5418" s="15" t="s">
        <v>8</v>
      </c>
      <c r="M5418" s="15" t="s">
        <v>8</v>
      </c>
      <c r="N5418" s="15" t="s">
        <v>8</v>
      </c>
      <c r="O5418" s="20" t="str">
        <f>HYPERLINK("http://yeinfo.com/family/I09011428.html", "MARY BRIGHT &lt;2&gt; 1560 EN-1604 EN ID:09011429")</f>
        <v>MARY BRIGHT &lt;2&gt; 1560 EN-1604 EN ID:09011429</v>
      </c>
      <c r="P5418" s="17"/>
      <c r="Q5418" s="17"/>
      <c r="R5418" s="17"/>
      <c r="S5418" s="17"/>
    </row>
    <row r="5419" spans="3:19" x14ac:dyDescent="0.35">
      <c r="C5419" s="15" t="s">
        <v>8</v>
      </c>
      <c r="E5419" s="15" t="s">
        <v>8</v>
      </c>
      <c r="G5419" s="15" t="s">
        <v>8</v>
      </c>
      <c r="H5419" s="15" t="s">
        <v>8</v>
      </c>
      <c r="I5419" s="15" t="s">
        <v>8</v>
      </c>
      <c r="J5419" s="15" t="s">
        <v>8</v>
      </c>
      <c r="L5419" s="15" t="s">
        <v>8</v>
      </c>
      <c r="M5419" s="8" t="s">
        <v>6</v>
      </c>
      <c r="N5419" s="15" t="s">
        <v>8</v>
      </c>
    </row>
    <row r="5420" spans="3:19" x14ac:dyDescent="0.35">
      <c r="C5420" s="15" t="s">
        <v>8</v>
      </c>
      <c r="E5420" s="15" t="s">
        <v>8</v>
      </c>
      <c r="G5420" s="15" t="s">
        <v>8</v>
      </c>
      <c r="H5420" s="15" t="s">
        <v>8</v>
      </c>
      <c r="I5420" s="15" t="s">
        <v>8</v>
      </c>
      <c r="J5420" s="15" t="s">
        <v>8</v>
      </c>
      <c r="L5420" s="15" t="s">
        <v>8</v>
      </c>
      <c r="M5420" s="22" t="str">
        <f>HYPERLINK("http://yeinfo.com/family/I09005713.html", "REBECCA JOSLIN 1617 EN-1675 MA ID:09002857")</f>
        <v>REBECCA JOSLIN 1617 EN-1675 MA ID:09002857</v>
      </c>
      <c r="N5420" s="13"/>
      <c r="O5420" s="13"/>
      <c r="P5420" s="13"/>
      <c r="Q5420" s="13"/>
    </row>
    <row r="5421" spans="3:19" x14ac:dyDescent="0.35">
      <c r="C5421" s="15" t="s">
        <v>8</v>
      </c>
      <c r="E5421" s="15" t="s">
        <v>8</v>
      </c>
      <c r="G5421" s="15" t="s">
        <v>8</v>
      </c>
      <c r="H5421" s="15" t="s">
        <v>8</v>
      </c>
      <c r="I5421" s="15" t="s">
        <v>8</v>
      </c>
      <c r="J5421" s="15" t="s">
        <v>8</v>
      </c>
      <c r="L5421" s="15" t="s">
        <v>8</v>
      </c>
      <c r="N5421" s="8" t="s">
        <v>6</v>
      </c>
    </row>
    <row r="5422" spans="3:19" x14ac:dyDescent="0.35">
      <c r="C5422" s="15" t="s">
        <v>8</v>
      </c>
      <c r="E5422" s="15" t="s">
        <v>8</v>
      </c>
      <c r="G5422" s="15" t="s">
        <v>8</v>
      </c>
      <c r="H5422" s="15" t="s">
        <v>8</v>
      </c>
      <c r="I5422" s="15" t="s">
        <v>8</v>
      </c>
      <c r="J5422" s="15" t="s">
        <v>8</v>
      </c>
      <c r="L5422" s="15" t="s">
        <v>8</v>
      </c>
      <c r="N5422" s="22" t="str">
        <f>HYPERLINK("http://yeinfo.com/family/I09011429.html", "REBECCA JUDE &lt;2&gt; 1595 EN-1675 MA ID:09005715")</f>
        <v>REBECCA JUDE &lt;2&gt; 1595 EN-1675 MA ID:09005715</v>
      </c>
      <c r="O5422" s="13"/>
      <c r="P5422" s="13"/>
      <c r="Q5422" s="13"/>
      <c r="R5422" s="13"/>
    </row>
    <row r="5423" spans="3:19" x14ac:dyDescent="0.35">
      <c r="C5423" s="15" t="s">
        <v>8</v>
      </c>
      <c r="E5423" s="15" t="s">
        <v>8</v>
      </c>
      <c r="G5423" s="15" t="s">
        <v>8</v>
      </c>
      <c r="H5423" s="15" t="s">
        <v>8</v>
      </c>
      <c r="I5423" s="15" t="s">
        <v>8</v>
      </c>
      <c r="J5423" s="15" t="s">
        <v>8</v>
      </c>
      <c r="L5423" s="15" t="s">
        <v>8</v>
      </c>
    </row>
    <row r="5424" spans="3:19" x14ac:dyDescent="0.35">
      <c r="C5424" s="15" t="s">
        <v>8</v>
      </c>
      <c r="E5424" s="15" t="s">
        <v>8</v>
      </c>
      <c r="G5424" s="15" t="s">
        <v>8</v>
      </c>
      <c r="H5424" s="15" t="s">
        <v>8</v>
      </c>
      <c r="I5424" s="15" t="s">
        <v>8</v>
      </c>
      <c r="J5424" s="15" t="s">
        <v>8</v>
      </c>
      <c r="K5424" s="5" t="str">
        <f>HYPERLINK("http://yeinfo.com/family/I09000357.html", "JAZANIAH ROGER NICHOLS 1691 -1755  ID:09000714")</f>
        <v>JAZANIAH ROGER NICHOLS 1691 -1755  ID:09000714</v>
      </c>
      <c r="L5424" s="3"/>
      <c r="M5424" s="3"/>
      <c r="N5424" s="3"/>
      <c r="O5424" s="3"/>
    </row>
    <row r="5425" spans="3:19" x14ac:dyDescent="0.35">
      <c r="C5425" s="15" t="s">
        <v>8</v>
      </c>
      <c r="E5425" s="15" t="s">
        <v>8</v>
      </c>
      <c r="G5425" s="15" t="s">
        <v>8</v>
      </c>
      <c r="H5425" s="15" t="s">
        <v>8</v>
      </c>
      <c r="I5425" s="15" t="s">
        <v>8</v>
      </c>
      <c r="J5425" s="15" t="s">
        <v>8</v>
      </c>
      <c r="K5425" s="8" t="s">
        <v>3</v>
      </c>
      <c r="L5425" s="15" t="s">
        <v>8</v>
      </c>
    </row>
    <row r="5426" spans="3:19" x14ac:dyDescent="0.35">
      <c r="C5426" s="15" t="s">
        <v>8</v>
      </c>
      <c r="E5426" s="15" t="s">
        <v>8</v>
      </c>
      <c r="G5426" s="15" t="s">
        <v>8</v>
      </c>
      <c r="H5426" s="15" t="s">
        <v>8</v>
      </c>
      <c r="I5426" s="15" t="s">
        <v>8</v>
      </c>
      <c r="J5426" s="15" t="s">
        <v>8</v>
      </c>
      <c r="K5426" s="15" t="s">
        <v>8</v>
      </c>
      <c r="L5426" s="15" t="s">
        <v>8</v>
      </c>
      <c r="O5426" s="19" t="str">
        <f>HYPERLINK("http://yeinfo.com/family/I09005716.html", "ROGER SUMNER 1577 EN-1608 EN ID:09011432")</f>
        <v>ROGER SUMNER 1577 EN-1608 EN ID:09011432</v>
      </c>
      <c r="P5426" s="9"/>
      <c r="Q5426" s="9"/>
      <c r="R5426" s="9"/>
      <c r="S5426" s="9"/>
    </row>
    <row r="5427" spans="3:19" x14ac:dyDescent="0.35">
      <c r="C5427" s="15" t="s">
        <v>8</v>
      </c>
      <c r="E5427" s="15" t="s">
        <v>8</v>
      </c>
      <c r="G5427" s="15" t="s">
        <v>8</v>
      </c>
      <c r="H5427" s="15" t="s">
        <v>8</v>
      </c>
      <c r="I5427" s="15" t="s">
        <v>8</v>
      </c>
      <c r="J5427" s="15" t="s">
        <v>8</v>
      </c>
      <c r="K5427" s="15" t="s">
        <v>8</v>
      </c>
      <c r="L5427" s="15" t="s">
        <v>8</v>
      </c>
      <c r="O5427" s="8" t="s">
        <v>3</v>
      </c>
    </row>
    <row r="5428" spans="3:19" x14ac:dyDescent="0.35">
      <c r="C5428" s="15" t="s">
        <v>8</v>
      </c>
      <c r="E5428" s="15" t="s">
        <v>8</v>
      </c>
      <c r="G5428" s="15" t="s">
        <v>8</v>
      </c>
      <c r="H5428" s="15" t="s">
        <v>8</v>
      </c>
      <c r="I5428" s="15" t="s">
        <v>8</v>
      </c>
      <c r="J5428" s="15" t="s">
        <v>8</v>
      </c>
      <c r="K5428" s="15" t="s">
        <v>8</v>
      </c>
      <c r="L5428" s="15" t="s">
        <v>8</v>
      </c>
      <c r="N5428" s="5" t="str">
        <f>HYPERLINK("http://yeinfo.com/family/I09002858.html", "WILLIAM SUMNER 1605 EN-1688  ID:09005716")</f>
        <v>WILLIAM SUMNER 1605 EN-1688  ID:09005716</v>
      </c>
      <c r="O5428" s="3"/>
      <c r="P5428" s="3"/>
      <c r="Q5428" s="3"/>
      <c r="R5428" s="3"/>
    </row>
    <row r="5429" spans="3:19" x14ac:dyDescent="0.35">
      <c r="C5429" s="15" t="s">
        <v>8</v>
      </c>
      <c r="E5429" s="15" t="s">
        <v>8</v>
      </c>
      <c r="G5429" s="15" t="s">
        <v>8</v>
      </c>
      <c r="H5429" s="15" t="s">
        <v>8</v>
      </c>
      <c r="I5429" s="15" t="s">
        <v>8</v>
      </c>
      <c r="J5429" s="15" t="s">
        <v>8</v>
      </c>
      <c r="K5429" s="15" t="s">
        <v>8</v>
      </c>
      <c r="L5429" s="15" t="s">
        <v>8</v>
      </c>
      <c r="N5429" s="8" t="s">
        <v>3</v>
      </c>
      <c r="O5429" s="8" t="s">
        <v>6</v>
      </c>
    </row>
    <row r="5430" spans="3:19" x14ac:dyDescent="0.35">
      <c r="C5430" s="15" t="s">
        <v>8</v>
      </c>
      <c r="E5430" s="15" t="s">
        <v>8</v>
      </c>
      <c r="G5430" s="15" t="s">
        <v>8</v>
      </c>
      <c r="H5430" s="15" t="s">
        <v>8</v>
      </c>
      <c r="I5430" s="15" t="s">
        <v>8</v>
      </c>
      <c r="J5430" s="15" t="s">
        <v>8</v>
      </c>
      <c r="K5430" s="15" t="s">
        <v>8</v>
      </c>
      <c r="L5430" s="15" t="s">
        <v>8</v>
      </c>
      <c r="N5430" s="15" t="s">
        <v>8</v>
      </c>
      <c r="O5430" s="22" t="str">
        <f>HYPERLINK("http://yeinfo.com/family/I09011432.html", "JOANE FRANKLIN 1579 EN-1605 MA ID:09011433")</f>
        <v>JOANE FRANKLIN 1579 EN-1605 MA ID:09011433</v>
      </c>
      <c r="P5430" s="13"/>
      <c r="Q5430" s="13"/>
      <c r="R5430" s="13"/>
      <c r="S5430" s="13"/>
    </row>
    <row r="5431" spans="3:19" x14ac:dyDescent="0.35">
      <c r="C5431" s="15" t="s">
        <v>8</v>
      </c>
      <c r="E5431" s="15" t="s">
        <v>8</v>
      </c>
      <c r="G5431" s="15" t="s">
        <v>8</v>
      </c>
      <c r="H5431" s="15" t="s">
        <v>8</v>
      </c>
      <c r="I5431" s="15" t="s">
        <v>8</v>
      </c>
      <c r="J5431" s="15" t="s">
        <v>8</v>
      </c>
      <c r="K5431" s="15" t="s">
        <v>8</v>
      </c>
      <c r="L5431" s="15" t="s">
        <v>8</v>
      </c>
      <c r="N5431" s="15" t="s">
        <v>8</v>
      </c>
    </row>
    <row r="5432" spans="3:19" x14ac:dyDescent="0.35">
      <c r="C5432" s="15" t="s">
        <v>8</v>
      </c>
      <c r="E5432" s="15" t="s">
        <v>8</v>
      </c>
      <c r="G5432" s="15" t="s">
        <v>8</v>
      </c>
      <c r="H5432" s="15" t="s">
        <v>8</v>
      </c>
      <c r="I5432" s="15" t="s">
        <v>8</v>
      </c>
      <c r="J5432" s="15" t="s">
        <v>8</v>
      </c>
      <c r="K5432" s="15" t="s">
        <v>8</v>
      </c>
      <c r="L5432" s="15" t="s">
        <v>8</v>
      </c>
      <c r="M5432" s="5" t="str">
        <f>HYPERLINK("http://yeinfo.com/family/I09001429.html", "ROGER SUMNER 1632 EN-1698  ID:09002858")</f>
        <v>ROGER SUMNER 1632 EN-1698  ID:09002858</v>
      </c>
      <c r="N5432" s="3"/>
      <c r="O5432" s="3"/>
      <c r="P5432" s="3"/>
      <c r="Q5432" s="3"/>
    </row>
    <row r="5433" spans="3:19" x14ac:dyDescent="0.35">
      <c r="C5433" s="15" t="s">
        <v>8</v>
      </c>
      <c r="E5433" s="15" t="s">
        <v>8</v>
      </c>
      <c r="G5433" s="15" t="s">
        <v>8</v>
      </c>
      <c r="H5433" s="15" t="s">
        <v>8</v>
      </c>
      <c r="I5433" s="15" t="s">
        <v>8</v>
      </c>
      <c r="J5433" s="15" t="s">
        <v>8</v>
      </c>
      <c r="K5433" s="15" t="s">
        <v>8</v>
      </c>
      <c r="L5433" s="15" t="s">
        <v>8</v>
      </c>
      <c r="M5433" s="8" t="s">
        <v>3</v>
      </c>
      <c r="N5433" s="8" t="s">
        <v>6</v>
      </c>
    </row>
    <row r="5434" spans="3:19" x14ac:dyDescent="0.35">
      <c r="C5434" s="15" t="s">
        <v>8</v>
      </c>
      <c r="E5434" s="15" t="s">
        <v>8</v>
      </c>
      <c r="G5434" s="15" t="s">
        <v>8</v>
      </c>
      <c r="H5434" s="15" t="s">
        <v>8</v>
      </c>
      <c r="I5434" s="15" t="s">
        <v>8</v>
      </c>
      <c r="J5434" s="15" t="s">
        <v>8</v>
      </c>
      <c r="K5434" s="15" t="s">
        <v>8</v>
      </c>
      <c r="L5434" s="15" t="s">
        <v>8</v>
      </c>
      <c r="M5434" s="15" t="s">
        <v>8</v>
      </c>
      <c r="N5434" s="16" t="str">
        <f>HYPERLINK("http://yeinfo.com/family/I09011433.html", "MARY WEST 1606 EN-1676  ID:09005717")</f>
        <v>MARY WEST 1606 EN-1676  ID:09005717</v>
      </c>
      <c r="O5434" s="11"/>
      <c r="P5434" s="11"/>
      <c r="Q5434" s="11"/>
      <c r="R5434" s="11"/>
    </row>
    <row r="5435" spans="3:19" x14ac:dyDescent="0.35">
      <c r="C5435" s="15" t="s">
        <v>8</v>
      </c>
      <c r="E5435" s="15" t="s">
        <v>8</v>
      </c>
      <c r="G5435" s="15" t="s">
        <v>8</v>
      </c>
      <c r="H5435" s="15" t="s">
        <v>8</v>
      </c>
      <c r="I5435" s="15" t="s">
        <v>8</v>
      </c>
      <c r="J5435" s="15" t="s">
        <v>8</v>
      </c>
      <c r="K5435" s="15" t="s">
        <v>8</v>
      </c>
      <c r="L5435" s="8" t="s">
        <v>6</v>
      </c>
      <c r="M5435" s="15" t="s">
        <v>8</v>
      </c>
    </row>
    <row r="5436" spans="3:19" x14ac:dyDescent="0.35">
      <c r="C5436" s="15" t="s">
        <v>8</v>
      </c>
      <c r="E5436" s="15" t="s">
        <v>8</v>
      </c>
      <c r="G5436" s="15" t="s">
        <v>8</v>
      </c>
      <c r="H5436" s="15" t="s">
        <v>8</v>
      </c>
      <c r="I5436" s="15" t="s">
        <v>8</v>
      </c>
      <c r="J5436" s="15" t="s">
        <v>8</v>
      </c>
      <c r="K5436" s="15" t="s">
        <v>8</v>
      </c>
      <c r="L5436" s="16" t="str">
        <f>HYPERLINK("http://yeinfo.com/family/I09005715.html", "MARY SUMNER 1665 MA-1724 MA ID:09001429")</f>
        <v>MARY SUMNER 1665 MA-1724 MA ID:09001429</v>
      </c>
      <c r="M5436" s="11"/>
      <c r="N5436" s="11"/>
      <c r="O5436" s="11"/>
      <c r="P5436" s="11"/>
    </row>
    <row r="5437" spans="3:19" x14ac:dyDescent="0.35">
      <c r="C5437" s="15" t="s">
        <v>8</v>
      </c>
      <c r="E5437" s="15" t="s">
        <v>8</v>
      </c>
      <c r="G5437" s="15" t="s">
        <v>8</v>
      </c>
      <c r="H5437" s="15" t="s">
        <v>8</v>
      </c>
      <c r="I5437" s="15" t="s">
        <v>8</v>
      </c>
      <c r="J5437" s="15" t="s">
        <v>8</v>
      </c>
      <c r="K5437" s="15" t="s">
        <v>8</v>
      </c>
      <c r="M5437" s="15" t="s">
        <v>8</v>
      </c>
    </row>
    <row r="5438" spans="3:19" x14ac:dyDescent="0.35">
      <c r="C5438" s="15" t="s">
        <v>8</v>
      </c>
      <c r="E5438" s="15" t="s">
        <v>8</v>
      </c>
      <c r="G5438" s="15" t="s">
        <v>8</v>
      </c>
      <c r="H5438" s="15" t="s">
        <v>8</v>
      </c>
      <c r="I5438" s="15" t="s">
        <v>8</v>
      </c>
      <c r="J5438" s="15" t="s">
        <v>8</v>
      </c>
      <c r="K5438" s="15" t="s">
        <v>8</v>
      </c>
      <c r="M5438" s="15" t="s">
        <v>8</v>
      </c>
      <c r="O5438" s="19" t="str">
        <f>HYPERLINK("http://yeinfo.com/family/I09011428.html", "RALPH JOSLIN &lt;2&gt; 1556 EN-1604 EN ID:09011428")</f>
        <v>RALPH JOSLIN &lt;2&gt; 1556 EN-1604 EN ID:09011428</v>
      </c>
      <c r="P5438" s="9"/>
      <c r="Q5438" s="9"/>
      <c r="R5438" s="9"/>
      <c r="S5438" s="9"/>
    </row>
    <row r="5439" spans="3:19" x14ac:dyDescent="0.35">
      <c r="C5439" s="15" t="s">
        <v>8</v>
      </c>
      <c r="E5439" s="15" t="s">
        <v>8</v>
      </c>
      <c r="G5439" s="15" t="s">
        <v>8</v>
      </c>
      <c r="H5439" s="15" t="s">
        <v>8</v>
      </c>
      <c r="I5439" s="15" t="s">
        <v>8</v>
      </c>
      <c r="J5439" s="15" t="s">
        <v>8</v>
      </c>
      <c r="K5439" s="15" t="s">
        <v>8</v>
      </c>
      <c r="M5439" s="15" t="s">
        <v>8</v>
      </c>
      <c r="O5439" s="8" t="s">
        <v>3</v>
      </c>
    </row>
    <row r="5440" spans="3:19" x14ac:dyDescent="0.35">
      <c r="C5440" s="15" t="s">
        <v>8</v>
      </c>
      <c r="E5440" s="15" t="s">
        <v>8</v>
      </c>
      <c r="G5440" s="15" t="s">
        <v>8</v>
      </c>
      <c r="H5440" s="15" t="s">
        <v>8</v>
      </c>
      <c r="I5440" s="15" t="s">
        <v>8</v>
      </c>
      <c r="J5440" s="15" t="s">
        <v>8</v>
      </c>
      <c r="K5440" s="15" t="s">
        <v>8</v>
      </c>
      <c r="M5440" s="15" t="s">
        <v>8</v>
      </c>
      <c r="N5440" s="21" t="str">
        <f>HYPERLINK("http://yeinfo.com/family/I09005714.html", "THOMAS JOSLIN &lt;2&gt; 1592 EN-1661 MA ID:09005714")</f>
        <v>THOMAS JOSLIN &lt;2&gt; 1592 EN-1661 MA ID:09005714</v>
      </c>
      <c r="O5440" s="6"/>
      <c r="P5440" s="6"/>
      <c r="Q5440" s="6"/>
      <c r="R5440" s="6"/>
    </row>
    <row r="5441" spans="3:19" x14ac:dyDescent="0.35">
      <c r="C5441" s="15" t="s">
        <v>8</v>
      </c>
      <c r="E5441" s="15" t="s">
        <v>8</v>
      </c>
      <c r="G5441" s="15" t="s">
        <v>8</v>
      </c>
      <c r="H5441" s="15" t="s">
        <v>8</v>
      </c>
      <c r="I5441" s="15" t="s">
        <v>8</v>
      </c>
      <c r="J5441" s="15" t="s">
        <v>8</v>
      </c>
      <c r="K5441" s="15" t="s">
        <v>8</v>
      </c>
      <c r="M5441" s="15" t="s">
        <v>8</v>
      </c>
      <c r="N5441" s="8" t="s">
        <v>3</v>
      </c>
      <c r="O5441" s="8" t="s">
        <v>6</v>
      </c>
    </row>
    <row r="5442" spans="3:19" x14ac:dyDescent="0.35">
      <c r="C5442" s="15" t="s">
        <v>8</v>
      </c>
      <c r="E5442" s="15" t="s">
        <v>8</v>
      </c>
      <c r="G5442" s="15" t="s">
        <v>8</v>
      </c>
      <c r="H5442" s="15" t="s">
        <v>8</v>
      </c>
      <c r="I5442" s="15" t="s">
        <v>8</v>
      </c>
      <c r="J5442" s="15" t="s">
        <v>8</v>
      </c>
      <c r="K5442" s="15" t="s">
        <v>8</v>
      </c>
      <c r="M5442" s="15" t="s">
        <v>8</v>
      </c>
      <c r="N5442" s="15" t="s">
        <v>8</v>
      </c>
      <c r="O5442" s="20" t="str">
        <f>HYPERLINK("http://yeinfo.com/family/I09011429.html", "MARY BRIGHT &lt;2&gt; 1560 EN-1604 EN ID:09011429")</f>
        <v>MARY BRIGHT &lt;2&gt; 1560 EN-1604 EN ID:09011429</v>
      </c>
      <c r="P5442" s="17"/>
      <c r="Q5442" s="17"/>
      <c r="R5442" s="17"/>
      <c r="S5442" s="17"/>
    </row>
    <row r="5443" spans="3:19" x14ac:dyDescent="0.35">
      <c r="C5443" s="15" t="s">
        <v>8</v>
      </c>
      <c r="E5443" s="15" t="s">
        <v>8</v>
      </c>
      <c r="G5443" s="15" t="s">
        <v>8</v>
      </c>
      <c r="H5443" s="15" t="s">
        <v>8</v>
      </c>
      <c r="I5443" s="15" t="s">
        <v>8</v>
      </c>
      <c r="J5443" s="15" t="s">
        <v>8</v>
      </c>
      <c r="K5443" s="15" t="s">
        <v>8</v>
      </c>
      <c r="M5443" s="8" t="s">
        <v>6</v>
      </c>
      <c r="N5443" s="15" t="s">
        <v>8</v>
      </c>
    </row>
    <row r="5444" spans="3:19" x14ac:dyDescent="0.35">
      <c r="C5444" s="15" t="s">
        <v>8</v>
      </c>
      <c r="E5444" s="15" t="s">
        <v>8</v>
      </c>
      <c r="G5444" s="15" t="s">
        <v>8</v>
      </c>
      <c r="H5444" s="15" t="s">
        <v>8</v>
      </c>
      <c r="I5444" s="15" t="s">
        <v>8</v>
      </c>
      <c r="J5444" s="15" t="s">
        <v>8</v>
      </c>
      <c r="K5444" s="15" t="s">
        <v>8</v>
      </c>
      <c r="M5444" s="22" t="str">
        <f>HYPERLINK("http://yeinfo.com/family/I09005717.html", "MARY JOSLIN 1634 EN-1711 MA ID:09002859")</f>
        <v>MARY JOSLIN 1634 EN-1711 MA ID:09002859</v>
      </c>
      <c r="N5444" s="13"/>
      <c r="O5444" s="13"/>
      <c r="P5444" s="13"/>
      <c r="Q5444" s="13"/>
    </row>
    <row r="5445" spans="3:19" x14ac:dyDescent="0.35">
      <c r="C5445" s="15" t="s">
        <v>8</v>
      </c>
      <c r="E5445" s="15" t="s">
        <v>8</v>
      </c>
      <c r="G5445" s="15" t="s">
        <v>8</v>
      </c>
      <c r="H5445" s="15" t="s">
        <v>8</v>
      </c>
      <c r="I5445" s="15" t="s">
        <v>8</v>
      </c>
      <c r="J5445" s="15" t="s">
        <v>8</v>
      </c>
      <c r="K5445" s="15" t="s">
        <v>8</v>
      </c>
      <c r="N5445" s="8" t="s">
        <v>6</v>
      </c>
    </row>
    <row r="5446" spans="3:19" x14ac:dyDescent="0.35">
      <c r="C5446" s="15" t="s">
        <v>8</v>
      </c>
      <c r="E5446" s="15" t="s">
        <v>8</v>
      </c>
      <c r="G5446" s="15" t="s">
        <v>8</v>
      </c>
      <c r="H5446" s="15" t="s">
        <v>8</v>
      </c>
      <c r="I5446" s="15" t="s">
        <v>8</v>
      </c>
      <c r="J5446" s="15" t="s">
        <v>8</v>
      </c>
      <c r="K5446" s="15" t="s">
        <v>8</v>
      </c>
      <c r="N5446" s="22" t="str">
        <f>HYPERLINK("http://yeinfo.com/family/I09005715.html", "REBECCA JUDE &lt;2&gt; 1595 EN-1675 MA ID:09005715")</f>
        <v>REBECCA JUDE &lt;2&gt; 1595 EN-1675 MA ID:09005715</v>
      </c>
      <c r="O5446" s="13"/>
      <c r="P5446" s="13"/>
      <c r="Q5446" s="13"/>
      <c r="R5446" s="13"/>
    </row>
    <row r="5447" spans="3:19" x14ac:dyDescent="0.35">
      <c r="C5447" s="15" t="s">
        <v>8</v>
      </c>
      <c r="E5447" s="15" t="s">
        <v>8</v>
      </c>
      <c r="G5447" s="15" t="s">
        <v>8</v>
      </c>
      <c r="H5447" s="15" t="s">
        <v>8</v>
      </c>
      <c r="I5447" s="15" t="s">
        <v>8</v>
      </c>
      <c r="J5447" s="8" t="s">
        <v>6</v>
      </c>
      <c r="K5447" s="15" t="s">
        <v>8</v>
      </c>
    </row>
    <row r="5448" spans="3:19" x14ac:dyDescent="0.35">
      <c r="C5448" s="15" t="s">
        <v>8</v>
      </c>
      <c r="E5448" s="15" t="s">
        <v>8</v>
      </c>
      <c r="G5448" s="15" t="s">
        <v>8</v>
      </c>
      <c r="H5448" s="15" t="s">
        <v>8</v>
      </c>
      <c r="I5448" s="15" t="s">
        <v>8</v>
      </c>
      <c r="J5448" s="16" t="str">
        <f>HYPERLINK("http://yeinfo.com/family/I09005711.html", "SILENCE NICHOLS 1719 MA-1794 MA ID:09000357")</f>
        <v>SILENCE NICHOLS 1719 MA-1794 MA ID:09000357</v>
      </c>
      <c r="K5448" s="11"/>
      <c r="L5448" s="11"/>
      <c r="M5448" s="11"/>
      <c r="N5448" s="11"/>
    </row>
    <row r="5449" spans="3:19" x14ac:dyDescent="0.35">
      <c r="C5449" s="15" t="s">
        <v>8</v>
      </c>
      <c r="E5449" s="15" t="s">
        <v>8</v>
      </c>
      <c r="G5449" s="15" t="s">
        <v>8</v>
      </c>
      <c r="H5449" s="15" t="s">
        <v>8</v>
      </c>
      <c r="I5449" s="15" t="s">
        <v>8</v>
      </c>
      <c r="K5449" s="15" t="s">
        <v>8</v>
      </c>
    </row>
    <row r="5450" spans="3:19" x14ac:dyDescent="0.35">
      <c r="C5450" s="15" t="s">
        <v>8</v>
      </c>
      <c r="E5450" s="15" t="s">
        <v>8</v>
      </c>
      <c r="G5450" s="15" t="s">
        <v>8</v>
      </c>
      <c r="H5450" s="15" t="s">
        <v>8</v>
      </c>
      <c r="I5450" s="15" t="s">
        <v>8</v>
      </c>
      <c r="K5450" s="15" t="s">
        <v>8</v>
      </c>
      <c r="N5450" s="5" t="str">
        <f>HYPERLINK("http://yeinfo.com/family/I09002860.html", "EDMUND HOBART 1570 EN-1648  ID:09005720")</f>
        <v>EDMUND HOBART 1570 EN-1648  ID:09005720</v>
      </c>
      <c r="O5450" s="3"/>
      <c r="P5450" s="3"/>
      <c r="Q5450" s="3"/>
      <c r="R5450" s="3"/>
    </row>
    <row r="5451" spans="3:19" x14ac:dyDescent="0.35">
      <c r="C5451" s="15" t="s">
        <v>8</v>
      </c>
      <c r="E5451" s="15" t="s">
        <v>8</v>
      </c>
      <c r="G5451" s="15" t="s">
        <v>8</v>
      </c>
      <c r="H5451" s="15" t="s">
        <v>8</v>
      </c>
      <c r="I5451" s="15" t="s">
        <v>8</v>
      </c>
      <c r="K5451" s="15" t="s">
        <v>8</v>
      </c>
      <c r="N5451" s="8" t="s">
        <v>3</v>
      </c>
    </row>
    <row r="5452" spans="3:19" x14ac:dyDescent="0.35">
      <c r="C5452" s="15" t="s">
        <v>8</v>
      </c>
      <c r="E5452" s="15" t="s">
        <v>8</v>
      </c>
      <c r="G5452" s="15" t="s">
        <v>8</v>
      </c>
      <c r="H5452" s="15" t="s">
        <v>8</v>
      </c>
      <c r="I5452" s="15" t="s">
        <v>8</v>
      </c>
      <c r="K5452" s="15" t="s">
        <v>8</v>
      </c>
      <c r="M5452" s="21" t="str">
        <f>HYPERLINK("http://yeinfo.com/family/I09001430.html", "PETER HOBART 1604 EN-1679 MA ID:09002860")</f>
        <v>PETER HOBART 1604 EN-1679 MA ID:09002860</v>
      </c>
      <c r="N5452" s="6"/>
      <c r="O5452" s="6"/>
      <c r="P5452" s="6"/>
      <c r="Q5452" s="6"/>
    </row>
    <row r="5453" spans="3:19" x14ac:dyDescent="0.35">
      <c r="C5453" s="15" t="s">
        <v>8</v>
      </c>
      <c r="E5453" s="15" t="s">
        <v>8</v>
      </c>
      <c r="G5453" s="15" t="s">
        <v>8</v>
      </c>
      <c r="H5453" s="15" t="s">
        <v>8</v>
      </c>
      <c r="I5453" s="15" t="s">
        <v>8</v>
      </c>
      <c r="K5453" s="15" t="s">
        <v>8</v>
      </c>
      <c r="M5453" s="8" t="s">
        <v>3</v>
      </c>
      <c r="N5453" s="8" t="s">
        <v>6</v>
      </c>
    </row>
    <row r="5454" spans="3:19" x14ac:dyDescent="0.35">
      <c r="C5454" s="15" t="s">
        <v>8</v>
      </c>
      <c r="E5454" s="15" t="s">
        <v>8</v>
      </c>
      <c r="G5454" s="15" t="s">
        <v>8</v>
      </c>
      <c r="H5454" s="15" t="s">
        <v>8</v>
      </c>
      <c r="I5454" s="15" t="s">
        <v>8</v>
      </c>
      <c r="K5454" s="15" t="s">
        <v>8</v>
      </c>
      <c r="M5454" s="15" t="s">
        <v>8</v>
      </c>
      <c r="N5454" s="22" t="str">
        <f>HYPERLINK("http://yeinfo.com/family/I09005720.html", "MARGARET DEWEY 1578 EN-1617 MA ID:09005721")</f>
        <v>MARGARET DEWEY 1578 EN-1617 MA ID:09005721</v>
      </c>
      <c r="O5454" s="13"/>
      <c r="P5454" s="13"/>
      <c r="Q5454" s="13"/>
      <c r="R5454" s="13"/>
    </row>
    <row r="5455" spans="3:19" x14ac:dyDescent="0.35">
      <c r="C5455" s="15" t="s">
        <v>8</v>
      </c>
      <c r="E5455" s="15" t="s">
        <v>8</v>
      </c>
      <c r="G5455" s="15" t="s">
        <v>8</v>
      </c>
      <c r="H5455" s="15" t="s">
        <v>8</v>
      </c>
      <c r="I5455" s="15" t="s">
        <v>8</v>
      </c>
      <c r="K5455" s="15" t="s">
        <v>8</v>
      </c>
      <c r="M5455" s="15" t="s">
        <v>8</v>
      </c>
    </row>
    <row r="5456" spans="3:19" x14ac:dyDescent="0.35">
      <c r="C5456" s="15" t="s">
        <v>8</v>
      </c>
      <c r="E5456" s="15" t="s">
        <v>8</v>
      </c>
      <c r="G5456" s="15" t="s">
        <v>8</v>
      </c>
      <c r="H5456" s="15" t="s">
        <v>8</v>
      </c>
      <c r="I5456" s="15" t="s">
        <v>8</v>
      </c>
      <c r="K5456" s="15" t="s">
        <v>8</v>
      </c>
      <c r="L5456" s="5" t="str">
        <f>HYPERLINK("http://yeinfo.com/family/I09000715.html", "DAVID HOBART 1651 MA-1717 MA ID:09001430")</f>
        <v>DAVID HOBART 1651 MA-1717 MA ID:09001430</v>
      </c>
      <c r="M5456" s="3"/>
      <c r="N5456" s="3"/>
      <c r="O5456" s="3"/>
      <c r="P5456" s="3"/>
    </row>
    <row r="5457" spans="3:21" x14ac:dyDescent="0.35">
      <c r="C5457" s="15" t="s">
        <v>8</v>
      </c>
      <c r="E5457" s="15" t="s">
        <v>8</v>
      </c>
      <c r="G5457" s="15" t="s">
        <v>8</v>
      </c>
      <c r="H5457" s="15" t="s">
        <v>8</v>
      </c>
      <c r="I5457" s="15" t="s">
        <v>8</v>
      </c>
      <c r="K5457" s="15" t="s">
        <v>8</v>
      </c>
      <c r="L5457" s="8" t="s">
        <v>3</v>
      </c>
      <c r="M5457" s="15" t="s">
        <v>8</v>
      </c>
    </row>
    <row r="5458" spans="3:21" x14ac:dyDescent="0.35">
      <c r="C5458" s="15" t="s">
        <v>8</v>
      </c>
      <c r="E5458" s="15" t="s">
        <v>8</v>
      </c>
      <c r="G5458" s="15" t="s">
        <v>8</v>
      </c>
      <c r="H5458" s="15" t="s">
        <v>8</v>
      </c>
      <c r="I5458" s="15" t="s">
        <v>8</v>
      </c>
      <c r="K5458" s="15" t="s">
        <v>8</v>
      </c>
      <c r="L5458" s="15" t="s">
        <v>8</v>
      </c>
      <c r="M5458" s="15" t="s">
        <v>8</v>
      </c>
      <c r="P5458" s="19" t="str">
        <f>HYPERLINK("http://yeinfo.com/family/I09011444.html", "ROBERT PECK 1508 EN-1556  ID:09022888")</f>
        <v>ROBERT PECK 1508 EN-1556  ID:09022888</v>
      </c>
      <c r="Q5458" s="9"/>
      <c r="R5458" s="9"/>
      <c r="S5458" s="9"/>
      <c r="T5458" s="9"/>
    </row>
    <row r="5459" spans="3:21" x14ac:dyDescent="0.35">
      <c r="C5459" s="15" t="s">
        <v>8</v>
      </c>
      <c r="E5459" s="15" t="s">
        <v>8</v>
      </c>
      <c r="G5459" s="15" t="s">
        <v>8</v>
      </c>
      <c r="H5459" s="15" t="s">
        <v>8</v>
      </c>
      <c r="I5459" s="15" t="s">
        <v>8</v>
      </c>
      <c r="K5459" s="15" t="s">
        <v>8</v>
      </c>
      <c r="L5459" s="15" t="s">
        <v>8</v>
      </c>
      <c r="M5459" s="15" t="s">
        <v>8</v>
      </c>
      <c r="P5459" s="8" t="s">
        <v>3</v>
      </c>
    </row>
    <row r="5460" spans="3:21" x14ac:dyDescent="0.35">
      <c r="C5460" s="15" t="s">
        <v>8</v>
      </c>
      <c r="E5460" s="15" t="s">
        <v>8</v>
      </c>
      <c r="G5460" s="15" t="s">
        <v>8</v>
      </c>
      <c r="H5460" s="15" t="s">
        <v>8</v>
      </c>
      <c r="I5460" s="15" t="s">
        <v>8</v>
      </c>
      <c r="K5460" s="15" t="s">
        <v>8</v>
      </c>
      <c r="L5460" s="15" t="s">
        <v>8</v>
      </c>
      <c r="M5460" s="15" t="s">
        <v>8</v>
      </c>
      <c r="O5460" s="19" t="str">
        <f>HYPERLINK("http://yeinfo.com/family/I09005722.html", "ROBERT PECK 1548 -1598  ID:09011444")</f>
        <v>ROBERT PECK 1548 -1598  ID:09011444</v>
      </c>
      <c r="P5460" s="9"/>
      <c r="Q5460" s="9"/>
      <c r="R5460" s="9"/>
      <c r="S5460" s="9"/>
    </row>
    <row r="5461" spans="3:21" x14ac:dyDescent="0.35">
      <c r="C5461" s="15" t="s">
        <v>8</v>
      </c>
      <c r="E5461" s="15" t="s">
        <v>8</v>
      </c>
      <c r="G5461" s="15" t="s">
        <v>8</v>
      </c>
      <c r="H5461" s="15" t="s">
        <v>8</v>
      </c>
      <c r="I5461" s="15" t="s">
        <v>8</v>
      </c>
      <c r="K5461" s="15" t="s">
        <v>8</v>
      </c>
      <c r="L5461" s="15" t="s">
        <v>8</v>
      </c>
      <c r="M5461" s="15" t="s">
        <v>8</v>
      </c>
      <c r="O5461" s="8" t="s">
        <v>3</v>
      </c>
      <c r="P5461" s="15" t="s">
        <v>8</v>
      </c>
    </row>
    <row r="5462" spans="3:21" x14ac:dyDescent="0.35">
      <c r="C5462" s="15" t="s">
        <v>8</v>
      </c>
      <c r="E5462" s="15" t="s">
        <v>8</v>
      </c>
      <c r="G5462" s="15" t="s">
        <v>8</v>
      </c>
      <c r="H5462" s="15" t="s">
        <v>8</v>
      </c>
      <c r="I5462" s="15" t="s">
        <v>8</v>
      </c>
      <c r="K5462" s="15" t="s">
        <v>8</v>
      </c>
      <c r="L5462" s="15" t="s">
        <v>8</v>
      </c>
      <c r="M5462" s="15" t="s">
        <v>8</v>
      </c>
      <c r="O5462" s="15" t="s">
        <v>8</v>
      </c>
      <c r="P5462" s="15" t="s">
        <v>8</v>
      </c>
      <c r="Q5462" s="19" t="str">
        <f>HYPERLINK("http://yeinfo.com/family/I09022889.html", "JOHN WATERS 1480 EN-1547 EN ID:09045778")</f>
        <v>JOHN WATERS 1480 EN-1547 EN ID:09045778</v>
      </c>
      <c r="R5462" s="9"/>
      <c r="S5462" s="9"/>
      <c r="T5462" s="9"/>
      <c r="U5462" s="9"/>
    </row>
    <row r="5463" spans="3:21" x14ac:dyDescent="0.35">
      <c r="C5463" s="15" t="s">
        <v>8</v>
      </c>
      <c r="E5463" s="15" t="s">
        <v>8</v>
      </c>
      <c r="G5463" s="15" t="s">
        <v>8</v>
      </c>
      <c r="H5463" s="15" t="s">
        <v>8</v>
      </c>
      <c r="I5463" s="15" t="s">
        <v>8</v>
      </c>
      <c r="K5463" s="15" t="s">
        <v>8</v>
      </c>
      <c r="L5463" s="15" t="s">
        <v>8</v>
      </c>
      <c r="M5463" s="15" t="s">
        <v>8</v>
      </c>
      <c r="O5463" s="15" t="s">
        <v>8</v>
      </c>
      <c r="P5463" s="8" t="s">
        <v>6</v>
      </c>
      <c r="Q5463" s="8" t="s">
        <v>3</v>
      </c>
    </row>
    <row r="5464" spans="3:21" x14ac:dyDescent="0.35">
      <c r="C5464" s="15" t="s">
        <v>8</v>
      </c>
      <c r="E5464" s="15" t="s">
        <v>8</v>
      </c>
      <c r="G5464" s="15" t="s">
        <v>8</v>
      </c>
      <c r="H5464" s="15" t="s">
        <v>8</v>
      </c>
      <c r="I5464" s="15" t="s">
        <v>8</v>
      </c>
      <c r="K5464" s="15" t="s">
        <v>8</v>
      </c>
      <c r="L5464" s="15" t="s">
        <v>8</v>
      </c>
      <c r="M5464" s="15" t="s">
        <v>8</v>
      </c>
      <c r="O5464" s="15" t="s">
        <v>8</v>
      </c>
      <c r="P5464" s="20" t="str">
        <f>HYPERLINK("http://yeinfo.com/family/I09022888.html", "JOHAN\JOHUN WATERS 1508 EN-1548 EN ID:09022889")</f>
        <v>JOHAN\JOHUN WATERS 1508 EN-1548 EN ID:09022889</v>
      </c>
      <c r="Q5464" s="17"/>
      <c r="R5464" s="17"/>
      <c r="S5464" s="17"/>
      <c r="T5464" s="17"/>
      <c r="U5464" s="17"/>
    </row>
    <row r="5465" spans="3:21" x14ac:dyDescent="0.35">
      <c r="C5465" s="15" t="s">
        <v>8</v>
      </c>
      <c r="E5465" s="15" t="s">
        <v>8</v>
      </c>
      <c r="G5465" s="15" t="s">
        <v>8</v>
      </c>
      <c r="H5465" s="15" t="s">
        <v>8</v>
      </c>
      <c r="I5465" s="15" t="s">
        <v>8</v>
      </c>
      <c r="K5465" s="15" t="s">
        <v>8</v>
      </c>
      <c r="L5465" s="15" t="s">
        <v>8</v>
      </c>
      <c r="M5465" s="15" t="s">
        <v>8</v>
      </c>
      <c r="O5465" s="15" t="s">
        <v>8</v>
      </c>
      <c r="Q5465" s="8" t="s">
        <v>6</v>
      </c>
    </row>
    <row r="5466" spans="3:21" x14ac:dyDescent="0.35">
      <c r="C5466" s="15" t="s">
        <v>8</v>
      </c>
      <c r="E5466" s="15" t="s">
        <v>8</v>
      </c>
      <c r="G5466" s="15" t="s">
        <v>8</v>
      </c>
      <c r="H5466" s="15" t="s">
        <v>8</v>
      </c>
      <c r="I5466" s="15" t="s">
        <v>8</v>
      </c>
      <c r="K5466" s="15" t="s">
        <v>8</v>
      </c>
      <c r="L5466" s="15" t="s">
        <v>8</v>
      </c>
      <c r="M5466" s="15" t="s">
        <v>8</v>
      </c>
      <c r="O5466" s="15" t="s">
        <v>8</v>
      </c>
      <c r="Q5466" s="20" t="str">
        <f>HYPERLINK("http://yeinfo.com/family/I09045778.html", "Mrs. MARGARET WATERS 1480 EN-1508 EN ID:09045779")</f>
        <v>Mrs. MARGARET WATERS 1480 EN-1508 EN ID:09045779</v>
      </c>
      <c r="R5466" s="17"/>
      <c r="S5466" s="17"/>
      <c r="T5466" s="17"/>
      <c r="U5466" s="17"/>
    </row>
    <row r="5467" spans="3:21" x14ac:dyDescent="0.35">
      <c r="C5467" s="15" t="s">
        <v>8</v>
      </c>
      <c r="E5467" s="15" t="s">
        <v>8</v>
      </c>
      <c r="G5467" s="15" t="s">
        <v>8</v>
      </c>
      <c r="H5467" s="15" t="s">
        <v>8</v>
      </c>
      <c r="I5467" s="15" t="s">
        <v>8</v>
      </c>
      <c r="K5467" s="15" t="s">
        <v>8</v>
      </c>
      <c r="L5467" s="15" t="s">
        <v>8</v>
      </c>
      <c r="M5467" s="15" t="s">
        <v>8</v>
      </c>
      <c r="O5467" s="15" t="s">
        <v>8</v>
      </c>
    </row>
    <row r="5468" spans="3:21" x14ac:dyDescent="0.35">
      <c r="C5468" s="15" t="s">
        <v>8</v>
      </c>
      <c r="E5468" s="15" t="s">
        <v>8</v>
      </c>
      <c r="G5468" s="15" t="s">
        <v>8</v>
      </c>
      <c r="H5468" s="15" t="s">
        <v>8</v>
      </c>
      <c r="I5468" s="15" t="s">
        <v>8</v>
      </c>
      <c r="K5468" s="15" t="s">
        <v>8</v>
      </c>
      <c r="L5468" s="15" t="s">
        <v>8</v>
      </c>
      <c r="M5468" s="15" t="s">
        <v>8</v>
      </c>
      <c r="N5468" s="5" t="str">
        <f>HYPERLINK("http://yeinfo.com/family/I09002861.html", "JOSEPH\NICHOLAS PECK 1587 -1663  ID:09005722")</f>
        <v>JOSEPH\NICHOLAS PECK 1587 -1663  ID:09005722</v>
      </c>
      <c r="O5468" s="3"/>
      <c r="P5468" s="3"/>
      <c r="Q5468" s="3"/>
      <c r="R5468" s="3"/>
      <c r="S5468" s="3"/>
    </row>
    <row r="5469" spans="3:21" x14ac:dyDescent="0.35">
      <c r="C5469" s="15" t="s">
        <v>8</v>
      </c>
      <c r="E5469" s="15" t="s">
        <v>8</v>
      </c>
      <c r="G5469" s="15" t="s">
        <v>8</v>
      </c>
      <c r="H5469" s="15" t="s">
        <v>8</v>
      </c>
      <c r="I5469" s="15" t="s">
        <v>8</v>
      </c>
      <c r="K5469" s="15" t="s">
        <v>8</v>
      </c>
      <c r="L5469" s="15" t="s">
        <v>8</v>
      </c>
      <c r="M5469" s="15" t="s">
        <v>8</v>
      </c>
      <c r="N5469" s="8" t="s">
        <v>3</v>
      </c>
      <c r="O5469" s="15" t="s">
        <v>8</v>
      </c>
    </row>
    <row r="5470" spans="3:21" x14ac:dyDescent="0.35">
      <c r="C5470" s="15" t="s">
        <v>8</v>
      </c>
      <c r="E5470" s="15" t="s">
        <v>8</v>
      </c>
      <c r="G5470" s="15" t="s">
        <v>8</v>
      </c>
      <c r="H5470" s="15" t="s">
        <v>8</v>
      </c>
      <c r="I5470" s="15" t="s">
        <v>8</v>
      </c>
      <c r="K5470" s="15" t="s">
        <v>8</v>
      </c>
      <c r="L5470" s="15" t="s">
        <v>8</v>
      </c>
      <c r="M5470" s="15" t="s">
        <v>8</v>
      </c>
      <c r="N5470" s="15" t="s">
        <v>8</v>
      </c>
      <c r="O5470" s="15" t="s">
        <v>8</v>
      </c>
      <c r="Q5470" s="19" t="str">
        <f>HYPERLINK("http://yeinfo.com/family/I09022890.html", "NICHOLAS GUILDFORD BABBS 1495 EN-1520 EN ID:09045780")</f>
        <v>NICHOLAS GUILDFORD BABBS 1495 EN-1520 EN ID:09045780</v>
      </c>
      <c r="R5470" s="9"/>
      <c r="S5470" s="9"/>
      <c r="T5470" s="9"/>
      <c r="U5470" s="9"/>
    </row>
    <row r="5471" spans="3:21" x14ac:dyDescent="0.35">
      <c r="C5471" s="15" t="s">
        <v>8</v>
      </c>
      <c r="E5471" s="15" t="s">
        <v>8</v>
      </c>
      <c r="G5471" s="15" t="s">
        <v>8</v>
      </c>
      <c r="H5471" s="15" t="s">
        <v>8</v>
      </c>
      <c r="I5471" s="15" t="s">
        <v>8</v>
      </c>
      <c r="K5471" s="15" t="s">
        <v>8</v>
      </c>
      <c r="L5471" s="15" t="s">
        <v>8</v>
      </c>
      <c r="M5471" s="15" t="s">
        <v>8</v>
      </c>
      <c r="N5471" s="15" t="s">
        <v>8</v>
      </c>
      <c r="O5471" s="15" t="s">
        <v>8</v>
      </c>
      <c r="Q5471" s="8" t="s">
        <v>3</v>
      </c>
    </row>
    <row r="5472" spans="3:21" x14ac:dyDescent="0.35">
      <c r="C5472" s="15" t="s">
        <v>8</v>
      </c>
      <c r="E5472" s="15" t="s">
        <v>8</v>
      </c>
      <c r="G5472" s="15" t="s">
        <v>8</v>
      </c>
      <c r="H5472" s="15" t="s">
        <v>8</v>
      </c>
      <c r="I5472" s="15" t="s">
        <v>8</v>
      </c>
      <c r="K5472" s="15" t="s">
        <v>8</v>
      </c>
      <c r="L5472" s="15" t="s">
        <v>8</v>
      </c>
      <c r="M5472" s="15" t="s">
        <v>8</v>
      </c>
      <c r="N5472" s="15" t="s">
        <v>8</v>
      </c>
      <c r="O5472" s="15" t="s">
        <v>8</v>
      </c>
      <c r="P5472" s="19" t="str">
        <f>HYPERLINK("http://yeinfo.com/family/I09011445.html", "NICHOLAS BABBS 1520 EN-1554 EN ID:09022890")</f>
        <v>NICHOLAS BABBS 1520 EN-1554 EN ID:09022890</v>
      </c>
      <c r="Q5472" s="9"/>
      <c r="R5472" s="9"/>
      <c r="S5472" s="9"/>
      <c r="T5472" s="9"/>
    </row>
    <row r="5473" spans="3:23" x14ac:dyDescent="0.35">
      <c r="C5473" s="15" t="s">
        <v>8</v>
      </c>
      <c r="E5473" s="15" t="s">
        <v>8</v>
      </c>
      <c r="G5473" s="15" t="s">
        <v>8</v>
      </c>
      <c r="H5473" s="15" t="s">
        <v>8</v>
      </c>
      <c r="I5473" s="15" t="s">
        <v>8</v>
      </c>
      <c r="K5473" s="15" t="s">
        <v>8</v>
      </c>
      <c r="L5473" s="15" t="s">
        <v>8</v>
      </c>
      <c r="M5473" s="15" t="s">
        <v>8</v>
      </c>
      <c r="N5473" s="15" t="s">
        <v>8</v>
      </c>
      <c r="O5473" s="15" t="s">
        <v>8</v>
      </c>
      <c r="P5473" s="8" t="s">
        <v>3</v>
      </c>
      <c r="Q5473" s="8" t="s">
        <v>6</v>
      </c>
    </row>
    <row r="5474" spans="3:23" x14ac:dyDescent="0.35">
      <c r="C5474" s="15" t="s">
        <v>8</v>
      </c>
      <c r="E5474" s="15" t="s">
        <v>8</v>
      </c>
      <c r="G5474" s="15" t="s">
        <v>8</v>
      </c>
      <c r="H5474" s="15" t="s">
        <v>8</v>
      </c>
      <c r="I5474" s="15" t="s">
        <v>8</v>
      </c>
      <c r="K5474" s="15" t="s">
        <v>8</v>
      </c>
      <c r="L5474" s="15" t="s">
        <v>8</v>
      </c>
      <c r="M5474" s="15" t="s">
        <v>8</v>
      </c>
      <c r="N5474" s="15" t="s">
        <v>8</v>
      </c>
      <c r="O5474" s="15" t="s">
        <v>8</v>
      </c>
      <c r="P5474" s="15" t="s">
        <v>8</v>
      </c>
      <c r="Q5474" s="20" t="str">
        <f>HYPERLINK("http://yeinfo.com/family/I09045780.html", "Mrs. {_?_} BABBS 1495 EN-1520 EN ID:09045781")</f>
        <v>Mrs. {_?_} BABBS 1495 EN-1520 EN ID:09045781</v>
      </c>
      <c r="R5474" s="17"/>
      <c r="S5474" s="17"/>
      <c r="T5474" s="17"/>
      <c r="U5474" s="17"/>
    </row>
    <row r="5475" spans="3:23" x14ac:dyDescent="0.35">
      <c r="C5475" s="15" t="s">
        <v>8</v>
      </c>
      <c r="E5475" s="15" t="s">
        <v>8</v>
      </c>
      <c r="G5475" s="15" t="s">
        <v>8</v>
      </c>
      <c r="H5475" s="15" t="s">
        <v>8</v>
      </c>
      <c r="I5475" s="15" t="s">
        <v>8</v>
      </c>
      <c r="K5475" s="15" t="s">
        <v>8</v>
      </c>
      <c r="L5475" s="15" t="s">
        <v>8</v>
      </c>
      <c r="M5475" s="15" t="s">
        <v>8</v>
      </c>
      <c r="N5475" s="15" t="s">
        <v>8</v>
      </c>
      <c r="O5475" s="8" t="s">
        <v>6</v>
      </c>
      <c r="P5475" s="15" t="s">
        <v>8</v>
      </c>
    </row>
    <row r="5476" spans="3:23" x14ac:dyDescent="0.35">
      <c r="C5476" s="15" t="s">
        <v>8</v>
      </c>
      <c r="E5476" s="15" t="s">
        <v>8</v>
      </c>
      <c r="G5476" s="15" t="s">
        <v>8</v>
      </c>
      <c r="H5476" s="15" t="s">
        <v>8</v>
      </c>
      <c r="I5476" s="15" t="s">
        <v>8</v>
      </c>
      <c r="K5476" s="15" t="s">
        <v>8</v>
      </c>
      <c r="L5476" s="15" t="s">
        <v>8</v>
      </c>
      <c r="M5476" s="15" t="s">
        <v>8</v>
      </c>
      <c r="N5476" s="15" t="s">
        <v>8</v>
      </c>
      <c r="O5476" s="20" t="str">
        <f>HYPERLINK("http://yeinfo.com/family/I09045779.html", "HELEN BABBS 1546 EN-1614 EN ID:09011445")</f>
        <v>HELEN BABBS 1546 EN-1614 EN ID:09011445</v>
      </c>
      <c r="P5476" s="17"/>
      <c r="Q5476" s="17"/>
      <c r="R5476" s="17"/>
      <c r="S5476" s="17"/>
    </row>
    <row r="5477" spans="3:23" x14ac:dyDescent="0.35">
      <c r="C5477" s="15" t="s">
        <v>8</v>
      </c>
      <c r="E5477" s="15" t="s">
        <v>8</v>
      </c>
      <c r="G5477" s="15" t="s">
        <v>8</v>
      </c>
      <c r="H5477" s="15" t="s">
        <v>8</v>
      </c>
      <c r="I5477" s="15" t="s">
        <v>8</v>
      </c>
      <c r="K5477" s="15" t="s">
        <v>8</v>
      </c>
      <c r="L5477" s="15" t="s">
        <v>8</v>
      </c>
      <c r="M5477" s="15" t="s">
        <v>8</v>
      </c>
      <c r="N5477" s="15" t="s">
        <v>8</v>
      </c>
      <c r="P5477" s="15" t="s">
        <v>8</v>
      </c>
    </row>
    <row r="5478" spans="3:23" x14ac:dyDescent="0.35">
      <c r="C5478" s="15" t="s">
        <v>8</v>
      </c>
      <c r="E5478" s="15" t="s">
        <v>8</v>
      </c>
      <c r="G5478" s="15" t="s">
        <v>8</v>
      </c>
      <c r="H5478" s="15" t="s">
        <v>8</v>
      </c>
      <c r="I5478" s="15" t="s">
        <v>8</v>
      </c>
      <c r="K5478" s="15" t="s">
        <v>8</v>
      </c>
      <c r="L5478" s="15" t="s">
        <v>8</v>
      </c>
      <c r="M5478" s="15" t="s">
        <v>8</v>
      </c>
      <c r="N5478" s="15" t="s">
        <v>8</v>
      </c>
      <c r="P5478" s="15" t="s">
        <v>8</v>
      </c>
      <c r="S5478" s="19" t="str">
        <f>HYPERLINK("http://yeinfo.com/family/I09065591.html", "GEORGIUS PARKHURST 1433 EN-1465 EN ID:09065724")</f>
        <v>GEORGIUS PARKHURST 1433 EN-1465 EN ID:09065724</v>
      </c>
      <c r="T5478" s="9"/>
      <c r="U5478" s="9"/>
      <c r="V5478" s="9"/>
      <c r="W5478" s="9"/>
    </row>
    <row r="5479" spans="3:23" x14ac:dyDescent="0.35">
      <c r="C5479" s="15" t="s">
        <v>8</v>
      </c>
      <c r="E5479" s="15" t="s">
        <v>8</v>
      </c>
      <c r="G5479" s="15" t="s">
        <v>8</v>
      </c>
      <c r="H5479" s="15" t="s">
        <v>8</v>
      </c>
      <c r="I5479" s="15" t="s">
        <v>8</v>
      </c>
      <c r="K5479" s="15" t="s">
        <v>8</v>
      </c>
      <c r="L5479" s="15" t="s">
        <v>8</v>
      </c>
      <c r="M5479" s="15" t="s">
        <v>8</v>
      </c>
      <c r="N5479" s="15" t="s">
        <v>8</v>
      </c>
      <c r="P5479" s="15" t="s">
        <v>8</v>
      </c>
      <c r="S5479" s="8" t="s">
        <v>3</v>
      </c>
    </row>
    <row r="5480" spans="3:23" x14ac:dyDescent="0.35">
      <c r="C5480" s="15" t="s">
        <v>8</v>
      </c>
      <c r="E5480" s="15" t="s">
        <v>8</v>
      </c>
      <c r="G5480" s="15" t="s">
        <v>8</v>
      </c>
      <c r="H5480" s="15" t="s">
        <v>8</v>
      </c>
      <c r="I5480" s="15" t="s">
        <v>8</v>
      </c>
      <c r="K5480" s="15" t="s">
        <v>8</v>
      </c>
      <c r="L5480" s="15" t="s">
        <v>8</v>
      </c>
      <c r="M5480" s="15" t="s">
        <v>8</v>
      </c>
      <c r="N5480" s="15" t="s">
        <v>8</v>
      </c>
      <c r="P5480" s="15" t="s">
        <v>8</v>
      </c>
      <c r="R5480" s="19" t="str">
        <f>HYPERLINK("http://yeinfo.com/family/I09045782.html", "JOHN CHRISTOPHER PARKHURST 1470 EN-1528 EN ID:09065591")</f>
        <v>JOHN CHRISTOPHER PARKHURST 1470 EN-1528 EN ID:09065591</v>
      </c>
      <c r="S5480" s="9"/>
      <c r="T5480" s="9"/>
      <c r="U5480" s="9"/>
      <c r="V5480" s="9"/>
    </row>
    <row r="5481" spans="3:23" x14ac:dyDescent="0.35">
      <c r="C5481" s="15" t="s">
        <v>8</v>
      </c>
      <c r="E5481" s="15" t="s">
        <v>8</v>
      </c>
      <c r="G5481" s="15" t="s">
        <v>8</v>
      </c>
      <c r="H5481" s="15" t="s">
        <v>8</v>
      </c>
      <c r="I5481" s="15" t="s">
        <v>8</v>
      </c>
      <c r="K5481" s="15" t="s">
        <v>8</v>
      </c>
      <c r="L5481" s="15" t="s">
        <v>8</v>
      </c>
      <c r="M5481" s="15" t="s">
        <v>8</v>
      </c>
      <c r="N5481" s="15" t="s">
        <v>8</v>
      </c>
      <c r="P5481" s="15" t="s">
        <v>8</v>
      </c>
      <c r="R5481" s="8" t="s">
        <v>3</v>
      </c>
      <c r="S5481" s="8" t="s">
        <v>6</v>
      </c>
    </row>
    <row r="5482" spans="3:23" x14ac:dyDescent="0.35">
      <c r="C5482" s="15" t="s">
        <v>8</v>
      </c>
      <c r="E5482" s="15" t="s">
        <v>8</v>
      </c>
      <c r="G5482" s="15" t="s">
        <v>8</v>
      </c>
      <c r="H5482" s="15" t="s">
        <v>8</v>
      </c>
      <c r="I5482" s="15" t="s">
        <v>8</v>
      </c>
      <c r="K5482" s="15" t="s">
        <v>8</v>
      </c>
      <c r="L5482" s="15" t="s">
        <v>8</v>
      </c>
      <c r="M5482" s="15" t="s">
        <v>8</v>
      </c>
      <c r="N5482" s="15" t="s">
        <v>8</v>
      </c>
      <c r="P5482" s="15" t="s">
        <v>8</v>
      </c>
      <c r="R5482" s="15" t="s">
        <v>8</v>
      </c>
      <c r="S5482" s="20" t="str">
        <f>HYPERLINK("http://yeinfo.com/family/I09065724.html", "Mrs. {_?_} PARKHURST 1435 EN-1465 EN ID:09065725")</f>
        <v>Mrs. {_?_} PARKHURST 1435 EN-1465 EN ID:09065725</v>
      </c>
      <c r="T5482" s="17"/>
      <c r="U5482" s="17"/>
      <c r="V5482" s="17"/>
      <c r="W5482" s="17"/>
    </row>
    <row r="5483" spans="3:23" x14ac:dyDescent="0.35">
      <c r="C5483" s="15" t="s">
        <v>8</v>
      </c>
      <c r="E5483" s="15" t="s">
        <v>8</v>
      </c>
      <c r="G5483" s="15" t="s">
        <v>8</v>
      </c>
      <c r="H5483" s="15" t="s">
        <v>8</v>
      </c>
      <c r="I5483" s="15" t="s">
        <v>8</v>
      </c>
      <c r="K5483" s="15" t="s">
        <v>8</v>
      </c>
      <c r="L5483" s="15" t="s">
        <v>8</v>
      </c>
      <c r="M5483" s="15" t="s">
        <v>8</v>
      </c>
      <c r="N5483" s="15" t="s">
        <v>8</v>
      </c>
      <c r="P5483" s="15" t="s">
        <v>8</v>
      </c>
      <c r="R5483" s="15" t="s">
        <v>8</v>
      </c>
    </row>
    <row r="5484" spans="3:23" x14ac:dyDescent="0.35">
      <c r="C5484" s="15" t="s">
        <v>8</v>
      </c>
      <c r="E5484" s="15" t="s">
        <v>8</v>
      </c>
      <c r="G5484" s="15" t="s">
        <v>8</v>
      </c>
      <c r="H5484" s="15" t="s">
        <v>8</v>
      </c>
      <c r="I5484" s="15" t="s">
        <v>8</v>
      </c>
      <c r="K5484" s="15" t="s">
        <v>8</v>
      </c>
      <c r="L5484" s="15" t="s">
        <v>8</v>
      </c>
      <c r="M5484" s="15" t="s">
        <v>8</v>
      </c>
      <c r="N5484" s="15" t="s">
        <v>8</v>
      </c>
      <c r="P5484" s="15" t="s">
        <v>8</v>
      </c>
      <c r="Q5484" s="19" t="str">
        <f>HYPERLINK("http://yeinfo.com/family/I09022891.html", "GEORGE\GEORGIUS PARKHURST 1495 EN-1546 EN ID:09045782")</f>
        <v>GEORGE\GEORGIUS PARKHURST 1495 EN-1546 EN ID:09045782</v>
      </c>
      <c r="R5484" s="9"/>
      <c r="S5484" s="9"/>
      <c r="T5484" s="9"/>
      <c r="U5484" s="9"/>
      <c r="V5484" s="9"/>
    </row>
    <row r="5485" spans="3:23" x14ac:dyDescent="0.35">
      <c r="C5485" s="15" t="s">
        <v>8</v>
      </c>
      <c r="E5485" s="15" t="s">
        <v>8</v>
      </c>
      <c r="G5485" s="15" t="s">
        <v>8</v>
      </c>
      <c r="H5485" s="15" t="s">
        <v>8</v>
      </c>
      <c r="I5485" s="15" t="s">
        <v>8</v>
      </c>
      <c r="K5485" s="15" t="s">
        <v>8</v>
      </c>
      <c r="L5485" s="15" t="s">
        <v>8</v>
      </c>
      <c r="M5485" s="15" t="s">
        <v>8</v>
      </c>
      <c r="N5485" s="15" t="s">
        <v>8</v>
      </c>
      <c r="P5485" s="15" t="s">
        <v>8</v>
      </c>
      <c r="Q5485" s="8" t="s">
        <v>3</v>
      </c>
      <c r="R5485" s="8" t="s">
        <v>6</v>
      </c>
    </row>
    <row r="5486" spans="3:23" x14ac:dyDescent="0.35">
      <c r="C5486" s="15" t="s">
        <v>8</v>
      </c>
      <c r="E5486" s="15" t="s">
        <v>8</v>
      </c>
      <c r="G5486" s="15" t="s">
        <v>8</v>
      </c>
      <c r="H5486" s="15" t="s">
        <v>8</v>
      </c>
      <c r="I5486" s="15" t="s">
        <v>8</v>
      </c>
      <c r="K5486" s="15" t="s">
        <v>8</v>
      </c>
      <c r="L5486" s="15" t="s">
        <v>8</v>
      </c>
      <c r="M5486" s="15" t="s">
        <v>8</v>
      </c>
      <c r="N5486" s="15" t="s">
        <v>8</v>
      </c>
      <c r="P5486" s="15" t="s">
        <v>8</v>
      </c>
      <c r="Q5486" s="15" t="s">
        <v>8</v>
      </c>
      <c r="R5486" s="20" t="str">
        <f>HYPERLINK("http://yeinfo.com/family/I09065725.html", "ANN BARON 1472 EN-1495 EN ID:09065592")</f>
        <v>ANN BARON 1472 EN-1495 EN ID:09065592</v>
      </c>
      <c r="S5486" s="17"/>
      <c r="T5486" s="17"/>
      <c r="U5486" s="17"/>
      <c r="V5486" s="17"/>
    </row>
    <row r="5487" spans="3:23" x14ac:dyDescent="0.35">
      <c r="C5487" s="15" t="s">
        <v>8</v>
      </c>
      <c r="E5487" s="15" t="s">
        <v>8</v>
      </c>
      <c r="G5487" s="15" t="s">
        <v>8</v>
      </c>
      <c r="H5487" s="15" t="s">
        <v>8</v>
      </c>
      <c r="I5487" s="15" t="s">
        <v>8</v>
      </c>
      <c r="K5487" s="15" t="s">
        <v>8</v>
      </c>
      <c r="L5487" s="15" t="s">
        <v>8</v>
      </c>
      <c r="M5487" s="15" t="s">
        <v>8</v>
      </c>
      <c r="N5487" s="15" t="s">
        <v>8</v>
      </c>
      <c r="P5487" s="8" t="s">
        <v>6</v>
      </c>
      <c r="Q5487" s="15" t="s">
        <v>8</v>
      </c>
    </row>
    <row r="5488" spans="3:23" x14ac:dyDescent="0.35">
      <c r="C5488" s="15" t="s">
        <v>8</v>
      </c>
      <c r="E5488" s="15" t="s">
        <v>8</v>
      </c>
      <c r="G5488" s="15" t="s">
        <v>8</v>
      </c>
      <c r="H5488" s="15" t="s">
        <v>8</v>
      </c>
      <c r="I5488" s="15" t="s">
        <v>8</v>
      </c>
      <c r="K5488" s="15" t="s">
        <v>8</v>
      </c>
      <c r="L5488" s="15" t="s">
        <v>8</v>
      </c>
      <c r="M5488" s="15" t="s">
        <v>8</v>
      </c>
      <c r="N5488" s="15" t="s">
        <v>8</v>
      </c>
      <c r="P5488" s="20" t="str">
        <f>HYPERLINK("http://yeinfo.com/family/I09045781.html", "HELEN PARKHURST 1525 EN-1568  ID:09022891")</f>
        <v>HELEN PARKHURST 1525 EN-1568  ID:09022891</v>
      </c>
      <c r="Q5488" s="17"/>
      <c r="R5488" s="17"/>
      <c r="S5488" s="17"/>
      <c r="T5488" s="17"/>
    </row>
    <row r="5489" spans="3:24" x14ac:dyDescent="0.35">
      <c r="C5489" s="15" t="s">
        <v>8</v>
      </c>
      <c r="E5489" s="15" t="s">
        <v>8</v>
      </c>
      <c r="G5489" s="15" t="s">
        <v>8</v>
      </c>
      <c r="H5489" s="15" t="s">
        <v>8</v>
      </c>
      <c r="I5489" s="15" t="s">
        <v>8</v>
      </c>
      <c r="K5489" s="15" t="s">
        <v>8</v>
      </c>
      <c r="L5489" s="15" t="s">
        <v>8</v>
      </c>
      <c r="M5489" s="15" t="s">
        <v>8</v>
      </c>
      <c r="N5489" s="15" t="s">
        <v>8</v>
      </c>
      <c r="Q5489" s="8" t="s">
        <v>6</v>
      </c>
    </row>
    <row r="5490" spans="3:24" x14ac:dyDescent="0.35">
      <c r="C5490" s="15" t="s">
        <v>8</v>
      </c>
      <c r="E5490" s="15" t="s">
        <v>8</v>
      </c>
      <c r="G5490" s="15" t="s">
        <v>8</v>
      </c>
      <c r="H5490" s="15" t="s">
        <v>8</v>
      </c>
      <c r="I5490" s="15" t="s">
        <v>8</v>
      </c>
      <c r="K5490" s="15" t="s">
        <v>8</v>
      </c>
      <c r="L5490" s="15" t="s">
        <v>8</v>
      </c>
      <c r="M5490" s="15" t="s">
        <v>8</v>
      </c>
      <c r="N5490" s="15" t="s">
        <v>8</v>
      </c>
      <c r="Q5490" s="20" t="str">
        <f>HYPERLINK("http://yeinfo.com/family/I09065592.html", "PHEBE SURREY 1494 -1548  ID:09045783")</f>
        <v>PHEBE SURREY 1494 -1548  ID:09045783</v>
      </c>
      <c r="R5490" s="17"/>
      <c r="S5490" s="17"/>
      <c r="T5490" s="17"/>
      <c r="U5490" s="17"/>
    </row>
    <row r="5491" spans="3:24" x14ac:dyDescent="0.35">
      <c r="C5491" s="15" t="s">
        <v>8</v>
      </c>
      <c r="E5491" s="15" t="s">
        <v>8</v>
      </c>
      <c r="G5491" s="15" t="s">
        <v>8</v>
      </c>
      <c r="H5491" s="15" t="s">
        <v>8</v>
      </c>
      <c r="I5491" s="15" t="s">
        <v>8</v>
      </c>
      <c r="K5491" s="15" t="s">
        <v>8</v>
      </c>
      <c r="L5491" s="15" t="s">
        <v>8</v>
      </c>
      <c r="M5491" s="8" t="s">
        <v>6</v>
      </c>
      <c r="N5491" s="15" t="s">
        <v>8</v>
      </c>
    </row>
    <row r="5492" spans="3:24" x14ac:dyDescent="0.35">
      <c r="C5492" s="15" t="s">
        <v>8</v>
      </c>
      <c r="E5492" s="15" t="s">
        <v>8</v>
      </c>
      <c r="G5492" s="15" t="s">
        <v>8</v>
      </c>
      <c r="H5492" s="15" t="s">
        <v>8</v>
      </c>
      <c r="I5492" s="15" t="s">
        <v>8</v>
      </c>
      <c r="K5492" s="15" t="s">
        <v>8</v>
      </c>
      <c r="L5492" s="15" t="s">
        <v>8</v>
      </c>
      <c r="M5492" s="22" t="str">
        <f>HYPERLINK("http://yeinfo.com/family/I09005721.html", "REBECCA PECK 1620 EN-1693 MA ID:09002861")</f>
        <v>REBECCA PECK 1620 EN-1693 MA ID:09002861</v>
      </c>
      <c r="N5492" s="13"/>
      <c r="O5492" s="13"/>
      <c r="P5492" s="13"/>
      <c r="Q5492" s="13"/>
    </row>
    <row r="5493" spans="3:24" x14ac:dyDescent="0.35">
      <c r="C5493" s="15" t="s">
        <v>8</v>
      </c>
      <c r="E5493" s="15" t="s">
        <v>8</v>
      </c>
      <c r="G5493" s="15" t="s">
        <v>8</v>
      </c>
      <c r="H5493" s="15" t="s">
        <v>8</v>
      </c>
      <c r="I5493" s="15" t="s">
        <v>8</v>
      </c>
      <c r="K5493" s="15" t="s">
        <v>8</v>
      </c>
      <c r="L5493" s="15" t="s">
        <v>8</v>
      </c>
      <c r="N5493" s="8" t="s">
        <v>6</v>
      </c>
    </row>
    <row r="5494" spans="3:24" x14ac:dyDescent="0.35">
      <c r="C5494" s="15" t="s">
        <v>8</v>
      </c>
      <c r="E5494" s="15" t="s">
        <v>8</v>
      </c>
      <c r="G5494" s="15" t="s">
        <v>8</v>
      </c>
      <c r="H5494" s="15" t="s">
        <v>8</v>
      </c>
      <c r="I5494" s="15" t="s">
        <v>8</v>
      </c>
      <c r="K5494" s="15" t="s">
        <v>8</v>
      </c>
      <c r="L5494" s="15" t="s">
        <v>8</v>
      </c>
      <c r="N5494" s="22" t="str">
        <f>HYPERLINK("http://yeinfo.com/family/I09045783.html", "REBECCA CLARK 1585 EN-1637 MA ID:09005723")</f>
        <v>REBECCA CLARK 1585 EN-1637 MA ID:09005723</v>
      </c>
      <c r="O5494" s="13"/>
      <c r="P5494" s="13"/>
      <c r="Q5494" s="13"/>
      <c r="R5494" s="13"/>
    </row>
    <row r="5495" spans="3:24" x14ac:dyDescent="0.35">
      <c r="C5495" s="15" t="s">
        <v>8</v>
      </c>
      <c r="E5495" s="15" t="s">
        <v>8</v>
      </c>
      <c r="G5495" s="15" t="s">
        <v>8</v>
      </c>
      <c r="H5495" s="15" t="s">
        <v>8</v>
      </c>
      <c r="I5495" s="15" t="s">
        <v>8</v>
      </c>
      <c r="K5495" s="8" t="s">
        <v>6</v>
      </c>
      <c r="L5495" s="15" t="s">
        <v>8</v>
      </c>
    </row>
    <row r="5496" spans="3:24" x14ac:dyDescent="0.35">
      <c r="C5496" s="15" t="s">
        <v>8</v>
      </c>
      <c r="E5496" s="15" t="s">
        <v>8</v>
      </c>
      <c r="G5496" s="15" t="s">
        <v>8</v>
      </c>
      <c r="H5496" s="15" t="s">
        <v>8</v>
      </c>
      <c r="I5496" s="15" t="s">
        <v>8</v>
      </c>
      <c r="K5496" s="16" t="str">
        <f>HYPERLINK("http://yeinfo.com/family/I09002859.html", "REBECCA HOBART 1694 MA-1768 MA ID:09000715")</f>
        <v>REBECCA HOBART 1694 MA-1768 MA ID:09000715</v>
      </c>
      <c r="L5496" s="11"/>
      <c r="M5496" s="11"/>
      <c r="N5496" s="11"/>
      <c r="O5496" s="11"/>
    </row>
    <row r="5497" spans="3:24" x14ac:dyDescent="0.35">
      <c r="C5497" s="15" t="s">
        <v>8</v>
      </c>
      <c r="E5497" s="15" t="s">
        <v>8</v>
      </c>
      <c r="G5497" s="15" t="s">
        <v>8</v>
      </c>
      <c r="H5497" s="15" t="s">
        <v>8</v>
      </c>
      <c r="I5497" s="15" t="s">
        <v>8</v>
      </c>
      <c r="L5497" s="15" t="s">
        <v>8</v>
      </c>
    </row>
    <row r="5498" spans="3:24" x14ac:dyDescent="0.35">
      <c r="C5498" s="15" t="s">
        <v>8</v>
      </c>
      <c r="E5498" s="15" t="s">
        <v>8</v>
      </c>
      <c r="G5498" s="15" t="s">
        <v>8</v>
      </c>
      <c r="H5498" s="15" t="s">
        <v>8</v>
      </c>
      <c r="I5498" s="15" t="s">
        <v>8</v>
      </c>
      <c r="L5498" s="15" t="s">
        <v>8</v>
      </c>
      <c r="R5498" s="19" t="str">
        <f>HYPERLINK("http://yeinfo.com/family/I09045792.html", "WILLIAM QUINCY 1485 EN-1550 EN ID:09065593")</f>
        <v>WILLIAM QUINCY 1485 EN-1550 EN ID:09065593</v>
      </c>
      <c r="S5498" s="9"/>
      <c r="T5498" s="9"/>
      <c r="U5498" s="9"/>
      <c r="V5498" s="9"/>
    </row>
    <row r="5499" spans="3:24" x14ac:dyDescent="0.35">
      <c r="C5499" s="15" t="s">
        <v>8</v>
      </c>
      <c r="E5499" s="15" t="s">
        <v>8</v>
      </c>
      <c r="G5499" s="15" t="s">
        <v>8</v>
      </c>
      <c r="H5499" s="15" t="s">
        <v>8</v>
      </c>
      <c r="I5499" s="15" t="s">
        <v>8</v>
      </c>
      <c r="L5499" s="15" t="s">
        <v>8</v>
      </c>
      <c r="R5499" s="8" t="s">
        <v>3</v>
      </c>
    </row>
    <row r="5500" spans="3:24" x14ac:dyDescent="0.35">
      <c r="C5500" s="15" t="s">
        <v>8</v>
      </c>
      <c r="E5500" s="15" t="s">
        <v>8</v>
      </c>
      <c r="G5500" s="15" t="s">
        <v>8</v>
      </c>
      <c r="H5500" s="15" t="s">
        <v>8</v>
      </c>
      <c r="I5500" s="15" t="s">
        <v>8</v>
      </c>
      <c r="L5500" s="15" t="s">
        <v>8</v>
      </c>
      <c r="Q5500" s="19" t="str">
        <f>HYPERLINK("http://yeinfo.com/family/I09022896.html", "JOHN QUINCY 1510 EN-1575 EN ID:09045792")</f>
        <v>JOHN QUINCY 1510 EN-1575 EN ID:09045792</v>
      </c>
      <c r="R5500" s="9"/>
      <c r="S5500" s="9"/>
      <c r="T5500" s="9"/>
      <c r="U5500" s="9"/>
    </row>
    <row r="5501" spans="3:24" x14ac:dyDescent="0.35">
      <c r="C5501" s="15" t="s">
        <v>8</v>
      </c>
      <c r="E5501" s="15" t="s">
        <v>8</v>
      </c>
      <c r="G5501" s="15" t="s">
        <v>8</v>
      </c>
      <c r="H5501" s="15" t="s">
        <v>8</v>
      </c>
      <c r="I5501" s="15" t="s">
        <v>8</v>
      </c>
      <c r="L5501" s="15" t="s">
        <v>8</v>
      </c>
      <c r="Q5501" s="8" t="s">
        <v>3</v>
      </c>
      <c r="R5501" s="8" t="s">
        <v>6</v>
      </c>
    </row>
    <row r="5502" spans="3:24" x14ac:dyDescent="0.35">
      <c r="C5502" s="15" t="s">
        <v>8</v>
      </c>
      <c r="E5502" s="15" t="s">
        <v>8</v>
      </c>
      <c r="G5502" s="15" t="s">
        <v>8</v>
      </c>
      <c r="H5502" s="15" t="s">
        <v>8</v>
      </c>
      <c r="I5502" s="15" t="s">
        <v>8</v>
      </c>
      <c r="L5502" s="15" t="s">
        <v>8</v>
      </c>
      <c r="Q5502" s="15" t="s">
        <v>8</v>
      </c>
      <c r="R5502" s="20" t="str">
        <f>HYPERLINK("http://yeinfo.com/family/I09065593.html", "Mrs. JOAN\JONE QUINCY 1485 EN-1510 EN ID:09065594")</f>
        <v>Mrs. JOAN\JONE QUINCY 1485 EN-1510 EN ID:09065594</v>
      </c>
      <c r="S5502" s="17"/>
      <c r="T5502" s="17"/>
      <c r="U5502" s="17"/>
      <c r="V5502" s="17"/>
      <c r="W5502" s="17"/>
      <c r="X5502" s="17"/>
    </row>
    <row r="5503" spans="3:24" x14ac:dyDescent="0.35">
      <c r="C5503" s="15" t="s">
        <v>8</v>
      </c>
      <c r="E5503" s="15" t="s">
        <v>8</v>
      </c>
      <c r="G5503" s="15" t="s">
        <v>8</v>
      </c>
      <c r="H5503" s="15" t="s">
        <v>8</v>
      </c>
      <c r="I5503" s="15" t="s">
        <v>8</v>
      </c>
      <c r="L5503" s="15" t="s">
        <v>8</v>
      </c>
      <c r="Q5503" s="15" t="s">
        <v>8</v>
      </c>
    </row>
    <row r="5504" spans="3:24" x14ac:dyDescent="0.35">
      <c r="C5504" s="15" t="s">
        <v>8</v>
      </c>
      <c r="E5504" s="15" t="s">
        <v>8</v>
      </c>
      <c r="G5504" s="15" t="s">
        <v>8</v>
      </c>
      <c r="H5504" s="15" t="s">
        <v>8</v>
      </c>
      <c r="I5504" s="15" t="s">
        <v>8</v>
      </c>
      <c r="L5504" s="15" t="s">
        <v>8</v>
      </c>
      <c r="P5504" s="19" t="str">
        <f>HYPERLINK("http://yeinfo.com/family/I09011448.html", "JOHN QUINCY 1535 EN-1597 EN ID:09022896")</f>
        <v>JOHN QUINCY 1535 EN-1597 EN ID:09022896</v>
      </c>
      <c r="Q5504" s="9"/>
      <c r="R5504" s="9"/>
      <c r="S5504" s="9"/>
      <c r="T5504" s="9"/>
    </row>
    <row r="5505" spans="3:21" x14ac:dyDescent="0.35">
      <c r="C5505" s="15" t="s">
        <v>8</v>
      </c>
      <c r="E5505" s="15" t="s">
        <v>8</v>
      </c>
      <c r="G5505" s="15" t="s">
        <v>8</v>
      </c>
      <c r="H5505" s="15" t="s">
        <v>8</v>
      </c>
      <c r="I5505" s="15" t="s">
        <v>8</v>
      </c>
      <c r="L5505" s="15" t="s">
        <v>8</v>
      </c>
      <c r="P5505" s="8" t="s">
        <v>3</v>
      </c>
      <c r="Q5505" s="8" t="s">
        <v>6</v>
      </c>
    </row>
    <row r="5506" spans="3:21" x14ac:dyDescent="0.35">
      <c r="C5506" s="15" t="s">
        <v>8</v>
      </c>
      <c r="E5506" s="15" t="s">
        <v>8</v>
      </c>
      <c r="G5506" s="15" t="s">
        <v>8</v>
      </c>
      <c r="H5506" s="15" t="s">
        <v>8</v>
      </c>
      <c r="I5506" s="15" t="s">
        <v>8</v>
      </c>
      <c r="L5506" s="15" t="s">
        <v>8</v>
      </c>
      <c r="P5506" s="15" t="s">
        <v>8</v>
      </c>
      <c r="Q5506" s="20" t="str">
        <f>HYPERLINK("http://yeinfo.com/family/I09065594.html", "Mrs. {_?_} QUINCY 1510 EN-1535 EN ID:09045793")</f>
        <v>Mrs. {_?_} QUINCY 1510 EN-1535 EN ID:09045793</v>
      </c>
      <c r="R5506" s="17"/>
      <c r="S5506" s="17"/>
      <c r="T5506" s="17"/>
      <c r="U5506" s="17"/>
    </row>
    <row r="5507" spans="3:21" x14ac:dyDescent="0.35">
      <c r="C5507" s="15" t="s">
        <v>8</v>
      </c>
      <c r="E5507" s="15" t="s">
        <v>8</v>
      </c>
      <c r="G5507" s="15" t="s">
        <v>8</v>
      </c>
      <c r="H5507" s="15" t="s">
        <v>8</v>
      </c>
      <c r="I5507" s="15" t="s">
        <v>8</v>
      </c>
      <c r="L5507" s="15" t="s">
        <v>8</v>
      </c>
      <c r="P5507" s="15" t="s">
        <v>8</v>
      </c>
    </row>
    <row r="5508" spans="3:21" x14ac:dyDescent="0.35">
      <c r="C5508" s="15" t="s">
        <v>8</v>
      </c>
      <c r="E5508" s="15" t="s">
        <v>8</v>
      </c>
      <c r="G5508" s="15" t="s">
        <v>8</v>
      </c>
      <c r="H5508" s="15" t="s">
        <v>8</v>
      </c>
      <c r="I5508" s="15" t="s">
        <v>8</v>
      </c>
      <c r="L5508" s="15" t="s">
        <v>8</v>
      </c>
      <c r="O5508" s="19" t="str">
        <f>HYPERLINK("http://yeinfo.com/family/I09005724.html", "EDMUND QUINCY 1559 EN-1628 EN ID:09011448")</f>
        <v>EDMUND QUINCY 1559 EN-1628 EN ID:09011448</v>
      </c>
      <c r="P5508" s="9"/>
      <c r="Q5508" s="9"/>
      <c r="R5508" s="9"/>
      <c r="S5508" s="9"/>
    </row>
    <row r="5509" spans="3:21" x14ac:dyDescent="0.35">
      <c r="C5509" s="15" t="s">
        <v>8</v>
      </c>
      <c r="E5509" s="15" t="s">
        <v>8</v>
      </c>
      <c r="G5509" s="15" t="s">
        <v>8</v>
      </c>
      <c r="H5509" s="15" t="s">
        <v>8</v>
      </c>
      <c r="I5509" s="15" t="s">
        <v>8</v>
      </c>
      <c r="L5509" s="15" t="s">
        <v>8</v>
      </c>
      <c r="O5509" s="8" t="s">
        <v>3</v>
      </c>
      <c r="P5509" s="8" t="s">
        <v>6</v>
      </c>
    </row>
    <row r="5510" spans="3:21" x14ac:dyDescent="0.35">
      <c r="C5510" s="15" t="s">
        <v>8</v>
      </c>
      <c r="E5510" s="15" t="s">
        <v>8</v>
      </c>
      <c r="G5510" s="15" t="s">
        <v>8</v>
      </c>
      <c r="H5510" s="15" t="s">
        <v>8</v>
      </c>
      <c r="I5510" s="15" t="s">
        <v>8</v>
      </c>
      <c r="L5510" s="15" t="s">
        <v>8</v>
      </c>
      <c r="O5510" s="15" t="s">
        <v>8</v>
      </c>
      <c r="P5510" s="20" t="str">
        <f>HYPERLINK("http://yeinfo.com/family/I09045793.html", "MARY ELLSWORTH 1535 EN-1567 EN ID:09022897")</f>
        <v>MARY ELLSWORTH 1535 EN-1567 EN ID:09022897</v>
      </c>
      <c r="Q5510" s="17"/>
      <c r="R5510" s="17"/>
      <c r="S5510" s="17"/>
      <c r="T5510" s="17"/>
    </row>
    <row r="5511" spans="3:21" x14ac:dyDescent="0.35">
      <c r="C5511" s="15" t="s">
        <v>8</v>
      </c>
      <c r="E5511" s="15" t="s">
        <v>8</v>
      </c>
      <c r="G5511" s="15" t="s">
        <v>8</v>
      </c>
      <c r="H5511" s="15" t="s">
        <v>8</v>
      </c>
      <c r="I5511" s="15" t="s">
        <v>8</v>
      </c>
      <c r="L5511" s="15" t="s">
        <v>8</v>
      </c>
      <c r="O5511" s="15" t="s">
        <v>8</v>
      </c>
    </row>
    <row r="5512" spans="3:21" x14ac:dyDescent="0.35">
      <c r="C5512" s="15" t="s">
        <v>8</v>
      </c>
      <c r="E5512" s="15" t="s">
        <v>8</v>
      </c>
      <c r="G5512" s="15" t="s">
        <v>8</v>
      </c>
      <c r="H5512" s="15" t="s">
        <v>8</v>
      </c>
      <c r="I5512" s="15" t="s">
        <v>8</v>
      </c>
      <c r="L5512" s="15" t="s">
        <v>8</v>
      </c>
      <c r="N5512" s="21" t="str">
        <f>HYPERLINK("http://yeinfo.com/family/I09002862.html", "EDMUND QUINCY 1602 EN-1637 MA ID:09005724")</f>
        <v>EDMUND QUINCY 1602 EN-1637 MA ID:09005724</v>
      </c>
      <c r="O5512" s="6"/>
      <c r="P5512" s="6"/>
      <c r="Q5512" s="6"/>
      <c r="R5512" s="6"/>
    </row>
    <row r="5513" spans="3:21" x14ac:dyDescent="0.35">
      <c r="C5513" s="15" t="s">
        <v>8</v>
      </c>
      <c r="E5513" s="15" t="s">
        <v>8</v>
      </c>
      <c r="G5513" s="15" t="s">
        <v>8</v>
      </c>
      <c r="H5513" s="15" t="s">
        <v>8</v>
      </c>
      <c r="I5513" s="15" t="s">
        <v>8</v>
      </c>
      <c r="L5513" s="15" t="s">
        <v>8</v>
      </c>
      <c r="N5513" s="8" t="s">
        <v>3</v>
      </c>
      <c r="O5513" s="8" t="s">
        <v>6</v>
      </c>
    </row>
    <row r="5514" spans="3:21" x14ac:dyDescent="0.35">
      <c r="C5514" s="15" t="s">
        <v>8</v>
      </c>
      <c r="E5514" s="15" t="s">
        <v>8</v>
      </c>
      <c r="G5514" s="15" t="s">
        <v>8</v>
      </c>
      <c r="H5514" s="15" t="s">
        <v>8</v>
      </c>
      <c r="I5514" s="15" t="s">
        <v>8</v>
      </c>
      <c r="L5514" s="15" t="s">
        <v>8</v>
      </c>
      <c r="N5514" s="15" t="s">
        <v>8</v>
      </c>
      <c r="O5514" s="20" t="str">
        <f>HYPERLINK("http://yeinfo.com/family/I09022897.html", "ANN PALMER 1560 EN-1631 EN ID:09011449")</f>
        <v>ANN PALMER 1560 EN-1631 EN ID:09011449</v>
      </c>
      <c r="P5514" s="17"/>
      <c r="Q5514" s="17"/>
      <c r="R5514" s="17"/>
      <c r="S5514" s="17"/>
    </row>
    <row r="5515" spans="3:21" x14ac:dyDescent="0.35">
      <c r="C5515" s="15" t="s">
        <v>8</v>
      </c>
      <c r="E5515" s="15" t="s">
        <v>8</v>
      </c>
      <c r="G5515" s="15" t="s">
        <v>8</v>
      </c>
      <c r="H5515" s="15" t="s">
        <v>8</v>
      </c>
      <c r="I5515" s="15" t="s">
        <v>8</v>
      </c>
      <c r="L5515" s="15" t="s">
        <v>8</v>
      </c>
      <c r="N5515" s="15" t="s">
        <v>8</v>
      </c>
    </row>
    <row r="5516" spans="3:21" x14ac:dyDescent="0.35">
      <c r="C5516" s="15" t="s">
        <v>8</v>
      </c>
      <c r="E5516" s="15" t="s">
        <v>8</v>
      </c>
      <c r="G5516" s="15" t="s">
        <v>8</v>
      </c>
      <c r="H5516" s="15" t="s">
        <v>8</v>
      </c>
      <c r="I5516" s="15" t="s">
        <v>8</v>
      </c>
      <c r="L5516" s="15" t="s">
        <v>8</v>
      </c>
      <c r="M5516" s="21" t="str">
        <f>HYPERLINK("http://yeinfo.com/family/I09001431.html", "EDMUND QUINCY 1627 EN-1698 MA ID:09002862")</f>
        <v>EDMUND QUINCY 1627 EN-1698 MA ID:09002862</v>
      </c>
      <c r="N5516" s="6"/>
      <c r="O5516" s="6"/>
      <c r="P5516" s="6"/>
      <c r="Q5516" s="6"/>
    </row>
    <row r="5517" spans="3:21" x14ac:dyDescent="0.35">
      <c r="C5517" s="15" t="s">
        <v>8</v>
      </c>
      <c r="E5517" s="15" t="s">
        <v>8</v>
      </c>
      <c r="G5517" s="15" t="s">
        <v>8</v>
      </c>
      <c r="H5517" s="15" t="s">
        <v>8</v>
      </c>
      <c r="I5517" s="15" t="s">
        <v>8</v>
      </c>
      <c r="L5517" s="15" t="s">
        <v>8</v>
      </c>
      <c r="M5517" s="8" t="s">
        <v>3</v>
      </c>
      <c r="N5517" s="8" t="s">
        <v>6</v>
      </c>
    </row>
    <row r="5518" spans="3:21" x14ac:dyDescent="0.35">
      <c r="C5518" s="15" t="s">
        <v>8</v>
      </c>
      <c r="E5518" s="15" t="s">
        <v>8</v>
      </c>
      <c r="G5518" s="15" t="s">
        <v>8</v>
      </c>
      <c r="H5518" s="15" t="s">
        <v>8</v>
      </c>
      <c r="I5518" s="15" t="s">
        <v>8</v>
      </c>
      <c r="L5518" s="15" t="s">
        <v>8</v>
      </c>
      <c r="M5518" s="15" t="s">
        <v>8</v>
      </c>
      <c r="N5518" s="22" t="str">
        <f>HYPERLINK("http://yeinfo.com/family/I09011449.html", "JUDITH PARES 1603 EN-1631 MA ID:09005725")</f>
        <v>JUDITH PARES 1603 EN-1631 MA ID:09005725</v>
      </c>
      <c r="O5518" s="13"/>
      <c r="P5518" s="13"/>
      <c r="Q5518" s="13"/>
      <c r="R5518" s="13"/>
    </row>
    <row r="5519" spans="3:21" x14ac:dyDescent="0.35">
      <c r="C5519" s="15" t="s">
        <v>8</v>
      </c>
      <c r="E5519" s="15" t="s">
        <v>8</v>
      </c>
      <c r="G5519" s="15" t="s">
        <v>8</v>
      </c>
      <c r="H5519" s="15" t="s">
        <v>8</v>
      </c>
      <c r="I5519" s="15" t="s">
        <v>8</v>
      </c>
      <c r="L5519" s="8" t="s">
        <v>6</v>
      </c>
      <c r="M5519" s="15" t="s">
        <v>8</v>
      </c>
    </row>
    <row r="5520" spans="3:21" x14ac:dyDescent="0.35">
      <c r="C5520" s="15" t="s">
        <v>8</v>
      </c>
      <c r="E5520" s="15" t="s">
        <v>8</v>
      </c>
      <c r="G5520" s="15" t="s">
        <v>8</v>
      </c>
      <c r="H5520" s="15" t="s">
        <v>8</v>
      </c>
      <c r="I5520" s="15" t="s">
        <v>8</v>
      </c>
      <c r="L5520" s="16" t="str">
        <f>HYPERLINK("http://yeinfo.com/family/I09005723.html", "JOANNA\MARGARET QUINCY 1654 -1694  ID:09001431")</f>
        <v>JOANNA\MARGARET QUINCY 1654 -1694  ID:09001431</v>
      </c>
      <c r="M5520" s="11"/>
      <c r="N5520" s="11"/>
      <c r="O5520" s="11"/>
      <c r="P5520" s="11"/>
      <c r="Q5520" s="11"/>
    </row>
    <row r="5521" spans="3:19" x14ac:dyDescent="0.35">
      <c r="C5521" s="15" t="s">
        <v>8</v>
      </c>
      <c r="E5521" s="15" t="s">
        <v>8</v>
      </c>
      <c r="G5521" s="15" t="s">
        <v>8</v>
      </c>
      <c r="H5521" s="15" t="s">
        <v>8</v>
      </c>
      <c r="I5521" s="15" t="s">
        <v>8</v>
      </c>
      <c r="M5521" s="15" t="s">
        <v>8</v>
      </c>
    </row>
    <row r="5522" spans="3:19" x14ac:dyDescent="0.35">
      <c r="C5522" s="15" t="s">
        <v>8</v>
      </c>
      <c r="E5522" s="15" t="s">
        <v>8</v>
      </c>
      <c r="G5522" s="15" t="s">
        <v>8</v>
      </c>
      <c r="H5522" s="15" t="s">
        <v>8</v>
      </c>
      <c r="I5522" s="15" t="s">
        <v>8</v>
      </c>
      <c r="M5522" s="15" t="s">
        <v>8</v>
      </c>
      <c r="O5522" s="19" t="str">
        <f>HYPERLINK("http://yeinfo.com/family/I09005726.html", "CHARLES HOAR &lt;2&gt; 1568 EN-1632 EN ID:09011452")</f>
        <v>CHARLES HOAR &lt;2&gt; 1568 EN-1632 EN ID:09011452</v>
      </c>
      <c r="P5522" s="9"/>
      <c r="Q5522" s="9"/>
      <c r="R5522" s="9"/>
      <c r="S5522" s="9"/>
    </row>
    <row r="5523" spans="3:19" x14ac:dyDescent="0.35">
      <c r="C5523" s="15" t="s">
        <v>8</v>
      </c>
      <c r="E5523" s="15" t="s">
        <v>8</v>
      </c>
      <c r="G5523" s="15" t="s">
        <v>8</v>
      </c>
      <c r="H5523" s="15" t="s">
        <v>8</v>
      </c>
      <c r="I5523" s="15" t="s">
        <v>8</v>
      </c>
      <c r="M5523" s="15" t="s">
        <v>8</v>
      </c>
      <c r="O5523" s="8" t="s">
        <v>3</v>
      </c>
    </row>
    <row r="5524" spans="3:19" x14ac:dyDescent="0.35">
      <c r="C5524" s="15" t="s">
        <v>8</v>
      </c>
      <c r="E5524" s="15" t="s">
        <v>8</v>
      </c>
      <c r="G5524" s="15" t="s">
        <v>8</v>
      </c>
      <c r="H5524" s="15" t="s">
        <v>8</v>
      </c>
      <c r="I5524" s="15" t="s">
        <v>8</v>
      </c>
      <c r="M5524" s="15" t="s">
        <v>8</v>
      </c>
      <c r="N5524" s="19" t="str">
        <f>HYPERLINK("http://yeinfo.com/family/I09002863.html", "CHARLES HOAR &lt;2&gt; 1592 EN-1638 EN ID:09005726")</f>
        <v>CHARLES HOAR &lt;2&gt; 1592 EN-1638 EN ID:09005726</v>
      </c>
      <c r="O5524" s="9"/>
      <c r="P5524" s="9"/>
      <c r="Q5524" s="9"/>
      <c r="R5524" s="9"/>
    </row>
    <row r="5525" spans="3:19" x14ac:dyDescent="0.35">
      <c r="C5525" s="15" t="s">
        <v>8</v>
      </c>
      <c r="E5525" s="15" t="s">
        <v>8</v>
      </c>
      <c r="G5525" s="15" t="s">
        <v>8</v>
      </c>
      <c r="H5525" s="15" t="s">
        <v>8</v>
      </c>
      <c r="I5525" s="15" t="s">
        <v>8</v>
      </c>
      <c r="M5525" s="15" t="s">
        <v>8</v>
      </c>
      <c r="N5525" s="8" t="s">
        <v>3</v>
      </c>
      <c r="O5525" s="8" t="s">
        <v>6</v>
      </c>
    </row>
    <row r="5526" spans="3:19" x14ac:dyDescent="0.35">
      <c r="C5526" s="15" t="s">
        <v>8</v>
      </c>
      <c r="E5526" s="15" t="s">
        <v>8</v>
      </c>
      <c r="G5526" s="15" t="s">
        <v>8</v>
      </c>
      <c r="H5526" s="15" t="s">
        <v>8</v>
      </c>
      <c r="I5526" s="15" t="s">
        <v>8</v>
      </c>
      <c r="M5526" s="15" t="s">
        <v>8</v>
      </c>
      <c r="N5526" s="15" t="s">
        <v>8</v>
      </c>
      <c r="O5526" s="20" t="str">
        <f>HYPERLINK("http://yeinfo.com/family/I09011452.html", "Mrs. MARGERY HOAR &lt;2&gt; 1570 EN-1594 EN ID:09011453")</f>
        <v>Mrs. MARGERY HOAR &lt;2&gt; 1570 EN-1594 EN ID:09011453</v>
      </c>
      <c r="P5526" s="17"/>
      <c r="Q5526" s="17"/>
      <c r="R5526" s="17"/>
      <c r="S5526" s="17"/>
    </row>
    <row r="5527" spans="3:19" x14ac:dyDescent="0.35">
      <c r="C5527" s="15" t="s">
        <v>8</v>
      </c>
      <c r="E5527" s="15" t="s">
        <v>8</v>
      </c>
      <c r="G5527" s="15" t="s">
        <v>8</v>
      </c>
      <c r="H5527" s="15" t="s">
        <v>8</v>
      </c>
      <c r="I5527" s="15" t="s">
        <v>8</v>
      </c>
      <c r="M5527" s="8" t="s">
        <v>6</v>
      </c>
      <c r="N5527" s="15" t="s">
        <v>8</v>
      </c>
    </row>
    <row r="5528" spans="3:19" x14ac:dyDescent="0.35">
      <c r="C5528" s="15" t="s">
        <v>8</v>
      </c>
      <c r="E5528" s="15" t="s">
        <v>8</v>
      </c>
      <c r="G5528" s="15" t="s">
        <v>8</v>
      </c>
      <c r="H5528" s="15" t="s">
        <v>8</v>
      </c>
      <c r="I5528" s="15" t="s">
        <v>8</v>
      </c>
      <c r="M5528" s="22" t="str">
        <f>HYPERLINK("http://yeinfo.com/family/I09005725.html", "JOANNA HOAR 1624 EN-1680 MA ID:09002863")</f>
        <v>JOANNA HOAR 1624 EN-1680 MA ID:09002863</v>
      </c>
      <c r="N5528" s="13"/>
      <c r="O5528" s="13"/>
      <c r="P5528" s="13"/>
      <c r="Q5528" s="13"/>
    </row>
    <row r="5529" spans="3:19" x14ac:dyDescent="0.35">
      <c r="C5529" s="15" t="s">
        <v>8</v>
      </c>
      <c r="E5529" s="15" t="s">
        <v>8</v>
      </c>
      <c r="G5529" s="15" t="s">
        <v>8</v>
      </c>
      <c r="H5529" s="15" t="s">
        <v>8</v>
      </c>
      <c r="I5529" s="15" t="s">
        <v>8</v>
      </c>
      <c r="N5529" s="8" t="s">
        <v>6</v>
      </c>
    </row>
    <row r="5530" spans="3:19" x14ac:dyDescent="0.35">
      <c r="C5530" s="15" t="s">
        <v>8</v>
      </c>
      <c r="E5530" s="15" t="s">
        <v>8</v>
      </c>
      <c r="G5530" s="15" t="s">
        <v>8</v>
      </c>
      <c r="H5530" s="15" t="s">
        <v>8</v>
      </c>
      <c r="I5530" s="15" t="s">
        <v>8</v>
      </c>
      <c r="N5530" s="22" t="str">
        <f>HYPERLINK("http://yeinfo.com/family/I09011453.html", "JOANNA HINCKSMAN &lt;2&gt; 1592 EN-1651 MA ID:09005727")</f>
        <v>JOANNA HINCKSMAN &lt;2&gt; 1592 EN-1651 MA ID:09005727</v>
      </c>
      <c r="O5530" s="13"/>
      <c r="P5530" s="13"/>
      <c r="Q5530" s="13"/>
      <c r="R5530" s="13"/>
    </row>
    <row r="5531" spans="3:19" x14ac:dyDescent="0.35">
      <c r="C5531" s="15" t="s">
        <v>8</v>
      </c>
      <c r="E5531" s="15" t="s">
        <v>8</v>
      </c>
      <c r="G5531" s="15" t="s">
        <v>8</v>
      </c>
      <c r="H5531" s="8" t="s">
        <v>6</v>
      </c>
      <c r="I5531" s="15" t="s">
        <v>8</v>
      </c>
    </row>
    <row r="5532" spans="3:19" x14ac:dyDescent="0.35">
      <c r="C5532" s="15" t="s">
        <v>8</v>
      </c>
      <c r="E5532" s="15" t="s">
        <v>8</v>
      </c>
      <c r="G5532" s="15" t="s">
        <v>8</v>
      </c>
      <c r="H5532" s="16" t="str">
        <f>HYPERLINK("http://yeinfo.com/family/I09002847.html", "RACHEL MOORE 1768 -1855  ID:09000089")</f>
        <v>RACHEL MOORE 1768 -1855  ID:09000089</v>
      </c>
      <c r="I5532" s="11"/>
      <c r="J5532" s="11"/>
      <c r="K5532" s="11"/>
      <c r="L5532" s="11"/>
    </row>
    <row r="5533" spans="3:19" x14ac:dyDescent="0.35">
      <c r="C5533" s="15" t="s">
        <v>8</v>
      </c>
      <c r="E5533" s="15" t="s">
        <v>8</v>
      </c>
      <c r="G5533" s="15" t="s">
        <v>8</v>
      </c>
      <c r="I5533" s="15" t="s">
        <v>8</v>
      </c>
    </row>
    <row r="5534" spans="3:19" x14ac:dyDescent="0.35">
      <c r="C5534" s="15" t="s">
        <v>8</v>
      </c>
      <c r="E5534" s="15" t="s">
        <v>8</v>
      </c>
      <c r="G5534" s="15" t="s">
        <v>8</v>
      </c>
      <c r="I5534" s="15" t="s">
        <v>8</v>
      </c>
      <c r="N5534" s="19" t="str">
        <f>HYPERLINK("http://yeinfo.com/family/I09002864.html", "JOHN WHITCOMB 1565 EN-1648 EN ID:09005728")</f>
        <v>JOHN WHITCOMB 1565 EN-1648 EN ID:09005728</v>
      </c>
      <c r="O5534" s="9"/>
      <c r="P5534" s="9"/>
      <c r="Q5534" s="9"/>
      <c r="R5534" s="9"/>
    </row>
    <row r="5535" spans="3:19" x14ac:dyDescent="0.35">
      <c r="C5535" s="15" t="s">
        <v>8</v>
      </c>
      <c r="E5535" s="15" t="s">
        <v>8</v>
      </c>
      <c r="G5535" s="15" t="s">
        <v>8</v>
      </c>
      <c r="I5535" s="15" t="s">
        <v>8</v>
      </c>
      <c r="N5535" s="8" t="s">
        <v>3</v>
      </c>
    </row>
    <row r="5536" spans="3:19" x14ac:dyDescent="0.35">
      <c r="C5536" s="15" t="s">
        <v>8</v>
      </c>
      <c r="E5536" s="15" t="s">
        <v>8</v>
      </c>
      <c r="G5536" s="15" t="s">
        <v>8</v>
      </c>
      <c r="I5536" s="15" t="s">
        <v>8</v>
      </c>
      <c r="M5536" s="5" t="str">
        <f>HYPERLINK("http://yeinfo.com/family/I09001432.html", "JOHN WHITCOMB 1588 EN-1662  ID:09002864")</f>
        <v>JOHN WHITCOMB 1588 EN-1662  ID:09002864</v>
      </c>
      <c r="N5536" s="3"/>
      <c r="O5536" s="3"/>
      <c r="P5536" s="3"/>
      <c r="Q5536" s="3"/>
    </row>
    <row r="5537" spans="3:19" x14ac:dyDescent="0.35">
      <c r="C5537" s="15" t="s">
        <v>8</v>
      </c>
      <c r="E5537" s="15" t="s">
        <v>8</v>
      </c>
      <c r="G5537" s="15" t="s">
        <v>8</v>
      </c>
      <c r="I5537" s="15" t="s">
        <v>8</v>
      </c>
      <c r="M5537" s="8" t="s">
        <v>3</v>
      </c>
      <c r="N5537" s="8" t="s">
        <v>6</v>
      </c>
    </row>
    <row r="5538" spans="3:19" x14ac:dyDescent="0.35">
      <c r="C5538" s="15" t="s">
        <v>8</v>
      </c>
      <c r="E5538" s="15" t="s">
        <v>8</v>
      </c>
      <c r="G5538" s="15" t="s">
        <v>8</v>
      </c>
      <c r="I5538" s="15" t="s">
        <v>8</v>
      </c>
      <c r="M5538" s="15" t="s">
        <v>8</v>
      </c>
      <c r="N5538" s="20" t="str">
        <f>HYPERLINK("http://yeinfo.com/family/I09005728.html", "ANN HARPER 1570 EN-1590 EN ID:09005729")</f>
        <v>ANN HARPER 1570 EN-1590 EN ID:09005729</v>
      </c>
      <c r="O5538" s="17"/>
      <c r="P5538" s="17"/>
      <c r="Q5538" s="17"/>
      <c r="R5538" s="17"/>
    </row>
    <row r="5539" spans="3:19" x14ac:dyDescent="0.35">
      <c r="C5539" s="15" t="s">
        <v>8</v>
      </c>
      <c r="E5539" s="15" t="s">
        <v>8</v>
      </c>
      <c r="G5539" s="15" t="s">
        <v>8</v>
      </c>
      <c r="I5539" s="15" t="s">
        <v>8</v>
      </c>
      <c r="M5539" s="15" t="s">
        <v>8</v>
      </c>
    </row>
    <row r="5540" spans="3:19" x14ac:dyDescent="0.35">
      <c r="C5540" s="15" t="s">
        <v>8</v>
      </c>
      <c r="E5540" s="15" t="s">
        <v>8</v>
      </c>
      <c r="G5540" s="15" t="s">
        <v>8</v>
      </c>
      <c r="I5540" s="15" t="s">
        <v>8</v>
      </c>
      <c r="L5540" s="5" t="str">
        <f>HYPERLINK("http://yeinfo.com/family/I09000716.html", "JOSIAH\JAMES WHITCOMB 1638 MA-1718 MA ID:09001432")</f>
        <v>JOSIAH\JAMES WHITCOMB 1638 MA-1718 MA ID:09001432</v>
      </c>
      <c r="M5540" s="3"/>
      <c r="N5540" s="3"/>
      <c r="O5540" s="3"/>
      <c r="P5540" s="3"/>
      <c r="Q5540" s="3"/>
    </row>
    <row r="5541" spans="3:19" x14ac:dyDescent="0.35">
      <c r="C5541" s="15" t="s">
        <v>8</v>
      </c>
      <c r="E5541" s="15" t="s">
        <v>8</v>
      </c>
      <c r="G5541" s="15" t="s">
        <v>8</v>
      </c>
      <c r="I5541" s="15" t="s">
        <v>8</v>
      </c>
      <c r="L5541" s="8" t="s">
        <v>3</v>
      </c>
      <c r="M5541" s="15" t="s">
        <v>8</v>
      </c>
    </row>
    <row r="5542" spans="3:19" x14ac:dyDescent="0.35">
      <c r="C5542" s="15" t="s">
        <v>8</v>
      </c>
      <c r="E5542" s="15" t="s">
        <v>8</v>
      </c>
      <c r="G5542" s="15" t="s">
        <v>8</v>
      </c>
      <c r="I5542" s="15" t="s">
        <v>8</v>
      </c>
      <c r="L5542" s="15" t="s">
        <v>8</v>
      </c>
      <c r="M5542" s="15" t="s">
        <v>8</v>
      </c>
      <c r="O5542" s="19" t="str">
        <f>HYPERLINK("http://yeinfo.com/family/I09005730.html", "HENRY COGGAN 1545 EN-1585 EN ID:09011460")</f>
        <v>HENRY COGGAN 1545 EN-1585 EN ID:09011460</v>
      </c>
      <c r="P5542" s="9"/>
      <c r="Q5542" s="9"/>
      <c r="R5542" s="9"/>
      <c r="S5542" s="9"/>
    </row>
    <row r="5543" spans="3:19" x14ac:dyDescent="0.35">
      <c r="C5543" s="15" t="s">
        <v>8</v>
      </c>
      <c r="E5543" s="15" t="s">
        <v>8</v>
      </c>
      <c r="G5543" s="15" t="s">
        <v>8</v>
      </c>
      <c r="I5543" s="15" t="s">
        <v>8</v>
      </c>
      <c r="L5543" s="15" t="s">
        <v>8</v>
      </c>
      <c r="M5543" s="15" t="s">
        <v>8</v>
      </c>
      <c r="O5543" s="8" t="s">
        <v>3</v>
      </c>
    </row>
    <row r="5544" spans="3:19" x14ac:dyDescent="0.35">
      <c r="C5544" s="15" t="s">
        <v>8</v>
      </c>
      <c r="E5544" s="15" t="s">
        <v>8</v>
      </c>
      <c r="G5544" s="15" t="s">
        <v>8</v>
      </c>
      <c r="I5544" s="15" t="s">
        <v>8</v>
      </c>
      <c r="L5544" s="15" t="s">
        <v>8</v>
      </c>
      <c r="M5544" s="15" t="s">
        <v>8</v>
      </c>
      <c r="N5544" s="5" t="str">
        <f>HYPERLINK("http://yeinfo.com/family/I09002865.html", "HENRY COGGAN 1585 EN-1612  ID:09005730")</f>
        <v>HENRY COGGAN 1585 EN-1612  ID:09005730</v>
      </c>
      <c r="O5544" s="3"/>
      <c r="P5544" s="3"/>
      <c r="Q5544" s="3"/>
      <c r="R5544" s="3"/>
    </row>
    <row r="5545" spans="3:19" x14ac:dyDescent="0.35">
      <c r="C5545" s="15" t="s">
        <v>8</v>
      </c>
      <c r="E5545" s="15" t="s">
        <v>8</v>
      </c>
      <c r="G5545" s="15" t="s">
        <v>8</v>
      </c>
      <c r="I5545" s="15" t="s">
        <v>8</v>
      </c>
      <c r="L5545" s="15" t="s">
        <v>8</v>
      </c>
      <c r="M5545" s="15" t="s">
        <v>8</v>
      </c>
      <c r="N5545" s="8" t="s">
        <v>3</v>
      </c>
      <c r="O5545" s="8" t="s">
        <v>6</v>
      </c>
    </row>
    <row r="5546" spans="3:19" x14ac:dyDescent="0.35">
      <c r="C5546" s="15" t="s">
        <v>8</v>
      </c>
      <c r="E5546" s="15" t="s">
        <v>8</v>
      </c>
      <c r="G5546" s="15" t="s">
        <v>8</v>
      </c>
      <c r="I5546" s="15" t="s">
        <v>8</v>
      </c>
      <c r="L5546" s="15" t="s">
        <v>8</v>
      </c>
      <c r="M5546" s="15" t="s">
        <v>8</v>
      </c>
      <c r="N5546" s="15" t="s">
        <v>8</v>
      </c>
      <c r="O5546" s="20" t="str">
        <f>HYPERLINK("http://yeinfo.com/family/I09011460.html", "ELIZABETH CARYE 1544 EN-1615 EN ID:09011461")</f>
        <v>ELIZABETH CARYE 1544 EN-1615 EN ID:09011461</v>
      </c>
      <c r="P5546" s="17"/>
      <c r="Q5546" s="17"/>
      <c r="R5546" s="17"/>
      <c r="S5546" s="17"/>
    </row>
    <row r="5547" spans="3:19" x14ac:dyDescent="0.35">
      <c r="C5547" s="15" t="s">
        <v>8</v>
      </c>
      <c r="E5547" s="15" t="s">
        <v>8</v>
      </c>
      <c r="G5547" s="15" t="s">
        <v>8</v>
      </c>
      <c r="I5547" s="15" t="s">
        <v>8</v>
      </c>
      <c r="L5547" s="15" t="s">
        <v>8</v>
      </c>
      <c r="M5547" s="8" t="s">
        <v>6</v>
      </c>
      <c r="N5547" s="15" t="s">
        <v>8</v>
      </c>
    </row>
    <row r="5548" spans="3:19" x14ac:dyDescent="0.35">
      <c r="C5548" s="15" t="s">
        <v>8</v>
      </c>
      <c r="E5548" s="15" t="s">
        <v>8</v>
      </c>
      <c r="G5548" s="15" t="s">
        <v>8</v>
      </c>
      <c r="I5548" s="15" t="s">
        <v>8</v>
      </c>
      <c r="L5548" s="15" t="s">
        <v>8</v>
      </c>
      <c r="M5548" s="16" t="str">
        <f>HYPERLINK("http://yeinfo.com/family/I09005729.html", "FRANCES COGGAN 1605 -1671  ID:09002865")</f>
        <v>FRANCES COGGAN 1605 -1671  ID:09002865</v>
      </c>
      <c r="N5548" s="11"/>
      <c r="O5548" s="11"/>
      <c r="P5548" s="11"/>
      <c r="Q5548" s="11"/>
    </row>
    <row r="5549" spans="3:19" x14ac:dyDescent="0.35">
      <c r="C5549" s="15" t="s">
        <v>8</v>
      </c>
      <c r="E5549" s="15" t="s">
        <v>8</v>
      </c>
      <c r="G5549" s="15" t="s">
        <v>8</v>
      </c>
      <c r="I5549" s="15" t="s">
        <v>8</v>
      </c>
      <c r="L5549" s="15" t="s">
        <v>8</v>
      </c>
      <c r="N5549" s="8" t="s">
        <v>6</v>
      </c>
    </row>
    <row r="5550" spans="3:19" x14ac:dyDescent="0.35">
      <c r="C5550" s="15" t="s">
        <v>8</v>
      </c>
      <c r="E5550" s="15" t="s">
        <v>8</v>
      </c>
      <c r="G5550" s="15" t="s">
        <v>8</v>
      </c>
      <c r="I5550" s="15" t="s">
        <v>8</v>
      </c>
      <c r="L5550" s="15" t="s">
        <v>8</v>
      </c>
      <c r="N5550" s="20" t="str">
        <f>HYPERLINK("http://yeinfo.com/family/I09011461.html", "JOANE BORIDGE 1600 EN-1620 EN ID:09005731")</f>
        <v>JOANE BORIDGE 1600 EN-1620 EN ID:09005731</v>
      </c>
      <c r="O5550" s="17"/>
      <c r="P5550" s="17"/>
      <c r="Q5550" s="17"/>
      <c r="R5550" s="17"/>
    </row>
    <row r="5551" spans="3:19" x14ac:dyDescent="0.35">
      <c r="C5551" s="15" t="s">
        <v>8</v>
      </c>
      <c r="E5551" s="15" t="s">
        <v>8</v>
      </c>
      <c r="G5551" s="15" t="s">
        <v>8</v>
      </c>
      <c r="I5551" s="15" t="s">
        <v>8</v>
      </c>
      <c r="L5551" s="15" t="s">
        <v>8</v>
      </c>
    </row>
    <row r="5552" spans="3:19" x14ac:dyDescent="0.35">
      <c r="C5552" s="15" t="s">
        <v>8</v>
      </c>
      <c r="E5552" s="15" t="s">
        <v>8</v>
      </c>
      <c r="G5552" s="15" t="s">
        <v>8</v>
      </c>
      <c r="I5552" s="15" t="s">
        <v>8</v>
      </c>
      <c r="K5552" s="5" t="str">
        <f>HYPERLINK("http://yeinfo.com/family/I09000358.html", "HEZEKIAH WHITCOMB 1681 MA-1732  ID:09000716")</f>
        <v>HEZEKIAH WHITCOMB 1681 MA-1732  ID:09000716</v>
      </c>
      <c r="L5552" s="3"/>
      <c r="M5552" s="3"/>
      <c r="N5552" s="3"/>
      <c r="O5552" s="3"/>
    </row>
    <row r="5553" spans="3:19" x14ac:dyDescent="0.35">
      <c r="C5553" s="15" t="s">
        <v>8</v>
      </c>
      <c r="E5553" s="15" t="s">
        <v>8</v>
      </c>
      <c r="G5553" s="15" t="s">
        <v>8</v>
      </c>
      <c r="I5553" s="15" t="s">
        <v>8</v>
      </c>
      <c r="K5553" s="8" t="s">
        <v>3</v>
      </c>
      <c r="L5553" s="15" t="s">
        <v>8</v>
      </c>
    </row>
    <row r="5554" spans="3:19" x14ac:dyDescent="0.35">
      <c r="C5554" s="15" t="s">
        <v>8</v>
      </c>
      <c r="E5554" s="15" t="s">
        <v>8</v>
      </c>
      <c r="G5554" s="15" t="s">
        <v>8</v>
      </c>
      <c r="I5554" s="15" t="s">
        <v>8</v>
      </c>
      <c r="K5554" s="15" t="s">
        <v>8</v>
      </c>
      <c r="L5554" s="15" t="s">
        <v>8</v>
      </c>
      <c r="N5554" s="19" t="str">
        <f>HYPERLINK("http://yeinfo.com/family/I09002866.html", "JAMES WATERS &lt;2&gt; 1568 EN-1617 EN ID:09005732")</f>
        <v>JAMES WATERS &lt;2&gt; 1568 EN-1617 EN ID:09005732</v>
      </c>
      <c r="O5554" s="9"/>
      <c r="P5554" s="9"/>
      <c r="Q5554" s="9"/>
      <c r="R5554" s="9"/>
    </row>
    <row r="5555" spans="3:19" x14ac:dyDescent="0.35">
      <c r="C5555" s="15" t="s">
        <v>8</v>
      </c>
      <c r="E5555" s="15" t="s">
        <v>8</v>
      </c>
      <c r="G5555" s="15" t="s">
        <v>8</v>
      </c>
      <c r="I5555" s="15" t="s">
        <v>8</v>
      </c>
      <c r="K5555" s="15" t="s">
        <v>8</v>
      </c>
      <c r="L5555" s="15" t="s">
        <v>8</v>
      </c>
      <c r="N5555" s="8" t="s">
        <v>3</v>
      </c>
    </row>
    <row r="5556" spans="3:19" x14ac:dyDescent="0.35">
      <c r="C5556" s="15" t="s">
        <v>8</v>
      </c>
      <c r="E5556" s="15" t="s">
        <v>8</v>
      </c>
      <c r="G5556" s="15" t="s">
        <v>8</v>
      </c>
      <c r="I5556" s="15" t="s">
        <v>8</v>
      </c>
      <c r="K5556" s="15" t="s">
        <v>8</v>
      </c>
      <c r="L5556" s="15" t="s">
        <v>8</v>
      </c>
      <c r="M5556" s="21" t="str">
        <f>HYPERLINK("http://yeinfo.com/family/I09001433.html", "LAWRENCE WATERS 1602 EN-1687 MA ID:09002866")</f>
        <v>LAWRENCE WATERS 1602 EN-1687 MA ID:09002866</v>
      </c>
      <c r="N5556" s="6"/>
      <c r="O5556" s="6"/>
      <c r="P5556" s="6"/>
      <c r="Q5556" s="6"/>
    </row>
    <row r="5557" spans="3:19" x14ac:dyDescent="0.35">
      <c r="C5557" s="15" t="s">
        <v>8</v>
      </c>
      <c r="E5557" s="15" t="s">
        <v>8</v>
      </c>
      <c r="G5557" s="15" t="s">
        <v>8</v>
      </c>
      <c r="I5557" s="15" t="s">
        <v>8</v>
      </c>
      <c r="K5557" s="15" t="s">
        <v>8</v>
      </c>
      <c r="L5557" s="15" t="s">
        <v>8</v>
      </c>
      <c r="M5557" s="8" t="s">
        <v>3</v>
      </c>
      <c r="N5557" s="8" t="s">
        <v>6</v>
      </c>
    </row>
    <row r="5558" spans="3:19" x14ac:dyDescent="0.35">
      <c r="C5558" s="15" t="s">
        <v>8</v>
      </c>
      <c r="E5558" s="15" t="s">
        <v>8</v>
      </c>
      <c r="G5558" s="15" t="s">
        <v>8</v>
      </c>
      <c r="I5558" s="15" t="s">
        <v>8</v>
      </c>
      <c r="K5558" s="15" t="s">
        <v>8</v>
      </c>
      <c r="L5558" s="15" t="s">
        <v>8</v>
      </c>
      <c r="M5558" s="15" t="s">
        <v>8</v>
      </c>
      <c r="N5558" s="22" t="str">
        <f>HYPERLINK("http://yeinfo.com/family/I09005732.html", "PHEBE MANNING &lt;2&gt; 1572 EN-1642 MA ID:09005733")</f>
        <v>PHEBE MANNING &lt;2&gt; 1572 EN-1642 MA ID:09005733</v>
      </c>
      <c r="O5558" s="13"/>
      <c r="P5558" s="13"/>
      <c r="Q5558" s="13"/>
      <c r="R5558" s="13"/>
    </row>
    <row r="5559" spans="3:19" x14ac:dyDescent="0.35">
      <c r="C5559" s="15" t="s">
        <v>8</v>
      </c>
      <c r="E5559" s="15" t="s">
        <v>8</v>
      </c>
      <c r="G5559" s="15" t="s">
        <v>8</v>
      </c>
      <c r="I5559" s="15" t="s">
        <v>8</v>
      </c>
      <c r="K5559" s="15" t="s">
        <v>8</v>
      </c>
      <c r="L5559" s="8" t="s">
        <v>6</v>
      </c>
      <c r="M5559" s="15" t="s">
        <v>8</v>
      </c>
    </row>
    <row r="5560" spans="3:19" x14ac:dyDescent="0.35">
      <c r="C5560" s="15" t="s">
        <v>8</v>
      </c>
      <c r="E5560" s="15" t="s">
        <v>8</v>
      </c>
      <c r="G5560" s="15" t="s">
        <v>8</v>
      </c>
      <c r="I5560" s="15" t="s">
        <v>8</v>
      </c>
      <c r="K5560" s="15" t="s">
        <v>8</v>
      </c>
      <c r="L5560" s="16" t="str">
        <f>HYPERLINK("http://yeinfo.com/family/I09005731.html", "REBECCA WATERS 1640 -1726  ID:09001433")</f>
        <v>REBECCA WATERS 1640 -1726  ID:09001433</v>
      </c>
      <c r="M5560" s="11"/>
      <c r="N5560" s="11"/>
      <c r="O5560" s="11"/>
      <c r="P5560" s="11"/>
    </row>
    <row r="5561" spans="3:19" x14ac:dyDescent="0.35">
      <c r="C5561" s="15" t="s">
        <v>8</v>
      </c>
      <c r="E5561" s="15" t="s">
        <v>8</v>
      </c>
      <c r="G5561" s="15" t="s">
        <v>8</v>
      </c>
      <c r="I5561" s="15" t="s">
        <v>8</v>
      </c>
      <c r="K5561" s="15" t="s">
        <v>8</v>
      </c>
      <c r="M5561" s="15" t="s">
        <v>8</v>
      </c>
    </row>
    <row r="5562" spans="3:19" x14ac:dyDescent="0.35">
      <c r="C5562" s="15" t="s">
        <v>8</v>
      </c>
      <c r="E5562" s="15" t="s">
        <v>8</v>
      </c>
      <c r="G5562" s="15" t="s">
        <v>8</v>
      </c>
      <c r="I5562" s="15" t="s">
        <v>8</v>
      </c>
      <c r="K5562" s="15" t="s">
        <v>8</v>
      </c>
      <c r="M5562" s="15" t="s">
        <v>8</v>
      </c>
      <c r="N5562" s="21" t="str">
        <f>HYPERLINK("http://yeinfo.com/family/I09002867.html", "RICHARD LINTON III 1585 EN-1665 MA ID:09005734")</f>
        <v>RICHARD LINTON III 1585 EN-1665 MA ID:09005734</v>
      </c>
      <c r="O5562" s="6"/>
      <c r="P5562" s="6"/>
      <c r="Q5562" s="6"/>
      <c r="R5562" s="6"/>
    </row>
    <row r="5563" spans="3:19" x14ac:dyDescent="0.35">
      <c r="C5563" s="15" t="s">
        <v>8</v>
      </c>
      <c r="E5563" s="15" t="s">
        <v>8</v>
      </c>
      <c r="G5563" s="15" t="s">
        <v>8</v>
      </c>
      <c r="I5563" s="15" t="s">
        <v>8</v>
      </c>
      <c r="K5563" s="15" t="s">
        <v>8</v>
      </c>
      <c r="M5563" s="8" t="s">
        <v>6</v>
      </c>
      <c r="N5563" s="8" t="s">
        <v>3</v>
      </c>
    </row>
    <row r="5564" spans="3:19" x14ac:dyDescent="0.35">
      <c r="C5564" s="15" t="s">
        <v>8</v>
      </c>
      <c r="E5564" s="15" t="s">
        <v>8</v>
      </c>
      <c r="G5564" s="15" t="s">
        <v>8</v>
      </c>
      <c r="I5564" s="15" t="s">
        <v>8</v>
      </c>
      <c r="K5564" s="15" t="s">
        <v>8</v>
      </c>
      <c r="M5564" s="16" t="str">
        <f>HYPERLINK("http://yeinfo.com/family/I09005733.html", "ANN\ANNA LINTON 1612 -1680 MA ID:09002867")</f>
        <v>ANN\ANNA LINTON 1612 -1680 MA ID:09002867</v>
      </c>
      <c r="N5564" s="11"/>
      <c r="O5564" s="11"/>
      <c r="P5564" s="11"/>
      <c r="Q5564" s="11"/>
      <c r="R5564" s="11"/>
    </row>
    <row r="5565" spans="3:19" x14ac:dyDescent="0.35">
      <c r="C5565" s="15" t="s">
        <v>8</v>
      </c>
      <c r="E5565" s="15" t="s">
        <v>8</v>
      </c>
      <c r="G5565" s="15" t="s">
        <v>8</v>
      </c>
      <c r="I5565" s="15" t="s">
        <v>8</v>
      </c>
      <c r="K5565" s="15" t="s">
        <v>8</v>
      </c>
      <c r="N5565" s="15" t="s">
        <v>8</v>
      </c>
    </row>
    <row r="5566" spans="3:19" x14ac:dyDescent="0.35">
      <c r="C5566" s="15" t="s">
        <v>8</v>
      </c>
      <c r="E5566" s="15" t="s">
        <v>8</v>
      </c>
      <c r="G5566" s="15" t="s">
        <v>8</v>
      </c>
      <c r="I5566" s="15" t="s">
        <v>8</v>
      </c>
      <c r="K5566" s="15" t="s">
        <v>8</v>
      </c>
      <c r="N5566" s="15" t="s">
        <v>8</v>
      </c>
      <c r="O5566" s="19" t="str">
        <f>HYPERLINK("http://yeinfo.com/family/I09005735.html", "WILLIAM HAYWARD &lt;3&gt; 1550 EN-1640 EN ID:09011470")</f>
        <v>WILLIAM HAYWARD &lt;3&gt; 1550 EN-1640 EN ID:09011470</v>
      </c>
      <c r="P5566" s="9"/>
      <c r="Q5566" s="9"/>
      <c r="R5566" s="9"/>
      <c r="S5566" s="9"/>
    </row>
    <row r="5567" spans="3:19" x14ac:dyDescent="0.35">
      <c r="C5567" s="15" t="s">
        <v>8</v>
      </c>
      <c r="E5567" s="15" t="s">
        <v>8</v>
      </c>
      <c r="G5567" s="15" t="s">
        <v>8</v>
      </c>
      <c r="I5567" s="15" t="s">
        <v>8</v>
      </c>
      <c r="K5567" s="15" t="s">
        <v>8</v>
      </c>
      <c r="N5567" s="8" t="s">
        <v>6</v>
      </c>
      <c r="O5567" s="8" t="s">
        <v>3</v>
      </c>
    </row>
    <row r="5568" spans="3:19" x14ac:dyDescent="0.35">
      <c r="C5568" s="15" t="s">
        <v>8</v>
      </c>
      <c r="E5568" s="15" t="s">
        <v>8</v>
      </c>
      <c r="G5568" s="15" t="s">
        <v>8</v>
      </c>
      <c r="I5568" s="15" t="s">
        <v>8</v>
      </c>
      <c r="K5568" s="15" t="s">
        <v>8</v>
      </c>
      <c r="N5568" s="22" t="str">
        <f>HYPERLINK("http://yeinfo.com/family/I09005734.html", "ELIZABETH HAYWARD 1585 EN-1612 MA ID:09005735")</f>
        <v>ELIZABETH HAYWARD 1585 EN-1612 MA ID:09005735</v>
      </c>
      <c r="O5568" s="13"/>
      <c r="P5568" s="13"/>
      <c r="Q5568" s="13"/>
      <c r="R5568" s="13"/>
    </row>
    <row r="5569" spans="3:19" x14ac:dyDescent="0.35">
      <c r="C5569" s="15" t="s">
        <v>8</v>
      </c>
      <c r="E5569" s="15" t="s">
        <v>8</v>
      </c>
      <c r="G5569" s="15" t="s">
        <v>8</v>
      </c>
      <c r="I5569" s="15" t="s">
        <v>8</v>
      </c>
      <c r="K5569" s="15" t="s">
        <v>8</v>
      </c>
      <c r="O5569" s="8" t="s">
        <v>6</v>
      </c>
    </row>
    <row r="5570" spans="3:19" x14ac:dyDescent="0.35">
      <c r="C5570" s="15" t="s">
        <v>8</v>
      </c>
      <c r="E5570" s="15" t="s">
        <v>8</v>
      </c>
      <c r="G5570" s="15" t="s">
        <v>8</v>
      </c>
      <c r="I5570" s="15" t="s">
        <v>8</v>
      </c>
      <c r="K5570" s="15" t="s">
        <v>8</v>
      </c>
      <c r="O5570" s="20" t="str">
        <f>HYPERLINK("http://yeinfo.com/family/I09011470.html", "MARGERY THAYER &lt;3&gt; 1543 EN-1588 EN ID:09011471")</f>
        <v>MARGERY THAYER &lt;3&gt; 1543 EN-1588 EN ID:09011471</v>
      </c>
      <c r="P5570" s="17"/>
      <c r="Q5570" s="17"/>
      <c r="R5570" s="17"/>
      <c r="S5570" s="17"/>
    </row>
    <row r="5571" spans="3:19" x14ac:dyDescent="0.35">
      <c r="C5571" s="15" t="s">
        <v>8</v>
      </c>
      <c r="E5571" s="15" t="s">
        <v>8</v>
      </c>
      <c r="G5571" s="15" t="s">
        <v>8</v>
      </c>
      <c r="I5571" s="15" t="s">
        <v>8</v>
      </c>
      <c r="K5571" s="15" t="s">
        <v>8</v>
      </c>
    </row>
    <row r="5572" spans="3:19" x14ac:dyDescent="0.35">
      <c r="C5572" s="15" t="s">
        <v>8</v>
      </c>
      <c r="E5572" s="15" t="s">
        <v>8</v>
      </c>
      <c r="G5572" s="15" t="s">
        <v>8</v>
      </c>
      <c r="I5572" s="15" t="s">
        <v>8</v>
      </c>
      <c r="J5572" s="5" t="str">
        <f>HYPERLINK("http://yeinfo.com/family/I09000179.html", "HEZEKIAH WILLIAM WHITCOMB 1707 MA-1744 MA ID:09000358")</f>
        <v>HEZEKIAH WILLIAM WHITCOMB 1707 MA-1744 MA ID:09000358</v>
      </c>
      <c r="K5572" s="3"/>
      <c r="L5572" s="3"/>
      <c r="M5572" s="3"/>
      <c r="N5572" s="3"/>
    </row>
    <row r="5573" spans="3:19" x14ac:dyDescent="0.35">
      <c r="C5573" s="15" t="s">
        <v>8</v>
      </c>
      <c r="E5573" s="15" t="s">
        <v>8</v>
      </c>
      <c r="G5573" s="15" t="s">
        <v>8</v>
      </c>
      <c r="I5573" s="15" t="s">
        <v>8</v>
      </c>
      <c r="J5573" s="8" t="s">
        <v>3</v>
      </c>
      <c r="K5573" s="15" t="s">
        <v>8</v>
      </c>
    </row>
    <row r="5574" spans="3:19" x14ac:dyDescent="0.35">
      <c r="C5574" s="15" t="s">
        <v>8</v>
      </c>
      <c r="E5574" s="15" t="s">
        <v>8</v>
      </c>
      <c r="G5574" s="15" t="s">
        <v>8</v>
      </c>
      <c r="I5574" s="15" t="s">
        <v>8</v>
      </c>
      <c r="J5574" s="15" t="s">
        <v>8</v>
      </c>
      <c r="K5574" s="15" t="s">
        <v>8</v>
      </c>
      <c r="N5574" s="19" t="str">
        <f>HYPERLINK("http://yeinfo.com/family/I09002868.html", "EDWARD GREEN 1570 EN-1648 EN ID:09005736")</f>
        <v>EDWARD GREEN 1570 EN-1648 EN ID:09005736</v>
      </c>
      <c r="O5574" s="9"/>
      <c r="P5574" s="9"/>
      <c r="Q5574" s="9"/>
      <c r="R5574" s="9"/>
    </row>
    <row r="5575" spans="3:19" x14ac:dyDescent="0.35">
      <c r="C5575" s="15" t="s">
        <v>8</v>
      </c>
      <c r="E5575" s="15" t="s">
        <v>8</v>
      </c>
      <c r="G5575" s="15" t="s">
        <v>8</v>
      </c>
      <c r="I5575" s="15" t="s">
        <v>8</v>
      </c>
      <c r="J5575" s="15" t="s">
        <v>8</v>
      </c>
      <c r="K5575" s="15" t="s">
        <v>8</v>
      </c>
      <c r="N5575" s="8" t="s">
        <v>3</v>
      </c>
    </row>
    <row r="5576" spans="3:19" x14ac:dyDescent="0.35">
      <c r="C5576" s="15" t="s">
        <v>8</v>
      </c>
      <c r="E5576" s="15" t="s">
        <v>8</v>
      </c>
      <c r="G5576" s="15" t="s">
        <v>8</v>
      </c>
      <c r="I5576" s="15" t="s">
        <v>8</v>
      </c>
      <c r="J5576" s="15" t="s">
        <v>8</v>
      </c>
      <c r="K5576" s="15" t="s">
        <v>8</v>
      </c>
      <c r="M5576" s="21" t="str">
        <f>HYPERLINK("http://yeinfo.com/family/I09001434.html", "JOHN GREEN 1593 EN-1658 MA ID:09002868")</f>
        <v>JOHN GREEN 1593 EN-1658 MA ID:09002868</v>
      </c>
      <c r="N5576" s="6"/>
      <c r="O5576" s="6"/>
      <c r="P5576" s="6"/>
      <c r="Q5576" s="6"/>
    </row>
    <row r="5577" spans="3:19" x14ac:dyDescent="0.35">
      <c r="C5577" s="15" t="s">
        <v>8</v>
      </c>
      <c r="E5577" s="15" t="s">
        <v>8</v>
      </c>
      <c r="G5577" s="15" t="s">
        <v>8</v>
      </c>
      <c r="I5577" s="15" t="s">
        <v>8</v>
      </c>
      <c r="J5577" s="15" t="s">
        <v>8</v>
      </c>
      <c r="K5577" s="15" t="s">
        <v>8</v>
      </c>
      <c r="M5577" s="8" t="s">
        <v>3</v>
      </c>
      <c r="N5577" s="8" t="s">
        <v>6</v>
      </c>
    </row>
    <row r="5578" spans="3:19" x14ac:dyDescent="0.35">
      <c r="C5578" s="15" t="s">
        <v>8</v>
      </c>
      <c r="E5578" s="15" t="s">
        <v>8</v>
      </c>
      <c r="G5578" s="15" t="s">
        <v>8</v>
      </c>
      <c r="I5578" s="15" t="s">
        <v>8</v>
      </c>
      <c r="J5578" s="15" t="s">
        <v>8</v>
      </c>
      <c r="K5578" s="15" t="s">
        <v>8</v>
      </c>
      <c r="M5578" s="15" t="s">
        <v>8</v>
      </c>
      <c r="N5578" s="20" t="str">
        <f>HYPERLINK("http://yeinfo.com/family/I09005736.html", "Mrs. ELIZABETH GREEN 1570 EN-1593 EN ID:09005737")</f>
        <v>Mrs. ELIZABETH GREEN 1570 EN-1593 EN ID:09005737</v>
      </c>
      <c r="O5578" s="17"/>
      <c r="P5578" s="17"/>
      <c r="Q5578" s="17"/>
      <c r="R5578" s="17"/>
    </row>
    <row r="5579" spans="3:19" x14ac:dyDescent="0.35">
      <c r="C5579" s="15" t="s">
        <v>8</v>
      </c>
      <c r="E5579" s="15" t="s">
        <v>8</v>
      </c>
      <c r="G5579" s="15" t="s">
        <v>8</v>
      </c>
      <c r="I5579" s="15" t="s">
        <v>8</v>
      </c>
      <c r="J5579" s="15" t="s">
        <v>8</v>
      </c>
      <c r="K5579" s="15" t="s">
        <v>8</v>
      </c>
      <c r="M5579" s="15" t="s">
        <v>8</v>
      </c>
    </row>
    <row r="5580" spans="3:19" x14ac:dyDescent="0.35">
      <c r="C5580" s="15" t="s">
        <v>8</v>
      </c>
      <c r="E5580" s="15" t="s">
        <v>8</v>
      </c>
      <c r="G5580" s="15" t="s">
        <v>8</v>
      </c>
      <c r="I5580" s="15" t="s">
        <v>8</v>
      </c>
      <c r="J5580" s="15" t="s">
        <v>8</v>
      </c>
      <c r="K5580" s="15" t="s">
        <v>8</v>
      </c>
      <c r="L5580" s="21" t="str">
        <f>HYPERLINK("http://yeinfo.com/family/I09000717.html", "WILLIAM GREEN 1625 EN-1713 MA ID:09001434")</f>
        <v>WILLIAM GREEN 1625 EN-1713 MA ID:09001434</v>
      </c>
      <c r="M5580" s="6"/>
      <c r="N5580" s="6"/>
      <c r="O5580" s="6"/>
      <c r="P5580" s="6"/>
    </row>
    <row r="5581" spans="3:19" x14ac:dyDescent="0.35">
      <c r="C5581" s="15" t="s">
        <v>8</v>
      </c>
      <c r="E5581" s="15" t="s">
        <v>8</v>
      </c>
      <c r="G5581" s="15" t="s">
        <v>8</v>
      </c>
      <c r="I5581" s="15" t="s">
        <v>8</v>
      </c>
      <c r="J5581" s="15" t="s">
        <v>8</v>
      </c>
      <c r="K5581" s="15" t="s">
        <v>8</v>
      </c>
      <c r="L5581" s="8" t="s">
        <v>3</v>
      </c>
      <c r="M5581" s="15" t="s">
        <v>8</v>
      </c>
    </row>
    <row r="5582" spans="3:19" x14ac:dyDescent="0.35">
      <c r="C5582" s="15" t="s">
        <v>8</v>
      </c>
      <c r="E5582" s="15" t="s">
        <v>8</v>
      </c>
      <c r="G5582" s="15" t="s">
        <v>8</v>
      </c>
      <c r="I5582" s="15" t="s">
        <v>8</v>
      </c>
      <c r="J5582" s="15" t="s">
        <v>8</v>
      </c>
      <c r="K5582" s="15" t="s">
        <v>8</v>
      </c>
      <c r="L5582" s="15" t="s">
        <v>8</v>
      </c>
      <c r="M5582" s="15" t="s">
        <v>8</v>
      </c>
      <c r="O5582" s="19" t="str">
        <f>HYPERLINK("http://yeinfo.com/family/I09005738.html", "JOHN JOHNSON 1540 EN-1562 EN ID:09011476")</f>
        <v>JOHN JOHNSON 1540 EN-1562 EN ID:09011476</v>
      </c>
      <c r="P5582" s="9"/>
      <c r="Q5582" s="9"/>
      <c r="R5582" s="9"/>
      <c r="S5582" s="9"/>
    </row>
    <row r="5583" spans="3:19" x14ac:dyDescent="0.35">
      <c r="C5583" s="15" t="s">
        <v>8</v>
      </c>
      <c r="E5583" s="15" t="s">
        <v>8</v>
      </c>
      <c r="G5583" s="15" t="s">
        <v>8</v>
      </c>
      <c r="I5583" s="15" t="s">
        <v>8</v>
      </c>
      <c r="J5583" s="15" t="s">
        <v>8</v>
      </c>
      <c r="K5583" s="15" t="s">
        <v>8</v>
      </c>
      <c r="L5583" s="15" t="s">
        <v>8</v>
      </c>
      <c r="M5583" s="15" t="s">
        <v>8</v>
      </c>
      <c r="O5583" s="8" t="s">
        <v>3</v>
      </c>
    </row>
    <row r="5584" spans="3:19" x14ac:dyDescent="0.35">
      <c r="C5584" s="15" t="s">
        <v>8</v>
      </c>
      <c r="E5584" s="15" t="s">
        <v>8</v>
      </c>
      <c r="G5584" s="15" t="s">
        <v>8</v>
      </c>
      <c r="I5584" s="15" t="s">
        <v>8</v>
      </c>
      <c r="J5584" s="15" t="s">
        <v>8</v>
      </c>
      <c r="K5584" s="15" t="s">
        <v>8</v>
      </c>
      <c r="L5584" s="15" t="s">
        <v>8</v>
      </c>
      <c r="M5584" s="15" t="s">
        <v>8</v>
      </c>
      <c r="N5584" s="19" t="str">
        <f>HYPERLINK("http://yeinfo.com/family/I09002869.html", "FRANCIS JOHNSON 1562 EN-1618 NT ID:09005738")</f>
        <v>FRANCIS JOHNSON 1562 EN-1618 NT ID:09005738</v>
      </c>
      <c r="O5584" s="9"/>
      <c r="P5584" s="9"/>
      <c r="Q5584" s="9"/>
      <c r="R5584" s="9"/>
    </row>
    <row r="5585" spans="3:20" x14ac:dyDescent="0.35">
      <c r="C5585" s="15" t="s">
        <v>8</v>
      </c>
      <c r="E5585" s="15" t="s">
        <v>8</v>
      </c>
      <c r="G5585" s="15" t="s">
        <v>8</v>
      </c>
      <c r="I5585" s="15" t="s">
        <v>8</v>
      </c>
      <c r="J5585" s="15" t="s">
        <v>8</v>
      </c>
      <c r="K5585" s="15" t="s">
        <v>8</v>
      </c>
      <c r="L5585" s="15" t="s">
        <v>8</v>
      </c>
      <c r="M5585" s="15" t="s">
        <v>8</v>
      </c>
      <c r="N5585" s="8" t="s">
        <v>3</v>
      </c>
      <c r="O5585" s="8" t="s">
        <v>6</v>
      </c>
    </row>
    <row r="5586" spans="3:20" x14ac:dyDescent="0.35">
      <c r="C5586" s="15" t="s">
        <v>8</v>
      </c>
      <c r="E5586" s="15" t="s">
        <v>8</v>
      </c>
      <c r="G5586" s="15" t="s">
        <v>8</v>
      </c>
      <c r="I5586" s="15" t="s">
        <v>8</v>
      </c>
      <c r="J5586" s="15" t="s">
        <v>8</v>
      </c>
      <c r="K5586" s="15" t="s">
        <v>8</v>
      </c>
      <c r="L5586" s="15" t="s">
        <v>8</v>
      </c>
      <c r="M5586" s="15" t="s">
        <v>8</v>
      </c>
      <c r="N5586" s="15" t="s">
        <v>8</v>
      </c>
      <c r="O5586" s="20" t="str">
        <f>HYPERLINK("http://yeinfo.com/family/I09011476.html", "Mrs. FRANCES JOHNSON 1540 EN-1562 EN ID:09011477")</f>
        <v>Mrs. FRANCES JOHNSON 1540 EN-1562 EN ID:09011477</v>
      </c>
      <c r="P5586" s="17"/>
      <c r="Q5586" s="17"/>
      <c r="R5586" s="17"/>
      <c r="S5586" s="17"/>
    </row>
    <row r="5587" spans="3:20" x14ac:dyDescent="0.35">
      <c r="C5587" s="15" t="s">
        <v>8</v>
      </c>
      <c r="E5587" s="15" t="s">
        <v>8</v>
      </c>
      <c r="G5587" s="15" t="s">
        <v>8</v>
      </c>
      <c r="I5587" s="15" t="s">
        <v>8</v>
      </c>
      <c r="J5587" s="15" t="s">
        <v>8</v>
      </c>
      <c r="K5587" s="15" t="s">
        <v>8</v>
      </c>
      <c r="L5587" s="15" t="s">
        <v>8</v>
      </c>
      <c r="M5587" s="8" t="s">
        <v>6</v>
      </c>
      <c r="N5587" s="15" t="s">
        <v>8</v>
      </c>
    </row>
    <row r="5588" spans="3:20" x14ac:dyDescent="0.35">
      <c r="C5588" s="15" t="s">
        <v>8</v>
      </c>
      <c r="E5588" s="15" t="s">
        <v>8</v>
      </c>
      <c r="G5588" s="15" t="s">
        <v>8</v>
      </c>
      <c r="I5588" s="15" t="s">
        <v>8</v>
      </c>
      <c r="J5588" s="15" t="s">
        <v>8</v>
      </c>
      <c r="K5588" s="15" t="s">
        <v>8</v>
      </c>
      <c r="L5588" s="15" t="s">
        <v>8</v>
      </c>
      <c r="M5588" s="22" t="str">
        <f>HYPERLINK("http://yeinfo.com/family/I09005737.html", "PERSEVERANCE JOHNSON 1593 EN-1625 MA ID:09002869")</f>
        <v>PERSEVERANCE JOHNSON 1593 EN-1625 MA ID:09002869</v>
      </c>
      <c r="N5588" s="13"/>
      <c r="O5588" s="13"/>
      <c r="P5588" s="13"/>
      <c r="Q5588" s="13"/>
    </row>
    <row r="5589" spans="3:20" x14ac:dyDescent="0.35">
      <c r="C5589" s="15" t="s">
        <v>8</v>
      </c>
      <c r="E5589" s="15" t="s">
        <v>8</v>
      </c>
      <c r="G5589" s="15" t="s">
        <v>8</v>
      </c>
      <c r="I5589" s="15" t="s">
        <v>8</v>
      </c>
      <c r="J5589" s="15" t="s">
        <v>8</v>
      </c>
      <c r="K5589" s="15" t="s">
        <v>8</v>
      </c>
      <c r="L5589" s="15" t="s">
        <v>8</v>
      </c>
      <c r="N5589" s="15" t="s">
        <v>8</v>
      </c>
    </row>
    <row r="5590" spans="3:20" x14ac:dyDescent="0.35">
      <c r="C5590" s="15" t="s">
        <v>8</v>
      </c>
      <c r="E5590" s="15" t="s">
        <v>8</v>
      </c>
      <c r="G5590" s="15" t="s">
        <v>8</v>
      </c>
      <c r="I5590" s="15" t="s">
        <v>8</v>
      </c>
      <c r="J5590" s="15" t="s">
        <v>8</v>
      </c>
      <c r="K5590" s="15" t="s">
        <v>8</v>
      </c>
      <c r="L5590" s="15" t="s">
        <v>8</v>
      </c>
      <c r="N5590" s="15" t="s">
        <v>8</v>
      </c>
      <c r="P5590" s="19" t="str">
        <f>HYPERLINK("http://yeinfo.com/family/I09011478.html", "RICHARD BOIS 1510 EN-1536 EN ID:09022956")</f>
        <v>RICHARD BOIS 1510 EN-1536 EN ID:09022956</v>
      </c>
      <c r="Q5590" s="9"/>
      <c r="R5590" s="9"/>
      <c r="S5590" s="9"/>
      <c r="T5590" s="9"/>
    </row>
    <row r="5591" spans="3:20" x14ac:dyDescent="0.35">
      <c r="C5591" s="15" t="s">
        <v>8</v>
      </c>
      <c r="E5591" s="15" t="s">
        <v>8</v>
      </c>
      <c r="G5591" s="15" t="s">
        <v>8</v>
      </c>
      <c r="I5591" s="15" t="s">
        <v>8</v>
      </c>
      <c r="J5591" s="15" t="s">
        <v>8</v>
      </c>
      <c r="K5591" s="15" t="s">
        <v>8</v>
      </c>
      <c r="L5591" s="15" t="s">
        <v>8</v>
      </c>
      <c r="N5591" s="15" t="s">
        <v>8</v>
      </c>
      <c r="P5591" s="8" t="s">
        <v>3</v>
      </c>
    </row>
    <row r="5592" spans="3:20" x14ac:dyDescent="0.35">
      <c r="C5592" s="15" t="s">
        <v>8</v>
      </c>
      <c r="E5592" s="15" t="s">
        <v>8</v>
      </c>
      <c r="G5592" s="15" t="s">
        <v>8</v>
      </c>
      <c r="I5592" s="15" t="s">
        <v>8</v>
      </c>
      <c r="J5592" s="15" t="s">
        <v>8</v>
      </c>
      <c r="K5592" s="15" t="s">
        <v>8</v>
      </c>
      <c r="L5592" s="15" t="s">
        <v>8</v>
      </c>
      <c r="N5592" s="15" t="s">
        <v>8</v>
      </c>
      <c r="O5592" s="19" t="str">
        <f>HYPERLINK("http://yeinfo.com/family/I09005739.html", "WILLIAM BOIS 1536 EN-1574 EN ID:09011478")</f>
        <v>WILLIAM BOIS 1536 EN-1574 EN ID:09011478</v>
      </c>
      <c r="P5592" s="9"/>
      <c r="Q5592" s="9"/>
      <c r="R5592" s="9"/>
      <c r="S5592" s="9"/>
    </row>
    <row r="5593" spans="3:20" x14ac:dyDescent="0.35">
      <c r="C5593" s="15" t="s">
        <v>8</v>
      </c>
      <c r="E5593" s="15" t="s">
        <v>8</v>
      </c>
      <c r="G5593" s="15" t="s">
        <v>8</v>
      </c>
      <c r="I5593" s="15" t="s">
        <v>8</v>
      </c>
      <c r="J5593" s="15" t="s">
        <v>8</v>
      </c>
      <c r="K5593" s="15" t="s">
        <v>8</v>
      </c>
      <c r="L5593" s="15" t="s">
        <v>8</v>
      </c>
      <c r="N5593" s="15" t="s">
        <v>8</v>
      </c>
      <c r="O5593" s="8" t="s">
        <v>3</v>
      </c>
      <c r="P5593" s="8" t="s">
        <v>6</v>
      </c>
    </row>
    <row r="5594" spans="3:20" x14ac:dyDescent="0.35">
      <c r="C5594" s="15" t="s">
        <v>8</v>
      </c>
      <c r="E5594" s="15" t="s">
        <v>8</v>
      </c>
      <c r="G5594" s="15" t="s">
        <v>8</v>
      </c>
      <c r="I5594" s="15" t="s">
        <v>8</v>
      </c>
      <c r="J5594" s="15" t="s">
        <v>8</v>
      </c>
      <c r="K5594" s="15" t="s">
        <v>8</v>
      </c>
      <c r="L5594" s="15" t="s">
        <v>8</v>
      </c>
      <c r="N5594" s="15" t="s">
        <v>8</v>
      </c>
      <c r="O5594" s="15" t="s">
        <v>8</v>
      </c>
      <c r="P5594" s="20" t="str">
        <f>HYPERLINK("http://yeinfo.com/family/I09022956.html", "AUDREYE COLVILLE 1510 EN-1536 EN ID:09022957")</f>
        <v>AUDREYE COLVILLE 1510 EN-1536 EN ID:09022957</v>
      </c>
      <c r="Q5594" s="17"/>
      <c r="R5594" s="17"/>
      <c r="S5594" s="17"/>
      <c r="T5594" s="17"/>
    </row>
    <row r="5595" spans="3:20" x14ac:dyDescent="0.35">
      <c r="C5595" s="15" t="s">
        <v>8</v>
      </c>
      <c r="E5595" s="15" t="s">
        <v>8</v>
      </c>
      <c r="G5595" s="15" t="s">
        <v>8</v>
      </c>
      <c r="I5595" s="15" t="s">
        <v>8</v>
      </c>
      <c r="J5595" s="15" t="s">
        <v>8</v>
      </c>
      <c r="K5595" s="15" t="s">
        <v>8</v>
      </c>
      <c r="L5595" s="15" t="s">
        <v>8</v>
      </c>
      <c r="N5595" s="8" t="s">
        <v>6</v>
      </c>
      <c r="O5595" s="15" t="s">
        <v>8</v>
      </c>
    </row>
    <row r="5596" spans="3:20" x14ac:dyDescent="0.35">
      <c r="C5596" s="15" t="s">
        <v>8</v>
      </c>
      <c r="E5596" s="15" t="s">
        <v>8</v>
      </c>
      <c r="G5596" s="15" t="s">
        <v>8</v>
      </c>
      <c r="I5596" s="15" t="s">
        <v>8</v>
      </c>
      <c r="J5596" s="15" t="s">
        <v>8</v>
      </c>
      <c r="K5596" s="15" t="s">
        <v>8</v>
      </c>
      <c r="L5596" s="15" t="s">
        <v>8</v>
      </c>
      <c r="N5596" s="22" t="str">
        <f>HYPERLINK("http://yeinfo.com/family/I09011477.html", "THOMASINE\JOHANNA BOIS 1574 EN-1594 MA ID:09005739")</f>
        <v>THOMASINE\JOHANNA BOIS 1574 EN-1594 MA ID:09005739</v>
      </c>
      <c r="O5596" s="13"/>
      <c r="P5596" s="13"/>
      <c r="Q5596" s="13"/>
      <c r="R5596" s="13"/>
      <c r="S5596" s="13"/>
    </row>
    <row r="5597" spans="3:20" x14ac:dyDescent="0.35">
      <c r="C5597" s="15" t="s">
        <v>8</v>
      </c>
      <c r="E5597" s="15" t="s">
        <v>8</v>
      </c>
      <c r="G5597" s="15" t="s">
        <v>8</v>
      </c>
      <c r="I5597" s="15" t="s">
        <v>8</v>
      </c>
      <c r="J5597" s="15" t="s">
        <v>8</v>
      </c>
      <c r="K5597" s="15" t="s">
        <v>8</v>
      </c>
      <c r="L5597" s="15" t="s">
        <v>8</v>
      </c>
      <c r="O5597" s="15" t="s">
        <v>8</v>
      </c>
    </row>
    <row r="5598" spans="3:20" x14ac:dyDescent="0.35">
      <c r="C5598" s="15" t="s">
        <v>8</v>
      </c>
      <c r="E5598" s="15" t="s">
        <v>8</v>
      </c>
      <c r="G5598" s="15" t="s">
        <v>8</v>
      </c>
      <c r="I5598" s="15" t="s">
        <v>8</v>
      </c>
      <c r="J5598" s="15" t="s">
        <v>8</v>
      </c>
      <c r="K5598" s="15" t="s">
        <v>8</v>
      </c>
      <c r="L5598" s="15" t="s">
        <v>8</v>
      </c>
      <c r="O5598" s="15" t="s">
        <v>8</v>
      </c>
      <c r="P5598" s="19" t="str">
        <f>HYPERLINK("http://yeinfo.com/family/I09011479.html", "SIMON BULWER 1525 EN-1546 EN ID:09022958")</f>
        <v>SIMON BULWER 1525 EN-1546 EN ID:09022958</v>
      </c>
      <c r="Q5598" s="9"/>
      <c r="R5598" s="9"/>
      <c r="S5598" s="9"/>
      <c r="T5598" s="9"/>
    </row>
    <row r="5599" spans="3:20" x14ac:dyDescent="0.35">
      <c r="C5599" s="15" t="s">
        <v>8</v>
      </c>
      <c r="E5599" s="15" t="s">
        <v>8</v>
      </c>
      <c r="G5599" s="15" t="s">
        <v>8</v>
      </c>
      <c r="I5599" s="15" t="s">
        <v>8</v>
      </c>
      <c r="J5599" s="15" t="s">
        <v>8</v>
      </c>
      <c r="K5599" s="15" t="s">
        <v>8</v>
      </c>
      <c r="L5599" s="15" t="s">
        <v>8</v>
      </c>
      <c r="O5599" s="8" t="s">
        <v>6</v>
      </c>
      <c r="P5599" s="8" t="s">
        <v>3</v>
      </c>
    </row>
    <row r="5600" spans="3:20" x14ac:dyDescent="0.35">
      <c r="C5600" s="15" t="s">
        <v>8</v>
      </c>
      <c r="E5600" s="15" t="s">
        <v>8</v>
      </c>
      <c r="G5600" s="15" t="s">
        <v>8</v>
      </c>
      <c r="I5600" s="15" t="s">
        <v>8</v>
      </c>
      <c r="J5600" s="15" t="s">
        <v>8</v>
      </c>
      <c r="K5600" s="15" t="s">
        <v>8</v>
      </c>
      <c r="L5600" s="15" t="s">
        <v>8</v>
      </c>
      <c r="O5600" s="20" t="str">
        <f>HYPERLINK("http://yeinfo.com/family/I09022957.html", "ALICE BULWER 1546 EN-1574 EN ID:09011479")</f>
        <v>ALICE BULWER 1546 EN-1574 EN ID:09011479</v>
      </c>
      <c r="P5600" s="17"/>
      <c r="Q5600" s="17"/>
      <c r="R5600" s="17"/>
      <c r="S5600" s="17"/>
    </row>
    <row r="5601" spans="3:20" x14ac:dyDescent="0.35">
      <c r="C5601" s="15" t="s">
        <v>8</v>
      </c>
      <c r="E5601" s="15" t="s">
        <v>8</v>
      </c>
      <c r="G5601" s="15" t="s">
        <v>8</v>
      </c>
      <c r="I5601" s="15" t="s">
        <v>8</v>
      </c>
      <c r="J5601" s="15" t="s">
        <v>8</v>
      </c>
      <c r="K5601" s="15" t="s">
        <v>8</v>
      </c>
      <c r="L5601" s="15" t="s">
        <v>8</v>
      </c>
      <c r="P5601" s="8" t="s">
        <v>6</v>
      </c>
    </row>
    <row r="5602" spans="3:20" x14ac:dyDescent="0.35">
      <c r="C5602" s="15" t="s">
        <v>8</v>
      </c>
      <c r="E5602" s="15" t="s">
        <v>8</v>
      </c>
      <c r="G5602" s="15" t="s">
        <v>8</v>
      </c>
      <c r="I5602" s="15" t="s">
        <v>8</v>
      </c>
      <c r="J5602" s="15" t="s">
        <v>8</v>
      </c>
      <c r="K5602" s="15" t="s">
        <v>8</v>
      </c>
      <c r="L5602" s="15" t="s">
        <v>8</v>
      </c>
      <c r="P5602" s="20" t="str">
        <f>HYPERLINK("http://yeinfo.com/family/I09022958.html", "JOAN ELWYN 1525 EN-1546 EN ID:09022959")</f>
        <v>JOAN ELWYN 1525 EN-1546 EN ID:09022959</v>
      </c>
      <c r="Q5602" s="17"/>
      <c r="R5602" s="17"/>
      <c r="S5602" s="17"/>
      <c r="T5602" s="17"/>
    </row>
    <row r="5603" spans="3:20" x14ac:dyDescent="0.35">
      <c r="C5603" s="15" t="s">
        <v>8</v>
      </c>
      <c r="E5603" s="15" t="s">
        <v>8</v>
      </c>
      <c r="G5603" s="15" t="s">
        <v>8</v>
      </c>
      <c r="I5603" s="15" t="s">
        <v>8</v>
      </c>
      <c r="J5603" s="15" t="s">
        <v>8</v>
      </c>
      <c r="K5603" s="8" t="s">
        <v>6</v>
      </c>
      <c r="L5603" s="15" t="s">
        <v>8</v>
      </c>
    </row>
    <row r="5604" spans="3:20" x14ac:dyDescent="0.35">
      <c r="C5604" s="15" t="s">
        <v>8</v>
      </c>
      <c r="E5604" s="15" t="s">
        <v>8</v>
      </c>
      <c r="G5604" s="15" t="s">
        <v>8</v>
      </c>
      <c r="I5604" s="15" t="s">
        <v>8</v>
      </c>
      <c r="J5604" s="15" t="s">
        <v>8</v>
      </c>
      <c r="K5604" s="16" t="str">
        <f>HYPERLINK("http://yeinfo.com/family/I09011471.html", "HANNAH GREEN 1683 MA-1761  ID:09000717")</f>
        <v>HANNAH GREEN 1683 MA-1761  ID:09000717</v>
      </c>
      <c r="L5604" s="11"/>
      <c r="M5604" s="11"/>
      <c r="N5604" s="11"/>
      <c r="O5604" s="11"/>
    </row>
    <row r="5605" spans="3:20" x14ac:dyDescent="0.35">
      <c r="C5605" s="15" t="s">
        <v>8</v>
      </c>
      <c r="E5605" s="15" t="s">
        <v>8</v>
      </c>
      <c r="G5605" s="15" t="s">
        <v>8</v>
      </c>
      <c r="I5605" s="15" t="s">
        <v>8</v>
      </c>
      <c r="J5605" s="15" t="s">
        <v>8</v>
      </c>
      <c r="L5605" s="15" t="s">
        <v>8</v>
      </c>
    </row>
    <row r="5606" spans="3:20" x14ac:dyDescent="0.35">
      <c r="C5606" s="15" t="s">
        <v>8</v>
      </c>
      <c r="E5606" s="15" t="s">
        <v>8</v>
      </c>
      <c r="G5606" s="15" t="s">
        <v>8</v>
      </c>
      <c r="I5606" s="15" t="s">
        <v>8</v>
      </c>
      <c r="J5606" s="15" t="s">
        <v>8</v>
      </c>
      <c r="L5606" s="15" t="s">
        <v>8</v>
      </c>
      <c r="M5606" s="21" t="str">
        <f>HYPERLINK("http://yeinfo.com/family/I09001435.html", "BENJAMIN CRISPE &lt;2&gt; 1610 EN-1683 MA ID:09002870")</f>
        <v>BENJAMIN CRISPE &lt;2&gt; 1610 EN-1683 MA ID:09002870</v>
      </c>
      <c r="N5606" s="6"/>
      <c r="O5606" s="6"/>
      <c r="P5606" s="6"/>
      <c r="Q5606" s="6"/>
    </row>
    <row r="5607" spans="3:20" x14ac:dyDescent="0.35">
      <c r="C5607" s="15" t="s">
        <v>8</v>
      </c>
      <c r="E5607" s="15" t="s">
        <v>8</v>
      </c>
      <c r="G5607" s="15" t="s">
        <v>8</v>
      </c>
      <c r="I5607" s="15" t="s">
        <v>8</v>
      </c>
      <c r="J5607" s="15" t="s">
        <v>8</v>
      </c>
      <c r="L5607" s="8" t="s">
        <v>6</v>
      </c>
      <c r="M5607" s="8" t="s">
        <v>3</v>
      </c>
    </row>
    <row r="5608" spans="3:20" x14ac:dyDescent="0.35">
      <c r="C5608" s="15" t="s">
        <v>8</v>
      </c>
      <c r="E5608" s="15" t="s">
        <v>8</v>
      </c>
      <c r="G5608" s="15" t="s">
        <v>8</v>
      </c>
      <c r="I5608" s="15" t="s">
        <v>8</v>
      </c>
      <c r="J5608" s="15" t="s">
        <v>8</v>
      </c>
      <c r="L5608" s="16" t="str">
        <f>HYPERLINK("http://yeinfo.com/family/I09022959.html", "MARY CRISPE 1638 MA-1708  ID:09001435")</f>
        <v>MARY CRISPE 1638 MA-1708  ID:09001435</v>
      </c>
      <c r="M5608" s="11"/>
      <c r="N5608" s="11"/>
      <c r="O5608" s="11"/>
      <c r="P5608" s="11"/>
    </row>
    <row r="5609" spans="3:20" x14ac:dyDescent="0.35">
      <c r="C5609" s="15" t="s">
        <v>8</v>
      </c>
      <c r="E5609" s="15" t="s">
        <v>8</v>
      </c>
      <c r="G5609" s="15" t="s">
        <v>8</v>
      </c>
      <c r="I5609" s="15" t="s">
        <v>8</v>
      </c>
      <c r="J5609" s="15" t="s">
        <v>8</v>
      </c>
      <c r="M5609" s="8" t="s">
        <v>6</v>
      </c>
    </row>
    <row r="5610" spans="3:20" x14ac:dyDescent="0.35">
      <c r="C5610" s="15" t="s">
        <v>8</v>
      </c>
      <c r="E5610" s="15" t="s">
        <v>8</v>
      </c>
      <c r="G5610" s="15" t="s">
        <v>8</v>
      </c>
      <c r="I5610" s="15" t="s">
        <v>8</v>
      </c>
      <c r="J5610" s="15" t="s">
        <v>8</v>
      </c>
      <c r="M5610" s="22" t="str">
        <f>HYPERLINK("http://yeinfo.com/family/I09002870.html", "MARY BRIDGET HARRIS &lt;2&gt; 1613 EN-1675 MA ID:09002871")</f>
        <v>MARY BRIDGET HARRIS &lt;2&gt; 1613 EN-1675 MA ID:09002871</v>
      </c>
      <c r="N5610" s="13"/>
      <c r="O5610" s="13"/>
      <c r="P5610" s="13"/>
      <c r="Q5610" s="13"/>
    </row>
    <row r="5611" spans="3:20" x14ac:dyDescent="0.35">
      <c r="C5611" s="15" t="s">
        <v>8</v>
      </c>
      <c r="E5611" s="15" t="s">
        <v>8</v>
      </c>
      <c r="G5611" s="15" t="s">
        <v>8</v>
      </c>
      <c r="I5611" s="8" t="s">
        <v>6</v>
      </c>
      <c r="J5611" s="15" t="s">
        <v>8</v>
      </c>
    </row>
    <row r="5612" spans="3:20" x14ac:dyDescent="0.35">
      <c r="C5612" s="15" t="s">
        <v>8</v>
      </c>
      <c r="E5612" s="15" t="s">
        <v>8</v>
      </c>
      <c r="G5612" s="15" t="s">
        <v>8</v>
      </c>
      <c r="I5612" s="16" t="str">
        <f>HYPERLINK("http://yeinfo.com/family/I09005727.html", "ELIZABETH WHITCOMB 1744 MA-1768  ID:09000179")</f>
        <v>ELIZABETH WHITCOMB 1744 MA-1768  ID:09000179</v>
      </c>
      <c r="J5612" s="11"/>
      <c r="K5612" s="11"/>
      <c r="L5612" s="11"/>
      <c r="M5612" s="11"/>
    </row>
    <row r="5613" spans="3:20" x14ac:dyDescent="0.35">
      <c r="C5613" s="15" t="s">
        <v>8</v>
      </c>
      <c r="E5613" s="15" t="s">
        <v>8</v>
      </c>
      <c r="G5613" s="15" t="s">
        <v>8</v>
      </c>
      <c r="J5613" s="15" t="s">
        <v>8</v>
      </c>
    </row>
    <row r="5614" spans="3:20" x14ac:dyDescent="0.35">
      <c r="C5614" s="15" t="s">
        <v>8</v>
      </c>
      <c r="E5614" s="15" t="s">
        <v>8</v>
      </c>
      <c r="G5614" s="15" t="s">
        <v>8</v>
      </c>
      <c r="J5614" s="15" t="s">
        <v>8</v>
      </c>
      <c r="N5614" s="21" t="str">
        <f>HYPERLINK("http://yeinfo.com/family/I09002872.html", "JAMES PRIEST 1605 EN-1676 MA ID:09005744")</f>
        <v>JAMES PRIEST 1605 EN-1676 MA ID:09005744</v>
      </c>
      <c r="O5614" s="6"/>
      <c r="P5614" s="6"/>
      <c r="Q5614" s="6"/>
      <c r="R5614" s="6"/>
    </row>
    <row r="5615" spans="3:20" x14ac:dyDescent="0.35">
      <c r="C5615" s="15" t="s">
        <v>8</v>
      </c>
      <c r="E5615" s="15" t="s">
        <v>8</v>
      </c>
      <c r="G5615" s="15" t="s">
        <v>8</v>
      </c>
      <c r="J5615" s="15" t="s">
        <v>8</v>
      </c>
      <c r="N5615" s="8" t="s">
        <v>3</v>
      </c>
    </row>
    <row r="5616" spans="3:20" x14ac:dyDescent="0.35">
      <c r="C5616" s="15" t="s">
        <v>8</v>
      </c>
      <c r="E5616" s="15" t="s">
        <v>8</v>
      </c>
      <c r="G5616" s="15" t="s">
        <v>8</v>
      </c>
      <c r="J5616" s="15" t="s">
        <v>8</v>
      </c>
      <c r="M5616" s="21" t="str">
        <f>HYPERLINK("http://yeinfo.com/family/I09001436.html", "JOHN PRIEST 1628 EN-1704 MA ID:09002872")</f>
        <v>JOHN PRIEST 1628 EN-1704 MA ID:09002872</v>
      </c>
      <c r="N5616" s="6"/>
      <c r="O5616" s="6"/>
      <c r="P5616" s="6"/>
      <c r="Q5616" s="6"/>
    </row>
    <row r="5617" spans="3:21" x14ac:dyDescent="0.35">
      <c r="C5617" s="15" t="s">
        <v>8</v>
      </c>
      <c r="E5617" s="15" t="s">
        <v>8</v>
      </c>
      <c r="G5617" s="15" t="s">
        <v>8</v>
      </c>
      <c r="J5617" s="15" t="s">
        <v>8</v>
      </c>
      <c r="M5617" s="8" t="s">
        <v>3</v>
      </c>
      <c r="N5617" s="8" t="s">
        <v>6</v>
      </c>
    </row>
    <row r="5618" spans="3:21" x14ac:dyDescent="0.35">
      <c r="C5618" s="15" t="s">
        <v>8</v>
      </c>
      <c r="E5618" s="15" t="s">
        <v>8</v>
      </c>
      <c r="G5618" s="15" t="s">
        <v>8</v>
      </c>
      <c r="J5618" s="15" t="s">
        <v>8</v>
      </c>
      <c r="M5618" s="15" t="s">
        <v>8</v>
      </c>
      <c r="N5618" s="22" t="str">
        <f>HYPERLINK("http://yeinfo.com/family/I09005744.html", "Mrs. {_?_} PRIEST 1605 EN-1628 MA ID:09005745")</f>
        <v>Mrs. {_?_} PRIEST 1605 EN-1628 MA ID:09005745</v>
      </c>
      <c r="O5618" s="13"/>
      <c r="P5618" s="13"/>
      <c r="Q5618" s="13"/>
      <c r="R5618" s="13"/>
    </row>
    <row r="5619" spans="3:21" x14ac:dyDescent="0.35">
      <c r="C5619" s="15" t="s">
        <v>8</v>
      </c>
      <c r="E5619" s="15" t="s">
        <v>8</v>
      </c>
      <c r="G5619" s="15" t="s">
        <v>8</v>
      </c>
      <c r="J5619" s="15" t="s">
        <v>8</v>
      </c>
      <c r="M5619" s="15" t="s">
        <v>8</v>
      </c>
    </row>
    <row r="5620" spans="3:21" x14ac:dyDescent="0.35">
      <c r="C5620" s="15" t="s">
        <v>8</v>
      </c>
      <c r="E5620" s="15" t="s">
        <v>8</v>
      </c>
      <c r="G5620" s="15" t="s">
        <v>8</v>
      </c>
      <c r="J5620" s="15" t="s">
        <v>8</v>
      </c>
      <c r="L5620" s="5" t="str">
        <f>HYPERLINK("http://yeinfo.com/family/I09000718.html", "JOHN PRIEST 1650 MA-1704 MA ID:09001436")</f>
        <v>JOHN PRIEST 1650 MA-1704 MA ID:09001436</v>
      </c>
      <c r="M5620" s="3"/>
      <c r="N5620" s="3"/>
      <c r="O5620" s="3"/>
      <c r="P5620" s="3"/>
    </row>
    <row r="5621" spans="3:21" x14ac:dyDescent="0.35">
      <c r="C5621" s="15" t="s">
        <v>8</v>
      </c>
      <c r="E5621" s="15" t="s">
        <v>8</v>
      </c>
      <c r="G5621" s="15" t="s">
        <v>8</v>
      </c>
      <c r="J5621" s="15" t="s">
        <v>8</v>
      </c>
      <c r="L5621" s="8" t="s">
        <v>3</v>
      </c>
      <c r="M5621" s="8" t="s">
        <v>6</v>
      </c>
    </row>
    <row r="5622" spans="3:21" x14ac:dyDescent="0.35">
      <c r="C5622" s="15" t="s">
        <v>8</v>
      </c>
      <c r="E5622" s="15" t="s">
        <v>8</v>
      </c>
      <c r="G5622" s="15" t="s">
        <v>8</v>
      </c>
      <c r="J5622" s="15" t="s">
        <v>8</v>
      </c>
      <c r="L5622" s="15" t="s">
        <v>8</v>
      </c>
      <c r="M5622" s="16" t="str">
        <f>HYPERLINK("http://yeinfo.com/family/I09005745.html", "SARAH ALLERTON 1628 EN-1650  ID:09002873")</f>
        <v>SARAH ALLERTON 1628 EN-1650  ID:09002873</v>
      </c>
      <c r="N5622" s="11"/>
      <c r="O5622" s="11"/>
      <c r="P5622" s="11"/>
      <c r="Q5622" s="11"/>
    </row>
    <row r="5623" spans="3:21" x14ac:dyDescent="0.35">
      <c r="C5623" s="15" t="s">
        <v>8</v>
      </c>
      <c r="E5623" s="15" t="s">
        <v>8</v>
      </c>
      <c r="G5623" s="15" t="s">
        <v>8</v>
      </c>
      <c r="J5623" s="15" t="s">
        <v>8</v>
      </c>
      <c r="L5623" s="15" t="s">
        <v>8</v>
      </c>
    </row>
    <row r="5624" spans="3:21" x14ac:dyDescent="0.35">
      <c r="C5624" s="15" t="s">
        <v>8</v>
      </c>
      <c r="E5624" s="15" t="s">
        <v>8</v>
      </c>
      <c r="G5624" s="15" t="s">
        <v>8</v>
      </c>
      <c r="J5624" s="15" t="s">
        <v>8</v>
      </c>
      <c r="K5624" s="5" t="str">
        <f>HYPERLINK("http://yeinfo.com/family/I09000359.html", "JOHN PRIEST 1681 MA-1756 MA ID:09000718")</f>
        <v>JOHN PRIEST 1681 MA-1756 MA ID:09000718</v>
      </c>
      <c r="L5624" s="3"/>
      <c r="M5624" s="3"/>
      <c r="N5624" s="3"/>
      <c r="O5624" s="3"/>
    </row>
    <row r="5625" spans="3:21" x14ac:dyDescent="0.35">
      <c r="C5625" s="15" t="s">
        <v>8</v>
      </c>
      <c r="E5625" s="15" t="s">
        <v>8</v>
      </c>
      <c r="G5625" s="15" t="s">
        <v>8</v>
      </c>
      <c r="J5625" s="15" t="s">
        <v>8</v>
      </c>
      <c r="K5625" s="8" t="s">
        <v>3</v>
      </c>
      <c r="L5625" s="15" t="s">
        <v>8</v>
      </c>
    </row>
    <row r="5626" spans="3:21" x14ac:dyDescent="0.35">
      <c r="C5626" s="15" t="s">
        <v>8</v>
      </c>
      <c r="E5626" s="15" t="s">
        <v>8</v>
      </c>
      <c r="G5626" s="15" t="s">
        <v>8</v>
      </c>
      <c r="J5626" s="15" t="s">
        <v>8</v>
      </c>
      <c r="K5626" s="15" t="s">
        <v>8</v>
      </c>
      <c r="L5626" s="15" t="s">
        <v>8</v>
      </c>
      <c r="O5626" s="21" t="str">
        <f>HYPERLINK("http://yeinfo.com/family/I09005748.html", "EDWARD GARFIELD &lt;4&gt; 1575 EN-1672 MA ID:09011496")</f>
        <v>EDWARD GARFIELD &lt;4&gt; 1575 EN-1672 MA ID:09011496</v>
      </c>
      <c r="P5626" s="6"/>
      <c r="Q5626" s="6"/>
      <c r="R5626" s="6"/>
      <c r="S5626" s="6"/>
    </row>
    <row r="5627" spans="3:21" x14ac:dyDescent="0.35">
      <c r="C5627" s="15" t="s">
        <v>8</v>
      </c>
      <c r="E5627" s="15" t="s">
        <v>8</v>
      </c>
      <c r="G5627" s="15" t="s">
        <v>8</v>
      </c>
      <c r="J5627" s="15" t="s">
        <v>8</v>
      </c>
      <c r="K5627" s="15" t="s">
        <v>8</v>
      </c>
      <c r="L5627" s="15" t="s">
        <v>8</v>
      </c>
      <c r="O5627" s="8" t="s">
        <v>3</v>
      </c>
    </row>
    <row r="5628" spans="3:21" x14ac:dyDescent="0.35">
      <c r="C5628" s="15" t="s">
        <v>8</v>
      </c>
      <c r="E5628" s="15" t="s">
        <v>8</v>
      </c>
      <c r="G5628" s="15" t="s">
        <v>8</v>
      </c>
      <c r="J5628" s="15" t="s">
        <v>8</v>
      </c>
      <c r="K5628" s="15" t="s">
        <v>8</v>
      </c>
      <c r="L5628" s="15" t="s">
        <v>8</v>
      </c>
      <c r="N5628" s="5" t="str">
        <f>HYPERLINK("http://yeinfo.com/family/I09002874.html", "EDWARD GARFIELD &lt;4&gt; 1605 EN-1672  ID:09005748")</f>
        <v>EDWARD GARFIELD &lt;4&gt; 1605 EN-1672  ID:09005748</v>
      </c>
      <c r="O5628" s="3"/>
      <c r="P5628" s="3"/>
      <c r="Q5628" s="3"/>
      <c r="R5628" s="3"/>
    </row>
    <row r="5629" spans="3:21" x14ac:dyDescent="0.35">
      <c r="C5629" s="15" t="s">
        <v>8</v>
      </c>
      <c r="E5629" s="15" t="s">
        <v>8</v>
      </c>
      <c r="G5629" s="15" t="s">
        <v>8</v>
      </c>
      <c r="J5629" s="15" t="s">
        <v>8</v>
      </c>
      <c r="K5629" s="15" t="s">
        <v>8</v>
      </c>
      <c r="L5629" s="15" t="s">
        <v>8</v>
      </c>
      <c r="N5629" s="8" t="s">
        <v>3</v>
      </c>
      <c r="O5629" s="8" t="s">
        <v>6</v>
      </c>
    </row>
    <row r="5630" spans="3:21" x14ac:dyDescent="0.35">
      <c r="C5630" s="15" t="s">
        <v>8</v>
      </c>
      <c r="E5630" s="15" t="s">
        <v>8</v>
      </c>
      <c r="G5630" s="15" t="s">
        <v>8</v>
      </c>
      <c r="J5630" s="15" t="s">
        <v>8</v>
      </c>
      <c r="K5630" s="15" t="s">
        <v>8</v>
      </c>
      <c r="L5630" s="15" t="s">
        <v>8</v>
      </c>
      <c r="N5630" s="15" t="s">
        <v>8</v>
      </c>
      <c r="O5630" s="16" t="str">
        <f>HYPERLINK("http://yeinfo.com/family/I09011496.html", "Mrs. AGNES\SARAH GARFIELD &lt;4&gt; 1575 EN-1605  ID:09011497")</f>
        <v>Mrs. AGNES\SARAH GARFIELD &lt;4&gt; 1575 EN-1605  ID:09011497</v>
      </c>
      <c r="P5630" s="11"/>
      <c r="Q5630" s="11"/>
      <c r="R5630" s="11"/>
      <c r="S5630" s="11"/>
      <c r="T5630" s="11"/>
      <c r="U5630" s="11"/>
    </row>
    <row r="5631" spans="3:21" x14ac:dyDescent="0.35">
      <c r="C5631" s="15" t="s">
        <v>8</v>
      </c>
      <c r="E5631" s="15" t="s">
        <v>8</v>
      </c>
      <c r="G5631" s="15" t="s">
        <v>8</v>
      </c>
      <c r="J5631" s="15" t="s">
        <v>8</v>
      </c>
      <c r="K5631" s="15" t="s">
        <v>8</v>
      </c>
      <c r="L5631" s="15" t="s">
        <v>8</v>
      </c>
      <c r="N5631" s="15" t="s">
        <v>8</v>
      </c>
    </row>
    <row r="5632" spans="3:21" x14ac:dyDescent="0.35">
      <c r="C5632" s="15" t="s">
        <v>8</v>
      </c>
      <c r="E5632" s="15" t="s">
        <v>8</v>
      </c>
      <c r="G5632" s="15" t="s">
        <v>8</v>
      </c>
      <c r="J5632" s="15" t="s">
        <v>8</v>
      </c>
      <c r="K5632" s="15" t="s">
        <v>8</v>
      </c>
      <c r="L5632" s="15" t="s">
        <v>8</v>
      </c>
      <c r="M5632" s="5" t="str">
        <f>HYPERLINK("http://yeinfo.com/family/I09001437.html", "SAMUEL GARFIELD &lt;2&gt; 1624 MA-1684 MA ID:09002874")</f>
        <v>SAMUEL GARFIELD &lt;2&gt; 1624 MA-1684 MA ID:09002874</v>
      </c>
      <c r="N5632" s="3"/>
      <c r="O5632" s="3"/>
      <c r="P5632" s="3"/>
      <c r="Q5632" s="3"/>
    </row>
    <row r="5633" spans="3:19" x14ac:dyDescent="0.35">
      <c r="C5633" s="15" t="s">
        <v>8</v>
      </c>
      <c r="E5633" s="15" t="s">
        <v>8</v>
      </c>
      <c r="G5633" s="15" t="s">
        <v>8</v>
      </c>
      <c r="J5633" s="15" t="s">
        <v>8</v>
      </c>
      <c r="K5633" s="15" t="s">
        <v>8</v>
      </c>
      <c r="L5633" s="15" t="s">
        <v>8</v>
      </c>
      <c r="M5633" s="8" t="s">
        <v>3</v>
      </c>
      <c r="N5633" s="15" t="s">
        <v>8</v>
      </c>
    </row>
    <row r="5634" spans="3:19" x14ac:dyDescent="0.35">
      <c r="C5634" s="15" t="s">
        <v>8</v>
      </c>
      <c r="E5634" s="15" t="s">
        <v>8</v>
      </c>
      <c r="G5634" s="15" t="s">
        <v>8</v>
      </c>
      <c r="J5634" s="15" t="s">
        <v>8</v>
      </c>
      <c r="K5634" s="15" t="s">
        <v>8</v>
      </c>
      <c r="L5634" s="15" t="s">
        <v>8</v>
      </c>
      <c r="M5634" s="15" t="s">
        <v>8</v>
      </c>
      <c r="N5634" s="15" t="s">
        <v>8</v>
      </c>
      <c r="O5634" s="21" t="str">
        <f>HYPERLINK("http://yeinfo.com/family/I09005749.html", "EDWARD JOHNSON &lt;4&gt; 1580 EN-1672 MA ID:09011498")</f>
        <v>EDWARD JOHNSON &lt;4&gt; 1580 EN-1672 MA ID:09011498</v>
      </c>
      <c r="P5634" s="6"/>
      <c r="Q5634" s="6"/>
      <c r="R5634" s="6"/>
      <c r="S5634" s="6"/>
    </row>
    <row r="5635" spans="3:19" x14ac:dyDescent="0.35">
      <c r="C5635" s="15" t="s">
        <v>8</v>
      </c>
      <c r="E5635" s="15" t="s">
        <v>8</v>
      </c>
      <c r="G5635" s="15" t="s">
        <v>8</v>
      </c>
      <c r="J5635" s="15" t="s">
        <v>8</v>
      </c>
      <c r="K5635" s="15" t="s">
        <v>8</v>
      </c>
      <c r="L5635" s="15" t="s">
        <v>8</v>
      </c>
      <c r="M5635" s="15" t="s">
        <v>8</v>
      </c>
      <c r="N5635" s="8" t="s">
        <v>6</v>
      </c>
      <c r="O5635" s="8" t="s">
        <v>3</v>
      </c>
    </row>
    <row r="5636" spans="3:19" x14ac:dyDescent="0.35">
      <c r="C5636" s="15" t="s">
        <v>8</v>
      </c>
      <c r="E5636" s="15" t="s">
        <v>8</v>
      </c>
      <c r="G5636" s="15" t="s">
        <v>8</v>
      </c>
      <c r="J5636" s="15" t="s">
        <v>8</v>
      </c>
      <c r="K5636" s="15" t="s">
        <v>8</v>
      </c>
      <c r="L5636" s="15" t="s">
        <v>8</v>
      </c>
      <c r="M5636" s="15" t="s">
        <v>8</v>
      </c>
      <c r="N5636" s="22" t="str">
        <f>HYPERLINK("http://yeinfo.com/family/I09011497.html", "REBECCA JOHNSON &lt;4&gt; 1609 EN-1661 MA ID:09005749")</f>
        <v>REBECCA JOHNSON &lt;4&gt; 1609 EN-1661 MA ID:09005749</v>
      </c>
      <c r="O5636" s="13"/>
      <c r="P5636" s="13"/>
      <c r="Q5636" s="13"/>
      <c r="R5636" s="13"/>
    </row>
    <row r="5637" spans="3:19" x14ac:dyDescent="0.35">
      <c r="C5637" s="15" t="s">
        <v>8</v>
      </c>
      <c r="E5637" s="15" t="s">
        <v>8</v>
      </c>
      <c r="G5637" s="15" t="s">
        <v>8</v>
      </c>
      <c r="J5637" s="15" t="s">
        <v>8</v>
      </c>
      <c r="K5637" s="15" t="s">
        <v>8</v>
      </c>
      <c r="L5637" s="15" t="s">
        <v>8</v>
      </c>
      <c r="M5637" s="15" t="s">
        <v>8</v>
      </c>
      <c r="O5637" s="8" t="s">
        <v>6</v>
      </c>
    </row>
    <row r="5638" spans="3:19" x14ac:dyDescent="0.35">
      <c r="C5638" s="15" t="s">
        <v>8</v>
      </c>
      <c r="E5638" s="15" t="s">
        <v>8</v>
      </c>
      <c r="G5638" s="15" t="s">
        <v>8</v>
      </c>
      <c r="J5638" s="15" t="s">
        <v>8</v>
      </c>
      <c r="K5638" s="15" t="s">
        <v>8</v>
      </c>
      <c r="L5638" s="15" t="s">
        <v>8</v>
      </c>
      <c r="M5638" s="15" t="s">
        <v>8</v>
      </c>
      <c r="O5638" s="22" t="str">
        <f>HYPERLINK("http://yeinfo.com/family/I09011498.html", "KATHERINE FISHER &lt;4&gt; 1580 EN-1609 MA ID:09011499")</f>
        <v>KATHERINE FISHER &lt;4&gt; 1580 EN-1609 MA ID:09011499</v>
      </c>
      <c r="P5638" s="13"/>
      <c r="Q5638" s="13"/>
      <c r="R5638" s="13"/>
      <c r="S5638" s="13"/>
    </row>
    <row r="5639" spans="3:19" x14ac:dyDescent="0.35">
      <c r="C5639" s="15" t="s">
        <v>8</v>
      </c>
      <c r="E5639" s="15" t="s">
        <v>8</v>
      </c>
      <c r="G5639" s="15" t="s">
        <v>8</v>
      </c>
      <c r="J5639" s="15" t="s">
        <v>8</v>
      </c>
      <c r="K5639" s="15" t="s">
        <v>8</v>
      </c>
      <c r="L5639" s="8" t="s">
        <v>6</v>
      </c>
      <c r="M5639" s="15" t="s">
        <v>8</v>
      </c>
    </row>
    <row r="5640" spans="3:19" x14ac:dyDescent="0.35">
      <c r="C5640" s="15" t="s">
        <v>8</v>
      </c>
      <c r="E5640" s="15" t="s">
        <v>8</v>
      </c>
      <c r="G5640" s="15" t="s">
        <v>8</v>
      </c>
      <c r="J5640" s="15" t="s">
        <v>8</v>
      </c>
      <c r="K5640" s="15" t="s">
        <v>8</v>
      </c>
      <c r="L5640" s="16" t="str">
        <f>HYPERLINK("http://yeinfo.com/family/I09002873.html", "RACHEL GARFIELD 1656 MA-1737 MA ID:09001437")</f>
        <v>RACHEL GARFIELD 1656 MA-1737 MA ID:09001437</v>
      </c>
      <c r="M5640" s="11"/>
      <c r="N5640" s="11"/>
      <c r="O5640" s="11"/>
      <c r="P5640" s="11"/>
    </row>
    <row r="5641" spans="3:19" x14ac:dyDescent="0.35">
      <c r="C5641" s="15" t="s">
        <v>8</v>
      </c>
      <c r="E5641" s="15" t="s">
        <v>8</v>
      </c>
      <c r="G5641" s="15" t="s">
        <v>8</v>
      </c>
      <c r="J5641" s="15" t="s">
        <v>8</v>
      </c>
      <c r="K5641" s="15" t="s">
        <v>8</v>
      </c>
      <c r="M5641" s="8" t="s">
        <v>6</v>
      </c>
    </row>
    <row r="5642" spans="3:19" x14ac:dyDescent="0.35">
      <c r="C5642" s="15" t="s">
        <v>8</v>
      </c>
      <c r="E5642" s="15" t="s">
        <v>8</v>
      </c>
      <c r="G5642" s="15" t="s">
        <v>8</v>
      </c>
      <c r="J5642" s="15" t="s">
        <v>8</v>
      </c>
      <c r="K5642" s="15" t="s">
        <v>8</v>
      </c>
      <c r="M5642" s="22" t="str">
        <f>HYPERLINK("http://yeinfo.com/family/I09011499.html", "MARY BENFIELD &lt;2&gt; 1633 EN-1709 MA ID:09002875")</f>
        <v>MARY BENFIELD &lt;2&gt; 1633 EN-1709 MA ID:09002875</v>
      </c>
      <c r="N5642" s="13"/>
      <c r="O5642" s="13"/>
      <c r="P5642" s="13"/>
      <c r="Q5642" s="13"/>
    </row>
    <row r="5643" spans="3:19" x14ac:dyDescent="0.35">
      <c r="C5643" s="15" t="s">
        <v>8</v>
      </c>
      <c r="E5643" s="15" t="s">
        <v>8</v>
      </c>
      <c r="G5643" s="15" t="s">
        <v>8</v>
      </c>
      <c r="J5643" s="8" t="s">
        <v>6</v>
      </c>
      <c r="K5643" s="15" t="s">
        <v>8</v>
      </c>
    </row>
    <row r="5644" spans="3:19" x14ac:dyDescent="0.35">
      <c r="C5644" s="15" t="s">
        <v>8</v>
      </c>
      <c r="E5644" s="15" t="s">
        <v>8</v>
      </c>
      <c r="G5644" s="15" t="s">
        <v>8</v>
      </c>
      <c r="J5644" s="16" t="str">
        <f>HYPERLINK("http://yeinfo.com/family/I09002871.html", "RACHEL PRIEST 1713 MA-1744  ID:09000359")</f>
        <v>RACHEL PRIEST 1713 MA-1744  ID:09000359</v>
      </c>
      <c r="K5644" s="11"/>
      <c r="L5644" s="11"/>
      <c r="M5644" s="11"/>
      <c r="N5644" s="11"/>
    </row>
    <row r="5645" spans="3:19" x14ac:dyDescent="0.35">
      <c r="C5645" s="15" t="s">
        <v>8</v>
      </c>
      <c r="E5645" s="15" t="s">
        <v>8</v>
      </c>
      <c r="G5645" s="15" t="s">
        <v>8</v>
      </c>
      <c r="K5645" s="15" t="s">
        <v>8</v>
      </c>
    </row>
    <row r="5646" spans="3:19" x14ac:dyDescent="0.35">
      <c r="C5646" s="15" t="s">
        <v>8</v>
      </c>
      <c r="E5646" s="15" t="s">
        <v>8</v>
      </c>
      <c r="G5646" s="15" t="s">
        <v>8</v>
      </c>
      <c r="K5646" s="15" t="s">
        <v>8</v>
      </c>
      <c r="O5646" s="19" t="str">
        <f>HYPERLINK("http://yeinfo.com/family/I09005664.html", "JOHN HOUGHTON &lt;2&gt; 1573 EN-1618 EN ID:09005664")</f>
        <v>JOHN HOUGHTON &lt;2&gt; 1573 EN-1618 EN ID:09005664</v>
      </c>
      <c r="P5646" s="9"/>
      <c r="Q5646" s="9"/>
      <c r="R5646" s="9"/>
      <c r="S5646" s="9"/>
    </row>
    <row r="5647" spans="3:19" x14ac:dyDescent="0.35">
      <c r="C5647" s="15" t="s">
        <v>8</v>
      </c>
      <c r="E5647" s="15" t="s">
        <v>8</v>
      </c>
      <c r="G5647" s="15" t="s">
        <v>8</v>
      </c>
      <c r="K5647" s="15" t="s">
        <v>8</v>
      </c>
      <c r="O5647" s="8" t="s">
        <v>3</v>
      </c>
    </row>
    <row r="5648" spans="3:19" x14ac:dyDescent="0.35">
      <c r="C5648" s="15" t="s">
        <v>8</v>
      </c>
      <c r="E5648" s="15" t="s">
        <v>8</v>
      </c>
      <c r="G5648" s="15" t="s">
        <v>8</v>
      </c>
      <c r="K5648" s="15" t="s">
        <v>8</v>
      </c>
      <c r="N5648" s="19" t="str">
        <f>HYPERLINK("http://yeinfo.com/family/I09002832.html", "JOHN HOUGHTON &lt;2&gt; 1593 EN-1629 EN ID:09002832")</f>
        <v>JOHN HOUGHTON &lt;2&gt; 1593 EN-1629 EN ID:09002832</v>
      </c>
      <c r="O5648" s="9"/>
      <c r="P5648" s="9"/>
      <c r="Q5648" s="9"/>
      <c r="R5648" s="9"/>
    </row>
    <row r="5649" spans="3:20" x14ac:dyDescent="0.35">
      <c r="C5649" s="15" t="s">
        <v>8</v>
      </c>
      <c r="E5649" s="15" t="s">
        <v>8</v>
      </c>
      <c r="G5649" s="15" t="s">
        <v>8</v>
      </c>
      <c r="K5649" s="15" t="s">
        <v>8</v>
      </c>
      <c r="N5649" s="8" t="s">
        <v>3</v>
      </c>
      <c r="O5649" s="8" t="s">
        <v>6</v>
      </c>
    </row>
    <row r="5650" spans="3:20" x14ac:dyDescent="0.35">
      <c r="C5650" s="15" t="s">
        <v>8</v>
      </c>
      <c r="E5650" s="15" t="s">
        <v>8</v>
      </c>
      <c r="G5650" s="15" t="s">
        <v>8</v>
      </c>
      <c r="K5650" s="15" t="s">
        <v>8</v>
      </c>
      <c r="N5650" s="15" t="s">
        <v>8</v>
      </c>
      <c r="O5650" s="20" t="str">
        <f>HYPERLINK("http://yeinfo.com/family/I09005665.html", "Mrs. KATHERINE HOUGHTON &lt;2&gt; 1575 EN-1595 EN ID:09005665")</f>
        <v>Mrs. KATHERINE HOUGHTON &lt;2&gt; 1575 EN-1595 EN ID:09005665</v>
      </c>
      <c r="P5650" s="17"/>
      <c r="Q5650" s="17"/>
      <c r="R5650" s="17"/>
      <c r="S5650" s="17"/>
    </row>
    <row r="5651" spans="3:20" x14ac:dyDescent="0.35">
      <c r="C5651" s="15" t="s">
        <v>8</v>
      </c>
      <c r="E5651" s="15" t="s">
        <v>8</v>
      </c>
      <c r="G5651" s="15" t="s">
        <v>8</v>
      </c>
      <c r="K5651" s="15" t="s">
        <v>8</v>
      </c>
      <c r="N5651" s="15" t="s">
        <v>8</v>
      </c>
    </row>
    <row r="5652" spans="3:20" x14ac:dyDescent="0.35">
      <c r="C5652" s="15" t="s">
        <v>8</v>
      </c>
      <c r="E5652" s="15" t="s">
        <v>8</v>
      </c>
      <c r="G5652" s="15" t="s">
        <v>8</v>
      </c>
      <c r="K5652" s="15" t="s">
        <v>8</v>
      </c>
      <c r="M5652" s="21" t="str">
        <f>HYPERLINK("http://yeinfo.com/family/I09001416.html", "JOHN HOUGHTON &lt;2&gt; 1624 EN-1684 MA ID:09001416")</f>
        <v>JOHN HOUGHTON &lt;2&gt; 1624 EN-1684 MA ID:09001416</v>
      </c>
      <c r="N5652" s="6"/>
      <c r="O5652" s="6"/>
      <c r="P5652" s="6"/>
      <c r="Q5652" s="6"/>
    </row>
    <row r="5653" spans="3:20" x14ac:dyDescent="0.35">
      <c r="C5653" s="15" t="s">
        <v>8</v>
      </c>
      <c r="E5653" s="15" t="s">
        <v>8</v>
      </c>
      <c r="G5653" s="15" t="s">
        <v>8</v>
      </c>
      <c r="K5653" s="15" t="s">
        <v>8</v>
      </c>
      <c r="M5653" s="8" t="s">
        <v>3</v>
      </c>
      <c r="N5653" s="15" t="s">
        <v>8</v>
      </c>
    </row>
    <row r="5654" spans="3:20" x14ac:dyDescent="0.35">
      <c r="C5654" s="15" t="s">
        <v>8</v>
      </c>
      <c r="E5654" s="15" t="s">
        <v>8</v>
      </c>
      <c r="G5654" s="15" t="s">
        <v>8</v>
      </c>
      <c r="K5654" s="15" t="s">
        <v>8</v>
      </c>
      <c r="M5654" s="15" t="s">
        <v>8</v>
      </c>
      <c r="N5654" s="15" t="s">
        <v>8</v>
      </c>
      <c r="O5654" s="19" t="str">
        <f>HYPERLINK("http://yeinfo.com/family/I09005666.html", "ANDREW BUCKMASTER &lt;2&gt; 1567 EN-1598 EN ID:09005666")</f>
        <v>ANDREW BUCKMASTER &lt;2&gt; 1567 EN-1598 EN ID:09005666</v>
      </c>
      <c r="P5654" s="9"/>
      <c r="Q5654" s="9"/>
      <c r="R5654" s="9"/>
      <c r="S5654" s="9"/>
    </row>
    <row r="5655" spans="3:20" x14ac:dyDescent="0.35">
      <c r="C5655" s="15" t="s">
        <v>8</v>
      </c>
      <c r="E5655" s="15" t="s">
        <v>8</v>
      </c>
      <c r="G5655" s="15" t="s">
        <v>8</v>
      </c>
      <c r="K5655" s="15" t="s">
        <v>8</v>
      </c>
      <c r="M5655" s="15" t="s">
        <v>8</v>
      </c>
      <c r="N5655" s="8" t="s">
        <v>6</v>
      </c>
      <c r="O5655" s="8" t="s">
        <v>3</v>
      </c>
    </row>
    <row r="5656" spans="3:20" x14ac:dyDescent="0.35">
      <c r="C5656" s="15" t="s">
        <v>8</v>
      </c>
      <c r="E5656" s="15" t="s">
        <v>8</v>
      </c>
      <c r="G5656" s="15" t="s">
        <v>8</v>
      </c>
      <c r="K5656" s="15" t="s">
        <v>8</v>
      </c>
      <c r="M5656" s="15" t="s">
        <v>8</v>
      </c>
      <c r="N5656" s="20" t="str">
        <f>HYPERLINK("http://yeinfo.com/family/I09002833.html", "DAMARIS BUCKMASTER &lt;2&gt; 1593 EN-1666 EN ID:09002833")</f>
        <v>DAMARIS BUCKMASTER &lt;2&gt; 1593 EN-1666 EN ID:09002833</v>
      </c>
      <c r="O5656" s="17"/>
      <c r="P5656" s="17"/>
      <c r="Q5656" s="17"/>
      <c r="R5656" s="17"/>
    </row>
    <row r="5657" spans="3:20" x14ac:dyDescent="0.35">
      <c r="C5657" s="15" t="s">
        <v>8</v>
      </c>
      <c r="E5657" s="15" t="s">
        <v>8</v>
      </c>
      <c r="G5657" s="15" t="s">
        <v>8</v>
      </c>
      <c r="K5657" s="15" t="s">
        <v>8</v>
      </c>
      <c r="M5657" s="15" t="s">
        <v>8</v>
      </c>
      <c r="O5657" s="8" t="s">
        <v>6</v>
      </c>
    </row>
    <row r="5658" spans="3:20" x14ac:dyDescent="0.35">
      <c r="C5658" s="15" t="s">
        <v>8</v>
      </c>
      <c r="E5658" s="15" t="s">
        <v>8</v>
      </c>
      <c r="G5658" s="15" t="s">
        <v>8</v>
      </c>
      <c r="K5658" s="15" t="s">
        <v>8</v>
      </c>
      <c r="M5658" s="15" t="s">
        <v>8</v>
      </c>
      <c r="O5658" s="20" t="str">
        <f>HYPERLINK("http://yeinfo.com/family/I09005667.html", "MARY\MARIE ROBERTS &lt;2&gt; 1575 EN-1595  ID:09005667")</f>
        <v>MARY\MARIE ROBERTS &lt;2&gt; 1575 EN-1595  ID:09005667</v>
      </c>
      <c r="P5658" s="17"/>
      <c r="Q5658" s="17"/>
      <c r="R5658" s="17"/>
      <c r="S5658" s="17"/>
      <c r="T5658" s="17"/>
    </row>
    <row r="5659" spans="3:20" x14ac:dyDescent="0.35">
      <c r="C5659" s="15" t="s">
        <v>8</v>
      </c>
      <c r="E5659" s="15" t="s">
        <v>8</v>
      </c>
      <c r="G5659" s="15" t="s">
        <v>8</v>
      </c>
      <c r="K5659" s="15" t="s">
        <v>8</v>
      </c>
      <c r="M5659" s="15" t="s">
        <v>8</v>
      </c>
    </row>
    <row r="5660" spans="3:20" x14ac:dyDescent="0.35">
      <c r="C5660" s="15" t="s">
        <v>8</v>
      </c>
      <c r="E5660" s="15" t="s">
        <v>8</v>
      </c>
      <c r="G5660" s="15" t="s">
        <v>8</v>
      </c>
      <c r="K5660" s="15" t="s">
        <v>8</v>
      </c>
      <c r="L5660" s="5" t="str">
        <f>HYPERLINK("http://yeinfo.com/family/I09000708.html", "JOHN HOUGHTON &lt;2&gt; 1650 MA-1737  ID:09000708")</f>
        <v>JOHN HOUGHTON &lt;2&gt; 1650 MA-1737  ID:09000708</v>
      </c>
      <c r="M5660" s="3"/>
      <c r="N5660" s="3"/>
      <c r="O5660" s="3"/>
      <c r="P5660" s="3"/>
    </row>
    <row r="5661" spans="3:20" x14ac:dyDescent="0.35">
      <c r="C5661" s="15" t="s">
        <v>8</v>
      </c>
      <c r="E5661" s="15" t="s">
        <v>8</v>
      </c>
      <c r="G5661" s="15" t="s">
        <v>8</v>
      </c>
      <c r="K5661" s="15" t="s">
        <v>8</v>
      </c>
      <c r="L5661" s="8" t="s">
        <v>3</v>
      </c>
      <c r="M5661" s="8" t="s">
        <v>6</v>
      </c>
    </row>
    <row r="5662" spans="3:20" x14ac:dyDescent="0.35">
      <c r="C5662" s="15" t="s">
        <v>8</v>
      </c>
      <c r="E5662" s="15" t="s">
        <v>8</v>
      </c>
      <c r="G5662" s="15" t="s">
        <v>8</v>
      </c>
      <c r="K5662" s="15" t="s">
        <v>8</v>
      </c>
      <c r="L5662" s="15" t="s">
        <v>8</v>
      </c>
      <c r="M5662" s="22" t="str">
        <f>HYPERLINK("http://yeinfo.com/family/I09001417.html", "BEATRIX WALKER &lt;2&gt; 1625 EN-1711 MA ID:09001417")</f>
        <v>BEATRIX WALKER &lt;2&gt; 1625 EN-1711 MA ID:09001417</v>
      </c>
      <c r="N5662" s="13"/>
      <c r="O5662" s="13"/>
      <c r="P5662" s="13"/>
      <c r="Q5662" s="13"/>
    </row>
    <row r="5663" spans="3:20" x14ac:dyDescent="0.35">
      <c r="C5663" s="15" t="s">
        <v>8</v>
      </c>
      <c r="E5663" s="15" t="s">
        <v>8</v>
      </c>
      <c r="G5663" s="15" t="s">
        <v>8</v>
      </c>
      <c r="K5663" s="8" t="s">
        <v>6</v>
      </c>
      <c r="L5663" s="15" t="s">
        <v>8</v>
      </c>
    </row>
    <row r="5664" spans="3:20" x14ac:dyDescent="0.35">
      <c r="C5664" s="15" t="s">
        <v>8</v>
      </c>
      <c r="E5664" s="15" t="s">
        <v>8</v>
      </c>
      <c r="G5664" s="15" t="s">
        <v>8</v>
      </c>
      <c r="K5664" s="16" t="str">
        <f>HYPERLINK("http://yeinfo.com/family/I09002875.html", "ANNA HOUGHTON 1684 MA-1751 MA ID:09000719")</f>
        <v>ANNA HOUGHTON 1684 MA-1751 MA ID:09000719</v>
      </c>
      <c r="L5664" s="11"/>
      <c r="M5664" s="11"/>
      <c r="N5664" s="11"/>
      <c r="O5664" s="11"/>
    </row>
    <row r="5665" spans="3:29" x14ac:dyDescent="0.35">
      <c r="C5665" s="15" t="s">
        <v>8</v>
      </c>
      <c r="E5665" s="15" t="s">
        <v>8</v>
      </c>
      <c r="G5665" s="15" t="s">
        <v>8</v>
      </c>
      <c r="L5665" s="15" t="s">
        <v>8</v>
      </c>
    </row>
    <row r="5666" spans="3:29" x14ac:dyDescent="0.35">
      <c r="C5666" s="15" t="s">
        <v>8</v>
      </c>
      <c r="E5666" s="15" t="s">
        <v>8</v>
      </c>
      <c r="G5666" s="15" t="s">
        <v>8</v>
      </c>
      <c r="L5666" s="15" t="s">
        <v>8</v>
      </c>
      <c r="Q5666" s="19" t="str">
        <f>HYPERLINK("http://yeinfo.com/family/I09022688.html", "HENRY FARRAR &lt;2&gt; 1492 EN-1549 EN ID:09022688")</f>
        <v>HENRY FARRAR &lt;2&gt; 1492 EN-1549 EN ID:09022688</v>
      </c>
      <c r="R5666" s="9"/>
      <c r="S5666" s="9"/>
      <c r="T5666" s="9"/>
      <c r="U5666" s="9"/>
    </row>
    <row r="5667" spans="3:29" x14ac:dyDescent="0.35">
      <c r="C5667" s="15" t="s">
        <v>8</v>
      </c>
      <c r="E5667" s="15" t="s">
        <v>8</v>
      </c>
      <c r="G5667" s="15" t="s">
        <v>8</v>
      </c>
      <c r="L5667" s="15" t="s">
        <v>8</v>
      </c>
      <c r="Q5667" s="8" t="s">
        <v>3</v>
      </c>
    </row>
    <row r="5668" spans="3:29" x14ac:dyDescent="0.35">
      <c r="C5668" s="15" t="s">
        <v>8</v>
      </c>
      <c r="E5668" s="15" t="s">
        <v>8</v>
      </c>
      <c r="G5668" s="15" t="s">
        <v>8</v>
      </c>
      <c r="L5668" s="15" t="s">
        <v>8</v>
      </c>
      <c r="P5668" s="19" t="str">
        <f>HYPERLINK("http://yeinfo.com/family/I09011344.html", "HENRY FARRAR &lt;2&gt; 1520 EN-1575 EN ID:09011344")</f>
        <v>HENRY FARRAR &lt;2&gt; 1520 EN-1575 EN ID:09011344</v>
      </c>
      <c r="Q5668" s="9"/>
      <c r="R5668" s="9"/>
      <c r="S5668" s="9"/>
      <c r="T5668" s="9"/>
    </row>
    <row r="5669" spans="3:29" x14ac:dyDescent="0.35">
      <c r="C5669" s="15" t="s">
        <v>8</v>
      </c>
      <c r="E5669" s="15" t="s">
        <v>8</v>
      </c>
      <c r="G5669" s="15" t="s">
        <v>8</v>
      </c>
      <c r="L5669" s="15" t="s">
        <v>8</v>
      </c>
      <c r="P5669" s="8" t="s">
        <v>3</v>
      </c>
      <c r="Q5669" s="15" t="s">
        <v>8</v>
      </c>
    </row>
    <row r="5670" spans="3:29" x14ac:dyDescent="0.35">
      <c r="C5670" s="15" t="s">
        <v>8</v>
      </c>
      <c r="E5670" s="15" t="s">
        <v>8</v>
      </c>
      <c r="G5670" s="15" t="s">
        <v>8</v>
      </c>
      <c r="L5670" s="15" t="s">
        <v>8</v>
      </c>
      <c r="P5670" s="15" t="s">
        <v>8</v>
      </c>
      <c r="Q5670" s="15" t="s">
        <v>8</v>
      </c>
      <c r="T5670" s="19" t="str">
        <f>HYPERLINK("http://yeinfo.com/family/I09065783.html", "THOMAS HORSFAL &lt;2&gt; 1420 EN-1480 EN ID:09065783")</f>
        <v>THOMAS HORSFAL &lt;2&gt; 1420 EN-1480 EN ID:09065783</v>
      </c>
      <c r="U5670" s="9"/>
      <c r="V5670" s="9"/>
      <c r="W5670" s="9"/>
      <c r="X5670" s="9"/>
    </row>
    <row r="5671" spans="3:29" x14ac:dyDescent="0.35">
      <c r="C5671" s="15" t="s">
        <v>8</v>
      </c>
      <c r="E5671" s="15" t="s">
        <v>8</v>
      </c>
      <c r="G5671" s="15" t="s">
        <v>8</v>
      </c>
      <c r="L5671" s="15" t="s">
        <v>8</v>
      </c>
      <c r="P5671" s="15" t="s">
        <v>8</v>
      </c>
      <c r="Q5671" s="15" t="s">
        <v>8</v>
      </c>
      <c r="T5671" s="8" t="s">
        <v>3</v>
      </c>
    </row>
    <row r="5672" spans="3:29" x14ac:dyDescent="0.35">
      <c r="C5672" s="15" t="s">
        <v>8</v>
      </c>
      <c r="E5672" s="15" t="s">
        <v>8</v>
      </c>
      <c r="G5672" s="15" t="s">
        <v>8</v>
      </c>
      <c r="L5672" s="15" t="s">
        <v>8</v>
      </c>
      <c r="P5672" s="15" t="s">
        <v>8</v>
      </c>
      <c r="Q5672" s="15" t="s">
        <v>8</v>
      </c>
      <c r="S5672" s="19" t="str">
        <f>HYPERLINK("http://yeinfo.com/family/I09065653.html", "JOHN FRANK HORSFAL &lt;2&gt; 1441 EN-1547 EN ID:09065653")</f>
        <v>JOHN FRANK HORSFAL &lt;2&gt; 1441 EN-1547 EN ID:09065653</v>
      </c>
      <c r="T5672" s="9"/>
      <c r="U5672" s="9"/>
      <c r="V5672" s="9"/>
      <c r="W5672" s="9"/>
    </row>
    <row r="5673" spans="3:29" x14ac:dyDescent="0.35">
      <c r="C5673" s="15" t="s">
        <v>8</v>
      </c>
      <c r="E5673" s="15" t="s">
        <v>8</v>
      </c>
      <c r="G5673" s="15" t="s">
        <v>8</v>
      </c>
      <c r="L5673" s="15" t="s">
        <v>8</v>
      </c>
      <c r="P5673" s="15" t="s">
        <v>8</v>
      </c>
      <c r="Q5673" s="15" t="s">
        <v>8</v>
      </c>
      <c r="S5673" s="8" t="s">
        <v>3</v>
      </c>
      <c r="T5673" s="8" t="s">
        <v>6</v>
      </c>
    </row>
    <row r="5674" spans="3:29" x14ac:dyDescent="0.35">
      <c r="C5674" s="15" t="s">
        <v>8</v>
      </c>
      <c r="E5674" s="15" t="s">
        <v>8</v>
      </c>
      <c r="G5674" s="15" t="s">
        <v>8</v>
      </c>
      <c r="L5674" s="15" t="s">
        <v>8</v>
      </c>
      <c r="P5674" s="15" t="s">
        <v>8</v>
      </c>
      <c r="Q5674" s="15" t="s">
        <v>8</v>
      </c>
      <c r="S5674" s="15" t="s">
        <v>8</v>
      </c>
      <c r="T5674" s="20" t="str">
        <f>HYPERLINK("http://yeinfo.com/family/I09065777.html", "JANETT DRYVER &lt;2&gt; 1420 EN-1490 EN ID:09065777")</f>
        <v>JANETT DRYVER &lt;2&gt; 1420 EN-1490 EN ID:09065777</v>
      </c>
      <c r="U5674" s="17"/>
      <c r="V5674" s="17"/>
      <c r="W5674" s="17"/>
      <c r="X5674" s="17"/>
    </row>
    <row r="5675" spans="3:29" x14ac:dyDescent="0.35">
      <c r="C5675" s="15" t="s">
        <v>8</v>
      </c>
      <c r="E5675" s="15" t="s">
        <v>8</v>
      </c>
      <c r="G5675" s="15" t="s">
        <v>8</v>
      </c>
      <c r="L5675" s="15" t="s">
        <v>8</v>
      </c>
      <c r="P5675" s="15" t="s">
        <v>8</v>
      </c>
      <c r="Q5675" s="15" t="s">
        <v>8</v>
      </c>
      <c r="S5675" s="15" t="s">
        <v>8</v>
      </c>
    </row>
    <row r="5676" spans="3:29" x14ac:dyDescent="0.35">
      <c r="C5676" s="15" t="s">
        <v>8</v>
      </c>
      <c r="E5676" s="15" t="s">
        <v>8</v>
      </c>
      <c r="G5676" s="15" t="s">
        <v>8</v>
      </c>
      <c r="L5676" s="15" t="s">
        <v>8</v>
      </c>
      <c r="P5676" s="15" t="s">
        <v>8</v>
      </c>
      <c r="Q5676" s="15" t="s">
        <v>8</v>
      </c>
      <c r="R5676" s="19" t="str">
        <f>HYPERLINK("http://yeinfo.com/family/I09045378.html", "WILLIAM JOHN HORSFAL &lt;2&gt; 1462 EN-1548 EN ID:09045378")</f>
        <v>WILLIAM JOHN HORSFAL &lt;2&gt; 1462 EN-1548 EN ID:09045378</v>
      </c>
      <c r="S5676" s="9"/>
      <c r="T5676" s="9"/>
      <c r="U5676" s="9"/>
      <c r="V5676" s="9"/>
    </row>
    <row r="5677" spans="3:29" x14ac:dyDescent="0.35">
      <c r="C5677" s="15" t="s">
        <v>8</v>
      </c>
      <c r="E5677" s="15" t="s">
        <v>8</v>
      </c>
      <c r="G5677" s="15" t="s">
        <v>8</v>
      </c>
      <c r="L5677" s="15" t="s">
        <v>8</v>
      </c>
      <c r="P5677" s="15" t="s">
        <v>8</v>
      </c>
      <c r="Q5677" s="15" t="s">
        <v>8</v>
      </c>
      <c r="R5677" s="8" t="s">
        <v>3</v>
      </c>
      <c r="S5677" s="15" t="s">
        <v>8</v>
      </c>
    </row>
    <row r="5678" spans="3:29" x14ac:dyDescent="0.35">
      <c r="C5678" s="15" t="s">
        <v>8</v>
      </c>
      <c r="E5678" s="15" t="s">
        <v>8</v>
      </c>
      <c r="G5678" s="15" t="s">
        <v>8</v>
      </c>
      <c r="L5678" s="15" t="s">
        <v>8</v>
      </c>
      <c r="P5678" s="15" t="s">
        <v>8</v>
      </c>
      <c r="Q5678" s="15" t="s">
        <v>8</v>
      </c>
      <c r="R5678" s="15" t="s">
        <v>8</v>
      </c>
      <c r="S5678" s="15" t="s">
        <v>8</v>
      </c>
      <c r="Y5678" s="19" t="str">
        <f>HYPERLINK("http://yeinfo.com/family/I09066776.html", "MATTHEW BARCROFT &lt;2&gt; 1291 EN-1322 EN ID:09066776")</f>
        <v>MATTHEW BARCROFT &lt;2&gt; 1291 EN-1322 EN ID:09066776</v>
      </c>
      <c r="Z5678" s="9"/>
      <c r="AA5678" s="9"/>
      <c r="AB5678" s="9"/>
      <c r="AC5678" s="9"/>
    </row>
    <row r="5679" spans="3:29" x14ac:dyDescent="0.35">
      <c r="C5679" s="15" t="s">
        <v>8</v>
      </c>
      <c r="E5679" s="15" t="s">
        <v>8</v>
      </c>
      <c r="G5679" s="15" t="s">
        <v>8</v>
      </c>
      <c r="L5679" s="15" t="s">
        <v>8</v>
      </c>
      <c r="P5679" s="15" t="s">
        <v>8</v>
      </c>
      <c r="Q5679" s="15" t="s">
        <v>8</v>
      </c>
      <c r="R5679" s="15" t="s">
        <v>8</v>
      </c>
      <c r="S5679" s="15" t="s">
        <v>8</v>
      </c>
      <c r="Y5679" s="8" t="s">
        <v>3</v>
      </c>
    </row>
    <row r="5680" spans="3:29" x14ac:dyDescent="0.35">
      <c r="C5680" s="15" t="s">
        <v>8</v>
      </c>
      <c r="E5680" s="15" t="s">
        <v>8</v>
      </c>
      <c r="G5680" s="15" t="s">
        <v>8</v>
      </c>
      <c r="L5680" s="15" t="s">
        <v>8</v>
      </c>
      <c r="P5680" s="15" t="s">
        <v>8</v>
      </c>
      <c r="Q5680" s="15" t="s">
        <v>8</v>
      </c>
      <c r="R5680" s="15" t="s">
        <v>8</v>
      </c>
      <c r="S5680" s="15" t="s">
        <v>8</v>
      </c>
      <c r="X5680" s="19" t="str">
        <f>HYPERLINK("http://yeinfo.com/family/I09066440.html", "RICHARD BARCROFT &lt;2&gt; 1322 EN-1348 EN ID:09066440")</f>
        <v>RICHARD BARCROFT &lt;2&gt; 1322 EN-1348 EN ID:09066440</v>
      </c>
      <c r="Y5680" s="9"/>
      <c r="Z5680" s="9"/>
      <c r="AA5680" s="9"/>
      <c r="AB5680" s="9"/>
    </row>
    <row r="5681" spans="3:29" x14ac:dyDescent="0.35">
      <c r="C5681" s="15" t="s">
        <v>8</v>
      </c>
      <c r="E5681" s="15" t="s">
        <v>8</v>
      </c>
      <c r="G5681" s="15" t="s">
        <v>8</v>
      </c>
      <c r="L5681" s="15" t="s">
        <v>8</v>
      </c>
      <c r="P5681" s="15" t="s">
        <v>8</v>
      </c>
      <c r="Q5681" s="15" t="s">
        <v>8</v>
      </c>
      <c r="R5681" s="15" t="s">
        <v>8</v>
      </c>
      <c r="S5681" s="15" t="s">
        <v>8</v>
      </c>
      <c r="X5681" s="8" t="s">
        <v>3</v>
      </c>
      <c r="Y5681" s="8" t="s">
        <v>6</v>
      </c>
    </row>
    <row r="5682" spans="3:29" x14ac:dyDescent="0.35">
      <c r="C5682" s="15" t="s">
        <v>8</v>
      </c>
      <c r="E5682" s="15" t="s">
        <v>8</v>
      </c>
      <c r="G5682" s="15" t="s">
        <v>8</v>
      </c>
      <c r="L5682" s="15" t="s">
        <v>8</v>
      </c>
      <c r="P5682" s="15" t="s">
        <v>8</v>
      </c>
      <c r="Q5682" s="15" t="s">
        <v>8</v>
      </c>
      <c r="R5682" s="15" t="s">
        <v>8</v>
      </c>
      <c r="S5682" s="15" t="s">
        <v>8</v>
      </c>
      <c r="X5682" s="15" t="s">
        <v>8</v>
      </c>
      <c r="Y5682" s="20" t="str">
        <f>HYPERLINK("http://yeinfo.com/family/I09066775.html", "Mrs. {_?_} BARCROFT &lt;2&gt; 1295 EN-1348 EN ID:09066775")</f>
        <v>Mrs. {_?_} BARCROFT &lt;2&gt; 1295 EN-1348 EN ID:09066775</v>
      </c>
      <c r="Z5682" s="17"/>
      <c r="AA5682" s="17"/>
      <c r="AB5682" s="17"/>
      <c r="AC5682" s="17"/>
    </row>
    <row r="5683" spans="3:29" x14ac:dyDescent="0.35">
      <c r="C5683" s="15" t="s">
        <v>8</v>
      </c>
      <c r="E5683" s="15" t="s">
        <v>8</v>
      </c>
      <c r="G5683" s="15" t="s">
        <v>8</v>
      </c>
      <c r="L5683" s="15" t="s">
        <v>8</v>
      </c>
      <c r="P5683" s="15" t="s">
        <v>8</v>
      </c>
      <c r="Q5683" s="15" t="s">
        <v>8</v>
      </c>
      <c r="R5683" s="15" t="s">
        <v>8</v>
      </c>
      <c r="S5683" s="15" t="s">
        <v>8</v>
      </c>
      <c r="X5683" s="15" t="s">
        <v>8</v>
      </c>
    </row>
    <row r="5684" spans="3:29" x14ac:dyDescent="0.35">
      <c r="C5684" s="15" t="s">
        <v>8</v>
      </c>
      <c r="E5684" s="15" t="s">
        <v>8</v>
      </c>
      <c r="G5684" s="15" t="s">
        <v>8</v>
      </c>
      <c r="L5684" s="15" t="s">
        <v>8</v>
      </c>
      <c r="P5684" s="15" t="s">
        <v>8</v>
      </c>
      <c r="Q5684" s="15" t="s">
        <v>8</v>
      </c>
      <c r="R5684" s="15" t="s">
        <v>8</v>
      </c>
      <c r="S5684" s="15" t="s">
        <v>8</v>
      </c>
      <c r="W5684" s="19" t="str">
        <f>HYPERLINK("http://yeinfo.com/family/I09066278.html", "MATTHEW BARCROFT &lt;2&gt; 1348 EN-1382 EN ID:09066278")</f>
        <v>MATTHEW BARCROFT &lt;2&gt; 1348 EN-1382 EN ID:09066278</v>
      </c>
      <c r="X5684" s="9"/>
      <c r="Y5684" s="9"/>
      <c r="Z5684" s="9"/>
      <c r="AA5684" s="9"/>
    </row>
    <row r="5685" spans="3:29" x14ac:dyDescent="0.35">
      <c r="C5685" s="15" t="s">
        <v>8</v>
      </c>
      <c r="E5685" s="15" t="s">
        <v>8</v>
      </c>
      <c r="G5685" s="15" t="s">
        <v>8</v>
      </c>
      <c r="L5685" s="15" t="s">
        <v>8</v>
      </c>
      <c r="P5685" s="15" t="s">
        <v>8</v>
      </c>
      <c r="Q5685" s="15" t="s">
        <v>8</v>
      </c>
      <c r="R5685" s="15" t="s">
        <v>8</v>
      </c>
      <c r="S5685" s="15" t="s">
        <v>8</v>
      </c>
      <c r="W5685" s="8" t="s">
        <v>3</v>
      </c>
      <c r="X5685" s="8" t="s">
        <v>6</v>
      </c>
    </row>
    <row r="5686" spans="3:29" x14ac:dyDescent="0.35">
      <c r="C5686" s="15" t="s">
        <v>8</v>
      </c>
      <c r="E5686" s="15" t="s">
        <v>8</v>
      </c>
      <c r="G5686" s="15" t="s">
        <v>8</v>
      </c>
      <c r="L5686" s="15" t="s">
        <v>8</v>
      </c>
      <c r="P5686" s="15" t="s">
        <v>8</v>
      </c>
      <c r="Q5686" s="15" t="s">
        <v>8</v>
      </c>
      <c r="R5686" s="15" t="s">
        <v>8</v>
      </c>
      <c r="S5686" s="15" t="s">
        <v>8</v>
      </c>
      <c r="W5686" s="15" t="s">
        <v>8</v>
      </c>
      <c r="X5686" s="20" t="str">
        <f>HYPERLINK("http://yeinfo.com/family/I09066439.html", "Mrs. {_?_} BARCROFT &lt;2&gt; 1326 EN-1348 EN ID:09066439")</f>
        <v>Mrs. {_?_} BARCROFT &lt;2&gt; 1326 EN-1348 EN ID:09066439</v>
      </c>
      <c r="Y5686" s="17"/>
      <c r="Z5686" s="17"/>
      <c r="AA5686" s="17"/>
      <c r="AB5686" s="17"/>
    </row>
    <row r="5687" spans="3:29" x14ac:dyDescent="0.35">
      <c r="C5687" s="15" t="s">
        <v>8</v>
      </c>
      <c r="E5687" s="15" t="s">
        <v>8</v>
      </c>
      <c r="G5687" s="15" t="s">
        <v>8</v>
      </c>
      <c r="L5687" s="15" t="s">
        <v>8</v>
      </c>
      <c r="P5687" s="15" t="s">
        <v>8</v>
      </c>
      <c r="Q5687" s="15" t="s">
        <v>8</v>
      </c>
      <c r="R5687" s="15" t="s">
        <v>8</v>
      </c>
      <c r="S5687" s="15" t="s">
        <v>8</v>
      </c>
      <c r="W5687" s="15" t="s">
        <v>8</v>
      </c>
    </row>
    <row r="5688" spans="3:29" x14ac:dyDescent="0.35">
      <c r="C5688" s="15" t="s">
        <v>8</v>
      </c>
      <c r="E5688" s="15" t="s">
        <v>8</v>
      </c>
      <c r="G5688" s="15" t="s">
        <v>8</v>
      </c>
      <c r="L5688" s="15" t="s">
        <v>8</v>
      </c>
      <c r="P5688" s="15" t="s">
        <v>8</v>
      </c>
      <c r="Q5688" s="15" t="s">
        <v>8</v>
      </c>
      <c r="R5688" s="15" t="s">
        <v>8</v>
      </c>
      <c r="S5688" s="15" t="s">
        <v>8</v>
      </c>
      <c r="V5688" s="19" t="str">
        <f>HYPERLINK("http://yeinfo.com/family/I09066078.html", "WILLIAM BARCROFT &lt;2&gt; 1382 EN-1426 EN ID:09066078")</f>
        <v>WILLIAM BARCROFT &lt;2&gt; 1382 EN-1426 EN ID:09066078</v>
      </c>
      <c r="W5688" s="9"/>
      <c r="X5688" s="9"/>
      <c r="Y5688" s="9"/>
      <c r="Z5688" s="9"/>
    </row>
    <row r="5689" spans="3:29" x14ac:dyDescent="0.35">
      <c r="C5689" s="15" t="s">
        <v>8</v>
      </c>
      <c r="E5689" s="15" t="s">
        <v>8</v>
      </c>
      <c r="G5689" s="15" t="s">
        <v>8</v>
      </c>
      <c r="L5689" s="15" t="s">
        <v>8</v>
      </c>
      <c r="P5689" s="15" t="s">
        <v>8</v>
      </c>
      <c r="Q5689" s="15" t="s">
        <v>8</v>
      </c>
      <c r="R5689" s="15" t="s">
        <v>8</v>
      </c>
      <c r="S5689" s="15" t="s">
        <v>8</v>
      </c>
      <c r="V5689" s="8" t="s">
        <v>3</v>
      </c>
      <c r="W5689" s="8" t="s">
        <v>6</v>
      </c>
    </row>
    <row r="5690" spans="3:29" x14ac:dyDescent="0.35">
      <c r="C5690" s="15" t="s">
        <v>8</v>
      </c>
      <c r="E5690" s="15" t="s">
        <v>8</v>
      </c>
      <c r="G5690" s="15" t="s">
        <v>8</v>
      </c>
      <c r="L5690" s="15" t="s">
        <v>8</v>
      </c>
      <c r="P5690" s="15" t="s">
        <v>8</v>
      </c>
      <c r="Q5690" s="15" t="s">
        <v>8</v>
      </c>
      <c r="R5690" s="15" t="s">
        <v>8</v>
      </c>
      <c r="S5690" s="15" t="s">
        <v>8</v>
      </c>
      <c r="V5690" s="15" t="s">
        <v>8</v>
      </c>
      <c r="W5690" s="20" t="str">
        <f>HYPERLINK("http://yeinfo.com/family/I09066277.html", "Mrs. ELEANOR BARCROFT &lt;2&gt; 1350 EN-1382 EN ID:09066277")</f>
        <v>Mrs. ELEANOR BARCROFT &lt;2&gt; 1350 EN-1382 EN ID:09066277</v>
      </c>
      <c r="X5690" s="17"/>
      <c r="Y5690" s="17"/>
      <c r="Z5690" s="17"/>
      <c r="AA5690" s="17"/>
    </row>
    <row r="5691" spans="3:29" x14ac:dyDescent="0.35">
      <c r="C5691" s="15" t="s">
        <v>8</v>
      </c>
      <c r="E5691" s="15" t="s">
        <v>8</v>
      </c>
      <c r="G5691" s="15" t="s">
        <v>8</v>
      </c>
      <c r="L5691" s="15" t="s">
        <v>8</v>
      </c>
      <c r="P5691" s="15" t="s">
        <v>8</v>
      </c>
      <c r="Q5691" s="15" t="s">
        <v>8</v>
      </c>
      <c r="R5691" s="15" t="s">
        <v>8</v>
      </c>
      <c r="S5691" s="15" t="s">
        <v>8</v>
      </c>
      <c r="V5691" s="15" t="s">
        <v>8</v>
      </c>
    </row>
    <row r="5692" spans="3:29" x14ac:dyDescent="0.35">
      <c r="C5692" s="15" t="s">
        <v>8</v>
      </c>
      <c r="E5692" s="15" t="s">
        <v>8</v>
      </c>
      <c r="G5692" s="15" t="s">
        <v>8</v>
      </c>
      <c r="L5692" s="15" t="s">
        <v>8</v>
      </c>
      <c r="P5692" s="15" t="s">
        <v>8</v>
      </c>
      <c r="Q5692" s="15" t="s">
        <v>8</v>
      </c>
      <c r="R5692" s="15" t="s">
        <v>8</v>
      </c>
      <c r="S5692" s="15" t="s">
        <v>8</v>
      </c>
      <c r="U5692" s="19" t="str">
        <f>HYPERLINK("http://yeinfo.com/family/I09065914.html", "THOMAS BARCROFT &lt;2&gt; 1406 EN-1458 EN ID:09065914")</f>
        <v>THOMAS BARCROFT &lt;2&gt; 1406 EN-1458 EN ID:09065914</v>
      </c>
      <c r="V5692" s="9"/>
      <c r="W5692" s="9"/>
      <c r="X5692" s="9"/>
      <c r="Y5692" s="9"/>
    </row>
    <row r="5693" spans="3:29" x14ac:dyDescent="0.35">
      <c r="C5693" s="15" t="s">
        <v>8</v>
      </c>
      <c r="E5693" s="15" t="s">
        <v>8</v>
      </c>
      <c r="G5693" s="15" t="s">
        <v>8</v>
      </c>
      <c r="L5693" s="15" t="s">
        <v>8</v>
      </c>
      <c r="P5693" s="15" t="s">
        <v>8</v>
      </c>
      <c r="Q5693" s="15" t="s">
        <v>8</v>
      </c>
      <c r="R5693" s="15" t="s">
        <v>8</v>
      </c>
      <c r="S5693" s="15" t="s">
        <v>8</v>
      </c>
      <c r="U5693" s="8" t="s">
        <v>3</v>
      </c>
      <c r="V5693" s="8" t="s">
        <v>6</v>
      </c>
    </row>
    <row r="5694" spans="3:29" x14ac:dyDescent="0.35">
      <c r="C5694" s="15" t="s">
        <v>8</v>
      </c>
      <c r="E5694" s="15" t="s">
        <v>8</v>
      </c>
      <c r="G5694" s="15" t="s">
        <v>8</v>
      </c>
      <c r="L5694" s="15" t="s">
        <v>8</v>
      </c>
      <c r="P5694" s="15" t="s">
        <v>8</v>
      </c>
      <c r="Q5694" s="15" t="s">
        <v>8</v>
      </c>
      <c r="R5694" s="15" t="s">
        <v>8</v>
      </c>
      <c r="S5694" s="15" t="s">
        <v>8</v>
      </c>
      <c r="U5694" s="15" t="s">
        <v>8</v>
      </c>
      <c r="V5694" s="20" t="str">
        <f>HYPERLINK("http://yeinfo.com/family/I09066077.html", "Mrs. {_?_} BARCROFT &lt;2&gt; 1378 EN-1406 EN ID:09066077")</f>
        <v>Mrs. {_?_} BARCROFT &lt;2&gt; 1378 EN-1406 EN ID:09066077</v>
      </c>
      <c r="W5694" s="17"/>
      <c r="X5694" s="17"/>
      <c r="Y5694" s="17"/>
      <c r="Z5694" s="17"/>
    </row>
    <row r="5695" spans="3:29" x14ac:dyDescent="0.35">
      <c r="C5695" s="15" t="s">
        <v>8</v>
      </c>
      <c r="E5695" s="15" t="s">
        <v>8</v>
      </c>
      <c r="G5695" s="15" t="s">
        <v>8</v>
      </c>
      <c r="L5695" s="15" t="s">
        <v>8</v>
      </c>
      <c r="P5695" s="15" t="s">
        <v>8</v>
      </c>
      <c r="Q5695" s="15" t="s">
        <v>8</v>
      </c>
      <c r="R5695" s="15" t="s">
        <v>8</v>
      </c>
      <c r="S5695" s="15" t="s">
        <v>8</v>
      </c>
      <c r="U5695" s="15" t="s">
        <v>8</v>
      </c>
    </row>
    <row r="5696" spans="3:29" x14ac:dyDescent="0.35">
      <c r="C5696" s="15" t="s">
        <v>8</v>
      </c>
      <c r="E5696" s="15" t="s">
        <v>8</v>
      </c>
      <c r="G5696" s="15" t="s">
        <v>8</v>
      </c>
      <c r="L5696" s="15" t="s">
        <v>8</v>
      </c>
      <c r="P5696" s="15" t="s">
        <v>8</v>
      </c>
      <c r="Q5696" s="15" t="s">
        <v>8</v>
      </c>
      <c r="R5696" s="15" t="s">
        <v>8</v>
      </c>
      <c r="S5696" s="15" t="s">
        <v>8</v>
      </c>
      <c r="T5696" s="19" t="str">
        <f>HYPERLINK("http://yeinfo.com/family/I09065770.html", "WILLIAM BARCROFT &lt;2&gt; 1426 EN-1446 EN ID:09065770")</f>
        <v>WILLIAM BARCROFT &lt;2&gt; 1426 EN-1446 EN ID:09065770</v>
      </c>
      <c r="U5696" s="9"/>
      <c r="V5696" s="9"/>
      <c r="W5696" s="9"/>
      <c r="X5696" s="9"/>
    </row>
    <row r="5697" spans="3:28" x14ac:dyDescent="0.35">
      <c r="C5697" s="15" t="s">
        <v>8</v>
      </c>
      <c r="E5697" s="15" t="s">
        <v>8</v>
      </c>
      <c r="G5697" s="15" t="s">
        <v>8</v>
      </c>
      <c r="L5697" s="15" t="s">
        <v>8</v>
      </c>
      <c r="P5697" s="15" t="s">
        <v>8</v>
      </c>
      <c r="Q5697" s="15" t="s">
        <v>8</v>
      </c>
      <c r="R5697" s="15" t="s">
        <v>8</v>
      </c>
      <c r="S5697" s="15" t="s">
        <v>8</v>
      </c>
      <c r="T5697" s="8" t="s">
        <v>3</v>
      </c>
      <c r="U5697" s="8" t="s">
        <v>6</v>
      </c>
    </row>
    <row r="5698" spans="3:28" x14ac:dyDescent="0.35">
      <c r="C5698" s="15" t="s">
        <v>8</v>
      </c>
      <c r="E5698" s="15" t="s">
        <v>8</v>
      </c>
      <c r="G5698" s="15" t="s">
        <v>8</v>
      </c>
      <c r="L5698" s="15" t="s">
        <v>8</v>
      </c>
      <c r="P5698" s="15" t="s">
        <v>8</v>
      </c>
      <c r="Q5698" s="15" t="s">
        <v>8</v>
      </c>
      <c r="R5698" s="15" t="s">
        <v>8</v>
      </c>
      <c r="S5698" s="15" t="s">
        <v>8</v>
      </c>
      <c r="T5698" s="15" t="s">
        <v>8</v>
      </c>
      <c r="U5698" s="20" t="str">
        <f>HYPERLINK("http://yeinfo.com/family/I09065913.html", "Mrs. {_?_} BARCROFT &lt;2&gt; 1406 EN-1426 EN ID:09065913")</f>
        <v>Mrs. {_?_} BARCROFT &lt;2&gt; 1406 EN-1426 EN ID:09065913</v>
      </c>
      <c r="V5698" s="17"/>
      <c r="W5698" s="17"/>
      <c r="X5698" s="17"/>
      <c r="Y5698" s="17"/>
    </row>
    <row r="5699" spans="3:28" x14ac:dyDescent="0.35">
      <c r="C5699" s="15" t="s">
        <v>8</v>
      </c>
      <c r="E5699" s="15" t="s">
        <v>8</v>
      </c>
      <c r="G5699" s="15" t="s">
        <v>8</v>
      </c>
      <c r="L5699" s="15" t="s">
        <v>8</v>
      </c>
      <c r="P5699" s="15" t="s">
        <v>8</v>
      </c>
      <c r="Q5699" s="15" t="s">
        <v>8</v>
      </c>
      <c r="R5699" s="15" t="s">
        <v>8</v>
      </c>
      <c r="S5699" s="8" t="s">
        <v>6</v>
      </c>
      <c r="T5699" s="15" t="s">
        <v>8</v>
      </c>
    </row>
    <row r="5700" spans="3:28" x14ac:dyDescent="0.35">
      <c r="C5700" s="15" t="s">
        <v>8</v>
      </c>
      <c r="E5700" s="15" t="s">
        <v>8</v>
      </c>
      <c r="G5700" s="15" t="s">
        <v>8</v>
      </c>
      <c r="L5700" s="15" t="s">
        <v>8</v>
      </c>
      <c r="P5700" s="15" t="s">
        <v>8</v>
      </c>
      <c r="Q5700" s="15" t="s">
        <v>8</v>
      </c>
      <c r="R5700" s="15" t="s">
        <v>8</v>
      </c>
      <c r="S5700" s="20" t="str">
        <f>HYPERLINK("http://yeinfo.com/family/I09065638.html", "AGNES BARCROFT &lt;2&gt; 1444 EN-1464 EN ID:09065638")</f>
        <v>AGNES BARCROFT &lt;2&gt; 1444 EN-1464 EN ID:09065638</v>
      </c>
      <c r="T5700" s="17"/>
      <c r="U5700" s="17"/>
      <c r="V5700" s="17"/>
      <c r="W5700" s="17"/>
    </row>
    <row r="5701" spans="3:28" x14ac:dyDescent="0.35">
      <c r="C5701" s="15" t="s">
        <v>8</v>
      </c>
      <c r="E5701" s="15" t="s">
        <v>8</v>
      </c>
      <c r="G5701" s="15" t="s">
        <v>8</v>
      </c>
      <c r="L5701" s="15" t="s">
        <v>8</v>
      </c>
      <c r="P5701" s="15" t="s">
        <v>8</v>
      </c>
      <c r="Q5701" s="15" t="s">
        <v>8</v>
      </c>
      <c r="R5701" s="15" t="s">
        <v>8</v>
      </c>
      <c r="T5701" s="8" t="s">
        <v>6</v>
      </c>
    </row>
    <row r="5702" spans="3:28" x14ac:dyDescent="0.35">
      <c r="C5702" s="15" t="s">
        <v>8</v>
      </c>
      <c r="E5702" s="15" t="s">
        <v>8</v>
      </c>
      <c r="G5702" s="15" t="s">
        <v>8</v>
      </c>
      <c r="L5702" s="15" t="s">
        <v>8</v>
      </c>
      <c r="P5702" s="15" t="s">
        <v>8</v>
      </c>
      <c r="Q5702" s="15" t="s">
        <v>8</v>
      </c>
      <c r="R5702" s="15" t="s">
        <v>8</v>
      </c>
      <c r="T5702" s="20" t="str">
        <f>HYPERLINK("http://yeinfo.com/family/I09065769.html", "Mrs. {_?_} BARCROFT &lt;2&gt; 1426 EN-1446 EN ID:09065769")</f>
        <v>Mrs. {_?_} BARCROFT &lt;2&gt; 1426 EN-1446 EN ID:09065769</v>
      </c>
      <c r="U5702" s="17"/>
      <c r="V5702" s="17"/>
      <c r="W5702" s="17"/>
      <c r="X5702" s="17"/>
    </row>
    <row r="5703" spans="3:28" x14ac:dyDescent="0.35">
      <c r="C5703" s="15" t="s">
        <v>8</v>
      </c>
      <c r="E5703" s="15" t="s">
        <v>8</v>
      </c>
      <c r="G5703" s="15" t="s">
        <v>8</v>
      </c>
      <c r="L5703" s="15" t="s">
        <v>8</v>
      </c>
      <c r="P5703" s="15" t="s">
        <v>8</v>
      </c>
      <c r="Q5703" s="8" t="s">
        <v>6</v>
      </c>
      <c r="R5703" s="15" t="s">
        <v>8</v>
      </c>
    </row>
    <row r="5704" spans="3:28" x14ac:dyDescent="0.35">
      <c r="C5704" s="15" t="s">
        <v>8</v>
      </c>
      <c r="E5704" s="15" t="s">
        <v>8</v>
      </c>
      <c r="G5704" s="15" t="s">
        <v>8</v>
      </c>
      <c r="L5704" s="15" t="s">
        <v>8</v>
      </c>
      <c r="P5704" s="15" t="s">
        <v>8</v>
      </c>
      <c r="Q5704" s="20" t="str">
        <f>HYPERLINK("http://yeinfo.com/family/I09022689.html", "AGNES ANN HORSFALL &lt;2&gt; 1495 EN-1522 EN ID:09022689")</f>
        <v>AGNES ANN HORSFALL &lt;2&gt; 1495 EN-1522 EN ID:09022689</v>
      </c>
      <c r="R5704" s="17"/>
      <c r="S5704" s="17"/>
      <c r="T5704" s="17"/>
      <c r="U5704" s="17"/>
    </row>
    <row r="5705" spans="3:28" x14ac:dyDescent="0.35">
      <c r="C5705" s="15" t="s">
        <v>8</v>
      </c>
      <c r="E5705" s="15" t="s">
        <v>8</v>
      </c>
      <c r="G5705" s="15" t="s">
        <v>8</v>
      </c>
      <c r="L5705" s="15" t="s">
        <v>8</v>
      </c>
      <c r="P5705" s="15" t="s">
        <v>8</v>
      </c>
      <c r="R5705" s="15" t="s">
        <v>8</v>
      </c>
    </row>
    <row r="5706" spans="3:28" x14ac:dyDescent="0.35">
      <c r="C5706" s="15" t="s">
        <v>8</v>
      </c>
      <c r="E5706" s="15" t="s">
        <v>8</v>
      </c>
      <c r="G5706" s="15" t="s">
        <v>8</v>
      </c>
      <c r="L5706" s="15" t="s">
        <v>8</v>
      </c>
      <c r="P5706" s="15" t="s">
        <v>8</v>
      </c>
      <c r="R5706" s="15" t="s">
        <v>8</v>
      </c>
      <c r="X5706" s="19" t="str">
        <f>HYPERLINK("http://yeinfo.com/family/I09066476.html", "JOHN SAVILLE II &lt;2&gt; 1300 EN-1343 EN ID:09066476")</f>
        <v>JOHN SAVILLE II &lt;2&gt; 1300 EN-1343 EN ID:09066476</v>
      </c>
      <c r="Y5706" s="9"/>
      <c r="Z5706" s="9"/>
      <c r="AA5706" s="9"/>
      <c r="AB5706" s="9"/>
    </row>
    <row r="5707" spans="3:28" x14ac:dyDescent="0.35">
      <c r="C5707" s="15" t="s">
        <v>8</v>
      </c>
      <c r="E5707" s="15" t="s">
        <v>8</v>
      </c>
      <c r="G5707" s="15" t="s">
        <v>8</v>
      </c>
      <c r="L5707" s="15" t="s">
        <v>8</v>
      </c>
      <c r="P5707" s="15" t="s">
        <v>8</v>
      </c>
      <c r="R5707" s="15" t="s">
        <v>8</v>
      </c>
      <c r="X5707" s="8" t="s">
        <v>3</v>
      </c>
    </row>
    <row r="5708" spans="3:28" x14ac:dyDescent="0.35">
      <c r="C5708" s="15" t="s">
        <v>8</v>
      </c>
      <c r="E5708" s="15" t="s">
        <v>8</v>
      </c>
      <c r="G5708" s="15" t="s">
        <v>8</v>
      </c>
      <c r="L5708" s="15" t="s">
        <v>8</v>
      </c>
      <c r="P5708" s="15" t="s">
        <v>8</v>
      </c>
      <c r="R5708" s="15" t="s">
        <v>8</v>
      </c>
      <c r="W5708" s="19" t="str">
        <f>HYPERLINK("http://yeinfo.com/family/I09066305.html", "JOHN SAVILLE III &lt;2&gt; 1329 EN-1399 EN ID:09066305")</f>
        <v>JOHN SAVILLE III &lt;2&gt; 1329 EN-1399 EN ID:09066305</v>
      </c>
      <c r="X5708" s="9"/>
      <c r="Y5708" s="9"/>
      <c r="Z5708" s="9"/>
      <c r="AA5708" s="9"/>
    </row>
    <row r="5709" spans="3:28" x14ac:dyDescent="0.35">
      <c r="C5709" s="15" t="s">
        <v>8</v>
      </c>
      <c r="E5709" s="15" t="s">
        <v>8</v>
      </c>
      <c r="G5709" s="15" t="s">
        <v>8</v>
      </c>
      <c r="L5709" s="15" t="s">
        <v>8</v>
      </c>
      <c r="P5709" s="15" t="s">
        <v>8</v>
      </c>
      <c r="R5709" s="15" t="s">
        <v>8</v>
      </c>
      <c r="W5709" s="8" t="s">
        <v>3</v>
      </c>
      <c r="X5709" s="8" t="s">
        <v>6</v>
      </c>
    </row>
    <row r="5710" spans="3:28" x14ac:dyDescent="0.35">
      <c r="C5710" s="15" t="s">
        <v>8</v>
      </c>
      <c r="E5710" s="15" t="s">
        <v>8</v>
      </c>
      <c r="G5710" s="15" t="s">
        <v>8</v>
      </c>
      <c r="L5710" s="15" t="s">
        <v>8</v>
      </c>
      <c r="P5710" s="15" t="s">
        <v>8</v>
      </c>
      <c r="R5710" s="15" t="s">
        <v>8</v>
      </c>
      <c r="W5710" s="15" t="s">
        <v>8</v>
      </c>
      <c r="X5710" s="20" t="str">
        <f>HYPERLINK("http://yeinfo.com/family/I09066444.html", "MARGERY BOSCO &lt;2&gt; 1312 EN-1343 EN ID:09066444")</f>
        <v>MARGERY BOSCO &lt;2&gt; 1312 EN-1343 EN ID:09066444</v>
      </c>
      <c r="Y5710" s="17"/>
      <c r="Z5710" s="17"/>
      <c r="AA5710" s="17"/>
      <c r="AB5710" s="17"/>
    </row>
    <row r="5711" spans="3:28" x14ac:dyDescent="0.35">
      <c r="C5711" s="15" t="s">
        <v>8</v>
      </c>
      <c r="E5711" s="15" t="s">
        <v>8</v>
      </c>
      <c r="G5711" s="15" t="s">
        <v>8</v>
      </c>
      <c r="L5711" s="15" t="s">
        <v>8</v>
      </c>
      <c r="P5711" s="15" t="s">
        <v>8</v>
      </c>
      <c r="R5711" s="15" t="s">
        <v>8</v>
      </c>
      <c r="W5711" s="15" t="s">
        <v>8</v>
      </c>
    </row>
    <row r="5712" spans="3:28" x14ac:dyDescent="0.35">
      <c r="C5712" s="15" t="s">
        <v>8</v>
      </c>
      <c r="E5712" s="15" t="s">
        <v>8</v>
      </c>
      <c r="G5712" s="15" t="s">
        <v>8</v>
      </c>
      <c r="L5712" s="15" t="s">
        <v>8</v>
      </c>
      <c r="P5712" s="15" t="s">
        <v>8</v>
      </c>
      <c r="R5712" s="15" t="s">
        <v>8</v>
      </c>
      <c r="V5712" s="19" t="str">
        <f>HYPERLINK("http://yeinfo.com/family/I09066111.html", "HENRY SAVILLE II &lt;2&gt; 1355 EN-1437 EN ID:09066111")</f>
        <v>HENRY SAVILLE II &lt;2&gt; 1355 EN-1437 EN ID:09066111</v>
      </c>
      <c r="W5712" s="9"/>
      <c r="X5712" s="9"/>
      <c r="Y5712" s="9"/>
      <c r="Z5712" s="9"/>
    </row>
    <row r="5713" spans="3:29" x14ac:dyDescent="0.35">
      <c r="C5713" s="15" t="s">
        <v>8</v>
      </c>
      <c r="E5713" s="15" t="s">
        <v>8</v>
      </c>
      <c r="G5713" s="15" t="s">
        <v>8</v>
      </c>
      <c r="L5713" s="15" t="s">
        <v>8</v>
      </c>
      <c r="P5713" s="15" t="s">
        <v>8</v>
      </c>
      <c r="R5713" s="15" t="s">
        <v>8</v>
      </c>
      <c r="V5713" s="8" t="s">
        <v>3</v>
      </c>
      <c r="W5713" s="8" t="s">
        <v>6</v>
      </c>
    </row>
    <row r="5714" spans="3:29" x14ac:dyDescent="0.35">
      <c r="C5714" s="15" t="s">
        <v>8</v>
      </c>
      <c r="E5714" s="15" t="s">
        <v>8</v>
      </c>
      <c r="G5714" s="15" t="s">
        <v>8</v>
      </c>
      <c r="L5714" s="15" t="s">
        <v>8</v>
      </c>
      <c r="P5714" s="15" t="s">
        <v>8</v>
      </c>
      <c r="R5714" s="15" t="s">
        <v>8</v>
      </c>
      <c r="V5714" s="15" t="s">
        <v>8</v>
      </c>
      <c r="W5714" s="20" t="str">
        <f>HYPERLINK("http://yeinfo.com/family/I09066285.html", "ISOBEL ELAND &lt;2&gt; 1335 EN-1355 EN ID:09066285")</f>
        <v>ISOBEL ELAND &lt;2&gt; 1335 EN-1355 EN ID:09066285</v>
      </c>
      <c r="X5714" s="17"/>
      <c r="Y5714" s="17"/>
      <c r="Z5714" s="17"/>
      <c r="AA5714" s="17"/>
    </row>
    <row r="5715" spans="3:29" x14ac:dyDescent="0.35">
      <c r="C5715" s="15" t="s">
        <v>8</v>
      </c>
      <c r="E5715" s="15" t="s">
        <v>8</v>
      </c>
      <c r="G5715" s="15" t="s">
        <v>8</v>
      </c>
      <c r="L5715" s="15" t="s">
        <v>8</v>
      </c>
      <c r="P5715" s="15" t="s">
        <v>8</v>
      </c>
      <c r="R5715" s="15" t="s">
        <v>8</v>
      </c>
      <c r="V5715" s="15" t="s">
        <v>8</v>
      </c>
    </row>
    <row r="5716" spans="3:29" x14ac:dyDescent="0.35">
      <c r="C5716" s="15" t="s">
        <v>8</v>
      </c>
      <c r="E5716" s="15" t="s">
        <v>8</v>
      </c>
      <c r="G5716" s="15" t="s">
        <v>8</v>
      </c>
      <c r="L5716" s="15" t="s">
        <v>8</v>
      </c>
      <c r="P5716" s="15" t="s">
        <v>8</v>
      </c>
      <c r="R5716" s="15" t="s">
        <v>8</v>
      </c>
      <c r="U5716" s="19" t="str">
        <f>HYPERLINK("http://yeinfo.com/family/I09065941.html", "THOMAS SAVILLE &lt;2&gt; 1381 EN-1406 EN ID:09065941")</f>
        <v>THOMAS SAVILLE &lt;2&gt; 1381 EN-1406 EN ID:09065941</v>
      </c>
      <c r="V5716" s="9"/>
      <c r="W5716" s="9"/>
      <c r="X5716" s="9"/>
      <c r="Y5716" s="9"/>
    </row>
    <row r="5717" spans="3:29" x14ac:dyDescent="0.35">
      <c r="C5717" s="15" t="s">
        <v>8</v>
      </c>
      <c r="E5717" s="15" t="s">
        <v>8</v>
      </c>
      <c r="G5717" s="15" t="s">
        <v>8</v>
      </c>
      <c r="L5717" s="15" t="s">
        <v>8</v>
      </c>
      <c r="P5717" s="15" t="s">
        <v>8</v>
      </c>
      <c r="R5717" s="15" t="s">
        <v>8</v>
      </c>
      <c r="U5717" s="8" t="s">
        <v>3</v>
      </c>
      <c r="V5717" s="15" t="s">
        <v>8</v>
      </c>
    </row>
    <row r="5718" spans="3:29" x14ac:dyDescent="0.35">
      <c r="C5718" s="15" t="s">
        <v>8</v>
      </c>
      <c r="E5718" s="15" t="s">
        <v>8</v>
      </c>
      <c r="G5718" s="15" t="s">
        <v>8</v>
      </c>
      <c r="L5718" s="15" t="s">
        <v>8</v>
      </c>
      <c r="P5718" s="15" t="s">
        <v>8</v>
      </c>
      <c r="R5718" s="15" t="s">
        <v>8</v>
      </c>
      <c r="U5718" s="15" t="s">
        <v>8</v>
      </c>
      <c r="V5718" s="15" t="s">
        <v>8</v>
      </c>
      <c r="X5718" s="19" t="str">
        <f>HYPERLINK("http://yeinfo.com/family/I09066481.html", "BRYAN THORNHILL &lt;2&gt; 1300 EN-1369  ID:09066481")</f>
        <v>BRYAN THORNHILL &lt;2&gt; 1300 EN-1369  ID:09066481</v>
      </c>
      <c r="Y5718" s="9"/>
      <c r="Z5718" s="9"/>
      <c r="AA5718" s="9"/>
      <c r="AB5718" s="9"/>
    </row>
    <row r="5719" spans="3:29" x14ac:dyDescent="0.35">
      <c r="C5719" s="15" t="s">
        <v>8</v>
      </c>
      <c r="E5719" s="15" t="s">
        <v>8</v>
      </c>
      <c r="G5719" s="15" t="s">
        <v>8</v>
      </c>
      <c r="L5719" s="15" t="s">
        <v>8</v>
      </c>
      <c r="P5719" s="15" t="s">
        <v>8</v>
      </c>
      <c r="R5719" s="15" t="s">
        <v>8</v>
      </c>
      <c r="U5719" s="15" t="s">
        <v>8</v>
      </c>
      <c r="V5719" s="15" t="s">
        <v>8</v>
      </c>
      <c r="X5719" s="8" t="s">
        <v>3</v>
      </c>
    </row>
    <row r="5720" spans="3:29" x14ac:dyDescent="0.35">
      <c r="C5720" s="15" t="s">
        <v>8</v>
      </c>
      <c r="E5720" s="15" t="s">
        <v>8</v>
      </c>
      <c r="G5720" s="15" t="s">
        <v>8</v>
      </c>
      <c r="L5720" s="15" t="s">
        <v>8</v>
      </c>
      <c r="P5720" s="15" t="s">
        <v>8</v>
      </c>
      <c r="R5720" s="15" t="s">
        <v>8</v>
      </c>
      <c r="U5720" s="15" t="s">
        <v>8</v>
      </c>
      <c r="V5720" s="15" t="s">
        <v>8</v>
      </c>
      <c r="W5720" s="19" t="str">
        <f>HYPERLINK("http://yeinfo.com/family/I09066310.html", "SIMON THORNHILL &lt;2&gt; 1330 EN-1378 EN ID:09066310")</f>
        <v>SIMON THORNHILL &lt;2&gt; 1330 EN-1378 EN ID:09066310</v>
      </c>
      <c r="X5720" s="9"/>
      <c r="Y5720" s="9"/>
      <c r="Z5720" s="9"/>
      <c r="AA5720" s="9"/>
    </row>
    <row r="5721" spans="3:29" x14ac:dyDescent="0.35">
      <c r="C5721" s="15" t="s">
        <v>8</v>
      </c>
      <c r="E5721" s="15" t="s">
        <v>8</v>
      </c>
      <c r="G5721" s="15" t="s">
        <v>8</v>
      </c>
      <c r="L5721" s="15" t="s">
        <v>8</v>
      </c>
      <c r="P5721" s="15" t="s">
        <v>8</v>
      </c>
      <c r="R5721" s="15" t="s">
        <v>8</v>
      </c>
      <c r="U5721" s="15" t="s">
        <v>8</v>
      </c>
      <c r="V5721" s="15" t="s">
        <v>8</v>
      </c>
      <c r="W5721" s="8" t="s">
        <v>3</v>
      </c>
      <c r="X5721" s="8" t="s">
        <v>6</v>
      </c>
    </row>
    <row r="5722" spans="3:29" x14ac:dyDescent="0.35">
      <c r="C5722" s="15" t="s">
        <v>8</v>
      </c>
      <c r="E5722" s="15" t="s">
        <v>8</v>
      </c>
      <c r="G5722" s="15" t="s">
        <v>8</v>
      </c>
      <c r="L5722" s="15" t="s">
        <v>8</v>
      </c>
      <c r="P5722" s="15" t="s">
        <v>8</v>
      </c>
      <c r="R5722" s="15" t="s">
        <v>8</v>
      </c>
      <c r="U5722" s="15" t="s">
        <v>8</v>
      </c>
      <c r="V5722" s="15" t="s">
        <v>8</v>
      </c>
      <c r="W5722" s="15" t="s">
        <v>8</v>
      </c>
      <c r="X5722" s="20" t="str">
        <f>HYPERLINK("http://yeinfo.com/family/I09066487.html", "JOAN WILLIAM &lt;2&gt; 1317 EN-1384 EN ID:09066487")</f>
        <v>JOAN WILLIAM &lt;2&gt; 1317 EN-1384 EN ID:09066487</v>
      </c>
      <c r="Y5722" s="17"/>
      <c r="Z5722" s="17"/>
      <c r="AA5722" s="17"/>
      <c r="AB5722" s="17"/>
    </row>
    <row r="5723" spans="3:29" x14ac:dyDescent="0.35">
      <c r="C5723" s="15" t="s">
        <v>8</v>
      </c>
      <c r="E5723" s="15" t="s">
        <v>8</v>
      </c>
      <c r="G5723" s="15" t="s">
        <v>8</v>
      </c>
      <c r="L5723" s="15" t="s">
        <v>8</v>
      </c>
      <c r="P5723" s="15" t="s">
        <v>8</v>
      </c>
      <c r="R5723" s="15" t="s">
        <v>8</v>
      </c>
      <c r="U5723" s="15" t="s">
        <v>8</v>
      </c>
      <c r="V5723" s="8" t="s">
        <v>6</v>
      </c>
      <c r="W5723" s="15" t="s">
        <v>8</v>
      </c>
    </row>
    <row r="5724" spans="3:29" x14ac:dyDescent="0.35">
      <c r="C5724" s="15" t="s">
        <v>8</v>
      </c>
      <c r="E5724" s="15" t="s">
        <v>8</v>
      </c>
      <c r="G5724" s="15" t="s">
        <v>8</v>
      </c>
      <c r="L5724" s="15" t="s">
        <v>8</v>
      </c>
      <c r="P5724" s="15" t="s">
        <v>8</v>
      </c>
      <c r="R5724" s="15" t="s">
        <v>8</v>
      </c>
      <c r="U5724" s="15" t="s">
        <v>8</v>
      </c>
      <c r="V5724" s="20" t="str">
        <f>HYPERLINK("http://yeinfo.com/family/I09066116.html", "ELIZABETH THORNHILL &lt;2&gt; 1360 EN-1437 EN ID:09066116")</f>
        <v>ELIZABETH THORNHILL &lt;2&gt; 1360 EN-1437 EN ID:09066116</v>
      </c>
      <c r="W5724" s="17"/>
      <c r="X5724" s="17"/>
      <c r="Y5724" s="17"/>
      <c r="Z5724" s="17"/>
    </row>
    <row r="5725" spans="3:29" x14ac:dyDescent="0.35">
      <c r="C5725" s="15" t="s">
        <v>8</v>
      </c>
      <c r="E5725" s="15" t="s">
        <v>8</v>
      </c>
      <c r="G5725" s="15" t="s">
        <v>8</v>
      </c>
      <c r="L5725" s="15" t="s">
        <v>8</v>
      </c>
      <c r="P5725" s="15" t="s">
        <v>8</v>
      </c>
      <c r="R5725" s="15" t="s">
        <v>8</v>
      </c>
      <c r="U5725" s="15" t="s">
        <v>8</v>
      </c>
      <c r="W5725" s="15" t="s">
        <v>8</v>
      </c>
    </row>
    <row r="5726" spans="3:29" x14ac:dyDescent="0.35">
      <c r="C5726" s="15" t="s">
        <v>8</v>
      </c>
      <c r="E5726" s="15" t="s">
        <v>8</v>
      </c>
      <c r="G5726" s="15" t="s">
        <v>8</v>
      </c>
      <c r="L5726" s="15" t="s">
        <v>8</v>
      </c>
      <c r="P5726" s="15" t="s">
        <v>8</v>
      </c>
      <c r="R5726" s="15" t="s">
        <v>8</v>
      </c>
      <c r="U5726" s="15" t="s">
        <v>8</v>
      </c>
      <c r="W5726" s="15" t="s">
        <v>8</v>
      </c>
      <c r="Y5726" s="19" t="str">
        <f>HYPERLINK("http://yeinfo.com/family/I09066743.html", "THOMAS BABTHORPE &lt;2&gt; 1290 EN-1310 EN ID:09066743")</f>
        <v>THOMAS BABTHORPE &lt;2&gt; 1290 EN-1310 EN ID:09066743</v>
      </c>
      <c r="Z5726" s="9"/>
      <c r="AA5726" s="9"/>
      <c r="AB5726" s="9"/>
      <c r="AC5726" s="9"/>
    </row>
    <row r="5727" spans="3:29" x14ac:dyDescent="0.35">
      <c r="C5727" s="15" t="s">
        <v>8</v>
      </c>
      <c r="E5727" s="15" t="s">
        <v>8</v>
      </c>
      <c r="G5727" s="15" t="s">
        <v>8</v>
      </c>
      <c r="L5727" s="15" t="s">
        <v>8</v>
      </c>
      <c r="P5727" s="15" t="s">
        <v>8</v>
      </c>
      <c r="R5727" s="15" t="s">
        <v>8</v>
      </c>
      <c r="U5727" s="15" t="s">
        <v>8</v>
      </c>
      <c r="W5727" s="15" t="s">
        <v>8</v>
      </c>
      <c r="Y5727" s="8" t="s">
        <v>3</v>
      </c>
    </row>
    <row r="5728" spans="3:29" x14ac:dyDescent="0.35">
      <c r="C5728" s="15" t="s">
        <v>8</v>
      </c>
      <c r="E5728" s="15" t="s">
        <v>8</v>
      </c>
      <c r="G5728" s="15" t="s">
        <v>8</v>
      </c>
      <c r="L5728" s="15" t="s">
        <v>8</v>
      </c>
      <c r="P5728" s="15" t="s">
        <v>8</v>
      </c>
      <c r="R5728" s="15" t="s">
        <v>8</v>
      </c>
      <c r="U5728" s="15" t="s">
        <v>8</v>
      </c>
      <c r="W5728" s="15" t="s">
        <v>8</v>
      </c>
      <c r="X5728" s="19" t="str">
        <f>HYPERLINK("http://yeinfo.com/family/I09066437.html", "EDWARD BABTHORPE &lt;2&gt; 1315 EN-1340 EN ID:09066437")</f>
        <v>EDWARD BABTHORPE &lt;2&gt; 1315 EN-1340 EN ID:09066437</v>
      </c>
      <c r="Y5728" s="9"/>
      <c r="Z5728" s="9"/>
      <c r="AA5728" s="9"/>
      <c r="AB5728" s="9"/>
    </row>
    <row r="5729" spans="3:29" x14ac:dyDescent="0.35">
      <c r="C5729" s="15" t="s">
        <v>8</v>
      </c>
      <c r="E5729" s="15" t="s">
        <v>8</v>
      </c>
      <c r="G5729" s="15" t="s">
        <v>8</v>
      </c>
      <c r="L5729" s="15" t="s">
        <v>8</v>
      </c>
      <c r="P5729" s="15" t="s">
        <v>8</v>
      </c>
      <c r="R5729" s="15" t="s">
        <v>8</v>
      </c>
      <c r="U5729" s="15" t="s">
        <v>8</v>
      </c>
      <c r="W5729" s="15" t="s">
        <v>8</v>
      </c>
      <c r="X5729" s="8" t="s">
        <v>3</v>
      </c>
      <c r="Y5729" s="8" t="s">
        <v>6</v>
      </c>
    </row>
    <row r="5730" spans="3:29" x14ac:dyDescent="0.35">
      <c r="C5730" s="15" t="s">
        <v>8</v>
      </c>
      <c r="E5730" s="15" t="s">
        <v>8</v>
      </c>
      <c r="G5730" s="15" t="s">
        <v>8</v>
      </c>
      <c r="L5730" s="15" t="s">
        <v>8</v>
      </c>
      <c r="P5730" s="15" t="s">
        <v>8</v>
      </c>
      <c r="R5730" s="15" t="s">
        <v>8</v>
      </c>
      <c r="U5730" s="15" t="s">
        <v>8</v>
      </c>
      <c r="W5730" s="15" t="s">
        <v>8</v>
      </c>
      <c r="X5730" s="15" t="s">
        <v>8</v>
      </c>
      <c r="Y5730" s="20" t="str">
        <f>HYPERLINK("http://yeinfo.com/family/I09066744.html", "ANSWITH HAYE &lt;2&gt; 1290 EN-1310 EN ID:09066744")</f>
        <v>ANSWITH HAYE &lt;2&gt; 1290 EN-1310 EN ID:09066744</v>
      </c>
      <c r="Z5730" s="17"/>
      <c r="AA5730" s="17"/>
      <c r="AB5730" s="17"/>
      <c r="AC5730" s="17"/>
    </row>
    <row r="5731" spans="3:29" x14ac:dyDescent="0.35">
      <c r="C5731" s="15" t="s">
        <v>8</v>
      </c>
      <c r="E5731" s="15" t="s">
        <v>8</v>
      </c>
      <c r="G5731" s="15" t="s">
        <v>8</v>
      </c>
      <c r="L5731" s="15" t="s">
        <v>8</v>
      </c>
      <c r="P5731" s="15" t="s">
        <v>8</v>
      </c>
      <c r="R5731" s="15" t="s">
        <v>8</v>
      </c>
      <c r="U5731" s="15" t="s">
        <v>8</v>
      </c>
      <c r="W5731" s="8" t="s">
        <v>6</v>
      </c>
      <c r="X5731" s="15" t="s">
        <v>8</v>
      </c>
    </row>
    <row r="5732" spans="3:29" x14ac:dyDescent="0.35">
      <c r="C5732" s="15" t="s">
        <v>8</v>
      </c>
      <c r="E5732" s="15" t="s">
        <v>8</v>
      </c>
      <c r="G5732" s="15" t="s">
        <v>8</v>
      </c>
      <c r="L5732" s="15" t="s">
        <v>8</v>
      </c>
      <c r="P5732" s="15" t="s">
        <v>8</v>
      </c>
      <c r="R5732" s="15" t="s">
        <v>8</v>
      </c>
      <c r="U5732" s="15" t="s">
        <v>8</v>
      </c>
      <c r="W5732" s="20" t="str">
        <f>HYPERLINK("http://yeinfo.com/family/I09066275.html", "ELIZABETH BABTHORPE &lt;2&gt; 1340 EN-1385 EN ID:09066275")</f>
        <v>ELIZABETH BABTHORPE &lt;2&gt; 1340 EN-1385 EN ID:09066275</v>
      </c>
      <c r="X5732" s="17"/>
      <c r="Y5732" s="17"/>
      <c r="Z5732" s="17"/>
      <c r="AA5732" s="17"/>
    </row>
    <row r="5733" spans="3:29" x14ac:dyDescent="0.35">
      <c r="C5733" s="15" t="s">
        <v>8</v>
      </c>
      <c r="E5733" s="15" t="s">
        <v>8</v>
      </c>
      <c r="G5733" s="15" t="s">
        <v>8</v>
      </c>
      <c r="L5733" s="15" t="s">
        <v>8</v>
      </c>
      <c r="P5733" s="15" t="s">
        <v>8</v>
      </c>
      <c r="R5733" s="15" t="s">
        <v>8</v>
      </c>
      <c r="U5733" s="15" t="s">
        <v>8</v>
      </c>
      <c r="X5733" s="8" t="s">
        <v>6</v>
      </c>
    </row>
    <row r="5734" spans="3:29" x14ac:dyDescent="0.35">
      <c r="C5734" s="15" t="s">
        <v>8</v>
      </c>
      <c r="E5734" s="15" t="s">
        <v>8</v>
      </c>
      <c r="G5734" s="15" t="s">
        <v>8</v>
      </c>
      <c r="L5734" s="15" t="s">
        <v>8</v>
      </c>
      <c r="P5734" s="15" t="s">
        <v>8</v>
      </c>
      <c r="R5734" s="15" t="s">
        <v>8</v>
      </c>
      <c r="U5734" s="15" t="s">
        <v>8</v>
      </c>
      <c r="X5734" s="20" t="str">
        <f>HYPERLINK("http://yeinfo.com/family/I09066474.html", "JULIANNE SALVAIN &lt;2&gt; 1310 EN-1340 EN ID:09066474")</f>
        <v>JULIANNE SALVAIN &lt;2&gt; 1310 EN-1340 EN ID:09066474</v>
      </c>
      <c r="Y5734" s="17"/>
      <c r="Z5734" s="17"/>
      <c r="AA5734" s="17"/>
      <c r="AB5734" s="17"/>
    </row>
    <row r="5735" spans="3:29" x14ac:dyDescent="0.35">
      <c r="C5735" s="15" t="s">
        <v>8</v>
      </c>
      <c r="E5735" s="15" t="s">
        <v>8</v>
      </c>
      <c r="G5735" s="15" t="s">
        <v>8</v>
      </c>
      <c r="L5735" s="15" t="s">
        <v>8</v>
      </c>
      <c r="P5735" s="15" t="s">
        <v>8</v>
      </c>
      <c r="R5735" s="15" t="s">
        <v>8</v>
      </c>
      <c r="U5735" s="15" t="s">
        <v>8</v>
      </c>
    </row>
    <row r="5736" spans="3:29" x14ac:dyDescent="0.35">
      <c r="C5736" s="15" t="s">
        <v>8</v>
      </c>
      <c r="E5736" s="15" t="s">
        <v>8</v>
      </c>
      <c r="G5736" s="15" t="s">
        <v>8</v>
      </c>
      <c r="L5736" s="15" t="s">
        <v>8</v>
      </c>
      <c r="P5736" s="15" t="s">
        <v>8</v>
      </c>
      <c r="R5736" s="15" t="s">
        <v>8</v>
      </c>
      <c r="T5736" s="19" t="str">
        <f>HYPERLINK("http://yeinfo.com/family/I09065793.html", "JOHN SAVILLE &lt;2&gt; 1406 EN-1482 EN ID:09065793")</f>
        <v>JOHN SAVILLE &lt;2&gt; 1406 EN-1482 EN ID:09065793</v>
      </c>
      <c r="U5736" s="9"/>
      <c r="V5736" s="9"/>
      <c r="W5736" s="9"/>
      <c r="X5736" s="9"/>
    </row>
    <row r="5737" spans="3:29" x14ac:dyDescent="0.35">
      <c r="C5737" s="15" t="s">
        <v>8</v>
      </c>
      <c r="E5737" s="15" t="s">
        <v>8</v>
      </c>
      <c r="G5737" s="15" t="s">
        <v>8</v>
      </c>
      <c r="L5737" s="15" t="s">
        <v>8</v>
      </c>
      <c r="P5737" s="15" t="s">
        <v>8</v>
      </c>
      <c r="R5737" s="15" t="s">
        <v>8</v>
      </c>
      <c r="T5737" s="8" t="s">
        <v>3</v>
      </c>
      <c r="U5737" s="15" t="s">
        <v>8</v>
      </c>
    </row>
    <row r="5738" spans="3:29" x14ac:dyDescent="0.35">
      <c r="C5738" s="15" t="s">
        <v>8</v>
      </c>
      <c r="E5738" s="15" t="s">
        <v>8</v>
      </c>
      <c r="G5738" s="15" t="s">
        <v>8</v>
      </c>
      <c r="L5738" s="15" t="s">
        <v>8</v>
      </c>
      <c r="P5738" s="15" t="s">
        <v>8</v>
      </c>
      <c r="R5738" s="15" t="s">
        <v>8</v>
      </c>
      <c r="T5738" s="15" t="s">
        <v>8</v>
      </c>
      <c r="U5738" s="15" t="s">
        <v>8</v>
      </c>
      <c r="X5738" s="19" t="str">
        <f>HYPERLINK("http://yeinfo.com/family/I09066473.html", "ROGER PILKINGTON IV &lt;2&gt; 1291 EN-1347 EN ID:09066473")</f>
        <v>ROGER PILKINGTON IV &lt;2&gt; 1291 EN-1347 EN ID:09066473</v>
      </c>
      <c r="Y5738" s="9"/>
      <c r="Z5738" s="9"/>
      <c r="AA5738" s="9"/>
      <c r="AB5738" s="9"/>
    </row>
    <row r="5739" spans="3:29" x14ac:dyDescent="0.35">
      <c r="C5739" s="15" t="s">
        <v>8</v>
      </c>
      <c r="E5739" s="15" t="s">
        <v>8</v>
      </c>
      <c r="G5739" s="15" t="s">
        <v>8</v>
      </c>
      <c r="L5739" s="15" t="s">
        <v>8</v>
      </c>
      <c r="P5739" s="15" t="s">
        <v>8</v>
      </c>
      <c r="R5739" s="15" t="s">
        <v>8</v>
      </c>
      <c r="T5739" s="15" t="s">
        <v>8</v>
      </c>
      <c r="U5739" s="15" t="s">
        <v>8</v>
      </c>
      <c r="X5739" s="8" t="s">
        <v>3</v>
      </c>
    </row>
    <row r="5740" spans="3:29" x14ac:dyDescent="0.35">
      <c r="C5740" s="15" t="s">
        <v>8</v>
      </c>
      <c r="E5740" s="15" t="s">
        <v>8</v>
      </c>
      <c r="G5740" s="15" t="s">
        <v>8</v>
      </c>
      <c r="L5740" s="15" t="s">
        <v>8</v>
      </c>
      <c r="P5740" s="15" t="s">
        <v>8</v>
      </c>
      <c r="R5740" s="15" t="s">
        <v>8</v>
      </c>
      <c r="T5740" s="15" t="s">
        <v>8</v>
      </c>
      <c r="U5740" s="15" t="s">
        <v>8</v>
      </c>
      <c r="W5740" s="19" t="str">
        <f>HYPERLINK("http://yeinfo.com/family/I09066301.html", "ROGER PILKINGTON V &lt;2&gt; 1323 EN-1406 EN ID:09066301")</f>
        <v>ROGER PILKINGTON V &lt;2&gt; 1323 EN-1406 EN ID:09066301</v>
      </c>
      <c r="X5740" s="9"/>
      <c r="Y5740" s="9"/>
      <c r="Z5740" s="9"/>
      <c r="AA5740" s="9"/>
    </row>
    <row r="5741" spans="3:29" x14ac:dyDescent="0.35">
      <c r="C5741" s="15" t="s">
        <v>8</v>
      </c>
      <c r="E5741" s="15" t="s">
        <v>8</v>
      </c>
      <c r="G5741" s="15" t="s">
        <v>8</v>
      </c>
      <c r="L5741" s="15" t="s">
        <v>8</v>
      </c>
      <c r="P5741" s="15" t="s">
        <v>8</v>
      </c>
      <c r="R5741" s="15" t="s">
        <v>8</v>
      </c>
      <c r="T5741" s="15" t="s">
        <v>8</v>
      </c>
      <c r="U5741" s="15" t="s">
        <v>8</v>
      </c>
      <c r="W5741" s="8" t="s">
        <v>3</v>
      </c>
      <c r="X5741" s="8" t="s">
        <v>6</v>
      </c>
    </row>
    <row r="5742" spans="3:29" x14ac:dyDescent="0.35">
      <c r="C5742" s="15" t="s">
        <v>8</v>
      </c>
      <c r="E5742" s="15" t="s">
        <v>8</v>
      </c>
      <c r="G5742" s="15" t="s">
        <v>8</v>
      </c>
      <c r="L5742" s="15" t="s">
        <v>8</v>
      </c>
      <c r="P5742" s="15" t="s">
        <v>8</v>
      </c>
      <c r="R5742" s="15" t="s">
        <v>8</v>
      </c>
      <c r="T5742" s="15" t="s">
        <v>8</v>
      </c>
      <c r="U5742" s="15" t="s">
        <v>8</v>
      </c>
      <c r="W5742" s="15" t="s">
        <v>8</v>
      </c>
      <c r="X5742" s="20" t="str">
        <f>HYPERLINK("http://yeinfo.com/family/I09066446.html", "ALICE BURY &lt;2&gt; 1300 EN-1347 EN ID:09066446")</f>
        <v>ALICE BURY &lt;2&gt; 1300 EN-1347 EN ID:09066446</v>
      </c>
      <c r="Y5742" s="17"/>
      <c r="Z5742" s="17"/>
      <c r="AA5742" s="17"/>
      <c r="AB5742" s="17"/>
    </row>
    <row r="5743" spans="3:29" x14ac:dyDescent="0.35">
      <c r="C5743" s="15" t="s">
        <v>8</v>
      </c>
      <c r="E5743" s="15" t="s">
        <v>8</v>
      </c>
      <c r="G5743" s="15" t="s">
        <v>8</v>
      </c>
      <c r="L5743" s="15" t="s">
        <v>8</v>
      </c>
      <c r="P5743" s="15" t="s">
        <v>8</v>
      </c>
      <c r="R5743" s="15" t="s">
        <v>8</v>
      </c>
      <c r="T5743" s="15" t="s">
        <v>8</v>
      </c>
      <c r="U5743" s="15" t="s">
        <v>8</v>
      </c>
      <c r="W5743" s="15" t="s">
        <v>8</v>
      </c>
    </row>
    <row r="5744" spans="3:29" x14ac:dyDescent="0.35">
      <c r="C5744" s="15" t="s">
        <v>8</v>
      </c>
      <c r="E5744" s="15" t="s">
        <v>8</v>
      </c>
      <c r="G5744" s="15" t="s">
        <v>8</v>
      </c>
      <c r="L5744" s="15" t="s">
        <v>8</v>
      </c>
      <c r="P5744" s="15" t="s">
        <v>8</v>
      </c>
      <c r="R5744" s="15" t="s">
        <v>8</v>
      </c>
      <c r="T5744" s="15" t="s">
        <v>8</v>
      </c>
      <c r="U5744" s="15" t="s">
        <v>8</v>
      </c>
      <c r="V5744" s="19" t="str">
        <f>HYPERLINK("http://yeinfo.com/family/I09066106.html", "JOHN PILKINGTON &lt;2&gt; 1365 EN-1421 EN ID:09066106")</f>
        <v>JOHN PILKINGTON &lt;2&gt; 1365 EN-1421 EN ID:09066106</v>
      </c>
      <c r="W5744" s="9"/>
      <c r="X5744" s="9"/>
      <c r="Y5744" s="9"/>
      <c r="Z5744" s="9"/>
    </row>
    <row r="5745" spans="3:28" x14ac:dyDescent="0.35">
      <c r="C5745" s="15" t="s">
        <v>8</v>
      </c>
      <c r="E5745" s="15" t="s">
        <v>8</v>
      </c>
      <c r="G5745" s="15" t="s">
        <v>8</v>
      </c>
      <c r="L5745" s="15" t="s">
        <v>8</v>
      </c>
      <c r="P5745" s="15" t="s">
        <v>8</v>
      </c>
      <c r="R5745" s="15" t="s">
        <v>8</v>
      </c>
      <c r="T5745" s="15" t="s">
        <v>8</v>
      </c>
      <c r="U5745" s="15" t="s">
        <v>8</v>
      </c>
      <c r="V5745" s="8" t="s">
        <v>3</v>
      </c>
      <c r="W5745" s="15" t="s">
        <v>8</v>
      </c>
    </row>
    <row r="5746" spans="3:28" x14ac:dyDescent="0.35">
      <c r="C5746" s="15" t="s">
        <v>8</v>
      </c>
      <c r="E5746" s="15" t="s">
        <v>8</v>
      </c>
      <c r="G5746" s="15" t="s">
        <v>8</v>
      </c>
      <c r="L5746" s="15" t="s">
        <v>8</v>
      </c>
      <c r="P5746" s="15" t="s">
        <v>8</v>
      </c>
      <c r="R5746" s="15" t="s">
        <v>8</v>
      </c>
      <c r="T5746" s="15" t="s">
        <v>8</v>
      </c>
      <c r="U5746" s="15" t="s">
        <v>8</v>
      </c>
      <c r="V5746" s="15" t="s">
        <v>8</v>
      </c>
      <c r="W5746" s="15" t="s">
        <v>8</v>
      </c>
      <c r="X5746" s="19" t="str">
        <f>HYPERLINK("http://yeinfo.com/family/I09066475.html", "JOHN SAVAGE &lt;2&gt; 1311 EN-1336 EN ID:09066475")</f>
        <v>JOHN SAVAGE &lt;2&gt; 1311 EN-1336 EN ID:09066475</v>
      </c>
      <c r="Y5746" s="9"/>
      <c r="Z5746" s="9"/>
      <c r="AA5746" s="9"/>
      <c r="AB5746" s="9"/>
    </row>
    <row r="5747" spans="3:28" x14ac:dyDescent="0.35">
      <c r="C5747" s="15" t="s">
        <v>8</v>
      </c>
      <c r="E5747" s="15" t="s">
        <v>8</v>
      </c>
      <c r="G5747" s="15" t="s">
        <v>8</v>
      </c>
      <c r="L5747" s="15" t="s">
        <v>8</v>
      </c>
      <c r="P5747" s="15" t="s">
        <v>8</v>
      </c>
      <c r="R5747" s="15" t="s">
        <v>8</v>
      </c>
      <c r="T5747" s="15" t="s">
        <v>8</v>
      </c>
      <c r="U5747" s="15" t="s">
        <v>8</v>
      </c>
      <c r="V5747" s="15" t="s">
        <v>8</v>
      </c>
      <c r="W5747" s="8" t="s">
        <v>6</v>
      </c>
      <c r="X5747" s="8" t="s">
        <v>3</v>
      </c>
    </row>
    <row r="5748" spans="3:28" x14ac:dyDescent="0.35">
      <c r="C5748" s="15" t="s">
        <v>8</v>
      </c>
      <c r="E5748" s="15" t="s">
        <v>8</v>
      </c>
      <c r="G5748" s="15" t="s">
        <v>8</v>
      </c>
      <c r="L5748" s="15" t="s">
        <v>8</v>
      </c>
      <c r="P5748" s="15" t="s">
        <v>8</v>
      </c>
      <c r="R5748" s="15" t="s">
        <v>8</v>
      </c>
      <c r="T5748" s="15" t="s">
        <v>8</v>
      </c>
      <c r="U5748" s="15" t="s">
        <v>8</v>
      </c>
      <c r="V5748" s="15" t="s">
        <v>8</v>
      </c>
      <c r="W5748" s="20" t="str">
        <f>HYPERLINK("http://yeinfo.com/family/I09066304.html", "ANNE SAVAGE &lt;2&gt; 1336 EN-1398 EN ID:09066304")</f>
        <v>ANNE SAVAGE &lt;2&gt; 1336 EN-1398 EN ID:09066304</v>
      </c>
      <c r="X5748" s="17"/>
      <c r="Y5748" s="17"/>
      <c r="Z5748" s="17"/>
      <c r="AA5748" s="17"/>
    </row>
    <row r="5749" spans="3:28" x14ac:dyDescent="0.35">
      <c r="C5749" s="15" t="s">
        <v>8</v>
      </c>
      <c r="E5749" s="15" t="s">
        <v>8</v>
      </c>
      <c r="G5749" s="15" t="s">
        <v>8</v>
      </c>
      <c r="L5749" s="15" t="s">
        <v>8</v>
      </c>
      <c r="P5749" s="15" t="s">
        <v>8</v>
      </c>
      <c r="R5749" s="15" t="s">
        <v>8</v>
      </c>
      <c r="T5749" s="15" t="s">
        <v>8</v>
      </c>
      <c r="U5749" s="15" t="s">
        <v>8</v>
      </c>
      <c r="V5749" s="15" t="s">
        <v>8</v>
      </c>
      <c r="X5749" s="8" t="s">
        <v>6</v>
      </c>
    </row>
    <row r="5750" spans="3:28" x14ac:dyDescent="0.35">
      <c r="C5750" s="15" t="s">
        <v>8</v>
      </c>
      <c r="E5750" s="15" t="s">
        <v>8</v>
      </c>
      <c r="G5750" s="15" t="s">
        <v>8</v>
      </c>
      <c r="L5750" s="15" t="s">
        <v>8</v>
      </c>
      <c r="P5750" s="15" t="s">
        <v>8</v>
      </c>
      <c r="R5750" s="15" t="s">
        <v>8</v>
      </c>
      <c r="T5750" s="15" t="s">
        <v>8</v>
      </c>
      <c r="U5750" s="15" t="s">
        <v>8</v>
      </c>
      <c r="V5750" s="15" t="s">
        <v>8</v>
      </c>
      <c r="X5750" s="20" t="str">
        <f>HYPERLINK("http://yeinfo.com/family/I09066445.html", "ELIZABETH BRERTON &lt;2&gt; 1316 EN-1336 EN ID:09066445")</f>
        <v>ELIZABETH BRERTON &lt;2&gt; 1316 EN-1336 EN ID:09066445</v>
      </c>
      <c r="Y5750" s="17"/>
      <c r="Z5750" s="17"/>
      <c r="AA5750" s="17"/>
      <c r="AB5750" s="17"/>
    </row>
    <row r="5751" spans="3:28" x14ac:dyDescent="0.35">
      <c r="C5751" s="15" t="s">
        <v>8</v>
      </c>
      <c r="E5751" s="15" t="s">
        <v>8</v>
      </c>
      <c r="G5751" s="15" t="s">
        <v>8</v>
      </c>
      <c r="L5751" s="15" t="s">
        <v>8</v>
      </c>
      <c r="P5751" s="15" t="s">
        <v>8</v>
      </c>
      <c r="R5751" s="15" t="s">
        <v>8</v>
      </c>
      <c r="T5751" s="15" t="s">
        <v>8</v>
      </c>
      <c r="U5751" s="8" t="s">
        <v>6</v>
      </c>
      <c r="V5751" s="15" t="s">
        <v>8</v>
      </c>
    </row>
    <row r="5752" spans="3:28" x14ac:dyDescent="0.35">
      <c r="C5752" s="15" t="s">
        <v>8</v>
      </c>
      <c r="E5752" s="15" t="s">
        <v>8</v>
      </c>
      <c r="G5752" s="15" t="s">
        <v>8</v>
      </c>
      <c r="L5752" s="15" t="s">
        <v>8</v>
      </c>
      <c r="P5752" s="15" t="s">
        <v>8</v>
      </c>
      <c r="R5752" s="15" t="s">
        <v>8</v>
      </c>
      <c r="T5752" s="15" t="s">
        <v>8</v>
      </c>
      <c r="U5752" s="20" t="str">
        <f>HYPERLINK("http://yeinfo.com/family/I09065938.html", "MARGARET PILKINGTON &lt;2&gt; 1383 EN-1445 EN ID:09065938")</f>
        <v>MARGARET PILKINGTON &lt;2&gt; 1383 EN-1445 EN ID:09065938</v>
      </c>
      <c r="V5752" s="17"/>
      <c r="W5752" s="17"/>
      <c r="X5752" s="17"/>
      <c r="Y5752" s="17"/>
    </row>
    <row r="5753" spans="3:28" x14ac:dyDescent="0.35">
      <c r="C5753" s="15" t="s">
        <v>8</v>
      </c>
      <c r="E5753" s="15" t="s">
        <v>8</v>
      </c>
      <c r="G5753" s="15" t="s">
        <v>8</v>
      </c>
      <c r="L5753" s="15" t="s">
        <v>8</v>
      </c>
      <c r="P5753" s="15" t="s">
        <v>8</v>
      </c>
      <c r="R5753" s="15" t="s">
        <v>8</v>
      </c>
      <c r="T5753" s="15" t="s">
        <v>8</v>
      </c>
      <c r="V5753" s="15" t="s">
        <v>8</v>
      </c>
    </row>
    <row r="5754" spans="3:28" x14ac:dyDescent="0.35">
      <c r="C5754" s="15" t="s">
        <v>8</v>
      </c>
      <c r="E5754" s="15" t="s">
        <v>8</v>
      </c>
      <c r="G5754" s="15" t="s">
        <v>8</v>
      </c>
      <c r="L5754" s="15" t="s">
        <v>8</v>
      </c>
      <c r="P5754" s="15" t="s">
        <v>8</v>
      </c>
      <c r="R5754" s="15" t="s">
        <v>8</v>
      </c>
      <c r="T5754" s="15" t="s">
        <v>8</v>
      </c>
      <c r="V5754" s="15" t="s">
        <v>8</v>
      </c>
      <c r="X5754" s="19" t="str">
        <f>HYPERLINK("http://yeinfo.com/family/I09066483.html", "JOHN VERDUN &lt;2&gt; 1299 EN-1376 EN ID:09066483")</f>
        <v>JOHN VERDUN &lt;2&gt; 1299 EN-1376 EN ID:09066483</v>
      </c>
      <c r="Y5754" s="9"/>
      <c r="Z5754" s="9"/>
      <c r="AA5754" s="9"/>
      <c r="AB5754" s="9"/>
    </row>
    <row r="5755" spans="3:28" x14ac:dyDescent="0.35">
      <c r="C5755" s="15" t="s">
        <v>8</v>
      </c>
      <c r="E5755" s="15" t="s">
        <v>8</v>
      </c>
      <c r="G5755" s="15" t="s">
        <v>8</v>
      </c>
      <c r="L5755" s="15" t="s">
        <v>8</v>
      </c>
      <c r="P5755" s="15" t="s">
        <v>8</v>
      </c>
      <c r="R5755" s="15" t="s">
        <v>8</v>
      </c>
      <c r="T5755" s="15" t="s">
        <v>8</v>
      </c>
      <c r="V5755" s="15" t="s">
        <v>8</v>
      </c>
      <c r="X5755" s="8" t="s">
        <v>3</v>
      </c>
    </row>
    <row r="5756" spans="3:28" x14ac:dyDescent="0.35">
      <c r="C5756" s="15" t="s">
        <v>8</v>
      </c>
      <c r="E5756" s="15" t="s">
        <v>8</v>
      </c>
      <c r="G5756" s="15" t="s">
        <v>8</v>
      </c>
      <c r="L5756" s="15" t="s">
        <v>8</v>
      </c>
      <c r="P5756" s="15" t="s">
        <v>8</v>
      </c>
      <c r="R5756" s="15" t="s">
        <v>8</v>
      </c>
      <c r="T5756" s="15" t="s">
        <v>8</v>
      </c>
      <c r="V5756" s="15" t="s">
        <v>8</v>
      </c>
      <c r="W5756" s="19" t="str">
        <f>HYPERLINK("http://yeinfo.com/family/I09066313.html", "EDMUND VERDUN &lt;2&gt; 1325 EN-1376 EN ID:09066313")</f>
        <v>EDMUND VERDUN &lt;2&gt; 1325 EN-1376 EN ID:09066313</v>
      </c>
      <c r="X5756" s="9"/>
      <c r="Y5756" s="9"/>
      <c r="Z5756" s="9"/>
      <c r="AA5756" s="9"/>
    </row>
    <row r="5757" spans="3:28" x14ac:dyDescent="0.35">
      <c r="C5757" s="15" t="s">
        <v>8</v>
      </c>
      <c r="E5757" s="15" t="s">
        <v>8</v>
      </c>
      <c r="G5757" s="15" t="s">
        <v>8</v>
      </c>
      <c r="L5757" s="15" t="s">
        <v>8</v>
      </c>
      <c r="P5757" s="15" t="s">
        <v>8</v>
      </c>
      <c r="R5757" s="15" t="s">
        <v>8</v>
      </c>
      <c r="T5757" s="15" t="s">
        <v>8</v>
      </c>
      <c r="V5757" s="15" t="s">
        <v>8</v>
      </c>
      <c r="W5757" s="8" t="s">
        <v>3</v>
      </c>
      <c r="X5757" s="8" t="s">
        <v>6</v>
      </c>
    </row>
    <row r="5758" spans="3:28" x14ac:dyDescent="0.35">
      <c r="C5758" s="15" t="s">
        <v>8</v>
      </c>
      <c r="E5758" s="15" t="s">
        <v>8</v>
      </c>
      <c r="G5758" s="15" t="s">
        <v>8</v>
      </c>
      <c r="L5758" s="15" t="s">
        <v>8</v>
      </c>
      <c r="P5758" s="15" t="s">
        <v>8</v>
      </c>
      <c r="R5758" s="15" t="s">
        <v>8</v>
      </c>
      <c r="T5758" s="15" t="s">
        <v>8</v>
      </c>
      <c r="V5758" s="15" t="s">
        <v>8</v>
      </c>
      <c r="W5758" s="15" t="s">
        <v>8</v>
      </c>
      <c r="X5758" s="20" t="str">
        <f>HYPERLINK("http://yeinfo.com/family/I09066482.html", "Mrs. AGNES VERDUN &lt;2&gt; 1308 EN-1328 EN ID:09066482")</f>
        <v>Mrs. AGNES VERDUN &lt;2&gt; 1308 EN-1328 EN ID:09066482</v>
      </c>
      <c r="Y5758" s="17"/>
      <c r="Z5758" s="17"/>
      <c r="AA5758" s="17"/>
      <c r="AB5758" s="17"/>
    </row>
    <row r="5759" spans="3:28" x14ac:dyDescent="0.35">
      <c r="C5759" s="15" t="s">
        <v>8</v>
      </c>
      <c r="E5759" s="15" t="s">
        <v>8</v>
      </c>
      <c r="G5759" s="15" t="s">
        <v>8</v>
      </c>
      <c r="L5759" s="15" t="s">
        <v>8</v>
      </c>
      <c r="P5759" s="15" t="s">
        <v>8</v>
      </c>
      <c r="R5759" s="15" t="s">
        <v>8</v>
      </c>
      <c r="T5759" s="15" t="s">
        <v>8</v>
      </c>
      <c r="V5759" s="8" t="s">
        <v>6</v>
      </c>
      <c r="W5759" s="15" t="s">
        <v>8</v>
      </c>
    </row>
    <row r="5760" spans="3:28" x14ac:dyDescent="0.35">
      <c r="C5760" s="15" t="s">
        <v>8</v>
      </c>
      <c r="E5760" s="15" t="s">
        <v>8</v>
      </c>
      <c r="G5760" s="15" t="s">
        <v>8</v>
      </c>
      <c r="L5760" s="15" t="s">
        <v>8</v>
      </c>
      <c r="P5760" s="15" t="s">
        <v>8</v>
      </c>
      <c r="R5760" s="15" t="s">
        <v>8</v>
      </c>
      <c r="T5760" s="15" t="s">
        <v>8</v>
      </c>
      <c r="V5760" s="20" t="str">
        <f>HYPERLINK("http://yeinfo.com/family/I09066121.html", "MARGARET VERDUN &lt;2&gt; 1356 EN-1436 EN ID:09066121")</f>
        <v>MARGARET VERDUN &lt;2&gt; 1356 EN-1436 EN ID:09066121</v>
      </c>
      <c r="W5760" s="17"/>
      <c r="X5760" s="17"/>
      <c r="Y5760" s="17"/>
      <c r="Z5760" s="17"/>
    </row>
    <row r="5761" spans="3:28" x14ac:dyDescent="0.35">
      <c r="C5761" s="15" t="s">
        <v>8</v>
      </c>
      <c r="E5761" s="15" t="s">
        <v>8</v>
      </c>
      <c r="G5761" s="15" t="s">
        <v>8</v>
      </c>
      <c r="L5761" s="15" t="s">
        <v>8</v>
      </c>
      <c r="P5761" s="15" t="s">
        <v>8</v>
      </c>
      <c r="R5761" s="15" t="s">
        <v>8</v>
      </c>
      <c r="T5761" s="15" t="s">
        <v>8</v>
      </c>
      <c r="W5761" s="8" t="s">
        <v>6</v>
      </c>
    </row>
    <row r="5762" spans="3:28" x14ac:dyDescent="0.35">
      <c r="C5762" s="15" t="s">
        <v>8</v>
      </c>
      <c r="E5762" s="15" t="s">
        <v>8</v>
      </c>
      <c r="G5762" s="15" t="s">
        <v>8</v>
      </c>
      <c r="L5762" s="15" t="s">
        <v>8</v>
      </c>
      <c r="P5762" s="15" t="s">
        <v>8</v>
      </c>
      <c r="R5762" s="15" t="s">
        <v>8</v>
      </c>
      <c r="T5762" s="15" t="s">
        <v>8</v>
      </c>
      <c r="W5762" s="20" t="str">
        <f>HYPERLINK("http://yeinfo.com/family/I09066312.html", "Mrs. JOAN VERDUN &lt;2&gt; 1330 EN-1356 EN ID:09066312")</f>
        <v>Mrs. JOAN VERDUN &lt;2&gt; 1330 EN-1356 EN ID:09066312</v>
      </c>
      <c r="X5762" s="17"/>
      <c r="Y5762" s="17"/>
      <c r="Z5762" s="17"/>
      <c r="AA5762" s="17"/>
    </row>
    <row r="5763" spans="3:28" x14ac:dyDescent="0.35">
      <c r="C5763" s="15" t="s">
        <v>8</v>
      </c>
      <c r="E5763" s="15" t="s">
        <v>8</v>
      </c>
      <c r="G5763" s="15" t="s">
        <v>8</v>
      </c>
      <c r="L5763" s="15" t="s">
        <v>8</v>
      </c>
      <c r="P5763" s="15" t="s">
        <v>8</v>
      </c>
      <c r="R5763" s="15" t="s">
        <v>8</v>
      </c>
      <c r="T5763" s="15" t="s">
        <v>8</v>
      </c>
    </row>
    <row r="5764" spans="3:28" x14ac:dyDescent="0.35">
      <c r="C5764" s="15" t="s">
        <v>8</v>
      </c>
      <c r="E5764" s="15" t="s">
        <v>8</v>
      </c>
      <c r="G5764" s="15" t="s">
        <v>8</v>
      </c>
      <c r="L5764" s="15" t="s">
        <v>8</v>
      </c>
      <c r="P5764" s="15" t="s">
        <v>8</v>
      </c>
      <c r="R5764" s="15" t="s">
        <v>8</v>
      </c>
      <c r="S5764" s="19" t="str">
        <f>HYPERLINK("http://yeinfo.com/family/I09065666.html", "NICHOLAS SAVILLE &lt;2&gt; 1440 EN-1481 EN ID:09065666")</f>
        <v>NICHOLAS SAVILLE &lt;2&gt; 1440 EN-1481 EN ID:09065666</v>
      </c>
      <c r="T5764" s="9"/>
      <c r="U5764" s="9"/>
      <c r="V5764" s="9"/>
      <c r="W5764" s="9"/>
    </row>
    <row r="5765" spans="3:28" x14ac:dyDescent="0.35">
      <c r="C5765" s="15" t="s">
        <v>8</v>
      </c>
      <c r="E5765" s="15" t="s">
        <v>8</v>
      </c>
      <c r="G5765" s="15" t="s">
        <v>8</v>
      </c>
      <c r="L5765" s="15" t="s">
        <v>8</v>
      </c>
      <c r="P5765" s="15" t="s">
        <v>8</v>
      </c>
      <c r="R5765" s="15" t="s">
        <v>8</v>
      </c>
      <c r="S5765" s="8" t="s">
        <v>3</v>
      </c>
      <c r="T5765" s="15" t="s">
        <v>8</v>
      </c>
    </row>
    <row r="5766" spans="3:28" x14ac:dyDescent="0.35">
      <c r="C5766" s="15" t="s">
        <v>8</v>
      </c>
      <c r="E5766" s="15" t="s">
        <v>8</v>
      </c>
      <c r="G5766" s="15" t="s">
        <v>8</v>
      </c>
      <c r="L5766" s="15" t="s">
        <v>8</v>
      </c>
      <c r="P5766" s="15" t="s">
        <v>8</v>
      </c>
      <c r="R5766" s="15" t="s">
        <v>8</v>
      </c>
      <c r="S5766" s="15" t="s">
        <v>8</v>
      </c>
      <c r="T5766" s="15" t="s">
        <v>8</v>
      </c>
      <c r="X5766" s="19" t="str">
        <f>HYPERLINK("http://yeinfo.com/family/I09066464.html", "WILLIAM GASCOIGNE &lt;2&gt; 1250 EN-1330 EN ID:09066464")</f>
        <v>WILLIAM GASCOIGNE &lt;2&gt; 1250 EN-1330 EN ID:09066464</v>
      </c>
      <c r="Y5766" s="9"/>
      <c r="Z5766" s="9"/>
      <c r="AA5766" s="9"/>
      <c r="AB5766" s="9"/>
    </row>
    <row r="5767" spans="3:28" x14ac:dyDescent="0.35">
      <c r="C5767" s="15" t="s">
        <v>8</v>
      </c>
      <c r="E5767" s="15" t="s">
        <v>8</v>
      </c>
      <c r="G5767" s="15" t="s">
        <v>8</v>
      </c>
      <c r="L5767" s="15" t="s">
        <v>8</v>
      </c>
      <c r="P5767" s="15" t="s">
        <v>8</v>
      </c>
      <c r="R5767" s="15" t="s">
        <v>8</v>
      </c>
      <c r="S5767" s="15" t="s">
        <v>8</v>
      </c>
      <c r="T5767" s="15" t="s">
        <v>8</v>
      </c>
      <c r="X5767" s="8" t="s">
        <v>3</v>
      </c>
    </row>
    <row r="5768" spans="3:28" x14ac:dyDescent="0.35">
      <c r="C5768" s="15" t="s">
        <v>8</v>
      </c>
      <c r="E5768" s="15" t="s">
        <v>8</v>
      </c>
      <c r="G5768" s="15" t="s">
        <v>8</v>
      </c>
      <c r="L5768" s="15" t="s">
        <v>8</v>
      </c>
      <c r="P5768" s="15" t="s">
        <v>8</v>
      </c>
      <c r="R5768" s="15" t="s">
        <v>8</v>
      </c>
      <c r="S5768" s="15" t="s">
        <v>8</v>
      </c>
      <c r="T5768" s="15" t="s">
        <v>8</v>
      </c>
      <c r="W5768" s="19" t="str">
        <f>HYPERLINK("http://yeinfo.com/family/I09066291.html", "WILLIAM GASCOIGNE Sr. &lt;2&gt; 1293 EN-1378 EN ID:09066291")</f>
        <v>WILLIAM GASCOIGNE Sr. &lt;2&gt; 1293 EN-1378 EN ID:09066291</v>
      </c>
      <c r="X5768" s="9"/>
      <c r="Y5768" s="9"/>
      <c r="Z5768" s="9"/>
      <c r="AA5768" s="9"/>
    </row>
    <row r="5769" spans="3:28" x14ac:dyDescent="0.35">
      <c r="C5769" s="15" t="s">
        <v>8</v>
      </c>
      <c r="E5769" s="15" t="s">
        <v>8</v>
      </c>
      <c r="G5769" s="15" t="s">
        <v>8</v>
      </c>
      <c r="L5769" s="15" t="s">
        <v>8</v>
      </c>
      <c r="P5769" s="15" t="s">
        <v>8</v>
      </c>
      <c r="R5769" s="15" t="s">
        <v>8</v>
      </c>
      <c r="S5769" s="15" t="s">
        <v>8</v>
      </c>
      <c r="T5769" s="15" t="s">
        <v>8</v>
      </c>
      <c r="W5769" s="8" t="s">
        <v>3</v>
      </c>
      <c r="X5769" s="8" t="s">
        <v>6</v>
      </c>
    </row>
    <row r="5770" spans="3:28" x14ac:dyDescent="0.35">
      <c r="C5770" s="15" t="s">
        <v>8</v>
      </c>
      <c r="E5770" s="15" t="s">
        <v>8</v>
      </c>
      <c r="G5770" s="15" t="s">
        <v>8</v>
      </c>
      <c r="L5770" s="15" t="s">
        <v>8</v>
      </c>
      <c r="P5770" s="15" t="s">
        <v>8</v>
      </c>
      <c r="R5770" s="15" t="s">
        <v>8</v>
      </c>
      <c r="S5770" s="15" t="s">
        <v>8</v>
      </c>
      <c r="T5770" s="15" t="s">
        <v>8</v>
      </c>
      <c r="W5770" s="15" t="s">
        <v>8</v>
      </c>
      <c r="X5770" s="20" t="str">
        <f>HYPERLINK("http://yeinfo.com/family/I09066463.html", "Mrs. MATILDA GASCOIGNE &lt;2&gt; 1264 EN-1317 EN ID:09066463")</f>
        <v>Mrs. MATILDA GASCOIGNE &lt;2&gt; 1264 EN-1317 EN ID:09066463</v>
      </c>
      <c r="Y5770" s="17"/>
      <c r="Z5770" s="17"/>
      <c r="AA5770" s="17"/>
      <c r="AB5770" s="17"/>
    </row>
    <row r="5771" spans="3:28" x14ac:dyDescent="0.35">
      <c r="C5771" s="15" t="s">
        <v>8</v>
      </c>
      <c r="E5771" s="15" t="s">
        <v>8</v>
      </c>
      <c r="G5771" s="15" t="s">
        <v>8</v>
      </c>
      <c r="L5771" s="15" t="s">
        <v>8</v>
      </c>
      <c r="P5771" s="15" t="s">
        <v>8</v>
      </c>
      <c r="R5771" s="15" t="s">
        <v>8</v>
      </c>
      <c r="S5771" s="15" t="s">
        <v>8</v>
      </c>
      <c r="T5771" s="15" t="s">
        <v>8</v>
      </c>
      <c r="W5771" s="15" t="s">
        <v>8</v>
      </c>
    </row>
    <row r="5772" spans="3:28" x14ac:dyDescent="0.35">
      <c r="C5772" s="15" t="s">
        <v>8</v>
      </c>
      <c r="E5772" s="15" t="s">
        <v>8</v>
      </c>
      <c r="G5772" s="15" t="s">
        <v>8</v>
      </c>
      <c r="L5772" s="15" t="s">
        <v>8</v>
      </c>
      <c r="P5772" s="15" t="s">
        <v>8</v>
      </c>
      <c r="R5772" s="15" t="s">
        <v>8</v>
      </c>
      <c r="S5772" s="15" t="s">
        <v>8</v>
      </c>
      <c r="T5772" s="15" t="s">
        <v>8</v>
      </c>
      <c r="V5772" s="19" t="str">
        <f>HYPERLINK("http://yeinfo.com/family/I09066090.html", "WILLIAM GASCOIGNE &lt;2&gt; 1350 EN-1419 EN ID:09066090")</f>
        <v>WILLIAM GASCOIGNE &lt;2&gt; 1350 EN-1419 EN ID:09066090</v>
      </c>
      <c r="W5772" s="9"/>
      <c r="X5772" s="9"/>
      <c r="Y5772" s="9"/>
      <c r="Z5772" s="9"/>
    </row>
    <row r="5773" spans="3:28" x14ac:dyDescent="0.35">
      <c r="C5773" s="15" t="s">
        <v>8</v>
      </c>
      <c r="E5773" s="15" t="s">
        <v>8</v>
      </c>
      <c r="G5773" s="15" t="s">
        <v>8</v>
      </c>
      <c r="L5773" s="15" t="s">
        <v>8</v>
      </c>
      <c r="P5773" s="15" t="s">
        <v>8</v>
      </c>
      <c r="R5773" s="15" t="s">
        <v>8</v>
      </c>
      <c r="S5773" s="15" t="s">
        <v>8</v>
      </c>
      <c r="T5773" s="15" t="s">
        <v>8</v>
      </c>
      <c r="V5773" s="8" t="s">
        <v>3</v>
      </c>
      <c r="W5773" s="15" t="s">
        <v>8</v>
      </c>
    </row>
    <row r="5774" spans="3:28" x14ac:dyDescent="0.35">
      <c r="C5774" s="15" t="s">
        <v>8</v>
      </c>
      <c r="E5774" s="15" t="s">
        <v>8</v>
      </c>
      <c r="G5774" s="15" t="s">
        <v>8</v>
      </c>
      <c r="L5774" s="15" t="s">
        <v>8</v>
      </c>
      <c r="P5774" s="15" t="s">
        <v>8</v>
      </c>
      <c r="R5774" s="15" t="s">
        <v>8</v>
      </c>
      <c r="S5774" s="15" t="s">
        <v>8</v>
      </c>
      <c r="T5774" s="15" t="s">
        <v>8</v>
      </c>
      <c r="V5774" s="15" t="s">
        <v>8</v>
      </c>
      <c r="W5774" s="15" t="s">
        <v>8</v>
      </c>
      <c r="X5774" s="19" t="str">
        <f>HYPERLINK("http://yeinfo.com/family/I09066459.html", "NICHOLAS FRANKE &lt;2&gt; 1285 EN-1377 EN ID:09066459")</f>
        <v>NICHOLAS FRANKE &lt;2&gt; 1285 EN-1377 EN ID:09066459</v>
      </c>
      <c r="Y5774" s="9"/>
      <c r="Z5774" s="9"/>
      <c r="AA5774" s="9"/>
      <c r="AB5774" s="9"/>
    </row>
    <row r="5775" spans="3:28" x14ac:dyDescent="0.35">
      <c r="C5775" s="15" t="s">
        <v>8</v>
      </c>
      <c r="E5775" s="15" t="s">
        <v>8</v>
      </c>
      <c r="G5775" s="15" t="s">
        <v>8</v>
      </c>
      <c r="L5775" s="15" t="s">
        <v>8</v>
      </c>
      <c r="P5775" s="15" t="s">
        <v>8</v>
      </c>
      <c r="R5775" s="15" t="s">
        <v>8</v>
      </c>
      <c r="S5775" s="15" t="s">
        <v>8</v>
      </c>
      <c r="T5775" s="15" t="s">
        <v>8</v>
      </c>
      <c r="V5775" s="15" t="s">
        <v>8</v>
      </c>
      <c r="W5775" s="8" t="s">
        <v>6</v>
      </c>
      <c r="X5775" s="8" t="s">
        <v>3</v>
      </c>
    </row>
    <row r="5776" spans="3:28" x14ac:dyDescent="0.35">
      <c r="C5776" s="15" t="s">
        <v>8</v>
      </c>
      <c r="E5776" s="15" t="s">
        <v>8</v>
      </c>
      <c r="G5776" s="15" t="s">
        <v>8</v>
      </c>
      <c r="L5776" s="15" t="s">
        <v>8</v>
      </c>
      <c r="P5776" s="15" t="s">
        <v>8</v>
      </c>
      <c r="R5776" s="15" t="s">
        <v>8</v>
      </c>
      <c r="S5776" s="15" t="s">
        <v>8</v>
      </c>
      <c r="T5776" s="15" t="s">
        <v>8</v>
      </c>
      <c r="V5776" s="15" t="s">
        <v>8</v>
      </c>
      <c r="W5776" s="20" t="str">
        <f>HYPERLINK("http://yeinfo.com/family/I09066289.html", "AGNES FRANKE &lt;2&gt; 1312 EN-1389 EN ID:09066289")</f>
        <v>AGNES FRANKE &lt;2&gt; 1312 EN-1389 EN ID:09066289</v>
      </c>
      <c r="X5776" s="17"/>
      <c r="Y5776" s="17"/>
      <c r="Z5776" s="17"/>
      <c r="AA5776" s="17"/>
    </row>
    <row r="5777" spans="3:28" x14ac:dyDescent="0.35">
      <c r="C5777" s="15" t="s">
        <v>8</v>
      </c>
      <c r="E5777" s="15" t="s">
        <v>8</v>
      </c>
      <c r="G5777" s="15" t="s">
        <v>8</v>
      </c>
      <c r="L5777" s="15" t="s">
        <v>8</v>
      </c>
      <c r="P5777" s="15" t="s">
        <v>8</v>
      </c>
      <c r="R5777" s="15" t="s">
        <v>8</v>
      </c>
      <c r="S5777" s="15" t="s">
        <v>8</v>
      </c>
      <c r="T5777" s="15" t="s">
        <v>8</v>
      </c>
      <c r="V5777" s="15" t="s">
        <v>8</v>
      </c>
      <c r="X5777" s="8" t="s">
        <v>6</v>
      </c>
    </row>
    <row r="5778" spans="3:28" x14ac:dyDescent="0.35">
      <c r="C5778" s="15" t="s">
        <v>8</v>
      </c>
      <c r="E5778" s="15" t="s">
        <v>8</v>
      </c>
      <c r="G5778" s="15" t="s">
        <v>8</v>
      </c>
      <c r="L5778" s="15" t="s">
        <v>8</v>
      </c>
      <c r="P5778" s="15" t="s">
        <v>8</v>
      </c>
      <c r="R5778" s="15" t="s">
        <v>8</v>
      </c>
      <c r="S5778" s="15" t="s">
        <v>8</v>
      </c>
      <c r="T5778" s="15" t="s">
        <v>8</v>
      </c>
      <c r="V5778" s="15" t="s">
        <v>8</v>
      </c>
      <c r="X5778" s="20" t="str">
        <f>HYPERLINK("http://yeinfo.com/family/I09066450.html", "KATHERINE ELLIS &lt;2&gt; 1288 EN-1377 EN ID:09066450")</f>
        <v>KATHERINE ELLIS &lt;2&gt; 1288 EN-1377 EN ID:09066450</v>
      </c>
      <c r="Y5778" s="17"/>
      <c r="Z5778" s="17"/>
      <c r="AA5778" s="17"/>
      <c r="AB5778" s="17"/>
    </row>
    <row r="5779" spans="3:28" x14ac:dyDescent="0.35">
      <c r="C5779" s="15" t="s">
        <v>8</v>
      </c>
      <c r="E5779" s="15" t="s">
        <v>8</v>
      </c>
      <c r="G5779" s="15" t="s">
        <v>8</v>
      </c>
      <c r="L5779" s="15" t="s">
        <v>8</v>
      </c>
      <c r="P5779" s="15" t="s">
        <v>8</v>
      </c>
      <c r="R5779" s="15" t="s">
        <v>8</v>
      </c>
      <c r="S5779" s="15" t="s">
        <v>8</v>
      </c>
      <c r="T5779" s="15" t="s">
        <v>8</v>
      </c>
      <c r="V5779" s="15" t="s">
        <v>8</v>
      </c>
    </row>
    <row r="5780" spans="3:28" x14ac:dyDescent="0.35">
      <c r="C5780" s="15" t="s">
        <v>8</v>
      </c>
      <c r="E5780" s="15" t="s">
        <v>8</v>
      </c>
      <c r="G5780" s="15" t="s">
        <v>8</v>
      </c>
      <c r="L5780" s="15" t="s">
        <v>8</v>
      </c>
      <c r="P5780" s="15" t="s">
        <v>8</v>
      </c>
      <c r="R5780" s="15" t="s">
        <v>8</v>
      </c>
      <c r="S5780" s="15" t="s">
        <v>8</v>
      </c>
      <c r="T5780" s="15" t="s">
        <v>8</v>
      </c>
      <c r="U5780" s="19" t="str">
        <f>HYPERLINK("http://yeinfo.com/family/I09065925.html", "WILLIAM GASCOIGNE II &lt;2&gt; 1387 EN-1422 EN ID:09065925")</f>
        <v>WILLIAM GASCOIGNE II &lt;2&gt; 1387 EN-1422 EN ID:09065925</v>
      </c>
      <c r="V5780" s="9"/>
      <c r="W5780" s="9"/>
      <c r="X5780" s="9"/>
      <c r="Y5780" s="9"/>
    </row>
    <row r="5781" spans="3:28" x14ac:dyDescent="0.35">
      <c r="C5781" s="15" t="s">
        <v>8</v>
      </c>
      <c r="E5781" s="15" t="s">
        <v>8</v>
      </c>
      <c r="G5781" s="15" t="s">
        <v>8</v>
      </c>
      <c r="L5781" s="15" t="s">
        <v>8</v>
      </c>
      <c r="P5781" s="15" t="s">
        <v>8</v>
      </c>
      <c r="R5781" s="15" t="s">
        <v>8</v>
      </c>
      <c r="S5781" s="15" t="s">
        <v>8</v>
      </c>
      <c r="T5781" s="15" t="s">
        <v>8</v>
      </c>
      <c r="U5781" s="8" t="s">
        <v>3</v>
      </c>
      <c r="V5781" s="8" t="s">
        <v>6</v>
      </c>
    </row>
    <row r="5782" spans="3:28" x14ac:dyDescent="0.35">
      <c r="C5782" s="15" t="s">
        <v>8</v>
      </c>
      <c r="E5782" s="15" t="s">
        <v>8</v>
      </c>
      <c r="G5782" s="15" t="s">
        <v>8</v>
      </c>
      <c r="L5782" s="15" t="s">
        <v>8</v>
      </c>
      <c r="P5782" s="15" t="s">
        <v>8</v>
      </c>
      <c r="R5782" s="15" t="s">
        <v>8</v>
      </c>
      <c r="S5782" s="15" t="s">
        <v>8</v>
      </c>
      <c r="T5782" s="15" t="s">
        <v>8</v>
      </c>
      <c r="U5782" s="15" t="s">
        <v>8</v>
      </c>
      <c r="V5782" s="20" t="str">
        <f>HYPERLINK("http://yeinfo.com/family/I09066104.html", "ELIZABETH MOWBRAY &lt;2&gt; 1340 EN-1403 EN ID:09066104")</f>
        <v>ELIZABETH MOWBRAY &lt;2&gt; 1340 EN-1403 EN ID:09066104</v>
      </c>
      <c r="W5782" s="17"/>
      <c r="X5782" s="17"/>
      <c r="Y5782" s="17"/>
      <c r="Z5782" s="17"/>
    </row>
    <row r="5783" spans="3:28" x14ac:dyDescent="0.35">
      <c r="C5783" s="15" t="s">
        <v>8</v>
      </c>
      <c r="E5783" s="15" t="s">
        <v>8</v>
      </c>
      <c r="G5783" s="15" t="s">
        <v>8</v>
      </c>
      <c r="L5783" s="15" t="s">
        <v>8</v>
      </c>
      <c r="P5783" s="15" t="s">
        <v>8</v>
      </c>
      <c r="R5783" s="15" t="s">
        <v>8</v>
      </c>
      <c r="S5783" s="15" t="s">
        <v>8</v>
      </c>
      <c r="T5783" s="8" t="s">
        <v>6</v>
      </c>
      <c r="U5783" s="15" t="s">
        <v>8</v>
      </c>
    </row>
    <row r="5784" spans="3:28" x14ac:dyDescent="0.35">
      <c r="C5784" s="15" t="s">
        <v>8</v>
      </c>
      <c r="E5784" s="15" t="s">
        <v>8</v>
      </c>
      <c r="G5784" s="15" t="s">
        <v>8</v>
      </c>
      <c r="L5784" s="15" t="s">
        <v>8</v>
      </c>
      <c r="P5784" s="15" t="s">
        <v>8</v>
      </c>
      <c r="R5784" s="15" t="s">
        <v>8</v>
      </c>
      <c r="S5784" s="15" t="s">
        <v>8</v>
      </c>
      <c r="T5784" s="20" t="str">
        <f>HYPERLINK("http://yeinfo.com/family/I09065778.html", "ALICE GASCOIGNE &lt;2&gt; 1415 EN-1482 EN ID:09065778")</f>
        <v>ALICE GASCOIGNE &lt;2&gt; 1415 EN-1482 EN ID:09065778</v>
      </c>
      <c r="U5784" s="17"/>
      <c r="V5784" s="17"/>
      <c r="W5784" s="17"/>
      <c r="X5784" s="17"/>
    </row>
    <row r="5785" spans="3:28" x14ac:dyDescent="0.35">
      <c r="C5785" s="15" t="s">
        <v>8</v>
      </c>
      <c r="E5785" s="15" t="s">
        <v>8</v>
      </c>
      <c r="G5785" s="15" t="s">
        <v>8</v>
      </c>
      <c r="L5785" s="15" t="s">
        <v>8</v>
      </c>
      <c r="P5785" s="15" t="s">
        <v>8</v>
      </c>
      <c r="R5785" s="15" t="s">
        <v>8</v>
      </c>
      <c r="S5785" s="15" t="s">
        <v>8</v>
      </c>
      <c r="U5785" s="15" t="s">
        <v>8</v>
      </c>
    </row>
    <row r="5786" spans="3:28" x14ac:dyDescent="0.35">
      <c r="C5786" s="15" t="s">
        <v>8</v>
      </c>
      <c r="E5786" s="15" t="s">
        <v>8</v>
      </c>
      <c r="G5786" s="15" t="s">
        <v>8</v>
      </c>
      <c r="L5786" s="15" t="s">
        <v>8</v>
      </c>
      <c r="P5786" s="15" t="s">
        <v>8</v>
      </c>
      <c r="R5786" s="15" t="s">
        <v>8</v>
      </c>
      <c r="S5786" s="15" t="s">
        <v>8</v>
      </c>
      <c r="U5786" s="15" t="s">
        <v>8</v>
      </c>
      <c r="V5786" s="19" t="str">
        <f>HYPERLINK("http://yeinfo.com/family/I09066123.html", "HENRY WYMAN &lt;2&gt; 1344 EN-1411 EN ID:09066123")</f>
        <v>HENRY WYMAN &lt;2&gt; 1344 EN-1411 EN ID:09066123</v>
      </c>
      <c r="W5786" s="9"/>
      <c r="X5786" s="9"/>
      <c r="Y5786" s="9"/>
      <c r="Z5786" s="9"/>
    </row>
    <row r="5787" spans="3:28" x14ac:dyDescent="0.35">
      <c r="C5787" s="15" t="s">
        <v>8</v>
      </c>
      <c r="E5787" s="15" t="s">
        <v>8</v>
      </c>
      <c r="G5787" s="15" t="s">
        <v>8</v>
      </c>
      <c r="L5787" s="15" t="s">
        <v>8</v>
      </c>
      <c r="P5787" s="15" t="s">
        <v>8</v>
      </c>
      <c r="R5787" s="15" t="s">
        <v>8</v>
      </c>
      <c r="S5787" s="15" t="s">
        <v>8</v>
      </c>
      <c r="U5787" s="8" t="s">
        <v>6</v>
      </c>
      <c r="V5787" s="8" t="s">
        <v>3</v>
      </c>
    </row>
    <row r="5788" spans="3:28" x14ac:dyDescent="0.35">
      <c r="C5788" s="15" t="s">
        <v>8</v>
      </c>
      <c r="E5788" s="15" t="s">
        <v>8</v>
      </c>
      <c r="G5788" s="15" t="s">
        <v>8</v>
      </c>
      <c r="L5788" s="15" t="s">
        <v>8</v>
      </c>
      <c r="P5788" s="15" t="s">
        <v>8</v>
      </c>
      <c r="R5788" s="15" t="s">
        <v>8</v>
      </c>
      <c r="S5788" s="15" t="s">
        <v>8</v>
      </c>
      <c r="U5788" s="20" t="str">
        <f>HYPERLINK("http://yeinfo.com/family/I09065952.html", "JOAN WYMAN &lt;2&gt; 1370 EN-1432 EN ID:09065952")</f>
        <v>JOAN WYMAN &lt;2&gt; 1370 EN-1432 EN ID:09065952</v>
      </c>
      <c r="V5788" s="17"/>
      <c r="W5788" s="17"/>
      <c r="X5788" s="17"/>
      <c r="Y5788" s="17"/>
    </row>
    <row r="5789" spans="3:28" x14ac:dyDescent="0.35">
      <c r="C5789" s="15" t="s">
        <v>8</v>
      </c>
      <c r="E5789" s="15" t="s">
        <v>8</v>
      </c>
      <c r="G5789" s="15" t="s">
        <v>8</v>
      </c>
      <c r="L5789" s="15" t="s">
        <v>8</v>
      </c>
      <c r="P5789" s="15" t="s">
        <v>8</v>
      </c>
      <c r="R5789" s="15" t="s">
        <v>8</v>
      </c>
      <c r="S5789" s="15" t="s">
        <v>8</v>
      </c>
      <c r="V5789" s="8" t="s">
        <v>6</v>
      </c>
    </row>
    <row r="5790" spans="3:28" x14ac:dyDescent="0.35">
      <c r="C5790" s="15" t="s">
        <v>8</v>
      </c>
      <c r="E5790" s="15" t="s">
        <v>8</v>
      </c>
      <c r="G5790" s="15" t="s">
        <v>8</v>
      </c>
      <c r="L5790" s="15" t="s">
        <v>8</v>
      </c>
      <c r="P5790" s="15" t="s">
        <v>8</v>
      </c>
      <c r="R5790" s="15" t="s">
        <v>8</v>
      </c>
      <c r="S5790" s="15" t="s">
        <v>8</v>
      </c>
      <c r="V5790" s="20" t="str">
        <f>HYPERLINK("http://yeinfo.com/family/I09066079.html", "AGNES BARDEN &lt;2&gt; 1346 EN-1403 EN ID:09066079")</f>
        <v>AGNES BARDEN &lt;2&gt; 1346 EN-1403 EN ID:09066079</v>
      </c>
      <c r="W5790" s="17"/>
      <c r="X5790" s="17"/>
      <c r="Y5790" s="17"/>
      <c r="Z5790" s="17"/>
    </row>
    <row r="5791" spans="3:28" x14ac:dyDescent="0.35">
      <c r="C5791" s="15" t="s">
        <v>8</v>
      </c>
      <c r="E5791" s="15" t="s">
        <v>8</v>
      </c>
      <c r="G5791" s="15" t="s">
        <v>8</v>
      </c>
      <c r="L5791" s="15" t="s">
        <v>8</v>
      </c>
      <c r="P5791" s="15" t="s">
        <v>8</v>
      </c>
      <c r="R5791" s="8" t="s">
        <v>6</v>
      </c>
      <c r="S5791" s="15" t="s">
        <v>8</v>
      </c>
    </row>
    <row r="5792" spans="3:28" x14ac:dyDescent="0.35">
      <c r="C5792" s="15" t="s">
        <v>8</v>
      </c>
      <c r="E5792" s="15" t="s">
        <v>8</v>
      </c>
      <c r="G5792" s="15" t="s">
        <v>8</v>
      </c>
      <c r="L5792" s="15" t="s">
        <v>8</v>
      </c>
      <c r="P5792" s="15" t="s">
        <v>8</v>
      </c>
      <c r="R5792" s="20" t="str">
        <f>HYPERLINK("http://yeinfo.com/family/I09045379.html", "AGNES SAVILLE &lt;2&gt; 1478 EN-1554 EN ID:09045379")</f>
        <v>AGNES SAVILLE &lt;2&gt; 1478 EN-1554 EN ID:09045379</v>
      </c>
      <c r="S5792" s="17"/>
      <c r="T5792" s="17"/>
      <c r="U5792" s="17"/>
      <c r="V5792" s="17"/>
    </row>
    <row r="5793" spans="3:28" x14ac:dyDescent="0.35">
      <c r="C5793" s="15" t="s">
        <v>8</v>
      </c>
      <c r="E5793" s="15" t="s">
        <v>8</v>
      </c>
      <c r="G5793" s="15" t="s">
        <v>8</v>
      </c>
      <c r="L5793" s="15" t="s">
        <v>8</v>
      </c>
      <c r="P5793" s="15" t="s">
        <v>8</v>
      </c>
      <c r="S5793" s="15" t="s">
        <v>8</v>
      </c>
    </row>
    <row r="5794" spans="3:28" x14ac:dyDescent="0.35">
      <c r="C5794" s="15" t="s">
        <v>8</v>
      </c>
      <c r="E5794" s="15" t="s">
        <v>8</v>
      </c>
      <c r="G5794" s="15" t="s">
        <v>8</v>
      </c>
      <c r="L5794" s="15" t="s">
        <v>8</v>
      </c>
      <c r="P5794" s="15" t="s">
        <v>8</v>
      </c>
      <c r="S5794" s="15" t="s">
        <v>8</v>
      </c>
      <c r="V5794" s="19" t="str">
        <f>HYPERLINK("http://yeinfo.com/family/I09066114.html", "THOMAS STANDISFIELD &lt;2&gt; 1350 EN-1380 EN ID:09066114")</f>
        <v>THOMAS STANDISFIELD &lt;2&gt; 1350 EN-1380 EN ID:09066114</v>
      </c>
      <c r="W5794" s="9"/>
      <c r="X5794" s="9"/>
      <c r="Y5794" s="9"/>
      <c r="Z5794" s="9"/>
    </row>
    <row r="5795" spans="3:28" x14ac:dyDescent="0.35">
      <c r="C5795" s="15" t="s">
        <v>8</v>
      </c>
      <c r="E5795" s="15" t="s">
        <v>8</v>
      </c>
      <c r="G5795" s="15" t="s">
        <v>8</v>
      </c>
      <c r="L5795" s="15" t="s">
        <v>8</v>
      </c>
      <c r="P5795" s="15" t="s">
        <v>8</v>
      </c>
      <c r="S5795" s="15" t="s">
        <v>8</v>
      </c>
      <c r="V5795" s="8" t="s">
        <v>3</v>
      </c>
    </row>
    <row r="5796" spans="3:28" x14ac:dyDescent="0.35">
      <c r="C5796" s="15" t="s">
        <v>8</v>
      </c>
      <c r="E5796" s="15" t="s">
        <v>8</v>
      </c>
      <c r="G5796" s="15" t="s">
        <v>8</v>
      </c>
      <c r="L5796" s="15" t="s">
        <v>8</v>
      </c>
      <c r="P5796" s="15" t="s">
        <v>8</v>
      </c>
      <c r="S5796" s="15" t="s">
        <v>8</v>
      </c>
      <c r="U5796" s="19" t="str">
        <f>HYPERLINK("http://yeinfo.com/family/I09065945.html", "JOHN STANDISFIELD &lt;2&gt; 1380 EN-1457 EN ID:09065945")</f>
        <v>JOHN STANDISFIELD &lt;2&gt; 1380 EN-1457 EN ID:09065945</v>
      </c>
      <c r="V5796" s="9"/>
      <c r="W5796" s="9"/>
      <c r="X5796" s="9"/>
      <c r="Y5796" s="9"/>
    </row>
    <row r="5797" spans="3:28" x14ac:dyDescent="0.35">
      <c r="C5797" s="15" t="s">
        <v>8</v>
      </c>
      <c r="E5797" s="15" t="s">
        <v>8</v>
      </c>
      <c r="G5797" s="15" t="s">
        <v>8</v>
      </c>
      <c r="L5797" s="15" t="s">
        <v>8</v>
      </c>
      <c r="P5797" s="15" t="s">
        <v>8</v>
      </c>
      <c r="S5797" s="15" t="s">
        <v>8</v>
      </c>
      <c r="U5797" s="8" t="s">
        <v>3</v>
      </c>
      <c r="V5797" s="15" t="s">
        <v>8</v>
      </c>
    </row>
    <row r="5798" spans="3:28" x14ac:dyDescent="0.35">
      <c r="C5798" s="15" t="s">
        <v>8</v>
      </c>
      <c r="E5798" s="15" t="s">
        <v>8</v>
      </c>
      <c r="G5798" s="15" t="s">
        <v>8</v>
      </c>
      <c r="L5798" s="15" t="s">
        <v>8</v>
      </c>
      <c r="P5798" s="15" t="s">
        <v>8</v>
      </c>
      <c r="S5798" s="15" t="s">
        <v>8</v>
      </c>
      <c r="U5798" s="15" t="s">
        <v>8</v>
      </c>
      <c r="V5798" s="15" t="s">
        <v>8</v>
      </c>
      <c r="X5798" s="19" t="str">
        <f>HYPERLINK("http://yeinfo.com/family/I09066470.html", "RANULPH RALPH LASCELLES &lt;2&gt; 1300 EN-1343 EN ID:09066470")</f>
        <v>RANULPH RALPH LASCELLES &lt;2&gt; 1300 EN-1343 EN ID:09066470</v>
      </c>
      <c r="Y5798" s="9"/>
      <c r="Z5798" s="9"/>
      <c r="AA5798" s="9"/>
      <c r="AB5798" s="9"/>
    </row>
    <row r="5799" spans="3:28" x14ac:dyDescent="0.35">
      <c r="C5799" s="15" t="s">
        <v>8</v>
      </c>
      <c r="E5799" s="15" t="s">
        <v>8</v>
      </c>
      <c r="G5799" s="15" t="s">
        <v>8</v>
      </c>
      <c r="L5799" s="15" t="s">
        <v>8</v>
      </c>
      <c r="P5799" s="15" t="s">
        <v>8</v>
      </c>
      <c r="S5799" s="15" t="s">
        <v>8</v>
      </c>
      <c r="U5799" s="15" t="s">
        <v>8</v>
      </c>
      <c r="V5799" s="15" t="s">
        <v>8</v>
      </c>
      <c r="X5799" s="8" t="s">
        <v>3</v>
      </c>
    </row>
    <row r="5800" spans="3:28" x14ac:dyDescent="0.35">
      <c r="C5800" s="15" t="s">
        <v>8</v>
      </c>
      <c r="E5800" s="15" t="s">
        <v>8</v>
      </c>
      <c r="G5800" s="15" t="s">
        <v>8</v>
      </c>
      <c r="L5800" s="15" t="s">
        <v>8</v>
      </c>
      <c r="P5800" s="15" t="s">
        <v>8</v>
      </c>
      <c r="S5800" s="15" t="s">
        <v>8</v>
      </c>
      <c r="U5800" s="15" t="s">
        <v>8</v>
      </c>
      <c r="V5800" s="15" t="s">
        <v>8</v>
      </c>
      <c r="W5800" s="19" t="str">
        <f>HYPERLINK("http://yeinfo.com/family/I09066298.html", "JOHN LASCELLES &lt;2&gt; 1330 EN-1352 EN ID:09066298")</f>
        <v>JOHN LASCELLES &lt;2&gt; 1330 EN-1352 EN ID:09066298</v>
      </c>
      <c r="X5800" s="9"/>
      <c r="Y5800" s="9"/>
      <c r="Z5800" s="9"/>
      <c r="AA5800" s="9"/>
    </row>
    <row r="5801" spans="3:28" x14ac:dyDescent="0.35">
      <c r="C5801" s="15" t="s">
        <v>8</v>
      </c>
      <c r="E5801" s="15" t="s">
        <v>8</v>
      </c>
      <c r="G5801" s="15" t="s">
        <v>8</v>
      </c>
      <c r="L5801" s="15" t="s">
        <v>8</v>
      </c>
      <c r="P5801" s="15" t="s">
        <v>8</v>
      </c>
      <c r="S5801" s="15" t="s">
        <v>8</v>
      </c>
      <c r="U5801" s="15" t="s">
        <v>8</v>
      </c>
      <c r="V5801" s="15" t="s">
        <v>8</v>
      </c>
      <c r="W5801" s="8" t="s">
        <v>3</v>
      </c>
      <c r="X5801" s="8" t="s">
        <v>6</v>
      </c>
    </row>
    <row r="5802" spans="3:28" x14ac:dyDescent="0.35">
      <c r="C5802" s="15" t="s">
        <v>8</v>
      </c>
      <c r="E5802" s="15" t="s">
        <v>8</v>
      </c>
      <c r="G5802" s="15" t="s">
        <v>8</v>
      </c>
      <c r="L5802" s="15" t="s">
        <v>8</v>
      </c>
      <c r="P5802" s="15" t="s">
        <v>8</v>
      </c>
      <c r="S5802" s="15" t="s">
        <v>8</v>
      </c>
      <c r="U5802" s="15" t="s">
        <v>8</v>
      </c>
      <c r="V5802" s="15" t="s">
        <v>8</v>
      </c>
      <c r="W5802" s="15" t="s">
        <v>8</v>
      </c>
      <c r="X5802" s="20" t="str">
        <f>HYPERLINK("http://yeinfo.com/family/I09066454.html", "ISABEL FITZRALPH &lt;2&gt; 1304 EN-1388 EN ID:09066454")</f>
        <v>ISABEL FITZRALPH &lt;2&gt; 1304 EN-1388 EN ID:09066454</v>
      </c>
      <c r="Y5802" s="17"/>
      <c r="Z5802" s="17"/>
      <c r="AA5802" s="17"/>
      <c r="AB5802" s="17"/>
    </row>
    <row r="5803" spans="3:28" x14ac:dyDescent="0.35">
      <c r="C5803" s="15" t="s">
        <v>8</v>
      </c>
      <c r="E5803" s="15" t="s">
        <v>8</v>
      </c>
      <c r="G5803" s="15" t="s">
        <v>8</v>
      </c>
      <c r="L5803" s="15" t="s">
        <v>8</v>
      </c>
      <c r="P5803" s="15" t="s">
        <v>8</v>
      </c>
      <c r="S5803" s="15" t="s">
        <v>8</v>
      </c>
      <c r="U5803" s="15" t="s">
        <v>8</v>
      </c>
      <c r="V5803" s="8" t="s">
        <v>6</v>
      </c>
      <c r="W5803" s="15" t="s">
        <v>8</v>
      </c>
    </row>
    <row r="5804" spans="3:28" x14ac:dyDescent="0.35">
      <c r="C5804" s="15" t="s">
        <v>8</v>
      </c>
      <c r="E5804" s="15" t="s">
        <v>8</v>
      </c>
      <c r="G5804" s="15" t="s">
        <v>8</v>
      </c>
      <c r="L5804" s="15" t="s">
        <v>8</v>
      </c>
      <c r="P5804" s="15" t="s">
        <v>8</v>
      </c>
      <c r="S5804" s="15" t="s">
        <v>8</v>
      </c>
      <c r="U5804" s="15" t="s">
        <v>8</v>
      </c>
      <c r="V5804" s="20" t="str">
        <f>HYPERLINK("http://yeinfo.com/family/I09066100.html", "BARBARA LASCELLES &lt;2&gt; 1352 EN-1380 EN ID:09066100")</f>
        <v>BARBARA LASCELLES &lt;2&gt; 1352 EN-1380 EN ID:09066100</v>
      </c>
      <c r="W5804" s="17"/>
      <c r="X5804" s="17"/>
      <c r="Y5804" s="17"/>
      <c r="Z5804" s="17"/>
    </row>
    <row r="5805" spans="3:28" x14ac:dyDescent="0.35">
      <c r="C5805" s="15" t="s">
        <v>8</v>
      </c>
      <c r="E5805" s="15" t="s">
        <v>8</v>
      </c>
      <c r="G5805" s="15" t="s">
        <v>8</v>
      </c>
      <c r="L5805" s="15" t="s">
        <v>8</v>
      </c>
      <c r="P5805" s="15" t="s">
        <v>8</v>
      </c>
      <c r="S5805" s="15" t="s">
        <v>8</v>
      </c>
      <c r="U5805" s="15" t="s">
        <v>8</v>
      </c>
      <c r="W5805" s="8" t="s">
        <v>6</v>
      </c>
    </row>
    <row r="5806" spans="3:28" x14ac:dyDescent="0.35">
      <c r="C5806" s="15" t="s">
        <v>8</v>
      </c>
      <c r="E5806" s="15" t="s">
        <v>8</v>
      </c>
      <c r="G5806" s="15" t="s">
        <v>8</v>
      </c>
      <c r="L5806" s="15" t="s">
        <v>8</v>
      </c>
      <c r="P5806" s="15" t="s">
        <v>8</v>
      </c>
      <c r="S5806" s="15" t="s">
        <v>8</v>
      </c>
      <c r="U5806" s="15" t="s">
        <v>8</v>
      </c>
      <c r="W5806" s="20" t="str">
        <f>HYPERLINK("http://yeinfo.com/family/I09066297.html", "Mrs. {_?_} LASCELLES &lt;2&gt; 1330 EN-1352 EN ID:09066297")</f>
        <v>Mrs. {_?_} LASCELLES &lt;2&gt; 1330 EN-1352 EN ID:09066297</v>
      </c>
      <c r="X5806" s="17"/>
      <c r="Y5806" s="17"/>
      <c r="Z5806" s="17"/>
      <c r="AA5806" s="17"/>
    </row>
    <row r="5807" spans="3:28" x14ac:dyDescent="0.35">
      <c r="C5807" s="15" t="s">
        <v>8</v>
      </c>
      <c r="E5807" s="15" t="s">
        <v>8</v>
      </c>
      <c r="G5807" s="15" t="s">
        <v>8</v>
      </c>
      <c r="L5807" s="15" t="s">
        <v>8</v>
      </c>
      <c r="P5807" s="15" t="s">
        <v>8</v>
      </c>
      <c r="S5807" s="15" t="s">
        <v>8</v>
      </c>
      <c r="U5807" s="15" t="s">
        <v>8</v>
      </c>
    </row>
    <row r="5808" spans="3:28" x14ac:dyDescent="0.35">
      <c r="C5808" s="15" t="s">
        <v>8</v>
      </c>
      <c r="E5808" s="15" t="s">
        <v>8</v>
      </c>
      <c r="G5808" s="15" t="s">
        <v>8</v>
      </c>
      <c r="L5808" s="15" t="s">
        <v>8</v>
      </c>
      <c r="P5808" s="15" t="s">
        <v>8</v>
      </c>
      <c r="S5808" s="15" t="s">
        <v>8</v>
      </c>
      <c r="T5808" s="19" t="str">
        <f>HYPERLINK("http://yeinfo.com/family/I09065800.html", "THOMAS STANDISFIELD &lt;2&gt; 1400 EN-1450 EN ID:09065800")</f>
        <v>THOMAS STANDISFIELD &lt;2&gt; 1400 EN-1450 EN ID:09065800</v>
      </c>
      <c r="U5808" s="9"/>
      <c r="V5808" s="9"/>
      <c r="W5808" s="9"/>
      <c r="X5808" s="9"/>
    </row>
    <row r="5809" spans="3:28" x14ac:dyDescent="0.35">
      <c r="C5809" s="15" t="s">
        <v>8</v>
      </c>
      <c r="E5809" s="15" t="s">
        <v>8</v>
      </c>
      <c r="G5809" s="15" t="s">
        <v>8</v>
      </c>
      <c r="L5809" s="15" t="s">
        <v>8</v>
      </c>
      <c r="P5809" s="15" t="s">
        <v>8</v>
      </c>
      <c r="S5809" s="15" t="s">
        <v>8</v>
      </c>
      <c r="T5809" s="8" t="s">
        <v>3</v>
      </c>
      <c r="U5809" s="15" t="s">
        <v>8</v>
      </c>
    </row>
    <row r="5810" spans="3:28" x14ac:dyDescent="0.35">
      <c r="C5810" s="15" t="s">
        <v>8</v>
      </c>
      <c r="E5810" s="15" t="s">
        <v>8</v>
      </c>
      <c r="G5810" s="15" t="s">
        <v>8</v>
      </c>
      <c r="L5810" s="15" t="s">
        <v>8</v>
      </c>
      <c r="P5810" s="15" t="s">
        <v>8</v>
      </c>
      <c r="S5810" s="15" t="s">
        <v>8</v>
      </c>
      <c r="T5810" s="15" t="s">
        <v>8</v>
      </c>
      <c r="U5810" s="15" t="s">
        <v>8</v>
      </c>
      <c r="X5810" s="19" t="str">
        <f>HYPERLINK("http://yeinfo.com/family/I09066457.html", "THOMAS FLEMING &lt;2&gt; 1300 EN-1360 EN ID:09066457")</f>
        <v>THOMAS FLEMING &lt;2&gt; 1300 EN-1360 EN ID:09066457</v>
      </c>
      <c r="Y5810" s="9"/>
      <c r="Z5810" s="9"/>
      <c r="AA5810" s="9"/>
      <c r="AB5810" s="9"/>
    </row>
    <row r="5811" spans="3:28" x14ac:dyDescent="0.35">
      <c r="C5811" s="15" t="s">
        <v>8</v>
      </c>
      <c r="E5811" s="15" t="s">
        <v>8</v>
      </c>
      <c r="G5811" s="15" t="s">
        <v>8</v>
      </c>
      <c r="L5811" s="15" t="s">
        <v>8</v>
      </c>
      <c r="P5811" s="15" t="s">
        <v>8</v>
      </c>
      <c r="S5811" s="15" t="s">
        <v>8</v>
      </c>
      <c r="T5811" s="15" t="s">
        <v>8</v>
      </c>
      <c r="U5811" s="15" t="s">
        <v>8</v>
      </c>
      <c r="X5811" s="8" t="s">
        <v>3</v>
      </c>
    </row>
    <row r="5812" spans="3:28" x14ac:dyDescent="0.35">
      <c r="C5812" s="15" t="s">
        <v>8</v>
      </c>
      <c r="E5812" s="15" t="s">
        <v>8</v>
      </c>
      <c r="G5812" s="15" t="s">
        <v>8</v>
      </c>
      <c r="L5812" s="15" t="s">
        <v>8</v>
      </c>
      <c r="P5812" s="15" t="s">
        <v>8</v>
      </c>
      <c r="S5812" s="15" t="s">
        <v>8</v>
      </c>
      <c r="T5812" s="15" t="s">
        <v>8</v>
      </c>
      <c r="U5812" s="15" t="s">
        <v>8</v>
      </c>
      <c r="W5812" s="19" t="str">
        <f>HYPERLINK("http://yeinfo.com/family/I09066288.html", "THOMAS FLEMING II &lt;2&gt; 1332 EN-1412 EN ID:09066288")</f>
        <v>THOMAS FLEMING II &lt;2&gt; 1332 EN-1412 EN ID:09066288</v>
      </c>
      <c r="X5812" s="9"/>
      <c r="Y5812" s="9"/>
      <c r="Z5812" s="9"/>
      <c r="AA5812" s="9"/>
    </row>
    <row r="5813" spans="3:28" x14ac:dyDescent="0.35">
      <c r="C5813" s="15" t="s">
        <v>8</v>
      </c>
      <c r="E5813" s="15" t="s">
        <v>8</v>
      </c>
      <c r="G5813" s="15" t="s">
        <v>8</v>
      </c>
      <c r="L5813" s="15" t="s">
        <v>8</v>
      </c>
      <c r="P5813" s="15" t="s">
        <v>8</v>
      </c>
      <c r="S5813" s="15" t="s">
        <v>8</v>
      </c>
      <c r="T5813" s="15" t="s">
        <v>8</v>
      </c>
      <c r="U5813" s="15" t="s">
        <v>8</v>
      </c>
      <c r="W5813" s="8" t="s">
        <v>3</v>
      </c>
      <c r="X5813" s="8" t="s">
        <v>6</v>
      </c>
    </row>
    <row r="5814" spans="3:28" x14ac:dyDescent="0.35">
      <c r="C5814" s="15" t="s">
        <v>8</v>
      </c>
      <c r="E5814" s="15" t="s">
        <v>8</v>
      </c>
      <c r="G5814" s="15" t="s">
        <v>8</v>
      </c>
      <c r="L5814" s="15" t="s">
        <v>8</v>
      </c>
      <c r="P5814" s="15" t="s">
        <v>8</v>
      </c>
      <c r="S5814" s="15" t="s">
        <v>8</v>
      </c>
      <c r="T5814" s="15" t="s">
        <v>8</v>
      </c>
      <c r="U5814" s="15" t="s">
        <v>8</v>
      </c>
      <c r="W5814" s="15" t="s">
        <v>8</v>
      </c>
      <c r="X5814" s="20" t="str">
        <f>HYPERLINK("http://yeinfo.com/family/I09066456.html", "Mrs. {_?_} FLEMING &lt;2&gt; 1300 EN-1332 EN ID:09066456")</f>
        <v>Mrs. {_?_} FLEMING &lt;2&gt; 1300 EN-1332 EN ID:09066456</v>
      </c>
      <c r="Y5814" s="17"/>
      <c r="Z5814" s="17"/>
      <c r="AA5814" s="17"/>
      <c r="AB5814" s="17"/>
    </row>
    <row r="5815" spans="3:28" x14ac:dyDescent="0.35">
      <c r="C5815" s="15" t="s">
        <v>8</v>
      </c>
      <c r="E5815" s="15" t="s">
        <v>8</v>
      </c>
      <c r="G5815" s="15" t="s">
        <v>8</v>
      </c>
      <c r="L5815" s="15" t="s">
        <v>8</v>
      </c>
      <c r="P5815" s="15" t="s">
        <v>8</v>
      </c>
      <c r="S5815" s="15" t="s">
        <v>8</v>
      </c>
      <c r="T5815" s="15" t="s">
        <v>8</v>
      </c>
      <c r="U5815" s="15" t="s">
        <v>8</v>
      </c>
      <c r="W5815" s="15" t="s">
        <v>8</v>
      </c>
    </row>
    <row r="5816" spans="3:28" x14ac:dyDescent="0.35">
      <c r="C5816" s="15" t="s">
        <v>8</v>
      </c>
      <c r="E5816" s="15" t="s">
        <v>8</v>
      </c>
      <c r="G5816" s="15" t="s">
        <v>8</v>
      </c>
      <c r="L5816" s="15" t="s">
        <v>8</v>
      </c>
      <c r="P5816" s="15" t="s">
        <v>8</v>
      </c>
      <c r="S5816" s="15" t="s">
        <v>8</v>
      </c>
      <c r="T5816" s="15" t="s">
        <v>8</v>
      </c>
      <c r="U5816" s="15" t="s">
        <v>8</v>
      </c>
      <c r="V5816" s="19" t="str">
        <f>HYPERLINK("http://yeinfo.com/family/I09066088.html", "JOHN FLEMING &lt;2&gt; 1358 EN-1432 EN ID:09066088")</f>
        <v>JOHN FLEMING &lt;2&gt; 1358 EN-1432 EN ID:09066088</v>
      </c>
      <c r="W5816" s="9"/>
      <c r="X5816" s="9"/>
      <c r="Y5816" s="9"/>
      <c r="Z5816" s="9"/>
    </row>
    <row r="5817" spans="3:28" x14ac:dyDescent="0.35">
      <c r="C5817" s="15" t="s">
        <v>8</v>
      </c>
      <c r="E5817" s="15" t="s">
        <v>8</v>
      </c>
      <c r="G5817" s="15" t="s">
        <v>8</v>
      </c>
      <c r="L5817" s="15" t="s">
        <v>8</v>
      </c>
      <c r="P5817" s="15" t="s">
        <v>8</v>
      </c>
      <c r="S5817" s="15" t="s">
        <v>8</v>
      </c>
      <c r="T5817" s="15" t="s">
        <v>8</v>
      </c>
      <c r="U5817" s="15" t="s">
        <v>8</v>
      </c>
      <c r="V5817" s="8" t="s">
        <v>3</v>
      </c>
      <c r="W5817" s="8" t="s">
        <v>6</v>
      </c>
    </row>
    <row r="5818" spans="3:28" x14ac:dyDescent="0.35">
      <c r="C5818" s="15" t="s">
        <v>8</v>
      </c>
      <c r="E5818" s="15" t="s">
        <v>8</v>
      </c>
      <c r="G5818" s="15" t="s">
        <v>8</v>
      </c>
      <c r="L5818" s="15" t="s">
        <v>8</v>
      </c>
      <c r="P5818" s="15" t="s">
        <v>8</v>
      </c>
      <c r="S5818" s="15" t="s">
        <v>8</v>
      </c>
      <c r="T5818" s="15" t="s">
        <v>8</v>
      </c>
      <c r="U5818" s="15" t="s">
        <v>8</v>
      </c>
      <c r="V5818" s="15" t="s">
        <v>8</v>
      </c>
      <c r="W5818" s="20" t="str">
        <f>HYPERLINK("http://yeinfo.com/family/I09066287.html", "Mrs. {_?_} FLEMING &lt;2&gt; 1335 EN-1358 EN ID:09066287")</f>
        <v>Mrs. {_?_} FLEMING &lt;2&gt; 1335 EN-1358 EN ID:09066287</v>
      </c>
      <c r="X5818" s="17"/>
      <c r="Y5818" s="17"/>
      <c r="Z5818" s="17"/>
      <c r="AA5818" s="17"/>
    </row>
    <row r="5819" spans="3:28" x14ac:dyDescent="0.35">
      <c r="C5819" s="15" t="s">
        <v>8</v>
      </c>
      <c r="E5819" s="15" t="s">
        <v>8</v>
      </c>
      <c r="G5819" s="15" t="s">
        <v>8</v>
      </c>
      <c r="L5819" s="15" t="s">
        <v>8</v>
      </c>
      <c r="P5819" s="15" t="s">
        <v>8</v>
      </c>
      <c r="S5819" s="15" t="s">
        <v>8</v>
      </c>
      <c r="T5819" s="15" t="s">
        <v>8</v>
      </c>
      <c r="U5819" s="8" t="s">
        <v>6</v>
      </c>
      <c r="V5819" s="15" t="s">
        <v>8</v>
      </c>
    </row>
    <row r="5820" spans="3:28" x14ac:dyDescent="0.35">
      <c r="C5820" s="15" t="s">
        <v>8</v>
      </c>
      <c r="E5820" s="15" t="s">
        <v>8</v>
      </c>
      <c r="G5820" s="15" t="s">
        <v>8</v>
      </c>
      <c r="L5820" s="15" t="s">
        <v>8</v>
      </c>
      <c r="P5820" s="15" t="s">
        <v>8</v>
      </c>
      <c r="S5820" s="15" t="s">
        <v>8</v>
      </c>
      <c r="T5820" s="15" t="s">
        <v>8</v>
      </c>
      <c r="U5820" s="20" t="str">
        <f>HYPERLINK("http://yeinfo.com/family/I09065924.html", "MARY FLEMING &lt;2&gt; 1382 EN-1482 EN ID:09065924")</f>
        <v>MARY FLEMING &lt;2&gt; 1382 EN-1482 EN ID:09065924</v>
      </c>
      <c r="V5820" s="17"/>
      <c r="W5820" s="17"/>
      <c r="X5820" s="17"/>
      <c r="Y5820" s="17"/>
    </row>
    <row r="5821" spans="3:28" x14ac:dyDescent="0.35">
      <c r="C5821" s="15" t="s">
        <v>8</v>
      </c>
      <c r="E5821" s="15" t="s">
        <v>8</v>
      </c>
      <c r="G5821" s="15" t="s">
        <v>8</v>
      </c>
      <c r="L5821" s="15" t="s">
        <v>8</v>
      </c>
      <c r="P5821" s="15" t="s">
        <v>8</v>
      </c>
      <c r="S5821" s="15" t="s">
        <v>8</v>
      </c>
      <c r="T5821" s="15" t="s">
        <v>8</v>
      </c>
      <c r="V5821" s="8" t="s">
        <v>6</v>
      </c>
    </row>
    <row r="5822" spans="3:28" x14ac:dyDescent="0.35">
      <c r="C5822" s="15" t="s">
        <v>8</v>
      </c>
      <c r="E5822" s="15" t="s">
        <v>8</v>
      </c>
      <c r="G5822" s="15" t="s">
        <v>8</v>
      </c>
      <c r="L5822" s="15" t="s">
        <v>8</v>
      </c>
      <c r="P5822" s="15" t="s">
        <v>8</v>
      </c>
      <c r="S5822" s="15" t="s">
        <v>8</v>
      </c>
      <c r="T5822" s="15" t="s">
        <v>8</v>
      </c>
      <c r="V5822" s="20" t="str">
        <f>HYPERLINK("http://yeinfo.com/family/I09066101.html", "ALICE LEA &lt;2&gt; 1362 EN-1382 EN ID:09066101")</f>
        <v>ALICE LEA &lt;2&gt; 1362 EN-1382 EN ID:09066101</v>
      </c>
      <c r="W5822" s="17"/>
      <c r="X5822" s="17"/>
      <c r="Y5822" s="17"/>
      <c r="Z5822" s="17"/>
    </row>
    <row r="5823" spans="3:28" x14ac:dyDescent="0.35">
      <c r="C5823" s="15" t="s">
        <v>8</v>
      </c>
      <c r="E5823" s="15" t="s">
        <v>8</v>
      </c>
      <c r="G5823" s="15" t="s">
        <v>8</v>
      </c>
      <c r="L5823" s="15" t="s">
        <v>8</v>
      </c>
      <c r="P5823" s="15" t="s">
        <v>8</v>
      </c>
      <c r="S5823" s="8" t="s">
        <v>6</v>
      </c>
      <c r="T5823" s="15" t="s">
        <v>8</v>
      </c>
    </row>
    <row r="5824" spans="3:28" x14ac:dyDescent="0.35">
      <c r="C5824" s="15" t="s">
        <v>8</v>
      </c>
      <c r="E5824" s="15" t="s">
        <v>8</v>
      </c>
      <c r="G5824" s="15" t="s">
        <v>8</v>
      </c>
      <c r="L5824" s="15" t="s">
        <v>8</v>
      </c>
      <c r="P5824" s="15" t="s">
        <v>8</v>
      </c>
      <c r="S5824" s="20" t="str">
        <f>HYPERLINK("http://yeinfo.com/family/I09065670.html", "ANN STANDISFIELD &lt;2&gt; 1450 EN-1470 EN ID:09065670")</f>
        <v>ANN STANDISFIELD &lt;2&gt; 1450 EN-1470 EN ID:09065670</v>
      </c>
      <c r="T5824" s="17"/>
      <c r="U5824" s="17"/>
      <c r="V5824" s="17"/>
      <c r="W5824" s="17"/>
    </row>
    <row r="5825" spans="3:29" x14ac:dyDescent="0.35">
      <c r="C5825" s="15" t="s">
        <v>8</v>
      </c>
      <c r="E5825" s="15" t="s">
        <v>8</v>
      </c>
      <c r="G5825" s="15" t="s">
        <v>8</v>
      </c>
      <c r="L5825" s="15" t="s">
        <v>8</v>
      </c>
      <c r="P5825" s="15" t="s">
        <v>8</v>
      </c>
      <c r="T5825" s="15" t="s">
        <v>8</v>
      </c>
    </row>
    <row r="5826" spans="3:29" x14ac:dyDescent="0.35">
      <c r="C5826" s="15" t="s">
        <v>8</v>
      </c>
      <c r="E5826" s="15" t="s">
        <v>8</v>
      </c>
      <c r="G5826" s="15" t="s">
        <v>8</v>
      </c>
      <c r="L5826" s="15" t="s">
        <v>8</v>
      </c>
      <c r="P5826" s="15" t="s">
        <v>8</v>
      </c>
      <c r="T5826" s="15" t="s">
        <v>8</v>
      </c>
      <c r="W5826" s="19" t="str">
        <f>HYPERLINK("http://yeinfo.com/family/I09066315.html", "HENRY SAVILLE &lt;2&gt; 1341 EN-1365 EN ID:09066315")</f>
        <v>HENRY SAVILLE &lt;2&gt; 1341 EN-1365 EN ID:09066315</v>
      </c>
      <c r="X5826" s="9"/>
      <c r="Y5826" s="9"/>
      <c r="Z5826" s="9"/>
      <c r="AA5826" s="9"/>
    </row>
    <row r="5827" spans="3:29" x14ac:dyDescent="0.35">
      <c r="C5827" s="15" t="s">
        <v>8</v>
      </c>
      <c r="E5827" s="15" t="s">
        <v>8</v>
      </c>
      <c r="G5827" s="15" t="s">
        <v>8</v>
      </c>
      <c r="L5827" s="15" t="s">
        <v>8</v>
      </c>
      <c r="P5827" s="15" t="s">
        <v>8</v>
      </c>
      <c r="T5827" s="15" t="s">
        <v>8</v>
      </c>
      <c r="W5827" s="8" t="s">
        <v>3</v>
      </c>
    </row>
    <row r="5828" spans="3:29" x14ac:dyDescent="0.35">
      <c r="C5828" s="15" t="s">
        <v>8</v>
      </c>
      <c r="E5828" s="15" t="s">
        <v>8</v>
      </c>
      <c r="G5828" s="15" t="s">
        <v>8</v>
      </c>
      <c r="L5828" s="15" t="s">
        <v>8</v>
      </c>
      <c r="P5828" s="15" t="s">
        <v>8</v>
      </c>
      <c r="T5828" s="15" t="s">
        <v>8</v>
      </c>
      <c r="V5828" s="19" t="str">
        <f>HYPERLINK("http://yeinfo.com/family/I09066124.html", "HENRY SAVILLE &lt;2&gt; 1365 EN-1390 EN ID:09066124")</f>
        <v>HENRY SAVILLE &lt;2&gt; 1365 EN-1390 EN ID:09066124</v>
      </c>
      <c r="W5828" s="9"/>
      <c r="X5828" s="9"/>
      <c r="Y5828" s="9"/>
      <c r="Z5828" s="9"/>
    </row>
    <row r="5829" spans="3:29" x14ac:dyDescent="0.35">
      <c r="C5829" s="15" t="s">
        <v>8</v>
      </c>
      <c r="E5829" s="15" t="s">
        <v>8</v>
      </c>
      <c r="G5829" s="15" t="s">
        <v>8</v>
      </c>
      <c r="L5829" s="15" t="s">
        <v>8</v>
      </c>
      <c r="P5829" s="15" t="s">
        <v>8</v>
      </c>
      <c r="T5829" s="15" t="s">
        <v>8</v>
      </c>
      <c r="V5829" s="8" t="s">
        <v>3</v>
      </c>
      <c r="W5829" s="8" t="s">
        <v>6</v>
      </c>
    </row>
    <row r="5830" spans="3:29" x14ac:dyDescent="0.35">
      <c r="C5830" s="15" t="s">
        <v>8</v>
      </c>
      <c r="E5830" s="15" t="s">
        <v>8</v>
      </c>
      <c r="G5830" s="15" t="s">
        <v>8</v>
      </c>
      <c r="L5830" s="15" t="s">
        <v>8</v>
      </c>
      <c r="P5830" s="15" t="s">
        <v>8</v>
      </c>
      <c r="T5830" s="15" t="s">
        <v>8</v>
      </c>
      <c r="V5830" s="15" t="s">
        <v>8</v>
      </c>
      <c r="W5830" s="20" t="str">
        <f>HYPERLINK("http://yeinfo.com/family/I09066316.html", "ELLEN COPLEY &lt;2&gt; 1347 EN-1367 EN ID:09066316")</f>
        <v>ELLEN COPLEY &lt;2&gt; 1347 EN-1367 EN ID:09066316</v>
      </c>
      <c r="X5830" s="17"/>
      <c r="Y5830" s="17"/>
      <c r="Z5830" s="17"/>
      <c r="AA5830" s="17"/>
    </row>
    <row r="5831" spans="3:29" x14ac:dyDescent="0.35">
      <c r="C5831" s="15" t="s">
        <v>8</v>
      </c>
      <c r="E5831" s="15" t="s">
        <v>8</v>
      </c>
      <c r="G5831" s="15" t="s">
        <v>8</v>
      </c>
      <c r="L5831" s="15" t="s">
        <v>8</v>
      </c>
      <c r="P5831" s="15" t="s">
        <v>8</v>
      </c>
      <c r="T5831" s="15" t="s">
        <v>8</v>
      </c>
      <c r="V5831" s="15" t="s">
        <v>8</v>
      </c>
    </row>
    <row r="5832" spans="3:29" x14ac:dyDescent="0.35">
      <c r="C5832" s="15" t="s">
        <v>8</v>
      </c>
      <c r="E5832" s="15" t="s">
        <v>8</v>
      </c>
      <c r="G5832" s="15" t="s">
        <v>8</v>
      </c>
      <c r="L5832" s="15" t="s">
        <v>8</v>
      </c>
      <c r="P5832" s="15" t="s">
        <v>8</v>
      </c>
      <c r="T5832" s="15" t="s">
        <v>8</v>
      </c>
      <c r="U5832" s="19" t="str">
        <f>HYPERLINK("http://yeinfo.com/family/I09065954.html", "JOHN SAVILLE IV &lt;2&gt; 1390 EN-1459 EN ID:09065954")</f>
        <v>JOHN SAVILLE IV &lt;2&gt; 1390 EN-1459 EN ID:09065954</v>
      </c>
      <c r="V5832" s="9"/>
      <c r="W5832" s="9"/>
      <c r="X5832" s="9"/>
      <c r="Y5832" s="9"/>
    </row>
    <row r="5833" spans="3:29" x14ac:dyDescent="0.35">
      <c r="C5833" s="15" t="s">
        <v>8</v>
      </c>
      <c r="E5833" s="15" t="s">
        <v>8</v>
      </c>
      <c r="G5833" s="15" t="s">
        <v>8</v>
      </c>
      <c r="L5833" s="15" t="s">
        <v>8</v>
      </c>
      <c r="P5833" s="15" t="s">
        <v>8</v>
      </c>
      <c r="T5833" s="15" t="s">
        <v>8</v>
      </c>
      <c r="U5833" s="8" t="s">
        <v>3</v>
      </c>
      <c r="V5833" s="8" t="s">
        <v>6</v>
      </c>
    </row>
    <row r="5834" spans="3:29" x14ac:dyDescent="0.35">
      <c r="C5834" s="15" t="s">
        <v>8</v>
      </c>
      <c r="E5834" s="15" t="s">
        <v>8</v>
      </c>
      <c r="G5834" s="15" t="s">
        <v>8</v>
      </c>
      <c r="L5834" s="15" t="s">
        <v>8</v>
      </c>
      <c r="P5834" s="15" t="s">
        <v>8</v>
      </c>
      <c r="T5834" s="15" t="s">
        <v>8</v>
      </c>
      <c r="U5834" s="15" t="s">
        <v>8</v>
      </c>
      <c r="V5834" s="20" t="str">
        <f>HYPERLINK("http://yeinfo.com/family/I09066125.html", "HELEN COPLEY &lt;2&gt; 1370 EN-1390 EN ID:09066125")</f>
        <v>HELEN COPLEY &lt;2&gt; 1370 EN-1390 EN ID:09066125</v>
      </c>
      <c r="W5834" s="17"/>
      <c r="X5834" s="17"/>
      <c r="Y5834" s="17"/>
      <c r="Z5834" s="17"/>
    </row>
    <row r="5835" spans="3:29" x14ac:dyDescent="0.35">
      <c r="C5835" s="15" t="s">
        <v>8</v>
      </c>
      <c r="E5835" s="15" t="s">
        <v>8</v>
      </c>
      <c r="G5835" s="15" t="s">
        <v>8</v>
      </c>
      <c r="L5835" s="15" t="s">
        <v>8</v>
      </c>
      <c r="P5835" s="15" t="s">
        <v>8</v>
      </c>
      <c r="T5835" s="8" t="s">
        <v>6</v>
      </c>
      <c r="U5835" s="15" t="s">
        <v>8</v>
      </c>
    </row>
    <row r="5836" spans="3:29" x14ac:dyDescent="0.35">
      <c r="C5836" s="15" t="s">
        <v>8</v>
      </c>
      <c r="E5836" s="15" t="s">
        <v>8</v>
      </c>
      <c r="G5836" s="15" t="s">
        <v>8</v>
      </c>
      <c r="L5836" s="15" t="s">
        <v>8</v>
      </c>
      <c r="P5836" s="15" t="s">
        <v>8</v>
      </c>
      <c r="T5836" s="20" t="str">
        <f>HYPERLINK("http://yeinfo.com/family/I09065804.html", "ALICE SAVILLE &lt;2&gt; 1405 EN-1451 EN ID:09065804")</f>
        <v>ALICE SAVILLE &lt;2&gt; 1405 EN-1451 EN ID:09065804</v>
      </c>
      <c r="U5836" s="17"/>
      <c r="V5836" s="17"/>
      <c r="W5836" s="17"/>
      <c r="X5836" s="17"/>
    </row>
    <row r="5837" spans="3:29" x14ac:dyDescent="0.35">
      <c r="C5837" s="15" t="s">
        <v>8</v>
      </c>
      <c r="E5837" s="15" t="s">
        <v>8</v>
      </c>
      <c r="G5837" s="15" t="s">
        <v>8</v>
      </c>
      <c r="L5837" s="15" t="s">
        <v>8</v>
      </c>
      <c r="P5837" s="15" t="s">
        <v>8</v>
      </c>
      <c r="U5837" s="15" t="s">
        <v>8</v>
      </c>
    </row>
    <row r="5838" spans="3:29" x14ac:dyDescent="0.35">
      <c r="C5838" s="15" t="s">
        <v>8</v>
      </c>
      <c r="E5838" s="15" t="s">
        <v>8</v>
      </c>
      <c r="G5838" s="15" t="s">
        <v>8</v>
      </c>
      <c r="L5838" s="15" t="s">
        <v>8</v>
      </c>
      <c r="P5838" s="15" t="s">
        <v>8</v>
      </c>
      <c r="U5838" s="15" t="s">
        <v>8</v>
      </c>
      <c r="Y5838" s="19" t="str">
        <f>HYPERLINK("http://yeinfo.com/family/I09066981.html", "HENRY TRAFFORD &lt;9&gt; 1225 EN-1264 EN ID:09066981")</f>
        <v>HENRY TRAFFORD &lt;9&gt; 1225 EN-1264 EN ID:09066981</v>
      </c>
      <c r="Z5838" s="9"/>
      <c r="AA5838" s="9"/>
      <c r="AB5838" s="9"/>
      <c r="AC5838" s="9"/>
    </row>
    <row r="5839" spans="3:29" x14ac:dyDescent="0.35">
      <c r="C5839" s="15" t="s">
        <v>8</v>
      </c>
      <c r="E5839" s="15" t="s">
        <v>8</v>
      </c>
      <c r="G5839" s="15" t="s">
        <v>8</v>
      </c>
      <c r="L5839" s="15" t="s">
        <v>8</v>
      </c>
      <c r="P5839" s="15" t="s">
        <v>8</v>
      </c>
      <c r="U5839" s="15" t="s">
        <v>8</v>
      </c>
      <c r="Y5839" s="8" t="s">
        <v>3</v>
      </c>
    </row>
    <row r="5840" spans="3:29" x14ac:dyDescent="0.35">
      <c r="C5840" s="15" t="s">
        <v>8</v>
      </c>
      <c r="E5840" s="15" t="s">
        <v>8</v>
      </c>
      <c r="G5840" s="15" t="s">
        <v>8</v>
      </c>
      <c r="L5840" s="15" t="s">
        <v>8</v>
      </c>
      <c r="P5840" s="15" t="s">
        <v>8</v>
      </c>
      <c r="U5840" s="15" t="s">
        <v>8</v>
      </c>
      <c r="X5840" s="19" t="str">
        <f>HYPERLINK("http://yeinfo.com/family/I09066434.html", "JOHN TRAFFORD &lt;9&gt; 1264 EN-1340 EN ID:09066434")</f>
        <v>JOHN TRAFFORD &lt;9&gt; 1264 EN-1340 EN ID:09066434</v>
      </c>
      <c r="Y5840" s="9"/>
      <c r="Z5840" s="9"/>
      <c r="AA5840" s="9"/>
      <c r="AB5840" s="9"/>
    </row>
    <row r="5841" spans="3:29" x14ac:dyDescent="0.35">
      <c r="C5841" s="15" t="s">
        <v>8</v>
      </c>
      <c r="E5841" s="15" t="s">
        <v>8</v>
      </c>
      <c r="G5841" s="15" t="s">
        <v>8</v>
      </c>
      <c r="L5841" s="15" t="s">
        <v>8</v>
      </c>
      <c r="P5841" s="15" t="s">
        <v>8</v>
      </c>
      <c r="U5841" s="15" t="s">
        <v>8</v>
      </c>
      <c r="X5841" s="8" t="s">
        <v>3</v>
      </c>
      <c r="Y5841" s="8" t="s">
        <v>6</v>
      </c>
    </row>
    <row r="5842" spans="3:29" x14ac:dyDescent="0.35">
      <c r="C5842" s="15" t="s">
        <v>8</v>
      </c>
      <c r="E5842" s="15" t="s">
        <v>8</v>
      </c>
      <c r="G5842" s="15" t="s">
        <v>8</v>
      </c>
      <c r="L5842" s="15" t="s">
        <v>8</v>
      </c>
      <c r="P5842" s="15" t="s">
        <v>8</v>
      </c>
      <c r="U5842" s="15" t="s">
        <v>8</v>
      </c>
      <c r="X5842" s="15" t="s">
        <v>8</v>
      </c>
      <c r="Y5842" s="20" t="str">
        <f>HYPERLINK("http://yeinfo.com/family/I09066980.html", "Mrs. MARGARET TRAFFORD &lt;9&gt; 1236 EN-1334 EN ID:09066980")</f>
        <v>Mrs. MARGARET TRAFFORD &lt;9&gt; 1236 EN-1334 EN ID:09066980</v>
      </c>
      <c r="Z5842" s="17"/>
      <c r="AA5842" s="17"/>
      <c r="AB5842" s="17"/>
      <c r="AC5842" s="17"/>
    </row>
    <row r="5843" spans="3:29" x14ac:dyDescent="0.35">
      <c r="C5843" s="15" t="s">
        <v>8</v>
      </c>
      <c r="E5843" s="15" t="s">
        <v>8</v>
      </c>
      <c r="G5843" s="15" t="s">
        <v>8</v>
      </c>
      <c r="L5843" s="15" t="s">
        <v>8</v>
      </c>
      <c r="P5843" s="15" t="s">
        <v>8</v>
      </c>
      <c r="U5843" s="15" t="s">
        <v>8</v>
      </c>
      <c r="X5843" s="15" t="s">
        <v>8</v>
      </c>
    </row>
    <row r="5844" spans="3:29" x14ac:dyDescent="0.35">
      <c r="C5844" s="15" t="s">
        <v>8</v>
      </c>
      <c r="E5844" s="15" t="s">
        <v>8</v>
      </c>
      <c r="G5844" s="15" t="s">
        <v>8</v>
      </c>
      <c r="L5844" s="15" t="s">
        <v>8</v>
      </c>
      <c r="P5844" s="15" t="s">
        <v>8</v>
      </c>
      <c r="U5844" s="15" t="s">
        <v>8</v>
      </c>
      <c r="W5844" s="19" t="str">
        <f>HYPERLINK("http://yeinfo.com/family/I09066317.html", "HENRY TRAFFORD &lt;9&gt; 1292 EN-1370 EN ID:09066317")</f>
        <v>HENRY TRAFFORD &lt;9&gt; 1292 EN-1370 EN ID:09066317</v>
      </c>
      <c r="X5844" s="9"/>
      <c r="Y5844" s="9"/>
      <c r="Z5844" s="9"/>
      <c r="AA5844" s="9"/>
    </row>
    <row r="5845" spans="3:29" x14ac:dyDescent="0.35">
      <c r="C5845" s="15" t="s">
        <v>8</v>
      </c>
      <c r="E5845" s="15" t="s">
        <v>8</v>
      </c>
      <c r="G5845" s="15" t="s">
        <v>8</v>
      </c>
      <c r="L5845" s="15" t="s">
        <v>8</v>
      </c>
      <c r="P5845" s="15" t="s">
        <v>8</v>
      </c>
      <c r="U5845" s="15" t="s">
        <v>8</v>
      </c>
      <c r="W5845" s="8" t="s">
        <v>3</v>
      </c>
      <c r="X5845" s="8" t="s">
        <v>6</v>
      </c>
    </row>
    <row r="5846" spans="3:29" x14ac:dyDescent="0.35">
      <c r="C5846" s="15" t="s">
        <v>8</v>
      </c>
      <c r="E5846" s="15" t="s">
        <v>8</v>
      </c>
      <c r="G5846" s="15" t="s">
        <v>8</v>
      </c>
      <c r="L5846" s="15" t="s">
        <v>8</v>
      </c>
      <c r="P5846" s="15" t="s">
        <v>8</v>
      </c>
      <c r="U5846" s="15" t="s">
        <v>8</v>
      </c>
      <c r="W5846" s="15" t="s">
        <v>8</v>
      </c>
      <c r="X5846" s="20" t="str">
        <f>HYPERLINK("http://yeinfo.com/family/I09066433.html", "ELIZABETH ASHTON &lt;9&gt; 1268 EN-1340 EN ID:09066433")</f>
        <v>ELIZABETH ASHTON &lt;9&gt; 1268 EN-1340 EN ID:09066433</v>
      </c>
      <c r="Y5846" s="17"/>
      <c r="Z5846" s="17"/>
      <c r="AA5846" s="17"/>
      <c r="AB5846" s="17"/>
    </row>
    <row r="5847" spans="3:29" x14ac:dyDescent="0.35">
      <c r="C5847" s="15" t="s">
        <v>8</v>
      </c>
      <c r="E5847" s="15" t="s">
        <v>8</v>
      </c>
      <c r="G5847" s="15" t="s">
        <v>8</v>
      </c>
      <c r="L5847" s="15" t="s">
        <v>8</v>
      </c>
      <c r="P5847" s="15" t="s">
        <v>8</v>
      </c>
      <c r="U5847" s="15" t="s">
        <v>8</v>
      </c>
      <c r="W5847" s="15" t="s">
        <v>8</v>
      </c>
    </row>
    <row r="5848" spans="3:29" x14ac:dyDescent="0.35">
      <c r="C5848" s="15" t="s">
        <v>8</v>
      </c>
      <c r="E5848" s="15" t="s">
        <v>8</v>
      </c>
      <c r="G5848" s="15" t="s">
        <v>8</v>
      </c>
      <c r="L5848" s="15" t="s">
        <v>8</v>
      </c>
      <c r="P5848" s="15" t="s">
        <v>8</v>
      </c>
      <c r="U5848" s="15" t="s">
        <v>8</v>
      </c>
      <c r="V5848" s="19" t="str">
        <f>HYPERLINK("http://yeinfo.com/family/I09066126.html", "THOMAS TRAFFORD &lt;2&gt; 1336 EN-1410 EN ID:09066126")</f>
        <v>THOMAS TRAFFORD &lt;2&gt; 1336 EN-1410 EN ID:09066126</v>
      </c>
      <c r="W5848" s="9"/>
      <c r="X5848" s="9"/>
      <c r="Y5848" s="9"/>
      <c r="Z5848" s="9"/>
    </row>
    <row r="5849" spans="3:29" x14ac:dyDescent="0.35">
      <c r="C5849" s="15" t="s">
        <v>8</v>
      </c>
      <c r="E5849" s="15" t="s">
        <v>8</v>
      </c>
      <c r="G5849" s="15" t="s">
        <v>8</v>
      </c>
      <c r="L5849" s="15" t="s">
        <v>8</v>
      </c>
      <c r="P5849" s="15" t="s">
        <v>8</v>
      </c>
      <c r="U5849" s="15" t="s">
        <v>8</v>
      </c>
      <c r="V5849" s="8" t="s">
        <v>3</v>
      </c>
      <c r="W5849" s="15" t="s">
        <v>8</v>
      </c>
    </row>
    <row r="5850" spans="3:29" x14ac:dyDescent="0.35">
      <c r="C5850" s="15" t="s">
        <v>8</v>
      </c>
      <c r="E5850" s="15" t="s">
        <v>8</v>
      </c>
      <c r="G5850" s="15" t="s">
        <v>8</v>
      </c>
      <c r="L5850" s="15" t="s">
        <v>8</v>
      </c>
      <c r="P5850" s="15" t="s">
        <v>8</v>
      </c>
      <c r="U5850" s="15" t="s">
        <v>8</v>
      </c>
      <c r="V5850" s="15" t="s">
        <v>8</v>
      </c>
      <c r="W5850" s="15" t="s">
        <v>8</v>
      </c>
      <c r="X5850" s="19" t="str">
        <f>HYPERLINK("http://yeinfo.com/family/I09066492.html", "RICHARD DOTERINDE &lt;9&gt; 1280 EN-1345 EN ID:09066492")</f>
        <v>RICHARD DOTERINDE &lt;9&gt; 1280 EN-1345 EN ID:09066492</v>
      </c>
      <c r="Y5850" s="9"/>
      <c r="Z5850" s="9"/>
      <c r="AA5850" s="9"/>
      <c r="AB5850" s="9"/>
    </row>
    <row r="5851" spans="3:29" x14ac:dyDescent="0.35">
      <c r="C5851" s="15" t="s">
        <v>8</v>
      </c>
      <c r="E5851" s="15" t="s">
        <v>8</v>
      </c>
      <c r="G5851" s="15" t="s">
        <v>8</v>
      </c>
      <c r="L5851" s="15" t="s">
        <v>8</v>
      </c>
      <c r="P5851" s="15" t="s">
        <v>8</v>
      </c>
      <c r="U5851" s="15" t="s">
        <v>8</v>
      </c>
      <c r="V5851" s="15" t="s">
        <v>8</v>
      </c>
      <c r="W5851" s="8" t="s">
        <v>6</v>
      </c>
      <c r="X5851" s="8" t="s">
        <v>3</v>
      </c>
    </row>
    <row r="5852" spans="3:29" x14ac:dyDescent="0.35">
      <c r="C5852" s="15" t="s">
        <v>8</v>
      </c>
      <c r="E5852" s="15" t="s">
        <v>8</v>
      </c>
      <c r="G5852" s="15" t="s">
        <v>8</v>
      </c>
      <c r="L5852" s="15" t="s">
        <v>8</v>
      </c>
      <c r="P5852" s="15" t="s">
        <v>8</v>
      </c>
      <c r="U5852" s="15" t="s">
        <v>8</v>
      </c>
      <c r="V5852" s="15" t="s">
        <v>8</v>
      </c>
      <c r="W5852" s="20" t="str">
        <f>HYPERLINK("http://yeinfo.com/family/I09066318.html", "AGNES DOTERINDE &lt;9&gt; 1302 EN-1360 EN ID:09066318")</f>
        <v>AGNES DOTERINDE &lt;9&gt; 1302 EN-1360 EN ID:09066318</v>
      </c>
      <c r="X5852" s="17"/>
      <c r="Y5852" s="17"/>
      <c r="Z5852" s="17"/>
      <c r="AA5852" s="17"/>
    </row>
    <row r="5853" spans="3:29" x14ac:dyDescent="0.35">
      <c r="C5853" s="15" t="s">
        <v>8</v>
      </c>
      <c r="E5853" s="15" t="s">
        <v>8</v>
      </c>
      <c r="G5853" s="15" t="s">
        <v>8</v>
      </c>
      <c r="L5853" s="15" t="s">
        <v>8</v>
      </c>
      <c r="P5853" s="15" t="s">
        <v>8</v>
      </c>
      <c r="U5853" s="15" t="s">
        <v>8</v>
      </c>
      <c r="V5853" s="15" t="s">
        <v>8</v>
      </c>
      <c r="X5853" s="8" t="s">
        <v>6</v>
      </c>
    </row>
    <row r="5854" spans="3:29" x14ac:dyDescent="0.35">
      <c r="C5854" s="15" t="s">
        <v>8</v>
      </c>
      <c r="E5854" s="15" t="s">
        <v>8</v>
      </c>
      <c r="G5854" s="15" t="s">
        <v>8</v>
      </c>
      <c r="L5854" s="15" t="s">
        <v>8</v>
      </c>
      <c r="P5854" s="15" t="s">
        <v>8</v>
      </c>
      <c r="U5854" s="15" t="s">
        <v>8</v>
      </c>
      <c r="V5854" s="15" t="s">
        <v>8</v>
      </c>
      <c r="X5854" s="20" t="str">
        <f>HYPERLINK("http://yeinfo.com/family/I09066493.html", "Mrs. {_?_} DOTERINDE &lt;9&gt; 1280 EN-1302 EN ID:09066493")</f>
        <v>Mrs. {_?_} DOTERINDE &lt;9&gt; 1280 EN-1302 EN ID:09066493</v>
      </c>
      <c r="Y5854" s="17"/>
      <c r="Z5854" s="17"/>
      <c r="AA5854" s="17"/>
      <c r="AB5854" s="17"/>
    </row>
    <row r="5855" spans="3:29" x14ac:dyDescent="0.35">
      <c r="C5855" s="15" t="s">
        <v>8</v>
      </c>
      <c r="E5855" s="15" t="s">
        <v>8</v>
      </c>
      <c r="G5855" s="15" t="s">
        <v>8</v>
      </c>
      <c r="L5855" s="15" t="s">
        <v>8</v>
      </c>
      <c r="P5855" s="15" t="s">
        <v>8</v>
      </c>
      <c r="U5855" s="8" t="s">
        <v>6</v>
      </c>
      <c r="V5855" s="15" t="s">
        <v>8</v>
      </c>
    </row>
    <row r="5856" spans="3:29" x14ac:dyDescent="0.35">
      <c r="C5856" s="15" t="s">
        <v>8</v>
      </c>
      <c r="E5856" s="15" t="s">
        <v>8</v>
      </c>
      <c r="G5856" s="15" t="s">
        <v>8</v>
      </c>
      <c r="L5856" s="15" t="s">
        <v>8</v>
      </c>
      <c r="P5856" s="15" t="s">
        <v>8</v>
      </c>
      <c r="U5856" s="20" t="str">
        <f>HYPERLINK("http://yeinfo.com/family/I09065953.html", "MAUD TRAFFORD &lt;2&gt; 1386 EN-1450 EN ID:09065953")</f>
        <v>MAUD TRAFFORD &lt;2&gt; 1386 EN-1450 EN ID:09065953</v>
      </c>
      <c r="V5856" s="17"/>
      <c r="W5856" s="17"/>
      <c r="X5856" s="17"/>
      <c r="Y5856" s="17"/>
    </row>
    <row r="5857" spans="3:26" x14ac:dyDescent="0.35">
      <c r="C5857" s="15" t="s">
        <v>8</v>
      </c>
      <c r="E5857" s="15" t="s">
        <v>8</v>
      </c>
      <c r="G5857" s="15" t="s">
        <v>8</v>
      </c>
      <c r="L5857" s="15" t="s">
        <v>8</v>
      </c>
      <c r="P5857" s="15" t="s">
        <v>8</v>
      </c>
      <c r="V5857" s="8" t="s">
        <v>6</v>
      </c>
    </row>
    <row r="5858" spans="3:26" x14ac:dyDescent="0.35">
      <c r="C5858" s="15" t="s">
        <v>8</v>
      </c>
      <c r="E5858" s="15" t="s">
        <v>8</v>
      </c>
      <c r="G5858" s="15" t="s">
        <v>8</v>
      </c>
      <c r="L5858" s="15" t="s">
        <v>8</v>
      </c>
      <c r="P5858" s="15" t="s">
        <v>8</v>
      </c>
      <c r="V5858" s="20" t="str">
        <f>HYPERLINK("http://yeinfo.com/family/I09066127.html", "Mrs. {_?_} TRAFFORD &lt;2&gt; 1340 EN-1386 EN ID:09066127")</f>
        <v>Mrs. {_?_} TRAFFORD &lt;2&gt; 1340 EN-1386 EN ID:09066127</v>
      </c>
      <c r="W5858" s="17"/>
      <c r="X5858" s="17"/>
      <c r="Y5858" s="17"/>
      <c r="Z5858" s="17"/>
    </row>
    <row r="5859" spans="3:26" x14ac:dyDescent="0.35">
      <c r="C5859" s="15" t="s">
        <v>8</v>
      </c>
      <c r="E5859" s="15" t="s">
        <v>8</v>
      </c>
      <c r="G5859" s="15" t="s">
        <v>8</v>
      </c>
      <c r="L5859" s="15" t="s">
        <v>8</v>
      </c>
      <c r="P5859" s="15" t="s">
        <v>8</v>
      </c>
    </row>
    <row r="5860" spans="3:26" x14ac:dyDescent="0.35">
      <c r="C5860" s="15" t="s">
        <v>8</v>
      </c>
      <c r="E5860" s="15" t="s">
        <v>8</v>
      </c>
      <c r="G5860" s="15" t="s">
        <v>8</v>
      </c>
      <c r="L5860" s="15" t="s">
        <v>8</v>
      </c>
      <c r="O5860" s="19" t="str">
        <f>HYPERLINK("http://yeinfo.com/family/I09005672.html", "WILLIAM FARRAR &lt;2&gt; 1550 EN-1605 EN ID:09005672")</f>
        <v>WILLIAM FARRAR &lt;2&gt; 1550 EN-1605 EN ID:09005672</v>
      </c>
      <c r="P5860" s="9"/>
      <c r="Q5860" s="9"/>
      <c r="R5860" s="9"/>
      <c r="S5860" s="9"/>
    </row>
    <row r="5861" spans="3:26" x14ac:dyDescent="0.35">
      <c r="C5861" s="15" t="s">
        <v>8</v>
      </c>
      <c r="E5861" s="15" t="s">
        <v>8</v>
      </c>
      <c r="G5861" s="15" t="s">
        <v>8</v>
      </c>
      <c r="L5861" s="15" t="s">
        <v>8</v>
      </c>
      <c r="O5861" s="8" t="s">
        <v>3</v>
      </c>
      <c r="P5861" s="8" t="s">
        <v>6</v>
      </c>
    </row>
    <row r="5862" spans="3:26" x14ac:dyDescent="0.35">
      <c r="C5862" s="15" t="s">
        <v>8</v>
      </c>
      <c r="E5862" s="15" t="s">
        <v>8</v>
      </c>
      <c r="G5862" s="15" t="s">
        <v>8</v>
      </c>
      <c r="L5862" s="15" t="s">
        <v>8</v>
      </c>
      <c r="O5862" s="15" t="s">
        <v>8</v>
      </c>
      <c r="P5862" s="20" t="str">
        <f>HYPERLINK("http://yeinfo.com/family/I09011345.html", "MARY\ISABELLA\ANN THOMPSON &lt;2&gt; 1525 EN-1550 EN ID:09011345")</f>
        <v>MARY\ISABELLA\ANN THOMPSON &lt;2&gt; 1525 EN-1550 EN ID:09011345</v>
      </c>
      <c r="Q5862" s="17"/>
      <c r="R5862" s="17"/>
      <c r="S5862" s="17"/>
      <c r="T5862" s="17"/>
      <c r="U5862" s="17"/>
    </row>
    <row r="5863" spans="3:26" x14ac:dyDescent="0.35">
      <c r="C5863" s="15" t="s">
        <v>8</v>
      </c>
      <c r="E5863" s="15" t="s">
        <v>8</v>
      </c>
      <c r="G5863" s="15" t="s">
        <v>8</v>
      </c>
      <c r="L5863" s="15" t="s">
        <v>8</v>
      </c>
      <c r="O5863" s="15" t="s">
        <v>8</v>
      </c>
    </row>
    <row r="5864" spans="3:26" x14ac:dyDescent="0.35">
      <c r="C5864" s="15" t="s">
        <v>8</v>
      </c>
      <c r="E5864" s="15" t="s">
        <v>8</v>
      </c>
      <c r="G5864" s="15" t="s">
        <v>8</v>
      </c>
      <c r="L5864" s="15" t="s">
        <v>8</v>
      </c>
      <c r="N5864" s="5" t="str">
        <f>HYPERLINK("http://yeinfo.com/family/I09002836.html", "JACOB FARRAR &lt;2&gt; 1584 EN-1639  ID:09002836")</f>
        <v>JACOB FARRAR &lt;2&gt; 1584 EN-1639  ID:09002836</v>
      </c>
      <c r="O5864" s="3"/>
      <c r="P5864" s="3"/>
      <c r="Q5864" s="3"/>
      <c r="R5864" s="3"/>
    </row>
    <row r="5865" spans="3:26" x14ac:dyDescent="0.35">
      <c r="C5865" s="15" t="s">
        <v>8</v>
      </c>
      <c r="E5865" s="15" t="s">
        <v>8</v>
      </c>
      <c r="G5865" s="15" t="s">
        <v>8</v>
      </c>
      <c r="L5865" s="15" t="s">
        <v>8</v>
      </c>
      <c r="N5865" s="8" t="s">
        <v>3</v>
      </c>
      <c r="O5865" s="15" t="s">
        <v>8</v>
      </c>
    </row>
    <row r="5866" spans="3:26" x14ac:dyDescent="0.35">
      <c r="C5866" s="15" t="s">
        <v>8</v>
      </c>
      <c r="E5866" s="15" t="s">
        <v>8</v>
      </c>
      <c r="G5866" s="15" t="s">
        <v>8</v>
      </c>
      <c r="L5866" s="15" t="s">
        <v>8</v>
      </c>
      <c r="N5866" s="15" t="s">
        <v>8</v>
      </c>
      <c r="O5866" s="15" t="s">
        <v>8</v>
      </c>
      <c r="Q5866" s="19" t="str">
        <f>HYPERLINK("http://yeinfo.com/family/I09022692.html", "GEORGE BANNISTER &lt;2&gt; 1500 EN-1538 EN ID:09022692")</f>
        <v>GEORGE BANNISTER &lt;2&gt; 1500 EN-1538 EN ID:09022692</v>
      </c>
      <c r="R5866" s="9"/>
      <c r="S5866" s="9"/>
      <c r="T5866" s="9"/>
      <c r="U5866" s="9"/>
    </row>
    <row r="5867" spans="3:26" x14ac:dyDescent="0.35">
      <c r="C5867" s="15" t="s">
        <v>8</v>
      </c>
      <c r="E5867" s="15" t="s">
        <v>8</v>
      </c>
      <c r="G5867" s="15" t="s">
        <v>8</v>
      </c>
      <c r="L5867" s="15" t="s">
        <v>8</v>
      </c>
      <c r="N5867" s="15" t="s">
        <v>8</v>
      </c>
      <c r="O5867" s="15" t="s">
        <v>8</v>
      </c>
      <c r="Q5867" s="8" t="s">
        <v>3</v>
      </c>
    </row>
    <row r="5868" spans="3:26" x14ac:dyDescent="0.35">
      <c r="C5868" s="15" t="s">
        <v>8</v>
      </c>
      <c r="E5868" s="15" t="s">
        <v>8</v>
      </c>
      <c r="G5868" s="15" t="s">
        <v>8</v>
      </c>
      <c r="L5868" s="15" t="s">
        <v>8</v>
      </c>
      <c r="N5868" s="15" t="s">
        <v>8</v>
      </c>
      <c r="O5868" s="15" t="s">
        <v>8</v>
      </c>
      <c r="P5868" s="19" t="str">
        <f>HYPERLINK("http://yeinfo.com/family/I09011346.html", "GEORGE BANNISTER &lt;2&gt; 1520 EN-1572 EN ID:09011346")</f>
        <v>GEORGE BANNISTER &lt;2&gt; 1520 EN-1572 EN ID:09011346</v>
      </c>
      <c r="Q5868" s="9"/>
      <c r="R5868" s="9"/>
      <c r="S5868" s="9"/>
      <c r="T5868" s="9"/>
    </row>
    <row r="5869" spans="3:26" x14ac:dyDescent="0.35">
      <c r="C5869" s="15" t="s">
        <v>8</v>
      </c>
      <c r="E5869" s="15" t="s">
        <v>8</v>
      </c>
      <c r="G5869" s="15" t="s">
        <v>8</v>
      </c>
      <c r="L5869" s="15" t="s">
        <v>8</v>
      </c>
      <c r="N5869" s="15" t="s">
        <v>8</v>
      </c>
      <c r="O5869" s="15" t="s">
        <v>8</v>
      </c>
      <c r="P5869" s="8" t="s">
        <v>3</v>
      </c>
      <c r="Q5869" s="8" t="s">
        <v>6</v>
      </c>
    </row>
    <row r="5870" spans="3:26" x14ac:dyDescent="0.35">
      <c r="C5870" s="15" t="s">
        <v>8</v>
      </c>
      <c r="E5870" s="15" t="s">
        <v>8</v>
      </c>
      <c r="G5870" s="15" t="s">
        <v>8</v>
      </c>
      <c r="L5870" s="15" t="s">
        <v>8</v>
      </c>
      <c r="N5870" s="15" t="s">
        <v>8</v>
      </c>
      <c r="O5870" s="15" t="s">
        <v>8</v>
      </c>
      <c r="P5870" s="15" t="s">
        <v>8</v>
      </c>
      <c r="Q5870" s="20" t="str">
        <f>HYPERLINK("http://yeinfo.com/family/I09022693.html", "Mrs. {_?_} BANNISTER &lt;2&gt; 1500 EN-1520 EN ID:09022693")</f>
        <v>Mrs. {_?_} BANNISTER &lt;2&gt; 1500 EN-1520 EN ID:09022693</v>
      </c>
      <c r="R5870" s="17"/>
      <c r="S5870" s="17"/>
      <c r="T5870" s="17"/>
      <c r="U5870" s="17"/>
    </row>
    <row r="5871" spans="3:26" x14ac:dyDescent="0.35">
      <c r="C5871" s="15" t="s">
        <v>8</v>
      </c>
      <c r="E5871" s="15" t="s">
        <v>8</v>
      </c>
      <c r="G5871" s="15" t="s">
        <v>8</v>
      </c>
      <c r="L5871" s="15" t="s">
        <v>8</v>
      </c>
      <c r="N5871" s="15" t="s">
        <v>8</v>
      </c>
      <c r="O5871" s="8" t="s">
        <v>6</v>
      </c>
      <c r="P5871" s="15" t="s">
        <v>8</v>
      </c>
    </row>
    <row r="5872" spans="3:26" x14ac:dyDescent="0.35">
      <c r="C5872" s="15" t="s">
        <v>8</v>
      </c>
      <c r="E5872" s="15" t="s">
        <v>8</v>
      </c>
      <c r="G5872" s="15" t="s">
        <v>8</v>
      </c>
      <c r="L5872" s="15" t="s">
        <v>8</v>
      </c>
      <c r="N5872" s="15" t="s">
        <v>8</v>
      </c>
      <c r="O5872" s="20" t="str">
        <f>HYPERLINK("http://yeinfo.com/family/I09005673.html", "MARGARET BANNISTER &lt;2&gt; 1546 EN-1624 EN ID:09005673")</f>
        <v>MARGARET BANNISTER &lt;2&gt; 1546 EN-1624 EN ID:09005673</v>
      </c>
      <c r="P5872" s="17"/>
      <c r="Q5872" s="17"/>
      <c r="R5872" s="17"/>
      <c r="S5872" s="17"/>
    </row>
    <row r="5873" spans="3:20" x14ac:dyDescent="0.35">
      <c r="C5873" s="15" t="s">
        <v>8</v>
      </c>
      <c r="E5873" s="15" t="s">
        <v>8</v>
      </c>
      <c r="G5873" s="15" t="s">
        <v>8</v>
      </c>
      <c r="L5873" s="15" t="s">
        <v>8</v>
      </c>
      <c r="N5873" s="15" t="s">
        <v>8</v>
      </c>
      <c r="P5873" s="8" t="s">
        <v>6</v>
      </c>
    </row>
    <row r="5874" spans="3:20" x14ac:dyDescent="0.35">
      <c r="C5874" s="15" t="s">
        <v>8</v>
      </c>
      <c r="E5874" s="15" t="s">
        <v>8</v>
      </c>
      <c r="G5874" s="15" t="s">
        <v>8</v>
      </c>
      <c r="L5874" s="15" t="s">
        <v>8</v>
      </c>
      <c r="N5874" s="15" t="s">
        <v>8</v>
      </c>
      <c r="P5874" s="20" t="str">
        <f>HYPERLINK("http://yeinfo.com/family/I09011347.html", "MARGARET CROWTHER &lt;2&gt; 1520 EN-1546  ID:09011347")</f>
        <v>MARGARET CROWTHER &lt;2&gt; 1520 EN-1546  ID:09011347</v>
      </c>
      <c r="Q5874" s="17"/>
      <c r="R5874" s="17"/>
      <c r="S5874" s="17"/>
      <c r="T5874" s="17"/>
    </row>
    <row r="5875" spans="3:20" x14ac:dyDescent="0.35">
      <c r="C5875" s="15" t="s">
        <v>8</v>
      </c>
      <c r="E5875" s="15" t="s">
        <v>8</v>
      </c>
      <c r="G5875" s="15" t="s">
        <v>8</v>
      </c>
      <c r="L5875" s="15" t="s">
        <v>8</v>
      </c>
      <c r="N5875" s="15" t="s">
        <v>8</v>
      </c>
    </row>
    <row r="5876" spans="3:20" x14ac:dyDescent="0.35">
      <c r="C5876" s="15" t="s">
        <v>8</v>
      </c>
      <c r="E5876" s="15" t="s">
        <v>8</v>
      </c>
      <c r="G5876" s="15" t="s">
        <v>8</v>
      </c>
      <c r="L5876" s="15" t="s">
        <v>8</v>
      </c>
      <c r="M5876" s="21" t="str">
        <f>HYPERLINK("http://yeinfo.com/family/I09001418.html", "JACOB FARRAR &lt;2&gt; 1614 EN-1677 MA ID:09001418")</f>
        <v>JACOB FARRAR &lt;2&gt; 1614 EN-1677 MA ID:09001418</v>
      </c>
      <c r="N5876" s="6"/>
      <c r="O5876" s="6"/>
      <c r="P5876" s="6"/>
      <c r="Q5876" s="6"/>
    </row>
    <row r="5877" spans="3:20" x14ac:dyDescent="0.35">
      <c r="C5877" s="15" t="s">
        <v>8</v>
      </c>
      <c r="E5877" s="15" t="s">
        <v>8</v>
      </c>
      <c r="G5877" s="15" t="s">
        <v>8</v>
      </c>
      <c r="L5877" s="15" t="s">
        <v>8</v>
      </c>
      <c r="M5877" s="8" t="s">
        <v>3</v>
      </c>
      <c r="N5877" s="8" t="s">
        <v>6</v>
      </c>
    </row>
    <row r="5878" spans="3:20" x14ac:dyDescent="0.35">
      <c r="C5878" s="15" t="s">
        <v>8</v>
      </c>
      <c r="E5878" s="15" t="s">
        <v>8</v>
      </c>
      <c r="G5878" s="15" t="s">
        <v>8</v>
      </c>
      <c r="L5878" s="15" t="s">
        <v>8</v>
      </c>
      <c r="M5878" s="15" t="s">
        <v>8</v>
      </c>
      <c r="N5878" s="16" t="str">
        <f>HYPERLINK("http://yeinfo.com/family/I09002837.html", "MARY HAUGHTON &lt;2&gt; 1585 EN-1639  ID:09002837")</f>
        <v>MARY HAUGHTON &lt;2&gt; 1585 EN-1639  ID:09002837</v>
      </c>
      <c r="O5878" s="11"/>
      <c r="P5878" s="11"/>
      <c r="Q5878" s="11"/>
      <c r="R5878" s="11"/>
    </row>
    <row r="5879" spans="3:20" x14ac:dyDescent="0.35">
      <c r="C5879" s="15" t="s">
        <v>8</v>
      </c>
      <c r="E5879" s="15" t="s">
        <v>8</v>
      </c>
      <c r="G5879" s="15" t="s">
        <v>8</v>
      </c>
      <c r="L5879" s="8" t="s">
        <v>6</v>
      </c>
      <c r="M5879" s="15" t="s">
        <v>8</v>
      </c>
    </row>
    <row r="5880" spans="3:20" x14ac:dyDescent="0.35">
      <c r="C5880" s="15" t="s">
        <v>8</v>
      </c>
      <c r="E5880" s="15" t="s">
        <v>8</v>
      </c>
      <c r="G5880" s="15" t="s">
        <v>8</v>
      </c>
      <c r="L5880" s="16" t="str">
        <f>HYPERLINK("http://yeinfo.com/family/I09000709.html", "MARY FARRAR &lt;2&gt; 1648 MA-1696  ID:09000709")</f>
        <v>MARY FARRAR &lt;2&gt; 1648 MA-1696  ID:09000709</v>
      </c>
      <c r="M5880" s="11"/>
      <c r="N5880" s="11"/>
      <c r="O5880" s="11"/>
      <c r="P5880" s="11"/>
    </row>
    <row r="5881" spans="3:20" x14ac:dyDescent="0.35">
      <c r="C5881" s="15" t="s">
        <v>8</v>
      </c>
      <c r="E5881" s="15" t="s">
        <v>8</v>
      </c>
      <c r="G5881" s="15" t="s">
        <v>8</v>
      </c>
      <c r="M5881" s="8" t="s">
        <v>6</v>
      </c>
    </row>
    <row r="5882" spans="3:20" x14ac:dyDescent="0.35">
      <c r="C5882" s="15" t="s">
        <v>8</v>
      </c>
      <c r="E5882" s="15" t="s">
        <v>8</v>
      </c>
      <c r="G5882" s="15" t="s">
        <v>8</v>
      </c>
      <c r="M5882" s="22" t="str">
        <f>HYPERLINK("http://yeinfo.com/family/I09001419.html", "Mrs. ANN FARRAR &lt;2&gt; 1620 EN-1660 MA ID:09001419")</f>
        <v>Mrs. ANN FARRAR &lt;2&gt; 1620 EN-1660 MA ID:09001419</v>
      </c>
      <c r="N5882" s="13"/>
      <c r="O5882" s="13"/>
      <c r="P5882" s="13"/>
      <c r="Q5882" s="13"/>
    </row>
    <row r="5883" spans="3:20" x14ac:dyDescent="0.35">
      <c r="C5883" s="15" t="s">
        <v>8</v>
      </c>
      <c r="E5883" s="15" t="s">
        <v>8</v>
      </c>
      <c r="G5883" s="15" t="s">
        <v>8</v>
      </c>
    </row>
    <row r="5884" spans="3:20" x14ac:dyDescent="0.35">
      <c r="C5884" s="15" t="s">
        <v>8</v>
      </c>
      <c r="E5884" s="15" t="s">
        <v>8</v>
      </c>
      <c r="F5884" s="5" t="str">
        <f>HYPERLINK("http://yeinfo.com/family/I09000011.html", "NEWELL SIDNEY MOORE 1842 VT-1925 IA ID:09000022")</f>
        <v>NEWELL SIDNEY MOORE 1842 VT-1925 IA ID:09000022</v>
      </c>
      <c r="G5884" s="3"/>
      <c r="H5884" s="3"/>
      <c r="I5884" s="3"/>
      <c r="J5884" s="3"/>
    </row>
    <row r="5885" spans="3:20" x14ac:dyDescent="0.35">
      <c r="C5885" s="15" t="s">
        <v>8</v>
      </c>
      <c r="E5885" s="15" t="s">
        <v>8</v>
      </c>
      <c r="F5885" s="8" t="s">
        <v>3</v>
      </c>
      <c r="G5885" s="15" t="s">
        <v>8</v>
      </c>
    </row>
    <row r="5886" spans="3:20" x14ac:dyDescent="0.35">
      <c r="C5886" s="15" t="s">
        <v>8</v>
      </c>
      <c r="E5886" s="15" t="s">
        <v>8</v>
      </c>
      <c r="F5886" s="15" t="s">
        <v>8</v>
      </c>
      <c r="G5886" s="15" t="s">
        <v>8</v>
      </c>
      <c r="M5886" s="21" t="str">
        <f>HYPERLINK("http://yeinfo.com/family/I09001440.html", "JOHN DEAN II 1602 EN-1660 MA ID:09002880")</f>
        <v>JOHN DEAN II 1602 EN-1660 MA ID:09002880</v>
      </c>
      <c r="N5886" s="6"/>
      <c r="O5886" s="6"/>
      <c r="P5886" s="6"/>
      <c r="Q5886" s="6"/>
    </row>
    <row r="5887" spans="3:20" x14ac:dyDescent="0.35">
      <c r="C5887" s="15" t="s">
        <v>8</v>
      </c>
      <c r="E5887" s="15" t="s">
        <v>8</v>
      </c>
      <c r="F5887" s="15" t="s">
        <v>8</v>
      </c>
      <c r="G5887" s="15" t="s">
        <v>8</v>
      </c>
      <c r="M5887" s="8" t="s">
        <v>3</v>
      </c>
    </row>
    <row r="5888" spans="3:20" x14ac:dyDescent="0.35">
      <c r="C5888" s="15" t="s">
        <v>8</v>
      </c>
      <c r="E5888" s="15" t="s">
        <v>8</v>
      </c>
      <c r="F5888" s="15" t="s">
        <v>8</v>
      </c>
      <c r="G5888" s="15" t="s">
        <v>8</v>
      </c>
      <c r="L5888" s="5" t="str">
        <f>HYPERLINK("http://yeinfo.com/family/I09000720.html", "JOHN DEAN II 1639 MA-1717 MA ID:09001440")</f>
        <v>JOHN DEAN II 1639 MA-1717 MA ID:09001440</v>
      </c>
      <c r="M5888" s="3"/>
      <c r="N5888" s="3"/>
      <c r="O5888" s="3"/>
      <c r="P5888" s="3"/>
    </row>
    <row r="5889" spans="3:17" x14ac:dyDescent="0.35">
      <c r="C5889" s="15" t="s">
        <v>8</v>
      </c>
      <c r="E5889" s="15" t="s">
        <v>8</v>
      </c>
      <c r="F5889" s="15" t="s">
        <v>8</v>
      </c>
      <c r="G5889" s="15" t="s">
        <v>8</v>
      </c>
      <c r="L5889" s="8" t="s">
        <v>3</v>
      </c>
      <c r="M5889" s="8" t="s">
        <v>6</v>
      </c>
    </row>
    <row r="5890" spans="3:17" x14ac:dyDescent="0.35">
      <c r="C5890" s="15" t="s">
        <v>8</v>
      </c>
      <c r="E5890" s="15" t="s">
        <v>8</v>
      </c>
      <c r="F5890" s="15" t="s">
        <v>8</v>
      </c>
      <c r="G5890" s="15" t="s">
        <v>8</v>
      </c>
      <c r="L5890" s="15" t="s">
        <v>8</v>
      </c>
      <c r="M5890" s="22" t="str">
        <f>HYPERLINK("http://yeinfo.com/family/I09002880.html", "ALICE STRONG 1616 EN-1669 MA ID:09002881")</f>
        <v>ALICE STRONG 1616 EN-1669 MA ID:09002881</v>
      </c>
      <c r="N5890" s="13"/>
      <c r="O5890" s="13"/>
      <c r="P5890" s="13"/>
      <c r="Q5890" s="13"/>
    </row>
    <row r="5891" spans="3:17" x14ac:dyDescent="0.35">
      <c r="C5891" s="15" t="s">
        <v>8</v>
      </c>
      <c r="E5891" s="15" t="s">
        <v>8</v>
      </c>
      <c r="F5891" s="15" t="s">
        <v>8</v>
      </c>
      <c r="G5891" s="15" t="s">
        <v>8</v>
      </c>
      <c r="L5891" s="15" t="s">
        <v>8</v>
      </c>
    </row>
    <row r="5892" spans="3:17" x14ac:dyDescent="0.35">
      <c r="C5892" s="15" t="s">
        <v>8</v>
      </c>
      <c r="E5892" s="15" t="s">
        <v>8</v>
      </c>
      <c r="F5892" s="15" t="s">
        <v>8</v>
      </c>
      <c r="G5892" s="15" t="s">
        <v>8</v>
      </c>
      <c r="K5892" s="5" t="str">
        <f>HYPERLINK("http://yeinfo.com/family/I09000360.html", "SAMUEL DEAN 1667 MA-1731 MA ID:09000720")</f>
        <v>SAMUEL DEAN 1667 MA-1731 MA ID:09000720</v>
      </c>
      <c r="L5892" s="3"/>
      <c r="M5892" s="3"/>
      <c r="N5892" s="3"/>
      <c r="O5892" s="3"/>
    </row>
    <row r="5893" spans="3:17" x14ac:dyDescent="0.35">
      <c r="C5893" s="15" t="s">
        <v>8</v>
      </c>
      <c r="E5893" s="15" t="s">
        <v>8</v>
      </c>
      <c r="F5893" s="15" t="s">
        <v>8</v>
      </c>
      <c r="G5893" s="15" t="s">
        <v>8</v>
      </c>
      <c r="K5893" s="8" t="s">
        <v>3</v>
      </c>
      <c r="L5893" s="15" t="s">
        <v>8</v>
      </c>
    </row>
    <row r="5894" spans="3:17" x14ac:dyDescent="0.35">
      <c r="C5894" s="15" t="s">
        <v>8</v>
      </c>
      <c r="E5894" s="15" t="s">
        <v>8</v>
      </c>
      <c r="F5894" s="15" t="s">
        <v>8</v>
      </c>
      <c r="G5894" s="15" t="s">
        <v>8</v>
      </c>
      <c r="K5894" s="15" t="s">
        <v>8</v>
      </c>
      <c r="L5894" s="15" t="s">
        <v>8</v>
      </c>
      <c r="M5894" s="21" t="str">
        <f>HYPERLINK("http://yeinfo.com/family/I09001441.html", "SAMUEL EDSON Sr. 1613 EN-1692 MA ID:09002882")</f>
        <v>SAMUEL EDSON Sr. 1613 EN-1692 MA ID:09002882</v>
      </c>
      <c r="N5894" s="6"/>
      <c r="O5894" s="6"/>
      <c r="P5894" s="6"/>
      <c r="Q5894" s="6"/>
    </row>
    <row r="5895" spans="3:17" x14ac:dyDescent="0.35">
      <c r="C5895" s="15" t="s">
        <v>8</v>
      </c>
      <c r="E5895" s="15" t="s">
        <v>8</v>
      </c>
      <c r="F5895" s="15" t="s">
        <v>8</v>
      </c>
      <c r="G5895" s="15" t="s">
        <v>8</v>
      </c>
      <c r="K5895" s="15" t="s">
        <v>8</v>
      </c>
      <c r="L5895" s="8" t="s">
        <v>6</v>
      </c>
      <c r="M5895" s="8" t="s">
        <v>3</v>
      </c>
    </row>
    <row r="5896" spans="3:17" x14ac:dyDescent="0.35">
      <c r="C5896" s="15" t="s">
        <v>8</v>
      </c>
      <c r="E5896" s="15" t="s">
        <v>8</v>
      </c>
      <c r="F5896" s="15" t="s">
        <v>8</v>
      </c>
      <c r="G5896" s="15" t="s">
        <v>8</v>
      </c>
      <c r="K5896" s="15" t="s">
        <v>8</v>
      </c>
      <c r="L5896" s="16" t="str">
        <f>HYPERLINK("http://yeinfo.com/family/I09002881.html", "SARAH EDSON 1642 MA-1717 MA ID:09001441")</f>
        <v>SARAH EDSON 1642 MA-1717 MA ID:09001441</v>
      </c>
      <c r="M5896" s="11"/>
      <c r="N5896" s="11"/>
      <c r="O5896" s="11"/>
      <c r="P5896" s="11"/>
    </row>
    <row r="5897" spans="3:17" x14ac:dyDescent="0.35">
      <c r="C5897" s="15" t="s">
        <v>8</v>
      </c>
      <c r="E5897" s="15" t="s">
        <v>8</v>
      </c>
      <c r="F5897" s="15" t="s">
        <v>8</v>
      </c>
      <c r="G5897" s="15" t="s">
        <v>8</v>
      </c>
      <c r="K5897" s="15" t="s">
        <v>8</v>
      </c>
      <c r="M5897" s="8" t="s">
        <v>6</v>
      </c>
    </row>
    <row r="5898" spans="3:17" x14ac:dyDescent="0.35">
      <c r="C5898" s="15" t="s">
        <v>8</v>
      </c>
      <c r="E5898" s="15" t="s">
        <v>8</v>
      </c>
      <c r="F5898" s="15" t="s">
        <v>8</v>
      </c>
      <c r="G5898" s="15" t="s">
        <v>8</v>
      </c>
      <c r="K5898" s="15" t="s">
        <v>8</v>
      </c>
      <c r="M5898" s="22" t="str">
        <f>HYPERLINK("http://yeinfo.com/family/I09002882.html", "SUSANNAH BICKLEY 1618 EN-1699 MA ID:09002883")</f>
        <v>SUSANNAH BICKLEY 1618 EN-1699 MA ID:09002883</v>
      </c>
      <c r="N5898" s="13"/>
      <c r="O5898" s="13"/>
      <c r="P5898" s="13"/>
      <c r="Q5898" s="13"/>
    </row>
    <row r="5899" spans="3:17" x14ac:dyDescent="0.35">
      <c r="C5899" s="15" t="s">
        <v>8</v>
      </c>
      <c r="E5899" s="15" t="s">
        <v>8</v>
      </c>
      <c r="F5899" s="15" t="s">
        <v>8</v>
      </c>
      <c r="G5899" s="15" t="s">
        <v>8</v>
      </c>
      <c r="K5899" s="15" t="s">
        <v>8</v>
      </c>
    </row>
    <row r="5900" spans="3:17" x14ac:dyDescent="0.35">
      <c r="C5900" s="15" t="s">
        <v>8</v>
      </c>
      <c r="E5900" s="15" t="s">
        <v>8</v>
      </c>
      <c r="F5900" s="15" t="s">
        <v>8</v>
      </c>
      <c r="G5900" s="15" t="s">
        <v>8</v>
      </c>
      <c r="J5900" s="5" t="str">
        <f>HYPERLINK("http://yeinfo.com/family/I09000180.html", "SAMUEL DEAN 1700 MA-1775 MA ID:09000360")</f>
        <v>SAMUEL DEAN 1700 MA-1775 MA ID:09000360</v>
      </c>
      <c r="K5900" s="3"/>
      <c r="L5900" s="3"/>
      <c r="M5900" s="3"/>
      <c r="N5900" s="3"/>
    </row>
    <row r="5901" spans="3:17" x14ac:dyDescent="0.35">
      <c r="C5901" s="15" t="s">
        <v>8</v>
      </c>
      <c r="E5901" s="15" t="s">
        <v>8</v>
      </c>
      <c r="F5901" s="15" t="s">
        <v>8</v>
      </c>
      <c r="G5901" s="15" t="s">
        <v>8</v>
      </c>
      <c r="J5901" s="8" t="s">
        <v>3</v>
      </c>
      <c r="K5901" s="15" t="s">
        <v>8</v>
      </c>
    </row>
    <row r="5902" spans="3:17" x14ac:dyDescent="0.35">
      <c r="C5902" s="15" t="s">
        <v>8</v>
      </c>
      <c r="E5902" s="15" t="s">
        <v>8</v>
      </c>
      <c r="F5902" s="15" t="s">
        <v>8</v>
      </c>
      <c r="G5902" s="15" t="s">
        <v>8</v>
      </c>
      <c r="J5902" s="15" t="s">
        <v>8</v>
      </c>
      <c r="K5902" s="15" t="s">
        <v>8</v>
      </c>
      <c r="M5902" s="21" t="str">
        <f>HYPERLINK("http://yeinfo.com/family/I09001442.html", "WILLIAM ROBINSON Sr. 1615 EN-1668 MA ID:09002884")</f>
        <v>WILLIAM ROBINSON Sr. 1615 EN-1668 MA ID:09002884</v>
      </c>
      <c r="N5902" s="6"/>
      <c r="O5902" s="6"/>
      <c r="P5902" s="6"/>
      <c r="Q5902" s="6"/>
    </row>
    <row r="5903" spans="3:17" x14ac:dyDescent="0.35">
      <c r="C5903" s="15" t="s">
        <v>8</v>
      </c>
      <c r="E5903" s="15" t="s">
        <v>8</v>
      </c>
      <c r="F5903" s="15" t="s">
        <v>8</v>
      </c>
      <c r="G5903" s="15" t="s">
        <v>8</v>
      </c>
      <c r="J5903" s="15" t="s">
        <v>8</v>
      </c>
      <c r="K5903" s="15" t="s">
        <v>8</v>
      </c>
      <c r="M5903" s="8" t="s">
        <v>3</v>
      </c>
    </row>
    <row r="5904" spans="3:17" x14ac:dyDescent="0.35">
      <c r="C5904" s="15" t="s">
        <v>8</v>
      </c>
      <c r="E5904" s="15" t="s">
        <v>8</v>
      </c>
      <c r="F5904" s="15" t="s">
        <v>8</v>
      </c>
      <c r="G5904" s="15" t="s">
        <v>8</v>
      </c>
      <c r="J5904" s="15" t="s">
        <v>8</v>
      </c>
      <c r="K5904" s="15" t="s">
        <v>8</v>
      </c>
      <c r="L5904" s="5" t="str">
        <f>HYPERLINK("http://yeinfo.com/family/I09000721.html", "INCREASE ROBINSON Sr. 1642 MA-1699 MA ID:09001442")</f>
        <v>INCREASE ROBINSON Sr. 1642 MA-1699 MA ID:09001442</v>
      </c>
      <c r="M5904" s="3"/>
      <c r="N5904" s="3"/>
      <c r="O5904" s="3"/>
      <c r="P5904" s="3"/>
    </row>
    <row r="5905" spans="3:21" x14ac:dyDescent="0.35">
      <c r="C5905" s="15" t="s">
        <v>8</v>
      </c>
      <c r="E5905" s="15" t="s">
        <v>8</v>
      </c>
      <c r="F5905" s="15" t="s">
        <v>8</v>
      </c>
      <c r="G5905" s="15" t="s">
        <v>8</v>
      </c>
      <c r="J5905" s="15" t="s">
        <v>8</v>
      </c>
      <c r="K5905" s="15" t="s">
        <v>8</v>
      </c>
      <c r="L5905" s="8" t="s">
        <v>3</v>
      </c>
      <c r="M5905" s="8" t="s">
        <v>6</v>
      </c>
    </row>
    <row r="5906" spans="3:21" x14ac:dyDescent="0.35">
      <c r="C5906" s="15" t="s">
        <v>8</v>
      </c>
      <c r="E5906" s="15" t="s">
        <v>8</v>
      </c>
      <c r="F5906" s="15" t="s">
        <v>8</v>
      </c>
      <c r="G5906" s="15" t="s">
        <v>8</v>
      </c>
      <c r="J5906" s="15" t="s">
        <v>8</v>
      </c>
      <c r="K5906" s="15" t="s">
        <v>8</v>
      </c>
      <c r="L5906" s="15" t="s">
        <v>8</v>
      </c>
      <c r="M5906" s="22" t="str">
        <f>HYPERLINK("http://yeinfo.com/family/I09002884.html", "MARGARET BEACH 1616 EN-1665 MA ID:09002885")</f>
        <v>MARGARET BEACH 1616 EN-1665 MA ID:09002885</v>
      </c>
      <c r="N5906" s="13"/>
      <c r="O5906" s="13"/>
      <c r="P5906" s="13"/>
      <c r="Q5906" s="13"/>
    </row>
    <row r="5907" spans="3:21" x14ac:dyDescent="0.35">
      <c r="C5907" s="15" t="s">
        <v>8</v>
      </c>
      <c r="E5907" s="15" t="s">
        <v>8</v>
      </c>
      <c r="F5907" s="15" t="s">
        <v>8</v>
      </c>
      <c r="G5907" s="15" t="s">
        <v>8</v>
      </c>
      <c r="J5907" s="15" t="s">
        <v>8</v>
      </c>
      <c r="K5907" s="8" t="s">
        <v>6</v>
      </c>
      <c r="L5907" s="15" t="s">
        <v>8</v>
      </c>
    </row>
    <row r="5908" spans="3:21" x14ac:dyDescent="0.35">
      <c r="C5908" s="15" t="s">
        <v>8</v>
      </c>
      <c r="E5908" s="15" t="s">
        <v>8</v>
      </c>
      <c r="F5908" s="15" t="s">
        <v>8</v>
      </c>
      <c r="G5908" s="15" t="s">
        <v>8</v>
      </c>
      <c r="J5908" s="15" t="s">
        <v>8</v>
      </c>
      <c r="K5908" s="16" t="str">
        <f>HYPERLINK("http://yeinfo.com/family/I09002883.html", "SARAH ROBINSON 1667 MA-1741 MA ID:09000721")</f>
        <v>SARAH ROBINSON 1667 MA-1741 MA ID:09000721</v>
      </c>
      <c r="L5908" s="11"/>
      <c r="M5908" s="11"/>
      <c r="N5908" s="11"/>
      <c r="O5908" s="11"/>
    </row>
    <row r="5909" spans="3:21" x14ac:dyDescent="0.35">
      <c r="C5909" s="15" t="s">
        <v>8</v>
      </c>
      <c r="E5909" s="15" t="s">
        <v>8</v>
      </c>
      <c r="F5909" s="15" t="s">
        <v>8</v>
      </c>
      <c r="G5909" s="15" t="s">
        <v>8</v>
      </c>
      <c r="J5909" s="15" t="s">
        <v>8</v>
      </c>
      <c r="L5909" s="15" t="s">
        <v>8</v>
      </c>
    </row>
    <row r="5910" spans="3:21" x14ac:dyDescent="0.35">
      <c r="C5910" s="15" t="s">
        <v>8</v>
      </c>
      <c r="E5910" s="15" t="s">
        <v>8</v>
      </c>
      <c r="F5910" s="15" t="s">
        <v>8</v>
      </c>
      <c r="G5910" s="15" t="s">
        <v>8</v>
      </c>
      <c r="J5910" s="15" t="s">
        <v>8</v>
      </c>
      <c r="L5910" s="15" t="s">
        <v>8</v>
      </c>
      <c r="M5910" s="21" t="str">
        <f>HYPERLINK("http://yeinfo.com/family/I09001443.html", "JAMES PENNIMAN 1599 EN-1664 MA ID:09002886")</f>
        <v>JAMES PENNIMAN 1599 EN-1664 MA ID:09002886</v>
      </c>
      <c r="N5910" s="6"/>
      <c r="O5910" s="6"/>
      <c r="P5910" s="6"/>
      <c r="Q5910" s="6"/>
    </row>
    <row r="5911" spans="3:21" x14ac:dyDescent="0.35">
      <c r="C5911" s="15" t="s">
        <v>8</v>
      </c>
      <c r="E5911" s="15" t="s">
        <v>8</v>
      </c>
      <c r="F5911" s="15" t="s">
        <v>8</v>
      </c>
      <c r="G5911" s="15" t="s">
        <v>8</v>
      </c>
      <c r="J5911" s="15" t="s">
        <v>8</v>
      </c>
      <c r="L5911" s="8" t="s">
        <v>6</v>
      </c>
      <c r="M5911" s="8" t="s">
        <v>3</v>
      </c>
    </row>
    <row r="5912" spans="3:21" x14ac:dyDescent="0.35">
      <c r="C5912" s="15" t="s">
        <v>8</v>
      </c>
      <c r="E5912" s="15" t="s">
        <v>8</v>
      </c>
      <c r="F5912" s="15" t="s">
        <v>8</v>
      </c>
      <c r="G5912" s="15" t="s">
        <v>8</v>
      </c>
      <c r="J5912" s="15" t="s">
        <v>8</v>
      </c>
      <c r="L5912" s="16" t="str">
        <f>HYPERLINK("http://yeinfo.com/family/I09002885.html", "SARAH PENNIMAN 1641 MA-1701 MA ID:09001443")</f>
        <v>SARAH PENNIMAN 1641 MA-1701 MA ID:09001443</v>
      </c>
      <c r="M5912" s="11"/>
      <c r="N5912" s="11"/>
      <c r="O5912" s="11"/>
      <c r="P5912" s="11"/>
    </row>
    <row r="5913" spans="3:21" x14ac:dyDescent="0.35">
      <c r="C5913" s="15" t="s">
        <v>8</v>
      </c>
      <c r="E5913" s="15" t="s">
        <v>8</v>
      </c>
      <c r="F5913" s="15" t="s">
        <v>8</v>
      </c>
      <c r="G5913" s="15" t="s">
        <v>8</v>
      </c>
      <c r="J5913" s="15" t="s">
        <v>8</v>
      </c>
      <c r="M5913" s="15" t="s">
        <v>8</v>
      </c>
    </row>
    <row r="5914" spans="3:21" x14ac:dyDescent="0.35">
      <c r="C5914" s="15" t="s">
        <v>8</v>
      </c>
      <c r="E5914" s="15" t="s">
        <v>8</v>
      </c>
      <c r="F5914" s="15" t="s">
        <v>8</v>
      </c>
      <c r="G5914" s="15" t="s">
        <v>8</v>
      </c>
      <c r="J5914" s="15" t="s">
        <v>8</v>
      </c>
      <c r="M5914" s="15" t="s">
        <v>8</v>
      </c>
      <c r="Q5914" s="19" t="str">
        <f>HYPERLINK("http://yeinfo.com/family/I09065543.html", "WILLIAM ELLIOTT &lt;4&gt; 1450 EN-1528 EN ID:09065543")</f>
        <v>WILLIAM ELLIOTT &lt;4&gt; 1450 EN-1528 EN ID:09065543</v>
      </c>
      <c r="R5914" s="9"/>
      <c r="S5914" s="9"/>
      <c r="T5914" s="9"/>
      <c r="U5914" s="9"/>
    </row>
    <row r="5915" spans="3:21" x14ac:dyDescent="0.35">
      <c r="C5915" s="15" t="s">
        <v>8</v>
      </c>
      <c r="E5915" s="15" t="s">
        <v>8</v>
      </c>
      <c r="F5915" s="15" t="s">
        <v>8</v>
      </c>
      <c r="G5915" s="15" t="s">
        <v>8</v>
      </c>
      <c r="J5915" s="15" t="s">
        <v>8</v>
      </c>
      <c r="M5915" s="15" t="s">
        <v>8</v>
      </c>
      <c r="Q5915" s="8" t="s">
        <v>3</v>
      </c>
    </row>
    <row r="5916" spans="3:21" x14ac:dyDescent="0.35">
      <c r="C5916" s="15" t="s">
        <v>8</v>
      </c>
      <c r="E5916" s="15" t="s">
        <v>8</v>
      </c>
      <c r="F5916" s="15" t="s">
        <v>8</v>
      </c>
      <c r="G5916" s="15" t="s">
        <v>8</v>
      </c>
      <c r="J5916" s="15" t="s">
        <v>8</v>
      </c>
      <c r="M5916" s="15" t="s">
        <v>8</v>
      </c>
      <c r="P5916" s="19" t="str">
        <f>HYPERLINK("http://yeinfo.com/family/I09043368.html", "THOMAS ELLIOTT &lt;4&gt; 1480 EN-1520 EN ID:09043368")</f>
        <v>THOMAS ELLIOTT &lt;4&gt; 1480 EN-1520 EN ID:09043368</v>
      </c>
      <c r="Q5916" s="9"/>
      <c r="R5916" s="9"/>
      <c r="S5916" s="9"/>
      <c r="T5916" s="9"/>
    </row>
    <row r="5917" spans="3:21" x14ac:dyDescent="0.35">
      <c r="C5917" s="15" t="s">
        <v>8</v>
      </c>
      <c r="E5917" s="15" t="s">
        <v>8</v>
      </c>
      <c r="F5917" s="15" t="s">
        <v>8</v>
      </c>
      <c r="G5917" s="15" t="s">
        <v>8</v>
      </c>
      <c r="J5917" s="15" t="s">
        <v>8</v>
      </c>
      <c r="M5917" s="15" t="s">
        <v>8</v>
      </c>
      <c r="P5917" s="8" t="s">
        <v>3</v>
      </c>
      <c r="Q5917" s="8" t="s">
        <v>6</v>
      </c>
    </row>
    <row r="5918" spans="3:21" x14ac:dyDescent="0.35">
      <c r="C5918" s="15" t="s">
        <v>8</v>
      </c>
      <c r="E5918" s="15" t="s">
        <v>8</v>
      </c>
      <c r="F5918" s="15" t="s">
        <v>8</v>
      </c>
      <c r="G5918" s="15" t="s">
        <v>8</v>
      </c>
      <c r="J5918" s="15" t="s">
        <v>8</v>
      </c>
      <c r="M5918" s="15" t="s">
        <v>8</v>
      </c>
      <c r="P5918" s="15" t="s">
        <v>8</v>
      </c>
      <c r="Q5918" s="20" t="str">
        <f>HYPERLINK("http://yeinfo.com/family/I09065544.html", "Mrs. {_?_} ELLIOTT &lt;4&gt; 1450 -1480 EN ID:09065544")</f>
        <v>Mrs. {_?_} ELLIOTT &lt;4&gt; 1450 -1480 EN ID:09065544</v>
      </c>
      <c r="R5918" s="17"/>
      <c r="S5918" s="17"/>
      <c r="T5918" s="17"/>
      <c r="U5918" s="17"/>
    </row>
    <row r="5919" spans="3:21" x14ac:dyDescent="0.35">
      <c r="C5919" s="15" t="s">
        <v>8</v>
      </c>
      <c r="E5919" s="15" t="s">
        <v>8</v>
      </c>
      <c r="F5919" s="15" t="s">
        <v>8</v>
      </c>
      <c r="G5919" s="15" t="s">
        <v>8</v>
      </c>
      <c r="J5919" s="15" t="s">
        <v>8</v>
      </c>
      <c r="M5919" s="15" t="s">
        <v>8</v>
      </c>
      <c r="P5919" s="15" t="s">
        <v>8</v>
      </c>
    </row>
    <row r="5920" spans="3:21" x14ac:dyDescent="0.35">
      <c r="C5920" s="15" t="s">
        <v>8</v>
      </c>
      <c r="E5920" s="15" t="s">
        <v>8</v>
      </c>
      <c r="F5920" s="15" t="s">
        <v>8</v>
      </c>
      <c r="G5920" s="15" t="s">
        <v>8</v>
      </c>
      <c r="J5920" s="15" t="s">
        <v>8</v>
      </c>
      <c r="M5920" s="15" t="s">
        <v>8</v>
      </c>
      <c r="O5920" s="19" t="str">
        <f>HYPERLINK("http://yeinfo.com/family/I09021684.html", "SIMON\EDWARD ELLIOTT &lt;4&gt; 1520 EN-1573 EN ID:09021684")</f>
        <v>SIMON\EDWARD ELLIOTT &lt;4&gt; 1520 EN-1573 EN ID:09021684</v>
      </c>
      <c r="P5920" s="9"/>
      <c r="Q5920" s="9"/>
      <c r="R5920" s="9"/>
      <c r="S5920" s="9"/>
      <c r="T5920" s="9"/>
    </row>
    <row r="5921" spans="3:20" x14ac:dyDescent="0.35">
      <c r="C5921" s="15" t="s">
        <v>8</v>
      </c>
      <c r="E5921" s="15" t="s">
        <v>8</v>
      </c>
      <c r="F5921" s="15" t="s">
        <v>8</v>
      </c>
      <c r="G5921" s="15" t="s">
        <v>8</v>
      </c>
      <c r="J5921" s="15" t="s">
        <v>8</v>
      </c>
      <c r="M5921" s="15" t="s">
        <v>8</v>
      </c>
      <c r="O5921" s="8" t="s">
        <v>3</v>
      </c>
      <c r="P5921" s="8" t="s">
        <v>6</v>
      </c>
    </row>
    <row r="5922" spans="3:20" x14ac:dyDescent="0.35">
      <c r="C5922" s="15" t="s">
        <v>8</v>
      </c>
      <c r="E5922" s="15" t="s">
        <v>8</v>
      </c>
      <c r="F5922" s="15" t="s">
        <v>8</v>
      </c>
      <c r="G5922" s="15" t="s">
        <v>8</v>
      </c>
      <c r="J5922" s="15" t="s">
        <v>8</v>
      </c>
      <c r="M5922" s="15" t="s">
        <v>8</v>
      </c>
      <c r="O5922" s="15" t="s">
        <v>8</v>
      </c>
      <c r="P5922" s="20" t="str">
        <f>HYPERLINK("http://yeinfo.com/family/I09043369.html", "MARGARET ELIZABETH WILSON &lt;4&gt; 1488 EN-1560 EN ID:09043369")</f>
        <v>MARGARET ELIZABETH WILSON &lt;4&gt; 1488 EN-1560 EN ID:09043369</v>
      </c>
      <c r="Q5922" s="17"/>
      <c r="R5922" s="17"/>
      <c r="S5922" s="17"/>
      <c r="T5922" s="17"/>
    </row>
    <row r="5923" spans="3:20" x14ac:dyDescent="0.35">
      <c r="C5923" s="15" t="s">
        <v>8</v>
      </c>
      <c r="E5923" s="15" t="s">
        <v>8</v>
      </c>
      <c r="F5923" s="15" t="s">
        <v>8</v>
      </c>
      <c r="G5923" s="15" t="s">
        <v>8</v>
      </c>
      <c r="J5923" s="15" t="s">
        <v>8</v>
      </c>
      <c r="M5923" s="15" t="s">
        <v>8</v>
      </c>
      <c r="O5923" s="15" t="s">
        <v>8</v>
      </c>
    </row>
    <row r="5924" spans="3:20" x14ac:dyDescent="0.35">
      <c r="C5924" s="15" t="s">
        <v>8</v>
      </c>
      <c r="E5924" s="15" t="s">
        <v>8</v>
      </c>
      <c r="F5924" s="15" t="s">
        <v>8</v>
      </c>
      <c r="G5924" s="15" t="s">
        <v>8</v>
      </c>
      <c r="J5924" s="15" t="s">
        <v>8</v>
      </c>
      <c r="M5924" s="15" t="s">
        <v>8</v>
      </c>
      <c r="N5924" s="5" t="str">
        <f>HYPERLINK("http://yeinfo.com/family/I09010842.html", "BENNETT\PHILIP ELLIOTT &lt;4&gt; 1573 -1621 EN ID:09010842")</f>
        <v>BENNETT\PHILIP ELLIOTT &lt;4&gt; 1573 -1621 EN ID:09010842</v>
      </c>
      <c r="O5924" s="3"/>
      <c r="P5924" s="3"/>
      <c r="Q5924" s="3"/>
      <c r="R5924" s="3"/>
      <c r="S5924" s="3"/>
    </row>
    <row r="5925" spans="3:20" x14ac:dyDescent="0.35">
      <c r="C5925" s="15" t="s">
        <v>8</v>
      </c>
      <c r="E5925" s="15" t="s">
        <v>8</v>
      </c>
      <c r="F5925" s="15" t="s">
        <v>8</v>
      </c>
      <c r="G5925" s="15" t="s">
        <v>8</v>
      </c>
      <c r="J5925" s="15" t="s">
        <v>8</v>
      </c>
      <c r="M5925" s="15" t="s">
        <v>8</v>
      </c>
      <c r="N5925" s="8" t="s">
        <v>3</v>
      </c>
      <c r="O5925" s="8" t="s">
        <v>6</v>
      </c>
    </row>
    <row r="5926" spans="3:20" x14ac:dyDescent="0.35">
      <c r="C5926" s="15" t="s">
        <v>8</v>
      </c>
      <c r="E5926" s="15" t="s">
        <v>8</v>
      </c>
      <c r="F5926" s="15" t="s">
        <v>8</v>
      </c>
      <c r="G5926" s="15" t="s">
        <v>8</v>
      </c>
      <c r="J5926" s="15" t="s">
        <v>8</v>
      </c>
      <c r="M5926" s="15" t="s">
        <v>8</v>
      </c>
      <c r="N5926" s="15" t="s">
        <v>8</v>
      </c>
      <c r="O5926" s="20" t="str">
        <f>HYPERLINK("http://yeinfo.com/family/I09021685.html", "JANE GEDGE &lt;4&gt; 1535 EN-1573 EN ID:09021685")</f>
        <v>JANE GEDGE &lt;4&gt; 1535 EN-1573 EN ID:09021685</v>
      </c>
      <c r="P5926" s="17"/>
      <c r="Q5926" s="17"/>
      <c r="R5926" s="17"/>
      <c r="S5926" s="17"/>
    </row>
    <row r="5927" spans="3:20" x14ac:dyDescent="0.35">
      <c r="C5927" s="15" t="s">
        <v>8</v>
      </c>
      <c r="E5927" s="15" t="s">
        <v>8</v>
      </c>
      <c r="F5927" s="15" t="s">
        <v>8</v>
      </c>
      <c r="G5927" s="15" t="s">
        <v>8</v>
      </c>
      <c r="J5927" s="15" t="s">
        <v>8</v>
      </c>
      <c r="M5927" s="8" t="s">
        <v>6</v>
      </c>
      <c r="N5927" s="15" t="s">
        <v>8</v>
      </c>
    </row>
    <row r="5928" spans="3:20" x14ac:dyDescent="0.35">
      <c r="C5928" s="15" t="s">
        <v>8</v>
      </c>
      <c r="E5928" s="15" t="s">
        <v>8</v>
      </c>
      <c r="F5928" s="15" t="s">
        <v>8</v>
      </c>
      <c r="G5928" s="15" t="s">
        <v>8</v>
      </c>
      <c r="J5928" s="15" t="s">
        <v>8</v>
      </c>
      <c r="M5928" s="22" t="str">
        <f>HYPERLINK("http://yeinfo.com/family/I09002886.html", "LYDIA ELLIOTTT 1610 EN-1676 MA ID:09002887")</f>
        <v>LYDIA ELLIOTTT 1610 EN-1676 MA ID:09002887</v>
      </c>
      <c r="N5928" s="13"/>
      <c r="O5928" s="13"/>
      <c r="P5928" s="13"/>
      <c r="Q5928" s="13"/>
    </row>
    <row r="5929" spans="3:20" x14ac:dyDescent="0.35">
      <c r="C5929" s="15" t="s">
        <v>8</v>
      </c>
      <c r="E5929" s="15" t="s">
        <v>8</v>
      </c>
      <c r="F5929" s="15" t="s">
        <v>8</v>
      </c>
      <c r="G5929" s="15" t="s">
        <v>8</v>
      </c>
      <c r="J5929" s="15" t="s">
        <v>8</v>
      </c>
      <c r="N5929" s="15" t="s">
        <v>8</v>
      </c>
    </row>
    <row r="5930" spans="3:20" x14ac:dyDescent="0.35">
      <c r="C5930" s="15" t="s">
        <v>8</v>
      </c>
      <c r="E5930" s="15" t="s">
        <v>8</v>
      </c>
      <c r="F5930" s="15" t="s">
        <v>8</v>
      </c>
      <c r="G5930" s="15" t="s">
        <v>8</v>
      </c>
      <c r="J5930" s="15" t="s">
        <v>8</v>
      </c>
      <c r="N5930" s="15" t="s">
        <v>8</v>
      </c>
      <c r="P5930" s="19" t="str">
        <f>HYPERLINK("http://yeinfo.com/family/I09043372.html", "ROBERT AGGAR &lt;4&gt; 1525 EN-1557 EN ID:09043372")</f>
        <v>ROBERT AGGAR &lt;4&gt; 1525 EN-1557 EN ID:09043372</v>
      </c>
      <c r="Q5930" s="9"/>
      <c r="R5930" s="9"/>
      <c r="S5930" s="9"/>
      <c r="T5930" s="9"/>
    </row>
    <row r="5931" spans="3:20" x14ac:dyDescent="0.35">
      <c r="C5931" s="15" t="s">
        <v>8</v>
      </c>
      <c r="E5931" s="15" t="s">
        <v>8</v>
      </c>
      <c r="F5931" s="15" t="s">
        <v>8</v>
      </c>
      <c r="G5931" s="15" t="s">
        <v>8</v>
      </c>
      <c r="J5931" s="15" t="s">
        <v>8</v>
      </c>
      <c r="N5931" s="15" t="s">
        <v>8</v>
      </c>
      <c r="P5931" s="8" t="s">
        <v>3</v>
      </c>
    </row>
    <row r="5932" spans="3:20" x14ac:dyDescent="0.35">
      <c r="C5932" s="15" t="s">
        <v>8</v>
      </c>
      <c r="E5932" s="15" t="s">
        <v>8</v>
      </c>
      <c r="F5932" s="15" t="s">
        <v>8</v>
      </c>
      <c r="G5932" s="15" t="s">
        <v>8</v>
      </c>
      <c r="J5932" s="15" t="s">
        <v>8</v>
      </c>
      <c r="N5932" s="15" t="s">
        <v>8</v>
      </c>
      <c r="O5932" s="19" t="str">
        <f>HYPERLINK("http://yeinfo.com/family/I09021686.html", "FRANCIS AGGAR &lt;4&gt; 1544 EN-1582 EN ID:09021686")</f>
        <v>FRANCIS AGGAR &lt;4&gt; 1544 EN-1582 EN ID:09021686</v>
      </c>
      <c r="P5932" s="9"/>
      <c r="Q5932" s="9"/>
      <c r="R5932" s="9"/>
      <c r="S5932" s="9"/>
    </row>
    <row r="5933" spans="3:20" x14ac:dyDescent="0.35">
      <c r="C5933" s="15" t="s">
        <v>8</v>
      </c>
      <c r="E5933" s="15" t="s">
        <v>8</v>
      </c>
      <c r="F5933" s="15" t="s">
        <v>8</v>
      </c>
      <c r="G5933" s="15" t="s">
        <v>8</v>
      </c>
      <c r="J5933" s="15" t="s">
        <v>8</v>
      </c>
      <c r="N5933" s="15" t="s">
        <v>8</v>
      </c>
      <c r="O5933" s="8" t="s">
        <v>3</v>
      </c>
      <c r="P5933" s="8" t="s">
        <v>6</v>
      </c>
    </row>
    <row r="5934" spans="3:20" x14ac:dyDescent="0.35">
      <c r="C5934" s="15" t="s">
        <v>8</v>
      </c>
      <c r="E5934" s="15" t="s">
        <v>8</v>
      </c>
      <c r="F5934" s="15" t="s">
        <v>8</v>
      </c>
      <c r="G5934" s="15" t="s">
        <v>8</v>
      </c>
      <c r="J5934" s="15" t="s">
        <v>8</v>
      </c>
      <c r="N5934" s="15" t="s">
        <v>8</v>
      </c>
      <c r="O5934" s="15" t="s">
        <v>8</v>
      </c>
      <c r="P5934" s="20" t="str">
        <f>HYPERLINK("http://yeinfo.com/family/I09043373.html", "Mrs. JOANE FYNCH &lt;4&gt; 1525 EN-1560 EN ID:09043373")</f>
        <v>Mrs. JOANE FYNCH &lt;4&gt; 1525 EN-1560 EN ID:09043373</v>
      </c>
      <c r="Q5934" s="17"/>
      <c r="R5934" s="17"/>
      <c r="S5934" s="17"/>
      <c r="T5934" s="17"/>
    </row>
    <row r="5935" spans="3:20" x14ac:dyDescent="0.35">
      <c r="C5935" s="15" t="s">
        <v>8</v>
      </c>
      <c r="E5935" s="15" t="s">
        <v>8</v>
      </c>
      <c r="F5935" s="15" t="s">
        <v>8</v>
      </c>
      <c r="G5935" s="15" t="s">
        <v>8</v>
      </c>
      <c r="J5935" s="15" t="s">
        <v>8</v>
      </c>
      <c r="N5935" s="8" t="s">
        <v>6</v>
      </c>
      <c r="O5935" s="15" t="s">
        <v>8</v>
      </c>
    </row>
    <row r="5936" spans="3:20" x14ac:dyDescent="0.35">
      <c r="C5936" s="15" t="s">
        <v>8</v>
      </c>
      <c r="E5936" s="15" t="s">
        <v>8</v>
      </c>
      <c r="F5936" s="15" t="s">
        <v>8</v>
      </c>
      <c r="G5936" s="15" t="s">
        <v>8</v>
      </c>
      <c r="J5936" s="15" t="s">
        <v>8</v>
      </c>
      <c r="N5936" s="20" t="str">
        <f>HYPERLINK("http://yeinfo.com/family/I09010843.html", "LETTEYE\LETTICE AGGAR &lt;4&gt; 1577 EN-1621 EN ID:09010843")</f>
        <v>LETTEYE\LETTICE AGGAR &lt;4&gt; 1577 EN-1621 EN ID:09010843</v>
      </c>
      <c r="O5936" s="17"/>
      <c r="P5936" s="17"/>
      <c r="Q5936" s="17"/>
      <c r="R5936" s="17"/>
      <c r="S5936" s="17"/>
    </row>
    <row r="5937" spans="3:20" x14ac:dyDescent="0.35">
      <c r="C5937" s="15" t="s">
        <v>8</v>
      </c>
      <c r="E5937" s="15" t="s">
        <v>8</v>
      </c>
      <c r="F5937" s="15" t="s">
        <v>8</v>
      </c>
      <c r="G5937" s="15" t="s">
        <v>8</v>
      </c>
      <c r="J5937" s="15" t="s">
        <v>8</v>
      </c>
      <c r="O5937" s="15" t="s">
        <v>8</v>
      </c>
    </row>
    <row r="5938" spans="3:20" x14ac:dyDescent="0.35">
      <c r="C5938" s="15" t="s">
        <v>8</v>
      </c>
      <c r="E5938" s="15" t="s">
        <v>8</v>
      </c>
      <c r="F5938" s="15" t="s">
        <v>8</v>
      </c>
      <c r="G5938" s="15" t="s">
        <v>8</v>
      </c>
      <c r="J5938" s="15" t="s">
        <v>8</v>
      </c>
      <c r="O5938" s="15" t="s">
        <v>8</v>
      </c>
      <c r="P5938" s="19" t="str">
        <f>HYPERLINK("http://yeinfo.com/family/I09043374.html", "THOMAS HENRY PEACOCK &lt;4&gt; 1500 EN-1583 EN ID:09043374")</f>
        <v>THOMAS HENRY PEACOCK &lt;4&gt; 1500 EN-1583 EN ID:09043374</v>
      </c>
      <c r="Q5938" s="9"/>
      <c r="R5938" s="9"/>
      <c r="S5938" s="9"/>
      <c r="T5938" s="9"/>
    </row>
    <row r="5939" spans="3:20" x14ac:dyDescent="0.35">
      <c r="C5939" s="15" t="s">
        <v>8</v>
      </c>
      <c r="E5939" s="15" t="s">
        <v>8</v>
      </c>
      <c r="F5939" s="15" t="s">
        <v>8</v>
      </c>
      <c r="G5939" s="15" t="s">
        <v>8</v>
      </c>
      <c r="J5939" s="15" t="s">
        <v>8</v>
      </c>
      <c r="O5939" s="8" t="s">
        <v>6</v>
      </c>
      <c r="P5939" s="8" t="s">
        <v>3</v>
      </c>
    </row>
    <row r="5940" spans="3:20" x14ac:dyDescent="0.35">
      <c r="C5940" s="15" t="s">
        <v>8</v>
      </c>
      <c r="E5940" s="15" t="s">
        <v>8</v>
      </c>
      <c r="F5940" s="15" t="s">
        <v>8</v>
      </c>
      <c r="G5940" s="15" t="s">
        <v>8</v>
      </c>
      <c r="J5940" s="15" t="s">
        <v>8</v>
      </c>
      <c r="O5940" s="20" t="str">
        <f>HYPERLINK("http://yeinfo.com/family/I09021687.html", "LETTICE\ELNOR LETTICE PEACOCK &lt;4&gt; 1551 EN-1621 EN ID:09021687")</f>
        <v>LETTICE\ELNOR LETTICE PEACOCK &lt;4&gt; 1551 EN-1621 EN ID:09021687</v>
      </c>
      <c r="P5940" s="17"/>
      <c r="Q5940" s="17"/>
      <c r="R5940" s="17"/>
      <c r="S5940" s="17"/>
      <c r="T5940" s="17"/>
    </row>
    <row r="5941" spans="3:20" x14ac:dyDescent="0.35">
      <c r="C5941" s="15" t="s">
        <v>8</v>
      </c>
      <c r="E5941" s="15" t="s">
        <v>8</v>
      </c>
      <c r="F5941" s="15" t="s">
        <v>8</v>
      </c>
      <c r="G5941" s="15" t="s">
        <v>8</v>
      </c>
      <c r="J5941" s="15" t="s">
        <v>8</v>
      </c>
      <c r="P5941" s="8" t="s">
        <v>6</v>
      </c>
    </row>
    <row r="5942" spans="3:20" x14ac:dyDescent="0.35">
      <c r="C5942" s="15" t="s">
        <v>8</v>
      </c>
      <c r="E5942" s="15" t="s">
        <v>8</v>
      </c>
      <c r="F5942" s="15" t="s">
        <v>8</v>
      </c>
      <c r="G5942" s="15" t="s">
        <v>8</v>
      </c>
      <c r="J5942" s="15" t="s">
        <v>8</v>
      </c>
      <c r="P5942" s="20" t="str">
        <f>HYPERLINK("http://yeinfo.com/family/I09043375.html", "ELEANOR WRIGHT &lt;4&gt; 1530 EN-1551 EN ID:09043375")</f>
        <v>ELEANOR WRIGHT &lt;4&gt; 1530 EN-1551 EN ID:09043375</v>
      </c>
      <c r="Q5942" s="17"/>
      <c r="R5942" s="17"/>
      <c r="S5942" s="17"/>
      <c r="T5942" s="17"/>
    </row>
    <row r="5943" spans="3:20" x14ac:dyDescent="0.35">
      <c r="C5943" s="15" t="s">
        <v>8</v>
      </c>
      <c r="E5943" s="15" t="s">
        <v>8</v>
      </c>
      <c r="F5943" s="15" t="s">
        <v>8</v>
      </c>
      <c r="G5943" s="15" t="s">
        <v>8</v>
      </c>
      <c r="J5943" s="15" t="s">
        <v>8</v>
      </c>
    </row>
    <row r="5944" spans="3:20" x14ac:dyDescent="0.35">
      <c r="C5944" s="15" t="s">
        <v>8</v>
      </c>
      <c r="E5944" s="15" t="s">
        <v>8</v>
      </c>
      <c r="F5944" s="15" t="s">
        <v>8</v>
      </c>
      <c r="G5944" s="15" t="s">
        <v>8</v>
      </c>
      <c r="I5944" s="5" t="str">
        <f>HYPERLINK("http://yeinfo.com/family/I09000090.html", "JOSIAH DEAN 1736 MA-1801 MA ID:09000180")</f>
        <v>JOSIAH DEAN 1736 MA-1801 MA ID:09000180</v>
      </c>
      <c r="J5944" s="3"/>
      <c r="K5944" s="3"/>
      <c r="L5944" s="3"/>
      <c r="M5944" s="3"/>
    </row>
    <row r="5945" spans="3:20" x14ac:dyDescent="0.35">
      <c r="C5945" s="15" t="s">
        <v>8</v>
      </c>
      <c r="E5945" s="15" t="s">
        <v>8</v>
      </c>
      <c r="F5945" s="15" t="s">
        <v>8</v>
      </c>
      <c r="G5945" s="15" t="s">
        <v>8</v>
      </c>
      <c r="I5945" s="8" t="s">
        <v>3</v>
      </c>
      <c r="J5945" s="15" t="s">
        <v>8</v>
      </c>
    </row>
    <row r="5946" spans="3:20" x14ac:dyDescent="0.35">
      <c r="C5946" s="15" t="s">
        <v>8</v>
      </c>
      <c r="E5946" s="15" t="s">
        <v>8</v>
      </c>
      <c r="F5946" s="15" t="s">
        <v>8</v>
      </c>
      <c r="G5946" s="15" t="s">
        <v>8</v>
      </c>
      <c r="I5946" s="15" t="s">
        <v>8</v>
      </c>
      <c r="J5946" s="15" t="s">
        <v>8</v>
      </c>
      <c r="M5946" s="21" t="str">
        <f>HYPERLINK("http://yeinfo.com/family/I09001444.html", "JOHN DWIGHT 1603 EN-1660 MA ID:09002888")</f>
        <v>JOHN DWIGHT 1603 EN-1660 MA ID:09002888</v>
      </c>
      <c r="N5946" s="6"/>
      <c r="O5946" s="6"/>
      <c r="P5946" s="6"/>
      <c r="Q5946" s="6"/>
    </row>
    <row r="5947" spans="3:20" x14ac:dyDescent="0.35">
      <c r="C5947" s="15" t="s">
        <v>8</v>
      </c>
      <c r="E5947" s="15" t="s">
        <v>8</v>
      </c>
      <c r="F5947" s="15" t="s">
        <v>8</v>
      </c>
      <c r="G5947" s="15" t="s">
        <v>8</v>
      </c>
      <c r="I5947" s="15" t="s">
        <v>8</v>
      </c>
      <c r="J5947" s="15" t="s">
        <v>8</v>
      </c>
      <c r="M5947" s="8" t="s">
        <v>3</v>
      </c>
    </row>
    <row r="5948" spans="3:20" x14ac:dyDescent="0.35">
      <c r="C5948" s="15" t="s">
        <v>8</v>
      </c>
      <c r="E5948" s="15" t="s">
        <v>8</v>
      </c>
      <c r="F5948" s="15" t="s">
        <v>8</v>
      </c>
      <c r="G5948" s="15" t="s">
        <v>8</v>
      </c>
      <c r="I5948" s="15" t="s">
        <v>8</v>
      </c>
      <c r="J5948" s="15" t="s">
        <v>8</v>
      </c>
      <c r="L5948" s="21" t="str">
        <f>HYPERLINK("http://yeinfo.com/family/I09000722.html", "TIMOTHY DWIGHT 1631 EN-1717 MA ID:09001444")</f>
        <v>TIMOTHY DWIGHT 1631 EN-1717 MA ID:09001444</v>
      </c>
      <c r="M5948" s="6"/>
      <c r="N5948" s="6"/>
      <c r="O5948" s="6"/>
      <c r="P5948" s="6"/>
    </row>
    <row r="5949" spans="3:20" x14ac:dyDescent="0.35">
      <c r="C5949" s="15" t="s">
        <v>8</v>
      </c>
      <c r="E5949" s="15" t="s">
        <v>8</v>
      </c>
      <c r="F5949" s="15" t="s">
        <v>8</v>
      </c>
      <c r="G5949" s="15" t="s">
        <v>8</v>
      </c>
      <c r="I5949" s="15" t="s">
        <v>8</v>
      </c>
      <c r="J5949" s="15" t="s">
        <v>8</v>
      </c>
      <c r="L5949" s="8" t="s">
        <v>3</v>
      </c>
      <c r="M5949" s="8" t="s">
        <v>6</v>
      </c>
    </row>
    <row r="5950" spans="3:20" x14ac:dyDescent="0.35">
      <c r="C5950" s="15" t="s">
        <v>8</v>
      </c>
      <c r="E5950" s="15" t="s">
        <v>8</v>
      </c>
      <c r="F5950" s="15" t="s">
        <v>8</v>
      </c>
      <c r="G5950" s="15" t="s">
        <v>8</v>
      </c>
      <c r="I5950" s="15" t="s">
        <v>8</v>
      </c>
      <c r="J5950" s="15" t="s">
        <v>8</v>
      </c>
      <c r="L5950" s="15" t="s">
        <v>8</v>
      </c>
      <c r="M5950" s="22" t="str">
        <f>HYPERLINK("http://yeinfo.com/family/I09002888.html", "HANNAH CLOVES 1604 EN-1656 MA ID:09002889")</f>
        <v>HANNAH CLOVES 1604 EN-1656 MA ID:09002889</v>
      </c>
      <c r="N5950" s="13"/>
      <c r="O5950" s="13"/>
      <c r="P5950" s="13"/>
      <c r="Q5950" s="13"/>
    </row>
    <row r="5951" spans="3:20" x14ac:dyDescent="0.35">
      <c r="C5951" s="15" t="s">
        <v>8</v>
      </c>
      <c r="E5951" s="15" t="s">
        <v>8</v>
      </c>
      <c r="F5951" s="15" t="s">
        <v>8</v>
      </c>
      <c r="G5951" s="15" t="s">
        <v>8</v>
      </c>
      <c r="I5951" s="15" t="s">
        <v>8</v>
      </c>
      <c r="J5951" s="15" t="s">
        <v>8</v>
      </c>
      <c r="L5951" s="15" t="s">
        <v>8</v>
      </c>
    </row>
    <row r="5952" spans="3:20" x14ac:dyDescent="0.35">
      <c r="C5952" s="15" t="s">
        <v>8</v>
      </c>
      <c r="E5952" s="15" t="s">
        <v>8</v>
      </c>
      <c r="F5952" s="15" t="s">
        <v>8</v>
      </c>
      <c r="G5952" s="15" t="s">
        <v>8</v>
      </c>
      <c r="I5952" s="15" t="s">
        <v>8</v>
      </c>
      <c r="J5952" s="15" t="s">
        <v>8</v>
      </c>
      <c r="K5952" s="5" t="str">
        <f>HYPERLINK("http://yeinfo.com/family/I09000361.html", "MICHAEL DWIGHT 1679 MA-1760 MA ID:09000722")</f>
        <v>MICHAEL DWIGHT 1679 MA-1760 MA ID:09000722</v>
      </c>
      <c r="L5952" s="3"/>
      <c r="M5952" s="3"/>
      <c r="N5952" s="3"/>
      <c r="O5952" s="3"/>
    </row>
    <row r="5953" spans="3:19" x14ac:dyDescent="0.35">
      <c r="C5953" s="15" t="s">
        <v>8</v>
      </c>
      <c r="E5953" s="15" t="s">
        <v>8</v>
      </c>
      <c r="F5953" s="15" t="s">
        <v>8</v>
      </c>
      <c r="G5953" s="15" t="s">
        <v>8</v>
      </c>
      <c r="I5953" s="15" t="s">
        <v>8</v>
      </c>
      <c r="J5953" s="15" t="s">
        <v>8</v>
      </c>
      <c r="K5953" s="8" t="s">
        <v>3</v>
      </c>
      <c r="L5953" s="15" t="s">
        <v>8</v>
      </c>
    </row>
    <row r="5954" spans="3:19" x14ac:dyDescent="0.35">
      <c r="C5954" s="15" t="s">
        <v>8</v>
      </c>
      <c r="E5954" s="15" t="s">
        <v>8</v>
      </c>
      <c r="F5954" s="15" t="s">
        <v>8</v>
      </c>
      <c r="G5954" s="15" t="s">
        <v>8</v>
      </c>
      <c r="I5954" s="15" t="s">
        <v>8</v>
      </c>
      <c r="J5954" s="15" t="s">
        <v>8</v>
      </c>
      <c r="K5954" s="15" t="s">
        <v>8</v>
      </c>
      <c r="L5954" s="15" t="s">
        <v>8</v>
      </c>
      <c r="M5954" s="21" t="str">
        <f>HYPERLINK("http://yeinfo.com/family/I09001445.html", "HENRY FLINT 1606 EN-1668 MA ID:09002890")</f>
        <v>HENRY FLINT 1606 EN-1668 MA ID:09002890</v>
      </c>
      <c r="N5954" s="6"/>
      <c r="O5954" s="6"/>
      <c r="P5954" s="6"/>
      <c r="Q5954" s="6"/>
    </row>
    <row r="5955" spans="3:19" x14ac:dyDescent="0.35">
      <c r="C5955" s="15" t="s">
        <v>8</v>
      </c>
      <c r="E5955" s="15" t="s">
        <v>8</v>
      </c>
      <c r="F5955" s="15" t="s">
        <v>8</v>
      </c>
      <c r="G5955" s="15" t="s">
        <v>8</v>
      </c>
      <c r="I5955" s="15" t="s">
        <v>8</v>
      </c>
      <c r="J5955" s="15" t="s">
        <v>8</v>
      </c>
      <c r="K5955" s="15" t="s">
        <v>8</v>
      </c>
      <c r="L5955" s="8" t="s">
        <v>6</v>
      </c>
      <c r="M5955" s="8" t="s">
        <v>3</v>
      </c>
    </row>
    <row r="5956" spans="3:19" x14ac:dyDescent="0.35">
      <c r="C5956" s="15" t="s">
        <v>8</v>
      </c>
      <c r="E5956" s="15" t="s">
        <v>8</v>
      </c>
      <c r="F5956" s="15" t="s">
        <v>8</v>
      </c>
      <c r="G5956" s="15" t="s">
        <v>8</v>
      </c>
      <c r="I5956" s="15" t="s">
        <v>8</v>
      </c>
      <c r="J5956" s="15" t="s">
        <v>8</v>
      </c>
      <c r="K5956" s="15" t="s">
        <v>8</v>
      </c>
      <c r="L5956" s="16" t="str">
        <f>HYPERLINK("http://yeinfo.com/family/I09002889.html", "ANNA FLINT 1643 MA-1686 MA ID:09001445")</f>
        <v>ANNA FLINT 1643 MA-1686 MA ID:09001445</v>
      </c>
      <c r="M5956" s="11"/>
      <c r="N5956" s="11"/>
      <c r="O5956" s="11"/>
      <c r="P5956" s="11"/>
    </row>
    <row r="5957" spans="3:19" x14ac:dyDescent="0.35">
      <c r="C5957" s="15" t="s">
        <v>8</v>
      </c>
      <c r="E5957" s="15" t="s">
        <v>8</v>
      </c>
      <c r="F5957" s="15" t="s">
        <v>8</v>
      </c>
      <c r="G5957" s="15" t="s">
        <v>8</v>
      </c>
      <c r="I5957" s="15" t="s">
        <v>8</v>
      </c>
      <c r="J5957" s="15" t="s">
        <v>8</v>
      </c>
      <c r="K5957" s="15" t="s">
        <v>8</v>
      </c>
      <c r="M5957" s="15" t="s">
        <v>8</v>
      </c>
    </row>
    <row r="5958" spans="3:19" x14ac:dyDescent="0.35">
      <c r="C5958" s="15" t="s">
        <v>8</v>
      </c>
      <c r="E5958" s="15" t="s">
        <v>8</v>
      </c>
      <c r="F5958" s="15" t="s">
        <v>8</v>
      </c>
      <c r="G5958" s="15" t="s">
        <v>8</v>
      </c>
      <c r="I5958" s="15" t="s">
        <v>8</v>
      </c>
      <c r="J5958" s="15" t="s">
        <v>8</v>
      </c>
      <c r="K5958" s="15" t="s">
        <v>8</v>
      </c>
      <c r="M5958" s="15" t="s">
        <v>8</v>
      </c>
      <c r="O5958" s="19" t="str">
        <f>HYPERLINK("http://yeinfo.com/family/I09011452.html", "CHARLES HOAR &lt;2&gt; 1568 EN-1632 EN ID:09011452")</f>
        <v>CHARLES HOAR &lt;2&gt; 1568 EN-1632 EN ID:09011452</v>
      </c>
      <c r="P5958" s="9"/>
      <c r="Q5958" s="9"/>
      <c r="R5958" s="9"/>
      <c r="S5958" s="9"/>
    </row>
    <row r="5959" spans="3:19" x14ac:dyDescent="0.35">
      <c r="C5959" s="15" t="s">
        <v>8</v>
      </c>
      <c r="E5959" s="15" t="s">
        <v>8</v>
      </c>
      <c r="F5959" s="15" t="s">
        <v>8</v>
      </c>
      <c r="G5959" s="15" t="s">
        <v>8</v>
      </c>
      <c r="I5959" s="15" t="s">
        <v>8</v>
      </c>
      <c r="J5959" s="15" t="s">
        <v>8</v>
      </c>
      <c r="K5959" s="15" t="s">
        <v>8</v>
      </c>
      <c r="M5959" s="15" t="s">
        <v>8</v>
      </c>
      <c r="O5959" s="8" t="s">
        <v>3</v>
      </c>
    </row>
    <row r="5960" spans="3:19" x14ac:dyDescent="0.35">
      <c r="C5960" s="15" t="s">
        <v>8</v>
      </c>
      <c r="E5960" s="15" t="s">
        <v>8</v>
      </c>
      <c r="F5960" s="15" t="s">
        <v>8</v>
      </c>
      <c r="G5960" s="15" t="s">
        <v>8</v>
      </c>
      <c r="I5960" s="15" t="s">
        <v>8</v>
      </c>
      <c r="J5960" s="15" t="s">
        <v>8</v>
      </c>
      <c r="K5960" s="15" t="s">
        <v>8</v>
      </c>
      <c r="M5960" s="15" t="s">
        <v>8</v>
      </c>
      <c r="N5960" s="19" t="str">
        <f>HYPERLINK("http://yeinfo.com/family/I09005726.html", "CHARLES HOAR &lt;2&gt; 1592 EN-1638 EN ID:09005726")</f>
        <v>CHARLES HOAR &lt;2&gt; 1592 EN-1638 EN ID:09005726</v>
      </c>
      <c r="O5960" s="9"/>
      <c r="P5960" s="9"/>
      <c r="Q5960" s="9"/>
      <c r="R5960" s="9"/>
    </row>
    <row r="5961" spans="3:19" x14ac:dyDescent="0.35">
      <c r="C5961" s="15" t="s">
        <v>8</v>
      </c>
      <c r="E5961" s="15" t="s">
        <v>8</v>
      </c>
      <c r="F5961" s="15" t="s">
        <v>8</v>
      </c>
      <c r="G5961" s="15" t="s">
        <v>8</v>
      </c>
      <c r="I5961" s="15" t="s">
        <v>8</v>
      </c>
      <c r="J5961" s="15" t="s">
        <v>8</v>
      </c>
      <c r="K5961" s="15" t="s">
        <v>8</v>
      </c>
      <c r="M5961" s="15" t="s">
        <v>8</v>
      </c>
      <c r="N5961" s="8" t="s">
        <v>3</v>
      </c>
      <c r="O5961" s="8" t="s">
        <v>6</v>
      </c>
    </row>
    <row r="5962" spans="3:19" x14ac:dyDescent="0.35">
      <c r="C5962" s="15" t="s">
        <v>8</v>
      </c>
      <c r="E5962" s="15" t="s">
        <v>8</v>
      </c>
      <c r="F5962" s="15" t="s">
        <v>8</v>
      </c>
      <c r="G5962" s="15" t="s">
        <v>8</v>
      </c>
      <c r="I5962" s="15" t="s">
        <v>8</v>
      </c>
      <c r="J5962" s="15" t="s">
        <v>8</v>
      </c>
      <c r="K5962" s="15" t="s">
        <v>8</v>
      </c>
      <c r="M5962" s="15" t="s">
        <v>8</v>
      </c>
      <c r="N5962" s="15" t="s">
        <v>8</v>
      </c>
      <c r="O5962" s="20" t="str">
        <f>HYPERLINK("http://yeinfo.com/family/I09011453.html", "Mrs. MARGERY HOAR &lt;2&gt; 1570 EN-1594 EN ID:09011453")</f>
        <v>Mrs. MARGERY HOAR &lt;2&gt; 1570 EN-1594 EN ID:09011453</v>
      </c>
      <c r="P5962" s="17"/>
      <c r="Q5962" s="17"/>
      <c r="R5962" s="17"/>
      <c r="S5962" s="17"/>
    </row>
    <row r="5963" spans="3:19" x14ac:dyDescent="0.35">
      <c r="C5963" s="15" t="s">
        <v>8</v>
      </c>
      <c r="E5963" s="15" t="s">
        <v>8</v>
      </c>
      <c r="F5963" s="15" t="s">
        <v>8</v>
      </c>
      <c r="G5963" s="15" t="s">
        <v>8</v>
      </c>
      <c r="I5963" s="15" t="s">
        <v>8</v>
      </c>
      <c r="J5963" s="15" t="s">
        <v>8</v>
      </c>
      <c r="K5963" s="15" t="s">
        <v>8</v>
      </c>
      <c r="M5963" s="8" t="s">
        <v>6</v>
      </c>
      <c r="N5963" s="15" t="s">
        <v>8</v>
      </c>
    </row>
    <row r="5964" spans="3:19" x14ac:dyDescent="0.35">
      <c r="C5964" s="15" t="s">
        <v>8</v>
      </c>
      <c r="E5964" s="15" t="s">
        <v>8</v>
      </c>
      <c r="F5964" s="15" t="s">
        <v>8</v>
      </c>
      <c r="G5964" s="15" t="s">
        <v>8</v>
      </c>
      <c r="I5964" s="15" t="s">
        <v>8</v>
      </c>
      <c r="J5964" s="15" t="s">
        <v>8</v>
      </c>
      <c r="K5964" s="15" t="s">
        <v>8</v>
      </c>
      <c r="M5964" s="22" t="str">
        <f>HYPERLINK("http://yeinfo.com/family/I09002890.html", "MARGARY HOAR 1614 EN-1686 MA ID:09002891")</f>
        <v>MARGARY HOAR 1614 EN-1686 MA ID:09002891</v>
      </c>
      <c r="N5964" s="13"/>
      <c r="O5964" s="13"/>
      <c r="P5964" s="13"/>
      <c r="Q5964" s="13"/>
    </row>
    <row r="5965" spans="3:19" x14ac:dyDescent="0.35">
      <c r="C5965" s="15" t="s">
        <v>8</v>
      </c>
      <c r="E5965" s="15" t="s">
        <v>8</v>
      </c>
      <c r="F5965" s="15" t="s">
        <v>8</v>
      </c>
      <c r="G5965" s="15" t="s">
        <v>8</v>
      </c>
      <c r="I5965" s="15" t="s">
        <v>8</v>
      </c>
      <c r="J5965" s="15" t="s">
        <v>8</v>
      </c>
      <c r="K5965" s="15" t="s">
        <v>8</v>
      </c>
      <c r="N5965" s="8" t="s">
        <v>6</v>
      </c>
    </row>
    <row r="5966" spans="3:19" x14ac:dyDescent="0.35">
      <c r="C5966" s="15" t="s">
        <v>8</v>
      </c>
      <c r="E5966" s="15" t="s">
        <v>8</v>
      </c>
      <c r="F5966" s="15" t="s">
        <v>8</v>
      </c>
      <c r="G5966" s="15" t="s">
        <v>8</v>
      </c>
      <c r="I5966" s="15" t="s">
        <v>8</v>
      </c>
      <c r="J5966" s="15" t="s">
        <v>8</v>
      </c>
      <c r="K5966" s="15" t="s">
        <v>8</v>
      </c>
      <c r="N5966" s="22" t="str">
        <f>HYPERLINK("http://yeinfo.com/family/I09005727.html", "JOANNA HINCKSMAN &lt;2&gt; 1592 EN-1651 MA ID:09005727")</f>
        <v>JOANNA HINCKSMAN &lt;2&gt; 1592 EN-1651 MA ID:09005727</v>
      </c>
      <c r="O5966" s="13"/>
      <c r="P5966" s="13"/>
      <c r="Q5966" s="13"/>
      <c r="R5966" s="13"/>
    </row>
    <row r="5967" spans="3:19" x14ac:dyDescent="0.35">
      <c r="C5967" s="15" t="s">
        <v>8</v>
      </c>
      <c r="E5967" s="15" t="s">
        <v>8</v>
      </c>
      <c r="F5967" s="15" t="s">
        <v>8</v>
      </c>
      <c r="G5967" s="15" t="s">
        <v>8</v>
      </c>
      <c r="I5967" s="15" t="s">
        <v>8</v>
      </c>
      <c r="J5967" s="8" t="s">
        <v>6</v>
      </c>
      <c r="K5967" s="15" t="s">
        <v>8</v>
      </c>
    </row>
    <row r="5968" spans="3:19" x14ac:dyDescent="0.35">
      <c r="C5968" s="15" t="s">
        <v>8</v>
      </c>
      <c r="E5968" s="15" t="s">
        <v>8</v>
      </c>
      <c r="F5968" s="15" t="s">
        <v>8</v>
      </c>
      <c r="G5968" s="15" t="s">
        <v>8</v>
      </c>
      <c r="I5968" s="15" t="s">
        <v>8</v>
      </c>
      <c r="J5968" s="16" t="str">
        <f>HYPERLINK("http://yeinfo.com/family/I09002887.html", "RACHAEL DWIGHT 1705 MA-1760 MA ID:09000361")</f>
        <v>RACHAEL DWIGHT 1705 MA-1760 MA ID:09000361</v>
      </c>
      <c r="K5968" s="11"/>
      <c r="L5968" s="11"/>
      <c r="M5968" s="11"/>
      <c r="N5968" s="11"/>
    </row>
    <row r="5969" spans="3:19" x14ac:dyDescent="0.35">
      <c r="C5969" s="15" t="s">
        <v>8</v>
      </c>
      <c r="E5969" s="15" t="s">
        <v>8</v>
      </c>
      <c r="F5969" s="15" t="s">
        <v>8</v>
      </c>
      <c r="G5969" s="15" t="s">
        <v>8</v>
      </c>
      <c r="I5969" s="15" t="s">
        <v>8</v>
      </c>
      <c r="K5969" s="15" t="s">
        <v>8</v>
      </c>
    </row>
    <row r="5970" spans="3:19" x14ac:dyDescent="0.35">
      <c r="C5970" s="15" t="s">
        <v>8</v>
      </c>
      <c r="E5970" s="15" t="s">
        <v>8</v>
      </c>
      <c r="F5970" s="15" t="s">
        <v>8</v>
      </c>
      <c r="G5970" s="15" t="s">
        <v>8</v>
      </c>
      <c r="I5970" s="15" t="s">
        <v>8</v>
      </c>
      <c r="K5970" s="15" t="s">
        <v>8</v>
      </c>
      <c r="M5970" s="21" t="str">
        <f>HYPERLINK("http://yeinfo.com/family/I09001446.html", "WILLIAM AVERY 1622 EN-1686 MA ID:09002892")</f>
        <v>WILLIAM AVERY 1622 EN-1686 MA ID:09002892</v>
      </c>
      <c r="N5970" s="6"/>
      <c r="O5970" s="6"/>
      <c r="P5970" s="6"/>
      <c r="Q5970" s="6"/>
    </row>
    <row r="5971" spans="3:19" x14ac:dyDescent="0.35">
      <c r="C5971" s="15" t="s">
        <v>8</v>
      </c>
      <c r="E5971" s="15" t="s">
        <v>8</v>
      </c>
      <c r="F5971" s="15" t="s">
        <v>8</v>
      </c>
      <c r="G5971" s="15" t="s">
        <v>8</v>
      </c>
      <c r="I5971" s="15" t="s">
        <v>8</v>
      </c>
      <c r="K5971" s="15" t="s">
        <v>8</v>
      </c>
      <c r="M5971" s="8" t="s">
        <v>3</v>
      </c>
    </row>
    <row r="5972" spans="3:19" x14ac:dyDescent="0.35">
      <c r="C5972" s="15" t="s">
        <v>8</v>
      </c>
      <c r="E5972" s="15" t="s">
        <v>8</v>
      </c>
      <c r="F5972" s="15" t="s">
        <v>8</v>
      </c>
      <c r="G5972" s="15" t="s">
        <v>8</v>
      </c>
      <c r="I5972" s="15" t="s">
        <v>8</v>
      </c>
      <c r="K5972" s="15" t="s">
        <v>8</v>
      </c>
      <c r="L5972" s="21" t="str">
        <f>HYPERLINK("http://yeinfo.com/family/I09000723.html", "ROBERT AVERY 1649 EN-1722 MA ID:09001446")</f>
        <v>ROBERT AVERY 1649 EN-1722 MA ID:09001446</v>
      </c>
      <c r="M5972" s="6"/>
      <c r="N5972" s="6"/>
      <c r="O5972" s="6"/>
      <c r="P5972" s="6"/>
    </row>
    <row r="5973" spans="3:19" x14ac:dyDescent="0.35">
      <c r="C5973" s="15" t="s">
        <v>8</v>
      </c>
      <c r="E5973" s="15" t="s">
        <v>8</v>
      </c>
      <c r="F5973" s="15" t="s">
        <v>8</v>
      </c>
      <c r="G5973" s="15" t="s">
        <v>8</v>
      </c>
      <c r="I5973" s="15" t="s">
        <v>8</v>
      </c>
      <c r="K5973" s="15" t="s">
        <v>8</v>
      </c>
      <c r="L5973" s="8" t="s">
        <v>3</v>
      </c>
      <c r="M5973" s="15" t="s">
        <v>8</v>
      </c>
    </row>
    <row r="5974" spans="3:19" x14ac:dyDescent="0.35">
      <c r="C5974" s="15" t="s">
        <v>8</v>
      </c>
      <c r="E5974" s="15" t="s">
        <v>8</v>
      </c>
      <c r="F5974" s="15" t="s">
        <v>8</v>
      </c>
      <c r="G5974" s="15" t="s">
        <v>8</v>
      </c>
      <c r="I5974" s="15" t="s">
        <v>8</v>
      </c>
      <c r="K5974" s="15" t="s">
        <v>8</v>
      </c>
      <c r="L5974" s="15" t="s">
        <v>8</v>
      </c>
      <c r="M5974" s="15" t="s">
        <v>8</v>
      </c>
      <c r="O5974" s="19" t="str">
        <f>HYPERLINK("http://yeinfo.com/family/I09005786.html", "WILLIAM ALBRIGHT Sr. 1562 EN-1599 EN ID:09011572")</f>
        <v>WILLIAM ALBRIGHT Sr. 1562 EN-1599 EN ID:09011572</v>
      </c>
      <c r="P5974" s="9"/>
      <c r="Q5974" s="9"/>
      <c r="R5974" s="9"/>
      <c r="S5974" s="9"/>
    </row>
    <row r="5975" spans="3:19" x14ac:dyDescent="0.35">
      <c r="C5975" s="15" t="s">
        <v>8</v>
      </c>
      <c r="E5975" s="15" t="s">
        <v>8</v>
      </c>
      <c r="F5975" s="15" t="s">
        <v>8</v>
      </c>
      <c r="G5975" s="15" t="s">
        <v>8</v>
      </c>
      <c r="I5975" s="15" t="s">
        <v>8</v>
      </c>
      <c r="K5975" s="15" t="s">
        <v>8</v>
      </c>
      <c r="L5975" s="15" t="s">
        <v>8</v>
      </c>
      <c r="M5975" s="15" t="s">
        <v>8</v>
      </c>
      <c r="O5975" s="8" t="s">
        <v>3</v>
      </c>
    </row>
    <row r="5976" spans="3:19" x14ac:dyDescent="0.35">
      <c r="C5976" s="15" t="s">
        <v>8</v>
      </c>
      <c r="E5976" s="15" t="s">
        <v>8</v>
      </c>
      <c r="F5976" s="15" t="s">
        <v>8</v>
      </c>
      <c r="G5976" s="15" t="s">
        <v>8</v>
      </c>
      <c r="I5976" s="15" t="s">
        <v>8</v>
      </c>
      <c r="K5976" s="15" t="s">
        <v>8</v>
      </c>
      <c r="L5976" s="15" t="s">
        <v>8</v>
      </c>
      <c r="M5976" s="15" t="s">
        <v>8</v>
      </c>
      <c r="N5976" s="19" t="str">
        <f>HYPERLINK("http://yeinfo.com/family/I09002893.html", "WILLIAM ALBRIGHT Jr. 1598 EN-1665 EN ID:09005786")</f>
        <v>WILLIAM ALBRIGHT Jr. 1598 EN-1665 EN ID:09005786</v>
      </c>
      <c r="O5976" s="9"/>
      <c r="P5976" s="9"/>
      <c r="Q5976" s="9"/>
      <c r="R5976" s="9"/>
    </row>
    <row r="5977" spans="3:19" x14ac:dyDescent="0.35">
      <c r="C5977" s="15" t="s">
        <v>8</v>
      </c>
      <c r="E5977" s="15" t="s">
        <v>8</v>
      </c>
      <c r="F5977" s="15" t="s">
        <v>8</v>
      </c>
      <c r="G5977" s="15" t="s">
        <v>8</v>
      </c>
      <c r="I5977" s="15" t="s">
        <v>8</v>
      </c>
      <c r="K5977" s="15" t="s">
        <v>8</v>
      </c>
      <c r="L5977" s="15" t="s">
        <v>8</v>
      </c>
      <c r="M5977" s="15" t="s">
        <v>8</v>
      </c>
      <c r="N5977" s="8" t="s">
        <v>3</v>
      </c>
      <c r="O5977" s="8" t="s">
        <v>6</v>
      </c>
    </row>
    <row r="5978" spans="3:19" x14ac:dyDescent="0.35">
      <c r="C5978" s="15" t="s">
        <v>8</v>
      </c>
      <c r="E5978" s="15" t="s">
        <v>8</v>
      </c>
      <c r="F5978" s="15" t="s">
        <v>8</v>
      </c>
      <c r="G5978" s="15" t="s">
        <v>8</v>
      </c>
      <c r="I5978" s="15" t="s">
        <v>8</v>
      </c>
      <c r="K5978" s="15" t="s">
        <v>8</v>
      </c>
      <c r="L5978" s="15" t="s">
        <v>8</v>
      </c>
      <c r="M5978" s="15" t="s">
        <v>8</v>
      </c>
      <c r="N5978" s="15" t="s">
        <v>8</v>
      </c>
      <c r="O5978" s="20" t="str">
        <f>HYPERLINK("http://yeinfo.com/family/I09011572.html", "MARGERY NETHERCLIFTE 1564 EN-1599 EN ID:09011573")</f>
        <v>MARGERY NETHERCLIFTE 1564 EN-1599 EN ID:09011573</v>
      </c>
      <c r="P5978" s="17"/>
      <c r="Q5978" s="17"/>
      <c r="R5978" s="17"/>
      <c r="S5978" s="17"/>
    </row>
    <row r="5979" spans="3:19" x14ac:dyDescent="0.35">
      <c r="C5979" s="15" t="s">
        <v>8</v>
      </c>
      <c r="E5979" s="15" t="s">
        <v>8</v>
      </c>
      <c r="F5979" s="15" t="s">
        <v>8</v>
      </c>
      <c r="G5979" s="15" t="s">
        <v>8</v>
      </c>
      <c r="I5979" s="15" t="s">
        <v>8</v>
      </c>
      <c r="K5979" s="15" t="s">
        <v>8</v>
      </c>
      <c r="L5979" s="15" t="s">
        <v>8</v>
      </c>
      <c r="M5979" s="8" t="s">
        <v>6</v>
      </c>
      <c r="N5979" s="15" t="s">
        <v>8</v>
      </c>
    </row>
    <row r="5980" spans="3:19" x14ac:dyDescent="0.35">
      <c r="C5980" s="15" t="s">
        <v>8</v>
      </c>
      <c r="E5980" s="15" t="s">
        <v>8</v>
      </c>
      <c r="F5980" s="15" t="s">
        <v>8</v>
      </c>
      <c r="G5980" s="15" t="s">
        <v>8</v>
      </c>
      <c r="I5980" s="15" t="s">
        <v>8</v>
      </c>
      <c r="K5980" s="15" t="s">
        <v>8</v>
      </c>
      <c r="L5980" s="15" t="s">
        <v>8</v>
      </c>
      <c r="M5980" s="22" t="str">
        <f>HYPERLINK("http://yeinfo.com/family/I09002892.html", "MARGARET ALBRIGHT 1624 EN-1678 MA ID:09002893")</f>
        <v>MARGARET ALBRIGHT 1624 EN-1678 MA ID:09002893</v>
      </c>
      <c r="N5980" s="13"/>
      <c r="O5980" s="13"/>
      <c r="P5980" s="13"/>
      <c r="Q5980" s="13"/>
    </row>
    <row r="5981" spans="3:19" x14ac:dyDescent="0.35">
      <c r="C5981" s="15" t="s">
        <v>8</v>
      </c>
      <c r="E5981" s="15" t="s">
        <v>8</v>
      </c>
      <c r="F5981" s="15" t="s">
        <v>8</v>
      </c>
      <c r="G5981" s="15" t="s">
        <v>8</v>
      </c>
      <c r="I5981" s="15" t="s">
        <v>8</v>
      </c>
      <c r="K5981" s="15" t="s">
        <v>8</v>
      </c>
      <c r="L5981" s="15" t="s">
        <v>8</v>
      </c>
      <c r="N5981" s="15" t="s">
        <v>8</v>
      </c>
    </row>
    <row r="5982" spans="3:19" x14ac:dyDescent="0.35">
      <c r="C5982" s="15" t="s">
        <v>8</v>
      </c>
      <c r="E5982" s="15" t="s">
        <v>8</v>
      </c>
      <c r="F5982" s="15" t="s">
        <v>8</v>
      </c>
      <c r="G5982" s="15" t="s">
        <v>8</v>
      </c>
      <c r="I5982" s="15" t="s">
        <v>8</v>
      </c>
      <c r="K5982" s="15" t="s">
        <v>8</v>
      </c>
      <c r="L5982" s="15" t="s">
        <v>8</v>
      </c>
      <c r="N5982" s="15" t="s">
        <v>8</v>
      </c>
      <c r="O5982" s="19" t="str">
        <f>HYPERLINK("http://yeinfo.com/family/I09005787.html", "GEORGE WRIGHT 1586 EN-1606 EN ID:09011574")</f>
        <v>GEORGE WRIGHT 1586 EN-1606 EN ID:09011574</v>
      </c>
      <c r="P5982" s="9"/>
      <c r="Q5982" s="9"/>
      <c r="R5982" s="9"/>
      <c r="S5982" s="9"/>
    </row>
    <row r="5983" spans="3:19" x14ac:dyDescent="0.35">
      <c r="C5983" s="15" t="s">
        <v>8</v>
      </c>
      <c r="E5983" s="15" t="s">
        <v>8</v>
      </c>
      <c r="F5983" s="15" t="s">
        <v>8</v>
      </c>
      <c r="G5983" s="15" t="s">
        <v>8</v>
      </c>
      <c r="I5983" s="15" t="s">
        <v>8</v>
      </c>
      <c r="K5983" s="15" t="s">
        <v>8</v>
      </c>
      <c r="L5983" s="15" t="s">
        <v>8</v>
      </c>
      <c r="N5983" s="8" t="s">
        <v>6</v>
      </c>
      <c r="O5983" s="8" t="s">
        <v>3</v>
      </c>
    </row>
    <row r="5984" spans="3:19" x14ac:dyDescent="0.35">
      <c r="C5984" s="15" t="s">
        <v>8</v>
      </c>
      <c r="E5984" s="15" t="s">
        <v>8</v>
      </c>
      <c r="F5984" s="15" t="s">
        <v>8</v>
      </c>
      <c r="G5984" s="15" t="s">
        <v>8</v>
      </c>
      <c r="I5984" s="15" t="s">
        <v>8</v>
      </c>
      <c r="K5984" s="15" t="s">
        <v>8</v>
      </c>
      <c r="L5984" s="15" t="s">
        <v>8</v>
      </c>
      <c r="N5984" s="20" t="str">
        <f>HYPERLINK("http://yeinfo.com/family/I09011573.html", "JOAN WRIGHT 1606 EN-1672 EN ID:09005787")</f>
        <v>JOAN WRIGHT 1606 EN-1672 EN ID:09005787</v>
      </c>
      <c r="O5984" s="17"/>
      <c r="P5984" s="17"/>
      <c r="Q5984" s="17"/>
      <c r="R5984" s="17"/>
    </row>
    <row r="5985" spans="3:19" x14ac:dyDescent="0.35">
      <c r="C5985" s="15" t="s">
        <v>8</v>
      </c>
      <c r="E5985" s="15" t="s">
        <v>8</v>
      </c>
      <c r="F5985" s="15" t="s">
        <v>8</v>
      </c>
      <c r="G5985" s="15" t="s">
        <v>8</v>
      </c>
      <c r="I5985" s="15" t="s">
        <v>8</v>
      </c>
      <c r="K5985" s="15" t="s">
        <v>8</v>
      </c>
      <c r="L5985" s="15" t="s">
        <v>8</v>
      </c>
      <c r="O5985" s="8" t="s">
        <v>6</v>
      </c>
    </row>
    <row r="5986" spans="3:19" x14ac:dyDescent="0.35">
      <c r="C5986" s="15" t="s">
        <v>8</v>
      </c>
      <c r="E5986" s="15" t="s">
        <v>8</v>
      </c>
      <c r="F5986" s="15" t="s">
        <v>8</v>
      </c>
      <c r="G5986" s="15" t="s">
        <v>8</v>
      </c>
      <c r="I5986" s="15" t="s">
        <v>8</v>
      </c>
      <c r="K5986" s="15" t="s">
        <v>8</v>
      </c>
      <c r="L5986" s="15" t="s">
        <v>8</v>
      </c>
      <c r="O5986" s="20" t="str">
        <f>HYPERLINK("http://yeinfo.com/family/I09011574.html", "FORTUNA GARRAWAY 1586 EN-1606 EN ID:09011575")</f>
        <v>FORTUNA GARRAWAY 1586 EN-1606 EN ID:09011575</v>
      </c>
      <c r="P5986" s="17"/>
      <c r="Q5986" s="17"/>
      <c r="R5986" s="17"/>
      <c r="S5986" s="17"/>
    </row>
    <row r="5987" spans="3:19" x14ac:dyDescent="0.35">
      <c r="C5987" s="15" t="s">
        <v>8</v>
      </c>
      <c r="E5987" s="15" t="s">
        <v>8</v>
      </c>
      <c r="F5987" s="15" t="s">
        <v>8</v>
      </c>
      <c r="G5987" s="15" t="s">
        <v>8</v>
      </c>
      <c r="I5987" s="15" t="s">
        <v>8</v>
      </c>
      <c r="K5987" s="8" t="s">
        <v>6</v>
      </c>
      <c r="L5987" s="15" t="s">
        <v>8</v>
      </c>
    </row>
    <row r="5988" spans="3:19" x14ac:dyDescent="0.35">
      <c r="C5988" s="15" t="s">
        <v>8</v>
      </c>
      <c r="E5988" s="15" t="s">
        <v>8</v>
      </c>
      <c r="F5988" s="15" t="s">
        <v>8</v>
      </c>
      <c r="G5988" s="15" t="s">
        <v>8</v>
      </c>
      <c r="I5988" s="15" t="s">
        <v>8</v>
      </c>
      <c r="K5988" s="16" t="str">
        <f>HYPERLINK("http://yeinfo.com/family/I09002891.html", "RACHEL AVERY 1679 MA-1775 MA ID:09000723")</f>
        <v>RACHEL AVERY 1679 MA-1775 MA ID:09000723</v>
      </c>
      <c r="L5988" s="11"/>
      <c r="M5988" s="11"/>
      <c r="N5988" s="11"/>
      <c r="O5988" s="11"/>
    </row>
    <row r="5989" spans="3:19" x14ac:dyDescent="0.35">
      <c r="C5989" s="15" t="s">
        <v>8</v>
      </c>
      <c r="E5989" s="15" t="s">
        <v>8</v>
      </c>
      <c r="F5989" s="15" t="s">
        <v>8</v>
      </c>
      <c r="G5989" s="15" t="s">
        <v>8</v>
      </c>
      <c r="I5989" s="15" t="s">
        <v>8</v>
      </c>
      <c r="L5989" s="15" t="s">
        <v>8</v>
      </c>
    </row>
    <row r="5990" spans="3:19" x14ac:dyDescent="0.35">
      <c r="C5990" s="15" t="s">
        <v>8</v>
      </c>
      <c r="E5990" s="15" t="s">
        <v>8</v>
      </c>
      <c r="F5990" s="15" t="s">
        <v>8</v>
      </c>
      <c r="G5990" s="15" t="s">
        <v>8</v>
      </c>
      <c r="I5990" s="15" t="s">
        <v>8</v>
      </c>
      <c r="L5990" s="15" t="s">
        <v>8</v>
      </c>
      <c r="M5990" s="21" t="str">
        <f>HYPERLINK("http://yeinfo.com/family/I09001447.html", "JOB LANE 1620 EN-1697 MA ID:09002894")</f>
        <v>JOB LANE 1620 EN-1697 MA ID:09002894</v>
      </c>
      <c r="N5990" s="6"/>
      <c r="O5990" s="6"/>
      <c r="P5990" s="6"/>
      <c r="Q5990" s="6"/>
    </row>
    <row r="5991" spans="3:19" x14ac:dyDescent="0.35">
      <c r="C5991" s="15" t="s">
        <v>8</v>
      </c>
      <c r="E5991" s="15" t="s">
        <v>8</v>
      </c>
      <c r="F5991" s="15" t="s">
        <v>8</v>
      </c>
      <c r="G5991" s="15" t="s">
        <v>8</v>
      </c>
      <c r="I5991" s="15" t="s">
        <v>8</v>
      </c>
      <c r="L5991" s="8" t="s">
        <v>6</v>
      </c>
      <c r="M5991" s="8" t="s">
        <v>3</v>
      </c>
    </row>
    <row r="5992" spans="3:19" x14ac:dyDescent="0.35">
      <c r="C5992" s="15" t="s">
        <v>8</v>
      </c>
      <c r="E5992" s="15" t="s">
        <v>8</v>
      </c>
      <c r="F5992" s="15" t="s">
        <v>8</v>
      </c>
      <c r="G5992" s="15" t="s">
        <v>8</v>
      </c>
      <c r="I5992" s="15" t="s">
        <v>8</v>
      </c>
      <c r="L5992" s="22" t="str">
        <f>HYPERLINK("http://yeinfo.com/family/I09011575.html", "ELIZABETH LANE 1655 EN-1746 MA ID:09001447")</f>
        <v>ELIZABETH LANE 1655 EN-1746 MA ID:09001447</v>
      </c>
      <c r="M5992" s="13"/>
      <c r="N5992" s="13"/>
      <c r="O5992" s="13"/>
      <c r="P5992" s="13"/>
    </row>
    <row r="5993" spans="3:19" x14ac:dyDescent="0.35">
      <c r="C5993" s="15" t="s">
        <v>8</v>
      </c>
      <c r="E5993" s="15" t="s">
        <v>8</v>
      </c>
      <c r="F5993" s="15" t="s">
        <v>8</v>
      </c>
      <c r="G5993" s="15" t="s">
        <v>8</v>
      </c>
      <c r="I5993" s="15" t="s">
        <v>8</v>
      </c>
      <c r="M5993" s="8" t="s">
        <v>6</v>
      </c>
    </row>
    <row r="5994" spans="3:19" x14ac:dyDescent="0.35">
      <c r="C5994" s="15" t="s">
        <v>8</v>
      </c>
      <c r="E5994" s="15" t="s">
        <v>8</v>
      </c>
      <c r="F5994" s="15" t="s">
        <v>8</v>
      </c>
      <c r="G5994" s="15" t="s">
        <v>8</v>
      </c>
      <c r="I5994" s="15" t="s">
        <v>8</v>
      </c>
      <c r="M5994" s="22" t="str">
        <f>HYPERLINK("http://yeinfo.com/family/I09002894.html", "SARAH BOYCE 1628 EN-1659 MA ID:09002895")</f>
        <v>SARAH BOYCE 1628 EN-1659 MA ID:09002895</v>
      </c>
      <c r="N5994" s="13"/>
      <c r="O5994" s="13"/>
      <c r="P5994" s="13"/>
      <c r="Q5994" s="13"/>
    </row>
    <row r="5995" spans="3:19" x14ac:dyDescent="0.35">
      <c r="C5995" s="15" t="s">
        <v>8</v>
      </c>
      <c r="E5995" s="15" t="s">
        <v>8</v>
      </c>
      <c r="F5995" s="15" t="s">
        <v>8</v>
      </c>
      <c r="G5995" s="15" t="s">
        <v>8</v>
      </c>
      <c r="I5995" s="15" t="s">
        <v>8</v>
      </c>
    </row>
    <row r="5996" spans="3:19" x14ac:dyDescent="0.35">
      <c r="C5996" s="15" t="s">
        <v>8</v>
      </c>
      <c r="E5996" s="15" t="s">
        <v>8</v>
      </c>
      <c r="F5996" s="15" t="s">
        <v>8</v>
      </c>
      <c r="G5996" s="15" t="s">
        <v>8</v>
      </c>
      <c r="H5996" s="5" t="str">
        <f>HYPERLINK("http://yeinfo.com/family/I09000045.html", "RICHARD DEAN 1772 MA-1847 VT ID:09000090")</f>
        <v>RICHARD DEAN 1772 MA-1847 VT ID:09000090</v>
      </c>
      <c r="I5996" s="3"/>
      <c r="J5996" s="3"/>
      <c r="K5996" s="3"/>
      <c r="L5996" s="3"/>
    </row>
    <row r="5997" spans="3:19" x14ac:dyDescent="0.35">
      <c r="C5997" s="15" t="s">
        <v>8</v>
      </c>
      <c r="E5997" s="15" t="s">
        <v>8</v>
      </c>
      <c r="F5997" s="15" t="s">
        <v>8</v>
      </c>
      <c r="G5997" s="15" t="s">
        <v>8</v>
      </c>
      <c r="H5997" s="8" t="s">
        <v>3</v>
      </c>
      <c r="I5997" s="15" t="s">
        <v>8</v>
      </c>
    </row>
    <row r="5998" spans="3:19" x14ac:dyDescent="0.35">
      <c r="C5998" s="15" t="s">
        <v>8</v>
      </c>
      <c r="E5998" s="15" t="s">
        <v>8</v>
      </c>
      <c r="F5998" s="15" t="s">
        <v>8</v>
      </c>
      <c r="G5998" s="15" t="s">
        <v>8</v>
      </c>
      <c r="H5998" s="15" t="s">
        <v>8</v>
      </c>
      <c r="I5998" s="15" t="s">
        <v>8</v>
      </c>
      <c r="M5998" s="21" t="str">
        <f>HYPERLINK("http://yeinfo.com/family/I09001448.html", "EDWARD RICHARDS III 1609 EN-1684 MA ID:09002896")</f>
        <v>EDWARD RICHARDS III 1609 EN-1684 MA ID:09002896</v>
      </c>
      <c r="N5998" s="6"/>
      <c r="O5998" s="6"/>
      <c r="P5998" s="6"/>
      <c r="Q5998" s="6"/>
    </row>
    <row r="5999" spans="3:19" x14ac:dyDescent="0.35">
      <c r="C5999" s="15" t="s">
        <v>8</v>
      </c>
      <c r="E5999" s="15" t="s">
        <v>8</v>
      </c>
      <c r="F5999" s="15" t="s">
        <v>8</v>
      </c>
      <c r="G5999" s="15" t="s">
        <v>8</v>
      </c>
      <c r="H5999" s="15" t="s">
        <v>8</v>
      </c>
      <c r="I5999" s="15" t="s">
        <v>8</v>
      </c>
      <c r="M5999" s="8" t="s">
        <v>3</v>
      </c>
    </row>
    <row r="6000" spans="3:19" x14ac:dyDescent="0.35">
      <c r="C6000" s="15" t="s">
        <v>8</v>
      </c>
      <c r="E6000" s="15" t="s">
        <v>8</v>
      </c>
      <c r="F6000" s="15" t="s">
        <v>8</v>
      </c>
      <c r="G6000" s="15" t="s">
        <v>8</v>
      </c>
      <c r="H6000" s="15" t="s">
        <v>8</v>
      </c>
      <c r="I6000" s="15" t="s">
        <v>8</v>
      </c>
      <c r="L6000" s="5" t="str">
        <f>HYPERLINK("http://yeinfo.com/family/I09000724.html", "NATHANIEL RICHARDS 1649 MA-1726 MA ID:09001448")</f>
        <v>NATHANIEL RICHARDS 1649 MA-1726 MA ID:09001448</v>
      </c>
      <c r="M6000" s="3"/>
      <c r="N6000" s="3"/>
      <c r="O6000" s="3"/>
      <c r="P6000" s="3"/>
    </row>
    <row r="6001" spans="3:20" x14ac:dyDescent="0.35">
      <c r="C6001" s="15" t="s">
        <v>8</v>
      </c>
      <c r="E6001" s="15" t="s">
        <v>8</v>
      </c>
      <c r="F6001" s="15" t="s">
        <v>8</v>
      </c>
      <c r="G6001" s="15" t="s">
        <v>8</v>
      </c>
      <c r="H6001" s="15" t="s">
        <v>8</v>
      </c>
      <c r="I6001" s="15" t="s">
        <v>8</v>
      </c>
      <c r="L6001" s="8" t="s">
        <v>3</v>
      </c>
      <c r="M6001" s="8" t="s">
        <v>6</v>
      </c>
    </row>
    <row r="6002" spans="3:20" x14ac:dyDescent="0.35">
      <c r="C6002" s="15" t="s">
        <v>8</v>
      </c>
      <c r="E6002" s="15" t="s">
        <v>8</v>
      </c>
      <c r="F6002" s="15" t="s">
        <v>8</v>
      </c>
      <c r="G6002" s="15" t="s">
        <v>8</v>
      </c>
      <c r="H6002" s="15" t="s">
        <v>8</v>
      </c>
      <c r="I6002" s="15" t="s">
        <v>8</v>
      </c>
      <c r="L6002" s="15" t="s">
        <v>8</v>
      </c>
      <c r="M6002" s="22" t="str">
        <f>HYPERLINK("http://yeinfo.com/family/I09002896.html", "SUSANNA HUNTING 1610 EN-1684 MA ID:09002897")</f>
        <v>SUSANNA HUNTING 1610 EN-1684 MA ID:09002897</v>
      </c>
      <c r="N6002" s="13"/>
      <c r="O6002" s="13"/>
      <c r="P6002" s="13"/>
      <c r="Q6002" s="13"/>
    </row>
    <row r="6003" spans="3:20" x14ac:dyDescent="0.35">
      <c r="C6003" s="15" t="s">
        <v>8</v>
      </c>
      <c r="E6003" s="15" t="s">
        <v>8</v>
      </c>
      <c r="F6003" s="15" t="s">
        <v>8</v>
      </c>
      <c r="G6003" s="15" t="s">
        <v>8</v>
      </c>
      <c r="H6003" s="15" t="s">
        <v>8</v>
      </c>
      <c r="I6003" s="15" t="s">
        <v>8</v>
      </c>
      <c r="L6003" s="15" t="s">
        <v>8</v>
      </c>
    </row>
    <row r="6004" spans="3:20" x14ac:dyDescent="0.35">
      <c r="C6004" s="15" t="s">
        <v>8</v>
      </c>
      <c r="E6004" s="15" t="s">
        <v>8</v>
      </c>
      <c r="F6004" s="15" t="s">
        <v>8</v>
      </c>
      <c r="G6004" s="15" t="s">
        <v>8</v>
      </c>
      <c r="H6004" s="15" t="s">
        <v>8</v>
      </c>
      <c r="I6004" s="15" t="s">
        <v>8</v>
      </c>
      <c r="K6004" s="5" t="str">
        <f>HYPERLINK("http://yeinfo.com/family/I09000362.html", "JAMES RICHARDS II 1683 MA-1760 MA ID:09000724")</f>
        <v>JAMES RICHARDS II 1683 MA-1760 MA ID:09000724</v>
      </c>
      <c r="L6004" s="3"/>
      <c r="M6004" s="3"/>
      <c r="N6004" s="3"/>
      <c r="O6004" s="3"/>
    </row>
    <row r="6005" spans="3:20" x14ac:dyDescent="0.35">
      <c r="C6005" s="15" t="s">
        <v>8</v>
      </c>
      <c r="E6005" s="15" t="s">
        <v>8</v>
      </c>
      <c r="F6005" s="15" t="s">
        <v>8</v>
      </c>
      <c r="G6005" s="15" t="s">
        <v>8</v>
      </c>
      <c r="H6005" s="15" t="s">
        <v>8</v>
      </c>
      <c r="I6005" s="15" t="s">
        <v>8</v>
      </c>
      <c r="K6005" s="8" t="s">
        <v>3</v>
      </c>
      <c r="L6005" s="15" t="s">
        <v>8</v>
      </c>
    </row>
    <row r="6006" spans="3:20" x14ac:dyDescent="0.35">
      <c r="C6006" s="15" t="s">
        <v>8</v>
      </c>
      <c r="E6006" s="15" t="s">
        <v>8</v>
      </c>
      <c r="F6006" s="15" t="s">
        <v>8</v>
      </c>
      <c r="G6006" s="15" t="s">
        <v>8</v>
      </c>
      <c r="H6006" s="15" t="s">
        <v>8</v>
      </c>
      <c r="I6006" s="15" t="s">
        <v>8</v>
      </c>
      <c r="K6006" s="15" t="s">
        <v>8</v>
      </c>
      <c r="L6006" s="15" t="s">
        <v>8</v>
      </c>
      <c r="P6006" s="19" t="str">
        <f>HYPERLINK("http://yeinfo.com/family/I09011592.html", "THOMAS ALDIS 1534 EN-1601 EN ID:09023184")</f>
        <v>THOMAS ALDIS 1534 EN-1601 EN ID:09023184</v>
      </c>
      <c r="Q6006" s="9"/>
      <c r="R6006" s="9"/>
      <c r="S6006" s="9"/>
      <c r="T6006" s="9"/>
    </row>
    <row r="6007" spans="3:20" x14ac:dyDescent="0.35">
      <c r="C6007" s="15" t="s">
        <v>8</v>
      </c>
      <c r="E6007" s="15" t="s">
        <v>8</v>
      </c>
      <c r="F6007" s="15" t="s">
        <v>8</v>
      </c>
      <c r="G6007" s="15" t="s">
        <v>8</v>
      </c>
      <c r="H6007" s="15" t="s">
        <v>8</v>
      </c>
      <c r="I6007" s="15" t="s">
        <v>8</v>
      </c>
      <c r="K6007" s="15" t="s">
        <v>8</v>
      </c>
      <c r="L6007" s="15" t="s">
        <v>8</v>
      </c>
      <c r="P6007" s="8" t="s">
        <v>3</v>
      </c>
    </row>
    <row r="6008" spans="3:20" x14ac:dyDescent="0.35">
      <c r="C6008" s="15" t="s">
        <v>8</v>
      </c>
      <c r="E6008" s="15" t="s">
        <v>8</v>
      </c>
      <c r="F6008" s="15" t="s">
        <v>8</v>
      </c>
      <c r="G6008" s="15" t="s">
        <v>8</v>
      </c>
      <c r="H6008" s="15" t="s">
        <v>8</v>
      </c>
      <c r="I6008" s="15" t="s">
        <v>8</v>
      </c>
      <c r="K6008" s="15" t="s">
        <v>8</v>
      </c>
      <c r="L6008" s="15" t="s">
        <v>8</v>
      </c>
      <c r="O6008" s="19" t="str">
        <f>HYPERLINK("http://yeinfo.com/family/I09005796.html", "FRANCIS ALDIS 1560 EN-1625 EN ID:09011592")</f>
        <v>FRANCIS ALDIS 1560 EN-1625 EN ID:09011592</v>
      </c>
      <c r="P6008" s="9"/>
      <c r="Q6008" s="9"/>
      <c r="R6008" s="9"/>
      <c r="S6008" s="9"/>
    </row>
    <row r="6009" spans="3:20" x14ac:dyDescent="0.35">
      <c r="C6009" s="15" t="s">
        <v>8</v>
      </c>
      <c r="E6009" s="15" t="s">
        <v>8</v>
      </c>
      <c r="F6009" s="15" t="s">
        <v>8</v>
      </c>
      <c r="G6009" s="15" t="s">
        <v>8</v>
      </c>
      <c r="H6009" s="15" t="s">
        <v>8</v>
      </c>
      <c r="I6009" s="15" t="s">
        <v>8</v>
      </c>
      <c r="K6009" s="15" t="s">
        <v>8</v>
      </c>
      <c r="L6009" s="15" t="s">
        <v>8</v>
      </c>
      <c r="O6009" s="8" t="s">
        <v>3</v>
      </c>
      <c r="P6009" s="8" t="s">
        <v>6</v>
      </c>
    </row>
    <row r="6010" spans="3:20" x14ac:dyDescent="0.35">
      <c r="C6010" s="15" t="s">
        <v>8</v>
      </c>
      <c r="E6010" s="15" t="s">
        <v>8</v>
      </c>
      <c r="F6010" s="15" t="s">
        <v>8</v>
      </c>
      <c r="G6010" s="15" t="s">
        <v>8</v>
      </c>
      <c r="H6010" s="15" t="s">
        <v>8</v>
      </c>
      <c r="I6010" s="15" t="s">
        <v>8</v>
      </c>
      <c r="K6010" s="15" t="s">
        <v>8</v>
      </c>
      <c r="L6010" s="15" t="s">
        <v>8</v>
      </c>
      <c r="O6010" s="15" t="s">
        <v>8</v>
      </c>
      <c r="P6010" s="20" t="str">
        <f>HYPERLINK("http://yeinfo.com/family/I09023184.html", "Mrs. FRANCES ALDIS 1535 EN-1601 EN ID:09023185")</f>
        <v>Mrs. FRANCES ALDIS 1535 EN-1601 EN ID:09023185</v>
      </c>
      <c r="Q6010" s="17"/>
      <c r="R6010" s="17"/>
      <c r="S6010" s="17"/>
      <c r="T6010" s="17"/>
    </row>
    <row r="6011" spans="3:20" x14ac:dyDescent="0.35">
      <c r="C6011" s="15" t="s">
        <v>8</v>
      </c>
      <c r="E6011" s="15" t="s">
        <v>8</v>
      </c>
      <c r="F6011" s="15" t="s">
        <v>8</v>
      </c>
      <c r="G6011" s="15" t="s">
        <v>8</v>
      </c>
      <c r="H6011" s="15" t="s">
        <v>8</v>
      </c>
      <c r="I6011" s="15" t="s">
        <v>8</v>
      </c>
      <c r="K6011" s="15" t="s">
        <v>8</v>
      </c>
      <c r="L6011" s="15" t="s">
        <v>8</v>
      </c>
      <c r="O6011" s="15" t="s">
        <v>8</v>
      </c>
    </row>
    <row r="6012" spans="3:20" x14ac:dyDescent="0.35">
      <c r="C6012" s="15" t="s">
        <v>8</v>
      </c>
      <c r="E6012" s="15" t="s">
        <v>8</v>
      </c>
      <c r="F6012" s="15" t="s">
        <v>8</v>
      </c>
      <c r="G6012" s="15" t="s">
        <v>8</v>
      </c>
      <c r="H6012" s="15" t="s">
        <v>8</v>
      </c>
      <c r="I6012" s="15" t="s">
        <v>8</v>
      </c>
      <c r="K6012" s="15" t="s">
        <v>8</v>
      </c>
      <c r="L6012" s="15" t="s">
        <v>8</v>
      </c>
      <c r="N6012" s="21" t="str">
        <f>HYPERLINK("http://yeinfo.com/family/I09002898.html", "NATHAN ALDIS 1584 EN-1676 MA ID:09005796")</f>
        <v>NATHAN ALDIS 1584 EN-1676 MA ID:09005796</v>
      </c>
      <c r="O6012" s="6"/>
      <c r="P6012" s="6"/>
      <c r="Q6012" s="6"/>
      <c r="R6012" s="6"/>
    </row>
    <row r="6013" spans="3:20" x14ac:dyDescent="0.35">
      <c r="C6013" s="15" t="s">
        <v>8</v>
      </c>
      <c r="E6013" s="15" t="s">
        <v>8</v>
      </c>
      <c r="F6013" s="15" t="s">
        <v>8</v>
      </c>
      <c r="G6013" s="15" t="s">
        <v>8</v>
      </c>
      <c r="H6013" s="15" t="s">
        <v>8</v>
      </c>
      <c r="I6013" s="15" t="s">
        <v>8</v>
      </c>
      <c r="K6013" s="15" t="s">
        <v>8</v>
      </c>
      <c r="L6013" s="15" t="s">
        <v>8</v>
      </c>
      <c r="N6013" s="8" t="s">
        <v>3</v>
      </c>
      <c r="O6013" s="15" t="s">
        <v>8</v>
      </c>
    </row>
    <row r="6014" spans="3:20" x14ac:dyDescent="0.35">
      <c r="C6014" s="15" t="s">
        <v>8</v>
      </c>
      <c r="E6014" s="15" t="s">
        <v>8</v>
      </c>
      <c r="F6014" s="15" t="s">
        <v>8</v>
      </c>
      <c r="G6014" s="15" t="s">
        <v>8</v>
      </c>
      <c r="H6014" s="15" t="s">
        <v>8</v>
      </c>
      <c r="I6014" s="15" t="s">
        <v>8</v>
      </c>
      <c r="K6014" s="15" t="s">
        <v>8</v>
      </c>
      <c r="L6014" s="15" t="s">
        <v>8</v>
      </c>
      <c r="N6014" s="15" t="s">
        <v>8</v>
      </c>
      <c r="O6014" s="15" t="s">
        <v>8</v>
      </c>
      <c r="P6014" s="19" t="str">
        <f>HYPERLINK("http://yeinfo.com/family/I09011593.html", "ROBERT BUNGAY GOOCHE 1540 EN-1589 EN ID:09023186")</f>
        <v>ROBERT BUNGAY GOOCHE 1540 EN-1589 EN ID:09023186</v>
      </c>
      <c r="Q6014" s="9"/>
      <c r="R6014" s="9"/>
      <c r="S6014" s="9"/>
      <c r="T6014" s="9"/>
    </row>
    <row r="6015" spans="3:20" x14ac:dyDescent="0.35">
      <c r="C6015" s="15" t="s">
        <v>8</v>
      </c>
      <c r="E6015" s="15" t="s">
        <v>8</v>
      </c>
      <c r="F6015" s="15" t="s">
        <v>8</v>
      </c>
      <c r="G6015" s="15" t="s">
        <v>8</v>
      </c>
      <c r="H6015" s="15" t="s">
        <v>8</v>
      </c>
      <c r="I6015" s="15" t="s">
        <v>8</v>
      </c>
      <c r="K6015" s="15" t="s">
        <v>8</v>
      </c>
      <c r="L6015" s="15" t="s">
        <v>8</v>
      </c>
      <c r="N6015" s="15" t="s">
        <v>8</v>
      </c>
      <c r="O6015" s="8" t="s">
        <v>6</v>
      </c>
      <c r="P6015" s="8" t="s">
        <v>3</v>
      </c>
    </row>
    <row r="6016" spans="3:20" x14ac:dyDescent="0.35">
      <c r="C6016" s="15" t="s">
        <v>8</v>
      </c>
      <c r="E6016" s="15" t="s">
        <v>8</v>
      </c>
      <c r="F6016" s="15" t="s">
        <v>8</v>
      </c>
      <c r="G6016" s="15" t="s">
        <v>8</v>
      </c>
      <c r="H6016" s="15" t="s">
        <v>8</v>
      </c>
      <c r="I6016" s="15" t="s">
        <v>8</v>
      </c>
      <c r="K6016" s="15" t="s">
        <v>8</v>
      </c>
      <c r="L6016" s="15" t="s">
        <v>8</v>
      </c>
      <c r="N6016" s="15" t="s">
        <v>8</v>
      </c>
      <c r="O6016" s="20" t="str">
        <f>HYPERLINK("http://yeinfo.com/family/I09023185.html", "SARAH GOOCHE 1565 EN-1597 EN ID:09011593")</f>
        <v>SARAH GOOCHE 1565 EN-1597 EN ID:09011593</v>
      </c>
      <c r="P6016" s="17"/>
      <c r="Q6016" s="17"/>
      <c r="R6016" s="17"/>
      <c r="S6016" s="17"/>
    </row>
    <row r="6017" spans="3:22" x14ac:dyDescent="0.35">
      <c r="C6017" s="15" t="s">
        <v>8</v>
      </c>
      <c r="E6017" s="15" t="s">
        <v>8</v>
      </c>
      <c r="F6017" s="15" t="s">
        <v>8</v>
      </c>
      <c r="G6017" s="15" t="s">
        <v>8</v>
      </c>
      <c r="H6017" s="15" t="s">
        <v>8</v>
      </c>
      <c r="I6017" s="15" t="s">
        <v>8</v>
      </c>
      <c r="K6017" s="15" t="s">
        <v>8</v>
      </c>
      <c r="L6017" s="15" t="s">
        <v>8</v>
      </c>
      <c r="N6017" s="15" t="s">
        <v>8</v>
      </c>
      <c r="P6017" s="8" t="s">
        <v>6</v>
      </c>
    </row>
    <row r="6018" spans="3:22" x14ac:dyDescent="0.35">
      <c r="C6018" s="15" t="s">
        <v>8</v>
      </c>
      <c r="E6018" s="15" t="s">
        <v>8</v>
      </c>
      <c r="F6018" s="15" t="s">
        <v>8</v>
      </c>
      <c r="G6018" s="15" t="s">
        <v>8</v>
      </c>
      <c r="H6018" s="15" t="s">
        <v>8</v>
      </c>
      <c r="I6018" s="15" t="s">
        <v>8</v>
      </c>
      <c r="K6018" s="15" t="s">
        <v>8</v>
      </c>
      <c r="L6018" s="15" t="s">
        <v>8</v>
      </c>
      <c r="N6018" s="15" t="s">
        <v>8</v>
      </c>
      <c r="P6018" s="20" t="str">
        <f>HYPERLINK("http://yeinfo.com/family/I09023186.html", "Mrs. EMME GOOCHE 1537 EN-1591 EN ID:09023187")</f>
        <v>Mrs. EMME GOOCHE 1537 EN-1591 EN ID:09023187</v>
      </c>
      <c r="Q6018" s="17"/>
      <c r="R6018" s="17"/>
      <c r="S6018" s="17"/>
      <c r="T6018" s="17"/>
    </row>
    <row r="6019" spans="3:22" x14ac:dyDescent="0.35">
      <c r="C6019" s="15" t="s">
        <v>8</v>
      </c>
      <c r="E6019" s="15" t="s">
        <v>8</v>
      </c>
      <c r="F6019" s="15" t="s">
        <v>8</v>
      </c>
      <c r="G6019" s="15" t="s">
        <v>8</v>
      </c>
      <c r="H6019" s="15" t="s">
        <v>8</v>
      </c>
      <c r="I6019" s="15" t="s">
        <v>8</v>
      </c>
      <c r="K6019" s="15" t="s">
        <v>8</v>
      </c>
      <c r="L6019" s="15" t="s">
        <v>8</v>
      </c>
      <c r="N6019" s="15" t="s">
        <v>8</v>
      </c>
    </row>
    <row r="6020" spans="3:22" x14ac:dyDescent="0.35">
      <c r="C6020" s="15" t="s">
        <v>8</v>
      </c>
      <c r="E6020" s="15" t="s">
        <v>8</v>
      </c>
      <c r="F6020" s="15" t="s">
        <v>8</v>
      </c>
      <c r="G6020" s="15" t="s">
        <v>8</v>
      </c>
      <c r="H6020" s="15" t="s">
        <v>8</v>
      </c>
      <c r="I6020" s="15" t="s">
        <v>8</v>
      </c>
      <c r="K6020" s="15" t="s">
        <v>8</v>
      </c>
      <c r="L6020" s="15" t="s">
        <v>8</v>
      </c>
      <c r="M6020" s="21" t="str">
        <f>HYPERLINK("http://yeinfo.com/family/I09001449.html", "JOHN ALDIS 1627 EN-1700 MA ID:09002898")</f>
        <v>JOHN ALDIS 1627 EN-1700 MA ID:09002898</v>
      </c>
      <c r="N6020" s="6"/>
      <c r="O6020" s="6"/>
      <c r="P6020" s="6"/>
      <c r="Q6020" s="6"/>
    </row>
    <row r="6021" spans="3:22" x14ac:dyDescent="0.35">
      <c r="C6021" s="15" t="s">
        <v>8</v>
      </c>
      <c r="E6021" s="15" t="s">
        <v>8</v>
      </c>
      <c r="F6021" s="15" t="s">
        <v>8</v>
      </c>
      <c r="G6021" s="15" t="s">
        <v>8</v>
      </c>
      <c r="H6021" s="15" t="s">
        <v>8</v>
      </c>
      <c r="I6021" s="15" t="s">
        <v>8</v>
      </c>
      <c r="K6021" s="15" t="s">
        <v>8</v>
      </c>
      <c r="L6021" s="15" t="s">
        <v>8</v>
      </c>
      <c r="M6021" s="8" t="s">
        <v>3</v>
      </c>
      <c r="N6021" s="8" t="s">
        <v>6</v>
      </c>
    </row>
    <row r="6022" spans="3:22" x14ac:dyDescent="0.35">
      <c r="C6022" s="15" t="s">
        <v>8</v>
      </c>
      <c r="E6022" s="15" t="s">
        <v>8</v>
      </c>
      <c r="F6022" s="15" t="s">
        <v>8</v>
      </c>
      <c r="G6022" s="15" t="s">
        <v>8</v>
      </c>
      <c r="H6022" s="15" t="s">
        <v>8</v>
      </c>
      <c r="I6022" s="15" t="s">
        <v>8</v>
      </c>
      <c r="K6022" s="15" t="s">
        <v>8</v>
      </c>
      <c r="L6022" s="15" t="s">
        <v>8</v>
      </c>
      <c r="M6022" s="15" t="s">
        <v>8</v>
      </c>
      <c r="N6022" s="22" t="str">
        <f>HYPERLINK("http://yeinfo.com/family/I09023187.html", "MARY FISHER 1597 EN-1677 MA ID:09005797")</f>
        <v>MARY FISHER 1597 EN-1677 MA ID:09005797</v>
      </c>
      <c r="O6022" s="13"/>
      <c r="P6022" s="13"/>
      <c r="Q6022" s="13"/>
      <c r="R6022" s="13"/>
    </row>
    <row r="6023" spans="3:22" x14ac:dyDescent="0.35">
      <c r="C6023" s="15" t="s">
        <v>8</v>
      </c>
      <c r="E6023" s="15" t="s">
        <v>8</v>
      </c>
      <c r="F6023" s="15" t="s">
        <v>8</v>
      </c>
      <c r="G6023" s="15" t="s">
        <v>8</v>
      </c>
      <c r="H6023" s="15" t="s">
        <v>8</v>
      </c>
      <c r="I6023" s="15" t="s">
        <v>8</v>
      </c>
      <c r="K6023" s="15" t="s">
        <v>8</v>
      </c>
      <c r="L6023" s="8" t="s">
        <v>6</v>
      </c>
      <c r="M6023" s="15" t="s">
        <v>8</v>
      </c>
    </row>
    <row r="6024" spans="3:22" x14ac:dyDescent="0.35">
      <c r="C6024" s="15" t="s">
        <v>8</v>
      </c>
      <c r="E6024" s="15" t="s">
        <v>8</v>
      </c>
      <c r="F6024" s="15" t="s">
        <v>8</v>
      </c>
      <c r="G6024" s="15" t="s">
        <v>8</v>
      </c>
      <c r="H6024" s="15" t="s">
        <v>8</v>
      </c>
      <c r="I6024" s="15" t="s">
        <v>8</v>
      </c>
      <c r="K6024" s="15" t="s">
        <v>8</v>
      </c>
      <c r="L6024" s="16" t="str">
        <f>HYPERLINK("http://yeinfo.com/family/I09002897.html", "MARY ALDIS 1657 MA-1727 MA ID:09001449")</f>
        <v>MARY ALDIS 1657 MA-1727 MA ID:09001449</v>
      </c>
      <c r="M6024" s="11"/>
      <c r="N6024" s="11"/>
      <c r="O6024" s="11"/>
      <c r="P6024" s="11"/>
    </row>
    <row r="6025" spans="3:22" x14ac:dyDescent="0.35">
      <c r="C6025" s="15" t="s">
        <v>8</v>
      </c>
      <c r="E6025" s="15" t="s">
        <v>8</v>
      </c>
      <c r="F6025" s="15" t="s">
        <v>8</v>
      </c>
      <c r="G6025" s="15" t="s">
        <v>8</v>
      </c>
      <c r="H6025" s="15" t="s">
        <v>8</v>
      </c>
      <c r="I6025" s="15" t="s">
        <v>8</v>
      </c>
      <c r="K6025" s="15" t="s">
        <v>8</v>
      </c>
      <c r="M6025" s="15" t="s">
        <v>8</v>
      </c>
    </row>
    <row r="6026" spans="3:22" x14ac:dyDescent="0.35">
      <c r="C6026" s="15" t="s">
        <v>8</v>
      </c>
      <c r="E6026" s="15" t="s">
        <v>8</v>
      </c>
      <c r="F6026" s="15" t="s">
        <v>8</v>
      </c>
      <c r="G6026" s="15" t="s">
        <v>8</v>
      </c>
      <c r="H6026" s="15" t="s">
        <v>8</v>
      </c>
      <c r="I6026" s="15" t="s">
        <v>8</v>
      </c>
      <c r="K6026" s="15" t="s">
        <v>8</v>
      </c>
      <c r="M6026" s="15" t="s">
        <v>8</v>
      </c>
      <c r="R6026" s="19" t="str">
        <f>HYPERLINK("http://yeinfo.com/family/I09065543.html", "WILLIAM ELLIOTT &lt;4&gt; 1450 EN-1528 EN ID:09065543")</f>
        <v>WILLIAM ELLIOTT &lt;4&gt; 1450 EN-1528 EN ID:09065543</v>
      </c>
      <c r="S6026" s="9"/>
      <c r="T6026" s="9"/>
      <c r="U6026" s="9"/>
      <c r="V6026" s="9"/>
    </row>
    <row r="6027" spans="3:22" x14ac:dyDescent="0.35">
      <c r="C6027" s="15" t="s">
        <v>8</v>
      </c>
      <c r="E6027" s="15" t="s">
        <v>8</v>
      </c>
      <c r="F6027" s="15" t="s">
        <v>8</v>
      </c>
      <c r="G6027" s="15" t="s">
        <v>8</v>
      </c>
      <c r="H6027" s="15" t="s">
        <v>8</v>
      </c>
      <c r="I6027" s="15" t="s">
        <v>8</v>
      </c>
      <c r="K6027" s="15" t="s">
        <v>8</v>
      </c>
      <c r="M6027" s="15" t="s">
        <v>8</v>
      </c>
      <c r="R6027" s="8" t="s">
        <v>3</v>
      </c>
    </row>
    <row r="6028" spans="3:22" x14ac:dyDescent="0.35">
      <c r="C6028" s="15" t="s">
        <v>8</v>
      </c>
      <c r="E6028" s="15" t="s">
        <v>8</v>
      </c>
      <c r="F6028" s="15" t="s">
        <v>8</v>
      </c>
      <c r="G6028" s="15" t="s">
        <v>8</v>
      </c>
      <c r="H6028" s="15" t="s">
        <v>8</v>
      </c>
      <c r="I6028" s="15" t="s">
        <v>8</v>
      </c>
      <c r="K6028" s="15" t="s">
        <v>8</v>
      </c>
      <c r="M6028" s="15" t="s">
        <v>8</v>
      </c>
      <c r="Q6028" s="19" t="str">
        <f>HYPERLINK("http://yeinfo.com/family/I09043368.html", "THOMAS ELLIOTT &lt;4&gt; 1480 EN-1520 EN ID:09043368")</f>
        <v>THOMAS ELLIOTT &lt;4&gt; 1480 EN-1520 EN ID:09043368</v>
      </c>
      <c r="R6028" s="9"/>
      <c r="S6028" s="9"/>
      <c r="T6028" s="9"/>
      <c r="U6028" s="9"/>
    </row>
    <row r="6029" spans="3:22" x14ac:dyDescent="0.35">
      <c r="C6029" s="15" t="s">
        <v>8</v>
      </c>
      <c r="E6029" s="15" t="s">
        <v>8</v>
      </c>
      <c r="F6029" s="15" t="s">
        <v>8</v>
      </c>
      <c r="G6029" s="15" t="s">
        <v>8</v>
      </c>
      <c r="H6029" s="15" t="s">
        <v>8</v>
      </c>
      <c r="I6029" s="15" t="s">
        <v>8</v>
      </c>
      <c r="K6029" s="15" t="s">
        <v>8</v>
      </c>
      <c r="M6029" s="15" t="s">
        <v>8</v>
      </c>
      <c r="Q6029" s="8" t="s">
        <v>3</v>
      </c>
      <c r="R6029" s="8" t="s">
        <v>6</v>
      </c>
    </row>
    <row r="6030" spans="3:22" x14ac:dyDescent="0.35">
      <c r="C6030" s="15" t="s">
        <v>8</v>
      </c>
      <c r="E6030" s="15" t="s">
        <v>8</v>
      </c>
      <c r="F6030" s="15" t="s">
        <v>8</v>
      </c>
      <c r="G6030" s="15" t="s">
        <v>8</v>
      </c>
      <c r="H6030" s="15" t="s">
        <v>8</v>
      </c>
      <c r="I6030" s="15" t="s">
        <v>8</v>
      </c>
      <c r="K6030" s="15" t="s">
        <v>8</v>
      </c>
      <c r="M6030" s="15" t="s">
        <v>8</v>
      </c>
      <c r="Q6030" s="15" t="s">
        <v>8</v>
      </c>
      <c r="R6030" s="20" t="str">
        <f>HYPERLINK("http://yeinfo.com/family/I09065544.html", "Mrs. {_?_} ELLIOTT &lt;4&gt; 1450 -1480 EN ID:09065544")</f>
        <v>Mrs. {_?_} ELLIOTT &lt;4&gt; 1450 -1480 EN ID:09065544</v>
      </c>
      <c r="S6030" s="17"/>
      <c r="T6030" s="17"/>
      <c r="U6030" s="17"/>
      <c r="V6030" s="17"/>
    </row>
    <row r="6031" spans="3:22" x14ac:dyDescent="0.35">
      <c r="C6031" s="15" t="s">
        <v>8</v>
      </c>
      <c r="E6031" s="15" t="s">
        <v>8</v>
      </c>
      <c r="F6031" s="15" t="s">
        <v>8</v>
      </c>
      <c r="G6031" s="15" t="s">
        <v>8</v>
      </c>
      <c r="H6031" s="15" t="s">
        <v>8</v>
      </c>
      <c r="I6031" s="15" t="s">
        <v>8</v>
      </c>
      <c r="K6031" s="15" t="s">
        <v>8</v>
      </c>
      <c r="M6031" s="15" t="s">
        <v>8</v>
      </c>
      <c r="Q6031" s="15" t="s">
        <v>8</v>
      </c>
    </row>
    <row r="6032" spans="3:22" x14ac:dyDescent="0.35">
      <c r="C6032" s="15" t="s">
        <v>8</v>
      </c>
      <c r="E6032" s="15" t="s">
        <v>8</v>
      </c>
      <c r="F6032" s="15" t="s">
        <v>8</v>
      </c>
      <c r="G6032" s="15" t="s">
        <v>8</v>
      </c>
      <c r="H6032" s="15" t="s">
        <v>8</v>
      </c>
      <c r="I6032" s="15" t="s">
        <v>8</v>
      </c>
      <c r="K6032" s="15" t="s">
        <v>8</v>
      </c>
      <c r="M6032" s="15" t="s">
        <v>8</v>
      </c>
      <c r="P6032" s="19" t="str">
        <f>HYPERLINK("http://yeinfo.com/family/I09021684.html", "SIMON\EDWARD ELLIOTT &lt;4&gt; 1520 EN-1573 EN ID:09021684")</f>
        <v>SIMON\EDWARD ELLIOTT &lt;4&gt; 1520 EN-1573 EN ID:09021684</v>
      </c>
      <c r="Q6032" s="9"/>
      <c r="R6032" s="9"/>
      <c r="S6032" s="9"/>
      <c r="T6032" s="9"/>
      <c r="U6032" s="9"/>
    </row>
    <row r="6033" spans="3:21" x14ac:dyDescent="0.35">
      <c r="C6033" s="15" t="s">
        <v>8</v>
      </c>
      <c r="E6033" s="15" t="s">
        <v>8</v>
      </c>
      <c r="F6033" s="15" t="s">
        <v>8</v>
      </c>
      <c r="G6033" s="15" t="s">
        <v>8</v>
      </c>
      <c r="H6033" s="15" t="s">
        <v>8</v>
      </c>
      <c r="I6033" s="15" t="s">
        <v>8</v>
      </c>
      <c r="K6033" s="15" t="s">
        <v>8</v>
      </c>
      <c r="M6033" s="15" t="s">
        <v>8</v>
      </c>
      <c r="P6033" s="8" t="s">
        <v>3</v>
      </c>
      <c r="Q6033" s="8" t="s">
        <v>6</v>
      </c>
    </row>
    <row r="6034" spans="3:21" x14ac:dyDescent="0.35">
      <c r="C6034" s="15" t="s">
        <v>8</v>
      </c>
      <c r="E6034" s="15" t="s">
        <v>8</v>
      </c>
      <c r="F6034" s="15" t="s">
        <v>8</v>
      </c>
      <c r="G6034" s="15" t="s">
        <v>8</v>
      </c>
      <c r="H6034" s="15" t="s">
        <v>8</v>
      </c>
      <c r="I6034" s="15" t="s">
        <v>8</v>
      </c>
      <c r="K6034" s="15" t="s">
        <v>8</v>
      </c>
      <c r="M6034" s="15" t="s">
        <v>8</v>
      </c>
      <c r="P6034" s="15" t="s">
        <v>8</v>
      </c>
      <c r="Q6034" s="20" t="str">
        <f>HYPERLINK("http://yeinfo.com/family/I09043369.html", "MARGARET ELIZABETH WILSON &lt;4&gt; 1488 EN-1560 EN ID:09043369")</f>
        <v>MARGARET ELIZABETH WILSON &lt;4&gt; 1488 EN-1560 EN ID:09043369</v>
      </c>
      <c r="R6034" s="17"/>
      <c r="S6034" s="17"/>
      <c r="T6034" s="17"/>
      <c r="U6034" s="17"/>
    </row>
    <row r="6035" spans="3:21" x14ac:dyDescent="0.35">
      <c r="C6035" s="15" t="s">
        <v>8</v>
      </c>
      <c r="E6035" s="15" t="s">
        <v>8</v>
      </c>
      <c r="F6035" s="15" t="s">
        <v>8</v>
      </c>
      <c r="G6035" s="15" t="s">
        <v>8</v>
      </c>
      <c r="H6035" s="15" t="s">
        <v>8</v>
      </c>
      <c r="I6035" s="15" t="s">
        <v>8</v>
      </c>
      <c r="K6035" s="15" t="s">
        <v>8</v>
      </c>
      <c r="M6035" s="15" t="s">
        <v>8</v>
      </c>
      <c r="P6035" s="15" t="s">
        <v>8</v>
      </c>
    </row>
    <row r="6036" spans="3:21" x14ac:dyDescent="0.35">
      <c r="C6036" s="15" t="s">
        <v>8</v>
      </c>
      <c r="E6036" s="15" t="s">
        <v>8</v>
      </c>
      <c r="F6036" s="15" t="s">
        <v>8</v>
      </c>
      <c r="G6036" s="15" t="s">
        <v>8</v>
      </c>
      <c r="H6036" s="15" t="s">
        <v>8</v>
      </c>
      <c r="I6036" s="15" t="s">
        <v>8</v>
      </c>
      <c r="K6036" s="15" t="s">
        <v>8</v>
      </c>
      <c r="M6036" s="15" t="s">
        <v>8</v>
      </c>
      <c r="O6036" s="5" t="str">
        <f>HYPERLINK("http://yeinfo.com/family/I09010842.html", "BENNETT\PHILIP ELLIOTT &lt;4&gt; 1573 -1621 EN ID:09010842")</f>
        <v>BENNETT\PHILIP ELLIOTT &lt;4&gt; 1573 -1621 EN ID:09010842</v>
      </c>
      <c r="P6036" s="3"/>
      <c r="Q6036" s="3"/>
      <c r="R6036" s="3"/>
      <c r="S6036" s="3"/>
      <c r="T6036" s="3"/>
    </row>
    <row r="6037" spans="3:21" x14ac:dyDescent="0.35">
      <c r="C6037" s="15" t="s">
        <v>8</v>
      </c>
      <c r="E6037" s="15" t="s">
        <v>8</v>
      </c>
      <c r="F6037" s="15" t="s">
        <v>8</v>
      </c>
      <c r="G6037" s="15" t="s">
        <v>8</v>
      </c>
      <c r="H6037" s="15" t="s">
        <v>8</v>
      </c>
      <c r="I6037" s="15" t="s">
        <v>8</v>
      </c>
      <c r="K6037" s="15" t="s">
        <v>8</v>
      </c>
      <c r="M6037" s="15" t="s">
        <v>8</v>
      </c>
      <c r="O6037" s="8" t="s">
        <v>3</v>
      </c>
      <c r="P6037" s="8" t="s">
        <v>6</v>
      </c>
    </row>
    <row r="6038" spans="3:21" x14ac:dyDescent="0.35">
      <c r="C6038" s="15" t="s">
        <v>8</v>
      </c>
      <c r="E6038" s="15" t="s">
        <v>8</v>
      </c>
      <c r="F6038" s="15" t="s">
        <v>8</v>
      </c>
      <c r="G6038" s="15" t="s">
        <v>8</v>
      </c>
      <c r="H6038" s="15" t="s">
        <v>8</v>
      </c>
      <c r="I6038" s="15" t="s">
        <v>8</v>
      </c>
      <c r="K6038" s="15" t="s">
        <v>8</v>
      </c>
      <c r="M6038" s="15" t="s">
        <v>8</v>
      </c>
      <c r="O6038" s="15" t="s">
        <v>8</v>
      </c>
      <c r="P6038" s="20" t="str">
        <f>HYPERLINK("http://yeinfo.com/family/I09021685.html", "JANE GEDGE &lt;4&gt; 1535 EN-1573 EN ID:09021685")</f>
        <v>JANE GEDGE &lt;4&gt; 1535 EN-1573 EN ID:09021685</v>
      </c>
      <c r="Q6038" s="17"/>
      <c r="R6038" s="17"/>
      <c r="S6038" s="17"/>
      <c r="T6038" s="17"/>
    </row>
    <row r="6039" spans="3:21" x14ac:dyDescent="0.35">
      <c r="C6039" s="15" t="s">
        <v>8</v>
      </c>
      <c r="E6039" s="15" t="s">
        <v>8</v>
      </c>
      <c r="F6039" s="15" t="s">
        <v>8</v>
      </c>
      <c r="G6039" s="15" t="s">
        <v>8</v>
      </c>
      <c r="H6039" s="15" t="s">
        <v>8</v>
      </c>
      <c r="I6039" s="15" t="s">
        <v>8</v>
      </c>
      <c r="K6039" s="15" t="s">
        <v>8</v>
      </c>
      <c r="M6039" s="15" t="s">
        <v>8</v>
      </c>
      <c r="O6039" s="15" t="s">
        <v>8</v>
      </c>
    </row>
    <row r="6040" spans="3:21" x14ac:dyDescent="0.35">
      <c r="C6040" s="15" t="s">
        <v>8</v>
      </c>
      <c r="E6040" s="15" t="s">
        <v>8</v>
      </c>
      <c r="F6040" s="15" t="s">
        <v>8</v>
      </c>
      <c r="G6040" s="15" t="s">
        <v>8</v>
      </c>
      <c r="H6040" s="15" t="s">
        <v>8</v>
      </c>
      <c r="I6040" s="15" t="s">
        <v>8</v>
      </c>
      <c r="K6040" s="15" t="s">
        <v>8</v>
      </c>
      <c r="M6040" s="15" t="s">
        <v>8</v>
      </c>
      <c r="N6040" s="21" t="str">
        <f>HYPERLINK("http://yeinfo.com/family/I09002899.html", "PHILIP BENNETT ELLIOTT 1602 EN-1657 MA ID:09005798")</f>
        <v>PHILIP BENNETT ELLIOTT 1602 EN-1657 MA ID:09005798</v>
      </c>
      <c r="O6040" s="6"/>
      <c r="P6040" s="6"/>
      <c r="Q6040" s="6"/>
      <c r="R6040" s="6"/>
    </row>
    <row r="6041" spans="3:21" x14ac:dyDescent="0.35">
      <c r="C6041" s="15" t="s">
        <v>8</v>
      </c>
      <c r="E6041" s="15" t="s">
        <v>8</v>
      </c>
      <c r="F6041" s="15" t="s">
        <v>8</v>
      </c>
      <c r="G6041" s="15" t="s">
        <v>8</v>
      </c>
      <c r="H6041" s="15" t="s">
        <v>8</v>
      </c>
      <c r="I6041" s="15" t="s">
        <v>8</v>
      </c>
      <c r="K6041" s="15" t="s">
        <v>8</v>
      </c>
      <c r="M6041" s="15" t="s">
        <v>8</v>
      </c>
      <c r="N6041" s="8" t="s">
        <v>3</v>
      </c>
      <c r="O6041" s="15" t="s">
        <v>8</v>
      </c>
    </row>
    <row r="6042" spans="3:21" x14ac:dyDescent="0.35">
      <c r="C6042" s="15" t="s">
        <v>8</v>
      </c>
      <c r="E6042" s="15" t="s">
        <v>8</v>
      </c>
      <c r="F6042" s="15" t="s">
        <v>8</v>
      </c>
      <c r="G6042" s="15" t="s">
        <v>8</v>
      </c>
      <c r="H6042" s="15" t="s">
        <v>8</v>
      </c>
      <c r="I6042" s="15" t="s">
        <v>8</v>
      </c>
      <c r="K6042" s="15" t="s">
        <v>8</v>
      </c>
      <c r="M6042" s="15" t="s">
        <v>8</v>
      </c>
      <c r="N6042" s="15" t="s">
        <v>8</v>
      </c>
      <c r="O6042" s="15" t="s">
        <v>8</v>
      </c>
      <c r="Q6042" s="19" t="str">
        <f>HYPERLINK("http://yeinfo.com/family/I09043372.html", "ROBERT AGGAR &lt;4&gt; 1525 EN-1557 EN ID:09043372")</f>
        <v>ROBERT AGGAR &lt;4&gt; 1525 EN-1557 EN ID:09043372</v>
      </c>
      <c r="R6042" s="9"/>
      <c r="S6042" s="9"/>
      <c r="T6042" s="9"/>
      <c r="U6042" s="9"/>
    </row>
    <row r="6043" spans="3:21" x14ac:dyDescent="0.35">
      <c r="C6043" s="15" t="s">
        <v>8</v>
      </c>
      <c r="E6043" s="15" t="s">
        <v>8</v>
      </c>
      <c r="F6043" s="15" t="s">
        <v>8</v>
      </c>
      <c r="G6043" s="15" t="s">
        <v>8</v>
      </c>
      <c r="H6043" s="15" t="s">
        <v>8</v>
      </c>
      <c r="I6043" s="15" t="s">
        <v>8</v>
      </c>
      <c r="K6043" s="15" t="s">
        <v>8</v>
      </c>
      <c r="M6043" s="15" t="s">
        <v>8</v>
      </c>
      <c r="N6043" s="15" t="s">
        <v>8</v>
      </c>
      <c r="O6043" s="15" t="s">
        <v>8</v>
      </c>
      <c r="Q6043" s="8" t="s">
        <v>3</v>
      </c>
    </row>
    <row r="6044" spans="3:21" x14ac:dyDescent="0.35">
      <c r="C6044" s="15" t="s">
        <v>8</v>
      </c>
      <c r="E6044" s="15" t="s">
        <v>8</v>
      </c>
      <c r="F6044" s="15" t="s">
        <v>8</v>
      </c>
      <c r="G6044" s="15" t="s">
        <v>8</v>
      </c>
      <c r="H6044" s="15" t="s">
        <v>8</v>
      </c>
      <c r="I6044" s="15" t="s">
        <v>8</v>
      </c>
      <c r="K6044" s="15" t="s">
        <v>8</v>
      </c>
      <c r="M6044" s="15" t="s">
        <v>8</v>
      </c>
      <c r="N6044" s="15" t="s">
        <v>8</v>
      </c>
      <c r="O6044" s="15" t="s">
        <v>8</v>
      </c>
      <c r="P6044" s="19" t="str">
        <f>HYPERLINK("http://yeinfo.com/family/I09021686.html", "FRANCIS AGGAR &lt;4&gt; 1544 EN-1582 EN ID:09021686")</f>
        <v>FRANCIS AGGAR &lt;4&gt; 1544 EN-1582 EN ID:09021686</v>
      </c>
      <c r="Q6044" s="9"/>
      <c r="R6044" s="9"/>
      <c r="S6044" s="9"/>
      <c r="T6044" s="9"/>
    </row>
    <row r="6045" spans="3:21" x14ac:dyDescent="0.35">
      <c r="C6045" s="15" t="s">
        <v>8</v>
      </c>
      <c r="E6045" s="15" t="s">
        <v>8</v>
      </c>
      <c r="F6045" s="15" t="s">
        <v>8</v>
      </c>
      <c r="G6045" s="15" t="s">
        <v>8</v>
      </c>
      <c r="H6045" s="15" t="s">
        <v>8</v>
      </c>
      <c r="I6045" s="15" t="s">
        <v>8</v>
      </c>
      <c r="K6045" s="15" t="s">
        <v>8</v>
      </c>
      <c r="M6045" s="15" t="s">
        <v>8</v>
      </c>
      <c r="N6045" s="15" t="s">
        <v>8</v>
      </c>
      <c r="O6045" s="15" t="s">
        <v>8</v>
      </c>
      <c r="P6045" s="8" t="s">
        <v>3</v>
      </c>
      <c r="Q6045" s="8" t="s">
        <v>6</v>
      </c>
    </row>
    <row r="6046" spans="3:21" x14ac:dyDescent="0.35">
      <c r="C6046" s="15" t="s">
        <v>8</v>
      </c>
      <c r="E6046" s="15" t="s">
        <v>8</v>
      </c>
      <c r="F6046" s="15" t="s">
        <v>8</v>
      </c>
      <c r="G6046" s="15" t="s">
        <v>8</v>
      </c>
      <c r="H6046" s="15" t="s">
        <v>8</v>
      </c>
      <c r="I6046" s="15" t="s">
        <v>8</v>
      </c>
      <c r="K6046" s="15" t="s">
        <v>8</v>
      </c>
      <c r="M6046" s="15" t="s">
        <v>8</v>
      </c>
      <c r="N6046" s="15" t="s">
        <v>8</v>
      </c>
      <c r="O6046" s="15" t="s">
        <v>8</v>
      </c>
      <c r="P6046" s="15" t="s">
        <v>8</v>
      </c>
      <c r="Q6046" s="20" t="str">
        <f>HYPERLINK("http://yeinfo.com/family/I09043373.html", "Mrs. JOANE FYNCH &lt;4&gt; 1525 EN-1560 EN ID:09043373")</f>
        <v>Mrs. JOANE FYNCH &lt;4&gt; 1525 EN-1560 EN ID:09043373</v>
      </c>
      <c r="R6046" s="17"/>
      <c r="S6046" s="17"/>
      <c r="T6046" s="17"/>
      <c r="U6046" s="17"/>
    </row>
    <row r="6047" spans="3:21" x14ac:dyDescent="0.35">
      <c r="C6047" s="15" t="s">
        <v>8</v>
      </c>
      <c r="E6047" s="15" t="s">
        <v>8</v>
      </c>
      <c r="F6047" s="15" t="s">
        <v>8</v>
      </c>
      <c r="G6047" s="15" t="s">
        <v>8</v>
      </c>
      <c r="H6047" s="15" t="s">
        <v>8</v>
      </c>
      <c r="I6047" s="15" t="s">
        <v>8</v>
      </c>
      <c r="K6047" s="15" t="s">
        <v>8</v>
      </c>
      <c r="M6047" s="15" t="s">
        <v>8</v>
      </c>
      <c r="N6047" s="15" t="s">
        <v>8</v>
      </c>
      <c r="O6047" s="8" t="s">
        <v>6</v>
      </c>
      <c r="P6047" s="15" t="s">
        <v>8</v>
      </c>
    </row>
    <row r="6048" spans="3:21" x14ac:dyDescent="0.35">
      <c r="C6048" s="15" t="s">
        <v>8</v>
      </c>
      <c r="E6048" s="15" t="s">
        <v>8</v>
      </c>
      <c r="F6048" s="15" t="s">
        <v>8</v>
      </c>
      <c r="G6048" s="15" t="s">
        <v>8</v>
      </c>
      <c r="H6048" s="15" t="s">
        <v>8</v>
      </c>
      <c r="I6048" s="15" t="s">
        <v>8</v>
      </c>
      <c r="K6048" s="15" t="s">
        <v>8</v>
      </c>
      <c r="M6048" s="15" t="s">
        <v>8</v>
      </c>
      <c r="N6048" s="15" t="s">
        <v>8</v>
      </c>
      <c r="O6048" s="20" t="str">
        <f>HYPERLINK("http://yeinfo.com/family/I09010843.html", "LETTEYE\LETTICE AGGAR &lt;4&gt; 1577 EN-1621 EN ID:09010843")</f>
        <v>LETTEYE\LETTICE AGGAR &lt;4&gt; 1577 EN-1621 EN ID:09010843</v>
      </c>
      <c r="P6048" s="17"/>
      <c r="Q6048" s="17"/>
      <c r="R6048" s="17"/>
      <c r="S6048" s="17"/>
      <c r="T6048" s="17"/>
    </row>
    <row r="6049" spans="3:22" x14ac:dyDescent="0.35">
      <c r="C6049" s="15" t="s">
        <v>8</v>
      </c>
      <c r="E6049" s="15" t="s">
        <v>8</v>
      </c>
      <c r="F6049" s="15" t="s">
        <v>8</v>
      </c>
      <c r="G6049" s="15" t="s">
        <v>8</v>
      </c>
      <c r="H6049" s="15" t="s">
        <v>8</v>
      </c>
      <c r="I6049" s="15" t="s">
        <v>8</v>
      </c>
      <c r="K6049" s="15" t="s">
        <v>8</v>
      </c>
      <c r="M6049" s="15" t="s">
        <v>8</v>
      </c>
      <c r="N6049" s="15" t="s">
        <v>8</v>
      </c>
      <c r="P6049" s="15" t="s">
        <v>8</v>
      </c>
    </row>
    <row r="6050" spans="3:22" x14ac:dyDescent="0.35">
      <c r="C6050" s="15" t="s">
        <v>8</v>
      </c>
      <c r="E6050" s="15" t="s">
        <v>8</v>
      </c>
      <c r="F6050" s="15" t="s">
        <v>8</v>
      </c>
      <c r="G6050" s="15" t="s">
        <v>8</v>
      </c>
      <c r="H6050" s="15" t="s">
        <v>8</v>
      </c>
      <c r="I6050" s="15" t="s">
        <v>8</v>
      </c>
      <c r="K6050" s="15" t="s">
        <v>8</v>
      </c>
      <c r="M6050" s="15" t="s">
        <v>8</v>
      </c>
      <c r="N6050" s="15" t="s">
        <v>8</v>
      </c>
      <c r="P6050" s="15" t="s">
        <v>8</v>
      </c>
      <c r="Q6050" s="19" t="str">
        <f>HYPERLINK("http://yeinfo.com/family/I09043374.html", "THOMAS HENRY PEACOCK &lt;4&gt; 1500 EN-1583 EN ID:09043374")</f>
        <v>THOMAS HENRY PEACOCK &lt;4&gt; 1500 EN-1583 EN ID:09043374</v>
      </c>
      <c r="R6050" s="9"/>
      <c r="S6050" s="9"/>
      <c r="T6050" s="9"/>
      <c r="U6050" s="9"/>
    </row>
    <row r="6051" spans="3:22" x14ac:dyDescent="0.35">
      <c r="C6051" s="15" t="s">
        <v>8</v>
      </c>
      <c r="E6051" s="15" t="s">
        <v>8</v>
      </c>
      <c r="F6051" s="15" t="s">
        <v>8</v>
      </c>
      <c r="G6051" s="15" t="s">
        <v>8</v>
      </c>
      <c r="H6051" s="15" t="s">
        <v>8</v>
      </c>
      <c r="I6051" s="15" t="s">
        <v>8</v>
      </c>
      <c r="K6051" s="15" t="s">
        <v>8</v>
      </c>
      <c r="M6051" s="15" t="s">
        <v>8</v>
      </c>
      <c r="N6051" s="15" t="s">
        <v>8</v>
      </c>
      <c r="P6051" s="8" t="s">
        <v>6</v>
      </c>
      <c r="Q6051" s="8" t="s">
        <v>3</v>
      </c>
    </row>
    <row r="6052" spans="3:22" x14ac:dyDescent="0.35">
      <c r="C6052" s="15" t="s">
        <v>8</v>
      </c>
      <c r="E6052" s="15" t="s">
        <v>8</v>
      </c>
      <c r="F6052" s="15" t="s">
        <v>8</v>
      </c>
      <c r="G6052" s="15" t="s">
        <v>8</v>
      </c>
      <c r="H6052" s="15" t="s">
        <v>8</v>
      </c>
      <c r="I6052" s="15" t="s">
        <v>8</v>
      </c>
      <c r="K6052" s="15" t="s">
        <v>8</v>
      </c>
      <c r="M6052" s="15" t="s">
        <v>8</v>
      </c>
      <c r="N6052" s="15" t="s">
        <v>8</v>
      </c>
      <c r="P6052" s="20" t="str">
        <f>HYPERLINK("http://yeinfo.com/family/I09021687.html", "LETTICE\ELNOR LETTICE PEACOCK &lt;4&gt; 1551 EN-1621 EN ID:09021687")</f>
        <v>LETTICE\ELNOR LETTICE PEACOCK &lt;4&gt; 1551 EN-1621 EN ID:09021687</v>
      </c>
      <c r="Q6052" s="17"/>
      <c r="R6052" s="17"/>
      <c r="S6052" s="17"/>
      <c r="T6052" s="17"/>
      <c r="U6052" s="17"/>
    </row>
    <row r="6053" spans="3:22" x14ac:dyDescent="0.35">
      <c r="C6053" s="15" t="s">
        <v>8</v>
      </c>
      <c r="E6053" s="15" t="s">
        <v>8</v>
      </c>
      <c r="F6053" s="15" t="s">
        <v>8</v>
      </c>
      <c r="G6053" s="15" t="s">
        <v>8</v>
      </c>
      <c r="H6053" s="15" t="s">
        <v>8</v>
      </c>
      <c r="I6053" s="15" t="s">
        <v>8</v>
      </c>
      <c r="K6053" s="15" t="s">
        <v>8</v>
      </c>
      <c r="M6053" s="15" t="s">
        <v>8</v>
      </c>
      <c r="N6053" s="15" t="s">
        <v>8</v>
      </c>
      <c r="Q6053" s="8" t="s">
        <v>6</v>
      </c>
    </row>
    <row r="6054" spans="3:22" x14ac:dyDescent="0.35">
      <c r="C6054" s="15" t="s">
        <v>8</v>
      </c>
      <c r="E6054" s="15" t="s">
        <v>8</v>
      </c>
      <c r="F6054" s="15" t="s">
        <v>8</v>
      </c>
      <c r="G6054" s="15" t="s">
        <v>8</v>
      </c>
      <c r="H6054" s="15" t="s">
        <v>8</v>
      </c>
      <c r="I6054" s="15" t="s">
        <v>8</v>
      </c>
      <c r="K6054" s="15" t="s">
        <v>8</v>
      </c>
      <c r="M6054" s="15" t="s">
        <v>8</v>
      </c>
      <c r="N6054" s="15" t="s">
        <v>8</v>
      </c>
      <c r="Q6054" s="20" t="str">
        <f>HYPERLINK("http://yeinfo.com/family/I09043375.html", "ELEANOR WRIGHT &lt;4&gt; 1530 EN-1551 EN ID:09043375")</f>
        <v>ELEANOR WRIGHT &lt;4&gt; 1530 EN-1551 EN ID:09043375</v>
      </c>
      <c r="R6054" s="17"/>
      <c r="S6054" s="17"/>
      <c r="T6054" s="17"/>
      <c r="U6054" s="17"/>
    </row>
    <row r="6055" spans="3:22" x14ac:dyDescent="0.35">
      <c r="C6055" s="15" t="s">
        <v>8</v>
      </c>
      <c r="E6055" s="15" t="s">
        <v>8</v>
      </c>
      <c r="F6055" s="15" t="s">
        <v>8</v>
      </c>
      <c r="G6055" s="15" t="s">
        <v>8</v>
      </c>
      <c r="H6055" s="15" t="s">
        <v>8</v>
      </c>
      <c r="I6055" s="15" t="s">
        <v>8</v>
      </c>
      <c r="K6055" s="15" t="s">
        <v>8</v>
      </c>
      <c r="M6055" s="8" t="s">
        <v>6</v>
      </c>
      <c r="N6055" s="15" t="s">
        <v>8</v>
      </c>
    </row>
    <row r="6056" spans="3:22" x14ac:dyDescent="0.35">
      <c r="C6056" s="15" t="s">
        <v>8</v>
      </c>
      <c r="E6056" s="15" t="s">
        <v>8</v>
      </c>
      <c r="F6056" s="15" t="s">
        <v>8</v>
      </c>
      <c r="G6056" s="15" t="s">
        <v>8</v>
      </c>
      <c r="H6056" s="15" t="s">
        <v>8</v>
      </c>
      <c r="I6056" s="15" t="s">
        <v>8</v>
      </c>
      <c r="K6056" s="15" t="s">
        <v>8</v>
      </c>
      <c r="M6056" s="22" t="str">
        <f>HYPERLINK("http://yeinfo.com/family/I09005797.html", "SARAH ELLIOTT 1629 EN-1686 MA ID:09002899")</f>
        <v>SARAH ELLIOTT 1629 EN-1686 MA ID:09002899</v>
      </c>
      <c r="N6056" s="13"/>
      <c r="O6056" s="13"/>
      <c r="P6056" s="13"/>
      <c r="Q6056" s="13"/>
    </row>
    <row r="6057" spans="3:22" x14ac:dyDescent="0.35">
      <c r="C6057" s="15" t="s">
        <v>8</v>
      </c>
      <c r="E6057" s="15" t="s">
        <v>8</v>
      </c>
      <c r="F6057" s="15" t="s">
        <v>8</v>
      </c>
      <c r="G6057" s="15" t="s">
        <v>8</v>
      </c>
      <c r="H6057" s="15" t="s">
        <v>8</v>
      </c>
      <c r="I6057" s="15" t="s">
        <v>8</v>
      </c>
      <c r="K6057" s="15" t="s">
        <v>8</v>
      </c>
      <c r="N6057" s="15" t="s">
        <v>8</v>
      </c>
    </row>
    <row r="6058" spans="3:22" x14ac:dyDescent="0.35">
      <c r="C6058" s="15" t="s">
        <v>8</v>
      </c>
      <c r="E6058" s="15" t="s">
        <v>8</v>
      </c>
      <c r="F6058" s="15" t="s">
        <v>8</v>
      </c>
      <c r="G6058" s="15" t="s">
        <v>8</v>
      </c>
      <c r="H6058" s="15" t="s">
        <v>8</v>
      </c>
      <c r="I6058" s="15" t="s">
        <v>8</v>
      </c>
      <c r="K6058" s="15" t="s">
        <v>8</v>
      </c>
      <c r="N6058" s="15" t="s">
        <v>8</v>
      </c>
      <c r="O6058" s="19" t="str">
        <f>HYPERLINK("http://yeinfo.com/family/I09005799.html", "ROBERT SYBTHORPE 1572 EN-1624 EN ID:09011598")</f>
        <v>ROBERT SYBTHORPE 1572 EN-1624 EN ID:09011598</v>
      </c>
      <c r="P6058" s="9"/>
      <c r="Q6058" s="9"/>
      <c r="R6058" s="9"/>
      <c r="S6058" s="9"/>
    </row>
    <row r="6059" spans="3:22" x14ac:dyDescent="0.35">
      <c r="C6059" s="15" t="s">
        <v>8</v>
      </c>
      <c r="E6059" s="15" t="s">
        <v>8</v>
      </c>
      <c r="F6059" s="15" t="s">
        <v>8</v>
      </c>
      <c r="G6059" s="15" t="s">
        <v>8</v>
      </c>
      <c r="H6059" s="15" t="s">
        <v>8</v>
      </c>
      <c r="I6059" s="15" t="s">
        <v>8</v>
      </c>
      <c r="K6059" s="15" t="s">
        <v>8</v>
      </c>
      <c r="N6059" s="8" t="s">
        <v>6</v>
      </c>
      <c r="O6059" s="8" t="s">
        <v>3</v>
      </c>
    </row>
    <row r="6060" spans="3:22" x14ac:dyDescent="0.35">
      <c r="C6060" s="15" t="s">
        <v>8</v>
      </c>
      <c r="E6060" s="15" t="s">
        <v>8</v>
      </c>
      <c r="F6060" s="15" t="s">
        <v>8</v>
      </c>
      <c r="G6060" s="15" t="s">
        <v>8</v>
      </c>
      <c r="H6060" s="15" t="s">
        <v>8</v>
      </c>
      <c r="I6060" s="15" t="s">
        <v>8</v>
      </c>
      <c r="K6060" s="15" t="s">
        <v>8</v>
      </c>
      <c r="N6060" s="22" t="str">
        <f>HYPERLINK("http://yeinfo.com/family/I09005798.html", "ELIZABETH SYBTHORP 1601 EN-1660 MA ID:09005799")</f>
        <v>ELIZABETH SYBTHORP 1601 EN-1660 MA ID:09005799</v>
      </c>
      <c r="O6060" s="13"/>
      <c r="P6060" s="13"/>
      <c r="Q6060" s="13"/>
      <c r="R6060" s="13"/>
    </row>
    <row r="6061" spans="3:22" x14ac:dyDescent="0.35">
      <c r="C6061" s="15" t="s">
        <v>8</v>
      </c>
      <c r="E6061" s="15" t="s">
        <v>8</v>
      </c>
      <c r="F6061" s="15" t="s">
        <v>8</v>
      </c>
      <c r="G6061" s="15" t="s">
        <v>8</v>
      </c>
      <c r="H6061" s="15" t="s">
        <v>8</v>
      </c>
      <c r="I6061" s="15" t="s">
        <v>8</v>
      </c>
      <c r="K6061" s="15" t="s">
        <v>8</v>
      </c>
      <c r="O6061" s="15" t="s">
        <v>8</v>
      </c>
    </row>
    <row r="6062" spans="3:22" x14ac:dyDescent="0.35">
      <c r="C6062" s="15" t="s">
        <v>8</v>
      </c>
      <c r="E6062" s="15" t="s">
        <v>8</v>
      </c>
      <c r="F6062" s="15" t="s">
        <v>8</v>
      </c>
      <c r="G6062" s="15" t="s">
        <v>8</v>
      </c>
      <c r="H6062" s="15" t="s">
        <v>8</v>
      </c>
      <c r="I6062" s="15" t="s">
        <v>8</v>
      </c>
      <c r="K6062" s="15" t="s">
        <v>8</v>
      </c>
      <c r="O6062" s="15" t="s">
        <v>8</v>
      </c>
      <c r="R6062" s="19" t="str">
        <f>HYPERLINK("http://yeinfo.com/family/I09046396.html", "PHILIP AVERELL 1460 EN-1480 EN ID:09066769")</f>
        <v>PHILIP AVERELL 1460 EN-1480 EN ID:09066769</v>
      </c>
      <c r="S6062" s="9"/>
      <c r="T6062" s="9"/>
      <c r="U6062" s="9"/>
      <c r="V6062" s="9"/>
    </row>
    <row r="6063" spans="3:22" x14ac:dyDescent="0.35">
      <c r="C6063" s="15" t="s">
        <v>8</v>
      </c>
      <c r="E6063" s="15" t="s">
        <v>8</v>
      </c>
      <c r="F6063" s="15" t="s">
        <v>8</v>
      </c>
      <c r="G6063" s="15" t="s">
        <v>8</v>
      </c>
      <c r="H6063" s="15" t="s">
        <v>8</v>
      </c>
      <c r="I6063" s="15" t="s">
        <v>8</v>
      </c>
      <c r="K6063" s="15" t="s">
        <v>8</v>
      </c>
      <c r="O6063" s="15" t="s">
        <v>8</v>
      </c>
      <c r="R6063" s="8" t="s">
        <v>3</v>
      </c>
    </row>
    <row r="6064" spans="3:22" x14ac:dyDescent="0.35">
      <c r="C6064" s="15" t="s">
        <v>8</v>
      </c>
      <c r="E6064" s="15" t="s">
        <v>8</v>
      </c>
      <c r="F6064" s="15" t="s">
        <v>8</v>
      </c>
      <c r="G6064" s="15" t="s">
        <v>8</v>
      </c>
      <c r="H6064" s="15" t="s">
        <v>8</v>
      </c>
      <c r="I6064" s="15" t="s">
        <v>8</v>
      </c>
      <c r="K6064" s="15" t="s">
        <v>8</v>
      </c>
      <c r="O6064" s="15" t="s">
        <v>8</v>
      </c>
      <c r="Q6064" s="19" t="str">
        <f>HYPERLINK("http://yeinfo.com/family/I09023198.html", "WILLIAM AVERELL 1480 EN-1526 EN ID:09046396")</f>
        <v>WILLIAM AVERELL 1480 EN-1526 EN ID:09046396</v>
      </c>
      <c r="R6064" s="9"/>
      <c r="S6064" s="9"/>
      <c r="T6064" s="9"/>
      <c r="U6064" s="9"/>
    </row>
    <row r="6065" spans="3:22" x14ac:dyDescent="0.35">
      <c r="C6065" s="15" t="s">
        <v>8</v>
      </c>
      <c r="E6065" s="15" t="s">
        <v>8</v>
      </c>
      <c r="F6065" s="15" t="s">
        <v>8</v>
      </c>
      <c r="G6065" s="15" t="s">
        <v>8</v>
      </c>
      <c r="H6065" s="15" t="s">
        <v>8</v>
      </c>
      <c r="I6065" s="15" t="s">
        <v>8</v>
      </c>
      <c r="K6065" s="15" t="s">
        <v>8</v>
      </c>
      <c r="O6065" s="15" t="s">
        <v>8</v>
      </c>
      <c r="Q6065" s="8" t="s">
        <v>3</v>
      </c>
      <c r="R6065" s="8" t="s">
        <v>6</v>
      </c>
    </row>
    <row r="6066" spans="3:22" x14ac:dyDescent="0.35">
      <c r="C6066" s="15" t="s">
        <v>8</v>
      </c>
      <c r="E6066" s="15" t="s">
        <v>8</v>
      </c>
      <c r="F6066" s="15" t="s">
        <v>8</v>
      </c>
      <c r="G6066" s="15" t="s">
        <v>8</v>
      </c>
      <c r="H6066" s="15" t="s">
        <v>8</v>
      </c>
      <c r="I6066" s="15" t="s">
        <v>8</v>
      </c>
      <c r="K6066" s="15" t="s">
        <v>8</v>
      </c>
      <c r="O6066" s="15" t="s">
        <v>8</v>
      </c>
      <c r="Q6066" s="15" t="s">
        <v>8</v>
      </c>
      <c r="R6066" s="20" t="str">
        <f>HYPERLINK("http://yeinfo.com/family/I09066769.html", "Mrs. {_?_} AVERELL 1460 EN-1480 EN ID:09066770")</f>
        <v>Mrs. {_?_} AVERELL 1460 EN-1480 EN ID:09066770</v>
      </c>
      <c r="S6066" s="17"/>
      <c r="T6066" s="17"/>
      <c r="U6066" s="17"/>
      <c r="V6066" s="17"/>
    </row>
    <row r="6067" spans="3:22" x14ac:dyDescent="0.35">
      <c r="C6067" s="15" t="s">
        <v>8</v>
      </c>
      <c r="E6067" s="15" t="s">
        <v>8</v>
      </c>
      <c r="F6067" s="15" t="s">
        <v>8</v>
      </c>
      <c r="G6067" s="15" t="s">
        <v>8</v>
      </c>
      <c r="H6067" s="15" t="s">
        <v>8</v>
      </c>
      <c r="I6067" s="15" t="s">
        <v>8</v>
      </c>
      <c r="K6067" s="15" t="s">
        <v>8</v>
      </c>
      <c r="O6067" s="15" t="s">
        <v>8</v>
      </c>
      <c r="Q6067" s="15" t="s">
        <v>8</v>
      </c>
    </row>
    <row r="6068" spans="3:22" x14ac:dyDescent="0.35">
      <c r="C6068" s="15" t="s">
        <v>8</v>
      </c>
      <c r="E6068" s="15" t="s">
        <v>8</v>
      </c>
      <c r="F6068" s="15" t="s">
        <v>8</v>
      </c>
      <c r="G6068" s="15" t="s">
        <v>8</v>
      </c>
      <c r="H6068" s="15" t="s">
        <v>8</v>
      </c>
      <c r="I6068" s="15" t="s">
        <v>8</v>
      </c>
      <c r="K6068" s="15" t="s">
        <v>8</v>
      </c>
      <c r="O6068" s="15" t="s">
        <v>8</v>
      </c>
      <c r="P6068" s="19" t="str">
        <f>HYPERLINK("http://yeinfo.com/family/I09011599.html", "BENNET AVERELL 1526 EN-1572 EN ID:09023198")</f>
        <v>BENNET AVERELL 1526 EN-1572 EN ID:09023198</v>
      </c>
      <c r="Q6068" s="9"/>
      <c r="R6068" s="9"/>
      <c r="S6068" s="9"/>
      <c r="T6068" s="9"/>
    </row>
    <row r="6069" spans="3:22" x14ac:dyDescent="0.35">
      <c r="C6069" s="15" t="s">
        <v>8</v>
      </c>
      <c r="E6069" s="15" t="s">
        <v>8</v>
      </c>
      <c r="F6069" s="15" t="s">
        <v>8</v>
      </c>
      <c r="G6069" s="15" t="s">
        <v>8</v>
      </c>
      <c r="H6069" s="15" t="s">
        <v>8</v>
      </c>
      <c r="I6069" s="15" t="s">
        <v>8</v>
      </c>
      <c r="K6069" s="15" t="s">
        <v>8</v>
      </c>
      <c r="O6069" s="15" t="s">
        <v>8</v>
      </c>
      <c r="P6069" s="8" t="s">
        <v>3</v>
      </c>
      <c r="Q6069" s="8" t="s">
        <v>6</v>
      </c>
    </row>
    <row r="6070" spans="3:22" x14ac:dyDescent="0.35">
      <c r="C6070" s="15" t="s">
        <v>8</v>
      </c>
      <c r="E6070" s="15" t="s">
        <v>8</v>
      </c>
      <c r="F6070" s="15" t="s">
        <v>8</v>
      </c>
      <c r="G6070" s="15" t="s">
        <v>8</v>
      </c>
      <c r="H6070" s="15" t="s">
        <v>8</v>
      </c>
      <c r="I6070" s="15" t="s">
        <v>8</v>
      </c>
      <c r="K6070" s="15" t="s">
        <v>8</v>
      </c>
      <c r="O6070" s="15" t="s">
        <v>8</v>
      </c>
      <c r="P6070" s="15" t="s">
        <v>8</v>
      </c>
      <c r="Q6070" s="20" t="str">
        <f>HYPERLINK("http://yeinfo.com/family/I09066770.html", "Mrs. ANNIS AVERELL 1505 EN-1526 EN ID:09046397")</f>
        <v>Mrs. ANNIS AVERELL 1505 EN-1526 EN ID:09046397</v>
      </c>
      <c r="R6070" s="17"/>
      <c r="S6070" s="17"/>
      <c r="T6070" s="17"/>
      <c r="U6070" s="17"/>
    </row>
    <row r="6071" spans="3:22" x14ac:dyDescent="0.35">
      <c r="C6071" s="15" t="s">
        <v>8</v>
      </c>
      <c r="E6071" s="15" t="s">
        <v>8</v>
      </c>
      <c r="F6071" s="15" t="s">
        <v>8</v>
      </c>
      <c r="G6071" s="15" t="s">
        <v>8</v>
      </c>
      <c r="H6071" s="15" t="s">
        <v>8</v>
      </c>
      <c r="I6071" s="15" t="s">
        <v>8</v>
      </c>
      <c r="K6071" s="15" t="s">
        <v>8</v>
      </c>
      <c r="O6071" s="8" t="s">
        <v>6</v>
      </c>
      <c r="P6071" s="15" t="s">
        <v>8</v>
      </c>
    </row>
    <row r="6072" spans="3:22" x14ac:dyDescent="0.35">
      <c r="C6072" s="15" t="s">
        <v>8</v>
      </c>
      <c r="E6072" s="15" t="s">
        <v>8</v>
      </c>
      <c r="F6072" s="15" t="s">
        <v>8</v>
      </c>
      <c r="G6072" s="15" t="s">
        <v>8</v>
      </c>
      <c r="H6072" s="15" t="s">
        <v>8</v>
      </c>
      <c r="I6072" s="15" t="s">
        <v>8</v>
      </c>
      <c r="K6072" s="15" t="s">
        <v>8</v>
      </c>
      <c r="O6072" s="20" t="str">
        <f>HYPERLINK("http://yeinfo.com/family/I09011598.html", "ANNE AVERELL 1572 EN-1624 EN ID:09011599")</f>
        <v>ANNE AVERELL 1572 EN-1624 EN ID:09011599</v>
      </c>
      <c r="P6072" s="17"/>
      <c r="Q6072" s="17"/>
      <c r="R6072" s="17"/>
      <c r="S6072" s="17"/>
    </row>
    <row r="6073" spans="3:22" x14ac:dyDescent="0.35">
      <c r="C6073" s="15" t="s">
        <v>8</v>
      </c>
      <c r="E6073" s="15" t="s">
        <v>8</v>
      </c>
      <c r="F6073" s="15" t="s">
        <v>8</v>
      </c>
      <c r="G6073" s="15" t="s">
        <v>8</v>
      </c>
      <c r="H6073" s="15" t="s">
        <v>8</v>
      </c>
      <c r="I6073" s="15" t="s">
        <v>8</v>
      </c>
      <c r="K6073" s="15" t="s">
        <v>8</v>
      </c>
      <c r="P6073" s="8" t="s">
        <v>6</v>
      </c>
    </row>
    <row r="6074" spans="3:22" x14ac:dyDescent="0.35">
      <c r="C6074" s="15" t="s">
        <v>8</v>
      </c>
      <c r="E6074" s="15" t="s">
        <v>8</v>
      </c>
      <c r="F6074" s="15" t="s">
        <v>8</v>
      </c>
      <c r="G6074" s="15" t="s">
        <v>8</v>
      </c>
      <c r="H6074" s="15" t="s">
        <v>8</v>
      </c>
      <c r="I6074" s="15" t="s">
        <v>8</v>
      </c>
      <c r="K6074" s="15" t="s">
        <v>8</v>
      </c>
      <c r="P6074" s="20" t="str">
        <f>HYPERLINK("http://yeinfo.com/family/I09046397.html", "Mrs. AGNES AVERELL 1535 EN-1572 EN ID:09023199")</f>
        <v>Mrs. AGNES AVERELL 1535 EN-1572 EN ID:09023199</v>
      </c>
      <c r="Q6074" s="17"/>
      <c r="R6074" s="17"/>
      <c r="S6074" s="17"/>
      <c r="T6074" s="17"/>
    </row>
    <row r="6075" spans="3:22" x14ac:dyDescent="0.35">
      <c r="C6075" s="15" t="s">
        <v>8</v>
      </c>
      <c r="E6075" s="15" t="s">
        <v>8</v>
      </c>
      <c r="F6075" s="15" t="s">
        <v>8</v>
      </c>
      <c r="G6075" s="15" t="s">
        <v>8</v>
      </c>
      <c r="H6075" s="15" t="s">
        <v>8</v>
      </c>
      <c r="I6075" s="15" t="s">
        <v>8</v>
      </c>
      <c r="K6075" s="15" t="s">
        <v>8</v>
      </c>
    </row>
    <row r="6076" spans="3:22" x14ac:dyDescent="0.35">
      <c r="C6076" s="15" t="s">
        <v>8</v>
      </c>
      <c r="E6076" s="15" t="s">
        <v>8</v>
      </c>
      <c r="F6076" s="15" t="s">
        <v>8</v>
      </c>
      <c r="G6076" s="15" t="s">
        <v>8</v>
      </c>
      <c r="H6076" s="15" t="s">
        <v>8</v>
      </c>
      <c r="I6076" s="15" t="s">
        <v>8</v>
      </c>
      <c r="J6076" s="5" t="str">
        <f>HYPERLINK("http://yeinfo.com/family/I09000181.html", "EBENEZER RICHARDS Sr. 1718 MA-1799 MA ID:09000362")</f>
        <v>EBENEZER RICHARDS Sr. 1718 MA-1799 MA ID:09000362</v>
      </c>
      <c r="K6076" s="3"/>
      <c r="L6076" s="3"/>
      <c r="M6076" s="3"/>
      <c r="N6076" s="3"/>
    </row>
    <row r="6077" spans="3:22" x14ac:dyDescent="0.35">
      <c r="C6077" s="15" t="s">
        <v>8</v>
      </c>
      <c r="E6077" s="15" t="s">
        <v>8</v>
      </c>
      <c r="F6077" s="15" t="s">
        <v>8</v>
      </c>
      <c r="G6077" s="15" t="s">
        <v>8</v>
      </c>
      <c r="H6077" s="15" t="s">
        <v>8</v>
      </c>
      <c r="I6077" s="15" t="s">
        <v>8</v>
      </c>
      <c r="J6077" s="8" t="s">
        <v>3</v>
      </c>
      <c r="K6077" s="15" t="s">
        <v>8</v>
      </c>
    </row>
    <row r="6078" spans="3:22" x14ac:dyDescent="0.35">
      <c r="C6078" s="15" t="s">
        <v>8</v>
      </c>
      <c r="E6078" s="15" t="s">
        <v>8</v>
      </c>
      <c r="F6078" s="15" t="s">
        <v>8</v>
      </c>
      <c r="G6078" s="15" t="s">
        <v>8</v>
      </c>
      <c r="H6078" s="15" t="s">
        <v>8</v>
      </c>
      <c r="I6078" s="15" t="s">
        <v>8</v>
      </c>
      <c r="J6078" s="15" t="s">
        <v>8</v>
      </c>
      <c r="K6078" s="15" t="s">
        <v>8</v>
      </c>
      <c r="N6078" s="21" t="str">
        <f>HYPERLINK("http://yeinfo.com/family/I09002900.html", "MICHAEL METCALF Sr. 1591 EN-1664 MA ID:09005800")</f>
        <v>MICHAEL METCALF Sr. 1591 EN-1664 MA ID:09005800</v>
      </c>
      <c r="O6078" s="6"/>
      <c r="P6078" s="6"/>
      <c r="Q6078" s="6"/>
      <c r="R6078" s="6"/>
    </row>
    <row r="6079" spans="3:22" x14ac:dyDescent="0.35">
      <c r="C6079" s="15" t="s">
        <v>8</v>
      </c>
      <c r="E6079" s="15" t="s">
        <v>8</v>
      </c>
      <c r="F6079" s="15" t="s">
        <v>8</v>
      </c>
      <c r="G6079" s="15" t="s">
        <v>8</v>
      </c>
      <c r="H6079" s="15" t="s">
        <v>8</v>
      </c>
      <c r="I6079" s="15" t="s">
        <v>8</v>
      </c>
      <c r="J6079" s="15" t="s">
        <v>8</v>
      </c>
      <c r="K6079" s="15" t="s">
        <v>8</v>
      </c>
      <c r="N6079" s="8" t="s">
        <v>3</v>
      </c>
    </row>
    <row r="6080" spans="3:22" x14ac:dyDescent="0.35">
      <c r="C6080" s="15" t="s">
        <v>8</v>
      </c>
      <c r="E6080" s="15" t="s">
        <v>8</v>
      </c>
      <c r="F6080" s="15" t="s">
        <v>8</v>
      </c>
      <c r="G6080" s="15" t="s">
        <v>8</v>
      </c>
      <c r="H6080" s="15" t="s">
        <v>8</v>
      </c>
      <c r="I6080" s="15" t="s">
        <v>8</v>
      </c>
      <c r="J6080" s="15" t="s">
        <v>8</v>
      </c>
      <c r="K6080" s="15" t="s">
        <v>8</v>
      </c>
      <c r="M6080" s="21" t="str">
        <f>HYPERLINK("http://yeinfo.com/family/I09001450.html", "MICHAEL METCALF Jr. 1620 EN-1653 MA ID:09002900")</f>
        <v>MICHAEL METCALF Jr. 1620 EN-1653 MA ID:09002900</v>
      </c>
      <c r="N6080" s="6"/>
      <c r="O6080" s="6"/>
      <c r="P6080" s="6"/>
      <c r="Q6080" s="6"/>
    </row>
    <row r="6081" spans="3:22" x14ac:dyDescent="0.35">
      <c r="C6081" s="15" t="s">
        <v>8</v>
      </c>
      <c r="E6081" s="15" t="s">
        <v>8</v>
      </c>
      <c r="F6081" s="15" t="s">
        <v>8</v>
      </c>
      <c r="G6081" s="15" t="s">
        <v>8</v>
      </c>
      <c r="H6081" s="15" t="s">
        <v>8</v>
      </c>
      <c r="I6081" s="15" t="s">
        <v>8</v>
      </c>
      <c r="J6081" s="15" t="s">
        <v>8</v>
      </c>
      <c r="K6081" s="15" t="s">
        <v>8</v>
      </c>
      <c r="M6081" s="8" t="s">
        <v>3</v>
      </c>
      <c r="N6081" s="8" t="s">
        <v>6</v>
      </c>
    </row>
    <row r="6082" spans="3:22" x14ac:dyDescent="0.35">
      <c r="C6082" s="15" t="s">
        <v>8</v>
      </c>
      <c r="E6082" s="15" t="s">
        <v>8</v>
      </c>
      <c r="F6082" s="15" t="s">
        <v>8</v>
      </c>
      <c r="G6082" s="15" t="s">
        <v>8</v>
      </c>
      <c r="H6082" s="15" t="s">
        <v>8</v>
      </c>
      <c r="I6082" s="15" t="s">
        <v>8</v>
      </c>
      <c r="J6082" s="15" t="s">
        <v>8</v>
      </c>
      <c r="K6082" s="15" t="s">
        <v>8</v>
      </c>
      <c r="M6082" s="15" t="s">
        <v>8</v>
      </c>
      <c r="N6082" s="22" t="str">
        <f>HYPERLINK("http://yeinfo.com/family/I09005800.html", "SARAH ELLWYN 1593 EN-1644 MA ID:09005801")</f>
        <v>SARAH ELLWYN 1593 EN-1644 MA ID:09005801</v>
      </c>
      <c r="O6082" s="13"/>
      <c r="P6082" s="13"/>
      <c r="Q6082" s="13"/>
      <c r="R6082" s="13"/>
    </row>
    <row r="6083" spans="3:22" x14ac:dyDescent="0.35">
      <c r="C6083" s="15" t="s">
        <v>8</v>
      </c>
      <c r="E6083" s="15" t="s">
        <v>8</v>
      </c>
      <c r="F6083" s="15" t="s">
        <v>8</v>
      </c>
      <c r="G6083" s="15" t="s">
        <v>8</v>
      </c>
      <c r="H6083" s="15" t="s">
        <v>8</v>
      </c>
      <c r="I6083" s="15" t="s">
        <v>8</v>
      </c>
      <c r="J6083" s="15" t="s">
        <v>8</v>
      </c>
      <c r="K6083" s="15" t="s">
        <v>8</v>
      </c>
      <c r="M6083" s="15" t="s">
        <v>8</v>
      </c>
    </row>
    <row r="6084" spans="3:22" x14ac:dyDescent="0.35">
      <c r="C6084" s="15" t="s">
        <v>8</v>
      </c>
      <c r="E6084" s="15" t="s">
        <v>8</v>
      </c>
      <c r="F6084" s="15" t="s">
        <v>8</v>
      </c>
      <c r="G6084" s="15" t="s">
        <v>8</v>
      </c>
      <c r="H6084" s="15" t="s">
        <v>8</v>
      </c>
      <c r="I6084" s="15" t="s">
        <v>8</v>
      </c>
      <c r="J6084" s="15" t="s">
        <v>8</v>
      </c>
      <c r="K6084" s="15" t="s">
        <v>8</v>
      </c>
      <c r="L6084" s="5" t="str">
        <f>HYPERLINK("http://yeinfo.com/family/I09000725.html", "JONATHAN METCALF 1650 MA-1701  ID:09001450")</f>
        <v>JONATHAN METCALF 1650 MA-1701  ID:09001450</v>
      </c>
      <c r="M6084" s="3"/>
      <c r="N6084" s="3"/>
      <c r="O6084" s="3"/>
      <c r="P6084" s="3"/>
    </row>
    <row r="6085" spans="3:22" x14ac:dyDescent="0.35">
      <c r="C6085" s="15" t="s">
        <v>8</v>
      </c>
      <c r="E6085" s="15" t="s">
        <v>8</v>
      </c>
      <c r="F6085" s="15" t="s">
        <v>8</v>
      </c>
      <c r="G6085" s="15" t="s">
        <v>8</v>
      </c>
      <c r="H6085" s="15" t="s">
        <v>8</v>
      </c>
      <c r="I6085" s="15" t="s">
        <v>8</v>
      </c>
      <c r="J6085" s="15" t="s">
        <v>8</v>
      </c>
      <c r="K6085" s="15" t="s">
        <v>8</v>
      </c>
      <c r="L6085" s="8" t="s">
        <v>3</v>
      </c>
      <c r="M6085" s="15" t="s">
        <v>8</v>
      </c>
    </row>
    <row r="6086" spans="3:22" x14ac:dyDescent="0.35">
      <c r="C6086" s="15" t="s">
        <v>8</v>
      </c>
      <c r="E6086" s="15" t="s">
        <v>8</v>
      </c>
      <c r="F6086" s="15" t="s">
        <v>8</v>
      </c>
      <c r="G6086" s="15" t="s">
        <v>8</v>
      </c>
      <c r="H6086" s="15" t="s">
        <v>8</v>
      </c>
      <c r="I6086" s="15" t="s">
        <v>8</v>
      </c>
      <c r="J6086" s="15" t="s">
        <v>8</v>
      </c>
      <c r="K6086" s="15" t="s">
        <v>8</v>
      </c>
      <c r="L6086" s="15" t="s">
        <v>8</v>
      </c>
      <c r="M6086" s="15" t="s">
        <v>8</v>
      </c>
      <c r="R6086" s="19" t="str">
        <f>HYPERLINK("http://yeinfo.com/family/I09045120.html", "WILLIAM FAIRBANK &lt;2&gt; 1455 EN-1518 EN ID:09045120")</f>
        <v>WILLIAM FAIRBANK &lt;2&gt; 1455 EN-1518 EN ID:09045120</v>
      </c>
      <c r="S6086" s="9"/>
      <c r="T6086" s="9"/>
      <c r="U6086" s="9"/>
      <c r="V6086" s="9"/>
    </row>
    <row r="6087" spans="3:22" x14ac:dyDescent="0.35">
      <c r="C6087" s="15" t="s">
        <v>8</v>
      </c>
      <c r="E6087" s="15" t="s">
        <v>8</v>
      </c>
      <c r="F6087" s="15" t="s">
        <v>8</v>
      </c>
      <c r="G6087" s="15" t="s">
        <v>8</v>
      </c>
      <c r="H6087" s="15" t="s">
        <v>8</v>
      </c>
      <c r="I6087" s="15" t="s">
        <v>8</v>
      </c>
      <c r="J6087" s="15" t="s">
        <v>8</v>
      </c>
      <c r="K6087" s="15" t="s">
        <v>8</v>
      </c>
      <c r="L6087" s="15" t="s">
        <v>8</v>
      </c>
      <c r="M6087" s="15" t="s">
        <v>8</v>
      </c>
      <c r="R6087" s="8" t="s">
        <v>3</v>
      </c>
    </row>
    <row r="6088" spans="3:22" x14ac:dyDescent="0.35">
      <c r="C6088" s="15" t="s">
        <v>8</v>
      </c>
      <c r="E6088" s="15" t="s">
        <v>8</v>
      </c>
      <c r="F6088" s="15" t="s">
        <v>8</v>
      </c>
      <c r="G6088" s="15" t="s">
        <v>8</v>
      </c>
      <c r="H6088" s="15" t="s">
        <v>8</v>
      </c>
      <c r="I6088" s="15" t="s">
        <v>8</v>
      </c>
      <c r="J6088" s="15" t="s">
        <v>8</v>
      </c>
      <c r="K6088" s="15" t="s">
        <v>8</v>
      </c>
      <c r="L6088" s="15" t="s">
        <v>8</v>
      </c>
      <c r="M6088" s="15" t="s">
        <v>8</v>
      </c>
      <c r="Q6088" s="19" t="str">
        <f>HYPERLINK("http://yeinfo.com/family/I09022560.html", "JOHN FAIRBANK &lt;2&gt; 1480 EN-1551 EN ID:09022560")</f>
        <v>JOHN FAIRBANK &lt;2&gt; 1480 EN-1551 EN ID:09022560</v>
      </c>
      <c r="R6088" s="9"/>
      <c r="S6088" s="9"/>
      <c r="T6088" s="9"/>
      <c r="U6088" s="9"/>
    </row>
    <row r="6089" spans="3:22" x14ac:dyDescent="0.35">
      <c r="C6089" s="15" t="s">
        <v>8</v>
      </c>
      <c r="E6089" s="15" t="s">
        <v>8</v>
      </c>
      <c r="F6089" s="15" t="s">
        <v>8</v>
      </c>
      <c r="G6089" s="15" t="s">
        <v>8</v>
      </c>
      <c r="H6089" s="15" t="s">
        <v>8</v>
      </c>
      <c r="I6089" s="15" t="s">
        <v>8</v>
      </c>
      <c r="J6089" s="15" t="s">
        <v>8</v>
      </c>
      <c r="K6089" s="15" t="s">
        <v>8</v>
      </c>
      <c r="L6089" s="15" t="s">
        <v>8</v>
      </c>
      <c r="M6089" s="15" t="s">
        <v>8</v>
      </c>
      <c r="Q6089" s="8" t="s">
        <v>3</v>
      </c>
      <c r="R6089" s="8" t="s">
        <v>6</v>
      </c>
    </row>
    <row r="6090" spans="3:22" x14ac:dyDescent="0.35">
      <c r="C6090" s="15" t="s">
        <v>8</v>
      </c>
      <c r="E6090" s="15" t="s">
        <v>8</v>
      </c>
      <c r="F6090" s="15" t="s">
        <v>8</v>
      </c>
      <c r="G6090" s="15" t="s">
        <v>8</v>
      </c>
      <c r="H6090" s="15" t="s">
        <v>8</v>
      </c>
      <c r="I6090" s="15" t="s">
        <v>8</v>
      </c>
      <c r="J6090" s="15" t="s">
        <v>8</v>
      </c>
      <c r="K6090" s="15" t="s">
        <v>8</v>
      </c>
      <c r="L6090" s="15" t="s">
        <v>8</v>
      </c>
      <c r="M6090" s="15" t="s">
        <v>8</v>
      </c>
      <c r="Q6090" s="15" t="s">
        <v>8</v>
      </c>
      <c r="R6090" s="20" t="str">
        <f>HYPERLINK("http://yeinfo.com/family/I09045121.html", "Mrs. {_?_} FAIRBANK &lt;2&gt; 1455 EN-1480  ID:09045121")</f>
        <v>Mrs. {_?_} FAIRBANK &lt;2&gt; 1455 EN-1480  ID:09045121</v>
      </c>
      <c r="S6090" s="17"/>
      <c r="T6090" s="17"/>
      <c r="U6090" s="17"/>
      <c r="V6090" s="17"/>
    </row>
    <row r="6091" spans="3:22" x14ac:dyDescent="0.35">
      <c r="C6091" s="15" t="s">
        <v>8</v>
      </c>
      <c r="E6091" s="15" t="s">
        <v>8</v>
      </c>
      <c r="F6091" s="15" t="s">
        <v>8</v>
      </c>
      <c r="G6091" s="15" t="s">
        <v>8</v>
      </c>
      <c r="H6091" s="15" t="s">
        <v>8</v>
      </c>
      <c r="I6091" s="15" t="s">
        <v>8</v>
      </c>
      <c r="J6091" s="15" t="s">
        <v>8</v>
      </c>
      <c r="K6091" s="15" t="s">
        <v>8</v>
      </c>
      <c r="L6091" s="15" t="s">
        <v>8</v>
      </c>
      <c r="M6091" s="15" t="s">
        <v>8</v>
      </c>
      <c r="Q6091" s="15" t="s">
        <v>8</v>
      </c>
    </row>
    <row r="6092" spans="3:22" x14ac:dyDescent="0.35">
      <c r="C6092" s="15" t="s">
        <v>8</v>
      </c>
      <c r="E6092" s="15" t="s">
        <v>8</v>
      </c>
      <c r="F6092" s="15" t="s">
        <v>8</v>
      </c>
      <c r="G6092" s="15" t="s">
        <v>8</v>
      </c>
      <c r="H6092" s="15" t="s">
        <v>8</v>
      </c>
      <c r="I6092" s="15" t="s">
        <v>8</v>
      </c>
      <c r="J6092" s="15" t="s">
        <v>8</v>
      </c>
      <c r="K6092" s="15" t="s">
        <v>8</v>
      </c>
      <c r="L6092" s="15" t="s">
        <v>8</v>
      </c>
      <c r="M6092" s="15" t="s">
        <v>8</v>
      </c>
      <c r="P6092" s="19" t="str">
        <f>HYPERLINK("http://yeinfo.com/family/I09011280.html", "GILBERT FAIRBANK &lt;2&gt; 1505 EN-1578 EN ID:09011280")</f>
        <v>GILBERT FAIRBANK &lt;2&gt; 1505 EN-1578 EN ID:09011280</v>
      </c>
      <c r="Q6092" s="9"/>
      <c r="R6092" s="9"/>
      <c r="S6092" s="9"/>
      <c r="T6092" s="9"/>
    </row>
    <row r="6093" spans="3:22" x14ac:dyDescent="0.35">
      <c r="C6093" s="15" t="s">
        <v>8</v>
      </c>
      <c r="E6093" s="15" t="s">
        <v>8</v>
      </c>
      <c r="F6093" s="15" t="s">
        <v>8</v>
      </c>
      <c r="G6093" s="15" t="s">
        <v>8</v>
      </c>
      <c r="H6093" s="15" t="s">
        <v>8</v>
      </c>
      <c r="I6093" s="15" t="s">
        <v>8</v>
      </c>
      <c r="J6093" s="15" t="s">
        <v>8</v>
      </c>
      <c r="K6093" s="15" t="s">
        <v>8</v>
      </c>
      <c r="L6093" s="15" t="s">
        <v>8</v>
      </c>
      <c r="M6093" s="15" t="s">
        <v>8</v>
      </c>
      <c r="P6093" s="8" t="s">
        <v>3</v>
      </c>
      <c r="Q6093" s="8" t="s">
        <v>6</v>
      </c>
    </row>
    <row r="6094" spans="3:22" x14ac:dyDescent="0.35">
      <c r="C6094" s="15" t="s">
        <v>8</v>
      </c>
      <c r="E6094" s="15" t="s">
        <v>8</v>
      </c>
      <c r="F6094" s="15" t="s">
        <v>8</v>
      </c>
      <c r="G6094" s="15" t="s">
        <v>8</v>
      </c>
      <c r="H6094" s="15" t="s">
        <v>8</v>
      </c>
      <c r="I6094" s="15" t="s">
        <v>8</v>
      </c>
      <c r="J6094" s="15" t="s">
        <v>8</v>
      </c>
      <c r="K6094" s="15" t="s">
        <v>8</v>
      </c>
      <c r="L6094" s="15" t="s">
        <v>8</v>
      </c>
      <c r="M6094" s="15" t="s">
        <v>8</v>
      </c>
      <c r="P6094" s="15" t="s">
        <v>8</v>
      </c>
      <c r="Q6094" s="20" t="str">
        <f>HYPERLINK("http://yeinfo.com/family/I09022561.html", "Mrs. MARGARET FAIRBANK &lt;2&gt; 1480 EN-1505  ID:09022561")</f>
        <v>Mrs. MARGARET FAIRBANK &lt;2&gt; 1480 EN-1505  ID:09022561</v>
      </c>
      <c r="R6094" s="17"/>
      <c r="S6094" s="17"/>
      <c r="T6094" s="17"/>
      <c r="U6094" s="17"/>
    </row>
    <row r="6095" spans="3:22" x14ac:dyDescent="0.35">
      <c r="C6095" s="15" t="s">
        <v>8</v>
      </c>
      <c r="E6095" s="15" t="s">
        <v>8</v>
      </c>
      <c r="F6095" s="15" t="s">
        <v>8</v>
      </c>
      <c r="G6095" s="15" t="s">
        <v>8</v>
      </c>
      <c r="H6095" s="15" t="s">
        <v>8</v>
      </c>
      <c r="I6095" s="15" t="s">
        <v>8</v>
      </c>
      <c r="J6095" s="15" t="s">
        <v>8</v>
      </c>
      <c r="K6095" s="15" t="s">
        <v>8</v>
      </c>
      <c r="L6095" s="15" t="s">
        <v>8</v>
      </c>
      <c r="M6095" s="15" t="s">
        <v>8</v>
      </c>
      <c r="P6095" s="15" t="s">
        <v>8</v>
      </c>
    </row>
    <row r="6096" spans="3:22" x14ac:dyDescent="0.35">
      <c r="C6096" s="15" t="s">
        <v>8</v>
      </c>
      <c r="E6096" s="15" t="s">
        <v>8</v>
      </c>
      <c r="F6096" s="15" t="s">
        <v>8</v>
      </c>
      <c r="G6096" s="15" t="s">
        <v>8</v>
      </c>
      <c r="H6096" s="15" t="s">
        <v>8</v>
      </c>
      <c r="I6096" s="15" t="s">
        <v>8</v>
      </c>
      <c r="J6096" s="15" t="s">
        <v>8</v>
      </c>
      <c r="K6096" s="15" t="s">
        <v>8</v>
      </c>
      <c r="L6096" s="15" t="s">
        <v>8</v>
      </c>
      <c r="M6096" s="15" t="s">
        <v>8</v>
      </c>
      <c r="O6096" s="19" t="str">
        <f>HYPERLINK("http://yeinfo.com/family/I09005640.html", "JOHN FAIRBANK &lt;2&gt; 1565 EN-1625 EN ID:09005640")</f>
        <v>JOHN FAIRBANK &lt;2&gt; 1565 EN-1625 EN ID:09005640</v>
      </c>
      <c r="P6096" s="9"/>
      <c r="Q6096" s="9"/>
      <c r="R6096" s="9"/>
      <c r="S6096" s="9"/>
    </row>
    <row r="6097" spans="3:20" x14ac:dyDescent="0.35">
      <c r="C6097" s="15" t="s">
        <v>8</v>
      </c>
      <c r="E6097" s="15" t="s">
        <v>8</v>
      </c>
      <c r="F6097" s="15" t="s">
        <v>8</v>
      </c>
      <c r="G6097" s="15" t="s">
        <v>8</v>
      </c>
      <c r="H6097" s="15" t="s">
        <v>8</v>
      </c>
      <c r="I6097" s="15" t="s">
        <v>8</v>
      </c>
      <c r="J6097" s="15" t="s">
        <v>8</v>
      </c>
      <c r="K6097" s="15" t="s">
        <v>8</v>
      </c>
      <c r="L6097" s="15" t="s">
        <v>8</v>
      </c>
      <c r="M6097" s="15" t="s">
        <v>8</v>
      </c>
      <c r="O6097" s="8" t="s">
        <v>3</v>
      </c>
      <c r="P6097" s="8" t="s">
        <v>6</v>
      </c>
    </row>
    <row r="6098" spans="3:20" x14ac:dyDescent="0.35">
      <c r="C6098" s="15" t="s">
        <v>8</v>
      </c>
      <c r="E6098" s="15" t="s">
        <v>8</v>
      </c>
      <c r="F6098" s="15" t="s">
        <v>8</v>
      </c>
      <c r="G6098" s="15" t="s">
        <v>8</v>
      </c>
      <c r="H6098" s="15" t="s">
        <v>8</v>
      </c>
      <c r="I6098" s="15" t="s">
        <v>8</v>
      </c>
      <c r="J6098" s="15" t="s">
        <v>8</v>
      </c>
      <c r="K6098" s="15" t="s">
        <v>8</v>
      </c>
      <c r="L6098" s="15" t="s">
        <v>8</v>
      </c>
      <c r="M6098" s="15" t="s">
        <v>8</v>
      </c>
      <c r="O6098" s="15" t="s">
        <v>8</v>
      </c>
      <c r="P6098" s="20" t="str">
        <f>HYPERLINK("http://yeinfo.com/family/I09011281.html", "CIBELLA WAIDE &lt;2&gt; 1540 EN-1576 EN ID:09011281")</f>
        <v>CIBELLA WAIDE &lt;2&gt; 1540 EN-1576 EN ID:09011281</v>
      </c>
      <c r="Q6098" s="17"/>
      <c r="R6098" s="17"/>
      <c r="S6098" s="17"/>
      <c r="T6098" s="17"/>
    </row>
    <row r="6099" spans="3:20" x14ac:dyDescent="0.35">
      <c r="C6099" s="15" t="s">
        <v>8</v>
      </c>
      <c r="E6099" s="15" t="s">
        <v>8</v>
      </c>
      <c r="F6099" s="15" t="s">
        <v>8</v>
      </c>
      <c r="G6099" s="15" t="s">
        <v>8</v>
      </c>
      <c r="H6099" s="15" t="s">
        <v>8</v>
      </c>
      <c r="I6099" s="15" t="s">
        <v>8</v>
      </c>
      <c r="J6099" s="15" t="s">
        <v>8</v>
      </c>
      <c r="K6099" s="15" t="s">
        <v>8</v>
      </c>
      <c r="L6099" s="15" t="s">
        <v>8</v>
      </c>
      <c r="M6099" s="15" t="s">
        <v>8</v>
      </c>
      <c r="O6099" s="15" t="s">
        <v>8</v>
      </c>
    </row>
    <row r="6100" spans="3:20" x14ac:dyDescent="0.35">
      <c r="C6100" s="15" t="s">
        <v>8</v>
      </c>
      <c r="E6100" s="15" t="s">
        <v>8</v>
      </c>
      <c r="F6100" s="15" t="s">
        <v>8</v>
      </c>
      <c r="G6100" s="15" t="s">
        <v>8</v>
      </c>
      <c r="H6100" s="15" t="s">
        <v>8</v>
      </c>
      <c r="I6100" s="15" t="s">
        <v>8</v>
      </c>
      <c r="J6100" s="15" t="s">
        <v>8</v>
      </c>
      <c r="K6100" s="15" t="s">
        <v>8</v>
      </c>
      <c r="L6100" s="15" t="s">
        <v>8</v>
      </c>
      <c r="M6100" s="15" t="s">
        <v>8</v>
      </c>
      <c r="N6100" s="21" t="str">
        <f>HYPERLINK("http://yeinfo.com/family/I09002820.html", "JONATHAN FAIRBANK &lt;2&gt; 1595 EN-1668 MA ID:09002820")</f>
        <v>JONATHAN FAIRBANK &lt;2&gt; 1595 EN-1668 MA ID:09002820</v>
      </c>
      <c r="O6100" s="6"/>
      <c r="P6100" s="6"/>
      <c r="Q6100" s="6"/>
      <c r="R6100" s="6"/>
    </row>
    <row r="6101" spans="3:20" x14ac:dyDescent="0.35">
      <c r="C6101" s="15" t="s">
        <v>8</v>
      </c>
      <c r="E6101" s="15" t="s">
        <v>8</v>
      </c>
      <c r="F6101" s="15" t="s">
        <v>8</v>
      </c>
      <c r="G6101" s="15" t="s">
        <v>8</v>
      </c>
      <c r="H6101" s="15" t="s">
        <v>8</v>
      </c>
      <c r="I6101" s="15" t="s">
        <v>8</v>
      </c>
      <c r="J6101" s="15" t="s">
        <v>8</v>
      </c>
      <c r="K6101" s="15" t="s">
        <v>8</v>
      </c>
      <c r="L6101" s="15" t="s">
        <v>8</v>
      </c>
      <c r="M6101" s="15" t="s">
        <v>8</v>
      </c>
      <c r="N6101" s="8" t="s">
        <v>3</v>
      </c>
      <c r="O6101" s="8" t="s">
        <v>6</v>
      </c>
    </row>
    <row r="6102" spans="3:20" x14ac:dyDescent="0.35">
      <c r="C6102" s="15" t="s">
        <v>8</v>
      </c>
      <c r="E6102" s="15" t="s">
        <v>8</v>
      </c>
      <c r="F6102" s="15" t="s">
        <v>8</v>
      </c>
      <c r="G6102" s="15" t="s">
        <v>8</v>
      </c>
      <c r="H6102" s="15" t="s">
        <v>8</v>
      </c>
      <c r="I6102" s="15" t="s">
        <v>8</v>
      </c>
      <c r="J6102" s="15" t="s">
        <v>8</v>
      </c>
      <c r="K6102" s="15" t="s">
        <v>8</v>
      </c>
      <c r="L6102" s="15" t="s">
        <v>8</v>
      </c>
      <c r="M6102" s="15" t="s">
        <v>8</v>
      </c>
      <c r="N6102" s="15" t="s">
        <v>8</v>
      </c>
      <c r="O6102" s="20" t="str">
        <f>HYPERLINK("http://yeinfo.com/family/I09005641.html", "ISABEL STANCLIFFE &lt;2&gt; 1565 EN-1597 EN ID:09005641")</f>
        <v>ISABEL STANCLIFFE &lt;2&gt; 1565 EN-1597 EN ID:09005641</v>
      </c>
      <c r="P6102" s="17"/>
      <c r="Q6102" s="17"/>
      <c r="R6102" s="17"/>
      <c r="S6102" s="17"/>
    </row>
    <row r="6103" spans="3:20" x14ac:dyDescent="0.35">
      <c r="C6103" s="15" t="s">
        <v>8</v>
      </c>
      <c r="E6103" s="15" t="s">
        <v>8</v>
      </c>
      <c r="F6103" s="15" t="s">
        <v>8</v>
      </c>
      <c r="G6103" s="15" t="s">
        <v>8</v>
      </c>
      <c r="H6103" s="15" t="s">
        <v>8</v>
      </c>
      <c r="I6103" s="15" t="s">
        <v>8</v>
      </c>
      <c r="J6103" s="15" t="s">
        <v>8</v>
      </c>
      <c r="K6103" s="15" t="s">
        <v>8</v>
      </c>
      <c r="L6103" s="15" t="s">
        <v>8</v>
      </c>
      <c r="M6103" s="8" t="s">
        <v>6</v>
      </c>
      <c r="N6103" s="15" t="s">
        <v>8</v>
      </c>
    </row>
    <row r="6104" spans="3:20" x14ac:dyDescent="0.35">
      <c r="C6104" s="15" t="s">
        <v>8</v>
      </c>
      <c r="E6104" s="15" t="s">
        <v>8</v>
      </c>
      <c r="F6104" s="15" t="s">
        <v>8</v>
      </c>
      <c r="G6104" s="15" t="s">
        <v>8</v>
      </c>
      <c r="H6104" s="15" t="s">
        <v>8</v>
      </c>
      <c r="I6104" s="15" t="s">
        <v>8</v>
      </c>
      <c r="J6104" s="15" t="s">
        <v>8</v>
      </c>
      <c r="K6104" s="15" t="s">
        <v>8</v>
      </c>
      <c r="L6104" s="15" t="s">
        <v>8</v>
      </c>
      <c r="M6104" s="16" t="str">
        <f>HYPERLINK("http://yeinfo.com/family/I09005801.html", "MARY NANCY FAIRBANK 1622 -1684 MA ID:09002901")</f>
        <v>MARY NANCY FAIRBANK 1622 -1684 MA ID:09002901</v>
      </c>
      <c r="N6104" s="11"/>
      <c r="O6104" s="11"/>
      <c r="P6104" s="11"/>
      <c r="Q6104" s="11"/>
    </row>
    <row r="6105" spans="3:20" x14ac:dyDescent="0.35">
      <c r="C6105" s="15" t="s">
        <v>8</v>
      </c>
      <c r="E6105" s="15" t="s">
        <v>8</v>
      </c>
      <c r="F6105" s="15" t="s">
        <v>8</v>
      </c>
      <c r="G6105" s="15" t="s">
        <v>8</v>
      </c>
      <c r="H6105" s="15" t="s">
        <v>8</v>
      </c>
      <c r="I6105" s="15" t="s">
        <v>8</v>
      </c>
      <c r="J6105" s="15" t="s">
        <v>8</v>
      </c>
      <c r="K6105" s="15" t="s">
        <v>8</v>
      </c>
      <c r="L6105" s="15" t="s">
        <v>8</v>
      </c>
      <c r="N6105" s="8" t="s">
        <v>6</v>
      </c>
    </row>
    <row r="6106" spans="3:20" x14ac:dyDescent="0.35">
      <c r="C6106" s="15" t="s">
        <v>8</v>
      </c>
      <c r="E6106" s="15" t="s">
        <v>8</v>
      </c>
      <c r="F6106" s="15" t="s">
        <v>8</v>
      </c>
      <c r="G6106" s="15" t="s">
        <v>8</v>
      </c>
      <c r="H6106" s="15" t="s">
        <v>8</v>
      </c>
      <c r="I6106" s="15" t="s">
        <v>8</v>
      </c>
      <c r="J6106" s="15" t="s">
        <v>8</v>
      </c>
      <c r="K6106" s="15" t="s">
        <v>8</v>
      </c>
      <c r="L6106" s="15" t="s">
        <v>8</v>
      </c>
      <c r="N6106" s="22" t="str">
        <f>HYPERLINK("http://yeinfo.com/family/I09002821.html", "GRACE SMITH &lt;2&gt; 1600 EN-1673 MA ID:09002821")</f>
        <v>GRACE SMITH &lt;2&gt; 1600 EN-1673 MA ID:09002821</v>
      </c>
      <c r="O6106" s="13"/>
      <c r="P6106" s="13"/>
      <c r="Q6106" s="13"/>
      <c r="R6106" s="13"/>
    </row>
    <row r="6107" spans="3:20" x14ac:dyDescent="0.35">
      <c r="C6107" s="15" t="s">
        <v>8</v>
      </c>
      <c r="E6107" s="15" t="s">
        <v>8</v>
      </c>
      <c r="F6107" s="15" t="s">
        <v>8</v>
      </c>
      <c r="G6107" s="15" t="s">
        <v>8</v>
      </c>
      <c r="H6107" s="15" t="s">
        <v>8</v>
      </c>
      <c r="I6107" s="15" t="s">
        <v>8</v>
      </c>
      <c r="J6107" s="15" t="s">
        <v>8</v>
      </c>
      <c r="K6107" s="8" t="s">
        <v>6</v>
      </c>
      <c r="L6107" s="15" t="s">
        <v>8</v>
      </c>
    </row>
    <row r="6108" spans="3:20" x14ac:dyDescent="0.35">
      <c r="C6108" s="15" t="s">
        <v>8</v>
      </c>
      <c r="E6108" s="15" t="s">
        <v>8</v>
      </c>
      <c r="F6108" s="15" t="s">
        <v>8</v>
      </c>
      <c r="G6108" s="15" t="s">
        <v>8</v>
      </c>
      <c r="H6108" s="15" t="s">
        <v>8</v>
      </c>
      <c r="I6108" s="15" t="s">
        <v>8</v>
      </c>
      <c r="J6108" s="15" t="s">
        <v>8</v>
      </c>
      <c r="K6108" s="16" t="str">
        <f>HYPERLINK("http://yeinfo.com/family/I09023199.html", "HANNAH METCALF 1687 MA-1770 MA ID:09000725")</f>
        <v>HANNAH METCALF 1687 MA-1770 MA ID:09000725</v>
      </c>
      <c r="L6108" s="11"/>
      <c r="M6108" s="11"/>
      <c r="N6108" s="11"/>
      <c r="O6108" s="11"/>
    </row>
    <row r="6109" spans="3:20" x14ac:dyDescent="0.35">
      <c r="C6109" s="15" t="s">
        <v>8</v>
      </c>
      <c r="E6109" s="15" t="s">
        <v>8</v>
      </c>
      <c r="F6109" s="15" t="s">
        <v>8</v>
      </c>
      <c r="G6109" s="15" t="s">
        <v>8</v>
      </c>
      <c r="H6109" s="15" t="s">
        <v>8</v>
      </c>
      <c r="I6109" s="15" t="s">
        <v>8</v>
      </c>
      <c r="J6109" s="15" t="s">
        <v>8</v>
      </c>
      <c r="L6109" s="15" t="s">
        <v>8</v>
      </c>
    </row>
    <row r="6110" spans="3:20" x14ac:dyDescent="0.35">
      <c r="C6110" s="15" t="s">
        <v>8</v>
      </c>
      <c r="E6110" s="15" t="s">
        <v>8</v>
      </c>
      <c r="F6110" s="15" t="s">
        <v>8</v>
      </c>
      <c r="G6110" s="15" t="s">
        <v>8</v>
      </c>
      <c r="H6110" s="15" t="s">
        <v>8</v>
      </c>
      <c r="I6110" s="15" t="s">
        <v>8</v>
      </c>
      <c r="J6110" s="15" t="s">
        <v>8</v>
      </c>
      <c r="L6110" s="15" t="s">
        <v>8</v>
      </c>
      <c r="M6110" s="21" t="str">
        <f>HYPERLINK("http://yeinfo.com/family/I09001451.html", "JOHN KENDRICK 1604 EN-1686 MA ID:09002902")</f>
        <v>JOHN KENDRICK 1604 EN-1686 MA ID:09002902</v>
      </c>
      <c r="N6110" s="6"/>
      <c r="O6110" s="6"/>
      <c r="P6110" s="6"/>
      <c r="Q6110" s="6"/>
    </row>
    <row r="6111" spans="3:20" x14ac:dyDescent="0.35">
      <c r="C6111" s="15" t="s">
        <v>8</v>
      </c>
      <c r="E6111" s="15" t="s">
        <v>8</v>
      </c>
      <c r="F6111" s="15" t="s">
        <v>8</v>
      </c>
      <c r="G6111" s="15" t="s">
        <v>8</v>
      </c>
      <c r="H6111" s="15" t="s">
        <v>8</v>
      </c>
      <c r="I6111" s="15" t="s">
        <v>8</v>
      </c>
      <c r="J6111" s="15" t="s">
        <v>8</v>
      </c>
      <c r="L6111" s="8" t="s">
        <v>6</v>
      </c>
      <c r="M6111" s="8" t="s">
        <v>3</v>
      </c>
    </row>
    <row r="6112" spans="3:20" x14ac:dyDescent="0.35">
      <c r="C6112" s="15" t="s">
        <v>8</v>
      </c>
      <c r="E6112" s="15" t="s">
        <v>8</v>
      </c>
      <c r="F6112" s="15" t="s">
        <v>8</v>
      </c>
      <c r="G6112" s="15" t="s">
        <v>8</v>
      </c>
      <c r="H6112" s="15" t="s">
        <v>8</v>
      </c>
      <c r="I6112" s="15" t="s">
        <v>8</v>
      </c>
      <c r="J6112" s="15" t="s">
        <v>8</v>
      </c>
      <c r="L6112" s="16" t="str">
        <f>HYPERLINK("http://yeinfo.com/family/I09002901.html", "HANNAH KENDRICH 1651 MA-1731 MA ID:09001451")</f>
        <v>HANNAH KENDRICH 1651 MA-1731 MA ID:09001451</v>
      </c>
      <c r="M6112" s="11"/>
      <c r="N6112" s="11"/>
      <c r="O6112" s="11"/>
      <c r="P6112" s="11"/>
    </row>
    <row r="6113" spans="3:21" x14ac:dyDescent="0.35">
      <c r="C6113" s="15" t="s">
        <v>8</v>
      </c>
      <c r="E6113" s="15" t="s">
        <v>8</v>
      </c>
      <c r="F6113" s="15" t="s">
        <v>8</v>
      </c>
      <c r="G6113" s="15" t="s">
        <v>8</v>
      </c>
      <c r="H6113" s="15" t="s">
        <v>8</v>
      </c>
      <c r="I6113" s="15" t="s">
        <v>8</v>
      </c>
      <c r="J6113" s="15" t="s">
        <v>8</v>
      </c>
      <c r="M6113" s="8" t="s">
        <v>6</v>
      </c>
    </row>
    <row r="6114" spans="3:21" x14ac:dyDescent="0.35">
      <c r="C6114" s="15" t="s">
        <v>8</v>
      </c>
      <c r="E6114" s="15" t="s">
        <v>8</v>
      </c>
      <c r="F6114" s="15" t="s">
        <v>8</v>
      </c>
      <c r="G6114" s="15" t="s">
        <v>8</v>
      </c>
      <c r="H6114" s="15" t="s">
        <v>8</v>
      </c>
      <c r="I6114" s="15" t="s">
        <v>8</v>
      </c>
      <c r="J6114" s="15" t="s">
        <v>8</v>
      </c>
      <c r="M6114" s="22" t="str">
        <f>HYPERLINK("http://yeinfo.com/family/I09002902.html", "ANNA SMITH 1613 EN-1656 MA ID:09002903")</f>
        <v>ANNA SMITH 1613 EN-1656 MA ID:09002903</v>
      </c>
      <c r="N6114" s="13"/>
      <c r="O6114" s="13"/>
      <c r="P6114" s="13"/>
      <c r="Q6114" s="13"/>
    </row>
    <row r="6115" spans="3:21" x14ac:dyDescent="0.35">
      <c r="C6115" s="15" t="s">
        <v>8</v>
      </c>
      <c r="E6115" s="15" t="s">
        <v>8</v>
      </c>
      <c r="F6115" s="15" t="s">
        <v>8</v>
      </c>
      <c r="G6115" s="15" t="s">
        <v>8</v>
      </c>
      <c r="H6115" s="15" t="s">
        <v>8</v>
      </c>
      <c r="I6115" s="8" t="s">
        <v>6</v>
      </c>
      <c r="J6115" s="15" t="s">
        <v>8</v>
      </c>
    </row>
    <row r="6116" spans="3:21" x14ac:dyDescent="0.35">
      <c r="C6116" s="15" t="s">
        <v>8</v>
      </c>
      <c r="E6116" s="15" t="s">
        <v>8</v>
      </c>
      <c r="F6116" s="15" t="s">
        <v>8</v>
      </c>
      <c r="G6116" s="15" t="s">
        <v>8</v>
      </c>
      <c r="H6116" s="15" t="s">
        <v>8</v>
      </c>
      <c r="I6116" s="16" t="str">
        <f>HYPERLINK("http://yeinfo.com/family/I09002895.html", "ABIGAIL RICHARDS 1742 MA-1781 MA ID:09000181")</f>
        <v>ABIGAIL RICHARDS 1742 MA-1781 MA ID:09000181</v>
      </c>
      <c r="J6116" s="11"/>
      <c r="K6116" s="11"/>
      <c r="L6116" s="11"/>
      <c r="M6116" s="11"/>
    </row>
    <row r="6117" spans="3:21" x14ac:dyDescent="0.35">
      <c r="C6117" s="15" t="s">
        <v>8</v>
      </c>
      <c r="E6117" s="15" t="s">
        <v>8</v>
      </c>
      <c r="F6117" s="15" t="s">
        <v>8</v>
      </c>
      <c r="G6117" s="15" t="s">
        <v>8</v>
      </c>
      <c r="H6117" s="15" t="s">
        <v>8</v>
      </c>
      <c r="J6117" s="15" t="s">
        <v>8</v>
      </c>
    </row>
    <row r="6118" spans="3:21" x14ac:dyDescent="0.35">
      <c r="C6118" s="15" t="s">
        <v>8</v>
      </c>
      <c r="E6118" s="15" t="s">
        <v>8</v>
      </c>
      <c r="F6118" s="15" t="s">
        <v>8</v>
      </c>
      <c r="G6118" s="15" t="s">
        <v>8</v>
      </c>
      <c r="H6118" s="15" t="s">
        <v>8</v>
      </c>
      <c r="J6118" s="15" t="s">
        <v>8</v>
      </c>
      <c r="M6118" s="21" t="str">
        <f>HYPERLINK("http://yeinfo.com/family/I09001452.html", "JOHN STRATTON Sr. 1632 EN-1718 MA ID:09002904")</f>
        <v>JOHN STRATTON Sr. 1632 EN-1718 MA ID:09002904</v>
      </c>
      <c r="N6118" s="6"/>
      <c r="O6118" s="6"/>
      <c r="P6118" s="6"/>
      <c r="Q6118" s="6"/>
    </row>
    <row r="6119" spans="3:21" x14ac:dyDescent="0.35">
      <c r="C6119" s="15" t="s">
        <v>8</v>
      </c>
      <c r="E6119" s="15" t="s">
        <v>8</v>
      </c>
      <c r="F6119" s="15" t="s">
        <v>8</v>
      </c>
      <c r="G6119" s="15" t="s">
        <v>8</v>
      </c>
      <c r="H6119" s="15" t="s">
        <v>8</v>
      </c>
      <c r="J6119" s="15" t="s">
        <v>8</v>
      </c>
      <c r="M6119" s="8" t="s">
        <v>3</v>
      </c>
    </row>
    <row r="6120" spans="3:21" x14ac:dyDescent="0.35">
      <c r="C6120" s="15" t="s">
        <v>8</v>
      </c>
      <c r="E6120" s="15" t="s">
        <v>8</v>
      </c>
      <c r="F6120" s="15" t="s">
        <v>8</v>
      </c>
      <c r="G6120" s="15" t="s">
        <v>8</v>
      </c>
      <c r="H6120" s="15" t="s">
        <v>8</v>
      </c>
      <c r="J6120" s="15" t="s">
        <v>8</v>
      </c>
      <c r="L6120" s="5" t="str">
        <f>HYPERLINK("http://yeinfo.com/family/I09000726.html", "JOHN STRATTON Jr. 1661 MA-1718 MA ID:09001452")</f>
        <v>JOHN STRATTON Jr. 1661 MA-1718 MA ID:09001452</v>
      </c>
      <c r="M6120" s="3"/>
      <c r="N6120" s="3"/>
      <c r="O6120" s="3"/>
      <c r="P6120" s="3"/>
    </row>
    <row r="6121" spans="3:21" x14ac:dyDescent="0.35">
      <c r="C6121" s="15" t="s">
        <v>8</v>
      </c>
      <c r="E6121" s="15" t="s">
        <v>8</v>
      </c>
      <c r="F6121" s="15" t="s">
        <v>8</v>
      </c>
      <c r="G6121" s="15" t="s">
        <v>8</v>
      </c>
      <c r="H6121" s="15" t="s">
        <v>8</v>
      </c>
      <c r="J6121" s="15" t="s">
        <v>8</v>
      </c>
      <c r="L6121" s="8" t="s">
        <v>3</v>
      </c>
      <c r="M6121" s="15" t="s">
        <v>8</v>
      </c>
    </row>
    <row r="6122" spans="3:21" x14ac:dyDescent="0.35">
      <c r="C6122" s="15" t="s">
        <v>8</v>
      </c>
      <c r="E6122" s="15" t="s">
        <v>8</v>
      </c>
      <c r="F6122" s="15" t="s">
        <v>8</v>
      </c>
      <c r="G6122" s="15" t="s">
        <v>8</v>
      </c>
      <c r="H6122" s="15" t="s">
        <v>8</v>
      </c>
      <c r="J6122" s="15" t="s">
        <v>8</v>
      </c>
      <c r="L6122" s="15" t="s">
        <v>8</v>
      </c>
      <c r="M6122" s="15" t="s">
        <v>8</v>
      </c>
      <c r="Q6122" s="19" t="str">
        <f>HYPERLINK("http://yeinfo.com/family/I09023240.html", "STEVEN TRAINE 1530 ST-1583 ST ID:09046480")</f>
        <v>STEVEN TRAINE 1530 ST-1583 ST ID:09046480</v>
      </c>
      <c r="R6122" s="9"/>
      <c r="S6122" s="9"/>
      <c r="T6122" s="9"/>
      <c r="U6122" s="9"/>
    </row>
    <row r="6123" spans="3:21" x14ac:dyDescent="0.35">
      <c r="C6123" s="15" t="s">
        <v>8</v>
      </c>
      <c r="E6123" s="15" t="s">
        <v>8</v>
      </c>
      <c r="F6123" s="15" t="s">
        <v>8</v>
      </c>
      <c r="G6123" s="15" t="s">
        <v>8</v>
      </c>
      <c r="H6123" s="15" t="s">
        <v>8</v>
      </c>
      <c r="J6123" s="15" t="s">
        <v>8</v>
      </c>
      <c r="L6123" s="15" t="s">
        <v>8</v>
      </c>
      <c r="M6123" s="15" t="s">
        <v>8</v>
      </c>
      <c r="Q6123" s="8" t="s">
        <v>3</v>
      </c>
    </row>
    <row r="6124" spans="3:21" x14ac:dyDescent="0.35">
      <c r="C6124" s="15" t="s">
        <v>8</v>
      </c>
      <c r="E6124" s="15" t="s">
        <v>8</v>
      </c>
      <c r="F6124" s="15" t="s">
        <v>8</v>
      </c>
      <c r="G6124" s="15" t="s">
        <v>8</v>
      </c>
      <c r="H6124" s="15" t="s">
        <v>8</v>
      </c>
      <c r="J6124" s="15" t="s">
        <v>8</v>
      </c>
      <c r="L6124" s="15" t="s">
        <v>8</v>
      </c>
      <c r="M6124" s="15" t="s">
        <v>8</v>
      </c>
      <c r="P6124" s="19" t="str">
        <f>HYPERLINK("http://yeinfo.com/family/I09011620.html", "PATRICK TRAINE 1560 ST-1602 ST ID:09023240")</f>
        <v>PATRICK TRAINE 1560 ST-1602 ST ID:09023240</v>
      </c>
      <c r="Q6124" s="9"/>
      <c r="R6124" s="9"/>
      <c r="S6124" s="9"/>
      <c r="T6124" s="9"/>
    </row>
    <row r="6125" spans="3:21" x14ac:dyDescent="0.35">
      <c r="C6125" s="15" t="s">
        <v>8</v>
      </c>
      <c r="E6125" s="15" t="s">
        <v>8</v>
      </c>
      <c r="F6125" s="15" t="s">
        <v>8</v>
      </c>
      <c r="G6125" s="15" t="s">
        <v>8</v>
      </c>
      <c r="H6125" s="15" t="s">
        <v>8</v>
      </c>
      <c r="J6125" s="15" t="s">
        <v>8</v>
      </c>
      <c r="L6125" s="15" t="s">
        <v>8</v>
      </c>
      <c r="M6125" s="15" t="s">
        <v>8</v>
      </c>
      <c r="P6125" s="8" t="s">
        <v>3</v>
      </c>
      <c r="Q6125" s="8" t="s">
        <v>6</v>
      </c>
    </row>
    <row r="6126" spans="3:21" x14ac:dyDescent="0.35">
      <c r="C6126" s="15" t="s">
        <v>8</v>
      </c>
      <c r="E6126" s="15" t="s">
        <v>8</v>
      </c>
      <c r="F6126" s="15" t="s">
        <v>8</v>
      </c>
      <c r="G6126" s="15" t="s">
        <v>8</v>
      </c>
      <c r="H6126" s="15" t="s">
        <v>8</v>
      </c>
      <c r="J6126" s="15" t="s">
        <v>8</v>
      </c>
      <c r="L6126" s="15" t="s">
        <v>8</v>
      </c>
      <c r="M6126" s="15" t="s">
        <v>8</v>
      </c>
      <c r="P6126" s="15" t="s">
        <v>8</v>
      </c>
      <c r="Q6126" s="20" t="str">
        <f>HYPERLINK("http://yeinfo.com/family/I09046480.html", "MARGARET BROWN 1530 ST-1560 ST ID:09046481")</f>
        <v>MARGARET BROWN 1530 ST-1560 ST ID:09046481</v>
      </c>
      <c r="R6126" s="17"/>
      <c r="S6126" s="17"/>
      <c r="T6126" s="17"/>
      <c r="U6126" s="17"/>
    </row>
    <row r="6127" spans="3:21" x14ac:dyDescent="0.35">
      <c r="C6127" s="15" t="s">
        <v>8</v>
      </c>
      <c r="E6127" s="15" t="s">
        <v>8</v>
      </c>
      <c r="F6127" s="15" t="s">
        <v>8</v>
      </c>
      <c r="G6127" s="15" t="s">
        <v>8</v>
      </c>
      <c r="H6127" s="15" t="s">
        <v>8</v>
      </c>
      <c r="J6127" s="15" t="s">
        <v>8</v>
      </c>
      <c r="L6127" s="15" t="s">
        <v>8</v>
      </c>
      <c r="M6127" s="15" t="s">
        <v>8</v>
      </c>
      <c r="P6127" s="15" t="s">
        <v>8</v>
      </c>
    </row>
    <row r="6128" spans="3:21" x14ac:dyDescent="0.35">
      <c r="C6128" s="15" t="s">
        <v>8</v>
      </c>
      <c r="E6128" s="15" t="s">
        <v>8</v>
      </c>
      <c r="F6128" s="15" t="s">
        <v>8</v>
      </c>
      <c r="G6128" s="15" t="s">
        <v>8</v>
      </c>
      <c r="H6128" s="15" t="s">
        <v>8</v>
      </c>
      <c r="J6128" s="15" t="s">
        <v>8</v>
      </c>
      <c r="L6128" s="15" t="s">
        <v>8</v>
      </c>
      <c r="M6128" s="15" t="s">
        <v>8</v>
      </c>
      <c r="O6128" s="19" t="str">
        <f>HYPERLINK("http://yeinfo.com/family/I09005810.html", "JAMES TRAINE 1580 ST-1657 ST ID:09011620")</f>
        <v>JAMES TRAINE 1580 ST-1657 ST ID:09011620</v>
      </c>
      <c r="P6128" s="9"/>
      <c r="Q6128" s="9"/>
      <c r="R6128" s="9"/>
      <c r="S6128" s="9"/>
    </row>
    <row r="6129" spans="3:22" x14ac:dyDescent="0.35">
      <c r="C6129" s="15" t="s">
        <v>8</v>
      </c>
      <c r="E6129" s="15" t="s">
        <v>8</v>
      </c>
      <c r="F6129" s="15" t="s">
        <v>8</v>
      </c>
      <c r="G6129" s="15" t="s">
        <v>8</v>
      </c>
      <c r="H6129" s="15" t="s">
        <v>8</v>
      </c>
      <c r="J6129" s="15" t="s">
        <v>8</v>
      </c>
      <c r="L6129" s="15" t="s">
        <v>8</v>
      </c>
      <c r="M6129" s="15" t="s">
        <v>8</v>
      </c>
      <c r="O6129" s="8" t="s">
        <v>3</v>
      </c>
      <c r="P6129" s="15" t="s">
        <v>8</v>
      </c>
    </row>
    <row r="6130" spans="3:22" x14ac:dyDescent="0.35">
      <c r="C6130" s="15" t="s">
        <v>8</v>
      </c>
      <c r="E6130" s="15" t="s">
        <v>8</v>
      </c>
      <c r="F6130" s="15" t="s">
        <v>8</v>
      </c>
      <c r="G6130" s="15" t="s">
        <v>8</v>
      </c>
      <c r="H6130" s="15" t="s">
        <v>8</v>
      </c>
      <c r="J6130" s="15" t="s">
        <v>8</v>
      </c>
      <c r="L6130" s="15" t="s">
        <v>8</v>
      </c>
      <c r="M6130" s="15" t="s">
        <v>8</v>
      </c>
      <c r="O6130" s="15" t="s">
        <v>8</v>
      </c>
      <c r="P6130" s="15" t="s">
        <v>8</v>
      </c>
      <c r="R6130" s="19" t="str">
        <f>HYPERLINK("http://yeinfo.com/family/I09046482.html", "WILLIAM BAILLE 1507 ST-1527 ST ID:09066765")</f>
        <v>WILLIAM BAILLE 1507 ST-1527 ST ID:09066765</v>
      </c>
      <c r="S6130" s="9"/>
      <c r="T6130" s="9"/>
      <c r="U6130" s="9"/>
      <c r="V6130" s="9"/>
    </row>
    <row r="6131" spans="3:22" x14ac:dyDescent="0.35">
      <c r="C6131" s="15" t="s">
        <v>8</v>
      </c>
      <c r="E6131" s="15" t="s">
        <v>8</v>
      </c>
      <c r="F6131" s="15" t="s">
        <v>8</v>
      </c>
      <c r="G6131" s="15" t="s">
        <v>8</v>
      </c>
      <c r="H6131" s="15" t="s">
        <v>8</v>
      </c>
      <c r="J6131" s="15" t="s">
        <v>8</v>
      </c>
      <c r="L6131" s="15" t="s">
        <v>8</v>
      </c>
      <c r="M6131" s="15" t="s">
        <v>8</v>
      </c>
      <c r="O6131" s="15" t="s">
        <v>8</v>
      </c>
      <c r="P6131" s="15" t="s">
        <v>8</v>
      </c>
      <c r="R6131" s="8" t="s">
        <v>3</v>
      </c>
    </row>
    <row r="6132" spans="3:22" x14ac:dyDescent="0.35">
      <c r="C6132" s="15" t="s">
        <v>8</v>
      </c>
      <c r="E6132" s="15" t="s">
        <v>8</v>
      </c>
      <c r="F6132" s="15" t="s">
        <v>8</v>
      </c>
      <c r="G6132" s="15" t="s">
        <v>8</v>
      </c>
      <c r="H6132" s="15" t="s">
        <v>8</v>
      </c>
      <c r="J6132" s="15" t="s">
        <v>8</v>
      </c>
      <c r="L6132" s="15" t="s">
        <v>8</v>
      </c>
      <c r="M6132" s="15" t="s">
        <v>8</v>
      </c>
      <c r="O6132" s="15" t="s">
        <v>8</v>
      </c>
      <c r="P6132" s="15" t="s">
        <v>8</v>
      </c>
      <c r="Q6132" s="19" t="str">
        <f>HYPERLINK("http://yeinfo.com/family/I09023241.html", "WILLIAM BAILLE 1527 ST-1587 ST ID:09046482")</f>
        <v>WILLIAM BAILLE 1527 ST-1587 ST ID:09046482</v>
      </c>
      <c r="R6132" s="9"/>
      <c r="S6132" s="9"/>
      <c r="T6132" s="9"/>
      <c r="U6132" s="9"/>
    </row>
    <row r="6133" spans="3:22" x14ac:dyDescent="0.35">
      <c r="C6133" s="15" t="s">
        <v>8</v>
      </c>
      <c r="E6133" s="15" t="s">
        <v>8</v>
      </c>
      <c r="F6133" s="15" t="s">
        <v>8</v>
      </c>
      <c r="G6133" s="15" t="s">
        <v>8</v>
      </c>
      <c r="H6133" s="15" t="s">
        <v>8</v>
      </c>
      <c r="J6133" s="15" t="s">
        <v>8</v>
      </c>
      <c r="L6133" s="15" t="s">
        <v>8</v>
      </c>
      <c r="M6133" s="15" t="s">
        <v>8</v>
      </c>
      <c r="O6133" s="15" t="s">
        <v>8</v>
      </c>
      <c r="P6133" s="15" t="s">
        <v>8</v>
      </c>
      <c r="Q6133" s="8" t="s">
        <v>3</v>
      </c>
      <c r="R6133" s="8" t="s">
        <v>6</v>
      </c>
    </row>
    <row r="6134" spans="3:22" x14ac:dyDescent="0.35">
      <c r="C6134" s="15" t="s">
        <v>8</v>
      </c>
      <c r="E6134" s="15" t="s">
        <v>8</v>
      </c>
      <c r="F6134" s="15" t="s">
        <v>8</v>
      </c>
      <c r="G6134" s="15" t="s">
        <v>8</v>
      </c>
      <c r="H6134" s="15" t="s">
        <v>8</v>
      </c>
      <c r="J6134" s="15" t="s">
        <v>8</v>
      </c>
      <c r="L6134" s="15" t="s">
        <v>8</v>
      </c>
      <c r="M6134" s="15" t="s">
        <v>8</v>
      </c>
      <c r="O6134" s="15" t="s">
        <v>8</v>
      </c>
      <c r="P6134" s="15" t="s">
        <v>8</v>
      </c>
      <c r="Q6134" s="15" t="s">
        <v>8</v>
      </c>
      <c r="R6134" s="20" t="str">
        <f>HYPERLINK("http://yeinfo.com/family/I09066765.html", "JANET JOHANNA HAMILTON 1507 ST-1527 ST ID:09066766")</f>
        <v>JANET JOHANNA HAMILTON 1507 ST-1527 ST ID:09066766</v>
      </c>
      <c r="S6134" s="17"/>
      <c r="T6134" s="17"/>
      <c r="U6134" s="17"/>
      <c r="V6134" s="17"/>
    </row>
    <row r="6135" spans="3:22" x14ac:dyDescent="0.35">
      <c r="C6135" s="15" t="s">
        <v>8</v>
      </c>
      <c r="E6135" s="15" t="s">
        <v>8</v>
      </c>
      <c r="F6135" s="15" t="s">
        <v>8</v>
      </c>
      <c r="G6135" s="15" t="s">
        <v>8</v>
      </c>
      <c r="H6135" s="15" t="s">
        <v>8</v>
      </c>
      <c r="J6135" s="15" t="s">
        <v>8</v>
      </c>
      <c r="L6135" s="15" t="s">
        <v>8</v>
      </c>
      <c r="M6135" s="15" t="s">
        <v>8</v>
      </c>
      <c r="O6135" s="15" t="s">
        <v>8</v>
      </c>
      <c r="P6135" s="8" t="s">
        <v>6</v>
      </c>
      <c r="Q6135" s="15" t="s">
        <v>8</v>
      </c>
    </row>
    <row r="6136" spans="3:22" x14ac:dyDescent="0.35">
      <c r="C6136" s="15" t="s">
        <v>8</v>
      </c>
      <c r="E6136" s="15" t="s">
        <v>8</v>
      </c>
      <c r="F6136" s="15" t="s">
        <v>8</v>
      </c>
      <c r="G6136" s="15" t="s">
        <v>8</v>
      </c>
      <c r="H6136" s="15" t="s">
        <v>8</v>
      </c>
      <c r="J6136" s="15" t="s">
        <v>8</v>
      </c>
      <c r="L6136" s="15" t="s">
        <v>8</v>
      </c>
      <c r="M6136" s="15" t="s">
        <v>8</v>
      </c>
      <c r="O6136" s="15" t="s">
        <v>8</v>
      </c>
      <c r="P6136" s="16" t="str">
        <f>HYPERLINK("http://yeinfo.com/family/I09046481.html", "MARGARET BAILLE 1557 ST-1611  ID:09023241")</f>
        <v>MARGARET BAILLE 1557 ST-1611  ID:09023241</v>
      </c>
      <c r="Q6136" s="11"/>
      <c r="R6136" s="11"/>
      <c r="S6136" s="11"/>
      <c r="T6136" s="11"/>
    </row>
    <row r="6137" spans="3:22" x14ac:dyDescent="0.35">
      <c r="C6137" s="15" t="s">
        <v>8</v>
      </c>
      <c r="E6137" s="15" t="s">
        <v>8</v>
      </c>
      <c r="F6137" s="15" t="s">
        <v>8</v>
      </c>
      <c r="G6137" s="15" t="s">
        <v>8</v>
      </c>
      <c r="H6137" s="15" t="s">
        <v>8</v>
      </c>
      <c r="J6137" s="15" t="s">
        <v>8</v>
      </c>
      <c r="L6137" s="15" t="s">
        <v>8</v>
      </c>
      <c r="M6137" s="15" t="s">
        <v>8</v>
      </c>
      <c r="O6137" s="15" t="s">
        <v>8</v>
      </c>
      <c r="Q6137" s="15" t="s">
        <v>8</v>
      </c>
    </row>
    <row r="6138" spans="3:22" x14ac:dyDescent="0.35">
      <c r="C6138" s="15" t="s">
        <v>8</v>
      </c>
      <c r="E6138" s="15" t="s">
        <v>8</v>
      </c>
      <c r="F6138" s="15" t="s">
        <v>8</v>
      </c>
      <c r="G6138" s="15" t="s">
        <v>8</v>
      </c>
      <c r="H6138" s="15" t="s">
        <v>8</v>
      </c>
      <c r="J6138" s="15" t="s">
        <v>8</v>
      </c>
      <c r="L6138" s="15" t="s">
        <v>8</v>
      </c>
      <c r="M6138" s="15" t="s">
        <v>8</v>
      </c>
      <c r="O6138" s="15" t="s">
        <v>8</v>
      </c>
      <c r="Q6138" s="15" t="s">
        <v>8</v>
      </c>
      <c r="R6138" s="19" t="str">
        <f>HYPERLINK("http://yeinfo.com/family/I09046483.html", "ROBERT MAXWELL 1505 -1525  ID:09066767")</f>
        <v>ROBERT MAXWELL 1505 -1525  ID:09066767</v>
      </c>
      <c r="S6138" s="9"/>
      <c r="T6138" s="9"/>
      <c r="U6138" s="9"/>
      <c r="V6138" s="9"/>
    </row>
    <row r="6139" spans="3:22" x14ac:dyDescent="0.35">
      <c r="C6139" s="15" t="s">
        <v>8</v>
      </c>
      <c r="E6139" s="15" t="s">
        <v>8</v>
      </c>
      <c r="F6139" s="15" t="s">
        <v>8</v>
      </c>
      <c r="G6139" s="15" t="s">
        <v>8</v>
      </c>
      <c r="H6139" s="15" t="s">
        <v>8</v>
      </c>
      <c r="J6139" s="15" t="s">
        <v>8</v>
      </c>
      <c r="L6139" s="15" t="s">
        <v>8</v>
      </c>
      <c r="M6139" s="15" t="s">
        <v>8</v>
      </c>
      <c r="O6139" s="15" t="s">
        <v>8</v>
      </c>
      <c r="Q6139" s="8" t="s">
        <v>6</v>
      </c>
      <c r="R6139" s="8" t="s">
        <v>3</v>
      </c>
    </row>
    <row r="6140" spans="3:22" x14ac:dyDescent="0.35">
      <c r="C6140" s="15" t="s">
        <v>8</v>
      </c>
      <c r="E6140" s="15" t="s">
        <v>8</v>
      </c>
      <c r="F6140" s="15" t="s">
        <v>8</v>
      </c>
      <c r="G6140" s="15" t="s">
        <v>8</v>
      </c>
      <c r="H6140" s="15" t="s">
        <v>8</v>
      </c>
      <c r="J6140" s="15" t="s">
        <v>8</v>
      </c>
      <c r="L6140" s="15" t="s">
        <v>8</v>
      </c>
      <c r="M6140" s="15" t="s">
        <v>8</v>
      </c>
      <c r="O6140" s="15" t="s">
        <v>8</v>
      </c>
      <c r="Q6140" s="20" t="str">
        <f>HYPERLINK("http://yeinfo.com/family/I09066766.html", "MARGARET MAXWELL 1525 ST-1593 ST ID:09046483")</f>
        <v>MARGARET MAXWELL 1525 ST-1593 ST ID:09046483</v>
      </c>
      <c r="R6140" s="17"/>
      <c r="S6140" s="17"/>
      <c r="T6140" s="17"/>
      <c r="U6140" s="17"/>
    </row>
    <row r="6141" spans="3:22" x14ac:dyDescent="0.35">
      <c r="C6141" s="15" t="s">
        <v>8</v>
      </c>
      <c r="E6141" s="15" t="s">
        <v>8</v>
      </c>
      <c r="F6141" s="15" t="s">
        <v>8</v>
      </c>
      <c r="G6141" s="15" t="s">
        <v>8</v>
      </c>
      <c r="H6141" s="15" t="s">
        <v>8</v>
      </c>
      <c r="J6141" s="15" t="s">
        <v>8</v>
      </c>
      <c r="L6141" s="15" t="s">
        <v>8</v>
      </c>
      <c r="M6141" s="15" t="s">
        <v>8</v>
      </c>
      <c r="O6141" s="15" t="s">
        <v>8</v>
      </c>
      <c r="R6141" s="8" t="s">
        <v>6</v>
      </c>
    </row>
    <row r="6142" spans="3:22" x14ac:dyDescent="0.35">
      <c r="C6142" s="15" t="s">
        <v>8</v>
      </c>
      <c r="E6142" s="15" t="s">
        <v>8</v>
      </c>
      <c r="F6142" s="15" t="s">
        <v>8</v>
      </c>
      <c r="G6142" s="15" t="s">
        <v>8</v>
      </c>
      <c r="H6142" s="15" t="s">
        <v>8</v>
      </c>
      <c r="J6142" s="15" t="s">
        <v>8</v>
      </c>
      <c r="L6142" s="15" t="s">
        <v>8</v>
      </c>
      <c r="M6142" s="15" t="s">
        <v>8</v>
      </c>
      <c r="O6142" s="15" t="s">
        <v>8</v>
      </c>
      <c r="R6142" s="20" t="str">
        <f>HYPERLINK("http://yeinfo.com/family/I09066767.html", "JANET DOUGLAS 1505 -1525  ID:09066768")</f>
        <v>JANET DOUGLAS 1505 -1525  ID:09066768</v>
      </c>
      <c r="S6142" s="17"/>
      <c r="T6142" s="17"/>
      <c r="U6142" s="17"/>
      <c r="V6142" s="17"/>
    </row>
    <row r="6143" spans="3:22" x14ac:dyDescent="0.35">
      <c r="C6143" s="15" t="s">
        <v>8</v>
      </c>
      <c r="E6143" s="15" t="s">
        <v>8</v>
      </c>
      <c r="F6143" s="15" t="s">
        <v>8</v>
      </c>
      <c r="G6143" s="15" t="s">
        <v>8</v>
      </c>
      <c r="H6143" s="15" t="s">
        <v>8</v>
      </c>
      <c r="J6143" s="15" t="s">
        <v>8</v>
      </c>
      <c r="L6143" s="15" t="s">
        <v>8</v>
      </c>
      <c r="M6143" s="15" t="s">
        <v>8</v>
      </c>
      <c r="O6143" s="15" t="s">
        <v>8</v>
      </c>
    </row>
    <row r="6144" spans="3:22" x14ac:dyDescent="0.35">
      <c r="C6144" s="15" t="s">
        <v>8</v>
      </c>
      <c r="E6144" s="15" t="s">
        <v>8</v>
      </c>
      <c r="F6144" s="15" t="s">
        <v>8</v>
      </c>
      <c r="G6144" s="15" t="s">
        <v>8</v>
      </c>
      <c r="H6144" s="15" t="s">
        <v>8</v>
      </c>
      <c r="J6144" s="15" t="s">
        <v>8</v>
      </c>
      <c r="L6144" s="15" t="s">
        <v>8</v>
      </c>
      <c r="M6144" s="15" t="s">
        <v>8</v>
      </c>
      <c r="N6144" s="21" t="str">
        <f>HYPERLINK("http://yeinfo.com/family/I09002905.html", "JOHN TRAINE Sr. 1610 ST-1680 MA ID:09005810")</f>
        <v>JOHN TRAINE Sr. 1610 ST-1680 MA ID:09005810</v>
      </c>
      <c r="O6144" s="6"/>
      <c r="P6144" s="6"/>
      <c r="Q6144" s="6"/>
      <c r="R6144" s="6"/>
    </row>
    <row r="6145" spans="3:19" x14ac:dyDescent="0.35">
      <c r="C6145" s="15" t="s">
        <v>8</v>
      </c>
      <c r="E6145" s="15" t="s">
        <v>8</v>
      </c>
      <c r="F6145" s="15" t="s">
        <v>8</v>
      </c>
      <c r="G6145" s="15" t="s">
        <v>8</v>
      </c>
      <c r="H6145" s="15" t="s">
        <v>8</v>
      </c>
      <c r="J6145" s="15" t="s">
        <v>8</v>
      </c>
      <c r="L6145" s="15" t="s">
        <v>8</v>
      </c>
      <c r="M6145" s="15" t="s">
        <v>8</v>
      </c>
      <c r="N6145" s="8" t="s">
        <v>3</v>
      </c>
      <c r="O6145" s="8" t="s">
        <v>6</v>
      </c>
    </row>
    <row r="6146" spans="3:19" x14ac:dyDescent="0.35">
      <c r="C6146" s="15" t="s">
        <v>8</v>
      </c>
      <c r="E6146" s="15" t="s">
        <v>8</v>
      </c>
      <c r="F6146" s="15" t="s">
        <v>8</v>
      </c>
      <c r="G6146" s="15" t="s">
        <v>8</v>
      </c>
      <c r="H6146" s="15" t="s">
        <v>8</v>
      </c>
      <c r="J6146" s="15" t="s">
        <v>8</v>
      </c>
      <c r="L6146" s="15" t="s">
        <v>8</v>
      </c>
      <c r="M6146" s="15" t="s">
        <v>8</v>
      </c>
      <c r="N6146" s="15" t="s">
        <v>8</v>
      </c>
      <c r="O6146" s="20" t="str">
        <f>HYPERLINK("http://yeinfo.com/family/I09066768.html", "ISABELLA ORR 1586 ST-1646 ST ID:09011621")</f>
        <v>ISABELLA ORR 1586 ST-1646 ST ID:09011621</v>
      </c>
      <c r="P6146" s="17"/>
      <c r="Q6146" s="17"/>
      <c r="R6146" s="17"/>
      <c r="S6146" s="17"/>
    </row>
    <row r="6147" spans="3:19" x14ac:dyDescent="0.35">
      <c r="C6147" s="15" t="s">
        <v>8</v>
      </c>
      <c r="E6147" s="15" t="s">
        <v>8</v>
      </c>
      <c r="F6147" s="15" t="s">
        <v>8</v>
      </c>
      <c r="G6147" s="15" t="s">
        <v>8</v>
      </c>
      <c r="H6147" s="15" t="s">
        <v>8</v>
      </c>
      <c r="J6147" s="15" t="s">
        <v>8</v>
      </c>
      <c r="L6147" s="15" t="s">
        <v>8</v>
      </c>
      <c r="M6147" s="8" t="s">
        <v>6</v>
      </c>
      <c r="N6147" s="15" t="s">
        <v>8</v>
      </c>
    </row>
    <row r="6148" spans="3:19" x14ac:dyDescent="0.35">
      <c r="C6148" s="15" t="s">
        <v>8</v>
      </c>
      <c r="E6148" s="15" t="s">
        <v>8</v>
      </c>
      <c r="F6148" s="15" t="s">
        <v>8</v>
      </c>
      <c r="G6148" s="15" t="s">
        <v>8</v>
      </c>
      <c r="H6148" s="15" t="s">
        <v>8</v>
      </c>
      <c r="J6148" s="15" t="s">
        <v>8</v>
      </c>
      <c r="L6148" s="15" t="s">
        <v>8</v>
      </c>
      <c r="M6148" s="16" t="str">
        <f>HYPERLINK("http://yeinfo.com/family/I09002904.html", "ELIZABETH TRAINE 1640 MA-1708  ID:09002905")</f>
        <v>ELIZABETH TRAINE 1640 MA-1708  ID:09002905</v>
      </c>
      <c r="N6148" s="11"/>
      <c r="O6148" s="11"/>
      <c r="P6148" s="11"/>
      <c r="Q6148" s="11"/>
    </row>
    <row r="6149" spans="3:19" x14ac:dyDescent="0.35">
      <c r="C6149" s="15" t="s">
        <v>8</v>
      </c>
      <c r="E6149" s="15" t="s">
        <v>8</v>
      </c>
      <c r="F6149" s="15" t="s">
        <v>8</v>
      </c>
      <c r="G6149" s="15" t="s">
        <v>8</v>
      </c>
      <c r="H6149" s="15" t="s">
        <v>8</v>
      </c>
      <c r="J6149" s="15" t="s">
        <v>8</v>
      </c>
      <c r="L6149" s="15" t="s">
        <v>8</v>
      </c>
      <c r="N6149" s="15" t="s">
        <v>8</v>
      </c>
    </row>
    <row r="6150" spans="3:19" x14ac:dyDescent="0.35">
      <c r="C6150" s="15" t="s">
        <v>8</v>
      </c>
      <c r="E6150" s="15" t="s">
        <v>8</v>
      </c>
      <c r="F6150" s="15" t="s">
        <v>8</v>
      </c>
      <c r="G6150" s="15" t="s">
        <v>8</v>
      </c>
      <c r="H6150" s="15" t="s">
        <v>8</v>
      </c>
      <c r="J6150" s="15" t="s">
        <v>8</v>
      </c>
      <c r="L6150" s="15" t="s">
        <v>8</v>
      </c>
      <c r="N6150" s="15" t="s">
        <v>8</v>
      </c>
      <c r="O6150" s="5" t="str">
        <f>HYPERLINK("http://yeinfo.com/family/I09005811.html", "EDWARD DIX 1574 EN-1617  ID:09011622")</f>
        <v>EDWARD DIX 1574 EN-1617  ID:09011622</v>
      </c>
      <c r="P6150" s="3"/>
      <c r="Q6150" s="3"/>
      <c r="R6150" s="3"/>
      <c r="S6150" s="3"/>
    </row>
    <row r="6151" spans="3:19" x14ac:dyDescent="0.35">
      <c r="C6151" s="15" t="s">
        <v>8</v>
      </c>
      <c r="E6151" s="15" t="s">
        <v>8</v>
      </c>
      <c r="F6151" s="15" t="s">
        <v>8</v>
      </c>
      <c r="G6151" s="15" t="s">
        <v>8</v>
      </c>
      <c r="H6151" s="15" t="s">
        <v>8</v>
      </c>
      <c r="J6151" s="15" t="s">
        <v>8</v>
      </c>
      <c r="L6151" s="15" t="s">
        <v>8</v>
      </c>
      <c r="N6151" s="8" t="s">
        <v>6</v>
      </c>
      <c r="O6151" s="8" t="s">
        <v>3</v>
      </c>
    </row>
    <row r="6152" spans="3:19" x14ac:dyDescent="0.35">
      <c r="C6152" s="15" t="s">
        <v>8</v>
      </c>
      <c r="E6152" s="15" t="s">
        <v>8</v>
      </c>
      <c r="F6152" s="15" t="s">
        <v>8</v>
      </c>
      <c r="G6152" s="15" t="s">
        <v>8</v>
      </c>
      <c r="H6152" s="15" t="s">
        <v>8</v>
      </c>
      <c r="J6152" s="15" t="s">
        <v>8</v>
      </c>
      <c r="L6152" s="15" t="s">
        <v>8</v>
      </c>
      <c r="N6152" s="16" t="str">
        <f>HYPERLINK("http://yeinfo.com/family/I09011621.html", "MARGARET DIX 1617 -1660 MA ID:09005811")</f>
        <v>MARGARET DIX 1617 -1660 MA ID:09005811</v>
      </c>
      <c r="O6152" s="11"/>
      <c r="P6152" s="11"/>
      <c r="Q6152" s="11"/>
      <c r="R6152" s="11"/>
    </row>
    <row r="6153" spans="3:19" x14ac:dyDescent="0.35">
      <c r="C6153" s="15" t="s">
        <v>8</v>
      </c>
      <c r="E6153" s="15" t="s">
        <v>8</v>
      </c>
      <c r="F6153" s="15" t="s">
        <v>8</v>
      </c>
      <c r="G6153" s="15" t="s">
        <v>8</v>
      </c>
      <c r="H6153" s="15" t="s">
        <v>8</v>
      </c>
      <c r="J6153" s="15" t="s">
        <v>8</v>
      </c>
      <c r="L6153" s="15" t="s">
        <v>8</v>
      </c>
      <c r="O6153" s="8" t="s">
        <v>6</v>
      </c>
    </row>
    <row r="6154" spans="3:19" x14ac:dyDescent="0.35">
      <c r="C6154" s="15" t="s">
        <v>8</v>
      </c>
      <c r="E6154" s="15" t="s">
        <v>8</v>
      </c>
      <c r="F6154" s="15" t="s">
        <v>8</v>
      </c>
      <c r="G6154" s="15" t="s">
        <v>8</v>
      </c>
      <c r="H6154" s="15" t="s">
        <v>8</v>
      </c>
      <c r="J6154" s="15" t="s">
        <v>8</v>
      </c>
      <c r="L6154" s="15" t="s">
        <v>8</v>
      </c>
      <c r="O6154" s="16" t="str">
        <f>HYPERLINK("http://yeinfo.com/family/I09011622.html", "MARY JANE WILKINSON 1578 EN-1642  ID:09011623")</f>
        <v>MARY JANE WILKINSON 1578 EN-1642  ID:09011623</v>
      </c>
      <c r="P6154" s="11"/>
      <c r="Q6154" s="11"/>
      <c r="R6154" s="11"/>
      <c r="S6154" s="11"/>
    </row>
    <row r="6155" spans="3:19" x14ac:dyDescent="0.35">
      <c r="C6155" s="15" t="s">
        <v>8</v>
      </c>
      <c r="E6155" s="15" t="s">
        <v>8</v>
      </c>
      <c r="F6155" s="15" t="s">
        <v>8</v>
      </c>
      <c r="G6155" s="15" t="s">
        <v>8</v>
      </c>
      <c r="H6155" s="15" t="s">
        <v>8</v>
      </c>
      <c r="J6155" s="15" t="s">
        <v>8</v>
      </c>
      <c r="L6155" s="15" t="s">
        <v>8</v>
      </c>
    </row>
    <row r="6156" spans="3:19" x14ac:dyDescent="0.35">
      <c r="C6156" s="15" t="s">
        <v>8</v>
      </c>
      <c r="E6156" s="15" t="s">
        <v>8</v>
      </c>
      <c r="F6156" s="15" t="s">
        <v>8</v>
      </c>
      <c r="G6156" s="15" t="s">
        <v>8</v>
      </c>
      <c r="H6156" s="15" t="s">
        <v>8</v>
      </c>
      <c r="J6156" s="15" t="s">
        <v>8</v>
      </c>
      <c r="K6156" s="5" t="str">
        <f>HYPERLINK("http://yeinfo.com/family/I09000363.html", "EBENEZER STRATTON Sr. 1692 MA-1735 MA ID:09000726")</f>
        <v>EBENEZER STRATTON Sr. 1692 MA-1735 MA ID:09000726</v>
      </c>
      <c r="L6156" s="3"/>
      <c r="M6156" s="3"/>
      <c r="N6156" s="3"/>
      <c r="O6156" s="3"/>
    </row>
    <row r="6157" spans="3:19" x14ac:dyDescent="0.35">
      <c r="C6157" s="15" t="s">
        <v>8</v>
      </c>
      <c r="E6157" s="15" t="s">
        <v>8</v>
      </c>
      <c r="F6157" s="15" t="s">
        <v>8</v>
      </c>
      <c r="G6157" s="15" t="s">
        <v>8</v>
      </c>
      <c r="H6157" s="15" t="s">
        <v>8</v>
      </c>
      <c r="J6157" s="15" t="s">
        <v>8</v>
      </c>
      <c r="K6157" s="8" t="s">
        <v>3</v>
      </c>
      <c r="L6157" s="15" t="s">
        <v>8</v>
      </c>
    </row>
    <row r="6158" spans="3:19" x14ac:dyDescent="0.35">
      <c r="C6158" s="15" t="s">
        <v>8</v>
      </c>
      <c r="E6158" s="15" t="s">
        <v>8</v>
      </c>
      <c r="F6158" s="15" t="s">
        <v>8</v>
      </c>
      <c r="G6158" s="15" t="s">
        <v>8</v>
      </c>
      <c r="H6158" s="15" t="s">
        <v>8</v>
      </c>
      <c r="J6158" s="15" t="s">
        <v>8</v>
      </c>
      <c r="K6158" s="15" t="s">
        <v>8</v>
      </c>
      <c r="L6158" s="15" t="s">
        <v>8</v>
      </c>
      <c r="N6158" s="5" t="str">
        <f>HYPERLINK("http://yeinfo.com/family/I09002906.html", "THOMAS BLANCHARD 1605 EN-1629  ID:09005812")</f>
        <v>THOMAS BLANCHARD 1605 EN-1629  ID:09005812</v>
      </c>
      <c r="O6158" s="3"/>
      <c r="P6158" s="3"/>
      <c r="Q6158" s="3"/>
      <c r="R6158" s="3"/>
    </row>
    <row r="6159" spans="3:19" x14ac:dyDescent="0.35">
      <c r="C6159" s="15" t="s">
        <v>8</v>
      </c>
      <c r="E6159" s="15" t="s">
        <v>8</v>
      </c>
      <c r="F6159" s="15" t="s">
        <v>8</v>
      </c>
      <c r="G6159" s="15" t="s">
        <v>8</v>
      </c>
      <c r="H6159" s="15" t="s">
        <v>8</v>
      </c>
      <c r="J6159" s="15" t="s">
        <v>8</v>
      </c>
      <c r="K6159" s="15" t="s">
        <v>8</v>
      </c>
      <c r="L6159" s="15" t="s">
        <v>8</v>
      </c>
      <c r="N6159" s="8" t="s">
        <v>3</v>
      </c>
    </row>
    <row r="6160" spans="3:19" x14ac:dyDescent="0.35">
      <c r="C6160" s="15" t="s">
        <v>8</v>
      </c>
      <c r="E6160" s="15" t="s">
        <v>8</v>
      </c>
      <c r="F6160" s="15" t="s">
        <v>8</v>
      </c>
      <c r="G6160" s="15" t="s">
        <v>8</v>
      </c>
      <c r="H6160" s="15" t="s">
        <v>8</v>
      </c>
      <c r="J6160" s="15" t="s">
        <v>8</v>
      </c>
      <c r="K6160" s="15" t="s">
        <v>8</v>
      </c>
      <c r="L6160" s="15" t="s">
        <v>8</v>
      </c>
      <c r="M6160" s="21" t="str">
        <f>HYPERLINK("http://yeinfo.com/family/I09001453.html", "SAMUEL BLANCHARD 1629 EN-1707 MA ID:09002906")</f>
        <v>SAMUEL BLANCHARD 1629 EN-1707 MA ID:09002906</v>
      </c>
      <c r="N6160" s="6"/>
      <c r="O6160" s="6"/>
      <c r="P6160" s="6"/>
      <c r="Q6160" s="6"/>
    </row>
    <row r="6161" spans="3:19" x14ac:dyDescent="0.35">
      <c r="C6161" s="15" t="s">
        <v>8</v>
      </c>
      <c r="E6161" s="15" t="s">
        <v>8</v>
      </c>
      <c r="F6161" s="15" t="s">
        <v>8</v>
      </c>
      <c r="G6161" s="15" t="s">
        <v>8</v>
      </c>
      <c r="H6161" s="15" t="s">
        <v>8</v>
      </c>
      <c r="J6161" s="15" t="s">
        <v>8</v>
      </c>
      <c r="K6161" s="15" t="s">
        <v>8</v>
      </c>
      <c r="L6161" s="15" t="s">
        <v>8</v>
      </c>
      <c r="M6161" s="8" t="s">
        <v>3</v>
      </c>
      <c r="N6161" s="8" t="s">
        <v>6</v>
      </c>
    </row>
    <row r="6162" spans="3:19" x14ac:dyDescent="0.35">
      <c r="C6162" s="15" t="s">
        <v>8</v>
      </c>
      <c r="E6162" s="15" t="s">
        <v>8</v>
      </c>
      <c r="F6162" s="15" t="s">
        <v>8</v>
      </c>
      <c r="G6162" s="15" t="s">
        <v>8</v>
      </c>
      <c r="H6162" s="15" t="s">
        <v>8</v>
      </c>
      <c r="J6162" s="15" t="s">
        <v>8</v>
      </c>
      <c r="K6162" s="15" t="s">
        <v>8</v>
      </c>
      <c r="L6162" s="15" t="s">
        <v>8</v>
      </c>
      <c r="M6162" s="15" t="s">
        <v>8</v>
      </c>
      <c r="N6162" s="20" t="str">
        <f>HYPERLINK("http://yeinfo.com/family/I09005812.html", "Mrs. ELIZABETH BLANCHARD 1592 EN-1636 EN ID:09005813")</f>
        <v>Mrs. ELIZABETH BLANCHARD 1592 EN-1636 EN ID:09005813</v>
      </c>
      <c r="O6162" s="17"/>
      <c r="P6162" s="17"/>
      <c r="Q6162" s="17"/>
      <c r="R6162" s="17"/>
    </row>
    <row r="6163" spans="3:19" x14ac:dyDescent="0.35">
      <c r="C6163" s="15" t="s">
        <v>8</v>
      </c>
      <c r="E6163" s="15" t="s">
        <v>8</v>
      </c>
      <c r="F6163" s="15" t="s">
        <v>8</v>
      </c>
      <c r="G6163" s="15" t="s">
        <v>8</v>
      </c>
      <c r="H6163" s="15" t="s">
        <v>8</v>
      </c>
      <c r="J6163" s="15" t="s">
        <v>8</v>
      </c>
      <c r="K6163" s="15" t="s">
        <v>8</v>
      </c>
      <c r="L6163" s="8" t="s">
        <v>6</v>
      </c>
      <c r="M6163" s="15" t="s">
        <v>8</v>
      </c>
    </row>
    <row r="6164" spans="3:19" x14ac:dyDescent="0.35">
      <c r="C6164" s="15" t="s">
        <v>8</v>
      </c>
      <c r="E6164" s="15" t="s">
        <v>8</v>
      </c>
      <c r="F6164" s="15" t="s">
        <v>8</v>
      </c>
      <c r="G6164" s="15" t="s">
        <v>8</v>
      </c>
      <c r="H6164" s="15" t="s">
        <v>8</v>
      </c>
      <c r="J6164" s="15" t="s">
        <v>8</v>
      </c>
      <c r="K6164" s="15" t="s">
        <v>8</v>
      </c>
      <c r="L6164" s="16" t="str">
        <f>HYPERLINK("http://yeinfo.com/family/I09011623.html", "ABIGAIL BLANCHARD 1668 MA-1732 MA ID:09001453")</f>
        <v>ABIGAIL BLANCHARD 1668 MA-1732 MA ID:09001453</v>
      </c>
      <c r="M6164" s="11"/>
      <c r="N6164" s="11"/>
      <c r="O6164" s="11"/>
      <c r="P6164" s="11"/>
    </row>
    <row r="6165" spans="3:19" x14ac:dyDescent="0.35">
      <c r="C6165" s="15" t="s">
        <v>8</v>
      </c>
      <c r="E6165" s="15" t="s">
        <v>8</v>
      </c>
      <c r="F6165" s="15" t="s">
        <v>8</v>
      </c>
      <c r="G6165" s="15" t="s">
        <v>8</v>
      </c>
      <c r="H6165" s="15" t="s">
        <v>8</v>
      </c>
      <c r="J6165" s="15" t="s">
        <v>8</v>
      </c>
      <c r="K6165" s="15" t="s">
        <v>8</v>
      </c>
      <c r="M6165" s="15" t="s">
        <v>8</v>
      </c>
    </row>
    <row r="6166" spans="3:19" x14ac:dyDescent="0.35">
      <c r="C6166" s="15" t="s">
        <v>8</v>
      </c>
      <c r="E6166" s="15" t="s">
        <v>8</v>
      </c>
      <c r="F6166" s="15" t="s">
        <v>8</v>
      </c>
      <c r="G6166" s="15" t="s">
        <v>8</v>
      </c>
      <c r="H6166" s="15" t="s">
        <v>8</v>
      </c>
      <c r="J6166" s="15" t="s">
        <v>8</v>
      </c>
      <c r="K6166" s="15" t="s">
        <v>8</v>
      </c>
      <c r="M6166" s="15" t="s">
        <v>8</v>
      </c>
      <c r="O6166" s="19" t="str">
        <f>HYPERLINK("http://yeinfo.com/family/I09005814.html", "JAMES SWEETSER 1562 EN-1626 EN ID:09011628")</f>
        <v>JAMES SWEETSER 1562 EN-1626 EN ID:09011628</v>
      </c>
      <c r="P6166" s="9"/>
      <c r="Q6166" s="9"/>
      <c r="R6166" s="9"/>
      <c r="S6166" s="9"/>
    </row>
    <row r="6167" spans="3:19" x14ac:dyDescent="0.35">
      <c r="C6167" s="15" t="s">
        <v>8</v>
      </c>
      <c r="E6167" s="15" t="s">
        <v>8</v>
      </c>
      <c r="F6167" s="15" t="s">
        <v>8</v>
      </c>
      <c r="G6167" s="15" t="s">
        <v>8</v>
      </c>
      <c r="H6167" s="15" t="s">
        <v>8</v>
      </c>
      <c r="J6167" s="15" t="s">
        <v>8</v>
      </c>
      <c r="K6167" s="15" t="s">
        <v>8</v>
      </c>
      <c r="M6167" s="15" t="s">
        <v>8</v>
      </c>
      <c r="O6167" s="8" t="s">
        <v>3</v>
      </c>
    </row>
    <row r="6168" spans="3:19" x14ac:dyDescent="0.35">
      <c r="C6168" s="15" t="s">
        <v>8</v>
      </c>
      <c r="E6168" s="15" t="s">
        <v>8</v>
      </c>
      <c r="F6168" s="15" t="s">
        <v>8</v>
      </c>
      <c r="G6168" s="15" t="s">
        <v>8</v>
      </c>
      <c r="H6168" s="15" t="s">
        <v>8</v>
      </c>
      <c r="J6168" s="15" t="s">
        <v>8</v>
      </c>
      <c r="K6168" s="15" t="s">
        <v>8</v>
      </c>
      <c r="M6168" s="15" t="s">
        <v>8</v>
      </c>
      <c r="N6168" s="21" t="str">
        <f>HYPERLINK("http://yeinfo.com/family/I09002907.html", "SETH SWEETSER 1606 EN-1662 MA ID:09005814")</f>
        <v>SETH SWEETSER 1606 EN-1662 MA ID:09005814</v>
      </c>
      <c r="O6168" s="6"/>
      <c r="P6168" s="6"/>
      <c r="Q6168" s="6"/>
      <c r="R6168" s="6"/>
    </row>
    <row r="6169" spans="3:19" x14ac:dyDescent="0.35">
      <c r="C6169" s="15" t="s">
        <v>8</v>
      </c>
      <c r="E6169" s="15" t="s">
        <v>8</v>
      </c>
      <c r="F6169" s="15" t="s">
        <v>8</v>
      </c>
      <c r="G6169" s="15" t="s">
        <v>8</v>
      </c>
      <c r="H6169" s="15" t="s">
        <v>8</v>
      </c>
      <c r="J6169" s="15" t="s">
        <v>8</v>
      </c>
      <c r="K6169" s="15" t="s">
        <v>8</v>
      </c>
      <c r="M6169" s="15" t="s">
        <v>8</v>
      </c>
      <c r="N6169" s="8" t="s">
        <v>3</v>
      </c>
      <c r="O6169" s="8" t="s">
        <v>6</v>
      </c>
    </row>
    <row r="6170" spans="3:19" x14ac:dyDescent="0.35">
      <c r="C6170" s="15" t="s">
        <v>8</v>
      </c>
      <c r="E6170" s="15" t="s">
        <v>8</v>
      </c>
      <c r="F6170" s="15" t="s">
        <v>8</v>
      </c>
      <c r="G6170" s="15" t="s">
        <v>8</v>
      </c>
      <c r="H6170" s="15" t="s">
        <v>8</v>
      </c>
      <c r="J6170" s="15" t="s">
        <v>8</v>
      </c>
      <c r="K6170" s="15" t="s">
        <v>8</v>
      </c>
      <c r="M6170" s="15" t="s">
        <v>8</v>
      </c>
      <c r="N6170" s="15" t="s">
        <v>8</v>
      </c>
      <c r="O6170" s="20" t="str">
        <f>HYPERLINK("http://yeinfo.com/family/I09011628.html", "JOAN STOWELL 1577 EN-1607 EN ID:09011629")</f>
        <v>JOAN STOWELL 1577 EN-1607 EN ID:09011629</v>
      </c>
      <c r="P6170" s="17"/>
      <c r="Q6170" s="17"/>
      <c r="R6170" s="17"/>
      <c r="S6170" s="17"/>
    </row>
    <row r="6171" spans="3:19" x14ac:dyDescent="0.35">
      <c r="C6171" s="15" t="s">
        <v>8</v>
      </c>
      <c r="E6171" s="15" t="s">
        <v>8</v>
      </c>
      <c r="F6171" s="15" t="s">
        <v>8</v>
      </c>
      <c r="G6171" s="15" t="s">
        <v>8</v>
      </c>
      <c r="H6171" s="15" t="s">
        <v>8</v>
      </c>
      <c r="J6171" s="15" t="s">
        <v>8</v>
      </c>
      <c r="K6171" s="15" t="s">
        <v>8</v>
      </c>
      <c r="M6171" s="8" t="s">
        <v>6</v>
      </c>
      <c r="N6171" s="15" t="s">
        <v>8</v>
      </c>
    </row>
    <row r="6172" spans="3:19" x14ac:dyDescent="0.35">
      <c r="C6172" s="15" t="s">
        <v>8</v>
      </c>
      <c r="E6172" s="15" t="s">
        <v>8</v>
      </c>
      <c r="F6172" s="15" t="s">
        <v>8</v>
      </c>
      <c r="G6172" s="15" t="s">
        <v>8</v>
      </c>
      <c r="H6172" s="15" t="s">
        <v>8</v>
      </c>
      <c r="J6172" s="15" t="s">
        <v>8</v>
      </c>
      <c r="K6172" s="15" t="s">
        <v>8</v>
      </c>
      <c r="M6172" s="16" t="str">
        <f>HYPERLINK("http://yeinfo.com/family/I09005813.html", "MARY SWEETSER 1637 MA-1669 MA ID:09002907")</f>
        <v>MARY SWEETSER 1637 MA-1669 MA ID:09002907</v>
      </c>
      <c r="N6172" s="11"/>
      <c r="O6172" s="11"/>
      <c r="P6172" s="11"/>
      <c r="Q6172" s="11"/>
    </row>
    <row r="6173" spans="3:19" x14ac:dyDescent="0.35">
      <c r="C6173" s="15" t="s">
        <v>8</v>
      </c>
      <c r="E6173" s="15" t="s">
        <v>8</v>
      </c>
      <c r="F6173" s="15" t="s">
        <v>8</v>
      </c>
      <c r="G6173" s="15" t="s">
        <v>8</v>
      </c>
      <c r="H6173" s="15" t="s">
        <v>8</v>
      </c>
      <c r="J6173" s="15" t="s">
        <v>8</v>
      </c>
      <c r="K6173" s="15" t="s">
        <v>8</v>
      </c>
      <c r="N6173" s="8" t="s">
        <v>6</v>
      </c>
    </row>
    <row r="6174" spans="3:19" x14ac:dyDescent="0.35">
      <c r="C6174" s="15" t="s">
        <v>8</v>
      </c>
      <c r="E6174" s="15" t="s">
        <v>8</v>
      </c>
      <c r="F6174" s="15" t="s">
        <v>8</v>
      </c>
      <c r="G6174" s="15" t="s">
        <v>8</v>
      </c>
      <c r="H6174" s="15" t="s">
        <v>8</v>
      </c>
      <c r="J6174" s="15" t="s">
        <v>8</v>
      </c>
      <c r="K6174" s="15" t="s">
        <v>8</v>
      </c>
      <c r="N6174" s="22" t="str">
        <f>HYPERLINK("http://yeinfo.com/family/I09011629.html", "BETHIA COOKE 1610 EN-1661 MA ID:09005815")</f>
        <v>BETHIA COOKE 1610 EN-1661 MA ID:09005815</v>
      </c>
      <c r="O6174" s="13"/>
      <c r="P6174" s="13"/>
      <c r="Q6174" s="13"/>
      <c r="R6174" s="13"/>
    </row>
    <row r="6175" spans="3:19" x14ac:dyDescent="0.35">
      <c r="C6175" s="15" t="s">
        <v>8</v>
      </c>
      <c r="E6175" s="15" t="s">
        <v>8</v>
      </c>
      <c r="F6175" s="15" t="s">
        <v>8</v>
      </c>
      <c r="G6175" s="15" t="s">
        <v>8</v>
      </c>
      <c r="H6175" s="15" t="s">
        <v>8</v>
      </c>
      <c r="J6175" s="8" t="s">
        <v>6</v>
      </c>
      <c r="K6175" s="15" t="s">
        <v>8</v>
      </c>
    </row>
    <row r="6176" spans="3:19" x14ac:dyDescent="0.35">
      <c r="C6176" s="15" t="s">
        <v>8</v>
      </c>
      <c r="E6176" s="15" t="s">
        <v>8</v>
      </c>
      <c r="F6176" s="15" t="s">
        <v>8</v>
      </c>
      <c r="G6176" s="15" t="s">
        <v>8</v>
      </c>
      <c r="H6176" s="15" t="s">
        <v>8</v>
      </c>
      <c r="J6176" s="22" t="str">
        <f>HYPERLINK("http://yeinfo.com/family/I09002903.html", "THANKFUL STRATTON 1721 EN-1796 MA ID:09000363")</f>
        <v>THANKFUL STRATTON 1721 EN-1796 MA ID:09000363</v>
      </c>
      <c r="K6176" s="13"/>
      <c r="L6176" s="13"/>
      <c r="M6176" s="13"/>
      <c r="N6176" s="13"/>
    </row>
    <row r="6177" spans="3:18" x14ac:dyDescent="0.35">
      <c r="C6177" s="15" t="s">
        <v>8</v>
      </c>
      <c r="E6177" s="15" t="s">
        <v>8</v>
      </c>
      <c r="F6177" s="15" t="s">
        <v>8</v>
      </c>
      <c r="G6177" s="15" t="s">
        <v>8</v>
      </c>
      <c r="H6177" s="15" t="s">
        <v>8</v>
      </c>
      <c r="K6177" s="15" t="s">
        <v>8</v>
      </c>
    </row>
    <row r="6178" spans="3:18" x14ac:dyDescent="0.35">
      <c r="C6178" s="15" t="s">
        <v>8</v>
      </c>
      <c r="E6178" s="15" t="s">
        <v>8</v>
      </c>
      <c r="F6178" s="15" t="s">
        <v>8</v>
      </c>
      <c r="G6178" s="15" t="s">
        <v>8</v>
      </c>
      <c r="H6178" s="15" t="s">
        <v>8</v>
      </c>
      <c r="K6178" s="15" t="s">
        <v>8</v>
      </c>
      <c r="N6178" s="19" t="str">
        <f>HYPERLINK("http://yeinfo.com/family/I09002908.html", "RODGER FULLER 1572 EN-1644 EN ID:09005816")</f>
        <v>RODGER FULLER 1572 EN-1644 EN ID:09005816</v>
      </c>
      <c r="O6178" s="9"/>
      <c r="P6178" s="9"/>
      <c r="Q6178" s="9"/>
      <c r="R6178" s="9"/>
    </row>
    <row r="6179" spans="3:18" x14ac:dyDescent="0.35">
      <c r="C6179" s="15" t="s">
        <v>8</v>
      </c>
      <c r="E6179" s="15" t="s">
        <v>8</v>
      </c>
      <c r="F6179" s="15" t="s">
        <v>8</v>
      </c>
      <c r="G6179" s="15" t="s">
        <v>8</v>
      </c>
      <c r="H6179" s="15" t="s">
        <v>8</v>
      </c>
      <c r="K6179" s="15" t="s">
        <v>8</v>
      </c>
      <c r="N6179" s="8" t="s">
        <v>3</v>
      </c>
    </row>
    <row r="6180" spans="3:18" x14ac:dyDescent="0.35">
      <c r="C6180" s="15" t="s">
        <v>8</v>
      </c>
      <c r="E6180" s="15" t="s">
        <v>8</v>
      </c>
      <c r="F6180" s="15" t="s">
        <v>8</v>
      </c>
      <c r="G6180" s="15" t="s">
        <v>8</v>
      </c>
      <c r="H6180" s="15" t="s">
        <v>8</v>
      </c>
      <c r="K6180" s="15" t="s">
        <v>8</v>
      </c>
      <c r="M6180" s="5" t="str">
        <f>HYPERLINK("http://yeinfo.com/family/I09001454.html", "JOHN FULLER Sr. 1611 -1698 MA ID:09002908")</f>
        <v>JOHN FULLER Sr. 1611 -1698 MA ID:09002908</v>
      </c>
      <c r="N6180" s="3"/>
      <c r="O6180" s="3"/>
      <c r="P6180" s="3"/>
      <c r="Q6180" s="3"/>
    </row>
    <row r="6181" spans="3:18" x14ac:dyDescent="0.35">
      <c r="C6181" s="15" t="s">
        <v>8</v>
      </c>
      <c r="E6181" s="15" t="s">
        <v>8</v>
      </c>
      <c r="F6181" s="15" t="s">
        <v>8</v>
      </c>
      <c r="G6181" s="15" t="s">
        <v>8</v>
      </c>
      <c r="H6181" s="15" t="s">
        <v>8</v>
      </c>
      <c r="K6181" s="15" t="s">
        <v>8</v>
      </c>
      <c r="M6181" s="8" t="s">
        <v>3</v>
      </c>
      <c r="N6181" s="8" t="s">
        <v>6</v>
      </c>
    </row>
    <row r="6182" spans="3:18" x14ac:dyDescent="0.35">
      <c r="C6182" s="15" t="s">
        <v>8</v>
      </c>
      <c r="E6182" s="15" t="s">
        <v>8</v>
      </c>
      <c r="F6182" s="15" t="s">
        <v>8</v>
      </c>
      <c r="G6182" s="15" t="s">
        <v>8</v>
      </c>
      <c r="H6182" s="15" t="s">
        <v>8</v>
      </c>
      <c r="K6182" s="15" t="s">
        <v>8</v>
      </c>
      <c r="M6182" s="15" t="s">
        <v>8</v>
      </c>
      <c r="N6182" s="20" t="str">
        <f>HYPERLINK("http://yeinfo.com/family/I09005816.html", "JANE GOWAN 1580 EN-1611 EN ID:09005817")</f>
        <v>JANE GOWAN 1580 EN-1611 EN ID:09005817</v>
      </c>
      <c r="O6182" s="17"/>
      <c r="P6182" s="17"/>
      <c r="Q6182" s="17"/>
      <c r="R6182" s="17"/>
    </row>
    <row r="6183" spans="3:18" x14ac:dyDescent="0.35">
      <c r="C6183" s="15" t="s">
        <v>8</v>
      </c>
      <c r="E6183" s="15" t="s">
        <v>8</v>
      </c>
      <c r="F6183" s="15" t="s">
        <v>8</v>
      </c>
      <c r="G6183" s="15" t="s">
        <v>8</v>
      </c>
      <c r="H6183" s="15" t="s">
        <v>8</v>
      </c>
      <c r="K6183" s="15" t="s">
        <v>8</v>
      </c>
      <c r="M6183" s="15" t="s">
        <v>8</v>
      </c>
    </row>
    <row r="6184" spans="3:18" x14ac:dyDescent="0.35">
      <c r="C6184" s="15" t="s">
        <v>8</v>
      </c>
      <c r="E6184" s="15" t="s">
        <v>8</v>
      </c>
      <c r="F6184" s="15" t="s">
        <v>8</v>
      </c>
      <c r="G6184" s="15" t="s">
        <v>8</v>
      </c>
      <c r="H6184" s="15" t="s">
        <v>8</v>
      </c>
      <c r="K6184" s="15" t="s">
        <v>8</v>
      </c>
      <c r="L6184" s="5" t="str">
        <f>HYPERLINK("http://yeinfo.com/family/I09000727.html", "JOSEPH FULLER 1652 MA-1691 MA ID:09001454")</f>
        <v>JOSEPH FULLER 1652 MA-1691 MA ID:09001454</v>
      </c>
      <c r="M6184" s="3"/>
      <c r="N6184" s="3"/>
      <c r="O6184" s="3"/>
      <c r="P6184" s="3"/>
    </row>
    <row r="6185" spans="3:18" x14ac:dyDescent="0.35">
      <c r="C6185" s="15" t="s">
        <v>8</v>
      </c>
      <c r="E6185" s="15" t="s">
        <v>8</v>
      </c>
      <c r="F6185" s="15" t="s">
        <v>8</v>
      </c>
      <c r="G6185" s="15" t="s">
        <v>8</v>
      </c>
      <c r="H6185" s="15" t="s">
        <v>8</v>
      </c>
      <c r="K6185" s="15" t="s">
        <v>8</v>
      </c>
      <c r="L6185" s="8" t="s">
        <v>3</v>
      </c>
      <c r="M6185" s="15" t="s">
        <v>8</v>
      </c>
    </row>
    <row r="6186" spans="3:18" x14ac:dyDescent="0.35">
      <c r="C6186" s="15" t="s">
        <v>8</v>
      </c>
      <c r="E6186" s="15" t="s">
        <v>8</v>
      </c>
      <c r="F6186" s="15" t="s">
        <v>8</v>
      </c>
      <c r="G6186" s="15" t="s">
        <v>8</v>
      </c>
      <c r="H6186" s="15" t="s">
        <v>8</v>
      </c>
      <c r="K6186" s="15" t="s">
        <v>8</v>
      </c>
      <c r="L6186" s="15" t="s">
        <v>8</v>
      </c>
      <c r="M6186" s="15" t="s">
        <v>8</v>
      </c>
      <c r="N6186" s="19" t="str">
        <f>HYPERLINK("http://yeinfo.com/family/I09002909.html", "WALTER COLE 1585 EN-1652 EN ID:09005818")</f>
        <v>WALTER COLE 1585 EN-1652 EN ID:09005818</v>
      </c>
      <c r="O6186" s="9"/>
      <c r="P6186" s="9"/>
      <c r="Q6186" s="9"/>
      <c r="R6186" s="9"/>
    </row>
    <row r="6187" spans="3:18" x14ac:dyDescent="0.35">
      <c r="C6187" s="15" t="s">
        <v>8</v>
      </c>
      <c r="E6187" s="15" t="s">
        <v>8</v>
      </c>
      <c r="F6187" s="15" t="s">
        <v>8</v>
      </c>
      <c r="G6187" s="15" t="s">
        <v>8</v>
      </c>
      <c r="H6187" s="15" t="s">
        <v>8</v>
      </c>
      <c r="K6187" s="15" t="s">
        <v>8</v>
      </c>
      <c r="L6187" s="15" t="s">
        <v>8</v>
      </c>
      <c r="M6187" s="8" t="s">
        <v>6</v>
      </c>
      <c r="N6187" s="8" t="s">
        <v>3</v>
      </c>
    </row>
    <row r="6188" spans="3:18" x14ac:dyDescent="0.35">
      <c r="C6188" s="15" t="s">
        <v>8</v>
      </c>
      <c r="E6188" s="15" t="s">
        <v>8</v>
      </c>
      <c r="F6188" s="15" t="s">
        <v>8</v>
      </c>
      <c r="G6188" s="15" t="s">
        <v>8</v>
      </c>
      <c r="H6188" s="15" t="s">
        <v>8</v>
      </c>
      <c r="K6188" s="15" t="s">
        <v>8</v>
      </c>
      <c r="L6188" s="15" t="s">
        <v>8</v>
      </c>
      <c r="M6188" s="22" t="str">
        <f>HYPERLINK("http://yeinfo.com/family/I09005817.html", "ELIZABETH COLE 1617 EN-1700 MA ID:09002909")</f>
        <v>ELIZABETH COLE 1617 EN-1700 MA ID:09002909</v>
      </c>
      <c r="N6188" s="13"/>
      <c r="O6188" s="13"/>
      <c r="P6188" s="13"/>
      <c r="Q6188" s="13"/>
    </row>
    <row r="6189" spans="3:18" x14ac:dyDescent="0.35">
      <c r="C6189" s="15" t="s">
        <v>8</v>
      </c>
      <c r="E6189" s="15" t="s">
        <v>8</v>
      </c>
      <c r="F6189" s="15" t="s">
        <v>8</v>
      </c>
      <c r="G6189" s="15" t="s">
        <v>8</v>
      </c>
      <c r="H6189" s="15" t="s">
        <v>8</v>
      </c>
      <c r="K6189" s="15" t="s">
        <v>8</v>
      </c>
      <c r="L6189" s="15" t="s">
        <v>8</v>
      </c>
      <c r="N6189" s="8" t="s">
        <v>6</v>
      </c>
    </row>
    <row r="6190" spans="3:18" x14ac:dyDescent="0.35">
      <c r="C6190" s="15" t="s">
        <v>8</v>
      </c>
      <c r="E6190" s="15" t="s">
        <v>8</v>
      </c>
      <c r="F6190" s="15" t="s">
        <v>8</v>
      </c>
      <c r="G6190" s="15" t="s">
        <v>8</v>
      </c>
      <c r="H6190" s="15" t="s">
        <v>8</v>
      </c>
      <c r="K6190" s="15" t="s">
        <v>8</v>
      </c>
      <c r="L6190" s="15" t="s">
        <v>8</v>
      </c>
      <c r="N6190" s="20" t="str">
        <f>HYPERLINK("http://yeinfo.com/family/I09005818.html", "Mrs. SUSAN COLE 1590 EN-1617 EN ID:09005819")</f>
        <v>Mrs. SUSAN COLE 1590 EN-1617 EN ID:09005819</v>
      </c>
      <c r="O6190" s="17"/>
      <c r="P6190" s="17"/>
      <c r="Q6190" s="17"/>
      <c r="R6190" s="17"/>
    </row>
    <row r="6191" spans="3:18" x14ac:dyDescent="0.35">
      <c r="C6191" s="15" t="s">
        <v>8</v>
      </c>
      <c r="E6191" s="15" t="s">
        <v>8</v>
      </c>
      <c r="F6191" s="15" t="s">
        <v>8</v>
      </c>
      <c r="G6191" s="15" t="s">
        <v>8</v>
      </c>
      <c r="H6191" s="15" t="s">
        <v>8</v>
      </c>
      <c r="K6191" s="8" t="s">
        <v>6</v>
      </c>
      <c r="L6191" s="15" t="s">
        <v>8</v>
      </c>
    </row>
    <row r="6192" spans="3:18" x14ac:dyDescent="0.35">
      <c r="C6192" s="15" t="s">
        <v>8</v>
      </c>
      <c r="E6192" s="15" t="s">
        <v>8</v>
      </c>
      <c r="F6192" s="15" t="s">
        <v>8</v>
      </c>
      <c r="G6192" s="15" t="s">
        <v>8</v>
      </c>
      <c r="H6192" s="15" t="s">
        <v>8</v>
      </c>
      <c r="K6192" s="16" t="str">
        <f>HYPERLINK("http://yeinfo.com/family/I09005815.html", "LYDIA FULLER 1691 MA-1774 MA ID:09000727")</f>
        <v>LYDIA FULLER 1691 MA-1774 MA ID:09000727</v>
      </c>
      <c r="L6192" s="11"/>
      <c r="M6192" s="11"/>
      <c r="N6192" s="11"/>
      <c r="O6192" s="11"/>
    </row>
    <row r="6193" spans="3:18" x14ac:dyDescent="0.35">
      <c r="C6193" s="15" t="s">
        <v>8</v>
      </c>
      <c r="E6193" s="15" t="s">
        <v>8</v>
      </c>
      <c r="F6193" s="15" t="s">
        <v>8</v>
      </c>
      <c r="G6193" s="15" t="s">
        <v>8</v>
      </c>
      <c r="H6193" s="15" t="s">
        <v>8</v>
      </c>
      <c r="L6193" s="15" t="s">
        <v>8</v>
      </c>
    </row>
    <row r="6194" spans="3:18" x14ac:dyDescent="0.35">
      <c r="C6194" s="15" t="s">
        <v>8</v>
      </c>
      <c r="E6194" s="15" t="s">
        <v>8</v>
      </c>
      <c r="F6194" s="15" t="s">
        <v>8</v>
      </c>
      <c r="G6194" s="15" t="s">
        <v>8</v>
      </c>
      <c r="H6194" s="15" t="s">
        <v>8</v>
      </c>
      <c r="L6194" s="15" t="s">
        <v>8</v>
      </c>
      <c r="M6194" s="5" t="str">
        <f>HYPERLINK("http://yeinfo.com/family/I09001455.html", "EDWARD\EDMUND JACKSON 1603 -1681 EN ID:09002910")</f>
        <v>EDWARD\EDMUND JACKSON 1603 -1681 EN ID:09002910</v>
      </c>
      <c r="N6194" s="3"/>
      <c r="O6194" s="3"/>
      <c r="P6194" s="3"/>
      <c r="Q6194" s="3"/>
      <c r="R6194" s="3"/>
    </row>
    <row r="6195" spans="3:18" x14ac:dyDescent="0.35">
      <c r="C6195" s="15" t="s">
        <v>8</v>
      </c>
      <c r="E6195" s="15" t="s">
        <v>8</v>
      </c>
      <c r="F6195" s="15" t="s">
        <v>8</v>
      </c>
      <c r="G6195" s="15" t="s">
        <v>8</v>
      </c>
      <c r="H6195" s="15" t="s">
        <v>8</v>
      </c>
      <c r="L6195" s="8" t="s">
        <v>6</v>
      </c>
      <c r="M6195" s="8" t="s">
        <v>3</v>
      </c>
    </row>
    <row r="6196" spans="3:18" x14ac:dyDescent="0.35">
      <c r="C6196" s="15" t="s">
        <v>8</v>
      </c>
      <c r="E6196" s="15" t="s">
        <v>8</v>
      </c>
      <c r="F6196" s="15" t="s">
        <v>8</v>
      </c>
      <c r="G6196" s="15" t="s">
        <v>8</v>
      </c>
      <c r="H6196" s="15" t="s">
        <v>8</v>
      </c>
      <c r="L6196" s="16" t="str">
        <f>HYPERLINK("http://yeinfo.com/family/I09005819.html", "LYDIA JACKSON 1656 MA-1726 MA ID:09001455")</f>
        <v>LYDIA JACKSON 1656 MA-1726 MA ID:09001455</v>
      </c>
      <c r="M6196" s="11"/>
      <c r="N6196" s="11"/>
      <c r="O6196" s="11"/>
      <c r="P6196" s="11"/>
    </row>
    <row r="6197" spans="3:18" x14ac:dyDescent="0.35">
      <c r="C6197" s="15" t="s">
        <v>8</v>
      </c>
      <c r="E6197" s="15" t="s">
        <v>8</v>
      </c>
      <c r="F6197" s="15" t="s">
        <v>8</v>
      </c>
      <c r="G6197" s="15" t="s">
        <v>8</v>
      </c>
      <c r="H6197" s="15" t="s">
        <v>8</v>
      </c>
      <c r="M6197" s="8" t="s">
        <v>6</v>
      </c>
    </row>
    <row r="6198" spans="3:18" x14ac:dyDescent="0.35">
      <c r="C6198" s="15" t="s">
        <v>8</v>
      </c>
      <c r="E6198" s="15" t="s">
        <v>8</v>
      </c>
      <c r="F6198" s="15" t="s">
        <v>8</v>
      </c>
      <c r="G6198" s="15" t="s">
        <v>8</v>
      </c>
      <c r="H6198" s="15" t="s">
        <v>8</v>
      </c>
      <c r="M6198" s="22" t="str">
        <f>HYPERLINK("http://yeinfo.com/family/I09002910.html", "ELIZABETH NEWGATE 1617 EN-1709 MA ID:09002911")</f>
        <v>ELIZABETH NEWGATE 1617 EN-1709 MA ID:09002911</v>
      </c>
      <c r="N6198" s="13"/>
      <c r="O6198" s="13"/>
      <c r="P6198" s="13"/>
      <c r="Q6198" s="13"/>
    </row>
    <row r="6199" spans="3:18" x14ac:dyDescent="0.35">
      <c r="C6199" s="15" t="s">
        <v>8</v>
      </c>
      <c r="E6199" s="15" t="s">
        <v>8</v>
      </c>
      <c r="F6199" s="15" t="s">
        <v>8</v>
      </c>
      <c r="G6199" s="8" t="s">
        <v>6</v>
      </c>
      <c r="H6199" s="15" t="s">
        <v>8</v>
      </c>
    </row>
    <row r="6200" spans="3:18" x14ac:dyDescent="0.35">
      <c r="C6200" s="15" t="s">
        <v>8</v>
      </c>
      <c r="E6200" s="15" t="s">
        <v>8</v>
      </c>
      <c r="F6200" s="15" t="s">
        <v>8</v>
      </c>
      <c r="G6200" s="16" t="str">
        <f>HYPERLINK("http://yeinfo.com/family/I09000719.html", "DOLLY DEAN 1803 VT-1863 VT ID:09000045")</f>
        <v>DOLLY DEAN 1803 VT-1863 VT ID:09000045</v>
      </c>
      <c r="H6200" s="11"/>
      <c r="I6200" s="11"/>
      <c r="J6200" s="11"/>
      <c r="K6200" s="11"/>
    </row>
    <row r="6201" spans="3:18" x14ac:dyDescent="0.35">
      <c r="C6201" s="15" t="s">
        <v>8</v>
      </c>
      <c r="E6201" s="15" t="s">
        <v>8</v>
      </c>
      <c r="F6201" s="15" t="s">
        <v>8</v>
      </c>
      <c r="H6201" s="15" t="s">
        <v>8</v>
      </c>
    </row>
    <row r="6202" spans="3:18" x14ac:dyDescent="0.35">
      <c r="C6202" s="15" t="s">
        <v>8</v>
      </c>
      <c r="E6202" s="15" t="s">
        <v>8</v>
      </c>
      <c r="F6202" s="15" t="s">
        <v>8</v>
      </c>
      <c r="H6202" s="15" t="s">
        <v>8</v>
      </c>
      <c r="L6202" s="5" t="str">
        <f>HYPERLINK("http://yeinfo.com/family/I09000728.html", "EDWARD GOSS 1636 MA-1668 MA ID:09001456")</f>
        <v>EDWARD GOSS 1636 MA-1668 MA ID:09001456</v>
      </c>
      <c r="M6202" s="3"/>
      <c r="N6202" s="3"/>
      <c r="O6202" s="3"/>
      <c r="P6202" s="3"/>
    </row>
    <row r="6203" spans="3:18" x14ac:dyDescent="0.35">
      <c r="C6203" s="15" t="s">
        <v>8</v>
      </c>
      <c r="E6203" s="15" t="s">
        <v>8</v>
      </c>
      <c r="F6203" s="15" t="s">
        <v>8</v>
      </c>
      <c r="H6203" s="15" t="s">
        <v>8</v>
      </c>
      <c r="L6203" s="8" t="s">
        <v>3</v>
      </c>
    </row>
    <row r="6204" spans="3:18" x14ac:dyDescent="0.35">
      <c r="C6204" s="15" t="s">
        <v>8</v>
      </c>
      <c r="E6204" s="15" t="s">
        <v>8</v>
      </c>
      <c r="F6204" s="15" t="s">
        <v>8</v>
      </c>
      <c r="H6204" s="15" t="s">
        <v>8</v>
      </c>
      <c r="K6204" s="5" t="str">
        <f>HYPERLINK("http://yeinfo.com/family/I09000364.html", "RICHARD GOSS Sr. 1662 MA-1715 MA ID:09000728")</f>
        <v>RICHARD GOSS Sr. 1662 MA-1715 MA ID:09000728</v>
      </c>
      <c r="L6204" s="3"/>
      <c r="M6204" s="3"/>
      <c r="N6204" s="3"/>
      <c r="O6204" s="3"/>
    </row>
    <row r="6205" spans="3:18" x14ac:dyDescent="0.35">
      <c r="C6205" s="15" t="s">
        <v>8</v>
      </c>
      <c r="E6205" s="15" t="s">
        <v>8</v>
      </c>
      <c r="F6205" s="15" t="s">
        <v>8</v>
      </c>
      <c r="H6205" s="15" t="s">
        <v>8</v>
      </c>
      <c r="K6205" s="8" t="s">
        <v>3</v>
      </c>
      <c r="L6205" s="8" t="s">
        <v>6</v>
      </c>
    </row>
    <row r="6206" spans="3:18" x14ac:dyDescent="0.35">
      <c r="C6206" s="15" t="s">
        <v>8</v>
      </c>
      <c r="E6206" s="15" t="s">
        <v>8</v>
      </c>
      <c r="F6206" s="15" t="s">
        <v>8</v>
      </c>
      <c r="H6206" s="15" t="s">
        <v>8</v>
      </c>
      <c r="K6206" s="15" t="s">
        <v>8</v>
      </c>
      <c r="L6206" s="16" t="str">
        <f>HYPERLINK("http://yeinfo.com/family/I09001456.html", "Mrs. {_?_} GOSS 1640 MA-1662 MA ID:09001457")</f>
        <v>Mrs. {_?_} GOSS 1640 MA-1662 MA ID:09001457</v>
      </c>
      <c r="M6206" s="11"/>
      <c r="N6206" s="11"/>
      <c r="O6206" s="11"/>
      <c r="P6206" s="11"/>
    </row>
    <row r="6207" spans="3:18" x14ac:dyDescent="0.35">
      <c r="C6207" s="15" t="s">
        <v>8</v>
      </c>
      <c r="E6207" s="15" t="s">
        <v>8</v>
      </c>
      <c r="F6207" s="15" t="s">
        <v>8</v>
      </c>
      <c r="H6207" s="15" t="s">
        <v>8</v>
      </c>
      <c r="K6207" s="15" t="s">
        <v>8</v>
      </c>
    </row>
    <row r="6208" spans="3:18" x14ac:dyDescent="0.35">
      <c r="C6208" s="15" t="s">
        <v>8</v>
      </c>
      <c r="E6208" s="15" t="s">
        <v>8</v>
      </c>
      <c r="F6208" s="15" t="s">
        <v>8</v>
      </c>
      <c r="H6208" s="15" t="s">
        <v>8</v>
      </c>
      <c r="J6208" s="5" t="str">
        <f>HYPERLINK("http://yeinfo.com/family/I09000182.html", "JOHN GOSS 1700 MA-1779 NY ID:09000364")</f>
        <v>JOHN GOSS 1700 MA-1779 NY ID:09000364</v>
      </c>
      <c r="K6208" s="3"/>
      <c r="L6208" s="3"/>
      <c r="M6208" s="3"/>
      <c r="N6208" s="3"/>
    </row>
    <row r="6209" spans="3:17" x14ac:dyDescent="0.35">
      <c r="C6209" s="15" t="s">
        <v>8</v>
      </c>
      <c r="E6209" s="15" t="s">
        <v>8</v>
      </c>
      <c r="F6209" s="15" t="s">
        <v>8</v>
      </c>
      <c r="H6209" s="15" t="s">
        <v>8</v>
      </c>
      <c r="J6209" s="8" t="s">
        <v>3</v>
      </c>
      <c r="K6209" s="15" t="s">
        <v>8</v>
      </c>
    </row>
    <row r="6210" spans="3:17" x14ac:dyDescent="0.35">
      <c r="C6210" s="15" t="s">
        <v>8</v>
      </c>
      <c r="E6210" s="15" t="s">
        <v>8</v>
      </c>
      <c r="F6210" s="15" t="s">
        <v>8</v>
      </c>
      <c r="H6210" s="15" t="s">
        <v>8</v>
      </c>
      <c r="J6210" s="15" t="s">
        <v>8</v>
      </c>
      <c r="K6210" s="15" t="s">
        <v>8</v>
      </c>
      <c r="L6210" s="21" t="str">
        <f>HYPERLINK("http://yeinfo.com/family/I09000729.html", "JOHN FOSS 1638 DN-1710 NH ID:09001458")</f>
        <v>JOHN FOSS 1638 DN-1710 NH ID:09001458</v>
      </c>
      <c r="M6210" s="6"/>
      <c r="N6210" s="6"/>
      <c r="O6210" s="6"/>
      <c r="P6210" s="6"/>
    </row>
    <row r="6211" spans="3:17" x14ac:dyDescent="0.35">
      <c r="C6211" s="15" t="s">
        <v>8</v>
      </c>
      <c r="E6211" s="15" t="s">
        <v>8</v>
      </c>
      <c r="F6211" s="15" t="s">
        <v>8</v>
      </c>
      <c r="H6211" s="15" t="s">
        <v>8</v>
      </c>
      <c r="J6211" s="15" t="s">
        <v>8</v>
      </c>
      <c r="K6211" s="8" t="s">
        <v>6</v>
      </c>
      <c r="L6211" s="8" t="s">
        <v>3</v>
      </c>
    </row>
    <row r="6212" spans="3:17" x14ac:dyDescent="0.35">
      <c r="C6212" s="15" t="s">
        <v>8</v>
      </c>
      <c r="E6212" s="15" t="s">
        <v>8</v>
      </c>
      <c r="F6212" s="15" t="s">
        <v>8</v>
      </c>
      <c r="H6212" s="15" t="s">
        <v>8</v>
      </c>
      <c r="J6212" s="15" t="s">
        <v>8</v>
      </c>
      <c r="K6212" s="16" t="str">
        <f>HYPERLINK("http://yeinfo.com/family/I09001457.html", "MARTHA FOSS 1672 MA-1714 MA ID:09000729")</f>
        <v>MARTHA FOSS 1672 MA-1714 MA ID:09000729</v>
      </c>
      <c r="L6212" s="11"/>
      <c r="M6212" s="11"/>
      <c r="N6212" s="11"/>
      <c r="O6212" s="11"/>
    </row>
    <row r="6213" spans="3:17" x14ac:dyDescent="0.35">
      <c r="C6213" s="15" t="s">
        <v>8</v>
      </c>
      <c r="E6213" s="15" t="s">
        <v>8</v>
      </c>
      <c r="F6213" s="15" t="s">
        <v>8</v>
      </c>
      <c r="H6213" s="15" t="s">
        <v>8</v>
      </c>
      <c r="J6213" s="15" t="s">
        <v>8</v>
      </c>
      <c r="L6213" s="15" t="s">
        <v>8</v>
      </c>
    </row>
    <row r="6214" spans="3:17" x14ac:dyDescent="0.35">
      <c r="C6214" s="15" t="s">
        <v>8</v>
      </c>
      <c r="E6214" s="15" t="s">
        <v>8</v>
      </c>
      <c r="F6214" s="15" t="s">
        <v>8</v>
      </c>
      <c r="H6214" s="15" t="s">
        <v>8</v>
      </c>
      <c r="J6214" s="15" t="s">
        <v>8</v>
      </c>
      <c r="L6214" s="15" t="s">
        <v>8</v>
      </c>
      <c r="M6214" s="21" t="str">
        <f>HYPERLINK("http://yeinfo.com/family/I09001459.html", "WILLIAM BERRY 1612 EN-1654 NH ID:09002918")</f>
        <v>WILLIAM BERRY 1612 EN-1654 NH ID:09002918</v>
      </c>
      <c r="N6214" s="6"/>
      <c r="O6214" s="6"/>
      <c r="P6214" s="6"/>
      <c r="Q6214" s="6"/>
    </row>
    <row r="6215" spans="3:17" x14ac:dyDescent="0.35">
      <c r="C6215" s="15" t="s">
        <v>8</v>
      </c>
      <c r="E6215" s="15" t="s">
        <v>8</v>
      </c>
      <c r="F6215" s="15" t="s">
        <v>8</v>
      </c>
      <c r="H6215" s="15" t="s">
        <v>8</v>
      </c>
      <c r="J6215" s="15" t="s">
        <v>8</v>
      </c>
      <c r="L6215" s="8" t="s">
        <v>6</v>
      </c>
      <c r="M6215" s="8" t="s">
        <v>3</v>
      </c>
    </row>
    <row r="6216" spans="3:17" x14ac:dyDescent="0.35">
      <c r="C6216" s="15" t="s">
        <v>8</v>
      </c>
      <c r="E6216" s="15" t="s">
        <v>8</v>
      </c>
      <c r="F6216" s="15" t="s">
        <v>8</v>
      </c>
      <c r="H6216" s="15" t="s">
        <v>8</v>
      </c>
      <c r="J6216" s="15" t="s">
        <v>8</v>
      </c>
      <c r="L6216" s="16" t="str">
        <f>HYPERLINK("http://yeinfo.com/family/I09001458.html", "MARY BERRY 1644 NH-1707 NH ID:09001459")</f>
        <v>MARY BERRY 1644 NH-1707 NH ID:09001459</v>
      </c>
      <c r="M6216" s="11"/>
      <c r="N6216" s="11"/>
      <c r="O6216" s="11"/>
      <c r="P6216" s="11"/>
    </row>
    <row r="6217" spans="3:17" x14ac:dyDescent="0.35">
      <c r="C6217" s="15" t="s">
        <v>8</v>
      </c>
      <c r="E6217" s="15" t="s">
        <v>8</v>
      </c>
      <c r="F6217" s="15" t="s">
        <v>8</v>
      </c>
      <c r="H6217" s="15" t="s">
        <v>8</v>
      </c>
      <c r="J6217" s="15" t="s">
        <v>8</v>
      </c>
      <c r="M6217" s="8" t="s">
        <v>6</v>
      </c>
    </row>
    <row r="6218" spans="3:17" x14ac:dyDescent="0.35">
      <c r="C6218" s="15" t="s">
        <v>8</v>
      </c>
      <c r="E6218" s="15" t="s">
        <v>8</v>
      </c>
      <c r="F6218" s="15" t="s">
        <v>8</v>
      </c>
      <c r="H6218" s="15" t="s">
        <v>8</v>
      </c>
      <c r="J6218" s="15" t="s">
        <v>8</v>
      </c>
      <c r="M6218" s="22" t="str">
        <f>HYPERLINK("http://yeinfo.com/family/I09002918.html", "JANE HERMINS 1619 EN-1686 MA ID:09002919")</f>
        <v>JANE HERMINS 1619 EN-1686 MA ID:09002919</v>
      </c>
      <c r="N6218" s="13"/>
      <c r="O6218" s="13"/>
      <c r="P6218" s="13"/>
      <c r="Q6218" s="13"/>
    </row>
    <row r="6219" spans="3:17" x14ac:dyDescent="0.35">
      <c r="C6219" s="15" t="s">
        <v>8</v>
      </c>
      <c r="E6219" s="15" t="s">
        <v>8</v>
      </c>
      <c r="F6219" s="15" t="s">
        <v>8</v>
      </c>
      <c r="H6219" s="15" t="s">
        <v>8</v>
      </c>
      <c r="J6219" s="15" t="s">
        <v>8</v>
      </c>
    </row>
    <row r="6220" spans="3:17" x14ac:dyDescent="0.35">
      <c r="C6220" s="15" t="s">
        <v>8</v>
      </c>
      <c r="E6220" s="15" t="s">
        <v>8</v>
      </c>
      <c r="F6220" s="15" t="s">
        <v>8</v>
      </c>
      <c r="H6220" s="15" t="s">
        <v>8</v>
      </c>
      <c r="I6220" s="5" t="str">
        <f>HYPERLINK("http://yeinfo.com/family/I09000091.html", "ZEBULON GOSS 1737 MA-1821 MA ID:09000182")</f>
        <v>ZEBULON GOSS 1737 MA-1821 MA ID:09000182</v>
      </c>
      <c r="J6220" s="3"/>
      <c r="K6220" s="3"/>
      <c r="L6220" s="3"/>
      <c r="M6220" s="3"/>
    </row>
    <row r="6221" spans="3:17" x14ac:dyDescent="0.35">
      <c r="C6221" s="15" t="s">
        <v>8</v>
      </c>
      <c r="E6221" s="15" t="s">
        <v>8</v>
      </c>
      <c r="F6221" s="15" t="s">
        <v>8</v>
      </c>
      <c r="H6221" s="15" t="s">
        <v>8</v>
      </c>
      <c r="I6221" s="8" t="s">
        <v>3</v>
      </c>
      <c r="J6221" s="15" t="s">
        <v>8</v>
      </c>
    </row>
    <row r="6222" spans="3:17" x14ac:dyDescent="0.35">
      <c r="C6222" s="15" t="s">
        <v>8</v>
      </c>
      <c r="E6222" s="15" t="s">
        <v>8</v>
      </c>
      <c r="F6222" s="15" t="s">
        <v>8</v>
      </c>
      <c r="H6222" s="15" t="s">
        <v>8</v>
      </c>
      <c r="I6222" s="15" t="s">
        <v>8</v>
      </c>
      <c r="J6222" s="15" t="s">
        <v>8</v>
      </c>
      <c r="L6222" s="21" t="str">
        <f>HYPERLINK("http://yeinfo.com/family/I09000730.html", "WALTER PHILIP 1619 EN-1704 MA ID:09001460")</f>
        <v>WALTER PHILIP 1619 EN-1704 MA ID:09001460</v>
      </c>
      <c r="M6222" s="6"/>
      <c r="N6222" s="6"/>
      <c r="O6222" s="6"/>
      <c r="P6222" s="6"/>
    </row>
    <row r="6223" spans="3:17" x14ac:dyDescent="0.35">
      <c r="C6223" s="15" t="s">
        <v>8</v>
      </c>
      <c r="E6223" s="15" t="s">
        <v>8</v>
      </c>
      <c r="F6223" s="15" t="s">
        <v>8</v>
      </c>
      <c r="H6223" s="15" t="s">
        <v>8</v>
      </c>
      <c r="I6223" s="15" t="s">
        <v>8</v>
      </c>
      <c r="J6223" s="15" t="s">
        <v>8</v>
      </c>
      <c r="L6223" s="8" t="s">
        <v>3</v>
      </c>
    </row>
    <row r="6224" spans="3:17" x14ac:dyDescent="0.35">
      <c r="C6224" s="15" t="s">
        <v>8</v>
      </c>
      <c r="E6224" s="15" t="s">
        <v>8</v>
      </c>
      <c r="F6224" s="15" t="s">
        <v>8</v>
      </c>
      <c r="H6224" s="15" t="s">
        <v>8</v>
      </c>
      <c r="I6224" s="15" t="s">
        <v>8</v>
      </c>
      <c r="J6224" s="15" t="s">
        <v>8</v>
      </c>
      <c r="K6224" s="5" t="str">
        <f>HYPERLINK("http://yeinfo.com/family/I09000365.html", "JAMES PHILIP 1672 MA-1742 MA ID:09000730")</f>
        <v>JAMES PHILIP 1672 MA-1742 MA ID:09000730</v>
      </c>
      <c r="L6224" s="3"/>
      <c r="M6224" s="3"/>
      <c r="N6224" s="3"/>
      <c r="O6224" s="3"/>
    </row>
    <row r="6225" spans="3:17" x14ac:dyDescent="0.35">
      <c r="C6225" s="15" t="s">
        <v>8</v>
      </c>
      <c r="E6225" s="15" t="s">
        <v>8</v>
      </c>
      <c r="F6225" s="15" t="s">
        <v>8</v>
      </c>
      <c r="H6225" s="15" t="s">
        <v>8</v>
      </c>
      <c r="I6225" s="15" t="s">
        <v>8</v>
      </c>
      <c r="J6225" s="15" t="s">
        <v>8</v>
      </c>
      <c r="K6225" s="8" t="s">
        <v>3</v>
      </c>
      <c r="L6225" s="8" t="s">
        <v>6</v>
      </c>
    </row>
    <row r="6226" spans="3:17" x14ac:dyDescent="0.35">
      <c r="C6226" s="15" t="s">
        <v>8</v>
      </c>
      <c r="E6226" s="15" t="s">
        <v>8</v>
      </c>
      <c r="F6226" s="15" t="s">
        <v>8</v>
      </c>
      <c r="H6226" s="15" t="s">
        <v>8</v>
      </c>
      <c r="I6226" s="15" t="s">
        <v>8</v>
      </c>
      <c r="J6226" s="15" t="s">
        <v>8</v>
      </c>
      <c r="K6226" s="15" t="s">
        <v>8</v>
      </c>
      <c r="L6226" s="22" t="str">
        <f>HYPERLINK("http://yeinfo.com/family/I09001460.html", "Mrs. MARGARET PHILIP 1611 EN-1708 MA ID:09001461")</f>
        <v>Mrs. MARGARET PHILIP 1611 EN-1708 MA ID:09001461</v>
      </c>
      <c r="M6226" s="13"/>
      <c r="N6226" s="13"/>
      <c r="O6226" s="13"/>
      <c r="P6226" s="13"/>
    </row>
    <row r="6227" spans="3:17" x14ac:dyDescent="0.35">
      <c r="C6227" s="15" t="s">
        <v>8</v>
      </c>
      <c r="E6227" s="15" t="s">
        <v>8</v>
      </c>
      <c r="F6227" s="15" t="s">
        <v>8</v>
      </c>
      <c r="H6227" s="15" t="s">
        <v>8</v>
      </c>
      <c r="I6227" s="15" t="s">
        <v>8</v>
      </c>
      <c r="J6227" s="8" t="s">
        <v>6</v>
      </c>
      <c r="K6227" s="15" t="s">
        <v>8</v>
      </c>
    </row>
    <row r="6228" spans="3:17" x14ac:dyDescent="0.35">
      <c r="C6228" s="15" t="s">
        <v>8</v>
      </c>
      <c r="E6228" s="15" t="s">
        <v>8</v>
      </c>
      <c r="F6228" s="15" t="s">
        <v>8</v>
      </c>
      <c r="H6228" s="15" t="s">
        <v>8</v>
      </c>
      <c r="I6228" s="15" t="s">
        <v>8</v>
      </c>
      <c r="J6228" s="16" t="str">
        <f>HYPERLINK("http://yeinfo.com/family/I09002919.html", "SARAH PHILIP 1700 MA-1749 MA ID:09000365")</f>
        <v>SARAH PHILIP 1700 MA-1749 MA ID:09000365</v>
      </c>
      <c r="K6228" s="11"/>
      <c r="L6228" s="11"/>
      <c r="M6228" s="11"/>
      <c r="N6228" s="11"/>
    </row>
    <row r="6229" spans="3:17" x14ac:dyDescent="0.35">
      <c r="C6229" s="15" t="s">
        <v>8</v>
      </c>
      <c r="E6229" s="15" t="s">
        <v>8</v>
      </c>
      <c r="F6229" s="15" t="s">
        <v>8</v>
      </c>
      <c r="H6229" s="15" t="s">
        <v>8</v>
      </c>
      <c r="I6229" s="15" t="s">
        <v>8</v>
      </c>
      <c r="K6229" s="15" t="s">
        <v>8</v>
      </c>
    </row>
    <row r="6230" spans="3:17" x14ac:dyDescent="0.35">
      <c r="C6230" s="15" t="s">
        <v>8</v>
      </c>
      <c r="E6230" s="15" t="s">
        <v>8</v>
      </c>
      <c r="F6230" s="15" t="s">
        <v>8</v>
      </c>
      <c r="H6230" s="15" t="s">
        <v>8</v>
      </c>
      <c r="I6230" s="15" t="s">
        <v>8</v>
      </c>
      <c r="K6230" s="15" t="s">
        <v>8</v>
      </c>
      <c r="M6230" s="21" t="str">
        <f>HYPERLINK("http://yeinfo.com/family/I09001462.html", "WILLIAM STEVENS 1616 EN-1653 MA ID:09002924")</f>
        <v>WILLIAM STEVENS 1616 EN-1653 MA ID:09002924</v>
      </c>
      <c r="N6230" s="6"/>
      <c r="O6230" s="6"/>
      <c r="P6230" s="6"/>
      <c r="Q6230" s="6"/>
    </row>
    <row r="6231" spans="3:17" x14ac:dyDescent="0.35">
      <c r="C6231" s="15" t="s">
        <v>8</v>
      </c>
      <c r="E6231" s="15" t="s">
        <v>8</v>
      </c>
      <c r="F6231" s="15" t="s">
        <v>8</v>
      </c>
      <c r="H6231" s="15" t="s">
        <v>8</v>
      </c>
      <c r="I6231" s="15" t="s">
        <v>8</v>
      </c>
      <c r="K6231" s="15" t="s">
        <v>8</v>
      </c>
      <c r="M6231" s="8" t="s">
        <v>3</v>
      </c>
    </row>
    <row r="6232" spans="3:17" x14ac:dyDescent="0.35">
      <c r="C6232" s="15" t="s">
        <v>8</v>
      </c>
      <c r="E6232" s="15" t="s">
        <v>8</v>
      </c>
      <c r="F6232" s="15" t="s">
        <v>8</v>
      </c>
      <c r="H6232" s="15" t="s">
        <v>8</v>
      </c>
      <c r="I6232" s="15" t="s">
        <v>8</v>
      </c>
      <c r="K6232" s="15" t="s">
        <v>8</v>
      </c>
      <c r="L6232" s="5" t="str">
        <f>HYPERLINK("http://yeinfo.com/family/I09000731.html", "SAMUEL STEVENS Sr. 1652 MA-1675 MA ID:09001462")</f>
        <v>SAMUEL STEVENS Sr. 1652 MA-1675 MA ID:09001462</v>
      </c>
      <c r="M6232" s="3"/>
      <c r="N6232" s="3"/>
      <c r="O6232" s="3"/>
      <c r="P6232" s="3"/>
    </row>
    <row r="6233" spans="3:17" x14ac:dyDescent="0.35">
      <c r="C6233" s="15" t="s">
        <v>8</v>
      </c>
      <c r="E6233" s="15" t="s">
        <v>8</v>
      </c>
      <c r="F6233" s="15" t="s">
        <v>8</v>
      </c>
      <c r="H6233" s="15" t="s">
        <v>8</v>
      </c>
      <c r="I6233" s="15" t="s">
        <v>8</v>
      </c>
      <c r="K6233" s="15" t="s">
        <v>8</v>
      </c>
      <c r="L6233" s="8" t="s">
        <v>3</v>
      </c>
      <c r="M6233" s="8" t="s">
        <v>6</v>
      </c>
    </row>
    <row r="6234" spans="3:17" x14ac:dyDescent="0.35">
      <c r="C6234" s="15" t="s">
        <v>8</v>
      </c>
      <c r="E6234" s="15" t="s">
        <v>8</v>
      </c>
      <c r="F6234" s="15" t="s">
        <v>8</v>
      </c>
      <c r="H6234" s="15" t="s">
        <v>8</v>
      </c>
      <c r="I6234" s="15" t="s">
        <v>8</v>
      </c>
      <c r="K6234" s="15" t="s">
        <v>8</v>
      </c>
      <c r="L6234" s="15" t="s">
        <v>8</v>
      </c>
      <c r="M6234" s="22" t="str">
        <f>HYPERLINK("http://yeinfo.com/family/I09002924.html", "ELIZABETH BITFIELD 1628 EN-1676 MA ID:09002925")</f>
        <v>ELIZABETH BITFIELD 1628 EN-1676 MA ID:09002925</v>
      </c>
      <c r="N6234" s="13"/>
      <c r="O6234" s="13"/>
      <c r="P6234" s="13"/>
      <c r="Q6234" s="13"/>
    </row>
    <row r="6235" spans="3:17" x14ac:dyDescent="0.35">
      <c r="C6235" s="15" t="s">
        <v>8</v>
      </c>
      <c r="E6235" s="15" t="s">
        <v>8</v>
      </c>
      <c r="F6235" s="15" t="s">
        <v>8</v>
      </c>
      <c r="H6235" s="15" t="s">
        <v>8</v>
      </c>
      <c r="I6235" s="15" t="s">
        <v>8</v>
      </c>
      <c r="K6235" s="8" t="s">
        <v>6</v>
      </c>
      <c r="L6235" s="15" t="s">
        <v>8</v>
      </c>
    </row>
    <row r="6236" spans="3:17" x14ac:dyDescent="0.35">
      <c r="C6236" s="15" t="s">
        <v>8</v>
      </c>
      <c r="E6236" s="15" t="s">
        <v>8</v>
      </c>
      <c r="F6236" s="15" t="s">
        <v>8</v>
      </c>
      <c r="H6236" s="15" t="s">
        <v>8</v>
      </c>
      <c r="I6236" s="15" t="s">
        <v>8</v>
      </c>
      <c r="K6236" s="16" t="str">
        <f>HYPERLINK("http://yeinfo.com/family/I09001461.html", "SARAH STEVENS 1674 MA-1700 MA ID:09000731")</f>
        <v>SARAH STEVENS 1674 MA-1700 MA ID:09000731</v>
      </c>
      <c r="L6236" s="11"/>
      <c r="M6236" s="11"/>
      <c r="N6236" s="11"/>
      <c r="O6236" s="11"/>
    </row>
    <row r="6237" spans="3:17" x14ac:dyDescent="0.35">
      <c r="C6237" s="15" t="s">
        <v>8</v>
      </c>
      <c r="E6237" s="15" t="s">
        <v>8</v>
      </c>
      <c r="F6237" s="15" t="s">
        <v>8</v>
      </c>
      <c r="H6237" s="15" t="s">
        <v>8</v>
      </c>
      <c r="I6237" s="15" t="s">
        <v>8</v>
      </c>
      <c r="L6237" s="15" t="s">
        <v>8</v>
      </c>
    </row>
    <row r="6238" spans="3:17" x14ac:dyDescent="0.35">
      <c r="C6238" s="15" t="s">
        <v>8</v>
      </c>
      <c r="E6238" s="15" t="s">
        <v>8</v>
      </c>
      <c r="F6238" s="15" t="s">
        <v>8</v>
      </c>
      <c r="H6238" s="15" t="s">
        <v>8</v>
      </c>
      <c r="I6238" s="15" t="s">
        <v>8</v>
      </c>
      <c r="L6238" s="15" t="s">
        <v>8</v>
      </c>
      <c r="M6238" s="21" t="str">
        <f>HYPERLINK("http://yeinfo.com/family/I09001463.html", "JOSHUA RAY 1628 EN-1710 MA ID:09002926")</f>
        <v>JOSHUA RAY 1628 EN-1710 MA ID:09002926</v>
      </c>
      <c r="N6238" s="6"/>
      <c r="O6238" s="6"/>
      <c r="P6238" s="6"/>
      <c r="Q6238" s="6"/>
    </row>
    <row r="6239" spans="3:17" x14ac:dyDescent="0.35">
      <c r="C6239" s="15" t="s">
        <v>8</v>
      </c>
      <c r="E6239" s="15" t="s">
        <v>8</v>
      </c>
      <c r="F6239" s="15" t="s">
        <v>8</v>
      </c>
      <c r="H6239" s="15" t="s">
        <v>8</v>
      </c>
      <c r="I6239" s="15" t="s">
        <v>8</v>
      </c>
      <c r="L6239" s="8" t="s">
        <v>6</v>
      </c>
      <c r="M6239" s="8" t="s">
        <v>3</v>
      </c>
    </row>
    <row r="6240" spans="3:17" x14ac:dyDescent="0.35">
      <c r="C6240" s="15" t="s">
        <v>8</v>
      </c>
      <c r="E6240" s="15" t="s">
        <v>8</v>
      </c>
      <c r="F6240" s="15" t="s">
        <v>8</v>
      </c>
      <c r="H6240" s="15" t="s">
        <v>8</v>
      </c>
      <c r="I6240" s="15" t="s">
        <v>8</v>
      </c>
      <c r="L6240" s="16" t="str">
        <f>HYPERLINK("http://yeinfo.com/family/I09002925.html", "REBECCA RAY 1656 MA-1740 MA ID:09001463")</f>
        <v>REBECCA RAY 1656 MA-1740 MA ID:09001463</v>
      </c>
      <c r="M6240" s="11"/>
      <c r="N6240" s="11"/>
      <c r="O6240" s="11"/>
      <c r="P6240" s="11"/>
    </row>
    <row r="6241" spans="3:19" x14ac:dyDescent="0.35">
      <c r="C6241" s="15" t="s">
        <v>8</v>
      </c>
      <c r="E6241" s="15" t="s">
        <v>8</v>
      </c>
      <c r="F6241" s="15" t="s">
        <v>8</v>
      </c>
      <c r="H6241" s="15" t="s">
        <v>8</v>
      </c>
      <c r="I6241" s="15" t="s">
        <v>8</v>
      </c>
      <c r="M6241" s="15" t="s">
        <v>8</v>
      </c>
    </row>
    <row r="6242" spans="3:19" x14ac:dyDescent="0.35">
      <c r="C6242" s="15" t="s">
        <v>8</v>
      </c>
      <c r="E6242" s="15" t="s">
        <v>8</v>
      </c>
      <c r="F6242" s="15" t="s">
        <v>8</v>
      </c>
      <c r="H6242" s="15" t="s">
        <v>8</v>
      </c>
      <c r="I6242" s="15" t="s">
        <v>8</v>
      </c>
      <c r="M6242" s="15" t="s">
        <v>8</v>
      </c>
      <c r="O6242" s="19" t="str">
        <f>HYPERLINK("http://yeinfo.com/family/I09005732.html", "JAMES WATERS &lt;2&gt; 1568 EN-1617 EN ID:09005732")</f>
        <v>JAMES WATERS &lt;2&gt; 1568 EN-1617 EN ID:09005732</v>
      </c>
      <c r="P6242" s="9"/>
      <c r="Q6242" s="9"/>
      <c r="R6242" s="9"/>
      <c r="S6242" s="9"/>
    </row>
    <row r="6243" spans="3:19" x14ac:dyDescent="0.35">
      <c r="C6243" s="15" t="s">
        <v>8</v>
      </c>
      <c r="E6243" s="15" t="s">
        <v>8</v>
      </c>
      <c r="F6243" s="15" t="s">
        <v>8</v>
      </c>
      <c r="H6243" s="15" t="s">
        <v>8</v>
      </c>
      <c r="I6243" s="15" t="s">
        <v>8</v>
      </c>
      <c r="M6243" s="15" t="s">
        <v>8</v>
      </c>
      <c r="O6243" s="8" t="s">
        <v>3</v>
      </c>
    </row>
    <row r="6244" spans="3:19" x14ac:dyDescent="0.35">
      <c r="C6244" s="15" t="s">
        <v>8</v>
      </c>
      <c r="E6244" s="15" t="s">
        <v>8</v>
      </c>
      <c r="F6244" s="15" t="s">
        <v>8</v>
      </c>
      <c r="H6244" s="15" t="s">
        <v>8</v>
      </c>
      <c r="I6244" s="15" t="s">
        <v>8</v>
      </c>
      <c r="M6244" s="15" t="s">
        <v>8</v>
      </c>
      <c r="N6244" s="21" t="str">
        <f>HYPERLINK("http://yeinfo.com/family/I09002927.html", "RICHARD WATERS 1604 EN-1676 MA ID:09005854")</f>
        <v>RICHARD WATERS 1604 EN-1676 MA ID:09005854</v>
      </c>
      <c r="O6244" s="6"/>
      <c r="P6244" s="6"/>
      <c r="Q6244" s="6"/>
      <c r="R6244" s="6"/>
    </row>
    <row r="6245" spans="3:19" x14ac:dyDescent="0.35">
      <c r="C6245" s="15" t="s">
        <v>8</v>
      </c>
      <c r="E6245" s="15" t="s">
        <v>8</v>
      </c>
      <c r="F6245" s="15" t="s">
        <v>8</v>
      </c>
      <c r="H6245" s="15" t="s">
        <v>8</v>
      </c>
      <c r="I6245" s="15" t="s">
        <v>8</v>
      </c>
      <c r="M6245" s="15" t="s">
        <v>8</v>
      </c>
      <c r="N6245" s="8" t="s">
        <v>3</v>
      </c>
      <c r="O6245" s="8" t="s">
        <v>6</v>
      </c>
    </row>
    <row r="6246" spans="3:19" x14ac:dyDescent="0.35">
      <c r="C6246" s="15" t="s">
        <v>8</v>
      </c>
      <c r="E6246" s="15" t="s">
        <v>8</v>
      </c>
      <c r="F6246" s="15" t="s">
        <v>8</v>
      </c>
      <c r="H6246" s="15" t="s">
        <v>8</v>
      </c>
      <c r="I6246" s="15" t="s">
        <v>8</v>
      </c>
      <c r="M6246" s="15" t="s">
        <v>8</v>
      </c>
      <c r="N6246" s="15" t="s">
        <v>8</v>
      </c>
      <c r="O6246" s="22" t="str">
        <f>HYPERLINK("http://yeinfo.com/family/I09005733.html", "PHEBE MANNING &lt;2&gt; 1572 EN-1642 MA ID:09005733")</f>
        <v>PHEBE MANNING &lt;2&gt; 1572 EN-1642 MA ID:09005733</v>
      </c>
      <c r="P6246" s="13"/>
      <c r="Q6246" s="13"/>
      <c r="R6246" s="13"/>
      <c r="S6246" s="13"/>
    </row>
    <row r="6247" spans="3:19" x14ac:dyDescent="0.35">
      <c r="C6247" s="15" t="s">
        <v>8</v>
      </c>
      <c r="E6247" s="15" t="s">
        <v>8</v>
      </c>
      <c r="F6247" s="15" t="s">
        <v>8</v>
      </c>
      <c r="H6247" s="15" t="s">
        <v>8</v>
      </c>
      <c r="I6247" s="15" t="s">
        <v>8</v>
      </c>
      <c r="M6247" s="8" t="s">
        <v>6</v>
      </c>
      <c r="N6247" s="15" t="s">
        <v>8</v>
      </c>
    </row>
    <row r="6248" spans="3:19" x14ac:dyDescent="0.35">
      <c r="C6248" s="15" t="s">
        <v>8</v>
      </c>
      <c r="E6248" s="15" t="s">
        <v>8</v>
      </c>
      <c r="F6248" s="15" t="s">
        <v>8</v>
      </c>
      <c r="H6248" s="15" t="s">
        <v>8</v>
      </c>
      <c r="I6248" s="15" t="s">
        <v>8</v>
      </c>
      <c r="M6248" s="22" t="str">
        <f>HYPERLINK("http://yeinfo.com/family/I09002926.html", "SARAH WATERS 1630 EN-1700 MA ID:09002927")</f>
        <v>SARAH WATERS 1630 EN-1700 MA ID:09002927</v>
      </c>
      <c r="N6248" s="13"/>
      <c r="O6248" s="13"/>
      <c r="P6248" s="13"/>
      <c r="Q6248" s="13"/>
    </row>
    <row r="6249" spans="3:19" x14ac:dyDescent="0.35">
      <c r="C6249" s="15" t="s">
        <v>8</v>
      </c>
      <c r="E6249" s="15" t="s">
        <v>8</v>
      </c>
      <c r="F6249" s="15" t="s">
        <v>8</v>
      </c>
      <c r="H6249" s="15" t="s">
        <v>8</v>
      </c>
      <c r="I6249" s="15" t="s">
        <v>8</v>
      </c>
      <c r="N6249" s="8" t="s">
        <v>6</v>
      </c>
    </row>
    <row r="6250" spans="3:19" x14ac:dyDescent="0.35">
      <c r="C6250" s="15" t="s">
        <v>8</v>
      </c>
      <c r="E6250" s="15" t="s">
        <v>8</v>
      </c>
      <c r="F6250" s="15" t="s">
        <v>8</v>
      </c>
      <c r="H6250" s="15" t="s">
        <v>8</v>
      </c>
      <c r="I6250" s="15" t="s">
        <v>8</v>
      </c>
      <c r="N6250" s="22" t="str">
        <f>HYPERLINK("http://yeinfo.com/family/I09005854.html", "REJOICE PLASSE 1604 EN-1678 MA ID:09005855")</f>
        <v>REJOICE PLASSE 1604 EN-1678 MA ID:09005855</v>
      </c>
      <c r="O6250" s="13"/>
      <c r="P6250" s="13"/>
      <c r="Q6250" s="13"/>
      <c r="R6250" s="13"/>
    </row>
    <row r="6251" spans="3:19" x14ac:dyDescent="0.35">
      <c r="C6251" s="15" t="s">
        <v>8</v>
      </c>
      <c r="E6251" s="15" t="s">
        <v>8</v>
      </c>
      <c r="F6251" s="15" t="s">
        <v>8</v>
      </c>
      <c r="H6251" s="8" t="s">
        <v>6</v>
      </c>
      <c r="I6251" s="15" t="s">
        <v>8</v>
      </c>
    </row>
    <row r="6252" spans="3:19" x14ac:dyDescent="0.35">
      <c r="C6252" s="15" t="s">
        <v>8</v>
      </c>
      <c r="E6252" s="15" t="s">
        <v>8</v>
      </c>
      <c r="F6252" s="15" t="s">
        <v>8</v>
      </c>
      <c r="H6252" s="16" t="str">
        <f>HYPERLINK("http://yeinfo.com/family/I09002911.html", "HANNAH GOSS 1777 MA-1849 VT ID:09000091")</f>
        <v>HANNAH GOSS 1777 MA-1849 VT ID:09000091</v>
      </c>
      <c r="I6252" s="11"/>
      <c r="J6252" s="11"/>
      <c r="K6252" s="11"/>
      <c r="L6252" s="11"/>
    </row>
    <row r="6253" spans="3:19" x14ac:dyDescent="0.35">
      <c r="C6253" s="15" t="s">
        <v>8</v>
      </c>
      <c r="E6253" s="15" t="s">
        <v>8</v>
      </c>
      <c r="F6253" s="15" t="s">
        <v>8</v>
      </c>
      <c r="I6253" s="15" t="s">
        <v>8</v>
      </c>
    </row>
    <row r="6254" spans="3:19" x14ac:dyDescent="0.35">
      <c r="C6254" s="15" t="s">
        <v>8</v>
      </c>
      <c r="E6254" s="15" t="s">
        <v>8</v>
      </c>
      <c r="F6254" s="15" t="s">
        <v>8</v>
      </c>
      <c r="I6254" s="15" t="s">
        <v>8</v>
      </c>
      <c r="N6254" s="19" t="str">
        <f>HYPERLINK("http://yeinfo.com/family/I09002928.html", "LEWIS WOOD 1575 EN-1598  ID:09005856")</f>
        <v>LEWIS WOOD 1575 EN-1598  ID:09005856</v>
      </c>
      <c r="O6254" s="9"/>
      <c r="P6254" s="9"/>
      <c r="Q6254" s="9"/>
      <c r="R6254" s="9"/>
    </row>
    <row r="6255" spans="3:19" x14ac:dyDescent="0.35">
      <c r="C6255" s="15" t="s">
        <v>8</v>
      </c>
      <c r="E6255" s="15" t="s">
        <v>8</v>
      </c>
      <c r="F6255" s="15" t="s">
        <v>8</v>
      </c>
      <c r="I6255" s="15" t="s">
        <v>8</v>
      </c>
      <c r="N6255" s="8" t="s">
        <v>3</v>
      </c>
    </row>
    <row r="6256" spans="3:19" x14ac:dyDescent="0.35">
      <c r="C6256" s="15" t="s">
        <v>8</v>
      </c>
      <c r="E6256" s="15" t="s">
        <v>8</v>
      </c>
      <c r="F6256" s="15" t="s">
        <v>8</v>
      </c>
      <c r="I6256" s="15" t="s">
        <v>8</v>
      </c>
      <c r="M6256" s="21" t="str">
        <f>HYPERLINK("http://yeinfo.com/family/I09001464.html", "EDWARD WOOD 1598 EN-1642 MA ID:09002928")</f>
        <v>EDWARD WOOD 1598 EN-1642 MA ID:09002928</v>
      </c>
      <c r="N6256" s="6"/>
      <c r="O6256" s="6"/>
      <c r="P6256" s="6"/>
      <c r="Q6256" s="6"/>
    </row>
    <row r="6257" spans="3:18" x14ac:dyDescent="0.35">
      <c r="C6257" s="15" t="s">
        <v>8</v>
      </c>
      <c r="E6257" s="15" t="s">
        <v>8</v>
      </c>
      <c r="F6257" s="15" t="s">
        <v>8</v>
      </c>
      <c r="I6257" s="15" t="s">
        <v>8</v>
      </c>
      <c r="M6257" s="8" t="s">
        <v>3</v>
      </c>
      <c r="N6257" s="8" t="s">
        <v>6</v>
      </c>
    </row>
    <row r="6258" spans="3:18" x14ac:dyDescent="0.35">
      <c r="C6258" s="15" t="s">
        <v>8</v>
      </c>
      <c r="E6258" s="15" t="s">
        <v>8</v>
      </c>
      <c r="F6258" s="15" t="s">
        <v>8</v>
      </c>
      <c r="I6258" s="15" t="s">
        <v>8</v>
      </c>
      <c r="M6258" s="15" t="s">
        <v>8</v>
      </c>
      <c r="N6258" s="16" t="str">
        <f>HYPERLINK("http://yeinfo.com/family/I09005856.html", "MARGARET HOLME 1580 EN-1600  ID:09005857")</f>
        <v>MARGARET HOLME 1580 EN-1600  ID:09005857</v>
      </c>
      <c r="O6258" s="11"/>
      <c r="P6258" s="11"/>
      <c r="Q6258" s="11"/>
      <c r="R6258" s="11"/>
    </row>
    <row r="6259" spans="3:18" x14ac:dyDescent="0.35">
      <c r="C6259" s="15" t="s">
        <v>8</v>
      </c>
      <c r="E6259" s="15" t="s">
        <v>8</v>
      </c>
      <c r="F6259" s="15" t="s">
        <v>8</v>
      </c>
      <c r="I6259" s="15" t="s">
        <v>8</v>
      </c>
      <c r="M6259" s="15" t="s">
        <v>8</v>
      </c>
    </row>
    <row r="6260" spans="3:18" x14ac:dyDescent="0.35">
      <c r="C6260" s="15" t="s">
        <v>8</v>
      </c>
      <c r="E6260" s="15" t="s">
        <v>8</v>
      </c>
      <c r="F6260" s="15" t="s">
        <v>8</v>
      </c>
      <c r="I6260" s="15" t="s">
        <v>8</v>
      </c>
      <c r="L6260" s="5" t="str">
        <f>HYPERLINK("http://yeinfo.com/family/I09000732.html", "THOMAS WOOD 1633 EN-1687  ID:09001464")</f>
        <v>THOMAS WOOD 1633 EN-1687  ID:09001464</v>
      </c>
      <c r="M6260" s="3"/>
      <c r="N6260" s="3"/>
      <c r="O6260" s="3"/>
      <c r="P6260" s="3"/>
    </row>
    <row r="6261" spans="3:18" x14ac:dyDescent="0.35">
      <c r="C6261" s="15" t="s">
        <v>8</v>
      </c>
      <c r="E6261" s="15" t="s">
        <v>8</v>
      </c>
      <c r="F6261" s="15" t="s">
        <v>8</v>
      </c>
      <c r="I6261" s="15" t="s">
        <v>8</v>
      </c>
      <c r="L6261" s="8" t="s">
        <v>3</v>
      </c>
      <c r="M6261" s="15" t="s">
        <v>8</v>
      </c>
    </row>
    <row r="6262" spans="3:18" x14ac:dyDescent="0.35">
      <c r="C6262" s="15" t="s">
        <v>8</v>
      </c>
      <c r="E6262" s="15" t="s">
        <v>8</v>
      </c>
      <c r="F6262" s="15" t="s">
        <v>8</v>
      </c>
      <c r="I6262" s="15" t="s">
        <v>8</v>
      </c>
      <c r="L6262" s="15" t="s">
        <v>8</v>
      </c>
      <c r="M6262" s="15" t="s">
        <v>8</v>
      </c>
      <c r="N6262" s="19" t="str">
        <f>HYPERLINK("http://yeinfo.com/family/I09002929.html", "MICHAEL LEE 1570 EN-1599  ID:09005858")</f>
        <v>MICHAEL LEE 1570 EN-1599  ID:09005858</v>
      </c>
      <c r="O6262" s="9"/>
      <c r="P6262" s="9"/>
      <c r="Q6262" s="9"/>
      <c r="R6262" s="9"/>
    </row>
    <row r="6263" spans="3:18" x14ac:dyDescent="0.35">
      <c r="C6263" s="15" t="s">
        <v>8</v>
      </c>
      <c r="E6263" s="15" t="s">
        <v>8</v>
      </c>
      <c r="F6263" s="15" t="s">
        <v>8</v>
      </c>
      <c r="I6263" s="15" t="s">
        <v>8</v>
      </c>
      <c r="L6263" s="15" t="s">
        <v>8</v>
      </c>
      <c r="M6263" s="8" t="s">
        <v>6</v>
      </c>
      <c r="N6263" s="8" t="s">
        <v>3</v>
      </c>
    </row>
    <row r="6264" spans="3:18" x14ac:dyDescent="0.35">
      <c r="C6264" s="15" t="s">
        <v>8</v>
      </c>
      <c r="E6264" s="15" t="s">
        <v>8</v>
      </c>
      <c r="F6264" s="15" t="s">
        <v>8</v>
      </c>
      <c r="I6264" s="15" t="s">
        <v>8</v>
      </c>
      <c r="L6264" s="15" t="s">
        <v>8</v>
      </c>
      <c r="M6264" s="22" t="str">
        <f>HYPERLINK("http://yeinfo.com/family/I09005857.html", "RUTH LEE 1599 EN-1642 MA ID:09002929")</f>
        <v>RUTH LEE 1599 EN-1642 MA ID:09002929</v>
      </c>
      <c r="N6264" s="13"/>
      <c r="O6264" s="13"/>
      <c r="P6264" s="13"/>
      <c r="Q6264" s="13"/>
    </row>
    <row r="6265" spans="3:18" x14ac:dyDescent="0.35">
      <c r="C6265" s="15" t="s">
        <v>8</v>
      </c>
      <c r="E6265" s="15" t="s">
        <v>8</v>
      </c>
      <c r="F6265" s="15" t="s">
        <v>8</v>
      </c>
      <c r="I6265" s="15" t="s">
        <v>8</v>
      </c>
      <c r="L6265" s="15" t="s">
        <v>8</v>
      </c>
      <c r="N6265" s="8" t="s">
        <v>6</v>
      </c>
    </row>
    <row r="6266" spans="3:18" x14ac:dyDescent="0.35">
      <c r="C6266" s="15" t="s">
        <v>8</v>
      </c>
      <c r="E6266" s="15" t="s">
        <v>8</v>
      </c>
      <c r="F6266" s="15" t="s">
        <v>8</v>
      </c>
      <c r="I6266" s="15" t="s">
        <v>8</v>
      </c>
      <c r="L6266" s="15" t="s">
        <v>8</v>
      </c>
      <c r="N6266" s="20" t="str">
        <f>HYPERLINK("http://yeinfo.com/family/I09005858.html", "Mrs. {_?_} LEE 1570 EN-1599  ID:09005859")</f>
        <v>Mrs. {_?_} LEE 1570 EN-1599  ID:09005859</v>
      </c>
      <c r="O6266" s="17"/>
      <c r="P6266" s="17"/>
      <c r="Q6266" s="17"/>
      <c r="R6266" s="17"/>
    </row>
    <row r="6267" spans="3:18" x14ac:dyDescent="0.35">
      <c r="C6267" s="15" t="s">
        <v>8</v>
      </c>
      <c r="E6267" s="15" t="s">
        <v>8</v>
      </c>
      <c r="F6267" s="15" t="s">
        <v>8</v>
      </c>
      <c r="I6267" s="15" t="s">
        <v>8</v>
      </c>
      <c r="L6267" s="15" t="s">
        <v>8</v>
      </c>
    </row>
    <row r="6268" spans="3:18" x14ac:dyDescent="0.35">
      <c r="C6268" s="15" t="s">
        <v>8</v>
      </c>
      <c r="E6268" s="15" t="s">
        <v>8</v>
      </c>
      <c r="F6268" s="15" t="s">
        <v>8</v>
      </c>
      <c r="I6268" s="15" t="s">
        <v>8</v>
      </c>
      <c r="K6268" s="5" t="str">
        <f>HYPERLINK("http://yeinfo.com/family/I09000366.html", "EBENEZER WOOD 1671 -1737  ID:09000732")</f>
        <v>EBENEZER WOOD 1671 -1737  ID:09000732</v>
      </c>
      <c r="L6268" s="3"/>
      <c r="M6268" s="3"/>
      <c r="N6268" s="3"/>
      <c r="O6268" s="3"/>
    </row>
    <row r="6269" spans="3:18" x14ac:dyDescent="0.35">
      <c r="C6269" s="15" t="s">
        <v>8</v>
      </c>
      <c r="E6269" s="15" t="s">
        <v>8</v>
      </c>
      <c r="F6269" s="15" t="s">
        <v>8</v>
      </c>
      <c r="I6269" s="15" t="s">
        <v>8</v>
      </c>
      <c r="K6269" s="8" t="s">
        <v>3</v>
      </c>
      <c r="L6269" s="8" t="s">
        <v>6</v>
      </c>
    </row>
    <row r="6270" spans="3:18" x14ac:dyDescent="0.35">
      <c r="C6270" s="15" t="s">
        <v>8</v>
      </c>
      <c r="E6270" s="15" t="s">
        <v>8</v>
      </c>
      <c r="F6270" s="15" t="s">
        <v>8</v>
      </c>
      <c r="I6270" s="15" t="s">
        <v>8</v>
      </c>
      <c r="K6270" s="15" t="s">
        <v>8</v>
      </c>
      <c r="L6270" s="16" t="str">
        <f>HYPERLINK("http://yeinfo.com/family/I09005859.html", "ANN HUNT 1633 EN-1714  ID:09001465")</f>
        <v>ANN HUNT 1633 EN-1714  ID:09001465</v>
      </c>
      <c r="M6270" s="11"/>
      <c r="N6270" s="11"/>
      <c r="O6270" s="11"/>
      <c r="P6270" s="11"/>
    </row>
    <row r="6271" spans="3:18" x14ac:dyDescent="0.35">
      <c r="C6271" s="15" t="s">
        <v>8</v>
      </c>
      <c r="E6271" s="15" t="s">
        <v>8</v>
      </c>
      <c r="F6271" s="15" t="s">
        <v>8</v>
      </c>
      <c r="I6271" s="15" t="s">
        <v>8</v>
      </c>
      <c r="K6271" s="15" t="s">
        <v>8</v>
      </c>
    </row>
    <row r="6272" spans="3:18" x14ac:dyDescent="0.35">
      <c r="C6272" s="15" t="s">
        <v>8</v>
      </c>
      <c r="E6272" s="15" t="s">
        <v>8</v>
      </c>
      <c r="F6272" s="15" t="s">
        <v>8</v>
      </c>
      <c r="I6272" s="15" t="s">
        <v>8</v>
      </c>
      <c r="J6272" s="5" t="str">
        <f>HYPERLINK("http://yeinfo.com/family/I09000183.html", "MOSES WOOD 1712 MA-1780 MA ID:09000366")</f>
        <v>MOSES WOOD 1712 MA-1780 MA ID:09000366</v>
      </c>
      <c r="K6272" s="3"/>
      <c r="L6272" s="3"/>
      <c r="M6272" s="3"/>
      <c r="N6272" s="3"/>
    </row>
    <row r="6273" spans="3:18" x14ac:dyDescent="0.35">
      <c r="C6273" s="15" t="s">
        <v>8</v>
      </c>
      <c r="E6273" s="15" t="s">
        <v>8</v>
      </c>
      <c r="F6273" s="15" t="s">
        <v>8</v>
      </c>
      <c r="I6273" s="15" t="s">
        <v>8</v>
      </c>
      <c r="J6273" s="8" t="s">
        <v>3</v>
      </c>
      <c r="K6273" s="15" t="s">
        <v>8</v>
      </c>
    </row>
    <row r="6274" spans="3:18" x14ac:dyDescent="0.35">
      <c r="C6274" s="15" t="s">
        <v>8</v>
      </c>
      <c r="E6274" s="15" t="s">
        <v>8</v>
      </c>
      <c r="F6274" s="15" t="s">
        <v>8</v>
      </c>
      <c r="I6274" s="15" t="s">
        <v>8</v>
      </c>
      <c r="J6274" s="15" t="s">
        <v>8</v>
      </c>
      <c r="K6274" s="15" t="s">
        <v>8</v>
      </c>
      <c r="N6274" s="19" t="str">
        <f>HYPERLINK("http://yeinfo.com/family/I09005712.html", "WALTER NICHOLS &lt;2&gt; 1582 EN-1624 EN ID:09005712")</f>
        <v>WALTER NICHOLS &lt;2&gt; 1582 EN-1624 EN ID:09005712</v>
      </c>
      <c r="O6274" s="9"/>
      <c r="P6274" s="9"/>
      <c r="Q6274" s="9"/>
      <c r="R6274" s="9"/>
    </row>
    <row r="6275" spans="3:18" x14ac:dyDescent="0.35">
      <c r="C6275" s="15" t="s">
        <v>8</v>
      </c>
      <c r="E6275" s="15" t="s">
        <v>8</v>
      </c>
      <c r="F6275" s="15" t="s">
        <v>8</v>
      </c>
      <c r="I6275" s="15" t="s">
        <v>8</v>
      </c>
      <c r="J6275" s="15" t="s">
        <v>8</v>
      </c>
      <c r="K6275" s="15" t="s">
        <v>8</v>
      </c>
      <c r="N6275" s="8" t="s">
        <v>3</v>
      </c>
    </row>
    <row r="6276" spans="3:18" x14ac:dyDescent="0.35">
      <c r="C6276" s="15" t="s">
        <v>8</v>
      </c>
      <c r="E6276" s="15" t="s">
        <v>8</v>
      </c>
      <c r="F6276" s="15" t="s">
        <v>8</v>
      </c>
      <c r="I6276" s="15" t="s">
        <v>8</v>
      </c>
      <c r="J6276" s="15" t="s">
        <v>8</v>
      </c>
      <c r="K6276" s="15" t="s">
        <v>8</v>
      </c>
      <c r="M6276" s="19" t="str">
        <f>HYPERLINK("http://yeinfo.com/family/I09001466.html", "WALTER NICHOLS 1610 EN-1640 EN ID:09002932")</f>
        <v>WALTER NICHOLS 1610 EN-1640 EN ID:09002932</v>
      </c>
      <c r="N6276" s="9"/>
      <c r="O6276" s="9"/>
      <c r="P6276" s="9"/>
      <c r="Q6276" s="9"/>
    </row>
    <row r="6277" spans="3:18" x14ac:dyDescent="0.35">
      <c r="C6277" s="15" t="s">
        <v>8</v>
      </c>
      <c r="E6277" s="15" t="s">
        <v>8</v>
      </c>
      <c r="F6277" s="15" t="s">
        <v>8</v>
      </c>
      <c r="I6277" s="15" t="s">
        <v>8</v>
      </c>
      <c r="J6277" s="15" t="s">
        <v>8</v>
      </c>
      <c r="K6277" s="15" t="s">
        <v>8</v>
      </c>
      <c r="M6277" s="8" t="s">
        <v>3</v>
      </c>
      <c r="N6277" s="8" t="s">
        <v>6</v>
      </c>
    </row>
    <row r="6278" spans="3:18" x14ac:dyDescent="0.35">
      <c r="C6278" s="15" t="s">
        <v>8</v>
      </c>
      <c r="E6278" s="15" t="s">
        <v>8</v>
      </c>
      <c r="F6278" s="15" t="s">
        <v>8</v>
      </c>
      <c r="I6278" s="15" t="s">
        <v>8</v>
      </c>
      <c r="J6278" s="15" t="s">
        <v>8</v>
      </c>
      <c r="K6278" s="15" t="s">
        <v>8</v>
      </c>
      <c r="M6278" s="15" t="s">
        <v>8</v>
      </c>
      <c r="N6278" s="20" t="str">
        <f>HYPERLINK("http://yeinfo.com/family/I09005713.html", "ELIZABETH CATTLYN &lt;2&gt; 1585 EN-1628 EN ID:09005713")</f>
        <v>ELIZABETH CATTLYN &lt;2&gt; 1585 EN-1628 EN ID:09005713</v>
      </c>
      <c r="O6278" s="17"/>
      <c r="P6278" s="17"/>
      <c r="Q6278" s="17"/>
      <c r="R6278" s="17"/>
    </row>
    <row r="6279" spans="3:18" x14ac:dyDescent="0.35">
      <c r="C6279" s="15" t="s">
        <v>8</v>
      </c>
      <c r="E6279" s="15" t="s">
        <v>8</v>
      </c>
      <c r="F6279" s="15" t="s">
        <v>8</v>
      </c>
      <c r="I6279" s="15" t="s">
        <v>8</v>
      </c>
      <c r="J6279" s="15" t="s">
        <v>8</v>
      </c>
      <c r="K6279" s="15" t="s">
        <v>8</v>
      </c>
      <c r="M6279" s="15" t="s">
        <v>8</v>
      </c>
    </row>
    <row r="6280" spans="3:18" x14ac:dyDescent="0.35">
      <c r="C6280" s="15" t="s">
        <v>8</v>
      </c>
      <c r="E6280" s="15" t="s">
        <v>8</v>
      </c>
      <c r="F6280" s="15" t="s">
        <v>8</v>
      </c>
      <c r="I6280" s="15" t="s">
        <v>8</v>
      </c>
      <c r="J6280" s="15" t="s">
        <v>8</v>
      </c>
      <c r="K6280" s="15" t="s">
        <v>8</v>
      </c>
      <c r="L6280" s="21" t="str">
        <f>HYPERLINK("http://yeinfo.com/family/I09000733.html", "THOMAS NICHOLS 1630 EN-1720 MA ID:09001466")</f>
        <v>THOMAS NICHOLS 1630 EN-1720 MA ID:09001466</v>
      </c>
      <c r="M6280" s="6"/>
      <c r="N6280" s="6"/>
      <c r="O6280" s="6"/>
      <c r="P6280" s="6"/>
    </row>
    <row r="6281" spans="3:18" x14ac:dyDescent="0.35">
      <c r="C6281" s="15" t="s">
        <v>8</v>
      </c>
      <c r="E6281" s="15" t="s">
        <v>8</v>
      </c>
      <c r="F6281" s="15" t="s">
        <v>8</v>
      </c>
      <c r="I6281" s="15" t="s">
        <v>8</v>
      </c>
      <c r="J6281" s="15" t="s">
        <v>8</v>
      </c>
      <c r="K6281" s="15" t="s">
        <v>8</v>
      </c>
      <c r="L6281" s="8" t="s">
        <v>3</v>
      </c>
      <c r="M6281" s="8" t="s">
        <v>6</v>
      </c>
    </row>
    <row r="6282" spans="3:18" x14ac:dyDescent="0.35">
      <c r="C6282" s="15" t="s">
        <v>8</v>
      </c>
      <c r="E6282" s="15" t="s">
        <v>8</v>
      </c>
      <c r="F6282" s="15" t="s">
        <v>8</v>
      </c>
      <c r="I6282" s="15" t="s">
        <v>8</v>
      </c>
      <c r="J6282" s="15" t="s">
        <v>8</v>
      </c>
      <c r="K6282" s="15" t="s">
        <v>8</v>
      </c>
      <c r="L6282" s="15" t="s">
        <v>8</v>
      </c>
      <c r="M6282" s="20" t="str">
        <f>HYPERLINK("http://yeinfo.com/family/I09002932.html", "MARGARET HARRIS 1610 EN-1670 EN ID:09002933")</f>
        <v>MARGARET HARRIS 1610 EN-1670 EN ID:09002933</v>
      </c>
      <c r="N6282" s="17"/>
      <c r="O6282" s="17"/>
      <c r="P6282" s="17"/>
      <c r="Q6282" s="17"/>
    </row>
    <row r="6283" spans="3:18" x14ac:dyDescent="0.35">
      <c r="C6283" s="15" t="s">
        <v>8</v>
      </c>
      <c r="E6283" s="15" t="s">
        <v>8</v>
      </c>
      <c r="F6283" s="15" t="s">
        <v>8</v>
      </c>
      <c r="I6283" s="15" t="s">
        <v>8</v>
      </c>
      <c r="J6283" s="15" t="s">
        <v>8</v>
      </c>
      <c r="K6283" s="8" t="s">
        <v>6</v>
      </c>
      <c r="L6283" s="15" t="s">
        <v>8</v>
      </c>
    </row>
    <row r="6284" spans="3:18" x14ac:dyDescent="0.35">
      <c r="C6284" s="15" t="s">
        <v>8</v>
      </c>
      <c r="E6284" s="15" t="s">
        <v>8</v>
      </c>
      <c r="F6284" s="15" t="s">
        <v>8</v>
      </c>
      <c r="I6284" s="15" t="s">
        <v>8</v>
      </c>
      <c r="J6284" s="15" t="s">
        <v>8</v>
      </c>
      <c r="K6284" s="16" t="str">
        <f>HYPERLINK("http://yeinfo.com/family/I09001465.html", "RACHEL NICHOLS 1675 MA-1717 MA ID:09000733")</f>
        <v>RACHEL NICHOLS 1675 MA-1717 MA ID:09000733</v>
      </c>
      <c r="L6284" s="11"/>
      <c r="M6284" s="11"/>
      <c r="N6284" s="11"/>
      <c r="O6284" s="11"/>
    </row>
    <row r="6285" spans="3:18" x14ac:dyDescent="0.35">
      <c r="C6285" s="15" t="s">
        <v>8</v>
      </c>
      <c r="E6285" s="15" t="s">
        <v>8</v>
      </c>
      <c r="F6285" s="15" t="s">
        <v>8</v>
      </c>
      <c r="I6285" s="15" t="s">
        <v>8</v>
      </c>
      <c r="J6285" s="15" t="s">
        <v>8</v>
      </c>
      <c r="L6285" s="15" t="s">
        <v>8</v>
      </c>
    </row>
    <row r="6286" spans="3:18" x14ac:dyDescent="0.35">
      <c r="C6286" s="15" t="s">
        <v>8</v>
      </c>
      <c r="E6286" s="15" t="s">
        <v>8</v>
      </c>
      <c r="F6286" s="15" t="s">
        <v>8</v>
      </c>
      <c r="I6286" s="15" t="s">
        <v>8</v>
      </c>
      <c r="J6286" s="15" t="s">
        <v>8</v>
      </c>
      <c r="L6286" s="15" t="s">
        <v>8</v>
      </c>
      <c r="M6286" s="5" t="str">
        <f>HYPERLINK("http://yeinfo.com/family/I09001467.html", "THOMAS MOULTON 1615 -1712 MA ID:09002934")</f>
        <v>THOMAS MOULTON 1615 -1712 MA ID:09002934</v>
      </c>
      <c r="N6286" s="3"/>
      <c r="O6286" s="3"/>
      <c r="P6286" s="3"/>
      <c r="Q6286" s="3"/>
    </row>
    <row r="6287" spans="3:18" x14ac:dyDescent="0.35">
      <c r="C6287" s="15" t="s">
        <v>8</v>
      </c>
      <c r="E6287" s="15" t="s">
        <v>8</v>
      </c>
      <c r="F6287" s="15" t="s">
        <v>8</v>
      </c>
      <c r="I6287" s="15" t="s">
        <v>8</v>
      </c>
      <c r="J6287" s="15" t="s">
        <v>8</v>
      </c>
      <c r="L6287" s="8" t="s">
        <v>6</v>
      </c>
      <c r="M6287" s="8" t="s">
        <v>3</v>
      </c>
    </row>
    <row r="6288" spans="3:18" x14ac:dyDescent="0.35">
      <c r="C6288" s="15" t="s">
        <v>8</v>
      </c>
      <c r="E6288" s="15" t="s">
        <v>8</v>
      </c>
      <c r="F6288" s="15" t="s">
        <v>8</v>
      </c>
      <c r="I6288" s="15" t="s">
        <v>8</v>
      </c>
      <c r="J6288" s="15" t="s">
        <v>8</v>
      </c>
      <c r="L6288" s="16" t="str">
        <f>HYPERLINK("http://yeinfo.com/family/I09002933.html", "MARY MOULTON 1635 -1711 MA ID:09001467")</f>
        <v>MARY MOULTON 1635 -1711 MA ID:09001467</v>
      </c>
      <c r="M6288" s="11"/>
      <c r="N6288" s="11"/>
      <c r="O6288" s="11"/>
      <c r="P6288" s="11"/>
    </row>
    <row r="6289" spans="3:20" x14ac:dyDescent="0.35">
      <c r="C6289" s="15" t="s">
        <v>8</v>
      </c>
      <c r="E6289" s="15" t="s">
        <v>8</v>
      </c>
      <c r="F6289" s="15" t="s">
        <v>8</v>
      </c>
      <c r="I6289" s="15" t="s">
        <v>8</v>
      </c>
      <c r="J6289" s="15" t="s">
        <v>8</v>
      </c>
      <c r="M6289" s="8" t="s">
        <v>6</v>
      </c>
    </row>
    <row r="6290" spans="3:20" x14ac:dyDescent="0.35">
      <c r="C6290" s="15" t="s">
        <v>8</v>
      </c>
      <c r="E6290" s="15" t="s">
        <v>8</v>
      </c>
      <c r="F6290" s="15" t="s">
        <v>8</v>
      </c>
      <c r="I6290" s="15" t="s">
        <v>8</v>
      </c>
      <c r="J6290" s="15" t="s">
        <v>8</v>
      </c>
      <c r="M6290" s="22" t="str">
        <f>HYPERLINK("http://yeinfo.com/family/I09002934.html", "Mrs. JANE MOULTON 1610 EN-1657 MA ID:09002935")</f>
        <v>Mrs. JANE MOULTON 1610 EN-1657 MA ID:09002935</v>
      </c>
      <c r="N6290" s="13"/>
      <c r="O6290" s="13"/>
      <c r="P6290" s="13"/>
      <c r="Q6290" s="13"/>
    </row>
    <row r="6291" spans="3:20" x14ac:dyDescent="0.35">
      <c r="C6291" s="15" t="s">
        <v>8</v>
      </c>
      <c r="E6291" s="15" t="s">
        <v>8</v>
      </c>
      <c r="F6291" s="15" t="s">
        <v>8</v>
      </c>
      <c r="I6291" s="8" t="s">
        <v>6</v>
      </c>
      <c r="J6291" s="15" t="s">
        <v>8</v>
      </c>
    </row>
    <row r="6292" spans="3:20" x14ac:dyDescent="0.35">
      <c r="C6292" s="15" t="s">
        <v>8</v>
      </c>
      <c r="E6292" s="15" t="s">
        <v>8</v>
      </c>
      <c r="F6292" s="15" t="s">
        <v>8</v>
      </c>
      <c r="I6292" s="16" t="str">
        <f>HYPERLINK("http://yeinfo.com/family/I09005855.html", "MARY WOOD 1741 MA-1818 MA ID:09000183")</f>
        <v>MARY WOOD 1741 MA-1818 MA ID:09000183</v>
      </c>
      <c r="J6292" s="11"/>
      <c r="K6292" s="11"/>
      <c r="L6292" s="11"/>
      <c r="M6292" s="11"/>
    </row>
    <row r="6293" spans="3:20" x14ac:dyDescent="0.35">
      <c r="C6293" s="15" t="s">
        <v>8</v>
      </c>
      <c r="E6293" s="15" t="s">
        <v>8</v>
      </c>
      <c r="F6293" s="15" t="s">
        <v>8</v>
      </c>
      <c r="J6293" s="15" t="s">
        <v>8</v>
      </c>
    </row>
    <row r="6294" spans="3:20" x14ac:dyDescent="0.35">
      <c r="C6294" s="15" t="s">
        <v>8</v>
      </c>
      <c r="E6294" s="15" t="s">
        <v>8</v>
      </c>
      <c r="F6294" s="15" t="s">
        <v>8</v>
      </c>
      <c r="J6294" s="15" t="s">
        <v>8</v>
      </c>
      <c r="N6294" s="5" t="str">
        <f>HYPERLINK("http://yeinfo.com/family/I09002936.html", "RICHARD ROBERT TAFT 1614 EN-1640  ID:09005872")</f>
        <v>RICHARD ROBERT TAFT 1614 EN-1640  ID:09005872</v>
      </c>
      <c r="O6294" s="3"/>
      <c r="P6294" s="3"/>
      <c r="Q6294" s="3"/>
      <c r="R6294" s="3"/>
    </row>
    <row r="6295" spans="3:20" x14ac:dyDescent="0.35">
      <c r="C6295" s="15" t="s">
        <v>8</v>
      </c>
      <c r="E6295" s="15" t="s">
        <v>8</v>
      </c>
      <c r="F6295" s="15" t="s">
        <v>8</v>
      </c>
      <c r="J6295" s="15" t="s">
        <v>8</v>
      </c>
      <c r="N6295" s="8" t="s">
        <v>3</v>
      </c>
    </row>
    <row r="6296" spans="3:20" x14ac:dyDescent="0.35">
      <c r="C6296" s="15" t="s">
        <v>8</v>
      </c>
      <c r="E6296" s="15" t="s">
        <v>8</v>
      </c>
      <c r="F6296" s="15" t="s">
        <v>8</v>
      </c>
      <c r="J6296" s="15" t="s">
        <v>8</v>
      </c>
      <c r="M6296" s="5" t="str">
        <f>HYPERLINK("http://yeinfo.com/family/I09001468.html", "ROBERT TAFT 1640 -1725  ID:09002936")</f>
        <v>ROBERT TAFT 1640 -1725  ID:09002936</v>
      </c>
      <c r="N6296" s="3"/>
      <c r="O6296" s="3"/>
      <c r="P6296" s="3"/>
      <c r="Q6296" s="3"/>
    </row>
    <row r="6297" spans="3:20" x14ac:dyDescent="0.35">
      <c r="C6297" s="15" t="s">
        <v>8</v>
      </c>
      <c r="E6297" s="15" t="s">
        <v>8</v>
      </c>
      <c r="F6297" s="15" t="s">
        <v>8</v>
      </c>
      <c r="J6297" s="15" t="s">
        <v>8</v>
      </c>
      <c r="M6297" s="8" t="s">
        <v>3</v>
      </c>
      <c r="N6297" s="8" t="s">
        <v>6</v>
      </c>
    </row>
    <row r="6298" spans="3:20" x14ac:dyDescent="0.35">
      <c r="C6298" s="15" t="s">
        <v>8</v>
      </c>
      <c r="E6298" s="15" t="s">
        <v>8</v>
      </c>
      <c r="F6298" s="15" t="s">
        <v>8</v>
      </c>
      <c r="J6298" s="15" t="s">
        <v>8</v>
      </c>
      <c r="M6298" s="15" t="s">
        <v>8</v>
      </c>
      <c r="N6298" s="16" t="str">
        <f>HYPERLINK("http://yeinfo.com/family/I09005872.html", "MARGARET FAUN 1615 EN-1640  ID:09005873")</f>
        <v>MARGARET FAUN 1615 EN-1640  ID:09005873</v>
      </c>
      <c r="O6298" s="11"/>
      <c r="P6298" s="11"/>
      <c r="Q6298" s="11"/>
      <c r="R6298" s="11"/>
    </row>
    <row r="6299" spans="3:20" x14ac:dyDescent="0.35">
      <c r="C6299" s="15" t="s">
        <v>8</v>
      </c>
      <c r="E6299" s="15" t="s">
        <v>8</v>
      </c>
      <c r="F6299" s="15" t="s">
        <v>8</v>
      </c>
      <c r="J6299" s="15" t="s">
        <v>8</v>
      </c>
      <c r="M6299" s="15" t="s">
        <v>8</v>
      </c>
    </row>
    <row r="6300" spans="3:20" x14ac:dyDescent="0.35">
      <c r="C6300" s="15" t="s">
        <v>8</v>
      </c>
      <c r="E6300" s="15" t="s">
        <v>8</v>
      </c>
      <c r="F6300" s="15" t="s">
        <v>8</v>
      </c>
      <c r="J6300" s="15" t="s">
        <v>8</v>
      </c>
      <c r="L6300" s="5" t="str">
        <f>HYPERLINK("http://yeinfo.com/family/I09000734.html", "ROBERT TAFT 1664 MA-1748 MA ID:09001468")</f>
        <v>ROBERT TAFT 1664 MA-1748 MA ID:09001468</v>
      </c>
      <c r="M6300" s="3"/>
      <c r="N6300" s="3"/>
      <c r="O6300" s="3"/>
      <c r="P6300" s="3"/>
    </row>
    <row r="6301" spans="3:20" x14ac:dyDescent="0.35">
      <c r="C6301" s="15" t="s">
        <v>8</v>
      </c>
      <c r="E6301" s="15" t="s">
        <v>8</v>
      </c>
      <c r="F6301" s="15" t="s">
        <v>8</v>
      </c>
      <c r="J6301" s="15" t="s">
        <v>8</v>
      </c>
      <c r="L6301" s="8" t="s">
        <v>3</v>
      </c>
      <c r="M6301" s="15" t="s">
        <v>8</v>
      </c>
    </row>
    <row r="6302" spans="3:20" x14ac:dyDescent="0.35">
      <c r="C6302" s="15" t="s">
        <v>8</v>
      </c>
      <c r="E6302" s="15" t="s">
        <v>8</v>
      </c>
      <c r="F6302" s="15" t="s">
        <v>8</v>
      </c>
      <c r="J6302" s="15" t="s">
        <v>8</v>
      </c>
      <c r="L6302" s="15" t="s">
        <v>8</v>
      </c>
      <c r="M6302" s="15" t="s">
        <v>8</v>
      </c>
      <c r="P6302" s="19" t="str">
        <f>HYPERLINK("http://yeinfo.com/family/I09011748.html", "THOMAS SIMPSON 1530 EN-1573 EN ID:09023496")</f>
        <v>THOMAS SIMPSON 1530 EN-1573 EN ID:09023496</v>
      </c>
      <c r="Q6302" s="9"/>
      <c r="R6302" s="9"/>
      <c r="S6302" s="9"/>
      <c r="T6302" s="9"/>
    </row>
    <row r="6303" spans="3:20" x14ac:dyDescent="0.35">
      <c r="C6303" s="15" t="s">
        <v>8</v>
      </c>
      <c r="E6303" s="15" t="s">
        <v>8</v>
      </c>
      <c r="F6303" s="15" t="s">
        <v>8</v>
      </c>
      <c r="J6303" s="15" t="s">
        <v>8</v>
      </c>
      <c r="L6303" s="15" t="s">
        <v>8</v>
      </c>
      <c r="M6303" s="15" t="s">
        <v>8</v>
      </c>
      <c r="P6303" s="8" t="s">
        <v>3</v>
      </c>
    </row>
    <row r="6304" spans="3:20" x14ac:dyDescent="0.35">
      <c r="C6304" s="15" t="s">
        <v>8</v>
      </c>
      <c r="E6304" s="15" t="s">
        <v>8</v>
      </c>
      <c r="F6304" s="15" t="s">
        <v>8</v>
      </c>
      <c r="J6304" s="15" t="s">
        <v>8</v>
      </c>
      <c r="L6304" s="15" t="s">
        <v>8</v>
      </c>
      <c r="M6304" s="15" t="s">
        <v>8</v>
      </c>
      <c r="O6304" s="19" t="str">
        <f>HYPERLINK("http://yeinfo.com/family/I09005874.html", "WILLIAM SIMPSON 1573 EN-1593  ID:09011748")</f>
        <v>WILLIAM SIMPSON 1573 EN-1593  ID:09011748</v>
      </c>
      <c r="P6304" s="9"/>
      <c r="Q6304" s="9"/>
      <c r="R6304" s="9"/>
      <c r="S6304" s="9"/>
    </row>
    <row r="6305" spans="3:20" x14ac:dyDescent="0.35">
      <c r="C6305" s="15" t="s">
        <v>8</v>
      </c>
      <c r="E6305" s="15" t="s">
        <v>8</v>
      </c>
      <c r="F6305" s="15" t="s">
        <v>8</v>
      </c>
      <c r="J6305" s="15" t="s">
        <v>8</v>
      </c>
      <c r="L6305" s="15" t="s">
        <v>8</v>
      </c>
      <c r="M6305" s="15" t="s">
        <v>8</v>
      </c>
      <c r="O6305" s="8" t="s">
        <v>3</v>
      </c>
      <c r="P6305" s="8" t="s">
        <v>6</v>
      </c>
    </row>
    <row r="6306" spans="3:20" x14ac:dyDescent="0.35">
      <c r="C6306" s="15" t="s">
        <v>8</v>
      </c>
      <c r="E6306" s="15" t="s">
        <v>8</v>
      </c>
      <c r="F6306" s="15" t="s">
        <v>8</v>
      </c>
      <c r="J6306" s="15" t="s">
        <v>8</v>
      </c>
      <c r="L6306" s="15" t="s">
        <v>8</v>
      </c>
      <c r="M6306" s="15" t="s">
        <v>8</v>
      </c>
      <c r="O6306" s="15" t="s">
        <v>8</v>
      </c>
      <c r="P6306" s="20" t="str">
        <f>HYPERLINK("http://yeinfo.com/family/I09023496.html", "Mrs. {_?_} SIMPSON 1530 EN-1573 EN ID:09023497")</f>
        <v>Mrs. {_?_} SIMPSON 1530 EN-1573 EN ID:09023497</v>
      </c>
      <c r="Q6306" s="17"/>
      <c r="R6306" s="17"/>
      <c r="S6306" s="17"/>
      <c r="T6306" s="17"/>
    </row>
    <row r="6307" spans="3:20" x14ac:dyDescent="0.35">
      <c r="C6307" s="15" t="s">
        <v>8</v>
      </c>
      <c r="E6307" s="15" t="s">
        <v>8</v>
      </c>
      <c r="F6307" s="15" t="s">
        <v>8</v>
      </c>
      <c r="J6307" s="15" t="s">
        <v>8</v>
      </c>
      <c r="L6307" s="15" t="s">
        <v>8</v>
      </c>
      <c r="M6307" s="15" t="s">
        <v>8</v>
      </c>
      <c r="O6307" s="15" t="s">
        <v>8</v>
      </c>
    </row>
    <row r="6308" spans="3:20" x14ac:dyDescent="0.35">
      <c r="C6308" s="15" t="s">
        <v>8</v>
      </c>
      <c r="E6308" s="15" t="s">
        <v>8</v>
      </c>
      <c r="F6308" s="15" t="s">
        <v>8</v>
      </c>
      <c r="J6308" s="15" t="s">
        <v>8</v>
      </c>
      <c r="L6308" s="15" t="s">
        <v>8</v>
      </c>
      <c r="M6308" s="15" t="s">
        <v>8</v>
      </c>
      <c r="N6308" s="5" t="str">
        <f>HYPERLINK("http://yeinfo.com/family/I09002937.html", "WILLIAM SIMPSON 1592 EN-1639  ID:09005874")</f>
        <v>WILLIAM SIMPSON 1592 EN-1639  ID:09005874</v>
      </c>
      <c r="O6308" s="3"/>
      <c r="P6308" s="3"/>
      <c r="Q6308" s="3"/>
      <c r="R6308" s="3"/>
    </row>
    <row r="6309" spans="3:20" x14ac:dyDescent="0.35">
      <c r="C6309" s="15" t="s">
        <v>8</v>
      </c>
      <c r="E6309" s="15" t="s">
        <v>8</v>
      </c>
      <c r="F6309" s="15" t="s">
        <v>8</v>
      </c>
      <c r="J6309" s="15" t="s">
        <v>8</v>
      </c>
      <c r="L6309" s="15" t="s">
        <v>8</v>
      </c>
      <c r="M6309" s="15" t="s">
        <v>8</v>
      </c>
      <c r="N6309" s="8" t="s">
        <v>3</v>
      </c>
      <c r="O6309" s="8" t="s">
        <v>6</v>
      </c>
    </row>
    <row r="6310" spans="3:20" x14ac:dyDescent="0.35">
      <c r="C6310" s="15" t="s">
        <v>8</v>
      </c>
      <c r="E6310" s="15" t="s">
        <v>8</v>
      </c>
      <c r="F6310" s="15" t="s">
        <v>8</v>
      </c>
      <c r="J6310" s="15" t="s">
        <v>8</v>
      </c>
      <c r="L6310" s="15" t="s">
        <v>8</v>
      </c>
      <c r="M6310" s="15" t="s">
        <v>8</v>
      </c>
      <c r="N6310" s="15" t="s">
        <v>8</v>
      </c>
      <c r="O6310" s="20" t="str">
        <f>HYPERLINK("http://yeinfo.com/family/I09023497.html", "MARGERY PEGRAM 1572 EN-1592  ID:09011749")</f>
        <v>MARGERY PEGRAM 1572 EN-1592  ID:09011749</v>
      </c>
      <c r="P6310" s="17"/>
      <c r="Q6310" s="17"/>
      <c r="R6310" s="17"/>
      <c r="S6310" s="17"/>
    </row>
    <row r="6311" spans="3:20" x14ac:dyDescent="0.35">
      <c r="C6311" s="15" t="s">
        <v>8</v>
      </c>
      <c r="E6311" s="15" t="s">
        <v>8</v>
      </c>
      <c r="F6311" s="15" t="s">
        <v>8</v>
      </c>
      <c r="J6311" s="15" t="s">
        <v>8</v>
      </c>
      <c r="L6311" s="15" t="s">
        <v>8</v>
      </c>
      <c r="M6311" s="8" t="s">
        <v>6</v>
      </c>
      <c r="N6311" s="15" t="s">
        <v>8</v>
      </c>
    </row>
    <row r="6312" spans="3:20" x14ac:dyDescent="0.35">
      <c r="C6312" s="15" t="s">
        <v>8</v>
      </c>
      <c r="E6312" s="15" t="s">
        <v>8</v>
      </c>
      <c r="F6312" s="15" t="s">
        <v>8</v>
      </c>
      <c r="J6312" s="15" t="s">
        <v>8</v>
      </c>
      <c r="L6312" s="15" t="s">
        <v>8</v>
      </c>
      <c r="M6312" s="16" t="str">
        <f>HYPERLINK("http://yeinfo.com/family/I09005873.html", "SARAH SIMPSON 1639 -1725  ID:09002937")</f>
        <v>SARAH SIMPSON 1639 -1725  ID:09002937</v>
      </c>
      <c r="N6312" s="11"/>
      <c r="O6312" s="11"/>
      <c r="P6312" s="11"/>
      <c r="Q6312" s="11"/>
    </row>
    <row r="6313" spans="3:20" x14ac:dyDescent="0.35">
      <c r="C6313" s="15" t="s">
        <v>8</v>
      </c>
      <c r="E6313" s="15" t="s">
        <v>8</v>
      </c>
      <c r="F6313" s="15" t="s">
        <v>8</v>
      </c>
      <c r="J6313" s="15" t="s">
        <v>8</v>
      </c>
      <c r="L6313" s="15" t="s">
        <v>8</v>
      </c>
      <c r="N6313" s="15" t="s">
        <v>8</v>
      </c>
    </row>
    <row r="6314" spans="3:20" x14ac:dyDescent="0.35">
      <c r="C6314" s="15" t="s">
        <v>8</v>
      </c>
      <c r="E6314" s="15" t="s">
        <v>8</v>
      </c>
      <c r="F6314" s="15" t="s">
        <v>8</v>
      </c>
      <c r="J6314" s="15" t="s">
        <v>8</v>
      </c>
      <c r="L6314" s="15" t="s">
        <v>8</v>
      </c>
      <c r="N6314" s="15" t="s">
        <v>8</v>
      </c>
      <c r="O6314" s="5" t="str">
        <f>HYPERLINK("http://yeinfo.com/family/I09005875.html", "WILLIAM ALDERS 1590 EN-1610  ID:09011750")</f>
        <v>WILLIAM ALDERS 1590 EN-1610  ID:09011750</v>
      </c>
      <c r="P6314" s="3"/>
      <c r="Q6314" s="3"/>
      <c r="R6314" s="3"/>
      <c r="S6314" s="3"/>
    </row>
    <row r="6315" spans="3:20" x14ac:dyDescent="0.35">
      <c r="C6315" s="15" t="s">
        <v>8</v>
      </c>
      <c r="E6315" s="15" t="s">
        <v>8</v>
      </c>
      <c r="F6315" s="15" t="s">
        <v>8</v>
      </c>
      <c r="J6315" s="15" t="s">
        <v>8</v>
      </c>
      <c r="L6315" s="15" t="s">
        <v>8</v>
      </c>
      <c r="N6315" s="8" t="s">
        <v>6</v>
      </c>
      <c r="O6315" s="8" t="s">
        <v>3</v>
      </c>
    </row>
    <row r="6316" spans="3:20" x14ac:dyDescent="0.35">
      <c r="C6316" s="15" t="s">
        <v>8</v>
      </c>
      <c r="E6316" s="15" t="s">
        <v>8</v>
      </c>
      <c r="F6316" s="15" t="s">
        <v>8</v>
      </c>
      <c r="J6316" s="15" t="s">
        <v>8</v>
      </c>
      <c r="L6316" s="15" t="s">
        <v>8</v>
      </c>
      <c r="N6316" s="20" t="str">
        <f>HYPERLINK("http://yeinfo.com/family/I09011749.html", "GERTRUDE ALDERS 1609 EN-1649 EN ID:09005875")</f>
        <v>GERTRUDE ALDERS 1609 EN-1649 EN ID:09005875</v>
      </c>
      <c r="O6316" s="17"/>
      <c r="P6316" s="17"/>
      <c r="Q6316" s="17"/>
      <c r="R6316" s="17"/>
    </row>
    <row r="6317" spans="3:20" x14ac:dyDescent="0.35">
      <c r="C6317" s="15" t="s">
        <v>8</v>
      </c>
      <c r="E6317" s="15" t="s">
        <v>8</v>
      </c>
      <c r="F6317" s="15" t="s">
        <v>8</v>
      </c>
      <c r="J6317" s="15" t="s">
        <v>8</v>
      </c>
      <c r="L6317" s="15" t="s">
        <v>8</v>
      </c>
      <c r="O6317" s="15" t="s">
        <v>8</v>
      </c>
    </row>
    <row r="6318" spans="3:20" x14ac:dyDescent="0.35">
      <c r="C6318" s="15" t="s">
        <v>8</v>
      </c>
      <c r="E6318" s="15" t="s">
        <v>8</v>
      </c>
      <c r="F6318" s="15" t="s">
        <v>8</v>
      </c>
      <c r="J6318" s="15" t="s">
        <v>8</v>
      </c>
      <c r="L6318" s="15" t="s">
        <v>8</v>
      </c>
      <c r="O6318" s="15" t="s">
        <v>8</v>
      </c>
      <c r="P6318" s="19" t="str">
        <f>HYPERLINK("http://yeinfo.com/family/I09011751.html", "WILLIAM BRUCE 1540 ST-1579  ID:09023502")</f>
        <v>WILLIAM BRUCE 1540 ST-1579  ID:09023502</v>
      </c>
      <c r="Q6318" s="9"/>
      <c r="R6318" s="9"/>
      <c r="S6318" s="9"/>
      <c r="T6318" s="9"/>
    </row>
    <row r="6319" spans="3:20" x14ac:dyDescent="0.35">
      <c r="C6319" s="15" t="s">
        <v>8</v>
      </c>
      <c r="E6319" s="15" t="s">
        <v>8</v>
      </c>
      <c r="F6319" s="15" t="s">
        <v>8</v>
      </c>
      <c r="J6319" s="15" t="s">
        <v>8</v>
      </c>
      <c r="L6319" s="15" t="s">
        <v>8</v>
      </c>
      <c r="O6319" s="8" t="s">
        <v>6</v>
      </c>
      <c r="P6319" s="8" t="s">
        <v>3</v>
      </c>
    </row>
    <row r="6320" spans="3:20" x14ac:dyDescent="0.35">
      <c r="C6320" s="15" t="s">
        <v>8</v>
      </c>
      <c r="E6320" s="15" t="s">
        <v>8</v>
      </c>
      <c r="F6320" s="15" t="s">
        <v>8</v>
      </c>
      <c r="J6320" s="15" t="s">
        <v>8</v>
      </c>
      <c r="L6320" s="15" t="s">
        <v>8</v>
      </c>
      <c r="O6320" s="16" t="str">
        <f>HYPERLINK("http://yeinfo.com/family/I09011750.html", "MARION BRUCE 1579 ST-1630  ID:09011751")</f>
        <v>MARION BRUCE 1579 ST-1630  ID:09011751</v>
      </c>
      <c r="P6320" s="11"/>
      <c r="Q6320" s="11"/>
      <c r="R6320" s="11"/>
      <c r="S6320" s="11"/>
    </row>
    <row r="6321" spans="3:20" x14ac:dyDescent="0.35">
      <c r="C6321" s="15" t="s">
        <v>8</v>
      </c>
      <c r="E6321" s="15" t="s">
        <v>8</v>
      </c>
      <c r="F6321" s="15" t="s">
        <v>8</v>
      </c>
      <c r="J6321" s="15" t="s">
        <v>8</v>
      </c>
      <c r="L6321" s="15" t="s">
        <v>8</v>
      </c>
      <c r="P6321" s="8" t="s">
        <v>6</v>
      </c>
    </row>
    <row r="6322" spans="3:20" x14ac:dyDescent="0.35">
      <c r="C6322" s="15" t="s">
        <v>8</v>
      </c>
      <c r="E6322" s="15" t="s">
        <v>8</v>
      </c>
      <c r="F6322" s="15" t="s">
        <v>8</v>
      </c>
      <c r="J6322" s="15" t="s">
        <v>8</v>
      </c>
      <c r="L6322" s="15" t="s">
        <v>8</v>
      </c>
      <c r="P6322" s="20" t="str">
        <f>HYPERLINK("http://yeinfo.com/family/I09023502.html", "ISOBELL FORBES 1545 ST-1611 ST ID:09023503")</f>
        <v>ISOBELL FORBES 1545 ST-1611 ST ID:09023503</v>
      </c>
      <c r="Q6322" s="17"/>
      <c r="R6322" s="17"/>
      <c r="S6322" s="17"/>
      <c r="T6322" s="17"/>
    </row>
    <row r="6323" spans="3:20" x14ac:dyDescent="0.35">
      <c r="C6323" s="15" t="s">
        <v>8</v>
      </c>
      <c r="E6323" s="15" t="s">
        <v>8</v>
      </c>
      <c r="F6323" s="15" t="s">
        <v>8</v>
      </c>
      <c r="J6323" s="15" t="s">
        <v>8</v>
      </c>
      <c r="L6323" s="15" t="s">
        <v>8</v>
      </c>
    </row>
    <row r="6324" spans="3:20" x14ac:dyDescent="0.35">
      <c r="C6324" s="15" t="s">
        <v>8</v>
      </c>
      <c r="E6324" s="15" t="s">
        <v>8</v>
      </c>
      <c r="F6324" s="15" t="s">
        <v>8</v>
      </c>
      <c r="J6324" s="15" t="s">
        <v>8</v>
      </c>
      <c r="K6324" s="5" t="str">
        <f>HYPERLINK("http://yeinfo.com/family/I09000367.html", "ISRAEL TAFT 1699 MA-1753 MA ID:09000734")</f>
        <v>ISRAEL TAFT 1699 MA-1753 MA ID:09000734</v>
      </c>
      <c r="L6324" s="3"/>
      <c r="M6324" s="3"/>
      <c r="N6324" s="3"/>
      <c r="O6324" s="3"/>
    </row>
    <row r="6325" spans="3:20" x14ac:dyDescent="0.35">
      <c r="C6325" s="15" t="s">
        <v>8</v>
      </c>
      <c r="E6325" s="15" t="s">
        <v>8</v>
      </c>
      <c r="F6325" s="15" t="s">
        <v>8</v>
      </c>
      <c r="J6325" s="15" t="s">
        <v>8</v>
      </c>
      <c r="K6325" s="8" t="s">
        <v>3</v>
      </c>
      <c r="L6325" s="15" t="s">
        <v>8</v>
      </c>
    </row>
    <row r="6326" spans="3:20" x14ac:dyDescent="0.35">
      <c r="C6326" s="15" t="s">
        <v>8</v>
      </c>
      <c r="E6326" s="15" t="s">
        <v>8</v>
      </c>
      <c r="F6326" s="15" t="s">
        <v>8</v>
      </c>
      <c r="J6326" s="15" t="s">
        <v>8</v>
      </c>
      <c r="K6326" s="15" t="s">
        <v>8</v>
      </c>
      <c r="L6326" s="15" t="s">
        <v>8</v>
      </c>
      <c r="O6326" s="21" t="str">
        <f>HYPERLINK("http://yeinfo.com/family/I09005876.html", "NATHANIEL WOODWARD 1585 EN-1661 MA ID:09011752")</f>
        <v>NATHANIEL WOODWARD 1585 EN-1661 MA ID:09011752</v>
      </c>
      <c r="P6326" s="6"/>
      <c r="Q6326" s="6"/>
      <c r="R6326" s="6"/>
      <c r="S6326" s="6"/>
    </row>
    <row r="6327" spans="3:20" x14ac:dyDescent="0.35">
      <c r="C6327" s="15" t="s">
        <v>8</v>
      </c>
      <c r="E6327" s="15" t="s">
        <v>8</v>
      </c>
      <c r="F6327" s="15" t="s">
        <v>8</v>
      </c>
      <c r="J6327" s="15" t="s">
        <v>8</v>
      </c>
      <c r="K6327" s="15" t="s">
        <v>8</v>
      </c>
      <c r="L6327" s="15" t="s">
        <v>8</v>
      </c>
      <c r="O6327" s="8" t="s">
        <v>3</v>
      </c>
    </row>
    <row r="6328" spans="3:20" x14ac:dyDescent="0.35">
      <c r="C6328" s="15" t="s">
        <v>8</v>
      </c>
      <c r="E6328" s="15" t="s">
        <v>8</v>
      </c>
      <c r="F6328" s="15" t="s">
        <v>8</v>
      </c>
      <c r="J6328" s="15" t="s">
        <v>8</v>
      </c>
      <c r="K6328" s="15" t="s">
        <v>8</v>
      </c>
      <c r="L6328" s="15" t="s">
        <v>8</v>
      </c>
      <c r="N6328" s="5" t="str">
        <f>HYPERLINK("http://yeinfo.com/family/I09002938.html", "NATHANIEL WOODWARD 1613 -1694  ID:09005876")</f>
        <v>NATHANIEL WOODWARD 1613 -1694  ID:09005876</v>
      </c>
      <c r="O6328" s="3"/>
      <c r="P6328" s="3"/>
      <c r="Q6328" s="3"/>
      <c r="R6328" s="3"/>
    </row>
    <row r="6329" spans="3:20" x14ac:dyDescent="0.35">
      <c r="C6329" s="15" t="s">
        <v>8</v>
      </c>
      <c r="E6329" s="15" t="s">
        <v>8</v>
      </c>
      <c r="F6329" s="15" t="s">
        <v>8</v>
      </c>
      <c r="J6329" s="15" t="s">
        <v>8</v>
      </c>
      <c r="K6329" s="15" t="s">
        <v>8</v>
      </c>
      <c r="L6329" s="15" t="s">
        <v>8</v>
      </c>
      <c r="N6329" s="8" t="s">
        <v>3</v>
      </c>
      <c r="O6329" s="8" t="s">
        <v>6</v>
      </c>
    </row>
    <row r="6330" spans="3:20" x14ac:dyDescent="0.35">
      <c r="C6330" s="15" t="s">
        <v>8</v>
      </c>
      <c r="E6330" s="15" t="s">
        <v>8</v>
      </c>
      <c r="F6330" s="15" t="s">
        <v>8</v>
      </c>
      <c r="J6330" s="15" t="s">
        <v>8</v>
      </c>
      <c r="K6330" s="15" t="s">
        <v>8</v>
      </c>
      <c r="L6330" s="15" t="s">
        <v>8</v>
      </c>
      <c r="N6330" s="15" t="s">
        <v>8</v>
      </c>
      <c r="O6330" s="20" t="str">
        <f>HYPERLINK("http://yeinfo.com/family/I09011752.html", "Mrs. MARGARET WOODWARD 1585 EN-1613 EN ID:09011753")</f>
        <v>Mrs. MARGARET WOODWARD 1585 EN-1613 EN ID:09011753</v>
      </c>
      <c r="P6330" s="17"/>
      <c r="Q6330" s="17"/>
      <c r="R6330" s="17"/>
      <c r="S6330" s="17"/>
    </row>
    <row r="6331" spans="3:20" x14ac:dyDescent="0.35">
      <c r="C6331" s="15" t="s">
        <v>8</v>
      </c>
      <c r="E6331" s="15" t="s">
        <v>8</v>
      </c>
      <c r="F6331" s="15" t="s">
        <v>8</v>
      </c>
      <c r="J6331" s="15" t="s">
        <v>8</v>
      </c>
      <c r="K6331" s="15" t="s">
        <v>8</v>
      </c>
      <c r="L6331" s="15" t="s">
        <v>8</v>
      </c>
      <c r="N6331" s="15" t="s">
        <v>8</v>
      </c>
    </row>
    <row r="6332" spans="3:20" x14ac:dyDescent="0.35">
      <c r="C6332" s="15" t="s">
        <v>8</v>
      </c>
      <c r="E6332" s="15" t="s">
        <v>8</v>
      </c>
      <c r="F6332" s="15" t="s">
        <v>8</v>
      </c>
      <c r="J6332" s="15" t="s">
        <v>8</v>
      </c>
      <c r="K6332" s="15" t="s">
        <v>8</v>
      </c>
      <c r="L6332" s="15" t="s">
        <v>8</v>
      </c>
      <c r="M6332" s="5" t="str">
        <f>HYPERLINK("http://yeinfo.com/family/I09001469.html", "ISRAEL WOODWARD 1648 MA-1674 MA ID:09002938")</f>
        <v>ISRAEL WOODWARD 1648 MA-1674 MA ID:09002938</v>
      </c>
      <c r="N6332" s="3"/>
      <c r="O6332" s="3"/>
      <c r="P6332" s="3"/>
      <c r="Q6332" s="3"/>
    </row>
    <row r="6333" spans="3:20" x14ac:dyDescent="0.35">
      <c r="C6333" s="15" t="s">
        <v>8</v>
      </c>
      <c r="E6333" s="15" t="s">
        <v>8</v>
      </c>
      <c r="F6333" s="15" t="s">
        <v>8</v>
      </c>
      <c r="J6333" s="15" t="s">
        <v>8</v>
      </c>
      <c r="K6333" s="15" t="s">
        <v>8</v>
      </c>
      <c r="L6333" s="15" t="s">
        <v>8</v>
      </c>
      <c r="M6333" s="8" t="s">
        <v>3</v>
      </c>
      <c r="N6333" s="15" t="s">
        <v>8</v>
      </c>
    </row>
    <row r="6334" spans="3:20" x14ac:dyDescent="0.35">
      <c r="C6334" s="15" t="s">
        <v>8</v>
      </c>
      <c r="E6334" s="15" t="s">
        <v>8</v>
      </c>
      <c r="F6334" s="15" t="s">
        <v>8</v>
      </c>
      <c r="J6334" s="15" t="s">
        <v>8</v>
      </c>
      <c r="K6334" s="15" t="s">
        <v>8</v>
      </c>
      <c r="L6334" s="15" t="s">
        <v>8</v>
      </c>
      <c r="M6334" s="15" t="s">
        <v>8</v>
      </c>
      <c r="N6334" s="15" t="s">
        <v>8</v>
      </c>
      <c r="O6334" s="19" t="str">
        <f>HYPERLINK("http://yeinfo.com/family/I09005877.html", "EDMUND JACKSON 1595 EN-1637 EN ID:09011754")</f>
        <v>EDMUND JACKSON 1595 EN-1637 EN ID:09011754</v>
      </c>
      <c r="P6334" s="9"/>
      <c r="Q6334" s="9"/>
      <c r="R6334" s="9"/>
      <c r="S6334" s="9"/>
    </row>
    <row r="6335" spans="3:20" x14ac:dyDescent="0.35">
      <c r="C6335" s="15" t="s">
        <v>8</v>
      </c>
      <c r="E6335" s="15" t="s">
        <v>8</v>
      </c>
      <c r="F6335" s="15" t="s">
        <v>8</v>
      </c>
      <c r="J6335" s="15" t="s">
        <v>8</v>
      </c>
      <c r="K6335" s="15" t="s">
        <v>8</v>
      </c>
      <c r="L6335" s="15" t="s">
        <v>8</v>
      </c>
      <c r="M6335" s="15" t="s">
        <v>8</v>
      </c>
      <c r="N6335" s="8" t="s">
        <v>6</v>
      </c>
      <c r="O6335" s="8" t="s">
        <v>3</v>
      </c>
    </row>
    <row r="6336" spans="3:20" x14ac:dyDescent="0.35">
      <c r="C6336" s="15" t="s">
        <v>8</v>
      </c>
      <c r="E6336" s="15" t="s">
        <v>8</v>
      </c>
      <c r="F6336" s="15" t="s">
        <v>8</v>
      </c>
      <c r="J6336" s="15" t="s">
        <v>8</v>
      </c>
      <c r="K6336" s="15" t="s">
        <v>8</v>
      </c>
      <c r="L6336" s="15" t="s">
        <v>8</v>
      </c>
      <c r="M6336" s="15" t="s">
        <v>8</v>
      </c>
      <c r="N6336" s="16" t="str">
        <f>HYPERLINK("http://yeinfo.com/family/I09011753.html", "MARY JACKSON 1618 EN-1653  ID:09005877")</f>
        <v>MARY JACKSON 1618 EN-1653  ID:09005877</v>
      </c>
      <c r="O6336" s="11"/>
      <c r="P6336" s="11"/>
      <c r="Q6336" s="11"/>
      <c r="R6336" s="11"/>
    </row>
    <row r="6337" spans="3:20" x14ac:dyDescent="0.35">
      <c r="C6337" s="15" t="s">
        <v>8</v>
      </c>
      <c r="E6337" s="15" t="s">
        <v>8</v>
      </c>
      <c r="F6337" s="15" t="s">
        <v>8</v>
      </c>
      <c r="J6337" s="15" t="s">
        <v>8</v>
      </c>
      <c r="K6337" s="15" t="s">
        <v>8</v>
      </c>
      <c r="L6337" s="15" t="s">
        <v>8</v>
      </c>
      <c r="M6337" s="15" t="s">
        <v>8</v>
      </c>
      <c r="O6337" s="8" t="s">
        <v>6</v>
      </c>
    </row>
    <row r="6338" spans="3:20" x14ac:dyDescent="0.35">
      <c r="C6338" s="15" t="s">
        <v>8</v>
      </c>
      <c r="E6338" s="15" t="s">
        <v>8</v>
      </c>
      <c r="F6338" s="15" t="s">
        <v>8</v>
      </c>
      <c r="J6338" s="15" t="s">
        <v>8</v>
      </c>
      <c r="K6338" s="15" t="s">
        <v>8</v>
      </c>
      <c r="L6338" s="15" t="s">
        <v>8</v>
      </c>
      <c r="M6338" s="15" t="s">
        <v>8</v>
      </c>
      <c r="O6338" s="20" t="str">
        <f>HYPERLINK("http://yeinfo.com/family/I09011754.html", "BRIDGET\BARBARA\MARTHA STORY 1592 EN-1618 EN ID:09011755")</f>
        <v>BRIDGET\BARBARA\MARTHA STORY 1592 EN-1618 EN ID:09011755</v>
      </c>
      <c r="P6338" s="17"/>
      <c r="Q6338" s="17"/>
      <c r="R6338" s="17"/>
      <c r="S6338" s="17"/>
      <c r="T6338" s="17"/>
    </row>
    <row r="6339" spans="3:20" x14ac:dyDescent="0.35">
      <c r="C6339" s="15" t="s">
        <v>8</v>
      </c>
      <c r="E6339" s="15" t="s">
        <v>8</v>
      </c>
      <c r="F6339" s="15" t="s">
        <v>8</v>
      </c>
      <c r="J6339" s="15" t="s">
        <v>8</v>
      </c>
      <c r="K6339" s="15" t="s">
        <v>8</v>
      </c>
      <c r="L6339" s="8" t="s">
        <v>6</v>
      </c>
      <c r="M6339" s="15" t="s">
        <v>8</v>
      </c>
    </row>
    <row r="6340" spans="3:20" x14ac:dyDescent="0.35">
      <c r="C6340" s="15" t="s">
        <v>8</v>
      </c>
      <c r="E6340" s="15" t="s">
        <v>8</v>
      </c>
      <c r="F6340" s="15" t="s">
        <v>8</v>
      </c>
      <c r="J6340" s="15" t="s">
        <v>8</v>
      </c>
      <c r="K6340" s="15" t="s">
        <v>8</v>
      </c>
      <c r="L6340" s="16" t="str">
        <f>HYPERLINK("http://yeinfo.com/family/I09023503.html", "ELIZABETH WOODWARD 1671 -1699 EN ID:09001469")</f>
        <v>ELIZABETH WOODWARD 1671 -1699 EN ID:09001469</v>
      </c>
      <c r="M6340" s="11"/>
      <c r="N6340" s="11"/>
      <c r="O6340" s="11"/>
      <c r="P6340" s="11"/>
    </row>
    <row r="6341" spans="3:20" x14ac:dyDescent="0.35">
      <c r="C6341" s="15" t="s">
        <v>8</v>
      </c>
      <c r="E6341" s="15" t="s">
        <v>8</v>
      </c>
      <c r="F6341" s="15" t="s">
        <v>8</v>
      </c>
      <c r="J6341" s="15" t="s">
        <v>8</v>
      </c>
      <c r="K6341" s="15" t="s">
        <v>8</v>
      </c>
      <c r="M6341" s="15" t="s">
        <v>8</v>
      </c>
    </row>
    <row r="6342" spans="3:20" x14ac:dyDescent="0.35">
      <c r="C6342" s="15" t="s">
        <v>8</v>
      </c>
      <c r="E6342" s="15" t="s">
        <v>8</v>
      </c>
      <c r="F6342" s="15" t="s">
        <v>8</v>
      </c>
      <c r="J6342" s="15" t="s">
        <v>8</v>
      </c>
      <c r="K6342" s="15" t="s">
        <v>8</v>
      </c>
      <c r="M6342" s="15" t="s">
        <v>8</v>
      </c>
      <c r="N6342" s="21" t="str">
        <f>HYPERLINK("http://yeinfo.com/family/I09002939.html", "RICHARD GODFREY 1631 EN-1691 MA ID:09005878")</f>
        <v>RICHARD GODFREY 1631 EN-1691 MA ID:09005878</v>
      </c>
      <c r="O6342" s="6"/>
      <c r="P6342" s="6"/>
      <c r="Q6342" s="6"/>
      <c r="R6342" s="6"/>
    </row>
    <row r="6343" spans="3:20" x14ac:dyDescent="0.35">
      <c r="C6343" s="15" t="s">
        <v>8</v>
      </c>
      <c r="E6343" s="15" t="s">
        <v>8</v>
      </c>
      <c r="F6343" s="15" t="s">
        <v>8</v>
      </c>
      <c r="J6343" s="15" t="s">
        <v>8</v>
      </c>
      <c r="K6343" s="15" t="s">
        <v>8</v>
      </c>
      <c r="M6343" s="8" t="s">
        <v>6</v>
      </c>
      <c r="N6343" s="8" t="s">
        <v>3</v>
      </c>
    </row>
    <row r="6344" spans="3:20" x14ac:dyDescent="0.35">
      <c r="C6344" s="15" t="s">
        <v>8</v>
      </c>
      <c r="E6344" s="15" t="s">
        <v>8</v>
      </c>
      <c r="F6344" s="15" t="s">
        <v>8</v>
      </c>
      <c r="J6344" s="15" t="s">
        <v>8</v>
      </c>
      <c r="K6344" s="15" t="s">
        <v>8</v>
      </c>
      <c r="M6344" s="16" t="str">
        <f>HYPERLINK("http://yeinfo.com/family/I09011755.html", "JANE GODFREY 1652 MA-1736  ID:09002939")</f>
        <v>JANE GODFREY 1652 MA-1736  ID:09002939</v>
      </c>
      <c r="N6344" s="11"/>
      <c r="O6344" s="11"/>
      <c r="P6344" s="11"/>
      <c r="Q6344" s="11"/>
    </row>
    <row r="6345" spans="3:20" x14ac:dyDescent="0.35">
      <c r="C6345" s="15" t="s">
        <v>8</v>
      </c>
      <c r="E6345" s="15" t="s">
        <v>8</v>
      </c>
      <c r="F6345" s="15" t="s">
        <v>8</v>
      </c>
      <c r="J6345" s="15" t="s">
        <v>8</v>
      </c>
      <c r="K6345" s="15" t="s">
        <v>8</v>
      </c>
      <c r="N6345" s="15" t="s">
        <v>8</v>
      </c>
    </row>
    <row r="6346" spans="3:20" x14ac:dyDescent="0.35">
      <c r="C6346" s="15" t="s">
        <v>8</v>
      </c>
      <c r="E6346" s="15" t="s">
        <v>8</v>
      </c>
      <c r="F6346" s="15" t="s">
        <v>8</v>
      </c>
      <c r="J6346" s="15" t="s">
        <v>8</v>
      </c>
      <c r="K6346" s="15" t="s">
        <v>8</v>
      </c>
      <c r="N6346" s="15" t="s">
        <v>8</v>
      </c>
      <c r="P6346" s="21" t="str">
        <f>HYPERLINK("http://yeinfo.com/family/I09011758.html", "JOHN TURNER 1585 EN-1643 MA ID:09023516")</f>
        <v>JOHN TURNER 1585 EN-1643 MA ID:09023516</v>
      </c>
      <c r="Q6346" s="6"/>
      <c r="R6346" s="6"/>
      <c r="S6346" s="6"/>
      <c r="T6346" s="6"/>
    </row>
    <row r="6347" spans="3:20" x14ac:dyDescent="0.35">
      <c r="C6347" s="15" t="s">
        <v>8</v>
      </c>
      <c r="E6347" s="15" t="s">
        <v>8</v>
      </c>
      <c r="F6347" s="15" t="s">
        <v>8</v>
      </c>
      <c r="J6347" s="15" t="s">
        <v>8</v>
      </c>
      <c r="K6347" s="15" t="s">
        <v>8</v>
      </c>
      <c r="N6347" s="15" t="s">
        <v>8</v>
      </c>
      <c r="P6347" s="8" t="s">
        <v>3</v>
      </c>
    </row>
    <row r="6348" spans="3:20" x14ac:dyDescent="0.35">
      <c r="C6348" s="15" t="s">
        <v>8</v>
      </c>
      <c r="E6348" s="15" t="s">
        <v>8</v>
      </c>
      <c r="F6348" s="15" t="s">
        <v>8</v>
      </c>
      <c r="J6348" s="15" t="s">
        <v>8</v>
      </c>
      <c r="K6348" s="15" t="s">
        <v>8</v>
      </c>
      <c r="N6348" s="15" t="s">
        <v>8</v>
      </c>
      <c r="O6348" s="21" t="str">
        <f>HYPERLINK("http://yeinfo.com/family/I09005879.html", "JOHN TURNER 1612 EN-1689 MA ID:09011758")</f>
        <v>JOHN TURNER 1612 EN-1689 MA ID:09011758</v>
      </c>
      <c r="P6348" s="6"/>
      <c r="Q6348" s="6"/>
      <c r="R6348" s="6"/>
      <c r="S6348" s="6"/>
    </row>
    <row r="6349" spans="3:20" x14ac:dyDescent="0.35">
      <c r="C6349" s="15" t="s">
        <v>8</v>
      </c>
      <c r="E6349" s="15" t="s">
        <v>8</v>
      </c>
      <c r="F6349" s="15" t="s">
        <v>8</v>
      </c>
      <c r="J6349" s="15" t="s">
        <v>8</v>
      </c>
      <c r="K6349" s="15" t="s">
        <v>8</v>
      </c>
      <c r="N6349" s="15" t="s">
        <v>8</v>
      </c>
      <c r="O6349" s="8" t="s">
        <v>3</v>
      </c>
      <c r="P6349" s="8" t="s">
        <v>6</v>
      </c>
    </row>
    <row r="6350" spans="3:20" x14ac:dyDescent="0.35">
      <c r="C6350" s="15" t="s">
        <v>8</v>
      </c>
      <c r="E6350" s="15" t="s">
        <v>8</v>
      </c>
      <c r="F6350" s="15" t="s">
        <v>8</v>
      </c>
      <c r="J6350" s="15" t="s">
        <v>8</v>
      </c>
      <c r="K6350" s="15" t="s">
        <v>8</v>
      </c>
      <c r="N6350" s="15" t="s">
        <v>8</v>
      </c>
      <c r="O6350" s="15" t="s">
        <v>8</v>
      </c>
      <c r="P6350" s="20" t="str">
        <f>HYPERLINK("http://yeinfo.com/family/I09023516.html", "Mrs. {_?_} TURNER 1585 EN-1612 EN ID:09023517")</f>
        <v>Mrs. {_?_} TURNER 1585 EN-1612 EN ID:09023517</v>
      </c>
      <c r="Q6350" s="17"/>
      <c r="R6350" s="17"/>
      <c r="S6350" s="17"/>
      <c r="T6350" s="17"/>
    </row>
    <row r="6351" spans="3:20" x14ac:dyDescent="0.35">
      <c r="C6351" s="15" t="s">
        <v>8</v>
      </c>
      <c r="E6351" s="15" t="s">
        <v>8</v>
      </c>
      <c r="F6351" s="15" t="s">
        <v>8</v>
      </c>
      <c r="J6351" s="15" t="s">
        <v>8</v>
      </c>
      <c r="K6351" s="15" t="s">
        <v>8</v>
      </c>
      <c r="N6351" s="8" t="s">
        <v>6</v>
      </c>
      <c r="O6351" s="15" t="s">
        <v>8</v>
      </c>
    </row>
    <row r="6352" spans="3:20" x14ac:dyDescent="0.35">
      <c r="C6352" s="15" t="s">
        <v>8</v>
      </c>
      <c r="E6352" s="15" t="s">
        <v>8</v>
      </c>
      <c r="F6352" s="15" t="s">
        <v>8</v>
      </c>
      <c r="J6352" s="15" t="s">
        <v>8</v>
      </c>
      <c r="K6352" s="15" t="s">
        <v>8</v>
      </c>
      <c r="N6352" s="22" t="str">
        <f>HYPERLINK("http://yeinfo.com/family/I09005878.html", "JANE TURNER 1632 EN-1652 MA ID:09005879")</f>
        <v>JANE TURNER 1632 EN-1652 MA ID:09005879</v>
      </c>
      <c r="O6352" s="13"/>
      <c r="P6352" s="13"/>
      <c r="Q6352" s="13"/>
      <c r="R6352" s="13"/>
    </row>
    <row r="6353" spans="3:25" x14ac:dyDescent="0.35">
      <c r="C6353" s="15" t="s">
        <v>8</v>
      </c>
      <c r="E6353" s="15" t="s">
        <v>8</v>
      </c>
      <c r="F6353" s="15" t="s">
        <v>8</v>
      </c>
      <c r="J6353" s="15" t="s">
        <v>8</v>
      </c>
      <c r="K6353" s="15" t="s">
        <v>8</v>
      </c>
      <c r="O6353" s="8" t="s">
        <v>6</v>
      </c>
    </row>
    <row r="6354" spans="3:25" x14ac:dyDescent="0.35">
      <c r="C6354" s="15" t="s">
        <v>8</v>
      </c>
      <c r="E6354" s="15" t="s">
        <v>8</v>
      </c>
      <c r="F6354" s="15" t="s">
        <v>8</v>
      </c>
      <c r="J6354" s="15" t="s">
        <v>8</v>
      </c>
      <c r="K6354" s="15" t="s">
        <v>8</v>
      </c>
      <c r="O6354" s="22" t="str">
        <f>HYPERLINK("http://yeinfo.com/family/I09023517.html", "JANE CURTIS 1610 EN-1640 MA ID:09011759")</f>
        <v>JANE CURTIS 1610 EN-1640 MA ID:09011759</v>
      </c>
      <c r="P6354" s="13"/>
      <c r="Q6354" s="13"/>
      <c r="R6354" s="13"/>
      <c r="S6354" s="13"/>
    </row>
    <row r="6355" spans="3:25" x14ac:dyDescent="0.35">
      <c r="C6355" s="15" t="s">
        <v>8</v>
      </c>
      <c r="E6355" s="15" t="s">
        <v>8</v>
      </c>
      <c r="F6355" s="15" t="s">
        <v>8</v>
      </c>
      <c r="J6355" s="8" t="s">
        <v>6</v>
      </c>
      <c r="K6355" s="15" t="s">
        <v>8</v>
      </c>
    </row>
    <row r="6356" spans="3:25" x14ac:dyDescent="0.35">
      <c r="C6356" s="15" t="s">
        <v>8</v>
      </c>
      <c r="E6356" s="15" t="s">
        <v>8</v>
      </c>
      <c r="F6356" s="15" t="s">
        <v>8</v>
      </c>
      <c r="J6356" s="16" t="str">
        <f>HYPERLINK("http://yeinfo.com/family/I09002935.html", "PRISCILLA TAFT 1721 MA-1760 MA ID:09000367")</f>
        <v>PRISCILLA TAFT 1721 MA-1760 MA ID:09000367</v>
      </c>
      <c r="K6356" s="11"/>
      <c r="L6356" s="11"/>
      <c r="M6356" s="11"/>
      <c r="N6356" s="11"/>
    </row>
    <row r="6357" spans="3:25" x14ac:dyDescent="0.35">
      <c r="C6357" s="15" t="s">
        <v>8</v>
      </c>
      <c r="E6357" s="15" t="s">
        <v>8</v>
      </c>
      <c r="F6357" s="15" t="s">
        <v>8</v>
      </c>
      <c r="K6357" s="15" t="s">
        <v>8</v>
      </c>
    </row>
    <row r="6358" spans="3:25" x14ac:dyDescent="0.35">
      <c r="C6358" s="15" t="s">
        <v>8</v>
      </c>
      <c r="E6358" s="15" t="s">
        <v>8</v>
      </c>
      <c r="F6358" s="15" t="s">
        <v>8</v>
      </c>
      <c r="K6358" s="15" t="s">
        <v>8</v>
      </c>
      <c r="U6358" s="19" t="str">
        <f>HYPERLINK("http://yeinfo.com/family/I09065871.html", "WILLIAM ALDRICH 1421 EN-1446 EN ID:09066045")</f>
        <v>WILLIAM ALDRICH 1421 EN-1446 EN ID:09066045</v>
      </c>
      <c r="V6358" s="9"/>
      <c r="W6358" s="9"/>
      <c r="X6358" s="9"/>
      <c r="Y6358" s="9"/>
    </row>
    <row r="6359" spans="3:25" x14ac:dyDescent="0.35">
      <c r="C6359" s="15" t="s">
        <v>8</v>
      </c>
      <c r="E6359" s="15" t="s">
        <v>8</v>
      </c>
      <c r="F6359" s="15" t="s">
        <v>8</v>
      </c>
      <c r="K6359" s="15" t="s">
        <v>8</v>
      </c>
      <c r="U6359" s="8" t="s">
        <v>3</v>
      </c>
    </row>
    <row r="6360" spans="3:25" x14ac:dyDescent="0.35">
      <c r="C6360" s="15" t="s">
        <v>8</v>
      </c>
      <c r="E6360" s="15" t="s">
        <v>8</v>
      </c>
      <c r="F6360" s="15" t="s">
        <v>8</v>
      </c>
      <c r="K6360" s="15" t="s">
        <v>8</v>
      </c>
      <c r="T6360" s="19" t="str">
        <f>HYPERLINK("http://yeinfo.com/family/I09065726.html", "WILLIAM ALDRICH II 1446 EN-1473 EN ID:09065871")</f>
        <v>WILLIAM ALDRICH II 1446 EN-1473 EN ID:09065871</v>
      </c>
      <c r="U6360" s="9"/>
      <c r="V6360" s="9"/>
      <c r="W6360" s="9"/>
      <c r="X6360" s="9"/>
    </row>
    <row r="6361" spans="3:25" x14ac:dyDescent="0.35">
      <c r="C6361" s="15" t="s">
        <v>8</v>
      </c>
      <c r="E6361" s="15" t="s">
        <v>8</v>
      </c>
      <c r="F6361" s="15" t="s">
        <v>8</v>
      </c>
      <c r="K6361" s="15" t="s">
        <v>8</v>
      </c>
      <c r="T6361" s="8" t="s">
        <v>3</v>
      </c>
      <c r="U6361" s="8" t="s">
        <v>6</v>
      </c>
    </row>
    <row r="6362" spans="3:25" x14ac:dyDescent="0.35">
      <c r="C6362" s="15" t="s">
        <v>8</v>
      </c>
      <c r="E6362" s="15" t="s">
        <v>8</v>
      </c>
      <c r="F6362" s="15" t="s">
        <v>8</v>
      </c>
      <c r="K6362" s="15" t="s">
        <v>8</v>
      </c>
      <c r="T6362" s="15" t="s">
        <v>8</v>
      </c>
      <c r="U6362" s="20" t="str">
        <f>HYPERLINK("http://yeinfo.com/family/I09066045.html", "Mrs. MARY ALDRICH 1421 EN-1487 EN ID:09066046")</f>
        <v>Mrs. MARY ALDRICH 1421 EN-1487 EN ID:09066046</v>
      </c>
      <c r="V6362" s="17"/>
      <c r="W6362" s="17"/>
      <c r="X6362" s="17"/>
      <c r="Y6362" s="17"/>
    </row>
    <row r="6363" spans="3:25" x14ac:dyDescent="0.35">
      <c r="C6363" s="15" t="s">
        <v>8</v>
      </c>
      <c r="E6363" s="15" t="s">
        <v>8</v>
      </c>
      <c r="F6363" s="15" t="s">
        <v>8</v>
      </c>
      <c r="K6363" s="15" t="s">
        <v>8</v>
      </c>
      <c r="T6363" s="15" t="s">
        <v>8</v>
      </c>
    </row>
    <row r="6364" spans="3:25" x14ac:dyDescent="0.35">
      <c r="C6364" s="15" t="s">
        <v>8</v>
      </c>
      <c r="E6364" s="15" t="s">
        <v>8</v>
      </c>
      <c r="F6364" s="15" t="s">
        <v>8</v>
      </c>
      <c r="K6364" s="15" t="s">
        <v>8</v>
      </c>
      <c r="S6364" s="19" t="str">
        <f>HYPERLINK("http://yeinfo.com/family/I09065595.html", "THOMAS ALDRICH 1473 EN-1529 EN ID:09065726")</f>
        <v>THOMAS ALDRICH 1473 EN-1529 EN ID:09065726</v>
      </c>
      <c r="T6364" s="9"/>
      <c r="U6364" s="9"/>
      <c r="V6364" s="9"/>
      <c r="W6364" s="9"/>
    </row>
    <row r="6365" spans="3:25" x14ac:dyDescent="0.35">
      <c r="C6365" s="15" t="s">
        <v>8</v>
      </c>
      <c r="E6365" s="15" t="s">
        <v>8</v>
      </c>
      <c r="F6365" s="15" t="s">
        <v>8</v>
      </c>
      <c r="K6365" s="15" t="s">
        <v>8</v>
      </c>
      <c r="S6365" s="8" t="s">
        <v>3</v>
      </c>
      <c r="T6365" s="8" t="s">
        <v>6</v>
      </c>
    </row>
    <row r="6366" spans="3:25" x14ac:dyDescent="0.35">
      <c r="C6366" s="15" t="s">
        <v>8</v>
      </c>
      <c r="E6366" s="15" t="s">
        <v>8</v>
      </c>
      <c r="F6366" s="15" t="s">
        <v>8</v>
      </c>
      <c r="K6366" s="15" t="s">
        <v>8</v>
      </c>
      <c r="S6366" s="15" t="s">
        <v>8</v>
      </c>
      <c r="T6366" s="20" t="str">
        <f>HYPERLINK("http://yeinfo.com/family/I09066046.html", "Mrs. ALICE ALDRICH 1450 EN-1510 EN ID:09065872")</f>
        <v>Mrs. ALICE ALDRICH 1450 EN-1510 EN ID:09065872</v>
      </c>
      <c r="U6366" s="17"/>
      <c r="V6366" s="17"/>
      <c r="W6366" s="17"/>
      <c r="X6366" s="17"/>
    </row>
    <row r="6367" spans="3:25" x14ac:dyDescent="0.35">
      <c r="C6367" s="15" t="s">
        <v>8</v>
      </c>
      <c r="E6367" s="15" t="s">
        <v>8</v>
      </c>
      <c r="F6367" s="15" t="s">
        <v>8</v>
      </c>
      <c r="K6367" s="15" t="s">
        <v>8</v>
      </c>
      <c r="S6367" s="15" t="s">
        <v>8</v>
      </c>
    </row>
    <row r="6368" spans="3:25" x14ac:dyDescent="0.35">
      <c r="C6368" s="15" t="s">
        <v>8</v>
      </c>
      <c r="E6368" s="15" t="s">
        <v>8</v>
      </c>
      <c r="F6368" s="15" t="s">
        <v>8</v>
      </c>
      <c r="K6368" s="15" t="s">
        <v>8</v>
      </c>
      <c r="R6368" s="19" t="str">
        <f>HYPERLINK("http://yeinfo.com/family/I09047040.html", "JOHN ALDRICH 1510 EN-1555 EN ID:09065595")</f>
        <v>JOHN ALDRICH 1510 EN-1555 EN ID:09065595</v>
      </c>
      <c r="S6368" s="9"/>
      <c r="T6368" s="9"/>
      <c r="U6368" s="9"/>
      <c r="V6368" s="9"/>
    </row>
    <row r="6369" spans="3:27" x14ac:dyDescent="0.35">
      <c r="C6369" s="15" t="s">
        <v>8</v>
      </c>
      <c r="E6369" s="15" t="s">
        <v>8</v>
      </c>
      <c r="F6369" s="15" t="s">
        <v>8</v>
      </c>
      <c r="K6369" s="15" t="s">
        <v>8</v>
      </c>
      <c r="R6369" s="8" t="s">
        <v>3</v>
      </c>
      <c r="S6369" s="8" t="s">
        <v>6</v>
      </c>
    </row>
    <row r="6370" spans="3:27" x14ac:dyDescent="0.35">
      <c r="C6370" s="15" t="s">
        <v>8</v>
      </c>
      <c r="E6370" s="15" t="s">
        <v>8</v>
      </c>
      <c r="F6370" s="15" t="s">
        <v>8</v>
      </c>
      <c r="K6370" s="15" t="s">
        <v>8</v>
      </c>
      <c r="R6370" s="15" t="s">
        <v>8</v>
      </c>
      <c r="S6370" s="20" t="str">
        <f>HYPERLINK("http://yeinfo.com/family/I09065872.html", "ELIZABETH WOOD 1477 EN-1530 EN ID:09065727")</f>
        <v>ELIZABETH WOOD 1477 EN-1530 EN ID:09065727</v>
      </c>
      <c r="T6370" s="17"/>
      <c r="U6370" s="17"/>
      <c r="V6370" s="17"/>
      <c r="W6370" s="17"/>
    </row>
    <row r="6371" spans="3:27" x14ac:dyDescent="0.35">
      <c r="C6371" s="15" t="s">
        <v>8</v>
      </c>
      <c r="E6371" s="15" t="s">
        <v>8</v>
      </c>
      <c r="F6371" s="15" t="s">
        <v>8</v>
      </c>
      <c r="K6371" s="15" t="s">
        <v>8</v>
      </c>
      <c r="R6371" s="15" t="s">
        <v>8</v>
      </c>
    </row>
    <row r="6372" spans="3:27" x14ac:dyDescent="0.35">
      <c r="C6372" s="15" t="s">
        <v>8</v>
      </c>
      <c r="E6372" s="15" t="s">
        <v>8</v>
      </c>
      <c r="F6372" s="15" t="s">
        <v>8</v>
      </c>
      <c r="K6372" s="15" t="s">
        <v>8</v>
      </c>
      <c r="Q6372" s="19" t="str">
        <f>HYPERLINK("http://yeinfo.com/family/I09023520.html", "HENRY JOHN ALDRICH 1529 EN-1612 EN ID:09047040")</f>
        <v>HENRY JOHN ALDRICH 1529 EN-1612 EN ID:09047040</v>
      </c>
      <c r="R6372" s="9"/>
      <c r="S6372" s="9"/>
      <c r="T6372" s="9"/>
      <c r="U6372" s="9"/>
    </row>
    <row r="6373" spans="3:27" x14ac:dyDescent="0.35">
      <c r="C6373" s="15" t="s">
        <v>8</v>
      </c>
      <c r="E6373" s="15" t="s">
        <v>8</v>
      </c>
      <c r="F6373" s="15" t="s">
        <v>8</v>
      </c>
      <c r="K6373" s="15" t="s">
        <v>8</v>
      </c>
      <c r="Q6373" s="8" t="s">
        <v>3</v>
      </c>
      <c r="R6373" s="15" t="s">
        <v>8</v>
      </c>
    </row>
    <row r="6374" spans="3:27" x14ac:dyDescent="0.35">
      <c r="C6374" s="15" t="s">
        <v>8</v>
      </c>
      <c r="E6374" s="15" t="s">
        <v>8</v>
      </c>
      <c r="F6374" s="15" t="s">
        <v>8</v>
      </c>
      <c r="K6374" s="15" t="s">
        <v>8</v>
      </c>
      <c r="Q6374" s="15" t="s">
        <v>8</v>
      </c>
      <c r="R6374" s="15" t="s">
        <v>8</v>
      </c>
      <c r="W6374" s="19" t="str">
        <f>HYPERLINK("http://yeinfo.com/family/I09066241.html", "JOHN SOTHERON 1395 EN-1452  ID:09066391")</f>
        <v>JOHN SOTHERON 1395 EN-1452  ID:09066391</v>
      </c>
      <c r="X6374" s="9"/>
      <c r="Y6374" s="9"/>
      <c r="Z6374" s="9"/>
      <c r="AA6374" s="9"/>
    </row>
    <row r="6375" spans="3:27" x14ac:dyDescent="0.35">
      <c r="C6375" s="15" t="s">
        <v>8</v>
      </c>
      <c r="E6375" s="15" t="s">
        <v>8</v>
      </c>
      <c r="F6375" s="15" t="s">
        <v>8</v>
      </c>
      <c r="K6375" s="15" t="s">
        <v>8</v>
      </c>
      <c r="Q6375" s="15" t="s">
        <v>8</v>
      </c>
      <c r="R6375" s="15" t="s">
        <v>8</v>
      </c>
      <c r="W6375" s="8" t="s">
        <v>3</v>
      </c>
    </row>
    <row r="6376" spans="3:27" x14ac:dyDescent="0.35">
      <c r="C6376" s="15" t="s">
        <v>8</v>
      </c>
      <c r="E6376" s="15" t="s">
        <v>8</v>
      </c>
      <c r="F6376" s="15" t="s">
        <v>8</v>
      </c>
      <c r="K6376" s="15" t="s">
        <v>8</v>
      </c>
      <c r="Q6376" s="15" t="s">
        <v>8</v>
      </c>
      <c r="R6376" s="15" t="s">
        <v>8</v>
      </c>
      <c r="V6376" s="19" t="str">
        <f>HYPERLINK("http://yeinfo.com/family/I09066047.html", "CHRISTOPHER SOTHERON 1415 EN-1438  ID:09066241")</f>
        <v>CHRISTOPHER SOTHERON 1415 EN-1438  ID:09066241</v>
      </c>
      <c r="W6376" s="9"/>
      <c r="X6376" s="9"/>
      <c r="Y6376" s="9"/>
      <c r="Z6376" s="9"/>
    </row>
    <row r="6377" spans="3:27" x14ac:dyDescent="0.35">
      <c r="C6377" s="15" t="s">
        <v>8</v>
      </c>
      <c r="E6377" s="15" t="s">
        <v>8</v>
      </c>
      <c r="F6377" s="15" t="s">
        <v>8</v>
      </c>
      <c r="K6377" s="15" t="s">
        <v>8</v>
      </c>
      <c r="Q6377" s="15" t="s">
        <v>8</v>
      </c>
      <c r="R6377" s="15" t="s">
        <v>8</v>
      </c>
      <c r="V6377" s="8" t="s">
        <v>3</v>
      </c>
      <c r="W6377" s="8" t="s">
        <v>6</v>
      </c>
    </row>
    <row r="6378" spans="3:27" x14ac:dyDescent="0.35">
      <c r="C6378" s="15" t="s">
        <v>8</v>
      </c>
      <c r="E6378" s="15" t="s">
        <v>8</v>
      </c>
      <c r="F6378" s="15" t="s">
        <v>8</v>
      </c>
      <c r="K6378" s="15" t="s">
        <v>8</v>
      </c>
      <c r="Q6378" s="15" t="s">
        <v>8</v>
      </c>
      <c r="R6378" s="15" t="s">
        <v>8</v>
      </c>
      <c r="V6378" s="15" t="s">
        <v>8</v>
      </c>
      <c r="W6378" s="20" t="str">
        <f>HYPERLINK("http://yeinfo.com/family/I09066391.html", "JOHANNA CUSACK 1396 EN-1416 EN ID:09066392")</f>
        <v>JOHANNA CUSACK 1396 EN-1416 EN ID:09066392</v>
      </c>
      <c r="X6378" s="17"/>
      <c r="Y6378" s="17"/>
      <c r="Z6378" s="17"/>
      <c r="AA6378" s="17"/>
    </row>
    <row r="6379" spans="3:27" x14ac:dyDescent="0.35">
      <c r="C6379" s="15" t="s">
        <v>8</v>
      </c>
      <c r="E6379" s="15" t="s">
        <v>8</v>
      </c>
      <c r="F6379" s="15" t="s">
        <v>8</v>
      </c>
      <c r="K6379" s="15" t="s">
        <v>8</v>
      </c>
      <c r="Q6379" s="15" t="s">
        <v>8</v>
      </c>
      <c r="R6379" s="15" t="s">
        <v>8</v>
      </c>
      <c r="V6379" s="15" t="s">
        <v>8</v>
      </c>
    </row>
    <row r="6380" spans="3:27" x14ac:dyDescent="0.35">
      <c r="C6380" s="15" t="s">
        <v>8</v>
      </c>
      <c r="E6380" s="15" t="s">
        <v>8</v>
      </c>
      <c r="F6380" s="15" t="s">
        <v>8</v>
      </c>
      <c r="K6380" s="15" t="s">
        <v>8</v>
      </c>
      <c r="Q6380" s="15" t="s">
        <v>8</v>
      </c>
      <c r="R6380" s="15" t="s">
        <v>8</v>
      </c>
      <c r="U6380" s="19" t="str">
        <f>HYPERLINK("http://yeinfo.com/family/I09065873.html", "WILLIAM SOTHERON 1438 EN-1509 EN ID:09066047")</f>
        <v>WILLIAM SOTHERON 1438 EN-1509 EN ID:09066047</v>
      </c>
      <c r="V6380" s="9"/>
      <c r="W6380" s="9"/>
      <c r="X6380" s="9"/>
      <c r="Y6380" s="9"/>
    </row>
    <row r="6381" spans="3:27" x14ac:dyDescent="0.35">
      <c r="C6381" s="15" t="s">
        <v>8</v>
      </c>
      <c r="E6381" s="15" t="s">
        <v>8</v>
      </c>
      <c r="F6381" s="15" t="s">
        <v>8</v>
      </c>
      <c r="K6381" s="15" t="s">
        <v>8</v>
      </c>
      <c r="Q6381" s="15" t="s">
        <v>8</v>
      </c>
      <c r="R6381" s="15" t="s">
        <v>8</v>
      </c>
      <c r="U6381" s="8" t="s">
        <v>3</v>
      </c>
      <c r="V6381" s="15" t="s">
        <v>8</v>
      </c>
    </row>
    <row r="6382" spans="3:27" x14ac:dyDescent="0.35">
      <c r="C6382" s="15" t="s">
        <v>8</v>
      </c>
      <c r="E6382" s="15" t="s">
        <v>8</v>
      </c>
      <c r="F6382" s="15" t="s">
        <v>8</v>
      </c>
      <c r="K6382" s="15" t="s">
        <v>8</v>
      </c>
      <c r="Q6382" s="15" t="s">
        <v>8</v>
      </c>
      <c r="R6382" s="15" t="s">
        <v>8</v>
      </c>
      <c r="U6382" s="15" t="s">
        <v>8</v>
      </c>
      <c r="V6382" s="15" t="s">
        <v>8</v>
      </c>
      <c r="W6382" s="19" t="str">
        <f>HYPERLINK("http://yeinfo.com/family/I09066242.html", "THOMAS WILLIAM LAMBERT 1387 EN-1446 EN ID:09066393")</f>
        <v>THOMAS WILLIAM LAMBERT 1387 EN-1446 EN ID:09066393</v>
      </c>
      <c r="X6382" s="9"/>
      <c r="Y6382" s="9"/>
      <c r="Z6382" s="9"/>
      <c r="AA6382" s="9"/>
    </row>
    <row r="6383" spans="3:27" x14ac:dyDescent="0.35">
      <c r="C6383" s="15" t="s">
        <v>8</v>
      </c>
      <c r="E6383" s="15" t="s">
        <v>8</v>
      </c>
      <c r="F6383" s="15" t="s">
        <v>8</v>
      </c>
      <c r="K6383" s="15" t="s">
        <v>8</v>
      </c>
      <c r="Q6383" s="15" t="s">
        <v>8</v>
      </c>
      <c r="R6383" s="15" t="s">
        <v>8</v>
      </c>
      <c r="U6383" s="15" t="s">
        <v>8</v>
      </c>
      <c r="V6383" s="8" t="s">
        <v>6</v>
      </c>
      <c r="W6383" s="8" t="s">
        <v>3</v>
      </c>
    </row>
    <row r="6384" spans="3:27" x14ac:dyDescent="0.35">
      <c r="C6384" s="15" t="s">
        <v>8</v>
      </c>
      <c r="E6384" s="15" t="s">
        <v>8</v>
      </c>
      <c r="F6384" s="15" t="s">
        <v>8</v>
      </c>
      <c r="K6384" s="15" t="s">
        <v>8</v>
      </c>
      <c r="Q6384" s="15" t="s">
        <v>8</v>
      </c>
      <c r="R6384" s="15" t="s">
        <v>8</v>
      </c>
      <c r="U6384" s="15" t="s">
        <v>8</v>
      </c>
      <c r="V6384" s="20" t="str">
        <f>HYPERLINK("http://yeinfo.com/family/I09066392.html", "CONSTANCE LAMBERT 1419 EN-1439  ID:09066242")</f>
        <v>CONSTANCE LAMBERT 1419 EN-1439  ID:09066242</v>
      </c>
      <c r="W6384" s="17"/>
      <c r="X6384" s="17"/>
      <c r="Y6384" s="17"/>
      <c r="Z6384" s="17"/>
    </row>
    <row r="6385" spans="3:27" x14ac:dyDescent="0.35">
      <c r="C6385" s="15" t="s">
        <v>8</v>
      </c>
      <c r="E6385" s="15" t="s">
        <v>8</v>
      </c>
      <c r="F6385" s="15" t="s">
        <v>8</v>
      </c>
      <c r="K6385" s="15" t="s">
        <v>8</v>
      </c>
      <c r="Q6385" s="15" t="s">
        <v>8</v>
      </c>
      <c r="R6385" s="15" t="s">
        <v>8</v>
      </c>
      <c r="U6385" s="15" t="s">
        <v>8</v>
      </c>
      <c r="W6385" s="8" t="s">
        <v>6</v>
      </c>
    </row>
    <row r="6386" spans="3:27" x14ac:dyDescent="0.35">
      <c r="C6386" s="15" t="s">
        <v>8</v>
      </c>
      <c r="E6386" s="15" t="s">
        <v>8</v>
      </c>
      <c r="F6386" s="15" t="s">
        <v>8</v>
      </c>
      <c r="K6386" s="15" t="s">
        <v>8</v>
      </c>
      <c r="Q6386" s="15" t="s">
        <v>8</v>
      </c>
      <c r="R6386" s="15" t="s">
        <v>8</v>
      </c>
      <c r="U6386" s="15" t="s">
        <v>8</v>
      </c>
      <c r="W6386" s="20" t="str">
        <f>HYPERLINK("http://yeinfo.com/family/I09066393.html", "JOAN UMFREVILLE 1387 EN-1419 EN ID:09066394")</f>
        <v>JOAN UMFREVILLE 1387 EN-1419 EN ID:09066394</v>
      </c>
      <c r="X6386" s="17"/>
      <c r="Y6386" s="17"/>
      <c r="Z6386" s="17"/>
      <c r="AA6386" s="17"/>
    </row>
    <row r="6387" spans="3:27" x14ac:dyDescent="0.35">
      <c r="C6387" s="15" t="s">
        <v>8</v>
      </c>
      <c r="E6387" s="15" t="s">
        <v>8</v>
      </c>
      <c r="F6387" s="15" t="s">
        <v>8</v>
      </c>
      <c r="K6387" s="15" t="s">
        <v>8</v>
      </c>
      <c r="Q6387" s="15" t="s">
        <v>8</v>
      </c>
      <c r="R6387" s="15" t="s">
        <v>8</v>
      </c>
      <c r="U6387" s="15" t="s">
        <v>8</v>
      </c>
    </row>
    <row r="6388" spans="3:27" x14ac:dyDescent="0.35">
      <c r="C6388" s="15" t="s">
        <v>8</v>
      </c>
      <c r="E6388" s="15" t="s">
        <v>8</v>
      </c>
      <c r="F6388" s="15" t="s">
        <v>8</v>
      </c>
      <c r="K6388" s="15" t="s">
        <v>8</v>
      </c>
      <c r="Q6388" s="15" t="s">
        <v>8</v>
      </c>
      <c r="R6388" s="15" t="s">
        <v>8</v>
      </c>
      <c r="T6388" s="19" t="str">
        <f>HYPERLINK("http://yeinfo.com/family/I09065728.html", "THOMAS HERMAN SOTHERON 1466 EN-1550 EN ID:09065873")</f>
        <v>THOMAS HERMAN SOTHERON 1466 EN-1550 EN ID:09065873</v>
      </c>
      <c r="U6388" s="9"/>
      <c r="V6388" s="9"/>
      <c r="W6388" s="9"/>
      <c r="X6388" s="9"/>
    </row>
    <row r="6389" spans="3:27" x14ac:dyDescent="0.35">
      <c r="C6389" s="15" t="s">
        <v>8</v>
      </c>
      <c r="E6389" s="15" t="s">
        <v>8</v>
      </c>
      <c r="F6389" s="15" t="s">
        <v>8</v>
      </c>
      <c r="K6389" s="15" t="s">
        <v>8</v>
      </c>
      <c r="Q6389" s="15" t="s">
        <v>8</v>
      </c>
      <c r="R6389" s="15" t="s">
        <v>8</v>
      </c>
      <c r="T6389" s="8" t="s">
        <v>3</v>
      </c>
      <c r="U6389" s="8" t="s">
        <v>6</v>
      </c>
    </row>
    <row r="6390" spans="3:27" x14ac:dyDescent="0.35">
      <c r="C6390" s="15" t="s">
        <v>8</v>
      </c>
      <c r="E6390" s="15" t="s">
        <v>8</v>
      </c>
      <c r="F6390" s="15" t="s">
        <v>8</v>
      </c>
      <c r="K6390" s="15" t="s">
        <v>8</v>
      </c>
      <c r="Q6390" s="15" t="s">
        <v>8</v>
      </c>
      <c r="R6390" s="15" t="s">
        <v>8</v>
      </c>
      <c r="T6390" s="15" t="s">
        <v>8</v>
      </c>
      <c r="U6390" s="20" t="str">
        <f>HYPERLINK("http://yeinfo.com/family/I09066394.html", "Mrs. ALICE SOTHERON 1445 EN-1470 EN ID:09066048")</f>
        <v>Mrs. ALICE SOTHERON 1445 EN-1470 EN ID:09066048</v>
      </c>
      <c r="V6390" s="17"/>
      <c r="W6390" s="17"/>
      <c r="X6390" s="17"/>
      <c r="Y6390" s="17"/>
    </row>
    <row r="6391" spans="3:27" x14ac:dyDescent="0.35">
      <c r="C6391" s="15" t="s">
        <v>8</v>
      </c>
      <c r="E6391" s="15" t="s">
        <v>8</v>
      </c>
      <c r="F6391" s="15" t="s">
        <v>8</v>
      </c>
      <c r="K6391" s="15" t="s">
        <v>8</v>
      </c>
      <c r="Q6391" s="15" t="s">
        <v>8</v>
      </c>
      <c r="R6391" s="15" t="s">
        <v>8</v>
      </c>
      <c r="T6391" s="15" t="s">
        <v>8</v>
      </c>
    </row>
    <row r="6392" spans="3:27" x14ac:dyDescent="0.35">
      <c r="C6392" s="15" t="s">
        <v>8</v>
      </c>
      <c r="E6392" s="15" t="s">
        <v>8</v>
      </c>
      <c r="F6392" s="15" t="s">
        <v>8</v>
      </c>
      <c r="K6392" s="15" t="s">
        <v>8</v>
      </c>
      <c r="Q6392" s="15" t="s">
        <v>8</v>
      </c>
      <c r="R6392" s="15" t="s">
        <v>8</v>
      </c>
      <c r="S6392" s="19" t="str">
        <f>HYPERLINK("http://yeinfo.com/family/I09065596.html", "NICHOLAS SOTHERON 1480 EN-1540 EN ID:09065728")</f>
        <v>NICHOLAS SOTHERON 1480 EN-1540 EN ID:09065728</v>
      </c>
      <c r="T6392" s="9"/>
      <c r="U6392" s="9"/>
      <c r="V6392" s="9"/>
      <c r="W6392" s="9"/>
    </row>
    <row r="6393" spans="3:27" x14ac:dyDescent="0.35">
      <c r="C6393" s="15" t="s">
        <v>8</v>
      </c>
      <c r="E6393" s="15" t="s">
        <v>8</v>
      </c>
      <c r="F6393" s="15" t="s">
        <v>8</v>
      </c>
      <c r="K6393" s="15" t="s">
        <v>8</v>
      </c>
      <c r="Q6393" s="15" t="s">
        <v>8</v>
      </c>
      <c r="R6393" s="15" t="s">
        <v>8</v>
      </c>
      <c r="S6393" s="8" t="s">
        <v>3</v>
      </c>
      <c r="T6393" s="8" t="s">
        <v>6</v>
      </c>
    </row>
    <row r="6394" spans="3:27" x14ac:dyDescent="0.35">
      <c r="C6394" s="15" t="s">
        <v>8</v>
      </c>
      <c r="E6394" s="15" t="s">
        <v>8</v>
      </c>
      <c r="F6394" s="15" t="s">
        <v>8</v>
      </c>
      <c r="K6394" s="15" t="s">
        <v>8</v>
      </c>
      <c r="Q6394" s="15" t="s">
        <v>8</v>
      </c>
      <c r="R6394" s="15" t="s">
        <v>8</v>
      </c>
      <c r="S6394" s="15" t="s">
        <v>8</v>
      </c>
      <c r="T6394" s="20" t="str">
        <f>HYPERLINK("http://yeinfo.com/family/I09066048.html", "ELIZABETH LUDDHAM 1478 EN-1498 EN ID:09065874")</f>
        <v>ELIZABETH LUDDHAM 1478 EN-1498 EN ID:09065874</v>
      </c>
      <c r="U6394" s="17"/>
      <c r="V6394" s="17"/>
      <c r="W6394" s="17"/>
      <c r="X6394" s="17"/>
    </row>
    <row r="6395" spans="3:27" x14ac:dyDescent="0.35">
      <c r="C6395" s="15" t="s">
        <v>8</v>
      </c>
      <c r="E6395" s="15" t="s">
        <v>8</v>
      </c>
      <c r="F6395" s="15" t="s">
        <v>8</v>
      </c>
      <c r="K6395" s="15" t="s">
        <v>8</v>
      </c>
      <c r="Q6395" s="15" t="s">
        <v>8</v>
      </c>
      <c r="R6395" s="8" t="s">
        <v>6</v>
      </c>
      <c r="S6395" s="15" t="s">
        <v>8</v>
      </c>
    </row>
    <row r="6396" spans="3:27" x14ac:dyDescent="0.35">
      <c r="C6396" s="15" t="s">
        <v>8</v>
      </c>
      <c r="E6396" s="15" t="s">
        <v>8</v>
      </c>
      <c r="F6396" s="15" t="s">
        <v>8</v>
      </c>
      <c r="K6396" s="15" t="s">
        <v>8</v>
      </c>
      <c r="Q6396" s="15" t="s">
        <v>8</v>
      </c>
      <c r="R6396" s="20" t="str">
        <f>HYPERLINK("http://yeinfo.com/family/I09065727.html", "ELIZABETH SOTHERON 1506 EN-1587 EN ID:09065596")</f>
        <v>ELIZABETH SOTHERON 1506 EN-1587 EN ID:09065596</v>
      </c>
      <c r="S6396" s="17"/>
      <c r="T6396" s="17"/>
      <c r="U6396" s="17"/>
      <c r="V6396" s="17"/>
    </row>
    <row r="6397" spans="3:27" x14ac:dyDescent="0.35">
      <c r="C6397" s="15" t="s">
        <v>8</v>
      </c>
      <c r="E6397" s="15" t="s">
        <v>8</v>
      </c>
      <c r="F6397" s="15" t="s">
        <v>8</v>
      </c>
      <c r="K6397" s="15" t="s">
        <v>8</v>
      </c>
      <c r="Q6397" s="15" t="s">
        <v>8</v>
      </c>
      <c r="S6397" s="15" t="s">
        <v>8</v>
      </c>
    </row>
    <row r="6398" spans="3:27" x14ac:dyDescent="0.35">
      <c r="C6398" s="15" t="s">
        <v>8</v>
      </c>
      <c r="E6398" s="15" t="s">
        <v>8</v>
      </c>
      <c r="F6398" s="15" t="s">
        <v>8</v>
      </c>
      <c r="K6398" s="15" t="s">
        <v>8</v>
      </c>
      <c r="Q6398" s="15" t="s">
        <v>8</v>
      </c>
      <c r="S6398" s="15" t="s">
        <v>8</v>
      </c>
      <c r="T6398" s="19" t="str">
        <f>HYPERLINK("http://yeinfo.com/family/I09065729.html", "HENRY BACON 1470 EN-1573 EN ID:09065875")</f>
        <v>HENRY BACON 1470 EN-1573 EN ID:09065875</v>
      </c>
      <c r="U6398" s="9"/>
      <c r="V6398" s="9"/>
      <c r="W6398" s="9"/>
      <c r="X6398" s="9"/>
    </row>
    <row r="6399" spans="3:27" x14ac:dyDescent="0.35">
      <c r="C6399" s="15" t="s">
        <v>8</v>
      </c>
      <c r="E6399" s="15" t="s">
        <v>8</v>
      </c>
      <c r="F6399" s="15" t="s">
        <v>8</v>
      </c>
      <c r="K6399" s="15" t="s">
        <v>8</v>
      </c>
      <c r="Q6399" s="15" t="s">
        <v>8</v>
      </c>
      <c r="S6399" s="8" t="s">
        <v>6</v>
      </c>
      <c r="T6399" s="8" t="s">
        <v>3</v>
      </c>
    </row>
    <row r="6400" spans="3:27" x14ac:dyDescent="0.35">
      <c r="C6400" s="15" t="s">
        <v>8</v>
      </c>
      <c r="E6400" s="15" t="s">
        <v>8</v>
      </c>
      <c r="F6400" s="15" t="s">
        <v>8</v>
      </c>
      <c r="K6400" s="15" t="s">
        <v>8</v>
      </c>
      <c r="Q6400" s="15" t="s">
        <v>8</v>
      </c>
      <c r="S6400" s="20" t="str">
        <f>HYPERLINK("http://yeinfo.com/family/I09065874.html", "MARGARET BACON 1495 EN-1578 EN ID:09065729")</f>
        <v>MARGARET BACON 1495 EN-1578 EN ID:09065729</v>
      </c>
      <c r="T6400" s="17"/>
      <c r="U6400" s="17"/>
      <c r="V6400" s="17"/>
      <c r="W6400" s="17"/>
    </row>
    <row r="6401" spans="3:25" x14ac:dyDescent="0.35">
      <c r="C6401" s="15" t="s">
        <v>8</v>
      </c>
      <c r="E6401" s="15" t="s">
        <v>8</v>
      </c>
      <c r="F6401" s="15" t="s">
        <v>8</v>
      </c>
      <c r="K6401" s="15" t="s">
        <v>8</v>
      </c>
      <c r="Q6401" s="15" t="s">
        <v>8</v>
      </c>
      <c r="T6401" s="15" t="s">
        <v>8</v>
      </c>
    </row>
    <row r="6402" spans="3:25" x14ac:dyDescent="0.35">
      <c r="C6402" s="15" t="s">
        <v>8</v>
      </c>
      <c r="E6402" s="15" t="s">
        <v>8</v>
      </c>
      <c r="F6402" s="15" t="s">
        <v>8</v>
      </c>
      <c r="K6402" s="15" t="s">
        <v>8</v>
      </c>
      <c r="Q6402" s="15" t="s">
        <v>8</v>
      </c>
      <c r="T6402" s="15" t="s">
        <v>8</v>
      </c>
      <c r="U6402" s="19" t="str">
        <f>HYPERLINK("http://yeinfo.com/family/I09065876.html", "ROBERT CALLE 1450 EN-1470 EN ID:09066049")</f>
        <v>ROBERT CALLE 1450 EN-1470 EN ID:09066049</v>
      </c>
      <c r="V6402" s="9"/>
      <c r="W6402" s="9"/>
      <c r="X6402" s="9"/>
      <c r="Y6402" s="9"/>
    </row>
    <row r="6403" spans="3:25" x14ac:dyDescent="0.35">
      <c r="C6403" s="15" t="s">
        <v>8</v>
      </c>
      <c r="E6403" s="15" t="s">
        <v>8</v>
      </c>
      <c r="F6403" s="15" t="s">
        <v>8</v>
      </c>
      <c r="K6403" s="15" t="s">
        <v>8</v>
      </c>
      <c r="Q6403" s="15" t="s">
        <v>8</v>
      </c>
      <c r="T6403" s="8" t="s">
        <v>6</v>
      </c>
      <c r="U6403" s="8" t="s">
        <v>3</v>
      </c>
    </row>
    <row r="6404" spans="3:25" x14ac:dyDescent="0.35">
      <c r="C6404" s="15" t="s">
        <v>8</v>
      </c>
      <c r="E6404" s="15" t="s">
        <v>8</v>
      </c>
      <c r="F6404" s="15" t="s">
        <v>8</v>
      </c>
      <c r="K6404" s="15" t="s">
        <v>8</v>
      </c>
      <c r="Q6404" s="15" t="s">
        <v>8</v>
      </c>
      <c r="T6404" s="20" t="str">
        <f>HYPERLINK("http://yeinfo.com/family/I09065875.html", "ELIZABETH\ALICE CALLE 1470 EN-1573 EN ID:09065876")</f>
        <v>ELIZABETH\ALICE CALLE 1470 EN-1573 EN ID:09065876</v>
      </c>
      <c r="U6404" s="17"/>
      <c r="V6404" s="17"/>
      <c r="W6404" s="17"/>
      <c r="X6404" s="17"/>
      <c r="Y6404" s="17"/>
    </row>
    <row r="6405" spans="3:25" x14ac:dyDescent="0.35">
      <c r="C6405" s="15" t="s">
        <v>8</v>
      </c>
      <c r="E6405" s="15" t="s">
        <v>8</v>
      </c>
      <c r="F6405" s="15" t="s">
        <v>8</v>
      </c>
      <c r="K6405" s="15" t="s">
        <v>8</v>
      </c>
      <c r="Q6405" s="15" t="s">
        <v>8</v>
      </c>
      <c r="U6405" s="8" t="s">
        <v>6</v>
      </c>
    </row>
    <row r="6406" spans="3:25" x14ac:dyDescent="0.35">
      <c r="C6406" s="15" t="s">
        <v>8</v>
      </c>
      <c r="E6406" s="15" t="s">
        <v>8</v>
      </c>
      <c r="F6406" s="15" t="s">
        <v>8</v>
      </c>
      <c r="K6406" s="15" t="s">
        <v>8</v>
      </c>
      <c r="Q6406" s="15" t="s">
        <v>8</v>
      </c>
      <c r="U6406" s="20" t="str">
        <f>HYPERLINK("http://yeinfo.com/family/I09066049.html", "Mrs. ELIZABETH CALLE 1455 EN-1475 EN ID:09066050")</f>
        <v>Mrs. ELIZABETH CALLE 1455 EN-1475 EN ID:09066050</v>
      </c>
      <c r="V6406" s="17"/>
      <c r="W6406" s="17"/>
      <c r="X6406" s="17"/>
      <c r="Y6406" s="17"/>
    </row>
    <row r="6407" spans="3:25" x14ac:dyDescent="0.35">
      <c r="C6407" s="15" t="s">
        <v>8</v>
      </c>
      <c r="E6407" s="15" t="s">
        <v>8</v>
      </c>
      <c r="F6407" s="15" t="s">
        <v>8</v>
      </c>
      <c r="K6407" s="15" t="s">
        <v>8</v>
      </c>
      <c r="Q6407" s="15" t="s">
        <v>8</v>
      </c>
    </row>
    <row r="6408" spans="3:25" x14ac:dyDescent="0.35">
      <c r="C6408" s="15" t="s">
        <v>8</v>
      </c>
      <c r="E6408" s="15" t="s">
        <v>8</v>
      </c>
      <c r="F6408" s="15" t="s">
        <v>8</v>
      </c>
      <c r="K6408" s="15" t="s">
        <v>8</v>
      </c>
      <c r="P6408" s="19" t="str">
        <f>HYPERLINK("http://yeinfo.com/family/I09011760.html", "WILLIAM ALDRICH 1545 EN-1596 EN ID:09023520")</f>
        <v>WILLIAM ALDRICH 1545 EN-1596 EN ID:09023520</v>
      </c>
      <c r="Q6408" s="9"/>
      <c r="R6408" s="9"/>
      <c r="S6408" s="9"/>
      <c r="T6408" s="9"/>
    </row>
    <row r="6409" spans="3:25" x14ac:dyDescent="0.35">
      <c r="C6409" s="15" t="s">
        <v>8</v>
      </c>
      <c r="E6409" s="15" t="s">
        <v>8</v>
      </c>
      <c r="F6409" s="15" t="s">
        <v>8</v>
      </c>
      <c r="K6409" s="15" t="s">
        <v>8</v>
      </c>
      <c r="P6409" s="8" t="s">
        <v>3</v>
      </c>
      <c r="Q6409" s="8" t="s">
        <v>6</v>
      </c>
    </row>
    <row r="6410" spans="3:25" x14ac:dyDescent="0.35">
      <c r="C6410" s="15" t="s">
        <v>8</v>
      </c>
      <c r="E6410" s="15" t="s">
        <v>8</v>
      </c>
      <c r="F6410" s="15" t="s">
        <v>8</v>
      </c>
      <c r="K6410" s="15" t="s">
        <v>8</v>
      </c>
      <c r="P6410" s="15" t="s">
        <v>8</v>
      </c>
      <c r="Q6410" s="20" t="str">
        <f>HYPERLINK("http://yeinfo.com/family/I09066050.html", "ELIZABETH LOVETT BROWN 1534 EN-1612 EN ID:09047041")</f>
        <v>ELIZABETH LOVETT BROWN 1534 EN-1612 EN ID:09047041</v>
      </c>
      <c r="R6410" s="17"/>
      <c r="S6410" s="17"/>
      <c r="T6410" s="17"/>
      <c r="U6410" s="17"/>
    </row>
    <row r="6411" spans="3:25" x14ac:dyDescent="0.35">
      <c r="C6411" s="15" t="s">
        <v>8</v>
      </c>
      <c r="E6411" s="15" t="s">
        <v>8</v>
      </c>
      <c r="F6411" s="15" t="s">
        <v>8</v>
      </c>
      <c r="K6411" s="15" t="s">
        <v>8</v>
      </c>
      <c r="P6411" s="15" t="s">
        <v>8</v>
      </c>
    </row>
    <row r="6412" spans="3:25" x14ac:dyDescent="0.35">
      <c r="C6412" s="15" t="s">
        <v>8</v>
      </c>
      <c r="E6412" s="15" t="s">
        <v>8</v>
      </c>
      <c r="F6412" s="15" t="s">
        <v>8</v>
      </c>
      <c r="K6412" s="15" t="s">
        <v>8</v>
      </c>
      <c r="O6412" s="19" t="str">
        <f>HYPERLINK("http://yeinfo.com/family/I09005880.html", "GEORGE ALDRICH 1574 EN-1658 EN ID:09011760")</f>
        <v>GEORGE ALDRICH 1574 EN-1658 EN ID:09011760</v>
      </c>
      <c r="P6412" s="9"/>
      <c r="Q6412" s="9"/>
      <c r="R6412" s="9"/>
      <c r="S6412" s="9"/>
    </row>
    <row r="6413" spans="3:25" x14ac:dyDescent="0.35">
      <c r="C6413" s="15" t="s">
        <v>8</v>
      </c>
      <c r="E6413" s="15" t="s">
        <v>8</v>
      </c>
      <c r="F6413" s="15" t="s">
        <v>8</v>
      </c>
      <c r="K6413" s="15" t="s">
        <v>8</v>
      </c>
      <c r="O6413" s="8" t="s">
        <v>3</v>
      </c>
      <c r="P6413" s="15" t="s">
        <v>8</v>
      </c>
    </row>
    <row r="6414" spans="3:25" x14ac:dyDescent="0.35">
      <c r="C6414" s="15" t="s">
        <v>8</v>
      </c>
      <c r="E6414" s="15" t="s">
        <v>8</v>
      </c>
      <c r="F6414" s="15" t="s">
        <v>8</v>
      </c>
      <c r="K6414" s="15" t="s">
        <v>8</v>
      </c>
      <c r="O6414" s="15" t="s">
        <v>8</v>
      </c>
      <c r="P6414" s="15" t="s">
        <v>8</v>
      </c>
      <c r="Q6414" s="19" t="str">
        <f>HYPERLINK("http://yeinfo.com/family/I09023521.html", "EDWARD CHASE II 1529 EN-1560 EN ID:09047042")</f>
        <v>EDWARD CHASE II 1529 EN-1560 EN ID:09047042</v>
      </c>
      <c r="R6414" s="9"/>
      <c r="S6414" s="9"/>
      <c r="T6414" s="9"/>
      <c r="U6414" s="9"/>
    </row>
    <row r="6415" spans="3:25" x14ac:dyDescent="0.35">
      <c r="C6415" s="15" t="s">
        <v>8</v>
      </c>
      <c r="E6415" s="15" t="s">
        <v>8</v>
      </c>
      <c r="F6415" s="15" t="s">
        <v>8</v>
      </c>
      <c r="K6415" s="15" t="s">
        <v>8</v>
      </c>
      <c r="O6415" s="15" t="s">
        <v>8</v>
      </c>
      <c r="P6415" s="8" t="s">
        <v>6</v>
      </c>
      <c r="Q6415" s="8" t="s">
        <v>3</v>
      </c>
    </row>
    <row r="6416" spans="3:25" x14ac:dyDescent="0.35">
      <c r="C6416" s="15" t="s">
        <v>8</v>
      </c>
      <c r="E6416" s="15" t="s">
        <v>8</v>
      </c>
      <c r="F6416" s="15" t="s">
        <v>8</v>
      </c>
      <c r="K6416" s="15" t="s">
        <v>8</v>
      </c>
      <c r="O6416" s="15" t="s">
        <v>8</v>
      </c>
      <c r="P6416" s="20" t="str">
        <f>HYPERLINK("http://yeinfo.com/family/I09047041.html", "MARY CHASE 1560 EN-1580 EN ID:09023521")</f>
        <v>MARY CHASE 1560 EN-1580 EN ID:09023521</v>
      </c>
      <c r="Q6416" s="17"/>
      <c r="R6416" s="17"/>
      <c r="S6416" s="17"/>
      <c r="T6416" s="17"/>
    </row>
    <row r="6417" spans="3:24" x14ac:dyDescent="0.35">
      <c r="C6417" s="15" t="s">
        <v>8</v>
      </c>
      <c r="E6417" s="15" t="s">
        <v>8</v>
      </c>
      <c r="F6417" s="15" t="s">
        <v>8</v>
      </c>
      <c r="K6417" s="15" t="s">
        <v>8</v>
      </c>
      <c r="O6417" s="15" t="s">
        <v>8</v>
      </c>
      <c r="Q6417" s="8" t="s">
        <v>6</v>
      </c>
    </row>
    <row r="6418" spans="3:24" x14ac:dyDescent="0.35">
      <c r="C6418" s="15" t="s">
        <v>8</v>
      </c>
      <c r="E6418" s="15" t="s">
        <v>8</v>
      </c>
      <c r="F6418" s="15" t="s">
        <v>8</v>
      </c>
      <c r="K6418" s="15" t="s">
        <v>8</v>
      </c>
      <c r="O6418" s="15" t="s">
        <v>8</v>
      </c>
      <c r="Q6418" s="20" t="str">
        <f>HYPERLINK("http://yeinfo.com/family/I09047042.html", "Mrs. ISABELLA CHASE 1530 FR-1560  ID:09047043")</f>
        <v>Mrs. ISABELLA CHASE 1530 FR-1560  ID:09047043</v>
      </c>
      <c r="R6418" s="17"/>
      <c r="S6418" s="17"/>
      <c r="T6418" s="17"/>
      <c r="U6418" s="17"/>
    </row>
    <row r="6419" spans="3:24" x14ac:dyDescent="0.35">
      <c r="C6419" s="15" t="s">
        <v>8</v>
      </c>
      <c r="E6419" s="15" t="s">
        <v>8</v>
      </c>
      <c r="F6419" s="15" t="s">
        <v>8</v>
      </c>
      <c r="K6419" s="15" t="s">
        <v>8</v>
      </c>
      <c r="O6419" s="15" t="s">
        <v>8</v>
      </c>
    </row>
    <row r="6420" spans="3:24" x14ac:dyDescent="0.35">
      <c r="C6420" s="15" t="s">
        <v>8</v>
      </c>
      <c r="E6420" s="15" t="s">
        <v>8</v>
      </c>
      <c r="F6420" s="15" t="s">
        <v>8</v>
      </c>
      <c r="K6420" s="15" t="s">
        <v>8</v>
      </c>
      <c r="N6420" s="21" t="str">
        <f>HYPERLINK("http://yeinfo.com/family/I09002940.html", "GEORGE ALDRICH 1605 EN-1682 MA ID:09005880")</f>
        <v>GEORGE ALDRICH 1605 EN-1682 MA ID:09005880</v>
      </c>
      <c r="O6420" s="6"/>
      <c r="P6420" s="6"/>
      <c r="Q6420" s="6"/>
      <c r="R6420" s="6"/>
    </row>
    <row r="6421" spans="3:24" x14ac:dyDescent="0.35">
      <c r="C6421" s="15" t="s">
        <v>8</v>
      </c>
      <c r="E6421" s="15" t="s">
        <v>8</v>
      </c>
      <c r="F6421" s="15" t="s">
        <v>8</v>
      </c>
      <c r="K6421" s="15" t="s">
        <v>8</v>
      </c>
      <c r="N6421" s="8" t="s">
        <v>3</v>
      </c>
      <c r="O6421" s="15" t="s">
        <v>8</v>
      </c>
    </row>
    <row r="6422" spans="3:24" x14ac:dyDescent="0.35">
      <c r="C6422" s="15" t="s">
        <v>8</v>
      </c>
      <c r="E6422" s="15" t="s">
        <v>8</v>
      </c>
      <c r="F6422" s="15" t="s">
        <v>8</v>
      </c>
      <c r="K6422" s="15" t="s">
        <v>8</v>
      </c>
      <c r="N6422" s="15" t="s">
        <v>8</v>
      </c>
      <c r="O6422" s="15" t="s">
        <v>8</v>
      </c>
      <c r="T6422" s="19" t="str">
        <f>HYPERLINK("http://yeinfo.com/family/I09065730.html", "WILLIAM THURGOOD 1420 EN-1440 EN ID:09065877")</f>
        <v>WILLIAM THURGOOD 1420 EN-1440 EN ID:09065877</v>
      </c>
      <c r="U6422" s="9"/>
      <c r="V6422" s="9"/>
      <c r="W6422" s="9"/>
      <c r="X6422" s="9"/>
    </row>
    <row r="6423" spans="3:24" x14ac:dyDescent="0.35">
      <c r="C6423" s="15" t="s">
        <v>8</v>
      </c>
      <c r="E6423" s="15" t="s">
        <v>8</v>
      </c>
      <c r="F6423" s="15" t="s">
        <v>8</v>
      </c>
      <c r="K6423" s="15" t="s">
        <v>8</v>
      </c>
      <c r="N6423" s="15" t="s">
        <v>8</v>
      </c>
      <c r="O6423" s="15" t="s">
        <v>8</v>
      </c>
      <c r="T6423" s="8" t="s">
        <v>3</v>
      </c>
    </row>
    <row r="6424" spans="3:24" x14ac:dyDescent="0.35">
      <c r="C6424" s="15" t="s">
        <v>8</v>
      </c>
      <c r="E6424" s="15" t="s">
        <v>8</v>
      </c>
      <c r="F6424" s="15" t="s">
        <v>8</v>
      </c>
      <c r="K6424" s="15" t="s">
        <v>8</v>
      </c>
      <c r="N6424" s="15" t="s">
        <v>8</v>
      </c>
      <c r="O6424" s="15" t="s">
        <v>8</v>
      </c>
      <c r="S6424" s="19" t="str">
        <f>HYPERLINK("http://yeinfo.com/family/I09065597.html", "FRANCIS ANTHONY THURGOOD 1440 EN-1460 EN ID:09065730")</f>
        <v>FRANCIS ANTHONY THURGOOD 1440 EN-1460 EN ID:09065730</v>
      </c>
      <c r="T6424" s="9"/>
      <c r="U6424" s="9"/>
      <c r="V6424" s="9"/>
      <c r="W6424" s="9"/>
    </row>
    <row r="6425" spans="3:24" x14ac:dyDescent="0.35">
      <c r="C6425" s="15" t="s">
        <v>8</v>
      </c>
      <c r="E6425" s="15" t="s">
        <v>8</v>
      </c>
      <c r="F6425" s="15" t="s">
        <v>8</v>
      </c>
      <c r="K6425" s="15" t="s">
        <v>8</v>
      </c>
      <c r="N6425" s="15" t="s">
        <v>8</v>
      </c>
      <c r="O6425" s="15" t="s">
        <v>8</v>
      </c>
      <c r="S6425" s="8" t="s">
        <v>3</v>
      </c>
      <c r="T6425" s="8" t="s">
        <v>6</v>
      </c>
    </row>
    <row r="6426" spans="3:24" x14ac:dyDescent="0.35">
      <c r="C6426" s="15" t="s">
        <v>8</v>
      </c>
      <c r="E6426" s="15" t="s">
        <v>8</v>
      </c>
      <c r="F6426" s="15" t="s">
        <v>8</v>
      </c>
      <c r="K6426" s="15" t="s">
        <v>8</v>
      </c>
      <c r="N6426" s="15" t="s">
        <v>8</v>
      </c>
      <c r="O6426" s="15" t="s">
        <v>8</v>
      </c>
      <c r="S6426" s="15" t="s">
        <v>8</v>
      </c>
      <c r="T6426" s="20" t="str">
        <f>HYPERLINK("http://yeinfo.com/family/I09065877.html", "Mrs. {_?_} THURGOOD 1420 EN-1440 EN ID:09065878")</f>
        <v>Mrs. {_?_} THURGOOD 1420 EN-1440 EN ID:09065878</v>
      </c>
      <c r="U6426" s="17"/>
      <c r="V6426" s="17"/>
      <c r="W6426" s="17"/>
      <c r="X6426" s="17"/>
    </row>
    <row r="6427" spans="3:24" x14ac:dyDescent="0.35">
      <c r="C6427" s="15" t="s">
        <v>8</v>
      </c>
      <c r="E6427" s="15" t="s">
        <v>8</v>
      </c>
      <c r="F6427" s="15" t="s">
        <v>8</v>
      </c>
      <c r="K6427" s="15" t="s">
        <v>8</v>
      </c>
      <c r="N6427" s="15" t="s">
        <v>8</v>
      </c>
      <c r="O6427" s="15" t="s">
        <v>8</v>
      </c>
      <c r="S6427" s="15" t="s">
        <v>8</v>
      </c>
    </row>
    <row r="6428" spans="3:24" x14ac:dyDescent="0.35">
      <c r="C6428" s="15" t="s">
        <v>8</v>
      </c>
      <c r="E6428" s="15" t="s">
        <v>8</v>
      </c>
      <c r="F6428" s="15" t="s">
        <v>8</v>
      </c>
      <c r="K6428" s="15" t="s">
        <v>8</v>
      </c>
      <c r="N6428" s="15" t="s">
        <v>8</v>
      </c>
      <c r="O6428" s="15" t="s">
        <v>8</v>
      </c>
      <c r="R6428" s="19" t="str">
        <f>HYPERLINK("http://yeinfo.com/family/I09047044.html", "GEOFFREY THURGOOD 1460 EN-1538 EN ID:09065597")</f>
        <v>GEOFFREY THURGOOD 1460 EN-1538 EN ID:09065597</v>
      </c>
      <c r="S6428" s="9"/>
      <c r="T6428" s="9"/>
      <c r="U6428" s="9"/>
      <c r="V6428" s="9"/>
    </row>
    <row r="6429" spans="3:24" x14ac:dyDescent="0.35">
      <c r="C6429" s="15" t="s">
        <v>8</v>
      </c>
      <c r="E6429" s="15" t="s">
        <v>8</v>
      </c>
      <c r="F6429" s="15" t="s">
        <v>8</v>
      </c>
      <c r="K6429" s="15" t="s">
        <v>8</v>
      </c>
      <c r="N6429" s="15" t="s">
        <v>8</v>
      </c>
      <c r="O6429" s="15" t="s">
        <v>8</v>
      </c>
      <c r="R6429" s="8" t="s">
        <v>3</v>
      </c>
      <c r="S6429" s="8" t="s">
        <v>6</v>
      </c>
    </row>
    <row r="6430" spans="3:24" x14ac:dyDescent="0.35">
      <c r="C6430" s="15" t="s">
        <v>8</v>
      </c>
      <c r="E6430" s="15" t="s">
        <v>8</v>
      </c>
      <c r="F6430" s="15" t="s">
        <v>8</v>
      </c>
      <c r="K6430" s="15" t="s">
        <v>8</v>
      </c>
      <c r="N6430" s="15" t="s">
        <v>8</v>
      </c>
      <c r="O6430" s="15" t="s">
        <v>8</v>
      </c>
      <c r="R6430" s="15" t="s">
        <v>8</v>
      </c>
      <c r="S6430" s="20" t="str">
        <f>HYPERLINK("http://yeinfo.com/family/I09065878.html", "Mrs. {_?_} THURGOOD 1440 EN-1460 EN ID:09065731")</f>
        <v>Mrs. {_?_} THURGOOD 1440 EN-1460 EN ID:09065731</v>
      </c>
      <c r="T6430" s="17"/>
      <c r="U6430" s="17"/>
      <c r="V6430" s="17"/>
      <c r="W6430" s="17"/>
    </row>
    <row r="6431" spans="3:24" x14ac:dyDescent="0.35">
      <c r="C6431" s="15" t="s">
        <v>8</v>
      </c>
      <c r="E6431" s="15" t="s">
        <v>8</v>
      </c>
      <c r="F6431" s="15" t="s">
        <v>8</v>
      </c>
      <c r="K6431" s="15" t="s">
        <v>8</v>
      </c>
      <c r="N6431" s="15" t="s">
        <v>8</v>
      </c>
      <c r="O6431" s="15" t="s">
        <v>8</v>
      </c>
      <c r="R6431" s="15" t="s">
        <v>8</v>
      </c>
    </row>
    <row r="6432" spans="3:24" x14ac:dyDescent="0.35">
      <c r="C6432" s="15" t="s">
        <v>8</v>
      </c>
      <c r="E6432" s="15" t="s">
        <v>8</v>
      </c>
      <c r="F6432" s="15" t="s">
        <v>8</v>
      </c>
      <c r="K6432" s="15" t="s">
        <v>8</v>
      </c>
      <c r="N6432" s="15" t="s">
        <v>8</v>
      </c>
      <c r="O6432" s="15" t="s">
        <v>8</v>
      </c>
      <c r="Q6432" s="19" t="str">
        <f>HYPERLINK("http://yeinfo.com/family/I09023522.html", "WILLIAM THURGOOD 1492 EN-1554 EN ID:09047044")</f>
        <v>WILLIAM THURGOOD 1492 EN-1554 EN ID:09047044</v>
      </c>
      <c r="R6432" s="9"/>
      <c r="S6432" s="9"/>
      <c r="T6432" s="9"/>
      <c r="U6432" s="9"/>
    </row>
    <row r="6433" spans="3:22" x14ac:dyDescent="0.35">
      <c r="C6433" s="15" t="s">
        <v>8</v>
      </c>
      <c r="E6433" s="15" t="s">
        <v>8</v>
      </c>
      <c r="F6433" s="15" t="s">
        <v>8</v>
      </c>
      <c r="K6433" s="15" t="s">
        <v>8</v>
      </c>
      <c r="N6433" s="15" t="s">
        <v>8</v>
      </c>
      <c r="O6433" s="15" t="s">
        <v>8</v>
      </c>
      <c r="Q6433" s="8" t="s">
        <v>3</v>
      </c>
      <c r="R6433" s="8" t="s">
        <v>6</v>
      </c>
    </row>
    <row r="6434" spans="3:22" x14ac:dyDescent="0.35">
      <c r="C6434" s="15" t="s">
        <v>8</v>
      </c>
      <c r="E6434" s="15" t="s">
        <v>8</v>
      </c>
      <c r="F6434" s="15" t="s">
        <v>8</v>
      </c>
      <c r="K6434" s="15" t="s">
        <v>8</v>
      </c>
      <c r="N6434" s="15" t="s">
        <v>8</v>
      </c>
      <c r="O6434" s="15" t="s">
        <v>8</v>
      </c>
      <c r="Q6434" s="15" t="s">
        <v>8</v>
      </c>
      <c r="R6434" s="20" t="str">
        <f>HYPERLINK("http://yeinfo.com/family/I09065731.html", "ISABEL ARMONTE 1460 EN-1501 EN ID:09065598")</f>
        <v>ISABEL ARMONTE 1460 EN-1501 EN ID:09065598</v>
      </c>
      <c r="S6434" s="17"/>
      <c r="T6434" s="17"/>
      <c r="U6434" s="17"/>
      <c r="V6434" s="17"/>
    </row>
    <row r="6435" spans="3:22" x14ac:dyDescent="0.35">
      <c r="C6435" s="15" t="s">
        <v>8</v>
      </c>
      <c r="E6435" s="15" t="s">
        <v>8</v>
      </c>
      <c r="F6435" s="15" t="s">
        <v>8</v>
      </c>
      <c r="K6435" s="15" t="s">
        <v>8</v>
      </c>
      <c r="N6435" s="15" t="s">
        <v>8</v>
      </c>
      <c r="O6435" s="15" t="s">
        <v>8</v>
      </c>
      <c r="Q6435" s="15" t="s">
        <v>8</v>
      </c>
    </row>
    <row r="6436" spans="3:22" x14ac:dyDescent="0.35">
      <c r="C6436" s="15" t="s">
        <v>8</v>
      </c>
      <c r="E6436" s="15" t="s">
        <v>8</v>
      </c>
      <c r="F6436" s="15" t="s">
        <v>8</v>
      </c>
      <c r="K6436" s="15" t="s">
        <v>8</v>
      </c>
      <c r="N6436" s="15" t="s">
        <v>8</v>
      </c>
      <c r="O6436" s="15" t="s">
        <v>8</v>
      </c>
      <c r="P6436" s="19" t="str">
        <f>HYPERLINK("http://yeinfo.com/family/I09011761.html", "NICHOLAS THURGOOD 1529 EN-1618 EN ID:09023522")</f>
        <v>NICHOLAS THURGOOD 1529 EN-1618 EN ID:09023522</v>
      </c>
      <c r="Q6436" s="9"/>
      <c r="R6436" s="9"/>
      <c r="S6436" s="9"/>
      <c r="T6436" s="9"/>
    </row>
    <row r="6437" spans="3:22" x14ac:dyDescent="0.35">
      <c r="C6437" s="15" t="s">
        <v>8</v>
      </c>
      <c r="E6437" s="15" t="s">
        <v>8</v>
      </c>
      <c r="F6437" s="15" t="s">
        <v>8</v>
      </c>
      <c r="K6437" s="15" t="s">
        <v>8</v>
      </c>
      <c r="N6437" s="15" t="s">
        <v>8</v>
      </c>
      <c r="O6437" s="15" t="s">
        <v>8</v>
      </c>
      <c r="P6437" s="8" t="s">
        <v>3</v>
      </c>
      <c r="Q6437" s="8" t="s">
        <v>6</v>
      </c>
    </row>
    <row r="6438" spans="3:22" x14ac:dyDescent="0.35">
      <c r="C6438" s="15" t="s">
        <v>8</v>
      </c>
      <c r="E6438" s="15" t="s">
        <v>8</v>
      </c>
      <c r="F6438" s="15" t="s">
        <v>8</v>
      </c>
      <c r="K6438" s="15" t="s">
        <v>8</v>
      </c>
      <c r="N6438" s="15" t="s">
        <v>8</v>
      </c>
      <c r="O6438" s="15" t="s">
        <v>8</v>
      </c>
      <c r="P6438" s="15" t="s">
        <v>8</v>
      </c>
      <c r="Q6438" s="20" t="str">
        <f>HYPERLINK("http://yeinfo.com/family/I09065598.html", "JOANNE FRYETH 1500 EN-1578 EN ID:09047045")</f>
        <v>JOANNE FRYETH 1500 EN-1578 EN ID:09047045</v>
      </c>
      <c r="R6438" s="17"/>
      <c r="S6438" s="17"/>
      <c r="T6438" s="17"/>
      <c r="U6438" s="17"/>
    </row>
    <row r="6439" spans="3:22" x14ac:dyDescent="0.35">
      <c r="C6439" s="15" t="s">
        <v>8</v>
      </c>
      <c r="E6439" s="15" t="s">
        <v>8</v>
      </c>
      <c r="F6439" s="15" t="s">
        <v>8</v>
      </c>
      <c r="K6439" s="15" t="s">
        <v>8</v>
      </c>
      <c r="N6439" s="15" t="s">
        <v>8</v>
      </c>
      <c r="O6439" s="8" t="s">
        <v>6</v>
      </c>
      <c r="P6439" s="15" t="s">
        <v>8</v>
      </c>
    </row>
    <row r="6440" spans="3:22" x14ac:dyDescent="0.35">
      <c r="C6440" s="15" t="s">
        <v>8</v>
      </c>
      <c r="E6440" s="15" t="s">
        <v>8</v>
      </c>
      <c r="F6440" s="15" t="s">
        <v>8</v>
      </c>
      <c r="K6440" s="15" t="s">
        <v>8</v>
      </c>
      <c r="N6440" s="15" t="s">
        <v>8</v>
      </c>
      <c r="O6440" s="20" t="str">
        <f>HYPERLINK("http://yeinfo.com/family/I09047043.html", "JOAN THURGOOD 1577 EN-1661 EN ID:09011761")</f>
        <v>JOAN THURGOOD 1577 EN-1661 EN ID:09011761</v>
      </c>
      <c r="P6440" s="17"/>
      <c r="Q6440" s="17"/>
      <c r="R6440" s="17"/>
      <c r="S6440" s="17"/>
    </row>
    <row r="6441" spans="3:22" x14ac:dyDescent="0.35">
      <c r="C6441" s="15" t="s">
        <v>8</v>
      </c>
      <c r="E6441" s="15" t="s">
        <v>8</v>
      </c>
      <c r="F6441" s="15" t="s">
        <v>8</v>
      </c>
      <c r="K6441" s="15" t="s">
        <v>8</v>
      </c>
      <c r="N6441" s="15" t="s">
        <v>8</v>
      </c>
      <c r="P6441" s="8" t="s">
        <v>6</v>
      </c>
    </row>
    <row r="6442" spans="3:22" x14ac:dyDescent="0.35">
      <c r="C6442" s="15" t="s">
        <v>8</v>
      </c>
      <c r="E6442" s="15" t="s">
        <v>8</v>
      </c>
      <c r="F6442" s="15" t="s">
        <v>8</v>
      </c>
      <c r="K6442" s="15" t="s">
        <v>8</v>
      </c>
      <c r="N6442" s="15" t="s">
        <v>8</v>
      </c>
      <c r="P6442" s="20" t="str">
        <f>HYPERLINK("http://yeinfo.com/family/I09047045.html", "Mrs. ELIZABETH THURGOOD 1532 EN-1577 EN ID:09023523")</f>
        <v>Mrs. ELIZABETH THURGOOD 1532 EN-1577 EN ID:09023523</v>
      </c>
      <c r="Q6442" s="17"/>
      <c r="R6442" s="17"/>
      <c r="S6442" s="17"/>
      <c r="T6442" s="17"/>
    </row>
    <row r="6443" spans="3:22" x14ac:dyDescent="0.35">
      <c r="C6443" s="15" t="s">
        <v>8</v>
      </c>
      <c r="E6443" s="15" t="s">
        <v>8</v>
      </c>
      <c r="F6443" s="15" t="s">
        <v>8</v>
      </c>
      <c r="K6443" s="15" t="s">
        <v>8</v>
      </c>
      <c r="N6443" s="15" t="s">
        <v>8</v>
      </c>
    </row>
    <row r="6444" spans="3:22" x14ac:dyDescent="0.35">
      <c r="C6444" s="15" t="s">
        <v>8</v>
      </c>
      <c r="E6444" s="15" t="s">
        <v>8</v>
      </c>
      <c r="F6444" s="15" t="s">
        <v>8</v>
      </c>
      <c r="K6444" s="15" t="s">
        <v>8</v>
      </c>
      <c r="M6444" s="5" t="str">
        <f>HYPERLINK("http://yeinfo.com/family/I09001470.html", "JACOB ALDRICH 1653 MA-1695 MA ID:09002940")</f>
        <v>JACOB ALDRICH 1653 MA-1695 MA ID:09002940</v>
      </c>
      <c r="N6444" s="3"/>
      <c r="O6444" s="3"/>
      <c r="P6444" s="3"/>
      <c r="Q6444" s="3"/>
    </row>
    <row r="6445" spans="3:22" x14ac:dyDescent="0.35">
      <c r="C6445" s="15" t="s">
        <v>8</v>
      </c>
      <c r="E6445" s="15" t="s">
        <v>8</v>
      </c>
      <c r="F6445" s="15" t="s">
        <v>8</v>
      </c>
      <c r="K6445" s="15" t="s">
        <v>8</v>
      </c>
      <c r="M6445" s="8" t="s">
        <v>3</v>
      </c>
      <c r="N6445" s="8" t="s">
        <v>6</v>
      </c>
    </row>
    <row r="6446" spans="3:22" x14ac:dyDescent="0.35">
      <c r="C6446" s="15" t="s">
        <v>8</v>
      </c>
      <c r="E6446" s="15" t="s">
        <v>8</v>
      </c>
      <c r="F6446" s="15" t="s">
        <v>8</v>
      </c>
      <c r="K6446" s="15" t="s">
        <v>8</v>
      </c>
      <c r="M6446" s="15" t="s">
        <v>8</v>
      </c>
      <c r="N6446" s="22" t="str">
        <f>HYPERLINK("http://yeinfo.com/family/I09023523.html", "CATHERINE SEALD 1610 EN-1691 MA ID:09005881")</f>
        <v>CATHERINE SEALD 1610 EN-1691 MA ID:09005881</v>
      </c>
      <c r="O6446" s="13"/>
      <c r="P6446" s="13"/>
      <c r="Q6446" s="13"/>
      <c r="R6446" s="13"/>
    </row>
    <row r="6447" spans="3:22" x14ac:dyDescent="0.35">
      <c r="C6447" s="15" t="s">
        <v>8</v>
      </c>
      <c r="E6447" s="15" t="s">
        <v>8</v>
      </c>
      <c r="F6447" s="15" t="s">
        <v>8</v>
      </c>
      <c r="K6447" s="15" t="s">
        <v>8</v>
      </c>
      <c r="M6447" s="15" t="s">
        <v>8</v>
      </c>
    </row>
    <row r="6448" spans="3:22" x14ac:dyDescent="0.35">
      <c r="C6448" s="15" t="s">
        <v>8</v>
      </c>
      <c r="E6448" s="15" t="s">
        <v>8</v>
      </c>
      <c r="F6448" s="15" t="s">
        <v>8</v>
      </c>
      <c r="K6448" s="15" t="s">
        <v>8</v>
      </c>
      <c r="L6448" s="5" t="str">
        <f>HYPERLINK("http://yeinfo.com/family/I09000735.html", "JACOB\PETER ALDRICH 1676 MA-1750 MA ID:09001470")</f>
        <v>JACOB\PETER ALDRICH 1676 MA-1750 MA ID:09001470</v>
      </c>
      <c r="M6448" s="3"/>
      <c r="N6448" s="3"/>
      <c r="O6448" s="3"/>
      <c r="P6448" s="3"/>
      <c r="Q6448" s="3"/>
    </row>
    <row r="6449" spans="3:21" x14ac:dyDescent="0.35">
      <c r="C6449" s="15" t="s">
        <v>8</v>
      </c>
      <c r="E6449" s="15" t="s">
        <v>8</v>
      </c>
      <c r="F6449" s="15" t="s">
        <v>8</v>
      </c>
      <c r="K6449" s="15" t="s">
        <v>8</v>
      </c>
      <c r="L6449" s="8" t="s">
        <v>3</v>
      </c>
      <c r="M6449" s="15" t="s">
        <v>8</v>
      </c>
    </row>
    <row r="6450" spans="3:21" x14ac:dyDescent="0.35">
      <c r="C6450" s="15" t="s">
        <v>8</v>
      </c>
      <c r="E6450" s="15" t="s">
        <v>8</v>
      </c>
      <c r="F6450" s="15" t="s">
        <v>8</v>
      </c>
      <c r="K6450" s="15" t="s">
        <v>8</v>
      </c>
      <c r="L6450" s="15" t="s">
        <v>8</v>
      </c>
      <c r="M6450" s="15" t="s">
        <v>8</v>
      </c>
      <c r="O6450" s="5" t="str">
        <f>HYPERLINK("http://yeinfo.com/family/I09005882.html", "THOMAS THAYER 1596 EN-1665  ID:09011764")</f>
        <v>THOMAS THAYER 1596 EN-1665  ID:09011764</v>
      </c>
      <c r="P6450" s="3"/>
      <c r="Q6450" s="3"/>
      <c r="R6450" s="3"/>
      <c r="S6450" s="3"/>
    </row>
    <row r="6451" spans="3:21" x14ac:dyDescent="0.35">
      <c r="C6451" s="15" t="s">
        <v>8</v>
      </c>
      <c r="E6451" s="15" t="s">
        <v>8</v>
      </c>
      <c r="F6451" s="15" t="s">
        <v>8</v>
      </c>
      <c r="K6451" s="15" t="s">
        <v>8</v>
      </c>
      <c r="L6451" s="15" t="s">
        <v>8</v>
      </c>
      <c r="M6451" s="15" t="s">
        <v>8</v>
      </c>
      <c r="O6451" s="8" t="s">
        <v>3</v>
      </c>
    </row>
    <row r="6452" spans="3:21" x14ac:dyDescent="0.35">
      <c r="C6452" s="15" t="s">
        <v>8</v>
      </c>
      <c r="E6452" s="15" t="s">
        <v>8</v>
      </c>
      <c r="F6452" s="15" t="s">
        <v>8</v>
      </c>
      <c r="K6452" s="15" t="s">
        <v>8</v>
      </c>
      <c r="L6452" s="15" t="s">
        <v>8</v>
      </c>
      <c r="M6452" s="15" t="s">
        <v>8</v>
      </c>
      <c r="N6452" s="21" t="str">
        <f>HYPERLINK("http://yeinfo.com/family/I09002941.html", "FERDINANDO THAYER 1625 EN-1713 MA ID:09005882")</f>
        <v>FERDINANDO THAYER 1625 EN-1713 MA ID:09005882</v>
      </c>
      <c r="O6452" s="6"/>
      <c r="P6452" s="6"/>
      <c r="Q6452" s="6"/>
      <c r="R6452" s="6"/>
    </row>
    <row r="6453" spans="3:21" x14ac:dyDescent="0.35">
      <c r="C6453" s="15" t="s">
        <v>8</v>
      </c>
      <c r="E6453" s="15" t="s">
        <v>8</v>
      </c>
      <c r="F6453" s="15" t="s">
        <v>8</v>
      </c>
      <c r="K6453" s="15" t="s">
        <v>8</v>
      </c>
      <c r="L6453" s="15" t="s">
        <v>8</v>
      </c>
      <c r="M6453" s="15" t="s">
        <v>8</v>
      </c>
      <c r="N6453" s="8" t="s">
        <v>3</v>
      </c>
      <c r="O6453" s="15" t="s">
        <v>8</v>
      </c>
    </row>
    <row r="6454" spans="3:21" x14ac:dyDescent="0.35">
      <c r="C6454" s="15" t="s">
        <v>8</v>
      </c>
      <c r="E6454" s="15" t="s">
        <v>8</v>
      </c>
      <c r="F6454" s="15" t="s">
        <v>8</v>
      </c>
      <c r="K6454" s="15" t="s">
        <v>8</v>
      </c>
      <c r="L6454" s="15" t="s">
        <v>8</v>
      </c>
      <c r="M6454" s="15" t="s">
        <v>8</v>
      </c>
      <c r="N6454" s="15" t="s">
        <v>8</v>
      </c>
      <c r="O6454" s="15" t="s">
        <v>8</v>
      </c>
      <c r="P6454" s="19" t="str">
        <f>HYPERLINK("http://yeinfo.com/family/I09011765.html", "WILLIAM\ABIEL\ABEL WHEELER 1568 EN-1614 EN ID:09023530")</f>
        <v>WILLIAM\ABIEL\ABEL WHEELER 1568 EN-1614 EN ID:09023530</v>
      </c>
      <c r="Q6454" s="9"/>
      <c r="R6454" s="9"/>
      <c r="S6454" s="9"/>
      <c r="T6454" s="9"/>
      <c r="U6454" s="9"/>
    </row>
    <row r="6455" spans="3:21" x14ac:dyDescent="0.35">
      <c r="C6455" s="15" t="s">
        <v>8</v>
      </c>
      <c r="E6455" s="15" t="s">
        <v>8</v>
      </c>
      <c r="F6455" s="15" t="s">
        <v>8</v>
      </c>
      <c r="K6455" s="15" t="s">
        <v>8</v>
      </c>
      <c r="L6455" s="15" t="s">
        <v>8</v>
      </c>
      <c r="M6455" s="15" t="s">
        <v>8</v>
      </c>
      <c r="N6455" s="15" t="s">
        <v>8</v>
      </c>
      <c r="O6455" s="8" t="s">
        <v>6</v>
      </c>
      <c r="P6455" s="8" t="s">
        <v>3</v>
      </c>
    </row>
    <row r="6456" spans="3:21" x14ac:dyDescent="0.35">
      <c r="C6456" s="15" t="s">
        <v>8</v>
      </c>
      <c r="E6456" s="15" t="s">
        <v>8</v>
      </c>
      <c r="F6456" s="15" t="s">
        <v>8</v>
      </c>
      <c r="K6456" s="15" t="s">
        <v>8</v>
      </c>
      <c r="L6456" s="15" t="s">
        <v>8</v>
      </c>
      <c r="M6456" s="15" t="s">
        <v>8</v>
      </c>
      <c r="N6456" s="15" t="s">
        <v>8</v>
      </c>
      <c r="O6456" s="16" t="str">
        <f>HYPERLINK("http://yeinfo.com/family/I09011764.html", "MARGERY WHEELER 1600 EN-1673  ID:09011765")</f>
        <v>MARGERY WHEELER 1600 EN-1673  ID:09011765</v>
      </c>
      <c r="P6456" s="11"/>
      <c r="Q6456" s="11"/>
      <c r="R6456" s="11"/>
      <c r="S6456" s="11"/>
    </row>
    <row r="6457" spans="3:21" x14ac:dyDescent="0.35">
      <c r="C6457" s="15" t="s">
        <v>8</v>
      </c>
      <c r="E6457" s="15" t="s">
        <v>8</v>
      </c>
      <c r="F6457" s="15" t="s">
        <v>8</v>
      </c>
      <c r="K6457" s="15" t="s">
        <v>8</v>
      </c>
      <c r="L6457" s="15" t="s">
        <v>8</v>
      </c>
      <c r="M6457" s="15" t="s">
        <v>8</v>
      </c>
      <c r="N6457" s="15" t="s">
        <v>8</v>
      </c>
      <c r="P6457" s="8" t="s">
        <v>6</v>
      </c>
    </row>
    <row r="6458" spans="3:21" x14ac:dyDescent="0.35">
      <c r="C6458" s="15" t="s">
        <v>8</v>
      </c>
      <c r="E6458" s="15" t="s">
        <v>8</v>
      </c>
      <c r="F6458" s="15" t="s">
        <v>8</v>
      </c>
      <c r="K6458" s="15" t="s">
        <v>8</v>
      </c>
      <c r="L6458" s="15" t="s">
        <v>8</v>
      </c>
      <c r="M6458" s="15" t="s">
        <v>8</v>
      </c>
      <c r="N6458" s="15" t="s">
        <v>8</v>
      </c>
      <c r="P6458" s="20" t="str">
        <f>HYPERLINK("http://yeinfo.com/family/I09023530.html", "JANE\MARY SHEPHERD 1568 EN-1629 EN ID:09023531")</f>
        <v>JANE\MARY SHEPHERD 1568 EN-1629 EN ID:09023531</v>
      </c>
      <c r="Q6458" s="17"/>
      <c r="R6458" s="17"/>
      <c r="S6458" s="17"/>
      <c r="T6458" s="17"/>
      <c r="U6458" s="17"/>
    </row>
    <row r="6459" spans="3:21" x14ac:dyDescent="0.35">
      <c r="C6459" s="15" t="s">
        <v>8</v>
      </c>
      <c r="E6459" s="15" t="s">
        <v>8</v>
      </c>
      <c r="F6459" s="15" t="s">
        <v>8</v>
      </c>
      <c r="K6459" s="15" t="s">
        <v>8</v>
      </c>
      <c r="L6459" s="15" t="s">
        <v>8</v>
      </c>
      <c r="M6459" s="8" t="s">
        <v>6</v>
      </c>
      <c r="N6459" s="15" t="s">
        <v>8</v>
      </c>
    </row>
    <row r="6460" spans="3:21" x14ac:dyDescent="0.35">
      <c r="C6460" s="15" t="s">
        <v>8</v>
      </c>
      <c r="E6460" s="15" t="s">
        <v>8</v>
      </c>
      <c r="F6460" s="15" t="s">
        <v>8</v>
      </c>
      <c r="K6460" s="15" t="s">
        <v>8</v>
      </c>
      <c r="L6460" s="15" t="s">
        <v>8</v>
      </c>
      <c r="M6460" s="16" t="str">
        <f>HYPERLINK("http://yeinfo.com/family/I09005881.html", "HULDAH THAYER 1657 MA-1680 MA ID:09002941")</f>
        <v>HULDAH THAYER 1657 MA-1680 MA ID:09002941</v>
      </c>
      <c r="N6460" s="11"/>
      <c r="O6460" s="11"/>
      <c r="P6460" s="11"/>
      <c r="Q6460" s="11"/>
    </row>
    <row r="6461" spans="3:21" x14ac:dyDescent="0.35">
      <c r="C6461" s="15" t="s">
        <v>8</v>
      </c>
      <c r="E6461" s="15" t="s">
        <v>8</v>
      </c>
      <c r="F6461" s="15" t="s">
        <v>8</v>
      </c>
      <c r="K6461" s="15" t="s">
        <v>8</v>
      </c>
      <c r="L6461" s="15" t="s">
        <v>8</v>
      </c>
      <c r="N6461" s="15" t="s">
        <v>8</v>
      </c>
    </row>
    <row r="6462" spans="3:21" x14ac:dyDescent="0.35">
      <c r="C6462" s="15" t="s">
        <v>8</v>
      </c>
      <c r="E6462" s="15" t="s">
        <v>8</v>
      </c>
      <c r="F6462" s="15" t="s">
        <v>8</v>
      </c>
      <c r="K6462" s="15" t="s">
        <v>8</v>
      </c>
      <c r="L6462" s="15" t="s">
        <v>8</v>
      </c>
      <c r="N6462" s="15" t="s">
        <v>8</v>
      </c>
      <c r="Q6462" s="19" t="str">
        <f>HYPERLINK("http://yeinfo.com/family/I09011470.html", "WILLIAM HAYWARD &lt;3&gt; 1550 EN-1640 EN ID:09011470")</f>
        <v>WILLIAM HAYWARD &lt;3&gt; 1550 EN-1640 EN ID:09011470</v>
      </c>
      <c r="R6462" s="9"/>
      <c r="S6462" s="9"/>
      <c r="T6462" s="9"/>
      <c r="U6462" s="9"/>
    </row>
    <row r="6463" spans="3:21" x14ac:dyDescent="0.35">
      <c r="C6463" s="15" t="s">
        <v>8</v>
      </c>
      <c r="E6463" s="15" t="s">
        <v>8</v>
      </c>
      <c r="F6463" s="15" t="s">
        <v>8</v>
      </c>
      <c r="K6463" s="15" t="s">
        <v>8</v>
      </c>
      <c r="L6463" s="15" t="s">
        <v>8</v>
      </c>
      <c r="N6463" s="15" t="s">
        <v>8</v>
      </c>
      <c r="Q6463" s="8" t="s">
        <v>3</v>
      </c>
    </row>
    <row r="6464" spans="3:21" x14ac:dyDescent="0.35">
      <c r="C6464" s="15" t="s">
        <v>8</v>
      </c>
      <c r="E6464" s="15" t="s">
        <v>8</v>
      </c>
      <c r="F6464" s="15" t="s">
        <v>8</v>
      </c>
      <c r="K6464" s="15" t="s">
        <v>8</v>
      </c>
      <c r="L6464" s="15" t="s">
        <v>8</v>
      </c>
      <c r="N6464" s="15" t="s">
        <v>8</v>
      </c>
      <c r="P6464" s="19" t="str">
        <f>HYPERLINK("http://yeinfo.com/family/I09011766.html", "WILLIAM HAYWARD &lt;2&gt; 1583 EN-1639 EN ID:09023532")</f>
        <v>WILLIAM HAYWARD &lt;2&gt; 1583 EN-1639 EN ID:09023532</v>
      </c>
      <c r="Q6464" s="9"/>
      <c r="R6464" s="9"/>
      <c r="S6464" s="9"/>
      <c r="T6464" s="9"/>
    </row>
    <row r="6465" spans="3:21" x14ac:dyDescent="0.35">
      <c r="C6465" s="15" t="s">
        <v>8</v>
      </c>
      <c r="E6465" s="15" t="s">
        <v>8</v>
      </c>
      <c r="F6465" s="15" t="s">
        <v>8</v>
      </c>
      <c r="K6465" s="15" t="s">
        <v>8</v>
      </c>
      <c r="L6465" s="15" t="s">
        <v>8</v>
      </c>
      <c r="N6465" s="15" t="s">
        <v>8</v>
      </c>
      <c r="P6465" s="8" t="s">
        <v>3</v>
      </c>
      <c r="Q6465" s="8" t="s">
        <v>6</v>
      </c>
    </row>
    <row r="6466" spans="3:21" x14ac:dyDescent="0.35">
      <c r="C6466" s="15" t="s">
        <v>8</v>
      </c>
      <c r="E6466" s="15" t="s">
        <v>8</v>
      </c>
      <c r="F6466" s="15" t="s">
        <v>8</v>
      </c>
      <c r="K6466" s="15" t="s">
        <v>8</v>
      </c>
      <c r="L6466" s="15" t="s">
        <v>8</v>
      </c>
      <c r="N6466" s="15" t="s">
        <v>8</v>
      </c>
      <c r="P6466" s="15" t="s">
        <v>8</v>
      </c>
      <c r="Q6466" s="20" t="str">
        <f>HYPERLINK("http://yeinfo.com/family/I09011471.html", "MARGERY THAYER &lt;3&gt; 1543 EN-1588 EN ID:09011471")</f>
        <v>MARGERY THAYER &lt;3&gt; 1543 EN-1588 EN ID:09011471</v>
      </c>
      <c r="R6466" s="17"/>
      <c r="S6466" s="17"/>
      <c r="T6466" s="17"/>
      <c r="U6466" s="17"/>
    </row>
    <row r="6467" spans="3:21" x14ac:dyDescent="0.35">
      <c r="C6467" s="15" t="s">
        <v>8</v>
      </c>
      <c r="E6467" s="15" t="s">
        <v>8</v>
      </c>
      <c r="F6467" s="15" t="s">
        <v>8</v>
      </c>
      <c r="K6467" s="15" t="s">
        <v>8</v>
      </c>
      <c r="L6467" s="15" t="s">
        <v>8</v>
      </c>
      <c r="N6467" s="15" t="s">
        <v>8</v>
      </c>
      <c r="P6467" s="15" t="s">
        <v>8</v>
      </c>
    </row>
    <row r="6468" spans="3:21" x14ac:dyDescent="0.35">
      <c r="C6468" s="15" t="s">
        <v>8</v>
      </c>
      <c r="E6468" s="15" t="s">
        <v>8</v>
      </c>
      <c r="F6468" s="15" t="s">
        <v>8</v>
      </c>
      <c r="K6468" s="15" t="s">
        <v>8</v>
      </c>
      <c r="L6468" s="15" t="s">
        <v>8</v>
      </c>
      <c r="N6468" s="15" t="s">
        <v>8</v>
      </c>
      <c r="O6468" s="21" t="str">
        <f>HYPERLINK("http://yeinfo.com/family/I09005883.html", "WILLIAM HAYWARD &lt;2&gt; 1604 EN-1659 MA ID:09011766")</f>
        <v>WILLIAM HAYWARD &lt;2&gt; 1604 EN-1659 MA ID:09011766</v>
      </c>
      <c r="P6468" s="6"/>
      <c r="Q6468" s="6"/>
      <c r="R6468" s="6"/>
      <c r="S6468" s="6"/>
    </row>
    <row r="6469" spans="3:21" x14ac:dyDescent="0.35">
      <c r="C6469" s="15" t="s">
        <v>8</v>
      </c>
      <c r="E6469" s="15" t="s">
        <v>8</v>
      </c>
      <c r="F6469" s="15" t="s">
        <v>8</v>
      </c>
      <c r="K6469" s="15" t="s">
        <v>8</v>
      </c>
      <c r="L6469" s="15" t="s">
        <v>8</v>
      </c>
      <c r="N6469" s="15" t="s">
        <v>8</v>
      </c>
      <c r="O6469" s="8" t="s">
        <v>3</v>
      </c>
      <c r="P6469" s="8" t="s">
        <v>6</v>
      </c>
    </row>
    <row r="6470" spans="3:21" x14ac:dyDescent="0.35">
      <c r="C6470" s="15" t="s">
        <v>8</v>
      </c>
      <c r="E6470" s="15" t="s">
        <v>8</v>
      </c>
      <c r="F6470" s="15" t="s">
        <v>8</v>
      </c>
      <c r="K6470" s="15" t="s">
        <v>8</v>
      </c>
      <c r="L6470" s="15" t="s">
        <v>8</v>
      </c>
      <c r="N6470" s="15" t="s">
        <v>8</v>
      </c>
      <c r="O6470" s="15" t="s">
        <v>8</v>
      </c>
      <c r="P6470" s="20" t="str">
        <f>HYPERLINK("http://yeinfo.com/family/I09023532.html", "Mrs. {_?_} HAYWARD &lt;2&gt; 1583 EN-1639 EN ID:09023533")</f>
        <v>Mrs. {_?_} HAYWARD &lt;2&gt; 1583 EN-1639 EN ID:09023533</v>
      </c>
      <c r="Q6470" s="17"/>
      <c r="R6470" s="17"/>
      <c r="S6470" s="17"/>
      <c r="T6470" s="17"/>
    </row>
    <row r="6471" spans="3:21" x14ac:dyDescent="0.35">
      <c r="C6471" s="15" t="s">
        <v>8</v>
      </c>
      <c r="E6471" s="15" t="s">
        <v>8</v>
      </c>
      <c r="F6471" s="15" t="s">
        <v>8</v>
      </c>
      <c r="K6471" s="15" t="s">
        <v>8</v>
      </c>
      <c r="L6471" s="15" t="s">
        <v>8</v>
      </c>
      <c r="N6471" s="8" t="s">
        <v>6</v>
      </c>
      <c r="O6471" s="15" t="s">
        <v>8</v>
      </c>
    </row>
    <row r="6472" spans="3:21" x14ac:dyDescent="0.35">
      <c r="C6472" s="15" t="s">
        <v>8</v>
      </c>
      <c r="E6472" s="15" t="s">
        <v>8</v>
      </c>
      <c r="F6472" s="15" t="s">
        <v>8</v>
      </c>
      <c r="K6472" s="15" t="s">
        <v>8</v>
      </c>
      <c r="L6472" s="15" t="s">
        <v>8</v>
      </c>
      <c r="N6472" s="16" t="str">
        <f>HYPERLINK("http://yeinfo.com/family/I09023531.html", "HULDAH HAYWARD 1636 EN-1690  ID:09005883")</f>
        <v>HULDAH HAYWARD 1636 EN-1690  ID:09005883</v>
      </c>
      <c r="O6472" s="11"/>
      <c r="P6472" s="11"/>
      <c r="Q6472" s="11"/>
      <c r="R6472" s="11"/>
    </row>
    <row r="6473" spans="3:21" x14ac:dyDescent="0.35">
      <c r="C6473" s="15" t="s">
        <v>8</v>
      </c>
      <c r="E6473" s="15" t="s">
        <v>8</v>
      </c>
      <c r="F6473" s="15" t="s">
        <v>8</v>
      </c>
      <c r="K6473" s="15" t="s">
        <v>8</v>
      </c>
      <c r="L6473" s="15" t="s">
        <v>8</v>
      </c>
      <c r="O6473" s="15" t="s">
        <v>8</v>
      </c>
    </row>
    <row r="6474" spans="3:21" x14ac:dyDescent="0.35">
      <c r="C6474" s="15" t="s">
        <v>8</v>
      </c>
      <c r="E6474" s="15" t="s">
        <v>8</v>
      </c>
      <c r="F6474" s="15" t="s">
        <v>8</v>
      </c>
      <c r="K6474" s="15" t="s">
        <v>8</v>
      </c>
      <c r="L6474" s="15" t="s">
        <v>8</v>
      </c>
      <c r="O6474" s="15" t="s">
        <v>8</v>
      </c>
      <c r="P6474" s="5" t="str">
        <f>HYPERLINK("http://yeinfo.com/family/I09011767.html", "THOMAS KNIGHT &lt;2&gt; 1584 EN-1604  ID:09023534")</f>
        <v>THOMAS KNIGHT &lt;2&gt; 1584 EN-1604  ID:09023534</v>
      </c>
      <c r="Q6474" s="3"/>
      <c r="R6474" s="3"/>
      <c r="S6474" s="3"/>
      <c r="T6474" s="3"/>
    </row>
    <row r="6475" spans="3:21" x14ac:dyDescent="0.35">
      <c r="C6475" s="15" t="s">
        <v>8</v>
      </c>
      <c r="E6475" s="15" t="s">
        <v>8</v>
      </c>
      <c r="F6475" s="15" t="s">
        <v>8</v>
      </c>
      <c r="K6475" s="15" t="s">
        <v>8</v>
      </c>
      <c r="L6475" s="15" t="s">
        <v>8</v>
      </c>
      <c r="O6475" s="8" t="s">
        <v>6</v>
      </c>
      <c r="P6475" s="8" t="s">
        <v>3</v>
      </c>
    </row>
    <row r="6476" spans="3:21" x14ac:dyDescent="0.35">
      <c r="C6476" s="15" t="s">
        <v>8</v>
      </c>
      <c r="E6476" s="15" t="s">
        <v>8</v>
      </c>
      <c r="F6476" s="15" t="s">
        <v>8</v>
      </c>
      <c r="K6476" s="15" t="s">
        <v>8</v>
      </c>
      <c r="L6476" s="15" t="s">
        <v>8</v>
      </c>
      <c r="O6476" s="16" t="str">
        <f>HYPERLINK("http://yeinfo.com/family/I09023533.html", "MARGERY KNIGHT &lt;2&gt; 1604 -1676 MA ID:09011767")</f>
        <v>MARGERY KNIGHT &lt;2&gt; 1604 -1676 MA ID:09011767</v>
      </c>
      <c r="P6476" s="11"/>
      <c r="Q6476" s="11"/>
      <c r="R6476" s="11"/>
      <c r="S6476" s="11"/>
    </row>
    <row r="6477" spans="3:21" x14ac:dyDescent="0.35">
      <c r="C6477" s="15" t="s">
        <v>8</v>
      </c>
      <c r="E6477" s="15" t="s">
        <v>8</v>
      </c>
      <c r="F6477" s="15" t="s">
        <v>8</v>
      </c>
      <c r="K6477" s="15" t="s">
        <v>8</v>
      </c>
      <c r="L6477" s="15" t="s">
        <v>8</v>
      </c>
      <c r="P6477" s="8" t="s">
        <v>6</v>
      </c>
    </row>
    <row r="6478" spans="3:21" x14ac:dyDescent="0.35">
      <c r="C6478" s="15" t="s">
        <v>8</v>
      </c>
      <c r="E6478" s="15" t="s">
        <v>8</v>
      </c>
      <c r="F6478" s="15" t="s">
        <v>8</v>
      </c>
      <c r="K6478" s="15" t="s">
        <v>8</v>
      </c>
      <c r="L6478" s="15" t="s">
        <v>8</v>
      </c>
      <c r="P6478" s="16" t="str">
        <f>HYPERLINK("http://yeinfo.com/family/I09023534.html", "MARGERY THAYER &lt;2&gt; 1584 EN-1604  ID:09023535")</f>
        <v>MARGERY THAYER &lt;2&gt; 1584 EN-1604  ID:09023535</v>
      </c>
      <c r="Q6478" s="11"/>
      <c r="R6478" s="11"/>
      <c r="S6478" s="11"/>
      <c r="T6478" s="11"/>
    </row>
    <row r="6479" spans="3:21" x14ac:dyDescent="0.35">
      <c r="C6479" s="15" t="s">
        <v>8</v>
      </c>
      <c r="E6479" s="15" t="s">
        <v>8</v>
      </c>
      <c r="F6479" s="15" t="s">
        <v>8</v>
      </c>
      <c r="K6479" s="8" t="s">
        <v>6</v>
      </c>
      <c r="L6479" s="15" t="s">
        <v>8</v>
      </c>
    </row>
    <row r="6480" spans="3:21" x14ac:dyDescent="0.35">
      <c r="C6480" s="15" t="s">
        <v>8</v>
      </c>
      <c r="E6480" s="15" t="s">
        <v>8</v>
      </c>
      <c r="F6480" s="15" t="s">
        <v>8</v>
      </c>
      <c r="K6480" s="16" t="str">
        <f>HYPERLINK("http://yeinfo.com/family/I09011759.html", "MERCY ALDRICH 1700 MA-1752 MA ID:09000735")</f>
        <v>MERCY ALDRICH 1700 MA-1752 MA ID:09000735</v>
      </c>
      <c r="L6480" s="11"/>
      <c r="M6480" s="11"/>
      <c r="N6480" s="11"/>
      <c r="O6480" s="11"/>
    </row>
    <row r="6481" spans="3:20" x14ac:dyDescent="0.35">
      <c r="C6481" s="15" t="s">
        <v>8</v>
      </c>
      <c r="E6481" s="15" t="s">
        <v>8</v>
      </c>
      <c r="F6481" s="15" t="s">
        <v>8</v>
      </c>
      <c r="L6481" s="15" t="s">
        <v>8</v>
      </c>
    </row>
    <row r="6482" spans="3:20" x14ac:dyDescent="0.35">
      <c r="C6482" s="15" t="s">
        <v>8</v>
      </c>
      <c r="E6482" s="15" t="s">
        <v>8</v>
      </c>
      <c r="F6482" s="15" t="s">
        <v>8</v>
      </c>
      <c r="L6482" s="15" t="s">
        <v>8</v>
      </c>
      <c r="P6482" s="19" t="str">
        <f>HYPERLINK("http://yeinfo.com/family/I09011470.html", "WILLIAM HAYWARD &lt;3&gt; 1550 EN-1640 EN ID:09011470")</f>
        <v>WILLIAM HAYWARD &lt;3&gt; 1550 EN-1640 EN ID:09011470</v>
      </c>
      <c r="Q6482" s="9"/>
      <c r="R6482" s="9"/>
      <c r="S6482" s="9"/>
      <c r="T6482" s="9"/>
    </row>
    <row r="6483" spans="3:20" x14ac:dyDescent="0.35">
      <c r="C6483" s="15" t="s">
        <v>8</v>
      </c>
      <c r="E6483" s="15" t="s">
        <v>8</v>
      </c>
      <c r="F6483" s="15" t="s">
        <v>8</v>
      </c>
      <c r="L6483" s="15" t="s">
        <v>8</v>
      </c>
      <c r="P6483" s="8" t="s">
        <v>3</v>
      </c>
    </row>
    <row r="6484" spans="3:20" x14ac:dyDescent="0.35">
      <c r="C6484" s="15" t="s">
        <v>8</v>
      </c>
      <c r="E6484" s="15" t="s">
        <v>8</v>
      </c>
      <c r="F6484" s="15" t="s">
        <v>8</v>
      </c>
      <c r="L6484" s="15" t="s">
        <v>8</v>
      </c>
      <c r="O6484" s="19" t="str">
        <f>HYPERLINK("http://yeinfo.com/family/I09023532.html", "WILLIAM HAYWARD &lt;2&gt; 1583 EN-1639 EN ID:09023532")</f>
        <v>WILLIAM HAYWARD &lt;2&gt; 1583 EN-1639 EN ID:09023532</v>
      </c>
      <c r="P6484" s="9"/>
      <c r="Q6484" s="9"/>
      <c r="R6484" s="9"/>
      <c r="S6484" s="9"/>
    </row>
    <row r="6485" spans="3:20" x14ac:dyDescent="0.35">
      <c r="C6485" s="15" t="s">
        <v>8</v>
      </c>
      <c r="E6485" s="15" t="s">
        <v>8</v>
      </c>
      <c r="F6485" s="15" t="s">
        <v>8</v>
      </c>
      <c r="L6485" s="15" t="s">
        <v>8</v>
      </c>
      <c r="O6485" s="8" t="s">
        <v>3</v>
      </c>
      <c r="P6485" s="8" t="s">
        <v>6</v>
      </c>
    </row>
    <row r="6486" spans="3:20" x14ac:dyDescent="0.35">
      <c r="C6486" s="15" t="s">
        <v>8</v>
      </c>
      <c r="E6486" s="15" t="s">
        <v>8</v>
      </c>
      <c r="F6486" s="15" t="s">
        <v>8</v>
      </c>
      <c r="L6486" s="15" t="s">
        <v>8</v>
      </c>
      <c r="O6486" s="15" t="s">
        <v>8</v>
      </c>
      <c r="P6486" s="20" t="str">
        <f>HYPERLINK("http://yeinfo.com/family/I09011471.html", "MARGERY THAYER &lt;3&gt; 1543 EN-1588 EN ID:09011471")</f>
        <v>MARGERY THAYER &lt;3&gt; 1543 EN-1588 EN ID:09011471</v>
      </c>
      <c r="Q6486" s="17"/>
      <c r="R6486" s="17"/>
      <c r="S6486" s="17"/>
      <c r="T6486" s="17"/>
    </row>
    <row r="6487" spans="3:20" x14ac:dyDescent="0.35">
      <c r="C6487" s="15" t="s">
        <v>8</v>
      </c>
      <c r="E6487" s="15" t="s">
        <v>8</v>
      </c>
      <c r="F6487" s="15" t="s">
        <v>8</v>
      </c>
      <c r="L6487" s="15" t="s">
        <v>8</v>
      </c>
      <c r="O6487" s="15" t="s">
        <v>8</v>
      </c>
    </row>
    <row r="6488" spans="3:20" x14ac:dyDescent="0.35">
      <c r="C6488" s="15" t="s">
        <v>8</v>
      </c>
      <c r="E6488" s="15" t="s">
        <v>8</v>
      </c>
      <c r="F6488" s="15" t="s">
        <v>8</v>
      </c>
      <c r="L6488" s="15" t="s">
        <v>8</v>
      </c>
      <c r="N6488" s="21" t="str">
        <f>HYPERLINK("http://yeinfo.com/family/I09011766.html", "WILLIAM HAYWARD &lt;2&gt; 1604 EN-1659 MA ID:09011766")</f>
        <v>WILLIAM HAYWARD &lt;2&gt; 1604 EN-1659 MA ID:09011766</v>
      </c>
      <c r="O6488" s="6"/>
      <c r="P6488" s="6"/>
      <c r="Q6488" s="6"/>
      <c r="R6488" s="6"/>
    </row>
    <row r="6489" spans="3:20" x14ac:dyDescent="0.35">
      <c r="C6489" s="15" t="s">
        <v>8</v>
      </c>
      <c r="E6489" s="15" t="s">
        <v>8</v>
      </c>
      <c r="F6489" s="15" t="s">
        <v>8</v>
      </c>
      <c r="L6489" s="15" t="s">
        <v>8</v>
      </c>
      <c r="N6489" s="8" t="s">
        <v>3</v>
      </c>
      <c r="O6489" s="8" t="s">
        <v>6</v>
      </c>
    </row>
    <row r="6490" spans="3:20" x14ac:dyDescent="0.35">
      <c r="C6490" s="15" t="s">
        <v>8</v>
      </c>
      <c r="E6490" s="15" t="s">
        <v>8</v>
      </c>
      <c r="F6490" s="15" t="s">
        <v>8</v>
      </c>
      <c r="L6490" s="15" t="s">
        <v>8</v>
      </c>
      <c r="N6490" s="15" t="s">
        <v>8</v>
      </c>
      <c r="O6490" s="20" t="str">
        <f>HYPERLINK("http://yeinfo.com/family/I09023533.html", "Mrs. {_?_} HAYWARD &lt;2&gt; 1583 EN-1639 EN ID:09023533")</f>
        <v>Mrs. {_?_} HAYWARD &lt;2&gt; 1583 EN-1639 EN ID:09023533</v>
      </c>
      <c r="P6490" s="17"/>
      <c r="Q6490" s="17"/>
      <c r="R6490" s="17"/>
      <c r="S6490" s="17"/>
    </row>
    <row r="6491" spans="3:20" x14ac:dyDescent="0.35">
      <c r="C6491" s="15" t="s">
        <v>8</v>
      </c>
      <c r="E6491" s="15" t="s">
        <v>8</v>
      </c>
      <c r="F6491" s="15" t="s">
        <v>8</v>
      </c>
      <c r="L6491" s="15" t="s">
        <v>8</v>
      </c>
      <c r="N6491" s="15" t="s">
        <v>8</v>
      </c>
    </row>
    <row r="6492" spans="3:20" x14ac:dyDescent="0.35">
      <c r="C6492" s="15" t="s">
        <v>8</v>
      </c>
      <c r="E6492" s="15" t="s">
        <v>8</v>
      </c>
      <c r="F6492" s="15" t="s">
        <v>8</v>
      </c>
      <c r="L6492" s="15" t="s">
        <v>8</v>
      </c>
      <c r="M6492" s="5" t="str">
        <f>HYPERLINK("http://yeinfo.com/family/I09001471.html", "SAMUEL\JONATHAN HAYWARD 1643 MA-1713 MA ID:09002942")</f>
        <v>SAMUEL\JONATHAN HAYWARD 1643 MA-1713 MA ID:09002942</v>
      </c>
      <c r="N6492" s="3"/>
      <c r="O6492" s="3"/>
      <c r="P6492" s="3"/>
      <c r="Q6492" s="3"/>
      <c r="R6492" s="3"/>
    </row>
    <row r="6493" spans="3:20" x14ac:dyDescent="0.35">
      <c r="C6493" s="15" t="s">
        <v>8</v>
      </c>
      <c r="E6493" s="15" t="s">
        <v>8</v>
      </c>
      <c r="F6493" s="15" t="s">
        <v>8</v>
      </c>
      <c r="L6493" s="15" t="s">
        <v>8</v>
      </c>
      <c r="M6493" s="8" t="s">
        <v>3</v>
      </c>
      <c r="N6493" s="15" t="s">
        <v>8</v>
      </c>
    </row>
    <row r="6494" spans="3:20" x14ac:dyDescent="0.35">
      <c r="C6494" s="15" t="s">
        <v>8</v>
      </c>
      <c r="E6494" s="15" t="s">
        <v>8</v>
      </c>
      <c r="F6494" s="15" t="s">
        <v>8</v>
      </c>
      <c r="L6494" s="15" t="s">
        <v>8</v>
      </c>
      <c r="M6494" s="15" t="s">
        <v>8</v>
      </c>
      <c r="N6494" s="15" t="s">
        <v>8</v>
      </c>
      <c r="O6494" s="5" t="str">
        <f>HYPERLINK("http://yeinfo.com/family/I09023534.html", "THOMAS KNIGHT &lt;2&gt; 1584 EN-1604  ID:09023534")</f>
        <v>THOMAS KNIGHT &lt;2&gt; 1584 EN-1604  ID:09023534</v>
      </c>
      <c r="P6494" s="3"/>
      <c r="Q6494" s="3"/>
      <c r="R6494" s="3"/>
      <c r="S6494" s="3"/>
    </row>
    <row r="6495" spans="3:20" x14ac:dyDescent="0.35">
      <c r="C6495" s="15" t="s">
        <v>8</v>
      </c>
      <c r="E6495" s="15" t="s">
        <v>8</v>
      </c>
      <c r="F6495" s="15" t="s">
        <v>8</v>
      </c>
      <c r="L6495" s="15" t="s">
        <v>8</v>
      </c>
      <c r="M6495" s="15" t="s">
        <v>8</v>
      </c>
      <c r="N6495" s="8" t="s">
        <v>6</v>
      </c>
      <c r="O6495" s="8" t="s">
        <v>3</v>
      </c>
    </row>
    <row r="6496" spans="3:20" x14ac:dyDescent="0.35">
      <c r="C6496" s="15" t="s">
        <v>8</v>
      </c>
      <c r="E6496" s="15" t="s">
        <v>8</v>
      </c>
      <c r="F6496" s="15" t="s">
        <v>8</v>
      </c>
      <c r="L6496" s="15" t="s">
        <v>8</v>
      </c>
      <c r="M6496" s="15" t="s">
        <v>8</v>
      </c>
      <c r="N6496" s="16" t="str">
        <f>HYPERLINK("http://yeinfo.com/family/I09011767.html", "MARGERY KNIGHT &lt;2&gt; 1604 -1676 MA ID:09011767")</f>
        <v>MARGERY KNIGHT &lt;2&gt; 1604 -1676 MA ID:09011767</v>
      </c>
      <c r="O6496" s="11"/>
      <c r="P6496" s="11"/>
      <c r="Q6496" s="11"/>
      <c r="R6496" s="11"/>
    </row>
    <row r="6497" spans="3:19" x14ac:dyDescent="0.35">
      <c r="C6497" s="15" t="s">
        <v>8</v>
      </c>
      <c r="E6497" s="15" t="s">
        <v>8</v>
      </c>
      <c r="F6497" s="15" t="s">
        <v>8</v>
      </c>
      <c r="L6497" s="15" t="s">
        <v>8</v>
      </c>
      <c r="M6497" s="15" t="s">
        <v>8</v>
      </c>
      <c r="O6497" s="8" t="s">
        <v>6</v>
      </c>
    </row>
    <row r="6498" spans="3:19" x14ac:dyDescent="0.35">
      <c r="C6498" s="15" t="s">
        <v>8</v>
      </c>
      <c r="E6498" s="15" t="s">
        <v>8</v>
      </c>
      <c r="F6498" s="15" t="s">
        <v>8</v>
      </c>
      <c r="L6498" s="15" t="s">
        <v>8</v>
      </c>
      <c r="M6498" s="15" t="s">
        <v>8</v>
      </c>
      <c r="O6498" s="16" t="str">
        <f>HYPERLINK("http://yeinfo.com/family/I09023535.html", "MARGERY THAYER &lt;2&gt; 1584 EN-1604  ID:09023535")</f>
        <v>MARGERY THAYER &lt;2&gt; 1584 EN-1604  ID:09023535</v>
      </c>
      <c r="P6498" s="11"/>
      <c r="Q6498" s="11"/>
      <c r="R6498" s="11"/>
      <c r="S6498" s="11"/>
    </row>
    <row r="6499" spans="3:19" x14ac:dyDescent="0.35">
      <c r="C6499" s="15" t="s">
        <v>8</v>
      </c>
      <c r="E6499" s="15" t="s">
        <v>8</v>
      </c>
      <c r="F6499" s="15" t="s">
        <v>8</v>
      </c>
      <c r="L6499" s="8" t="s">
        <v>6</v>
      </c>
      <c r="M6499" s="15" t="s">
        <v>8</v>
      </c>
    </row>
    <row r="6500" spans="3:19" x14ac:dyDescent="0.35">
      <c r="C6500" s="15" t="s">
        <v>8</v>
      </c>
      <c r="E6500" s="15" t="s">
        <v>8</v>
      </c>
      <c r="F6500" s="15" t="s">
        <v>8</v>
      </c>
      <c r="L6500" s="16" t="str">
        <f>HYPERLINK("http://yeinfo.com/family/I09023535.html", "MARGERY HAYWARD 1682 -1717 MA ID:09001471")</f>
        <v>MARGERY HAYWARD 1682 -1717 MA ID:09001471</v>
      </c>
      <c r="M6500" s="11"/>
      <c r="N6500" s="11"/>
      <c r="O6500" s="11"/>
      <c r="P6500" s="11"/>
    </row>
    <row r="6501" spans="3:19" x14ac:dyDescent="0.35">
      <c r="C6501" s="15" t="s">
        <v>8</v>
      </c>
      <c r="E6501" s="15" t="s">
        <v>8</v>
      </c>
      <c r="F6501" s="15" t="s">
        <v>8</v>
      </c>
      <c r="M6501" s="15" t="s">
        <v>8</v>
      </c>
    </row>
    <row r="6502" spans="3:19" x14ac:dyDescent="0.35">
      <c r="C6502" s="15" t="s">
        <v>8</v>
      </c>
      <c r="E6502" s="15" t="s">
        <v>8</v>
      </c>
      <c r="F6502" s="15" t="s">
        <v>8</v>
      </c>
      <c r="M6502" s="15" t="s">
        <v>8</v>
      </c>
      <c r="N6502" s="21" t="str">
        <f>HYPERLINK("http://yeinfo.com/family/I09002943.html", "JOHN THOMPSON 1619 EN-1685 MA ID:09005886")</f>
        <v>JOHN THOMPSON 1619 EN-1685 MA ID:09005886</v>
      </c>
      <c r="O6502" s="6"/>
      <c r="P6502" s="6"/>
      <c r="Q6502" s="6"/>
      <c r="R6502" s="6"/>
    </row>
    <row r="6503" spans="3:19" x14ac:dyDescent="0.35">
      <c r="C6503" s="15" t="s">
        <v>8</v>
      </c>
      <c r="E6503" s="15" t="s">
        <v>8</v>
      </c>
      <c r="F6503" s="15" t="s">
        <v>8</v>
      </c>
      <c r="M6503" s="8" t="s">
        <v>6</v>
      </c>
      <c r="N6503" s="8" t="s">
        <v>3</v>
      </c>
    </row>
    <row r="6504" spans="3:19" x14ac:dyDescent="0.35">
      <c r="C6504" s="15" t="s">
        <v>8</v>
      </c>
      <c r="E6504" s="15" t="s">
        <v>8</v>
      </c>
      <c r="F6504" s="15" t="s">
        <v>8</v>
      </c>
      <c r="M6504" s="16" t="str">
        <f>HYPERLINK("http://yeinfo.com/family/I09002942.html", "MEHITABEL THOMPSON 1644 MA-1682 MA ID:09002943")</f>
        <v>MEHITABEL THOMPSON 1644 MA-1682 MA ID:09002943</v>
      </c>
      <c r="N6504" s="11"/>
      <c r="O6504" s="11"/>
      <c r="P6504" s="11"/>
      <c r="Q6504" s="11"/>
    </row>
    <row r="6505" spans="3:19" x14ac:dyDescent="0.35">
      <c r="C6505" s="15" t="s">
        <v>8</v>
      </c>
      <c r="E6505" s="15" t="s">
        <v>8</v>
      </c>
      <c r="F6505" s="15" t="s">
        <v>8</v>
      </c>
      <c r="N6505" s="8" t="s">
        <v>6</v>
      </c>
    </row>
    <row r="6506" spans="3:19" x14ac:dyDescent="0.35">
      <c r="C6506" s="15" t="s">
        <v>8</v>
      </c>
      <c r="E6506" s="15" t="s">
        <v>8</v>
      </c>
      <c r="F6506" s="15" t="s">
        <v>8</v>
      </c>
      <c r="N6506" s="22" t="str">
        <f>HYPERLINK("http://yeinfo.com/family/I09005886.html", "SARAH WOODMAN 1620 EN-1644 MA ID:09005887")</f>
        <v>SARAH WOODMAN 1620 EN-1644 MA ID:09005887</v>
      </c>
      <c r="O6506" s="13"/>
      <c r="P6506" s="13"/>
      <c r="Q6506" s="13"/>
      <c r="R6506" s="13"/>
    </row>
    <row r="6507" spans="3:19" x14ac:dyDescent="0.35">
      <c r="C6507" s="15" t="s">
        <v>8</v>
      </c>
      <c r="E6507" s="8" t="s">
        <v>6</v>
      </c>
      <c r="F6507" s="15" t="s">
        <v>8</v>
      </c>
    </row>
    <row r="6508" spans="3:19" x14ac:dyDescent="0.35">
      <c r="C6508" s="15" t="s">
        <v>8</v>
      </c>
      <c r="E6508" s="16" t="str">
        <f>HYPERLINK("http://yeinfo.com/family/I09002815.html", "MAE FRANCES MOORE 1878 IA-1963 MN ID:09000011")</f>
        <v>MAE FRANCES MOORE 1878 IA-1963 MN ID:09000011</v>
      </c>
      <c r="F6508" s="11"/>
      <c r="G6508" s="11"/>
      <c r="H6508" s="11"/>
      <c r="I6508" s="11"/>
    </row>
    <row r="6509" spans="3:19" x14ac:dyDescent="0.35">
      <c r="C6509" s="15" t="s">
        <v>8</v>
      </c>
      <c r="F6509" s="15" t="s">
        <v>8</v>
      </c>
    </row>
    <row r="6510" spans="3:19" x14ac:dyDescent="0.35">
      <c r="C6510" s="15" t="s">
        <v>8</v>
      </c>
      <c r="F6510" s="15" t="s">
        <v>8</v>
      </c>
      <c r="N6510" s="21" t="str">
        <f>HYPERLINK("http://yeinfo.com/family/I09002944.html", "ROBERT MILLER &lt;2&gt; 1600 EN-1624 MA ID:09005888")</f>
        <v>ROBERT MILLER &lt;2&gt; 1600 EN-1624 MA ID:09005888</v>
      </c>
      <c r="O6510" s="6"/>
      <c r="P6510" s="6"/>
      <c r="Q6510" s="6"/>
      <c r="R6510" s="6"/>
    </row>
    <row r="6511" spans="3:19" x14ac:dyDescent="0.35">
      <c r="C6511" s="15" t="s">
        <v>8</v>
      </c>
      <c r="F6511" s="15" t="s">
        <v>8</v>
      </c>
      <c r="N6511" s="8" t="s">
        <v>3</v>
      </c>
    </row>
    <row r="6512" spans="3:19" x14ac:dyDescent="0.35">
      <c r="C6512" s="15" t="s">
        <v>8</v>
      </c>
      <c r="F6512" s="15" t="s">
        <v>8</v>
      </c>
      <c r="M6512" s="21" t="str">
        <f>HYPERLINK("http://yeinfo.com/family/I09001472.html", "THOMAS MILLER &lt;2&gt; 1624 EN-1675 MA ID:09002944")</f>
        <v>THOMAS MILLER &lt;2&gt; 1624 EN-1675 MA ID:09002944</v>
      </c>
      <c r="N6512" s="6"/>
      <c r="O6512" s="6"/>
      <c r="P6512" s="6"/>
      <c r="Q6512" s="6"/>
    </row>
    <row r="6513" spans="3:20" x14ac:dyDescent="0.35">
      <c r="C6513" s="15" t="s">
        <v>8</v>
      </c>
      <c r="F6513" s="15" t="s">
        <v>8</v>
      </c>
      <c r="M6513" s="8" t="s">
        <v>3</v>
      </c>
      <c r="N6513" s="8" t="s">
        <v>6</v>
      </c>
    </row>
    <row r="6514" spans="3:20" x14ac:dyDescent="0.35">
      <c r="C6514" s="15" t="s">
        <v>8</v>
      </c>
      <c r="F6514" s="15" t="s">
        <v>8</v>
      </c>
      <c r="M6514" s="15" t="s">
        <v>8</v>
      </c>
      <c r="N6514" s="22" t="str">
        <f>HYPERLINK("http://yeinfo.com/family/I09005888.html", "ELIZABETH ETHEL NICHOLSON &lt;2&gt; 1600 EN-1624 MA ID:09005889")</f>
        <v>ELIZABETH ETHEL NICHOLSON &lt;2&gt; 1600 EN-1624 MA ID:09005889</v>
      </c>
      <c r="O6514" s="13"/>
      <c r="P6514" s="13"/>
      <c r="Q6514" s="13"/>
      <c r="R6514" s="13"/>
    </row>
    <row r="6515" spans="3:20" x14ac:dyDescent="0.35">
      <c r="C6515" s="15" t="s">
        <v>8</v>
      </c>
      <c r="F6515" s="15" t="s">
        <v>8</v>
      </c>
      <c r="M6515" s="15" t="s">
        <v>8</v>
      </c>
    </row>
    <row r="6516" spans="3:20" x14ac:dyDescent="0.35">
      <c r="C6516" s="15" t="s">
        <v>8</v>
      </c>
      <c r="F6516" s="15" t="s">
        <v>8</v>
      </c>
      <c r="L6516" s="5" t="str">
        <f>HYPERLINK("http://yeinfo.com/family/I09000736.html", "SAMUEL MILLER Sr. &lt;2&gt; 1655 MA-1727 MA ID:09001472")</f>
        <v>SAMUEL MILLER Sr. &lt;2&gt; 1655 MA-1727 MA ID:09001472</v>
      </c>
      <c r="M6516" s="3"/>
      <c r="N6516" s="3"/>
      <c r="O6516" s="3"/>
      <c r="P6516" s="3"/>
    </row>
    <row r="6517" spans="3:20" x14ac:dyDescent="0.35">
      <c r="C6517" s="15" t="s">
        <v>8</v>
      </c>
      <c r="F6517" s="15" t="s">
        <v>8</v>
      </c>
      <c r="L6517" s="8" t="s">
        <v>3</v>
      </c>
      <c r="M6517" s="15" t="s">
        <v>8</v>
      </c>
    </row>
    <row r="6518" spans="3:20" x14ac:dyDescent="0.35">
      <c r="C6518" s="15" t="s">
        <v>8</v>
      </c>
      <c r="F6518" s="15" t="s">
        <v>8</v>
      </c>
      <c r="L6518" s="15" t="s">
        <v>8</v>
      </c>
      <c r="M6518" s="15" t="s">
        <v>8</v>
      </c>
      <c r="N6518" s="5" t="str">
        <f>HYPERLINK("http://yeinfo.com/family/I09002945.html", "THOMAS MARSHFIELD &lt;2&gt; 1600 EN-1641  ID:09005890")</f>
        <v>THOMAS MARSHFIELD &lt;2&gt; 1600 EN-1641  ID:09005890</v>
      </c>
      <c r="O6518" s="3"/>
      <c r="P6518" s="3"/>
      <c r="Q6518" s="3"/>
      <c r="R6518" s="3"/>
    </row>
    <row r="6519" spans="3:20" x14ac:dyDescent="0.35">
      <c r="C6519" s="15" t="s">
        <v>8</v>
      </c>
      <c r="F6519" s="15" t="s">
        <v>8</v>
      </c>
      <c r="L6519" s="15" t="s">
        <v>8</v>
      </c>
      <c r="M6519" s="8" t="s">
        <v>6</v>
      </c>
      <c r="N6519" s="8" t="s">
        <v>3</v>
      </c>
    </row>
    <row r="6520" spans="3:20" x14ac:dyDescent="0.35">
      <c r="C6520" s="15" t="s">
        <v>8</v>
      </c>
      <c r="F6520" s="15" t="s">
        <v>8</v>
      </c>
      <c r="L6520" s="15" t="s">
        <v>8</v>
      </c>
      <c r="M6520" s="22" t="str">
        <f>HYPERLINK("http://yeinfo.com/family/I09005889.html", "SARAH MARSHFIELD &lt;2&gt; 1621 EN-1709 MA ID:09002945")</f>
        <v>SARAH MARSHFIELD &lt;2&gt; 1621 EN-1709 MA ID:09002945</v>
      </c>
      <c r="N6520" s="13"/>
      <c r="O6520" s="13"/>
      <c r="P6520" s="13"/>
      <c r="Q6520" s="13"/>
    </row>
    <row r="6521" spans="3:20" x14ac:dyDescent="0.35">
      <c r="C6521" s="15" t="s">
        <v>8</v>
      </c>
      <c r="F6521" s="15" t="s">
        <v>8</v>
      </c>
      <c r="L6521" s="15" t="s">
        <v>8</v>
      </c>
      <c r="N6521" s="15" t="s">
        <v>8</v>
      </c>
    </row>
    <row r="6522" spans="3:20" x14ac:dyDescent="0.35">
      <c r="C6522" s="15" t="s">
        <v>8</v>
      </c>
      <c r="F6522" s="15" t="s">
        <v>8</v>
      </c>
      <c r="L6522" s="15" t="s">
        <v>8</v>
      </c>
      <c r="N6522" s="15" t="s">
        <v>8</v>
      </c>
      <c r="P6522" s="19" t="str">
        <f>HYPERLINK("http://yeinfo.com/family/I09011782.html", "ANDREW GOODY &lt;2&gt; 1543 EN-1617 EN ID:09023564")</f>
        <v>ANDREW GOODY &lt;2&gt; 1543 EN-1617 EN ID:09023564</v>
      </c>
      <c r="Q6522" s="9"/>
      <c r="R6522" s="9"/>
      <c r="S6522" s="9"/>
      <c r="T6522" s="9"/>
    </row>
    <row r="6523" spans="3:20" x14ac:dyDescent="0.35">
      <c r="C6523" s="15" t="s">
        <v>8</v>
      </c>
      <c r="F6523" s="15" t="s">
        <v>8</v>
      </c>
      <c r="L6523" s="15" t="s">
        <v>8</v>
      </c>
      <c r="N6523" s="15" t="s">
        <v>8</v>
      </c>
      <c r="P6523" s="8" t="s">
        <v>3</v>
      </c>
    </row>
    <row r="6524" spans="3:20" x14ac:dyDescent="0.35">
      <c r="C6524" s="15" t="s">
        <v>8</v>
      </c>
      <c r="F6524" s="15" t="s">
        <v>8</v>
      </c>
      <c r="L6524" s="15" t="s">
        <v>8</v>
      </c>
      <c r="N6524" s="15" t="s">
        <v>8</v>
      </c>
      <c r="O6524" s="21" t="str">
        <f>HYPERLINK("http://yeinfo.com/family/I09005891.html", "GEORGE GOODY &lt;2&gt; 1577 EN-1641 CT ID:09011782")</f>
        <v>GEORGE GOODY &lt;2&gt; 1577 EN-1641 CT ID:09011782</v>
      </c>
      <c r="P6524" s="6"/>
      <c r="Q6524" s="6"/>
      <c r="R6524" s="6"/>
      <c r="S6524" s="6"/>
    </row>
    <row r="6525" spans="3:20" x14ac:dyDescent="0.35">
      <c r="C6525" s="15" t="s">
        <v>8</v>
      </c>
      <c r="F6525" s="15" t="s">
        <v>8</v>
      </c>
      <c r="L6525" s="15" t="s">
        <v>8</v>
      </c>
      <c r="N6525" s="15" t="s">
        <v>8</v>
      </c>
      <c r="O6525" s="8" t="s">
        <v>3</v>
      </c>
      <c r="P6525" s="8" t="s">
        <v>6</v>
      </c>
    </row>
    <row r="6526" spans="3:20" x14ac:dyDescent="0.35">
      <c r="C6526" s="15" t="s">
        <v>8</v>
      </c>
      <c r="F6526" s="15" t="s">
        <v>8</v>
      </c>
      <c r="L6526" s="15" t="s">
        <v>8</v>
      </c>
      <c r="N6526" s="15" t="s">
        <v>8</v>
      </c>
      <c r="O6526" s="15" t="s">
        <v>8</v>
      </c>
      <c r="P6526" s="20" t="str">
        <f>HYPERLINK("http://yeinfo.com/family/I09023564.html", "JONE DOWKE &lt;2&gt; 1549 EN-1595 EN ID:09023565")</f>
        <v>JONE DOWKE &lt;2&gt; 1549 EN-1595 EN ID:09023565</v>
      </c>
      <c r="Q6526" s="17"/>
      <c r="R6526" s="17"/>
      <c r="S6526" s="17"/>
      <c r="T6526" s="17"/>
    </row>
    <row r="6527" spans="3:20" x14ac:dyDescent="0.35">
      <c r="C6527" s="15" t="s">
        <v>8</v>
      </c>
      <c r="F6527" s="15" t="s">
        <v>8</v>
      </c>
      <c r="L6527" s="15" t="s">
        <v>8</v>
      </c>
      <c r="N6527" s="8" t="s">
        <v>6</v>
      </c>
      <c r="O6527" s="15" t="s">
        <v>8</v>
      </c>
    </row>
    <row r="6528" spans="3:20" x14ac:dyDescent="0.35">
      <c r="C6528" s="15" t="s">
        <v>8</v>
      </c>
      <c r="F6528" s="15" t="s">
        <v>8</v>
      </c>
      <c r="L6528" s="15" t="s">
        <v>8</v>
      </c>
      <c r="N6528" s="22" t="str">
        <f>HYPERLINK("http://yeinfo.com/family/I09005890.html", "MERCY PRISCILLA GOODY &lt;2&gt; 1604 EN-1654 MA ID:09005891")</f>
        <v>MERCY PRISCILLA GOODY &lt;2&gt; 1604 EN-1654 MA ID:09005891</v>
      </c>
      <c r="O6528" s="13"/>
      <c r="P6528" s="13"/>
      <c r="Q6528" s="13"/>
      <c r="R6528" s="13"/>
    </row>
    <row r="6529" spans="3:25" x14ac:dyDescent="0.35">
      <c r="C6529" s="15" t="s">
        <v>8</v>
      </c>
      <c r="F6529" s="15" t="s">
        <v>8</v>
      </c>
      <c r="L6529" s="15" t="s">
        <v>8</v>
      </c>
      <c r="O6529" s="15" t="s">
        <v>8</v>
      </c>
    </row>
    <row r="6530" spans="3:25" x14ac:dyDescent="0.35">
      <c r="C6530" s="15" t="s">
        <v>8</v>
      </c>
      <c r="F6530" s="15" t="s">
        <v>8</v>
      </c>
      <c r="L6530" s="15" t="s">
        <v>8</v>
      </c>
      <c r="O6530" s="15" t="s">
        <v>8</v>
      </c>
      <c r="R6530" s="19" t="str">
        <f>HYPERLINK("http://yeinfo.com/family/I09047132.html", "THOMAS LOCKE &lt;2&gt; 1434 EN-1507 EN ID:09065658")</f>
        <v>THOMAS LOCKE &lt;2&gt; 1434 EN-1507 EN ID:09065658</v>
      </c>
      <c r="S6530" s="9"/>
      <c r="T6530" s="9"/>
      <c r="U6530" s="9"/>
      <c r="V6530" s="9"/>
    </row>
    <row r="6531" spans="3:25" x14ac:dyDescent="0.35">
      <c r="C6531" s="15" t="s">
        <v>8</v>
      </c>
      <c r="F6531" s="15" t="s">
        <v>8</v>
      </c>
      <c r="L6531" s="15" t="s">
        <v>8</v>
      </c>
      <c r="O6531" s="15" t="s">
        <v>8</v>
      </c>
      <c r="R6531" s="8" t="s">
        <v>3</v>
      </c>
    </row>
    <row r="6532" spans="3:25" x14ac:dyDescent="0.35">
      <c r="C6532" s="15" t="s">
        <v>8</v>
      </c>
      <c r="F6532" s="15" t="s">
        <v>8</v>
      </c>
      <c r="L6532" s="15" t="s">
        <v>8</v>
      </c>
      <c r="O6532" s="15" t="s">
        <v>8</v>
      </c>
      <c r="Q6532" s="19" t="str">
        <f>HYPERLINK("http://yeinfo.com/family/I09023566.html", "WILLIAM LOCKE &lt;2&gt; 1480 EN-1550 EN ID:09047132")</f>
        <v>WILLIAM LOCKE &lt;2&gt; 1480 EN-1550 EN ID:09047132</v>
      </c>
      <c r="R6532" s="9"/>
      <c r="S6532" s="9"/>
      <c r="T6532" s="9"/>
      <c r="U6532" s="9"/>
    </row>
    <row r="6533" spans="3:25" x14ac:dyDescent="0.35">
      <c r="C6533" s="15" t="s">
        <v>8</v>
      </c>
      <c r="F6533" s="15" t="s">
        <v>8</v>
      </c>
      <c r="L6533" s="15" t="s">
        <v>8</v>
      </c>
      <c r="O6533" s="15" t="s">
        <v>8</v>
      </c>
      <c r="Q6533" s="8" t="s">
        <v>3</v>
      </c>
      <c r="R6533" s="8" t="s">
        <v>6</v>
      </c>
    </row>
    <row r="6534" spans="3:25" x14ac:dyDescent="0.35">
      <c r="C6534" s="15" t="s">
        <v>8</v>
      </c>
      <c r="F6534" s="15" t="s">
        <v>8</v>
      </c>
      <c r="L6534" s="15" t="s">
        <v>8</v>
      </c>
      <c r="O6534" s="15" t="s">
        <v>8</v>
      </c>
      <c r="Q6534" s="15" t="s">
        <v>8</v>
      </c>
      <c r="R6534" s="20" t="str">
        <f>HYPERLINK("http://yeinfo.com/family/I09065658.html", "JOAN WILCOCKS &lt;2&gt; 1440 EN-1512 EN ID:09065673")</f>
        <v>JOAN WILCOCKS &lt;2&gt; 1440 EN-1512 EN ID:09065673</v>
      </c>
      <c r="S6534" s="17"/>
      <c r="T6534" s="17"/>
      <c r="U6534" s="17"/>
      <c r="V6534" s="17"/>
    </row>
    <row r="6535" spans="3:25" x14ac:dyDescent="0.35">
      <c r="C6535" s="15" t="s">
        <v>8</v>
      </c>
      <c r="F6535" s="15" t="s">
        <v>8</v>
      </c>
      <c r="L6535" s="15" t="s">
        <v>8</v>
      </c>
      <c r="O6535" s="15" t="s">
        <v>8</v>
      </c>
      <c r="Q6535" s="15" t="s">
        <v>8</v>
      </c>
    </row>
    <row r="6536" spans="3:25" x14ac:dyDescent="0.35">
      <c r="C6536" s="15" t="s">
        <v>8</v>
      </c>
      <c r="F6536" s="15" t="s">
        <v>8</v>
      </c>
      <c r="L6536" s="15" t="s">
        <v>8</v>
      </c>
      <c r="O6536" s="15" t="s">
        <v>8</v>
      </c>
      <c r="P6536" s="19" t="str">
        <f>HYPERLINK("http://yeinfo.com/family/I09011783.html", "MICHAEL WILLIAM LOCKE &lt;2&gt; 1532 EN-1621 EN ID:09023566")</f>
        <v>MICHAEL WILLIAM LOCKE &lt;2&gt; 1532 EN-1621 EN ID:09023566</v>
      </c>
      <c r="Q6536" s="9"/>
      <c r="R6536" s="9"/>
      <c r="S6536" s="9"/>
      <c r="T6536" s="9"/>
    </row>
    <row r="6537" spans="3:25" x14ac:dyDescent="0.35">
      <c r="C6537" s="15" t="s">
        <v>8</v>
      </c>
      <c r="F6537" s="15" t="s">
        <v>8</v>
      </c>
      <c r="L6537" s="15" t="s">
        <v>8</v>
      </c>
      <c r="O6537" s="15" t="s">
        <v>8</v>
      </c>
      <c r="P6537" s="8" t="s">
        <v>3</v>
      </c>
      <c r="Q6537" s="15" t="s">
        <v>8</v>
      </c>
    </row>
    <row r="6538" spans="3:25" x14ac:dyDescent="0.35">
      <c r="C6538" s="15" t="s">
        <v>8</v>
      </c>
      <c r="F6538" s="15" t="s">
        <v>8</v>
      </c>
      <c r="L6538" s="15" t="s">
        <v>8</v>
      </c>
      <c r="O6538" s="15" t="s">
        <v>8</v>
      </c>
      <c r="P6538" s="15" t="s">
        <v>8</v>
      </c>
      <c r="Q6538" s="15" t="s">
        <v>8</v>
      </c>
      <c r="R6538" s="19" t="str">
        <f>HYPERLINK("http://yeinfo.com/family/I09047133.html", "WILLIAM SPENCER III &lt;2&gt; 1470 EN-1532 EN ID:09065669")</f>
        <v>WILLIAM SPENCER III &lt;2&gt; 1470 EN-1532 EN ID:09065669</v>
      </c>
      <c r="S6538" s="9"/>
      <c r="T6538" s="9"/>
      <c r="U6538" s="9"/>
      <c r="V6538" s="9"/>
    </row>
    <row r="6539" spans="3:25" x14ac:dyDescent="0.35">
      <c r="C6539" s="15" t="s">
        <v>8</v>
      </c>
      <c r="F6539" s="15" t="s">
        <v>8</v>
      </c>
      <c r="L6539" s="15" t="s">
        <v>8</v>
      </c>
      <c r="O6539" s="15" t="s">
        <v>8</v>
      </c>
      <c r="P6539" s="15" t="s">
        <v>8</v>
      </c>
      <c r="Q6539" s="8" t="s">
        <v>6</v>
      </c>
      <c r="R6539" s="8" t="s">
        <v>3</v>
      </c>
    </row>
    <row r="6540" spans="3:25" x14ac:dyDescent="0.35">
      <c r="C6540" s="15" t="s">
        <v>8</v>
      </c>
      <c r="F6540" s="15" t="s">
        <v>8</v>
      </c>
      <c r="L6540" s="15" t="s">
        <v>8</v>
      </c>
      <c r="O6540" s="15" t="s">
        <v>8</v>
      </c>
      <c r="P6540" s="15" t="s">
        <v>8</v>
      </c>
      <c r="Q6540" s="20" t="str">
        <f>HYPERLINK("http://yeinfo.com/family/I09065673.html", "ELIZABETH ALICE SPENCER &lt;2&gt; 1490 EN-1522 EN ID:09047133")</f>
        <v>ELIZABETH ALICE SPENCER &lt;2&gt; 1490 EN-1522 EN ID:09047133</v>
      </c>
      <c r="R6540" s="17"/>
      <c r="S6540" s="17"/>
      <c r="T6540" s="17"/>
      <c r="U6540" s="17"/>
    </row>
    <row r="6541" spans="3:25" x14ac:dyDescent="0.35">
      <c r="C6541" s="15" t="s">
        <v>8</v>
      </c>
      <c r="F6541" s="15" t="s">
        <v>8</v>
      </c>
      <c r="L6541" s="15" t="s">
        <v>8</v>
      </c>
      <c r="O6541" s="15" t="s">
        <v>8</v>
      </c>
      <c r="P6541" s="15" t="s">
        <v>8</v>
      </c>
      <c r="R6541" s="15" t="s">
        <v>8</v>
      </c>
    </row>
    <row r="6542" spans="3:25" x14ac:dyDescent="0.35">
      <c r="C6542" s="15" t="s">
        <v>8</v>
      </c>
      <c r="F6542" s="15" t="s">
        <v>8</v>
      </c>
      <c r="L6542" s="15" t="s">
        <v>8</v>
      </c>
      <c r="O6542" s="15" t="s">
        <v>8</v>
      </c>
      <c r="P6542" s="15" t="s">
        <v>8</v>
      </c>
      <c r="R6542" s="15" t="s">
        <v>8</v>
      </c>
      <c r="U6542" s="19" t="str">
        <f>HYPERLINK("http://yeinfo.com/family/I09065928.html", "JOHN HERITAGE &lt;2&gt; 1378 EN-1443 EN ID:09066096")</f>
        <v>JOHN HERITAGE &lt;2&gt; 1378 EN-1443 EN ID:09066096</v>
      </c>
      <c r="V6542" s="9"/>
      <c r="W6542" s="9"/>
      <c r="X6542" s="9"/>
      <c r="Y6542" s="9"/>
    </row>
    <row r="6543" spans="3:25" x14ac:dyDescent="0.35">
      <c r="C6543" s="15" t="s">
        <v>8</v>
      </c>
      <c r="F6543" s="15" t="s">
        <v>8</v>
      </c>
      <c r="L6543" s="15" t="s">
        <v>8</v>
      </c>
      <c r="O6543" s="15" t="s">
        <v>8</v>
      </c>
      <c r="P6543" s="15" t="s">
        <v>8</v>
      </c>
      <c r="R6543" s="15" t="s">
        <v>8</v>
      </c>
      <c r="U6543" s="8" t="s">
        <v>3</v>
      </c>
    </row>
    <row r="6544" spans="3:25" x14ac:dyDescent="0.35">
      <c r="C6544" s="15" t="s">
        <v>8</v>
      </c>
      <c r="F6544" s="15" t="s">
        <v>8</v>
      </c>
      <c r="L6544" s="15" t="s">
        <v>8</v>
      </c>
      <c r="O6544" s="15" t="s">
        <v>8</v>
      </c>
      <c r="P6544" s="15" t="s">
        <v>8</v>
      </c>
      <c r="R6544" s="15" t="s">
        <v>8</v>
      </c>
      <c r="T6544" s="19" t="str">
        <f>HYPERLINK("http://yeinfo.com/family/I09065781.html", "THOMAS HERITAGE &lt;2&gt; 1400 EN-1482 EN ID:09065928")</f>
        <v>THOMAS HERITAGE &lt;2&gt; 1400 EN-1482 EN ID:09065928</v>
      </c>
      <c r="U6544" s="9"/>
      <c r="V6544" s="9"/>
      <c r="W6544" s="9"/>
      <c r="X6544" s="9"/>
    </row>
    <row r="6545" spans="3:26" x14ac:dyDescent="0.35">
      <c r="C6545" s="15" t="s">
        <v>8</v>
      </c>
      <c r="F6545" s="15" t="s">
        <v>8</v>
      </c>
      <c r="L6545" s="15" t="s">
        <v>8</v>
      </c>
      <c r="O6545" s="15" t="s">
        <v>8</v>
      </c>
      <c r="P6545" s="15" t="s">
        <v>8</v>
      </c>
      <c r="R6545" s="15" t="s">
        <v>8</v>
      </c>
      <c r="T6545" s="8" t="s">
        <v>3</v>
      </c>
      <c r="U6545" s="8" t="s">
        <v>6</v>
      </c>
    </row>
    <row r="6546" spans="3:26" x14ac:dyDescent="0.35">
      <c r="C6546" s="15" t="s">
        <v>8</v>
      </c>
      <c r="F6546" s="15" t="s">
        <v>8</v>
      </c>
      <c r="L6546" s="15" t="s">
        <v>8</v>
      </c>
      <c r="O6546" s="15" t="s">
        <v>8</v>
      </c>
      <c r="P6546" s="15" t="s">
        <v>8</v>
      </c>
      <c r="R6546" s="15" t="s">
        <v>8</v>
      </c>
      <c r="T6546" s="15" t="s">
        <v>8</v>
      </c>
      <c r="U6546" s="20" t="str">
        <f>HYPERLINK("http://yeinfo.com/family/I09066096.html", "Mrs. {_?_} HERITAGE &lt;2&gt; 1380 EN-1400 EN ID:09066095")</f>
        <v>Mrs. {_?_} HERITAGE &lt;2&gt; 1380 EN-1400 EN ID:09066095</v>
      </c>
      <c r="V6546" s="17"/>
      <c r="W6546" s="17"/>
      <c r="X6546" s="17"/>
      <c r="Y6546" s="17"/>
    </row>
    <row r="6547" spans="3:26" x14ac:dyDescent="0.35">
      <c r="C6547" s="15" t="s">
        <v>8</v>
      </c>
      <c r="F6547" s="15" t="s">
        <v>8</v>
      </c>
      <c r="L6547" s="15" t="s">
        <v>8</v>
      </c>
      <c r="O6547" s="15" t="s">
        <v>8</v>
      </c>
      <c r="P6547" s="15" t="s">
        <v>8</v>
      </c>
      <c r="R6547" s="15" t="s">
        <v>8</v>
      </c>
      <c r="T6547" s="15" t="s">
        <v>8</v>
      </c>
    </row>
    <row r="6548" spans="3:26" x14ac:dyDescent="0.35">
      <c r="C6548" s="15" t="s">
        <v>8</v>
      </c>
      <c r="F6548" s="15" t="s">
        <v>8</v>
      </c>
      <c r="L6548" s="15" t="s">
        <v>8</v>
      </c>
      <c r="O6548" s="15" t="s">
        <v>8</v>
      </c>
      <c r="P6548" s="15" t="s">
        <v>8</v>
      </c>
      <c r="R6548" s="15" t="s">
        <v>8</v>
      </c>
      <c r="S6548" s="19" t="str">
        <f>HYPERLINK("http://yeinfo.com/family/I09065651.html", "THOMAS HERITAGE &lt;2&gt; 1452 EN-1495 EN ID:09065781")</f>
        <v>THOMAS HERITAGE &lt;2&gt; 1452 EN-1495 EN ID:09065781</v>
      </c>
      <c r="T6548" s="9"/>
      <c r="U6548" s="9"/>
      <c r="V6548" s="9"/>
      <c r="W6548" s="9"/>
    </row>
    <row r="6549" spans="3:26" x14ac:dyDescent="0.35">
      <c r="C6549" s="15" t="s">
        <v>8</v>
      </c>
      <c r="F6549" s="15" t="s">
        <v>8</v>
      </c>
      <c r="L6549" s="15" t="s">
        <v>8</v>
      </c>
      <c r="O6549" s="15" t="s">
        <v>8</v>
      </c>
      <c r="P6549" s="15" t="s">
        <v>8</v>
      </c>
      <c r="R6549" s="15" t="s">
        <v>8</v>
      </c>
      <c r="S6549" s="8" t="s">
        <v>3</v>
      </c>
      <c r="T6549" s="8" t="s">
        <v>6</v>
      </c>
    </row>
    <row r="6550" spans="3:26" x14ac:dyDescent="0.35">
      <c r="C6550" s="15" t="s">
        <v>8</v>
      </c>
      <c r="F6550" s="15" t="s">
        <v>8</v>
      </c>
      <c r="L6550" s="15" t="s">
        <v>8</v>
      </c>
      <c r="O6550" s="15" t="s">
        <v>8</v>
      </c>
      <c r="P6550" s="15" t="s">
        <v>8</v>
      </c>
      <c r="R6550" s="15" t="s">
        <v>8</v>
      </c>
      <c r="S6550" s="15" t="s">
        <v>8</v>
      </c>
      <c r="T6550" s="20" t="str">
        <f>HYPERLINK("http://yeinfo.com/family/I09066095.html", "MARY TIMMS &lt;2&gt; 1410 EN-1505 EN ID:09065948")</f>
        <v>MARY TIMMS &lt;2&gt; 1410 EN-1505 EN ID:09065948</v>
      </c>
      <c r="U6550" s="17"/>
      <c r="V6550" s="17"/>
      <c r="W6550" s="17"/>
      <c r="X6550" s="17"/>
    </row>
    <row r="6551" spans="3:26" x14ac:dyDescent="0.35">
      <c r="C6551" s="15" t="s">
        <v>8</v>
      </c>
      <c r="F6551" s="15" t="s">
        <v>8</v>
      </c>
      <c r="L6551" s="15" t="s">
        <v>8</v>
      </c>
      <c r="O6551" s="15" t="s">
        <v>8</v>
      </c>
      <c r="P6551" s="15" t="s">
        <v>8</v>
      </c>
      <c r="R6551" s="8" t="s">
        <v>6</v>
      </c>
      <c r="S6551" s="15" t="s">
        <v>8</v>
      </c>
    </row>
    <row r="6552" spans="3:26" x14ac:dyDescent="0.35">
      <c r="C6552" s="15" t="s">
        <v>8</v>
      </c>
      <c r="F6552" s="15" t="s">
        <v>8</v>
      </c>
      <c r="L6552" s="15" t="s">
        <v>8</v>
      </c>
      <c r="O6552" s="15" t="s">
        <v>8</v>
      </c>
      <c r="P6552" s="15" t="s">
        <v>8</v>
      </c>
      <c r="R6552" s="20" t="str">
        <f>HYPERLINK("http://yeinfo.com/family/I09065669.html", "AGNES HERITAGE &lt;2&gt; 1478 EN-1510 EN ID:09065651")</f>
        <v>AGNES HERITAGE &lt;2&gt; 1478 EN-1510 EN ID:09065651</v>
      </c>
      <c r="S6552" s="17"/>
      <c r="T6552" s="17"/>
      <c r="U6552" s="17"/>
      <c r="V6552" s="17"/>
    </row>
    <row r="6553" spans="3:26" x14ac:dyDescent="0.35">
      <c r="C6553" s="15" t="s">
        <v>8</v>
      </c>
      <c r="F6553" s="15" t="s">
        <v>8</v>
      </c>
      <c r="L6553" s="15" t="s">
        <v>8</v>
      </c>
      <c r="O6553" s="15" t="s">
        <v>8</v>
      </c>
      <c r="P6553" s="15" t="s">
        <v>8</v>
      </c>
      <c r="S6553" s="15" t="s">
        <v>8</v>
      </c>
    </row>
    <row r="6554" spans="3:26" x14ac:dyDescent="0.35">
      <c r="C6554" s="15" t="s">
        <v>8</v>
      </c>
      <c r="F6554" s="15" t="s">
        <v>8</v>
      </c>
      <c r="L6554" s="15" t="s">
        <v>8</v>
      </c>
      <c r="O6554" s="15" t="s">
        <v>8</v>
      </c>
      <c r="P6554" s="15" t="s">
        <v>8</v>
      </c>
      <c r="S6554" s="15" t="s">
        <v>8</v>
      </c>
      <c r="V6554" s="19" t="str">
        <f>HYPERLINK("http://yeinfo.com/family/I09066113.html", "JOHN SPENCER &lt;2&gt; 1370 EN-1406 EN ID:09066308")</f>
        <v>JOHN SPENCER &lt;2&gt; 1370 EN-1406 EN ID:09066308</v>
      </c>
      <c r="W6554" s="9"/>
      <c r="X6554" s="9"/>
      <c r="Y6554" s="9"/>
      <c r="Z6554" s="9"/>
    </row>
    <row r="6555" spans="3:26" x14ac:dyDescent="0.35">
      <c r="C6555" s="15" t="s">
        <v>8</v>
      </c>
      <c r="F6555" s="15" t="s">
        <v>8</v>
      </c>
      <c r="L6555" s="15" t="s">
        <v>8</v>
      </c>
      <c r="O6555" s="15" t="s">
        <v>8</v>
      </c>
      <c r="P6555" s="15" t="s">
        <v>8</v>
      </c>
      <c r="S6555" s="15" t="s">
        <v>8</v>
      </c>
      <c r="V6555" s="8" t="s">
        <v>3</v>
      </c>
    </row>
    <row r="6556" spans="3:26" x14ac:dyDescent="0.35">
      <c r="C6556" s="15" t="s">
        <v>8</v>
      </c>
      <c r="F6556" s="15" t="s">
        <v>8</v>
      </c>
      <c r="L6556" s="15" t="s">
        <v>8</v>
      </c>
      <c r="O6556" s="15" t="s">
        <v>8</v>
      </c>
      <c r="P6556" s="15" t="s">
        <v>8</v>
      </c>
      <c r="S6556" s="15" t="s">
        <v>8</v>
      </c>
      <c r="U6556" s="19" t="str">
        <f>HYPERLINK("http://yeinfo.com/family/I09065944.html", "ROBERT SPENCER &lt;2&gt; 1406 EN-1477 EN ID:09066113")</f>
        <v>ROBERT SPENCER &lt;2&gt; 1406 EN-1477 EN ID:09066113</v>
      </c>
      <c r="V6556" s="9"/>
      <c r="W6556" s="9"/>
      <c r="X6556" s="9"/>
      <c r="Y6556" s="9"/>
    </row>
    <row r="6557" spans="3:26" x14ac:dyDescent="0.35">
      <c r="C6557" s="15" t="s">
        <v>8</v>
      </c>
      <c r="F6557" s="15" t="s">
        <v>8</v>
      </c>
      <c r="L6557" s="15" t="s">
        <v>8</v>
      </c>
      <c r="O6557" s="15" t="s">
        <v>8</v>
      </c>
      <c r="P6557" s="15" t="s">
        <v>8</v>
      </c>
      <c r="S6557" s="15" t="s">
        <v>8</v>
      </c>
      <c r="U6557" s="8" t="s">
        <v>3</v>
      </c>
      <c r="V6557" s="8" t="s">
        <v>6</v>
      </c>
    </row>
    <row r="6558" spans="3:26" x14ac:dyDescent="0.35">
      <c r="C6558" s="15" t="s">
        <v>8</v>
      </c>
      <c r="F6558" s="15" t="s">
        <v>8</v>
      </c>
      <c r="L6558" s="15" t="s">
        <v>8</v>
      </c>
      <c r="O6558" s="15" t="s">
        <v>8</v>
      </c>
      <c r="P6558" s="15" t="s">
        <v>8</v>
      </c>
      <c r="S6558" s="15" t="s">
        <v>8</v>
      </c>
      <c r="U6558" s="15" t="s">
        <v>8</v>
      </c>
      <c r="V6558" s="20" t="str">
        <f>HYPERLINK("http://yeinfo.com/family/I09066308.html", "Mrs. JONE SPENCER &lt;2&gt; 1370 EN-1406 EN ID:09066307")</f>
        <v>Mrs. JONE SPENCER &lt;2&gt; 1370 EN-1406 EN ID:09066307</v>
      </c>
      <c r="W6558" s="17"/>
      <c r="X6558" s="17"/>
      <c r="Y6558" s="17"/>
      <c r="Z6558" s="17"/>
    </row>
    <row r="6559" spans="3:26" x14ac:dyDescent="0.35">
      <c r="C6559" s="15" t="s">
        <v>8</v>
      </c>
      <c r="F6559" s="15" t="s">
        <v>8</v>
      </c>
      <c r="L6559" s="15" t="s">
        <v>8</v>
      </c>
      <c r="O6559" s="15" t="s">
        <v>8</v>
      </c>
      <c r="P6559" s="15" t="s">
        <v>8</v>
      </c>
      <c r="S6559" s="15" t="s">
        <v>8</v>
      </c>
      <c r="U6559" s="15" t="s">
        <v>8</v>
      </c>
    </row>
    <row r="6560" spans="3:26" x14ac:dyDescent="0.35">
      <c r="C6560" s="15" t="s">
        <v>8</v>
      </c>
      <c r="F6560" s="15" t="s">
        <v>8</v>
      </c>
      <c r="L6560" s="15" t="s">
        <v>8</v>
      </c>
      <c r="O6560" s="15" t="s">
        <v>8</v>
      </c>
      <c r="P6560" s="15" t="s">
        <v>8</v>
      </c>
      <c r="S6560" s="15" t="s">
        <v>8</v>
      </c>
      <c r="T6560" s="19" t="str">
        <f>HYPERLINK("http://yeinfo.com/family/I09065799.html", "JOHN SPENCER &lt;2&gt; 1434 EN-1475 EN ID:09065944")</f>
        <v>JOHN SPENCER &lt;2&gt; 1434 EN-1475 EN ID:09065944</v>
      </c>
      <c r="U6560" s="9"/>
      <c r="V6560" s="9"/>
      <c r="W6560" s="9"/>
      <c r="X6560" s="9"/>
    </row>
    <row r="6561" spans="3:27" x14ac:dyDescent="0.35">
      <c r="C6561" s="15" t="s">
        <v>8</v>
      </c>
      <c r="F6561" s="15" t="s">
        <v>8</v>
      </c>
      <c r="L6561" s="15" t="s">
        <v>8</v>
      </c>
      <c r="O6561" s="15" t="s">
        <v>8</v>
      </c>
      <c r="P6561" s="15" t="s">
        <v>8</v>
      </c>
      <c r="S6561" s="15" t="s">
        <v>8</v>
      </c>
      <c r="T6561" s="8" t="s">
        <v>3</v>
      </c>
      <c r="U6561" s="15" t="s">
        <v>8</v>
      </c>
    </row>
    <row r="6562" spans="3:27" x14ac:dyDescent="0.35">
      <c r="C6562" s="15" t="s">
        <v>8</v>
      </c>
      <c r="F6562" s="15" t="s">
        <v>8</v>
      </c>
      <c r="L6562" s="15" t="s">
        <v>8</v>
      </c>
      <c r="O6562" s="15" t="s">
        <v>8</v>
      </c>
      <c r="P6562" s="15" t="s">
        <v>8</v>
      </c>
      <c r="S6562" s="15" t="s">
        <v>8</v>
      </c>
      <c r="T6562" s="15" t="s">
        <v>8</v>
      </c>
      <c r="U6562" s="15" t="s">
        <v>8</v>
      </c>
      <c r="W6562" s="19" t="str">
        <f>HYPERLINK("http://yeinfo.com/family/I09066306.html", "JOHN JARVIS SMYTHE &lt;2&gt; 1350 EN-1387 EN ID:09066477")</f>
        <v>JOHN JARVIS SMYTHE &lt;2&gt; 1350 EN-1387 EN ID:09066477</v>
      </c>
      <c r="X6562" s="9"/>
      <c r="Y6562" s="9"/>
      <c r="Z6562" s="9"/>
      <c r="AA6562" s="9"/>
    </row>
    <row r="6563" spans="3:27" x14ac:dyDescent="0.35">
      <c r="C6563" s="15" t="s">
        <v>8</v>
      </c>
      <c r="F6563" s="15" t="s">
        <v>8</v>
      </c>
      <c r="L6563" s="15" t="s">
        <v>8</v>
      </c>
      <c r="O6563" s="15" t="s">
        <v>8</v>
      </c>
      <c r="P6563" s="15" t="s">
        <v>8</v>
      </c>
      <c r="S6563" s="15" t="s">
        <v>8</v>
      </c>
      <c r="T6563" s="15" t="s">
        <v>8</v>
      </c>
      <c r="U6563" s="15" t="s">
        <v>8</v>
      </c>
      <c r="W6563" s="8" t="s">
        <v>3</v>
      </c>
    </row>
    <row r="6564" spans="3:27" x14ac:dyDescent="0.35">
      <c r="C6564" s="15" t="s">
        <v>8</v>
      </c>
      <c r="F6564" s="15" t="s">
        <v>8</v>
      </c>
      <c r="L6564" s="15" t="s">
        <v>8</v>
      </c>
      <c r="O6564" s="15" t="s">
        <v>8</v>
      </c>
      <c r="P6564" s="15" t="s">
        <v>8</v>
      </c>
      <c r="S6564" s="15" t="s">
        <v>8</v>
      </c>
      <c r="T6564" s="15" t="s">
        <v>8</v>
      </c>
      <c r="U6564" s="15" t="s">
        <v>8</v>
      </c>
      <c r="V6564" s="19" t="str">
        <f>HYPERLINK("http://yeinfo.com/family/I09066112.html", "JOHN SMYTHE &lt;2&gt; 1387 EN-1423 EN ID:09066306")</f>
        <v>JOHN SMYTHE &lt;2&gt; 1387 EN-1423 EN ID:09066306</v>
      </c>
      <c r="W6564" s="9"/>
      <c r="X6564" s="9"/>
      <c r="Y6564" s="9"/>
      <c r="Z6564" s="9"/>
    </row>
    <row r="6565" spans="3:27" x14ac:dyDescent="0.35">
      <c r="C6565" s="15" t="s">
        <v>8</v>
      </c>
      <c r="F6565" s="15" t="s">
        <v>8</v>
      </c>
      <c r="L6565" s="15" t="s">
        <v>8</v>
      </c>
      <c r="O6565" s="15" t="s">
        <v>8</v>
      </c>
      <c r="P6565" s="15" t="s">
        <v>8</v>
      </c>
      <c r="S6565" s="15" t="s">
        <v>8</v>
      </c>
      <c r="T6565" s="15" t="s">
        <v>8</v>
      </c>
      <c r="U6565" s="15" t="s">
        <v>8</v>
      </c>
      <c r="V6565" s="8" t="s">
        <v>3</v>
      </c>
      <c r="W6565" s="8" t="s">
        <v>6</v>
      </c>
    </row>
    <row r="6566" spans="3:27" x14ac:dyDescent="0.35">
      <c r="C6566" s="15" t="s">
        <v>8</v>
      </c>
      <c r="F6566" s="15" t="s">
        <v>8</v>
      </c>
      <c r="L6566" s="15" t="s">
        <v>8</v>
      </c>
      <c r="O6566" s="15" t="s">
        <v>8</v>
      </c>
      <c r="P6566" s="15" t="s">
        <v>8</v>
      </c>
      <c r="S6566" s="15" t="s">
        <v>8</v>
      </c>
      <c r="T6566" s="15" t="s">
        <v>8</v>
      </c>
      <c r="U6566" s="15" t="s">
        <v>8</v>
      </c>
      <c r="V6566" s="15" t="s">
        <v>8</v>
      </c>
      <c r="W6566" s="20" t="str">
        <f>HYPERLINK("http://yeinfo.com/family/I09066477.html", "ANNE GARVAYS &lt;2&gt; 1350 EN-1387 EN ID:09066462")</f>
        <v>ANNE GARVAYS &lt;2&gt; 1350 EN-1387 EN ID:09066462</v>
      </c>
      <c r="X6566" s="17"/>
      <c r="Y6566" s="17"/>
      <c r="Z6566" s="17"/>
      <c r="AA6566" s="17"/>
    </row>
    <row r="6567" spans="3:27" x14ac:dyDescent="0.35">
      <c r="C6567" s="15" t="s">
        <v>8</v>
      </c>
      <c r="F6567" s="15" t="s">
        <v>8</v>
      </c>
      <c r="L6567" s="15" t="s">
        <v>8</v>
      </c>
      <c r="O6567" s="15" t="s">
        <v>8</v>
      </c>
      <c r="P6567" s="15" t="s">
        <v>8</v>
      </c>
      <c r="S6567" s="15" t="s">
        <v>8</v>
      </c>
      <c r="T6567" s="15" t="s">
        <v>8</v>
      </c>
      <c r="U6567" s="8" t="s">
        <v>6</v>
      </c>
      <c r="V6567" s="15" t="s">
        <v>8</v>
      </c>
    </row>
    <row r="6568" spans="3:27" x14ac:dyDescent="0.35">
      <c r="C6568" s="15" t="s">
        <v>8</v>
      </c>
      <c r="F6568" s="15" t="s">
        <v>8</v>
      </c>
      <c r="L6568" s="15" t="s">
        <v>8</v>
      </c>
      <c r="O6568" s="15" t="s">
        <v>8</v>
      </c>
      <c r="P6568" s="15" t="s">
        <v>8</v>
      </c>
      <c r="S6568" s="15" t="s">
        <v>8</v>
      </c>
      <c r="T6568" s="15" t="s">
        <v>8</v>
      </c>
      <c r="U6568" s="20" t="str">
        <f>HYPERLINK("http://yeinfo.com/family/I09066307.html", "ANNE FOCKE SMYTHE &lt;2&gt; 1410 EN-1504 EN ID:09066112")</f>
        <v>ANNE FOCKE SMYTHE &lt;2&gt; 1410 EN-1504 EN ID:09066112</v>
      </c>
      <c r="V6568" s="17"/>
      <c r="W6568" s="17"/>
      <c r="X6568" s="17"/>
      <c r="Y6568" s="17"/>
    </row>
    <row r="6569" spans="3:27" x14ac:dyDescent="0.35">
      <c r="C6569" s="15" t="s">
        <v>8</v>
      </c>
      <c r="F6569" s="15" t="s">
        <v>8</v>
      </c>
      <c r="L6569" s="15" t="s">
        <v>8</v>
      </c>
      <c r="O6569" s="15" t="s">
        <v>8</v>
      </c>
      <c r="P6569" s="15" t="s">
        <v>8</v>
      </c>
      <c r="S6569" s="15" t="s">
        <v>8</v>
      </c>
      <c r="T6569" s="15" t="s">
        <v>8</v>
      </c>
      <c r="V6569" s="15" t="s">
        <v>8</v>
      </c>
    </row>
    <row r="6570" spans="3:27" x14ac:dyDescent="0.35">
      <c r="C6570" s="15" t="s">
        <v>8</v>
      </c>
      <c r="F6570" s="15" t="s">
        <v>8</v>
      </c>
      <c r="L6570" s="15" t="s">
        <v>8</v>
      </c>
      <c r="O6570" s="15" t="s">
        <v>8</v>
      </c>
      <c r="P6570" s="15" t="s">
        <v>8</v>
      </c>
      <c r="S6570" s="15" t="s">
        <v>8</v>
      </c>
      <c r="T6570" s="15" t="s">
        <v>8</v>
      </c>
      <c r="V6570" s="15" t="s">
        <v>8</v>
      </c>
      <c r="W6570" s="19" t="str">
        <f>HYPERLINK("http://yeinfo.com/family/I09066280.html", "JOHN BINN &lt;2&gt; 1370 EN-1433 EN ID:09066443")</f>
        <v>JOHN BINN &lt;2&gt; 1370 EN-1433 EN ID:09066443</v>
      </c>
      <c r="X6570" s="9"/>
      <c r="Y6570" s="9"/>
      <c r="Z6570" s="9"/>
      <c r="AA6570" s="9"/>
    </row>
    <row r="6571" spans="3:27" x14ac:dyDescent="0.35">
      <c r="C6571" s="15" t="s">
        <v>8</v>
      </c>
      <c r="F6571" s="15" t="s">
        <v>8</v>
      </c>
      <c r="L6571" s="15" t="s">
        <v>8</v>
      </c>
      <c r="O6571" s="15" t="s">
        <v>8</v>
      </c>
      <c r="P6571" s="15" t="s">
        <v>8</v>
      </c>
      <c r="S6571" s="15" t="s">
        <v>8</v>
      </c>
      <c r="T6571" s="15" t="s">
        <v>8</v>
      </c>
      <c r="V6571" s="8" t="s">
        <v>6</v>
      </c>
      <c r="W6571" s="8" t="s">
        <v>3</v>
      </c>
    </row>
    <row r="6572" spans="3:27" x14ac:dyDescent="0.35">
      <c r="C6572" s="15" t="s">
        <v>8</v>
      </c>
      <c r="F6572" s="15" t="s">
        <v>8</v>
      </c>
      <c r="L6572" s="15" t="s">
        <v>8</v>
      </c>
      <c r="O6572" s="15" t="s">
        <v>8</v>
      </c>
      <c r="P6572" s="15" t="s">
        <v>8</v>
      </c>
      <c r="S6572" s="15" t="s">
        <v>8</v>
      </c>
      <c r="T6572" s="15" t="s">
        <v>8</v>
      </c>
      <c r="V6572" s="20" t="str">
        <f>HYPERLINK("http://yeinfo.com/family/I09066462.html", "JOAN BINN &lt;2&gt; 1390 EN-1421 EN ID:09066280")</f>
        <v>JOAN BINN &lt;2&gt; 1390 EN-1421 EN ID:09066280</v>
      </c>
      <c r="W6572" s="17"/>
      <c r="X6572" s="17"/>
      <c r="Y6572" s="17"/>
      <c r="Z6572" s="17"/>
    </row>
    <row r="6573" spans="3:27" x14ac:dyDescent="0.35">
      <c r="C6573" s="15" t="s">
        <v>8</v>
      </c>
      <c r="F6573" s="15" t="s">
        <v>8</v>
      </c>
      <c r="L6573" s="15" t="s">
        <v>8</v>
      </c>
      <c r="O6573" s="15" t="s">
        <v>8</v>
      </c>
      <c r="P6573" s="15" t="s">
        <v>8</v>
      </c>
      <c r="S6573" s="15" t="s">
        <v>8</v>
      </c>
      <c r="T6573" s="15" t="s">
        <v>8</v>
      </c>
      <c r="W6573" s="8" t="s">
        <v>6</v>
      </c>
    </row>
    <row r="6574" spans="3:27" x14ac:dyDescent="0.35">
      <c r="C6574" s="15" t="s">
        <v>8</v>
      </c>
      <c r="F6574" s="15" t="s">
        <v>8</v>
      </c>
      <c r="L6574" s="15" t="s">
        <v>8</v>
      </c>
      <c r="O6574" s="15" t="s">
        <v>8</v>
      </c>
      <c r="P6574" s="15" t="s">
        <v>8</v>
      </c>
      <c r="S6574" s="15" t="s">
        <v>8</v>
      </c>
      <c r="T6574" s="15" t="s">
        <v>8</v>
      </c>
      <c r="W6574" s="20" t="str">
        <f>HYPERLINK("http://yeinfo.com/family/I09066443.html", "JOELEAN WALTHERS &lt;2&gt; 1372 EN-1421 EN ID:09066484")</f>
        <v>JOELEAN WALTHERS &lt;2&gt; 1372 EN-1421 EN ID:09066484</v>
      </c>
      <c r="X6574" s="17"/>
      <c r="Y6574" s="17"/>
      <c r="Z6574" s="17"/>
      <c r="AA6574" s="17"/>
    </row>
    <row r="6575" spans="3:27" x14ac:dyDescent="0.35">
      <c r="C6575" s="15" t="s">
        <v>8</v>
      </c>
      <c r="F6575" s="15" t="s">
        <v>8</v>
      </c>
      <c r="L6575" s="15" t="s">
        <v>8</v>
      </c>
      <c r="O6575" s="15" t="s">
        <v>8</v>
      </c>
      <c r="P6575" s="15" t="s">
        <v>8</v>
      </c>
      <c r="S6575" s="8" t="s">
        <v>6</v>
      </c>
      <c r="T6575" s="15" t="s">
        <v>8</v>
      </c>
    </row>
    <row r="6576" spans="3:27" x14ac:dyDescent="0.35">
      <c r="C6576" s="15" t="s">
        <v>8</v>
      </c>
      <c r="F6576" s="15" t="s">
        <v>8</v>
      </c>
      <c r="L6576" s="15" t="s">
        <v>8</v>
      </c>
      <c r="O6576" s="15" t="s">
        <v>8</v>
      </c>
      <c r="P6576" s="15" t="s">
        <v>8</v>
      </c>
      <c r="S6576" s="20" t="str">
        <f>HYPERLINK("http://yeinfo.com/family/I09065948.html", "DOROTHY SPENCER &lt;2&gt; 1455 EN-1505 EN ID:09065799")</f>
        <v>DOROTHY SPENCER &lt;2&gt; 1455 EN-1505 EN ID:09065799</v>
      </c>
      <c r="T6576" s="17"/>
      <c r="U6576" s="17"/>
      <c r="V6576" s="17"/>
      <c r="W6576" s="17"/>
    </row>
    <row r="6577" spans="3:24" x14ac:dyDescent="0.35">
      <c r="C6577" s="15" t="s">
        <v>8</v>
      </c>
      <c r="F6577" s="15" t="s">
        <v>8</v>
      </c>
      <c r="L6577" s="15" t="s">
        <v>8</v>
      </c>
      <c r="O6577" s="15" t="s">
        <v>8</v>
      </c>
      <c r="P6577" s="15" t="s">
        <v>8</v>
      </c>
      <c r="T6577" s="8" t="s">
        <v>6</v>
      </c>
    </row>
    <row r="6578" spans="3:24" x14ac:dyDescent="0.35">
      <c r="C6578" s="15" t="s">
        <v>8</v>
      </c>
      <c r="F6578" s="15" t="s">
        <v>8</v>
      </c>
      <c r="L6578" s="15" t="s">
        <v>8</v>
      </c>
      <c r="O6578" s="15" t="s">
        <v>8</v>
      </c>
      <c r="P6578" s="15" t="s">
        <v>8</v>
      </c>
      <c r="T6578" s="20" t="str">
        <f>HYPERLINK("http://yeinfo.com/family/I09066484.html", "ISABEL LINCOLN &lt;2&gt; 1434 EN-1455 EN ID:09065930")</f>
        <v>ISABEL LINCOLN &lt;2&gt; 1434 EN-1455 EN ID:09065930</v>
      </c>
      <c r="U6578" s="17"/>
      <c r="V6578" s="17"/>
      <c r="W6578" s="17"/>
      <c r="X6578" s="17"/>
    </row>
    <row r="6579" spans="3:24" x14ac:dyDescent="0.35">
      <c r="C6579" s="15" t="s">
        <v>8</v>
      </c>
      <c r="F6579" s="15" t="s">
        <v>8</v>
      </c>
      <c r="L6579" s="15" t="s">
        <v>8</v>
      </c>
      <c r="O6579" s="8" t="s">
        <v>6</v>
      </c>
      <c r="P6579" s="15" t="s">
        <v>8</v>
      </c>
    </row>
    <row r="6580" spans="3:24" x14ac:dyDescent="0.35">
      <c r="C6580" s="15" t="s">
        <v>8</v>
      </c>
      <c r="F6580" s="15" t="s">
        <v>8</v>
      </c>
      <c r="L6580" s="15" t="s">
        <v>8</v>
      </c>
      <c r="O6580" s="20" t="str">
        <f>HYPERLINK("http://yeinfo.com/family/I09023565.html", "SARAH CUTTER LOCKE &lt;2&gt; 1574 EN-1625 EN ID:09011783")</f>
        <v>SARAH CUTTER LOCKE &lt;2&gt; 1574 EN-1625 EN ID:09011783</v>
      </c>
      <c r="P6580" s="17"/>
      <c r="Q6580" s="17"/>
      <c r="R6580" s="17"/>
      <c r="S6580" s="17"/>
    </row>
    <row r="6581" spans="3:24" x14ac:dyDescent="0.35">
      <c r="C6581" s="15" t="s">
        <v>8</v>
      </c>
      <c r="F6581" s="15" t="s">
        <v>8</v>
      </c>
      <c r="L6581" s="15" t="s">
        <v>8</v>
      </c>
      <c r="P6581" s="15" t="s">
        <v>8</v>
      </c>
    </row>
    <row r="6582" spans="3:24" x14ac:dyDescent="0.35">
      <c r="C6582" s="15" t="s">
        <v>8</v>
      </c>
      <c r="F6582" s="15" t="s">
        <v>8</v>
      </c>
      <c r="L6582" s="15" t="s">
        <v>8</v>
      </c>
      <c r="P6582" s="15" t="s">
        <v>8</v>
      </c>
      <c r="Q6582" s="19" t="str">
        <f>HYPERLINK("http://yeinfo.com/family/I09023567.html", "WILLIAM WILKINSON &lt;2&gt; 1481 EN-1530 EN ID:09047134")</f>
        <v>WILLIAM WILKINSON &lt;2&gt; 1481 EN-1530 EN ID:09047134</v>
      </c>
      <c r="R6582" s="9"/>
      <c r="S6582" s="9"/>
      <c r="T6582" s="9"/>
      <c r="U6582" s="9"/>
    </row>
    <row r="6583" spans="3:24" x14ac:dyDescent="0.35">
      <c r="C6583" s="15" t="s">
        <v>8</v>
      </c>
      <c r="F6583" s="15" t="s">
        <v>8</v>
      </c>
      <c r="L6583" s="15" t="s">
        <v>8</v>
      </c>
      <c r="P6583" s="8" t="s">
        <v>6</v>
      </c>
      <c r="Q6583" s="8" t="s">
        <v>3</v>
      </c>
    </row>
    <row r="6584" spans="3:24" x14ac:dyDescent="0.35">
      <c r="C6584" s="15" t="s">
        <v>8</v>
      </c>
      <c r="F6584" s="15" t="s">
        <v>8</v>
      </c>
      <c r="L6584" s="15" t="s">
        <v>8</v>
      </c>
      <c r="P6584" s="20" t="str">
        <f>HYPERLINK("http://yeinfo.com/family/I09065930.html", "JANE WILKINSON &lt;2&gt; 1520 EN-1577 EN ID:09023567")</f>
        <v>JANE WILKINSON &lt;2&gt; 1520 EN-1577 EN ID:09023567</v>
      </c>
      <c r="Q6584" s="17"/>
      <c r="R6584" s="17"/>
      <c r="S6584" s="17"/>
      <c r="T6584" s="17"/>
    </row>
    <row r="6585" spans="3:24" x14ac:dyDescent="0.35">
      <c r="C6585" s="15" t="s">
        <v>8</v>
      </c>
      <c r="F6585" s="15" t="s">
        <v>8</v>
      </c>
      <c r="L6585" s="15" t="s">
        <v>8</v>
      </c>
      <c r="Q6585" s="8" t="s">
        <v>6</v>
      </c>
    </row>
    <row r="6586" spans="3:24" x14ac:dyDescent="0.35">
      <c r="C6586" s="15" t="s">
        <v>8</v>
      </c>
      <c r="F6586" s="15" t="s">
        <v>8</v>
      </c>
      <c r="L6586" s="15" t="s">
        <v>8</v>
      </c>
      <c r="Q6586" s="20" t="str">
        <f>HYPERLINK("http://yeinfo.com/family/I09047134.html", "JANE MERCER &lt;2&gt; 1505 EN-1539 EN ID:09047135")</f>
        <v>JANE MERCER &lt;2&gt; 1505 EN-1539 EN ID:09047135</v>
      </c>
      <c r="R6586" s="17"/>
      <c r="S6586" s="17"/>
      <c r="T6586" s="17"/>
      <c r="U6586" s="17"/>
    </row>
    <row r="6587" spans="3:24" x14ac:dyDescent="0.35">
      <c r="C6587" s="15" t="s">
        <v>8</v>
      </c>
      <c r="F6587" s="15" t="s">
        <v>8</v>
      </c>
      <c r="L6587" s="15" t="s">
        <v>8</v>
      </c>
    </row>
    <row r="6588" spans="3:24" x14ac:dyDescent="0.35">
      <c r="C6588" s="15" t="s">
        <v>8</v>
      </c>
      <c r="F6588" s="15" t="s">
        <v>8</v>
      </c>
      <c r="K6588" s="5" t="str">
        <f>HYPERLINK("http://yeinfo.com/family/I09000368.html", "THOMAS MILLER Jr. &lt;2&gt; 1693 MA-1759 MA ID:09000736")</f>
        <v>THOMAS MILLER Jr. &lt;2&gt; 1693 MA-1759 MA ID:09000736</v>
      </c>
      <c r="L6588" s="3"/>
      <c r="M6588" s="3"/>
      <c r="N6588" s="3"/>
      <c r="O6588" s="3"/>
    </row>
    <row r="6589" spans="3:24" x14ac:dyDescent="0.35">
      <c r="C6589" s="15" t="s">
        <v>8</v>
      </c>
      <c r="F6589" s="15" t="s">
        <v>8</v>
      </c>
      <c r="K6589" s="8" t="s">
        <v>3</v>
      </c>
      <c r="L6589" s="15" t="s">
        <v>8</v>
      </c>
    </row>
    <row r="6590" spans="3:24" x14ac:dyDescent="0.35">
      <c r="C6590" s="15" t="s">
        <v>8</v>
      </c>
      <c r="F6590" s="15" t="s">
        <v>8</v>
      </c>
      <c r="K6590" s="15" t="s">
        <v>8</v>
      </c>
      <c r="L6590" s="15" t="s">
        <v>8</v>
      </c>
      <c r="P6590" s="19" t="str">
        <f>HYPERLINK("http://yeinfo.com/family/I09011784.html", "JOHN BEAMOND II &lt;2&gt; 1520 EN-1584 EN ID:09023568")</f>
        <v>JOHN BEAMOND II &lt;2&gt; 1520 EN-1584 EN ID:09023568</v>
      </c>
      <c r="Q6590" s="9"/>
      <c r="R6590" s="9"/>
      <c r="S6590" s="9"/>
      <c r="T6590" s="9"/>
    </row>
    <row r="6591" spans="3:24" x14ac:dyDescent="0.35">
      <c r="C6591" s="15" t="s">
        <v>8</v>
      </c>
      <c r="F6591" s="15" t="s">
        <v>8</v>
      </c>
      <c r="K6591" s="15" t="s">
        <v>8</v>
      </c>
      <c r="L6591" s="15" t="s">
        <v>8</v>
      </c>
      <c r="P6591" s="8" t="s">
        <v>3</v>
      </c>
    </row>
    <row r="6592" spans="3:24" x14ac:dyDescent="0.35">
      <c r="C6592" s="15" t="s">
        <v>8</v>
      </c>
      <c r="F6592" s="15" t="s">
        <v>8</v>
      </c>
      <c r="K6592" s="15" t="s">
        <v>8</v>
      </c>
      <c r="L6592" s="15" t="s">
        <v>8</v>
      </c>
      <c r="O6592" s="19" t="str">
        <f>HYPERLINK("http://yeinfo.com/family/I09005892.html", "WILLIAM BEAMOND &lt;2&gt; 1550 EN-1589 EN ID:09011784")</f>
        <v>WILLIAM BEAMOND &lt;2&gt; 1550 EN-1589 EN ID:09011784</v>
      </c>
      <c r="P6592" s="9"/>
      <c r="Q6592" s="9"/>
      <c r="R6592" s="9"/>
      <c r="S6592" s="9"/>
    </row>
    <row r="6593" spans="3:20" x14ac:dyDescent="0.35">
      <c r="C6593" s="15" t="s">
        <v>8</v>
      </c>
      <c r="F6593" s="15" t="s">
        <v>8</v>
      </c>
      <c r="K6593" s="15" t="s">
        <v>8</v>
      </c>
      <c r="L6593" s="15" t="s">
        <v>8</v>
      </c>
      <c r="O6593" s="8" t="s">
        <v>3</v>
      </c>
      <c r="P6593" s="8" t="s">
        <v>6</v>
      </c>
    </row>
    <row r="6594" spans="3:20" x14ac:dyDescent="0.35">
      <c r="C6594" s="15" t="s">
        <v>8</v>
      </c>
      <c r="F6594" s="15" t="s">
        <v>8</v>
      </c>
      <c r="K6594" s="15" t="s">
        <v>8</v>
      </c>
      <c r="L6594" s="15" t="s">
        <v>8</v>
      </c>
      <c r="O6594" s="15" t="s">
        <v>8</v>
      </c>
      <c r="P6594" s="20" t="str">
        <f>HYPERLINK("http://yeinfo.com/family/I09023568.html", "MARGARET WHITE &lt;2&gt; 1524 EN-1550 EN ID:09023569")</f>
        <v>MARGARET WHITE &lt;2&gt; 1524 EN-1550 EN ID:09023569</v>
      </c>
      <c r="Q6594" s="17"/>
      <c r="R6594" s="17"/>
      <c r="S6594" s="17"/>
      <c r="T6594" s="17"/>
    </row>
    <row r="6595" spans="3:20" x14ac:dyDescent="0.35">
      <c r="C6595" s="15" t="s">
        <v>8</v>
      </c>
      <c r="F6595" s="15" t="s">
        <v>8</v>
      </c>
      <c r="K6595" s="15" t="s">
        <v>8</v>
      </c>
      <c r="L6595" s="15" t="s">
        <v>8</v>
      </c>
      <c r="O6595" s="15" t="s">
        <v>8</v>
      </c>
    </row>
    <row r="6596" spans="3:20" x14ac:dyDescent="0.35">
      <c r="C6596" s="15" t="s">
        <v>8</v>
      </c>
      <c r="F6596" s="15" t="s">
        <v>8</v>
      </c>
      <c r="K6596" s="15" t="s">
        <v>8</v>
      </c>
      <c r="L6596" s="15" t="s">
        <v>8</v>
      </c>
      <c r="N6596" s="19" t="str">
        <f>HYPERLINK("http://yeinfo.com/family/I09002946.html", "ADAM BEAMOND &lt;2&gt; 1570 EN-1656 EN ID:09005892")</f>
        <v>ADAM BEAMOND &lt;2&gt; 1570 EN-1656 EN ID:09005892</v>
      </c>
      <c r="O6596" s="9"/>
      <c r="P6596" s="9"/>
      <c r="Q6596" s="9"/>
      <c r="R6596" s="9"/>
    </row>
    <row r="6597" spans="3:20" x14ac:dyDescent="0.35">
      <c r="C6597" s="15" t="s">
        <v>8</v>
      </c>
      <c r="F6597" s="15" t="s">
        <v>8</v>
      </c>
      <c r="K6597" s="15" t="s">
        <v>8</v>
      </c>
      <c r="L6597" s="15" t="s">
        <v>8</v>
      </c>
      <c r="N6597" s="8" t="s">
        <v>3</v>
      </c>
      <c r="O6597" s="8" t="s">
        <v>6</v>
      </c>
    </row>
    <row r="6598" spans="3:20" x14ac:dyDescent="0.35">
      <c r="C6598" s="15" t="s">
        <v>8</v>
      </c>
      <c r="F6598" s="15" t="s">
        <v>8</v>
      </c>
      <c r="K6598" s="15" t="s">
        <v>8</v>
      </c>
      <c r="L6598" s="15" t="s">
        <v>8</v>
      </c>
      <c r="N6598" s="15" t="s">
        <v>8</v>
      </c>
      <c r="O6598" s="20" t="str">
        <f>HYPERLINK("http://yeinfo.com/family/I09023569.html", "ISABEL WILINGTON &lt;2&gt; 1550 EN-1570 EN ID:09011785")</f>
        <v>ISABEL WILINGTON &lt;2&gt; 1550 EN-1570 EN ID:09011785</v>
      </c>
      <c r="P6598" s="17"/>
      <c r="Q6598" s="17"/>
      <c r="R6598" s="17"/>
      <c r="S6598" s="17"/>
    </row>
    <row r="6599" spans="3:20" x14ac:dyDescent="0.35">
      <c r="C6599" s="15" t="s">
        <v>8</v>
      </c>
      <c r="F6599" s="15" t="s">
        <v>8</v>
      </c>
      <c r="K6599" s="15" t="s">
        <v>8</v>
      </c>
      <c r="L6599" s="15" t="s">
        <v>8</v>
      </c>
      <c r="N6599" s="15" t="s">
        <v>8</v>
      </c>
    </row>
    <row r="6600" spans="3:20" x14ac:dyDescent="0.35">
      <c r="C6600" s="15" t="s">
        <v>8</v>
      </c>
      <c r="F6600" s="15" t="s">
        <v>8</v>
      </c>
      <c r="K6600" s="15" t="s">
        <v>8</v>
      </c>
      <c r="L6600" s="15" t="s">
        <v>8</v>
      </c>
      <c r="M6600" s="21" t="str">
        <f>HYPERLINK("http://yeinfo.com/family/I09001473.html", "SIMON BEAMOND &lt;2&gt; 1627 EN-1676 MA ID:09002946")</f>
        <v>SIMON BEAMOND &lt;2&gt; 1627 EN-1676 MA ID:09002946</v>
      </c>
      <c r="N6600" s="6"/>
      <c r="O6600" s="6"/>
      <c r="P6600" s="6"/>
      <c r="Q6600" s="6"/>
    </row>
    <row r="6601" spans="3:20" x14ac:dyDescent="0.35">
      <c r="C6601" s="15" t="s">
        <v>8</v>
      </c>
      <c r="F6601" s="15" t="s">
        <v>8</v>
      </c>
      <c r="K6601" s="15" t="s">
        <v>8</v>
      </c>
      <c r="L6601" s="15" t="s">
        <v>8</v>
      </c>
      <c r="M6601" s="8" t="s">
        <v>3</v>
      </c>
      <c r="N6601" s="8" t="s">
        <v>6</v>
      </c>
    </row>
    <row r="6602" spans="3:20" x14ac:dyDescent="0.35">
      <c r="C6602" s="15" t="s">
        <v>8</v>
      </c>
      <c r="F6602" s="15" t="s">
        <v>8</v>
      </c>
      <c r="K6602" s="15" t="s">
        <v>8</v>
      </c>
      <c r="L6602" s="15" t="s">
        <v>8</v>
      </c>
      <c r="M6602" s="15" t="s">
        <v>8</v>
      </c>
      <c r="N6602" s="20" t="str">
        <f>HYPERLINK("http://yeinfo.com/family/I09011785.html", "HELENA KNIGHTSFORD &lt;2&gt; 1575 EN-1629 EN ID:09005893")</f>
        <v>HELENA KNIGHTSFORD &lt;2&gt; 1575 EN-1629 EN ID:09005893</v>
      </c>
      <c r="O6602" s="17"/>
      <c r="P6602" s="17"/>
      <c r="Q6602" s="17"/>
      <c r="R6602" s="17"/>
    </row>
    <row r="6603" spans="3:20" x14ac:dyDescent="0.35">
      <c r="C6603" s="15" t="s">
        <v>8</v>
      </c>
      <c r="F6603" s="15" t="s">
        <v>8</v>
      </c>
      <c r="K6603" s="15" t="s">
        <v>8</v>
      </c>
      <c r="L6603" s="8" t="s">
        <v>6</v>
      </c>
      <c r="M6603" s="15" t="s">
        <v>8</v>
      </c>
    </row>
    <row r="6604" spans="3:20" x14ac:dyDescent="0.35">
      <c r="C6604" s="15" t="s">
        <v>8</v>
      </c>
      <c r="F6604" s="15" t="s">
        <v>8</v>
      </c>
      <c r="K6604" s="15" t="s">
        <v>8</v>
      </c>
      <c r="L6604" s="16" t="str">
        <f>HYPERLINK("http://yeinfo.com/family/I09047135.html", "RUTH BEAMOND &lt;2&gt; 1660 MA-1704 MA ID:09001473")</f>
        <v>RUTH BEAMOND &lt;2&gt; 1660 MA-1704 MA ID:09001473</v>
      </c>
      <c r="M6604" s="11"/>
      <c r="N6604" s="11"/>
      <c r="O6604" s="11"/>
      <c r="P6604" s="11"/>
    </row>
    <row r="6605" spans="3:20" x14ac:dyDescent="0.35">
      <c r="C6605" s="15" t="s">
        <v>8</v>
      </c>
      <c r="F6605" s="15" t="s">
        <v>8</v>
      </c>
      <c r="K6605" s="15" t="s">
        <v>8</v>
      </c>
      <c r="M6605" s="15" t="s">
        <v>8</v>
      </c>
    </row>
    <row r="6606" spans="3:20" x14ac:dyDescent="0.35">
      <c r="C6606" s="15" t="s">
        <v>8</v>
      </c>
      <c r="F6606" s="15" t="s">
        <v>8</v>
      </c>
      <c r="K6606" s="15" t="s">
        <v>8</v>
      </c>
      <c r="M6606" s="15" t="s">
        <v>8</v>
      </c>
      <c r="N6606" s="21" t="str">
        <f>HYPERLINK("http://yeinfo.com/family/I09002947.html", "JOHN YOUNG &lt;2&gt; 1600 EN-1661 CT ID:09005894")</f>
        <v>JOHN YOUNG &lt;2&gt; 1600 EN-1661 CT ID:09005894</v>
      </c>
      <c r="O6606" s="6"/>
      <c r="P6606" s="6"/>
      <c r="Q6606" s="6"/>
      <c r="R6606" s="6"/>
    </row>
    <row r="6607" spans="3:20" x14ac:dyDescent="0.35">
      <c r="C6607" s="15" t="s">
        <v>8</v>
      </c>
      <c r="F6607" s="15" t="s">
        <v>8</v>
      </c>
      <c r="K6607" s="15" t="s">
        <v>8</v>
      </c>
      <c r="M6607" s="8" t="s">
        <v>6</v>
      </c>
      <c r="N6607" s="8" t="s">
        <v>3</v>
      </c>
    </row>
    <row r="6608" spans="3:20" x14ac:dyDescent="0.35">
      <c r="C6608" s="15" t="s">
        <v>8</v>
      </c>
      <c r="F6608" s="15" t="s">
        <v>8</v>
      </c>
      <c r="K6608" s="15" t="s">
        <v>8</v>
      </c>
      <c r="M6608" s="16" t="str">
        <f>HYPERLINK("http://yeinfo.com/family/I09005893.html", "ALICE YOUNG &lt;2&gt; 1634 CT-1708 MA ID:09002947")</f>
        <v>ALICE YOUNG &lt;2&gt; 1634 CT-1708 MA ID:09002947</v>
      </c>
      <c r="N6608" s="11"/>
      <c r="O6608" s="11"/>
      <c r="P6608" s="11"/>
      <c r="Q6608" s="11"/>
    </row>
    <row r="6609" spans="3:20" x14ac:dyDescent="0.35">
      <c r="C6609" s="15" t="s">
        <v>8</v>
      </c>
      <c r="F6609" s="15" t="s">
        <v>8</v>
      </c>
      <c r="K6609" s="15" t="s">
        <v>8</v>
      </c>
      <c r="N6609" s="8" t="s">
        <v>6</v>
      </c>
    </row>
    <row r="6610" spans="3:20" x14ac:dyDescent="0.35">
      <c r="C6610" s="15" t="s">
        <v>8</v>
      </c>
      <c r="F6610" s="15" t="s">
        <v>8</v>
      </c>
      <c r="K6610" s="15" t="s">
        <v>8</v>
      </c>
      <c r="N6610" s="22" t="str">
        <f>HYPERLINK("http://yeinfo.com/family/I09005894.html", "Mrs. ALICE YOUNG &lt;2&gt; 1600 EN-1647 CT ID:09005895")</f>
        <v>Mrs. ALICE YOUNG &lt;2&gt; 1600 EN-1647 CT ID:09005895</v>
      </c>
      <c r="O6610" s="13"/>
      <c r="P6610" s="13"/>
      <c r="Q6610" s="13"/>
      <c r="R6610" s="13"/>
    </row>
    <row r="6611" spans="3:20" x14ac:dyDescent="0.35">
      <c r="C6611" s="15" t="s">
        <v>8</v>
      </c>
      <c r="F6611" s="15" t="s">
        <v>8</v>
      </c>
      <c r="K6611" s="15" t="s">
        <v>8</v>
      </c>
    </row>
    <row r="6612" spans="3:20" x14ac:dyDescent="0.35">
      <c r="C6612" s="15" t="s">
        <v>8</v>
      </c>
      <c r="F6612" s="15" t="s">
        <v>8</v>
      </c>
      <c r="J6612" s="5" t="str">
        <f>HYPERLINK("http://yeinfo.com/family/I09000184.html", "DAVID MILLER Sr. &lt;2&gt; 1736 MA-1808 VT ID:09000368")</f>
        <v>DAVID MILLER Sr. &lt;2&gt; 1736 MA-1808 VT ID:09000368</v>
      </c>
      <c r="K6612" s="3"/>
      <c r="L6612" s="3"/>
      <c r="M6612" s="3"/>
      <c r="N6612" s="3"/>
    </row>
    <row r="6613" spans="3:20" x14ac:dyDescent="0.35">
      <c r="C6613" s="15" t="s">
        <v>8</v>
      </c>
      <c r="F6613" s="15" t="s">
        <v>8</v>
      </c>
      <c r="J6613" s="8" t="s">
        <v>3</v>
      </c>
      <c r="K6613" s="15" t="s">
        <v>8</v>
      </c>
    </row>
    <row r="6614" spans="3:20" x14ac:dyDescent="0.35">
      <c r="C6614" s="15" t="s">
        <v>8</v>
      </c>
      <c r="F6614" s="15" t="s">
        <v>8</v>
      </c>
      <c r="J6614" s="15" t="s">
        <v>8</v>
      </c>
      <c r="K6614" s="15" t="s">
        <v>8</v>
      </c>
      <c r="P6614" s="19" t="str">
        <f>HYPERLINK("http://yeinfo.com/family/I09011792.html", "THOMAS MEEKINS &lt;4&gt; 1550 EN-1646 EN ID:09023584")</f>
        <v>THOMAS MEEKINS &lt;4&gt; 1550 EN-1646 EN ID:09023584</v>
      </c>
      <c r="Q6614" s="9"/>
      <c r="R6614" s="9"/>
      <c r="S6614" s="9"/>
      <c r="T6614" s="9"/>
    </row>
    <row r="6615" spans="3:20" x14ac:dyDescent="0.35">
      <c r="C6615" s="15" t="s">
        <v>8</v>
      </c>
      <c r="F6615" s="15" t="s">
        <v>8</v>
      </c>
      <c r="J6615" s="15" t="s">
        <v>8</v>
      </c>
      <c r="K6615" s="15" t="s">
        <v>8</v>
      </c>
      <c r="P6615" s="8" t="s">
        <v>3</v>
      </c>
    </row>
    <row r="6616" spans="3:20" x14ac:dyDescent="0.35">
      <c r="C6616" s="15" t="s">
        <v>8</v>
      </c>
      <c r="F6616" s="15" t="s">
        <v>8</v>
      </c>
      <c r="J6616" s="15" t="s">
        <v>8</v>
      </c>
      <c r="K6616" s="15" t="s">
        <v>8</v>
      </c>
      <c r="O6616" s="21" t="str">
        <f>HYPERLINK("http://yeinfo.com/family/I09005896.html", "THOMAS MEEKINS &lt;4&gt; 1585 EN-1656 MA ID:09011792")</f>
        <v>THOMAS MEEKINS &lt;4&gt; 1585 EN-1656 MA ID:09011792</v>
      </c>
      <c r="P6616" s="6"/>
      <c r="Q6616" s="6"/>
      <c r="R6616" s="6"/>
      <c r="S6616" s="6"/>
    </row>
    <row r="6617" spans="3:20" x14ac:dyDescent="0.35">
      <c r="C6617" s="15" t="s">
        <v>8</v>
      </c>
      <c r="F6617" s="15" t="s">
        <v>8</v>
      </c>
      <c r="J6617" s="15" t="s">
        <v>8</v>
      </c>
      <c r="K6617" s="15" t="s">
        <v>8</v>
      </c>
      <c r="O6617" s="8" t="s">
        <v>3</v>
      </c>
      <c r="P6617" s="8" t="s">
        <v>6</v>
      </c>
    </row>
    <row r="6618" spans="3:20" x14ac:dyDescent="0.35">
      <c r="C6618" s="15" t="s">
        <v>8</v>
      </c>
      <c r="F6618" s="15" t="s">
        <v>8</v>
      </c>
      <c r="J6618" s="15" t="s">
        <v>8</v>
      </c>
      <c r="K6618" s="15" t="s">
        <v>8</v>
      </c>
      <c r="O6618" s="15" t="s">
        <v>8</v>
      </c>
      <c r="P6618" s="22" t="str">
        <f>HYPERLINK("http://yeinfo.com/family/I09023584.html", "HELLEN GREENE &lt;4&gt; 1553 EN-1636 MA ID:09023585")</f>
        <v>HELLEN GREENE &lt;4&gt; 1553 EN-1636 MA ID:09023585</v>
      </c>
      <c r="Q6618" s="13"/>
      <c r="R6618" s="13"/>
      <c r="S6618" s="13"/>
      <c r="T6618" s="13"/>
    </row>
    <row r="6619" spans="3:20" x14ac:dyDescent="0.35">
      <c r="C6619" s="15" t="s">
        <v>8</v>
      </c>
      <c r="F6619" s="15" t="s">
        <v>8</v>
      </c>
      <c r="J6619" s="15" t="s">
        <v>8</v>
      </c>
      <c r="K6619" s="15" t="s">
        <v>8</v>
      </c>
      <c r="O6619" s="15" t="s">
        <v>8</v>
      </c>
    </row>
    <row r="6620" spans="3:20" x14ac:dyDescent="0.35">
      <c r="C6620" s="15" t="s">
        <v>8</v>
      </c>
      <c r="F6620" s="15" t="s">
        <v>8</v>
      </c>
      <c r="J6620" s="15" t="s">
        <v>8</v>
      </c>
      <c r="K6620" s="15" t="s">
        <v>8</v>
      </c>
      <c r="N6620" s="21" t="str">
        <f>HYPERLINK("http://yeinfo.com/family/I09002948.html", "THOMAS MEEKINS &lt;4&gt; 1609 EN-1687 MA ID:09005896")</f>
        <v>THOMAS MEEKINS &lt;4&gt; 1609 EN-1687 MA ID:09005896</v>
      </c>
      <c r="O6620" s="6"/>
      <c r="P6620" s="6"/>
      <c r="Q6620" s="6"/>
      <c r="R6620" s="6"/>
    </row>
    <row r="6621" spans="3:20" x14ac:dyDescent="0.35">
      <c r="C6621" s="15" t="s">
        <v>8</v>
      </c>
      <c r="F6621" s="15" t="s">
        <v>8</v>
      </c>
      <c r="J6621" s="15" t="s">
        <v>8</v>
      </c>
      <c r="K6621" s="15" t="s">
        <v>8</v>
      </c>
      <c r="N6621" s="8" t="s">
        <v>3</v>
      </c>
      <c r="O6621" s="8" t="s">
        <v>6</v>
      </c>
    </row>
    <row r="6622" spans="3:20" x14ac:dyDescent="0.35">
      <c r="C6622" s="15" t="s">
        <v>8</v>
      </c>
      <c r="F6622" s="15" t="s">
        <v>8</v>
      </c>
      <c r="J6622" s="15" t="s">
        <v>8</v>
      </c>
      <c r="K6622" s="15" t="s">
        <v>8</v>
      </c>
      <c r="N6622" s="15" t="s">
        <v>8</v>
      </c>
      <c r="O6622" s="22" t="str">
        <f>HYPERLINK("http://yeinfo.com/family/I09023585.html", "KATHERINE GREENE &lt;4&gt; 1584 EN-1651 MA ID:09011793")</f>
        <v>KATHERINE GREENE &lt;4&gt; 1584 EN-1651 MA ID:09011793</v>
      </c>
      <c r="P6622" s="13"/>
      <c r="Q6622" s="13"/>
      <c r="R6622" s="13"/>
      <c r="S6622" s="13"/>
    </row>
    <row r="6623" spans="3:20" x14ac:dyDescent="0.35">
      <c r="C6623" s="15" t="s">
        <v>8</v>
      </c>
      <c r="F6623" s="15" t="s">
        <v>8</v>
      </c>
      <c r="J6623" s="15" t="s">
        <v>8</v>
      </c>
      <c r="K6623" s="15" t="s">
        <v>8</v>
      </c>
      <c r="N6623" s="15" t="s">
        <v>8</v>
      </c>
    </row>
    <row r="6624" spans="3:20" x14ac:dyDescent="0.35">
      <c r="C6624" s="15" t="s">
        <v>8</v>
      </c>
      <c r="F6624" s="15" t="s">
        <v>8</v>
      </c>
      <c r="J6624" s="15" t="s">
        <v>8</v>
      </c>
      <c r="K6624" s="15" t="s">
        <v>8</v>
      </c>
      <c r="M6624" s="5" t="str">
        <f>HYPERLINK("http://yeinfo.com/family/I09001474.html", "THOMAS MEEKINGS &lt;2&gt; 1643 MA-1675 MA ID:09002948")</f>
        <v>THOMAS MEEKINGS &lt;2&gt; 1643 MA-1675 MA ID:09002948</v>
      </c>
      <c r="N6624" s="3"/>
      <c r="O6624" s="3"/>
      <c r="P6624" s="3"/>
      <c r="Q6624" s="3"/>
    </row>
    <row r="6625" spans="3:18" x14ac:dyDescent="0.35">
      <c r="C6625" s="15" t="s">
        <v>8</v>
      </c>
      <c r="F6625" s="15" t="s">
        <v>8</v>
      </c>
      <c r="J6625" s="15" t="s">
        <v>8</v>
      </c>
      <c r="K6625" s="15" t="s">
        <v>8</v>
      </c>
      <c r="M6625" s="8" t="s">
        <v>3</v>
      </c>
      <c r="N6625" s="8" t="s">
        <v>6</v>
      </c>
    </row>
    <row r="6626" spans="3:18" x14ac:dyDescent="0.35">
      <c r="C6626" s="15" t="s">
        <v>8</v>
      </c>
      <c r="F6626" s="15" t="s">
        <v>8</v>
      </c>
      <c r="J6626" s="15" t="s">
        <v>8</v>
      </c>
      <c r="K6626" s="15" t="s">
        <v>8</v>
      </c>
      <c r="M6626" s="15" t="s">
        <v>8</v>
      </c>
      <c r="N6626" s="22" t="str">
        <f>HYPERLINK("http://yeinfo.com/family/I09011793.html", "SARAH CATHERINE BEARDSLEY &lt;4&gt; 1613 EN-1651 MA ID:09005897")</f>
        <v>SARAH CATHERINE BEARDSLEY &lt;4&gt; 1613 EN-1651 MA ID:09005897</v>
      </c>
      <c r="O6626" s="13"/>
      <c r="P6626" s="13"/>
      <c r="Q6626" s="13"/>
      <c r="R6626" s="13"/>
    </row>
    <row r="6627" spans="3:18" x14ac:dyDescent="0.35">
      <c r="C6627" s="15" t="s">
        <v>8</v>
      </c>
      <c r="F6627" s="15" t="s">
        <v>8</v>
      </c>
      <c r="J6627" s="15" t="s">
        <v>8</v>
      </c>
      <c r="K6627" s="15" t="s">
        <v>8</v>
      </c>
      <c r="M6627" s="15" t="s">
        <v>8</v>
      </c>
    </row>
    <row r="6628" spans="3:18" x14ac:dyDescent="0.35">
      <c r="C6628" s="15" t="s">
        <v>8</v>
      </c>
      <c r="F6628" s="15" t="s">
        <v>8</v>
      </c>
      <c r="J6628" s="15" t="s">
        <v>8</v>
      </c>
      <c r="K6628" s="15" t="s">
        <v>8</v>
      </c>
      <c r="L6628" s="5" t="str">
        <f>HYPERLINK("http://yeinfo.com/family/I09000737.html", "JOHN MEEKINGS &lt;2&gt; 1672 MA-1754 MA ID:09001474")</f>
        <v>JOHN MEEKINGS &lt;2&gt; 1672 MA-1754 MA ID:09001474</v>
      </c>
      <c r="M6628" s="3"/>
      <c r="N6628" s="3"/>
      <c r="O6628" s="3"/>
      <c r="P6628" s="3"/>
    </row>
    <row r="6629" spans="3:18" x14ac:dyDescent="0.35">
      <c r="C6629" s="15" t="s">
        <v>8</v>
      </c>
      <c r="F6629" s="15" t="s">
        <v>8</v>
      </c>
      <c r="J6629" s="15" t="s">
        <v>8</v>
      </c>
      <c r="K6629" s="15" t="s">
        <v>8</v>
      </c>
      <c r="L6629" s="8" t="s">
        <v>3</v>
      </c>
      <c r="M6629" s="15" t="s">
        <v>8</v>
      </c>
    </row>
    <row r="6630" spans="3:18" x14ac:dyDescent="0.35">
      <c r="C6630" s="15" t="s">
        <v>8</v>
      </c>
      <c r="F6630" s="15" t="s">
        <v>8</v>
      </c>
      <c r="J6630" s="15" t="s">
        <v>8</v>
      </c>
      <c r="K6630" s="15" t="s">
        <v>8</v>
      </c>
      <c r="L6630" s="15" t="s">
        <v>8</v>
      </c>
      <c r="M6630" s="15" t="s">
        <v>8</v>
      </c>
      <c r="N6630" s="21" t="str">
        <f>HYPERLINK("http://yeinfo.com/family/I09002949.html", "THOMAS BUNCE &lt;2&gt; 1612 EN-1683 CT ID:09005898")</f>
        <v>THOMAS BUNCE &lt;2&gt; 1612 EN-1683 CT ID:09005898</v>
      </c>
      <c r="O6630" s="6"/>
      <c r="P6630" s="6"/>
      <c r="Q6630" s="6"/>
      <c r="R6630" s="6"/>
    </row>
    <row r="6631" spans="3:18" x14ac:dyDescent="0.35">
      <c r="C6631" s="15" t="s">
        <v>8</v>
      </c>
      <c r="F6631" s="15" t="s">
        <v>8</v>
      </c>
      <c r="J6631" s="15" t="s">
        <v>8</v>
      </c>
      <c r="K6631" s="15" t="s">
        <v>8</v>
      </c>
      <c r="L6631" s="15" t="s">
        <v>8</v>
      </c>
      <c r="M6631" s="8" t="s">
        <v>6</v>
      </c>
      <c r="N6631" s="8" t="s">
        <v>3</v>
      </c>
    </row>
    <row r="6632" spans="3:18" x14ac:dyDescent="0.35">
      <c r="C6632" s="15" t="s">
        <v>8</v>
      </c>
      <c r="F6632" s="15" t="s">
        <v>8</v>
      </c>
      <c r="J6632" s="15" t="s">
        <v>8</v>
      </c>
      <c r="K6632" s="15" t="s">
        <v>8</v>
      </c>
      <c r="L6632" s="15" t="s">
        <v>8</v>
      </c>
      <c r="M6632" s="16" t="str">
        <f>HYPERLINK("http://yeinfo.com/family/I09005897.html", "MARY BUNCE &lt;2&gt; 1645 CT-1672 CT ID:09002949")</f>
        <v>MARY BUNCE &lt;2&gt; 1645 CT-1672 CT ID:09002949</v>
      </c>
      <c r="N6632" s="11"/>
      <c r="O6632" s="11"/>
      <c r="P6632" s="11"/>
      <c r="Q6632" s="11"/>
    </row>
    <row r="6633" spans="3:18" x14ac:dyDescent="0.35">
      <c r="C6633" s="15" t="s">
        <v>8</v>
      </c>
      <c r="F6633" s="15" t="s">
        <v>8</v>
      </c>
      <c r="J6633" s="15" t="s">
        <v>8</v>
      </c>
      <c r="K6633" s="15" t="s">
        <v>8</v>
      </c>
      <c r="L6633" s="15" t="s">
        <v>8</v>
      </c>
      <c r="N6633" s="8" t="s">
        <v>6</v>
      </c>
    </row>
    <row r="6634" spans="3:18" x14ac:dyDescent="0.35">
      <c r="C6634" s="15" t="s">
        <v>8</v>
      </c>
      <c r="F6634" s="15" t="s">
        <v>8</v>
      </c>
      <c r="J6634" s="15" t="s">
        <v>8</v>
      </c>
      <c r="K6634" s="15" t="s">
        <v>8</v>
      </c>
      <c r="L6634" s="15" t="s">
        <v>8</v>
      </c>
      <c r="N6634" s="22" t="str">
        <f>HYPERLINK("http://yeinfo.com/family/I09005898.html", "Mrs. SARAH BUNCE &lt;2&gt; 1612 EN-1692 CT ID:09005899")</f>
        <v>Mrs. SARAH BUNCE &lt;2&gt; 1612 EN-1692 CT ID:09005899</v>
      </c>
      <c r="O6634" s="13"/>
      <c r="P6634" s="13"/>
      <c r="Q6634" s="13"/>
      <c r="R6634" s="13"/>
    </row>
    <row r="6635" spans="3:18" x14ac:dyDescent="0.35">
      <c r="C6635" s="15" t="s">
        <v>8</v>
      </c>
      <c r="F6635" s="15" t="s">
        <v>8</v>
      </c>
      <c r="J6635" s="15" t="s">
        <v>8</v>
      </c>
      <c r="K6635" s="8" t="s">
        <v>6</v>
      </c>
      <c r="L6635" s="15" t="s">
        <v>8</v>
      </c>
    </row>
    <row r="6636" spans="3:18" x14ac:dyDescent="0.35">
      <c r="C6636" s="15" t="s">
        <v>8</v>
      </c>
      <c r="F6636" s="15" t="s">
        <v>8</v>
      </c>
      <c r="J6636" s="15" t="s">
        <v>8</v>
      </c>
      <c r="K6636" s="16" t="str">
        <f>HYPERLINK("http://yeinfo.com/family/I09005895.html", "SARAH MARY MEEKINS &lt;2&gt; 1693 MA-1777 MA ID:09000737")</f>
        <v>SARAH MARY MEEKINS &lt;2&gt; 1693 MA-1777 MA ID:09000737</v>
      </c>
      <c r="L6636" s="11"/>
      <c r="M6636" s="11"/>
      <c r="N6636" s="11"/>
      <c r="O6636" s="11"/>
    </row>
    <row r="6637" spans="3:18" x14ac:dyDescent="0.35">
      <c r="C6637" s="15" t="s">
        <v>8</v>
      </c>
      <c r="F6637" s="15" t="s">
        <v>8</v>
      </c>
      <c r="J6637" s="15" t="s">
        <v>8</v>
      </c>
      <c r="L6637" s="15" t="s">
        <v>8</v>
      </c>
    </row>
    <row r="6638" spans="3:18" x14ac:dyDescent="0.35">
      <c r="C6638" s="15" t="s">
        <v>8</v>
      </c>
      <c r="F6638" s="15" t="s">
        <v>8</v>
      </c>
      <c r="J6638" s="15" t="s">
        <v>8</v>
      </c>
      <c r="L6638" s="15" t="s">
        <v>8</v>
      </c>
      <c r="M6638" s="21" t="str">
        <f>HYPERLINK("http://yeinfo.com/family/I09001475.html", "JOSEPH BELKNAP Sr. &lt;2&gt; 1633 EN-1712 MA ID:09002950")</f>
        <v>JOSEPH BELKNAP Sr. &lt;2&gt; 1633 EN-1712 MA ID:09002950</v>
      </c>
      <c r="N6638" s="6"/>
      <c r="O6638" s="6"/>
      <c r="P6638" s="6"/>
      <c r="Q6638" s="6"/>
    </row>
    <row r="6639" spans="3:18" x14ac:dyDescent="0.35">
      <c r="C6639" s="15" t="s">
        <v>8</v>
      </c>
      <c r="F6639" s="15" t="s">
        <v>8</v>
      </c>
      <c r="J6639" s="15" t="s">
        <v>8</v>
      </c>
      <c r="L6639" s="8" t="s">
        <v>6</v>
      </c>
      <c r="M6639" s="8" t="s">
        <v>3</v>
      </c>
    </row>
    <row r="6640" spans="3:18" x14ac:dyDescent="0.35">
      <c r="C6640" s="15" t="s">
        <v>8</v>
      </c>
      <c r="F6640" s="15" t="s">
        <v>8</v>
      </c>
      <c r="J6640" s="15" t="s">
        <v>8</v>
      </c>
      <c r="L6640" s="16" t="str">
        <f>HYPERLINK("http://yeinfo.com/family/I09005899.html", "RUTH BELKNAP &lt;2&gt; 1672 MA-1767 MA ID:09001475")</f>
        <v>RUTH BELKNAP &lt;2&gt; 1672 MA-1767 MA ID:09001475</v>
      </c>
      <c r="M6640" s="11"/>
      <c r="N6640" s="11"/>
      <c r="O6640" s="11"/>
      <c r="P6640" s="11"/>
    </row>
    <row r="6641" spans="3:20" x14ac:dyDescent="0.35">
      <c r="C6641" s="15" t="s">
        <v>8</v>
      </c>
      <c r="F6641" s="15" t="s">
        <v>8</v>
      </c>
      <c r="J6641" s="15" t="s">
        <v>8</v>
      </c>
      <c r="M6641" s="15" t="s">
        <v>8</v>
      </c>
    </row>
    <row r="6642" spans="3:20" x14ac:dyDescent="0.35">
      <c r="C6642" s="15" t="s">
        <v>8</v>
      </c>
      <c r="F6642" s="15" t="s">
        <v>8</v>
      </c>
      <c r="J6642" s="15" t="s">
        <v>8</v>
      </c>
      <c r="M6642" s="15" t="s">
        <v>8</v>
      </c>
      <c r="P6642" s="19" t="str">
        <f>HYPERLINK("http://yeinfo.com/family/I09023584.html", "THOMAS MEEKINS &lt;4&gt; 1550 EN-1646 EN ID:09023584")</f>
        <v>THOMAS MEEKINS &lt;4&gt; 1550 EN-1646 EN ID:09023584</v>
      </c>
      <c r="Q6642" s="9"/>
      <c r="R6642" s="9"/>
      <c r="S6642" s="9"/>
      <c r="T6642" s="9"/>
    </row>
    <row r="6643" spans="3:20" x14ac:dyDescent="0.35">
      <c r="C6643" s="15" t="s">
        <v>8</v>
      </c>
      <c r="F6643" s="15" t="s">
        <v>8</v>
      </c>
      <c r="J6643" s="15" t="s">
        <v>8</v>
      </c>
      <c r="M6643" s="15" t="s">
        <v>8</v>
      </c>
      <c r="P6643" s="8" t="s">
        <v>3</v>
      </c>
    </row>
    <row r="6644" spans="3:20" x14ac:dyDescent="0.35">
      <c r="C6644" s="15" t="s">
        <v>8</v>
      </c>
      <c r="F6644" s="15" t="s">
        <v>8</v>
      </c>
      <c r="J6644" s="15" t="s">
        <v>8</v>
      </c>
      <c r="M6644" s="15" t="s">
        <v>8</v>
      </c>
      <c r="O6644" s="21" t="str">
        <f>HYPERLINK("http://yeinfo.com/family/I09011792.html", "THOMAS MEEKINS &lt;4&gt; 1585 EN-1656 MA ID:09011792")</f>
        <v>THOMAS MEEKINS &lt;4&gt; 1585 EN-1656 MA ID:09011792</v>
      </c>
      <c r="P6644" s="6"/>
      <c r="Q6644" s="6"/>
      <c r="R6644" s="6"/>
      <c r="S6644" s="6"/>
    </row>
    <row r="6645" spans="3:20" x14ac:dyDescent="0.35">
      <c r="C6645" s="15" t="s">
        <v>8</v>
      </c>
      <c r="F6645" s="15" t="s">
        <v>8</v>
      </c>
      <c r="J6645" s="15" t="s">
        <v>8</v>
      </c>
      <c r="M6645" s="15" t="s">
        <v>8</v>
      </c>
      <c r="O6645" s="8" t="s">
        <v>3</v>
      </c>
      <c r="P6645" s="8" t="s">
        <v>6</v>
      </c>
    </row>
    <row r="6646" spans="3:20" x14ac:dyDescent="0.35">
      <c r="C6646" s="15" t="s">
        <v>8</v>
      </c>
      <c r="F6646" s="15" t="s">
        <v>8</v>
      </c>
      <c r="J6646" s="15" t="s">
        <v>8</v>
      </c>
      <c r="M6646" s="15" t="s">
        <v>8</v>
      </c>
      <c r="O6646" s="15" t="s">
        <v>8</v>
      </c>
      <c r="P6646" s="22" t="str">
        <f>HYPERLINK("http://yeinfo.com/family/I09023585.html", "HELLEN GREENE &lt;4&gt; 1553 EN-1636 MA ID:09023585")</f>
        <v>HELLEN GREENE &lt;4&gt; 1553 EN-1636 MA ID:09023585</v>
      </c>
      <c r="Q6646" s="13"/>
      <c r="R6646" s="13"/>
      <c r="S6646" s="13"/>
      <c r="T6646" s="13"/>
    </row>
    <row r="6647" spans="3:20" x14ac:dyDescent="0.35">
      <c r="C6647" s="15" t="s">
        <v>8</v>
      </c>
      <c r="F6647" s="15" t="s">
        <v>8</v>
      </c>
      <c r="J6647" s="15" t="s">
        <v>8</v>
      </c>
      <c r="M6647" s="15" t="s">
        <v>8</v>
      </c>
      <c r="O6647" s="15" t="s">
        <v>8</v>
      </c>
    </row>
    <row r="6648" spans="3:20" x14ac:dyDescent="0.35">
      <c r="C6648" s="15" t="s">
        <v>8</v>
      </c>
      <c r="F6648" s="15" t="s">
        <v>8</v>
      </c>
      <c r="J6648" s="15" t="s">
        <v>8</v>
      </c>
      <c r="M6648" s="15" t="s">
        <v>8</v>
      </c>
      <c r="N6648" s="21" t="str">
        <f>HYPERLINK("http://yeinfo.com/family/I09005896.html", "THOMAS MEEKINS &lt;4&gt; 1609 EN-1687 MA ID:09005896")</f>
        <v>THOMAS MEEKINS &lt;4&gt; 1609 EN-1687 MA ID:09005896</v>
      </c>
      <c r="O6648" s="6"/>
      <c r="P6648" s="6"/>
      <c r="Q6648" s="6"/>
      <c r="R6648" s="6"/>
    </row>
    <row r="6649" spans="3:20" x14ac:dyDescent="0.35">
      <c r="C6649" s="15" t="s">
        <v>8</v>
      </c>
      <c r="F6649" s="15" t="s">
        <v>8</v>
      </c>
      <c r="J6649" s="15" t="s">
        <v>8</v>
      </c>
      <c r="M6649" s="15" t="s">
        <v>8</v>
      </c>
      <c r="N6649" s="8" t="s">
        <v>3</v>
      </c>
      <c r="O6649" s="8" t="s">
        <v>6</v>
      </c>
    </row>
    <row r="6650" spans="3:20" x14ac:dyDescent="0.35">
      <c r="C6650" s="15" t="s">
        <v>8</v>
      </c>
      <c r="F6650" s="15" t="s">
        <v>8</v>
      </c>
      <c r="J6650" s="15" t="s">
        <v>8</v>
      </c>
      <c r="M6650" s="15" t="s">
        <v>8</v>
      </c>
      <c r="N6650" s="15" t="s">
        <v>8</v>
      </c>
      <c r="O6650" s="22" t="str">
        <f>HYPERLINK("http://yeinfo.com/family/I09011793.html", "KATHERINE GREENE &lt;4&gt; 1584 EN-1651 MA ID:09011793")</f>
        <v>KATHERINE GREENE &lt;4&gt; 1584 EN-1651 MA ID:09011793</v>
      </c>
      <c r="P6650" s="13"/>
      <c r="Q6650" s="13"/>
      <c r="R6650" s="13"/>
      <c r="S6650" s="13"/>
    </row>
    <row r="6651" spans="3:20" x14ac:dyDescent="0.35">
      <c r="C6651" s="15" t="s">
        <v>8</v>
      </c>
      <c r="F6651" s="15" t="s">
        <v>8</v>
      </c>
      <c r="J6651" s="15" t="s">
        <v>8</v>
      </c>
      <c r="M6651" s="8" t="s">
        <v>6</v>
      </c>
      <c r="N6651" s="15" t="s">
        <v>8</v>
      </c>
    </row>
    <row r="6652" spans="3:20" x14ac:dyDescent="0.35">
      <c r="C6652" s="15" t="s">
        <v>8</v>
      </c>
      <c r="F6652" s="15" t="s">
        <v>8</v>
      </c>
      <c r="J6652" s="15" t="s">
        <v>8</v>
      </c>
      <c r="M6652" s="16" t="str">
        <f>HYPERLINK("http://yeinfo.com/family/I09002950.html", "HANNAH MEEKINS &lt;2&gt; 1647 MA-1688 MA ID:09002951")</f>
        <v>HANNAH MEEKINS &lt;2&gt; 1647 MA-1688 MA ID:09002951</v>
      </c>
      <c r="N6652" s="11"/>
      <c r="O6652" s="11"/>
      <c r="P6652" s="11"/>
      <c r="Q6652" s="11"/>
    </row>
    <row r="6653" spans="3:20" x14ac:dyDescent="0.35">
      <c r="C6653" s="15" t="s">
        <v>8</v>
      </c>
      <c r="F6653" s="15" t="s">
        <v>8</v>
      </c>
      <c r="J6653" s="15" t="s">
        <v>8</v>
      </c>
      <c r="N6653" s="8" t="s">
        <v>6</v>
      </c>
    </row>
    <row r="6654" spans="3:20" x14ac:dyDescent="0.35">
      <c r="C6654" s="15" t="s">
        <v>8</v>
      </c>
      <c r="F6654" s="15" t="s">
        <v>8</v>
      </c>
      <c r="J6654" s="15" t="s">
        <v>8</v>
      </c>
      <c r="N6654" s="22" t="str">
        <f>HYPERLINK("http://yeinfo.com/family/I09005897.html", "SARAH CATHERINE BEARDSLEY &lt;4&gt; 1613 EN-1651 MA ID:09005897")</f>
        <v>SARAH CATHERINE BEARDSLEY &lt;4&gt; 1613 EN-1651 MA ID:09005897</v>
      </c>
      <c r="O6654" s="13"/>
      <c r="P6654" s="13"/>
      <c r="Q6654" s="13"/>
      <c r="R6654" s="13"/>
    </row>
    <row r="6655" spans="3:20" x14ac:dyDescent="0.35">
      <c r="C6655" s="15" t="s">
        <v>8</v>
      </c>
      <c r="F6655" s="15" t="s">
        <v>8</v>
      </c>
      <c r="J6655" s="15" t="s">
        <v>8</v>
      </c>
    </row>
    <row r="6656" spans="3:20" x14ac:dyDescent="0.35">
      <c r="C6656" s="15" t="s">
        <v>8</v>
      </c>
      <c r="F6656" s="15" t="s">
        <v>8</v>
      </c>
      <c r="I6656" s="5" t="str">
        <f>HYPERLINK("http://yeinfo.com/family/I09000092.html", "THADDEUS MILLER 1764 MA-1842 VT ID:09000184")</f>
        <v>THADDEUS MILLER 1764 MA-1842 VT ID:09000184</v>
      </c>
      <c r="J6656" s="3"/>
      <c r="K6656" s="3"/>
      <c r="L6656" s="3"/>
      <c r="M6656" s="3"/>
    </row>
    <row r="6657" spans="3:19" x14ac:dyDescent="0.35">
      <c r="C6657" s="15" t="s">
        <v>8</v>
      </c>
      <c r="F6657" s="15" t="s">
        <v>8</v>
      </c>
      <c r="I6657" s="8" t="s">
        <v>3</v>
      </c>
      <c r="J6657" s="8" t="s">
        <v>6</v>
      </c>
    </row>
    <row r="6658" spans="3:19" x14ac:dyDescent="0.35">
      <c r="C6658" s="15" t="s">
        <v>8</v>
      </c>
      <c r="F6658" s="15" t="s">
        <v>8</v>
      </c>
      <c r="I6658" s="15" t="s">
        <v>8</v>
      </c>
      <c r="J6658" s="16" t="str">
        <f>HYPERLINK("http://yeinfo.com/family/I09002951.html", "Mrs. ANNAH MILLER &lt;2&gt; 1733 MA-1807 VT ID:09000369")</f>
        <v>Mrs. ANNAH MILLER &lt;2&gt; 1733 MA-1807 VT ID:09000369</v>
      </c>
      <c r="K6658" s="11"/>
      <c r="L6658" s="11"/>
      <c r="M6658" s="11"/>
      <c r="N6658" s="11"/>
    </row>
    <row r="6659" spans="3:19" x14ac:dyDescent="0.35">
      <c r="C6659" s="15" t="s">
        <v>8</v>
      </c>
      <c r="F6659" s="15" t="s">
        <v>8</v>
      </c>
      <c r="I6659" s="15" t="s">
        <v>8</v>
      </c>
    </row>
    <row r="6660" spans="3:19" x14ac:dyDescent="0.35">
      <c r="C6660" s="15" t="s">
        <v>8</v>
      </c>
      <c r="F6660" s="15" t="s">
        <v>8</v>
      </c>
      <c r="H6660" s="5" t="str">
        <f>HYPERLINK("http://yeinfo.com/family/I09000046.html", "ELI MILLER 1790 VT-1862 VT ID:09000092")</f>
        <v>ELI MILLER 1790 VT-1862 VT ID:09000092</v>
      </c>
      <c r="I6660" s="3"/>
      <c r="J6660" s="3"/>
      <c r="K6660" s="3"/>
      <c r="L6660" s="3"/>
    </row>
    <row r="6661" spans="3:19" x14ac:dyDescent="0.35">
      <c r="C6661" s="15" t="s">
        <v>8</v>
      </c>
      <c r="F6661" s="15" t="s">
        <v>8</v>
      </c>
      <c r="H6661" s="8" t="s">
        <v>3</v>
      </c>
      <c r="I6661" s="15" t="s">
        <v>8</v>
      </c>
    </row>
    <row r="6662" spans="3:19" x14ac:dyDescent="0.35">
      <c r="C6662" s="15" t="s">
        <v>8</v>
      </c>
      <c r="F6662" s="15" t="s">
        <v>8</v>
      </c>
      <c r="H6662" s="15" t="s">
        <v>8</v>
      </c>
      <c r="I6662" s="15" t="s">
        <v>8</v>
      </c>
      <c r="N6662" s="21" t="str">
        <f>HYPERLINK("http://yeinfo.com/family/I09005544.html", "THOMAS PRATT Sr. &lt;2&gt; 1605 EN-1706 MA ID:09005544")</f>
        <v>THOMAS PRATT Sr. &lt;2&gt; 1605 EN-1706 MA ID:09005544</v>
      </c>
      <c r="O6662" s="6"/>
      <c r="P6662" s="6"/>
      <c r="Q6662" s="6"/>
      <c r="R6662" s="6"/>
    </row>
    <row r="6663" spans="3:19" x14ac:dyDescent="0.35">
      <c r="C6663" s="15" t="s">
        <v>8</v>
      </c>
      <c r="F6663" s="15" t="s">
        <v>8</v>
      </c>
      <c r="H6663" s="15" t="s">
        <v>8</v>
      </c>
      <c r="I6663" s="15" t="s">
        <v>8</v>
      </c>
      <c r="N6663" s="8" t="s">
        <v>3</v>
      </c>
    </row>
    <row r="6664" spans="3:19" x14ac:dyDescent="0.35">
      <c r="C6664" s="15" t="s">
        <v>8</v>
      </c>
      <c r="F6664" s="15" t="s">
        <v>8</v>
      </c>
      <c r="H6664" s="15" t="s">
        <v>8</v>
      </c>
      <c r="I6664" s="15" t="s">
        <v>8</v>
      </c>
      <c r="M6664" s="5" t="str">
        <f>HYPERLINK("http://yeinfo.com/family/I09002772.html", "THOMAS PRATT Jr. &lt;2&gt; 1633 MA-1692 MA ID:09002772")</f>
        <v>THOMAS PRATT Jr. &lt;2&gt; 1633 MA-1692 MA ID:09002772</v>
      </c>
      <c r="N6664" s="3"/>
      <c r="O6664" s="3"/>
      <c r="P6664" s="3"/>
      <c r="Q6664" s="3"/>
    </row>
    <row r="6665" spans="3:19" x14ac:dyDescent="0.35">
      <c r="C6665" s="15" t="s">
        <v>8</v>
      </c>
      <c r="F6665" s="15" t="s">
        <v>8</v>
      </c>
      <c r="H6665" s="15" t="s">
        <v>8</v>
      </c>
      <c r="I6665" s="15" t="s">
        <v>8</v>
      </c>
      <c r="M6665" s="8" t="s">
        <v>3</v>
      </c>
      <c r="N6665" s="8" t="s">
        <v>6</v>
      </c>
    </row>
    <row r="6666" spans="3:19" x14ac:dyDescent="0.35">
      <c r="C6666" s="15" t="s">
        <v>8</v>
      </c>
      <c r="F6666" s="15" t="s">
        <v>8</v>
      </c>
      <c r="H6666" s="15" t="s">
        <v>8</v>
      </c>
      <c r="I6666" s="15" t="s">
        <v>8</v>
      </c>
      <c r="M6666" s="15" t="s">
        <v>8</v>
      </c>
      <c r="N6666" s="22" t="str">
        <f>HYPERLINK("http://yeinfo.com/family/I09005545.html", "Mrs. {_?_} PRATT &lt;2&gt; 1605 EN-1633 MA ID:09005545")</f>
        <v>Mrs. {_?_} PRATT &lt;2&gt; 1605 EN-1633 MA ID:09005545</v>
      </c>
      <c r="O6666" s="13"/>
      <c r="P6666" s="13"/>
      <c r="Q6666" s="13"/>
      <c r="R6666" s="13"/>
    </row>
    <row r="6667" spans="3:19" x14ac:dyDescent="0.35">
      <c r="C6667" s="15" t="s">
        <v>8</v>
      </c>
      <c r="F6667" s="15" t="s">
        <v>8</v>
      </c>
      <c r="H6667" s="15" t="s">
        <v>8</v>
      </c>
      <c r="I6667" s="15" t="s">
        <v>8</v>
      </c>
      <c r="M6667" s="15" t="s">
        <v>8</v>
      </c>
    </row>
    <row r="6668" spans="3:19" x14ac:dyDescent="0.35">
      <c r="C6668" s="15" t="s">
        <v>8</v>
      </c>
      <c r="F6668" s="15" t="s">
        <v>8</v>
      </c>
      <c r="H6668" s="15" t="s">
        <v>8</v>
      </c>
      <c r="I6668" s="15" t="s">
        <v>8</v>
      </c>
      <c r="L6668" s="5" t="str">
        <f>HYPERLINK("http://yeinfo.com/family/I09000740.html", "JOHN PRATT 1665 MA-1705 MA ID:09001480")</f>
        <v>JOHN PRATT 1665 MA-1705 MA ID:09001480</v>
      </c>
      <c r="M6668" s="3"/>
      <c r="N6668" s="3"/>
      <c r="O6668" s="3"/>
      <c r="P6668" s="3"/>
    </row>
    <row r="6669" spans="3:19" x14ac:dyDescent="0.35">
      <c r="C6669" s="15" t="s">
        <v>8</v>
      </c>
      <c r="F6669" s="15" t="s">
        <v>8</v>
      </c>
      <c r="H6669" s="15" t="s">
        <v>8</v>
      </c>
      <c r="I6669" s="15" t="s">
        <v>8</v>
      </c>
      <c r="L6669" s="8" t="s">
        <v>3</v>
      </c>
      <c r="M6669" s="15" t="s">
        <v>8</v>
      </c>
    </row>
    <row r="6670" spans="3:19" x14ac:dyDescent="0.35">
      <c r="C6670" s="15" t="s">
        <v>8</v>
      </c>
      <c r="F6670" s="15" t="s">
        <v>8</v>
      </c>
      <c r="H6670" s="15" t="s">
        <v>8</v>
      </c>
      <c r="I6670" s="15" t="s">
        <v>8</v>
      </c>
      <c r="L6670" s="15" t="s">
        <v>8</v>
      </c>
      <c r="M6670" s="15" t="s">
        <v>8</v>
      </c>
      <c r="O6670" s="19" t="str">
        <f>HYPERLINK("http://yeinfo.com/family/I09011092.html", "THOMAS GLEASON &lt;2&gt; 1572 EN-1609 EN ID:09011092")</f>
        <v>THOMAS GLEASON &lt;2&gt; 1572 EN-1609 EN ID:09011092</v>
      </c>
      <c r="P6670" s="9"/>
      <c r="Q6670" s="9"/>
      <c r="R6670" s="9"/>
      <c r="S6670" s="9"/>
    </row>
    <row r="6671" spans="3:19" x14ac:dyDescent="0.35">
      <c r="C6671" s="15" t="s">
        <v>8</v>
      </c>
      <c r="F6671" s="15" t="s">
        <v>8</v>
      </c>
      <c r="H6671" s="15" t="s">
        <v>8</v>
      </c>
      <c r="I6671" s="15" t="s">
        <v>8</v>
      </c>
      <c r="L6671" s="15" t="s">
        <v>8</v>
      </c>
      <c r="M6671" s="15" t="s">
        <v>8</v>
      </c>
      <c r="O6671" s="8" t="s">
        <v>3</v>
      </c>
    </row>
    <row r="6672" spans="3:19" x14ac:dyDescent="0.35">
      <c r="C6672" s="15" t="s">
        <v>8</v>
      </c>
      <c r="F6672" s="15" t="s">
        <v>8</v>
      </c>
      <c r="H6672" s="15" t="s">
        <v>8</v>
      </c>
      <c r="I6672" s="15" t="s">
        <v>8</v>
      </c>
      <c r="L6672" s="15" t="s">
        <v>8</v>
      </c>
      <c r="M6672" s="15" t="s">
        <v>8</v>
      </c>
      <c r="N6672" s="21" t="str">
        <f>HYPERLINK("http://yeinfo.com/family/I09005546.html", "THOMAS GLEASON &lt;2&gt; 1609 EN-1686 MA ID:09005546")</f>
        <v>THOMAS GLEASON &lt;2&gt; 1609 EN-1686 MA ID:09005546</v>
      </c>
      <c r="O6672" s="6"/>
      <c r="P6672" s="6"/>
      <c r="Q6672" s="6"/>
      <c r="R6672" s="6"/>
    </row>
    <row r="6673" spans="3:20" x14ac:dyDescent="0.35">
      <c r="C6673" s="15" t="s">
        <v>8</v>
      </c>
      <c r="F6673" s="15" t="s">
        <v>8</v>
      </c>
      <c r="H6673" s="15" t="s">
        <v>8</v>
      </c>
      <c r="I6673" s="15" t="s">
        <v>8</v>
      </c>
      <c r="L6673" s="15" t="s">
        <v>8</v>
      </c>
      <c r="M6673" s="15" t="s">
        <v>8</v>
      </c>
      <c r="N6673" s="8" t="s">
        <v>3</v>
      </c>
      <c r="O6673" s="15" t="s">
        <v>8</v>
      </c>
    </row>
    <row r="6674" spans="3:20" x14ac:dyDescent="0.35">
      <c r="C6674" s="15" t="s">
        <v>8</v>
      </c>
      <c r="F6674" s="15" t="s">
        <v>8</v>
      </c>
      <c r="H6674" s="15" t="s">
        <v>8</v>
      </c>
      <c r="I6674" s="15" t="s">
        <v>8</v>
      </c>
      <c r="L6674" s="15" t="s">
        <v>8</v>
      </c>
      <c r="M6674" s="15" t="s">
        <v>8</v>
      </c>
      <c r="N6674" s="15" t="s">
        <v>8</v>
      </c>
      <c r="O6674" s="15" t="s">
        <v>8</v>
      </c>
      <c r="P6674" s="19" t="str">
        <f>HYPERLINK("http://yeinfo.com/family/I09022186.html", "JOHN ARMESBY &lt;2&gt; 1545 EN-1585 EN ID:09022186")</f>
        <v>JOHN ARMESBY &lt;2&gt; 1545 EN-1585 EN ID:09022186</v>
      </c>
      <c r="Q6674" s="9"/>
      <c r="R6674" s="9"/>
      <c r="S6674" s="9"/>
      <c r="T6674" s="9"/>
    </row>
    <row r="6675" spans="3:20" x14ac:dyDescent="0.35">
      <c r="C6675" s="15" t="s">
        <v>8</v>
      </c>
      <c r="F6675" s="15" t="s">
        <v>8</v>
      </c>
      <c r="H6675" s="15" t="s">
        <v>8</v>
      </c>
      <c r="I6675" s="15" t="s">
        <v>8</v>
      </c>
      <c r="L6675" s="15" t="s">
        <v>8</v>
      </c>
      <c r="M6675" s="15" t="s">
        <v>8</v>
      </c>
      <c r="N6675" s="15" t="s">
        <v>8</v>
      </c>
      <c r="O6675" s="8" t="s">
        <v>6</v>
      </c>
      <c r="P6675" s="8" t="s">
        <v>3</v>
      </c>
    </row>
    <row r="6676" spans="3:20" x14ac:dyDescent="0.35">
      <c r="C6676" s="15" t="s">
        <v>8</v>
      </c>
      <c r="F6676" s="15" t="s">
        <v>8</v>
      </c>
      <c r="H6676" s="15" t="s">
        <v>8</v>
      </c>
      <c r="I6676" s="15" t="s">
        <v>8</v>
      </c>
      <c r="L6676" s="15" t="s">
        <v>8</v>
      </c>
      <c r="M6676" s="15" t="s">
        <v>8</v>
      </c>
      <c r="N6676" s="15" t="s">
        <v>8</v>
      </c>
      <c r="O6676" s="20" t="str">
        <f>HYPERLINK("http://yeinfo.com/family/I09011093.html", "ANNE ARMESBY &lt;2&gt; 1572 EN-1699 EN ID:09011093")</f>
        <v>ANNE ARMESBY &lt;2&gt; 1572 EN-1699 EN ID:09011093</v>
      </c>
      <c r="P6676" s="17"/>
      <c r="Q6676" s="17"/>
      <c r="R6676" s="17"/>
      <c r="S6676" s="17"/>
    </row>
    <row r="6677" spans="3:20" x14ac:dyDescent="0.35">
      <c r="C6677" s="15" t="s">
        <v>8</v>
      </c>
      <c r="F6677" s="15" t="s">
        <v>8</v>
      </c>
      <c r="H6677" s="15" t="s">
        <v>8</v>
      </c>
      <c r="I6677" s="15" t="s">
        <v>8</v>
      </c>
      <c r="L6677" s="15" t="s">
        <v>8</v>
      </c>
      <c r="M6677" s="15" t="s">
        <v>8</v>
      </c>
      <c r="N6677" s="15" t="s">
        <v>8</v>
      </c>
      <c r="P6677" s="8" t="s">
        <v>6</v>
      </c>
    </row>
    <row r="6678" spans="3:20" x14ac:dyDescent="0.35">
      <c r="C6678" s="15" t="s">
        <v>8</v>
      </c>
      <c r="F6678" s="15" t="s">
        <v>8</v>
      </c>
      <c r="H6678" s="15" t="s">
        <v>8</v>
      </c>
      <c r="I6678" s="15" t="s">
        <v>8</v>
      </c>
      <c r="L6678" s="15" t="s">
        <v>8</v>
      </c>
      <c r="M6678" s="15" t="s">
        <v>8</v>
      </c>
      <c r="N6678" s="15" t="s">
        <v>8</v>
      </c>
      <c r="P6678" s="20" t="str">
        <f>HYPERLINK("http://yeinfo.com/family/I09022187.html", "FRANCES FROST &lt;2&gt; 1555 EN-1575 EN ID:09022187")</f>
        <v>FRANCES FROST &lt;2&gt; 1555 EN-1575 EN ID:09022187</v>
      </c>
      <c r="Q6678" s="17"/>
      <c r="R6678" s="17"/>
      <c r="S6678" s="17"/>
      <c r="T6678" s="17"/>
    </row>
    <row r="6679" spans="3:20" x14ac:dyDescent="0.35">
      <c r="C6679" s="15" t="s">
        <v>8</v>
      </c>
      <c r="F6679" s="15" t="s">
        <v>8</v>
      </c>
      <c r="H6679" s="15" t="s">
        <v>8</v>
      </c>
      <c r="I6679" s="15" t="s">
        <v>8</v>
      </c>
      <c r="L6679" s="15" t="s">
        <v>8</v>
      </c>
      <c r="M6679" s="8" t="s">
        <v>6</v>
      </c>
      <c r="N6679" s="15" t="s">
        <v>8</v>
      </c>
    </row>
    <row r="6680" spans="3:20" x14ac:dyDescent="0.35">
      <c r="C6680" s="15" t="s">
        <v>8</v>
      </c>
      <c r="F6680" s="15" t="s">
        <v>8</v>
      </c>
      <c r="H6680" s="15" t="s">
        <v>8</v>
      </c>
      <c r="I6680" s="15" t="s">
        <v>8</v>
      </c>
      <c r="L6680" s="15" t="s">
        <v>8</v>
      </c>
      <c r="M6680" s="22" t="str">
        <f>HYPERLINK("http://yeinfo.com/family/I09002773.html", "SUSANNAH PAGE GLEASON &lt;2&gt; 1635 EN-1677 MA ID:09002773")</f>
        <v>SUSANNAH PAGE GLEASON &lt;2&gt; 1635 EN-1677 MA ID:09002773</v>
      </c>
      <c r="N6680" s="13"/>
      <c r="O6680" s="13"/>
      <c r="P6680" s="13"/>
      <c r="Q6680" s="13"/>
    </row>
    <row r="6681" spans="3:20" x14ac:dyDescent="0.35">
      <c r="C6681" s="15" t="s">
        <v>8</v>
      </c>
      <c r="F6681" s="15" t="s">
        <v>8</v>
      </c>
      <c r="H6681" s="15" t="s">
        <v>8</v>
      </c>
      <c r="I6681" s="15" t="s">
        <v>8</v>
      </c>
      <c r="L6681" s="15" t="s">
        <v>8</v>
      </c>
      <c r="N6681" s="8" t="s">
        <v>6</v>
      </c>
    </row>
    <row r="6682" spans="3:20" x14ac:dyDescent="0.35">
      <c r="C6682" s="15" t="s">
        <v>8</v>
      </c>
      <c r="F6682" s="15" t="s">
        <v>8</v>
      </c>
      <c r="H6682" s="15" t="s">
        <v>8</v>
      </c>
      <c r="I6682" s="15" t="s">
        <v>8</v>
      </c>
      <c r="L6682" s="15" t="s">
        <v>8</v>
      </c>
      <c r="N6682" s="22" t="str">
        <f>HYPERLINK("http://yeinfo.com/family/I09005547.html", "SUSAN PAGE &lt;2&gt; 1614 EN-1681 MA ID:09005547")</f>
        <v>SUSAN PAGE &lt;2&gt; 1614 EN-1681 MA ID:09005547</v>
      </c>
      <c r="O6682" s="13"/>
      <c r="P6682" s="13"/>
      <c r="Q6682" s="13"/>
      <c r="R6682" s="13"/>
    </row>
    <row r="6683" spans="3:20" x14ac:dyDescent="0.35">
      <c r="C6683" s="15" t="s">
        <v>8</v>
      </c>
      <c r="F6683" s="15" t="s">
        <v>8</v>
      </c>
      <c r="H6683" s="15" t="s">
        <v>8</v>
      </c>
      <c r="I6683" s="15" t="s">
        <v>8</v>
      </c>
      <c r="L6683" s="15" t="s">
        <v>8</v>
      </c>
    </row>
    <row r="6684" spans="3:20" x14ac:dyDescent="0.35">
      <c r="C6684" s="15" t="s">
        <v>8</v>
      </c>
      <c r="F6684" s="15" t="s">
        <v>8</v>
      </c>
      <c r="H6684" s="15" t="s">
        <v>8</v>
      </c>
      <c r="I6684" s="15" t="s">
        <v>8</v>
      </c>
      <c r="K6684" s="5" t="str">
        <f>HYPERLINK("http://yeinfo.com/family/I09000370.html", "AMOS PRATT 1699 MA-1747 CN ID:09000740")</f>
        <v>AMOS PRATT 1699 MA-1747 CN ID:09000740</v>
      </c>
      <c r="L6684" s="3"/>
      <c r="M6684" s="3"/>
      <c r="N6684" s="3"/>
      <c r="O6684" s="3"/>
    </row>
    <row r="6685" spans="3:20" x14ac:dyDescent="0.35">
      <c r="C6685" s="15" t="s">
        <v>8</v>
      </c>
      <c r="F6685" s="15" t="s">
        <v>8</v>
      </c>
      <c r="H6685" s="15" t="s">
        <v>8</v>
      </c>
      <c r="I6685" s="15" t="s">
        <v>8</v>
      </c>
      <c r="K6685" s="8" t="s">
        <v>3</v>
      </c>
      <c r="L6685" s="15" t="s">
        <v>8</v>
      </c>
    </row>
    <row r="6686" spans="3:20" x14ac:dyDescent="0.35">
      <c r="C6686" s="15" t="s">
        <v>8</v>
      </c>
      <c r="F6686" s="15" t="s">
        <v>8</v>
      </c>
      <c r="H6686" s="15" t="s">
        <v>8</v>
      </c>
      <c r="I6686" s="15" t="s">
        <v>8</v>
      </c>
      <c r="K6686" s="15" t="s">
        <v>8</v>
      </c>
      <c r="L6686" s="15" t="s">
        <v>8</v>
      </c>
      <c r="N6686" s="21" t="str">
        <f>HYPERLINK("http://yeinfo.com/family/I09002962.html", "JOHN STIMSON 1605 EN-1643 MA ID:09005924")</f>
        <v>JOHN STIMSON 1605 EN-1643 MA ID:09005924</v>
      </c>
      <c r="O6686" s="6"/>
      <c r="P6686" s="6"/>
      <c r="Q6686" s="6"/>
      <c r="R6686" s="6"/>
    </row>
    <row r="6687" spans="3:20" x14ac:dyDescent="0.35">
      <c r="C6687" s="15" t="s">
        <v>8</v>
      </c>
      <c r="F6687" s="15" t="s">
        <v>8</v>
      </c>
      <c r="H6687" s="15" t="s">
        <v>8</v>
      </c>
      <c r="I6687" s="15" t="s">
        <v>8</v>
      </c>
      <c r="K6687" s="15" t="s">
        <v>8</v>
      </c>
      <c r="L6687" s="15" t="s">
        <v>8</v>
      </c>
      <c r="N6687" s="8" t="s">
        <v>3</v>
      </c>
    </row>
    <row r="6688" spans="3:20" x14ac:dyDescent="0.35">
      <c r="C6688" s="15" t="s">
        <v>8</v>
      </c>
      <c r="F6688" s="15" t="s">
        <v>8</v>
      </c>
      <c r="H6688" s="15" t="s">
        <v>8</v>
      </c>
      <c r="I6688" s="15" t="s">
        <v>8</v>
      </c>
      <c r="K6688" s="15" t="s">
        <v>8</v>
      </c>
      <c r="L6688" s="15" t="s">
        <v>8</v>
      </c>
      <c r="M6688" s="5" t="str">
        <f>HYPERLINK("http://yeinfo.com/family/I09001481.html", "JAMES STIMSON 1635 MA-1690 MA ID:09002962")</f>
        <v>JAMES STIMSON 1635 MA-1690 MA ID:09002962</v>
      </c>
      <c r="N6688" s="3"/>
      <c r="O6688" s="3"/>
      <c r="P6688" s="3"/>
      <c r="Q6688" s="3"/>
    </row>
    <row r="6689" spans="3:19" x14ac:dyDescent="0.35">
      <c r="C6689" s="15" t="s">
        <v>8</v>
      </c>
      <c r="F6689" s="15" t="s">
        <v>8</v>
      </c>
      <c r="H6689" s="15" t="s">
        <v>8</v>
      </c>
      <c r="I6689" s="15" t="s">
        <v>8</v>
      </c>
      <c r="K6689" s="15" t="s">
        <v>8</v>
      </c>
      <c r="L6689" s="15" t="s">
        <v>8</v>
      </c>
      <c r="M6689" s="8" t="s">
        <v>3</v>
      </c>
      <c r="N6689" s="8" t="s">
        <v>6</v>
      </c>
    </row>
    <row r="6690" spans="3:19" x14ac:dyDescent="0.35">
      <c r="C6690" s="15" t="s">
        <v>8</v>
      </c>
      <c r="F6690" s="15" t="s">
        <v>8</v>
      </c>
      <c r="H6690" s="15" t="s">
        <v>8</v>
      </c>
      <c r="I6690" s="15" t="s">
        <v>8</v>
      </c>
      <c r="K6690" s="15" t="s">
        <v>8</v>
      </c>
      <c r="L6690" s="15" t="s">
        <v>8</v>
      </c>
      <c r="M6690" s="15" t="s">
        <v>8</v>
      </c>
      <c r="N6690" s="16" t="str">
        <f>HYPERLINK("http://yeinfo.com/family/I09005924.html", "SUSANNA PHILLIPS 1609 EN-1691  ID:09005925")</f>
        <v>SUSANNA PHILLIPS 1609 EN-1691  ID:09005925</v>
      </c>
      <c r="O6690" s="11"/>
      <c r="P6690" s="11"/>
      <c r="Q6690" s="11"/>
      <c r="R6690" s="11"/>
    </row>
    <row r="6691" spans="3:19" x14ac:dyDescent="0.35">
      <c r="C6691" s="15" t="s">
        <v>8</v>
      </c>
      <c r="F6691" s="15" t="s">
        <v>8</v>
      </c>
      <c r="H6691" s="15" t="s">
        <v>8</v>
      </c>
      <c r="I6691" s="15" t="s">
        <v>8</v>
      </c>
      <c r="K6691" s="15" t="s">
        <v>8</v>
      </c>
      <c r="L6691" s="8" t="s">
        <v>6</v>
      </c>
      <c r="M6691" s="15" t="s">
        <v>8</v>
      </c>
    </row>
    <row r="6692" spans="3:19" x14ac:dyDescent="0.35">
      <c r="C6692" s="15" t="s">
        <v>8</v>
      </c>
      <c r="F6692" s="15" t="s">
        <v>8</v>
      </c>
      <c r="H6692" s="15" t="s">
        <v>8</v>
      </c>
      <c r="I6692" s="15" t="s">
        <v>8</v>
      </c>
      <c r="K6692" s="15" t="s">
        <v>8</v>
      </c>
      <c r="L6692" s="16" t="str">
        <f>HYPERLINK("http://yeinfo.com/family/I09001480.html", "RUTH STIMSON 1665 MA-1699 MA ID:09001481")</f>
        <v>RUTH STIMSON 1665 MA-1699 MA ID:09001481</v>
      </c>
      <c r="M6692" s="11"/>
      <c r="N6692" s="11"/>
      <c r="O6692" s="11"/>
      <c r="P6692" s="11"/>
    </row>
    <row r="6693" spans="3:19" x14ac:dyDescent="0.35">
      <c r="C6693" s="15" t="s">
        <v>8</v>
      </c>
      <c r="F6693" s="15" t="s">
        <v>8</v>
      </c>
      <c r="H6693" s="15" t="s">
        <v>8</v>
      </c>
      <c r="I6693" s="15" t="s">
        <v>8</v>
      </c>
      <c r="K6693" s="15" t="s">
        <v>8</v>
      </c>
      <c r="M6693" s="15" t="s">
        <v>8</v>
      </c>
    </row>
    <row r="6694" spans="3:19" x14ac:dyDescent="0.35">
      <c r="C6694" s="15" t="s">
        <v>8</v>
      </c>
      <c r="F6694" s="15" t="s">
        <v>8</v>
      </c>
      <c r="H6694" s="15" t="s">
        <v>8</v>
      </c>
      <c r="I6694" s="15" t="s">
        <v>8</v>
      </c>
      <c r="K6694" s="15" t="s">
        <v>8</v>
      </c>
      <c r="M6694" s="15" t="s">
        <v>8</v>
      </c>
      <c r="N6694" s="21" t="str">
        <f>HYPERLINK("http://yeinfo.com/family/I09002963.html", "MICHAEL LEPPINGWELL 1610 EN-1687 MA ID:09005926")</f>
        <v>MICHAEL LEPPINGWELL 1610 EN-1687 MA ID:09005926</v>
      </c>
      <c r="O6694" s="6"/>
      <c r="P6694" s="6"/>
      <c r="Q6694" s="6"/>
      <c r="R6694" s="6"/>
    </row>
    <row r="6695" spans="3:19" x14ac:dyDescent="0.35">
      <c r="C6695" s="15" t="s">
        <v>8</v>
      </c>
      <c r="F6695" s="15" t="s">
        <v>8</v>
      </c>
      <c r="H6695" s="15" t="s">
        <v>8</v>
      </c>
      <c r="I6695" s="15" t="s">
        <v>8</v>
      </c>
      <c r="K6695" s="15" t="s">
        <v>8</v>
      </c>
      <c r="M6695" s="8" t="s">
        <v>6</v>
      </c>
      <c r="N6695" s="8" t="s">
        <v>3</v>
      </c>
    </row>
    <row r="6696" spans="3:19" x14ac:dyDescent="0.35">
      <c r="C6696" s="15" t="s">
        <v>8</v>
      </c>
      <c r="F6696" s="15" t="s">
        <v>8</v>
      </c>
      <c r="H6696" s="15" t="s">
        <v>8</v>
      </c>
      <c r="I6696" s="15" t="s">
        <v>8</v>
      </c>
      <c r="K6696" s="15" t="s">
        <v>8</v>
      </c>
      <c r="M6696" s="16" t="str">
        <f>HYPERLINK("http://yeinfo.com/family/I09005925.html", "NAOMI LEPPINGWELL 1638 MA-1665 MA ID:09002963")</f>
        <v>NAOMI LEPPINGWELL 1638 MA-1665 MA ID:09002963</v>
      </c>
      <c r="N6696" s="11"/>
      <c r="O6696" s="11"/>
      <c r="P6696" s="11"/>
      <c r="Q6696" s="11"/>
    </row>
    <row r="6697" spans="3:19" x14ac:dyDescent="0.35">
      <c r="C6697" s="15" t="s">
        <v>8</v>
      </c>
      <c r="F6697" s="15" t="s">
        <v>8</v>
      </c>
      <c r="H6697" s="15" t="s">
        <v>8</v>
      </c>
      <c r="I6697" s="15" t="s">
        <v>8</v>
      </c>
      <c r="K6697" s="15" t="s">
        <v>8</v>
      </c>
      <c r="N6697" s="8" t="s">
        <v>6</v>
      </c>
    </row>
    <row r="6698" spans="3:19" x14ac:dyDescent="0.35">
      <c r="C6698" s="15" t="s">
        <v>8</v>
      </c>
      <c r="F6698" s="15" t="s">
        <v>8</v>
      </c>
      <c r="H6698" s="15" t="s">
        <v>8</v>
      </c>
      <c r="I6698" s="15" t="s">
        <v>8</v>
      </c>
      <c r="K6698" s="15" t="s">
        <v>8</v>
      </c>
      <c r="N6698" s="22" t="str">
        <f>HYPERLINK("http://yeinfo.com/family/I09005926.html", "ISABEL COX 1610 EN-1657 MA ID:09005927")</f>
        <v>ISABEL COX 1610 EN-1657 MA ID:09005927</v>
      </c>
      <c r="O6698" s="13"/>
      <c r="P6698" s="13"/>
      <c r="Q6698" s="13"/>
      <c r="R6698" s="13"/>
    </row>
    <row r="6699" spans="3:19" x14ac:dyDescent="0.35">
      <c r="C6699" s="15" t="s">
        <v>8</v>
      </c>
      <c r="F6699" s="15" t="s">
        <v>8</v>
      </c>
      <c r="H6699" s="15" t="s">
        <v>8</v>
      </c>
      <c r="I6699" s="15" t="s">
        <v>8</v>
      </c>
      <c r="K6699" s="15" t="s">
        <v>8</v>
      </c>
    </row>
    <row r="6700" spans="3:19" x14ac:dyDescent="0.35">
      <c r="C6700" s="15" t="s">
        <v>8</v>
      </c>
      <c r="F6700" s="15" t="s">
        <v>8</v>
      </c>
      <c r="H6700" s="15" t="s">
        <v>8</v>
      </c>
      <c r="I6700" s="15" t="s">
        <v>8</v>
      </c>
      <c r="J6700" s="5" t="str">
        <f>HYPERLINK("http://yeinfo.com/family/I09000185.html", "ALPHEUS PRATT 1731 MA-1806 VT ID:09000370")</f>
        <v>ALPHEUS PRATT 1731 MA-1806 VT ID:09000370</v>
      </c>
      <c r="K6700" s="3"/>
      <c r="L6700" s="3"/>
      <c r="M6700" s="3"/>
      <c r="N6700" s="3"/>
    </row>
    <row r="6701" spans="3:19" x14ac:dyDescent="0.35">
      <c r="C6701" s="15" t="s">
        <v>8</v>
      </c>
      <c r="F6701" s="15" t="s">
        <v>8</v>
      </c>
      <c r="H6701" s="15" t="s">
        <v>8</v>
      </c>
      <c r="I6701" s="15" t="s">
        <v>8</v>
      </c>
      <c r="J6701" s="8" t="s">
        <v>3</v>
      </c>
      <c r="K6701" s="15" t="s">
        <v>8</v>
      </c>
    </row>
    <row r="6702" spans="3:19" x14ac:dyDescent="0.35">
      <c r="C6702" s="15" t="s">
        <v>8</v>
      </c>
      <c r="F6702" s="15" t="s">
        <v>8</v>
      </c>
      <c r="H6702" s="15" t="s">
        <v>8</v>
      </c>
      <c r="I6702" s="15" t="s">
        <v>8</v>
      </c>
      <c r="J6702" s="15" t="s">
        <v>8</v>
      </c>
      <c r="K6702" s="15" t="s">
        <v>8</v>
      </c>
      <c r="O6702" s="19" t="str">
        <f>HYPERLINK("http://yeinfo.com/family/I09005928.html", "ELNATHAN ALLEN &lt;2&gt; 1572 EN-1640 EN ID:09011856")</f>
        <v>ELNATHAN ALLEN &lt;2&gt; 1572 EN-1640 EN ID:09011856</v>
      </c>
      <c r="P6702" s="9"/>
      <c r="Q6702" s="9"/>
      <c r="R6702" s="9"/>
      <c r="S6702" s="9"/>
    </row>
    <row r="6703" spans="3:19" x14ac:dyDescent="0.35">
      <c r="C6703" s="15" t="s">
        <v>8</v>
      </c>
      <c r="F6703" s="15" t="s">
        <v>8</v>
      </c>
      <c r="H6703" s="15" t="s">
        <v>8</v>
      </c>
      <c r="I6703" s="15" t="s">
        <v>8</v>
      </c>
      <c r="J6703" s="15" t="s">
        <v>8</v>
      </c>
      <c r="K6703" s="15" t="s">
        <v>8</v>
      </c>
      <c r="O6703" s="8" t="s">
        <v>3</v>
      </c>
    </row>
    <row r="6704" spans="3:19" x14ac:dyDescent="0.35">
      <c r="C6704" s="15" t="s">
        <v>8</v>
      </c>
      <c r="F6704" s="15" t="s">
        <v>8</v>
      </c>
      <c r="H6704" s="15" t="s">
        <v>8</v>
      </c>
      <c r="I6704" s="15" t="s">
        <v>8</v>
      </c>
      <c r="J6704" s="15" t="s">
        <v>8</v>
      </c>
      <c r="K6704" s="15" t="s">
        <v>8</v>
      </c>
      <c r="N6704" s="21" t="str">
        <f>HYPERLINK("http://yeinfo.com/family/I09002964.html", "WALTER ALLEN &lt;2&gt; 1601 EN-1681 MA ID:09005928")</f>
        <v>WALTER ALLEN &lt;2&gt; 1601 EN-1681 MA ID:09005928</v>
      </c>
      <c r="O6704" s="6"/>
      <c r="P6704" s="6"/>
      <c r="Q6704" s="6"/>
      <c r="R6704" s="6"/>
    </row>
    <row r="6705" spans="3:27" x14ac:dyDescent="0.35">
      <c r="C6705" s="15" t="s">
        <v>8</v>
      </c>
      <c r="F6705" s="15" t="s">
        <v>8</v>
      </c>
      <c r="H6705" s="15" t="s">
        <v>8</v>
      </c>
      <c r="I6705" s="15" t="s">
        <v>8</v>
      </c>
      <c r="J6705" s="15" t="s">
        <v>8</v>
      </c>
      <c r="K6705" s="15" t="s">
        <v>8</v>
      </c>
      <c r="N6705" s="8" t="s">
        <v>3</v>
      </c>
      <c r="O6705" s="8" t="s">
        <v>6</v>
      </c>
    </row>
    <row r="6706" spans="3:27" x14ac:dyDescent="0.35">
      <c r="C6706" s="15" t="s">
        <v>8</v>
      </c>
      <c r="F6706" s="15" t="s">
        <v>8</v>
      </c>
      <c r="H6706" s="15" t="s">
        <v>8</v>
      </c>
      <c r="I6706" s="15" t="s">
        <v>8</v>
      </c>
      <c r="J6706" s="15" t="s">
        <v>8</v>
      </c>
      <c r="K6706" s="15" t="s">
        <v>8</v>
      </c>
      <c r="N6706" s="15" t="s">
        <v>8</v>
      </c>
      <c r="O6706" s="20" t="str">
        <f>HYPERLINK("http://yeinfo.com/family/I09011856.html", "ANN TENCH &lt;2&gt; 1572 EN-1602 EN ID:09011857")</f>
        <v>ANN TENCH &lt;2&gt; 1572 EN-1602 EN ID:09011857</v>
      </c>
      <c r="P6706" s="17"/>
      <c r="Q6706" s="17"/>
      <c r="R6706" s="17"/>
      <c r="S6706" s="17"/>
    </row>
    <row r="6707" spans="3:27" x14ac:dyDescent="0.35">
      <c r="C6707" s="15" t="s">
        <v>8</v>
      </c>
      <c r="F6707" s="15" t="s">
        <v>8</v>
      </c>
      <c r="H6707" s="15" t="s">
        <v>8</v>
      </c>
      <c r="I6707" s="15" t="s">
        <v>8</v>
      </c>
      <c r="J6707" s="15" t="s">
        <v>8</v>
      </c>
      <c r="K6707" s="15" t="s">
        <v>8</v>
      </c>
      <c r="N6707" s="15" t="s">
        <v>8</v>
      </c>
    </row>
    <row r="6708" spans="3:27" x14ac:dyDescent="0.35">
      <c r="C6708" s="15" t="s">
        <v>8</v>
      </c>
      <c r="F6708" s="15" t="s">
        <v>8</v>
      </c>
      <c r="H6708" s="15" t="s">
        <v>8</v>
      </c>
      <c r="I6708" s="15" t="s">
        <v>8</v>
      </c>
      <c r="J6708" s="15" t="s">
        <v>8</v>
      </c>
      <c r="K6708" s="15" t="s">
        <v>8</v>
      </c>
      <c r="M6708" s="21" t="str">
        <f>HYPERLINK("http://yeinfo.com/family/I09001482.html", "DANIEL ALLEN &lt;2&gt; 1635 EN-1735 MA ID:09002964")</f>
        <v>DANIEL ALLEN &lt;2&gt; 1635 EN-1735 MA ID:09002964</v>
      </c>
      <c r="N6708" s="6"/>
      <c r="O6708" s="6"/>
      <c r="P6708" s="6"/>
      <c r="Q6708" s="6"/>
    </row>
    <row r="6709" spans="3:27" x14ac:dyDescent="0.35">
      <c r="C6709" s="15" t="s">
        <v>8</v>
      </c>
      <c r="F6709" s="15" t="s">
        <v>8</v>
      </c>
      <c r="H6709" s="15" t="s">
        <v>8</v>
      </c>
      <c r="I6709" s="15" t="s">
        <v>8</v>
      </c>
      <c r="J6709" s="15" t="s">
        <v>8</v>
      </c>
      <c r="K6709" s="15" t="s">
        <v>8</v>
      </c>
      <c r="M6709" s="8" t="s">
        <v>3</v>
      </c>
      <c r="N6709" s="15" t="s">
        <v>8</v>
      </c>
    </row>
    <row r="6710" spans="3:27" x14ac:dyDescent="0.35">
      <c r="C6710" s="15" t="s">
        <v>8</v>
      </c>
      <c r="F6710" s="15" t="s">
        <v>8</v>
      </c>
      <c r="H6710" s="15" t="s">
        <v>8</v>
      </c>
      <c r="I6710" s="15" t="s">
        <v>8</v>
      </c>
      <c r="J6710" s="15" t="s">
        <v>8</v>
      </c>
      <c r="K6710" s="15" t="s">
        <v>8</v>
      </c>
      <c r="M6710" s="15" t="s">
        <v>8</v>
      </c>
      <c r="N6710" s="15" t="s">
        <v>8</v>
      </c>
      <c r="T6710" s="19" t="str">
        <f>HYPERLINK("http://yeinfo.com/family/I09065732.html", "JOHN WARD &lt;2&gt; 1370 EN-1420 EN ID:09065879")</f>
        <v>JOHN WARD &lt;2&gt; 1370 EN-1420 EN ID:09065879</v>
      </c>
      <c r="U6710" s="9"/>
      <c r="V6710" s="9"/>
      <c r="W6710" s="9"/>
      <c r="X6710" s="9"/>
    </row>
    <row r="6711" spans="3:27" x14ac:dyDescent="0.35">
      <c r="C6711" s="15" t="s">
        <v>8</v>
      </c>
      <c r="F6711" s="15" t="s">
        <v>8</v>
      </c>
      <c r="H6711" s="15" t="s">
        <v>8</v>
      </c>
      <c r="I6711" s="15" t="s">
        <v>8</v>
      </c>
      <c r="J6711" s="15" t="s">
        <v>8</v>
      </c>
      <c r="K6711" s="15" t="s">
        <v>8</v>
      </c>
      <c r="M6711" s="15" t="s">
        <v>8</v>
      </c>
      <c r="N6711" s="15" t="s">
        <v>8</v>
      </c>
      <c r="T6711" s="8" t="s">
        <v>3</v>
      </c>
    </row>
    <row r="6712" spans="3:27" x14ac:dyDescent="0.35">
      <c r="C6712" s="15" t="s">
        <v>8</v>
      </c>
      <c r="F6712" s="15" t="s">
        <v>8</v>
      </c>
      <c r="H6712" s="15" t="s">
        <v>8</v>
      </c>
      <c r="I6712" s="15" t="s">
        <v>8</v>
      </c>
      <c r="J6712" s="15" t="s">
        <v>8</v>
      </c>
      <c r="K6712" s="15" t="s">
        <v>8</v>
      </c>
      <c r="M6712" s="15" t="s">
        <v>8</v>
      </c>
      <c r="N6712" s="15" t="s">
        <v>8</v>
      </c>
      <c r="S6712" s="19" t="str">
        <f>HYPERLINK("http://yeinfo.com/family/I09065599.html", "ROBERT WARD &lt;2&gt; 1410 WL-1470 EN ID:09065732")</f>
        <v>ROBERT WARD &lt;2&gt; 1410 WL-1470 EN ID:09065732</v>
      </c>
      <c r="T6712" s="9"/>
      <c r="U6712" s="9"/>
      <c r="V6712" s="9"/>
      <c r="W6712" s="9"/>
    </row>
    <row r="6713" spans="3:27" x14ac:dyDescent="0.35">
      <c r="C6713" s="15" t="s">
        <v>8</v>
      </c>
      <c r="F6713" s="15" t="s">
        <v>8</v>
      </c>
      <c r="H6713" s="15" t="s">
        <v>8</v>
      </c>
      <c r="I6713" s="15" t="s">
        <v>8</v>
      </c>
      <c r="J6713" s="15" t="s">
        <v>8</v>
      </c>
      <c r="K6713" s="15" t="s">
        <v>8</v>
      </c>
      <c r="M6713" s="15" t="s">
        <v>8</v>
      </c>
      <c r="N6713" s="15" t="s">
        <v>8</v>
      </c>
      <c r="S6713" s="8" t="s">
        <v>3</v>
      </c>
      <c r="T6713" s="15" t="s">
        <v>8</v>
      </c>
    </row>
    <row r="6714" spans="3:27" x14ac:dyDescent="0.35">
      <c r="C6714" s="15" t="s">
        <v>8</v>
      </c>
      <c r="F6714" s="15" t="s">
        <v>8</v>
      </c>
      <c r="H6714" s="15" t="s">
        <v>8</v>
      </c>
      <c r="I6714" s="15" t="s">
        <v>8</v>
      </c>
      <c r="J6714" s="15" t="s">
        <v>8</v>
      </c>
      <c r="K6714" s="15" t="s">
        <v>8</v>
      </c>
      <c r="M6714" s="15" t="s">
        <v>8</v>
      </c>
      <c r="N6714" s="15" t="s">
        <v>8</v>
      </c>
      <c r="S6714" s="15" t="s">
        <v>8</v>
      </c>
      <c r="T6714" s="15" t="s">
        <v>8</v>
      </c>
      <c r="W6714" s="19" t="str">
        <f>HYPERLINK("http://yeinfo.com/family/I09066727.html", "RICHARD APPLEYARD &lt;2&gt; 1280 EN-1365 EN ID:09066729")</f>
        <v>RICHARD APPLEYARD &lt;2&gt; 1280 EN-1365 EN ID:09066729</v>
      </c>
      <c r="X6714" s="9"/>
      <c r="Y6714" s="9"/>
      <c r="Z6714" s="9"/>
      <c r="AA6714" s="9"/>
    </row>
    <row r="6715" spans="3:27" x14ac:dyDescent="0.35">
      <c r="C6715" s="15" t="s">
        <v>8</v>
      </c>
      <c r="F6715" s="15" t="s">
        <v>8</v>
      </c>
      <c r="H6715" s="15" t="s">
        <v>8</v>
      </c>
      <c r="I6715" s="15" t="s">
        <v>8</v>
      </c>
      <c r="J6715" s="15" t="s">
        <v>8</v>
      </c>
      <c r="K6715" s="15" t="s">
        <v>8</v>
      </c>
      <c r="M6715" s="15" t="s">
        <v>8</v>
      </c>
      <c r="N6715" s="15" t="s">
        <v>8</v>
      </c>
      <c r="S6715" s="15" t="s">
        <v>8</v>
      </c>
      <c r="T6715" s="15" t="s">
        <v>8</v>
      </c>
      <c r="W6715" s="8" t="s">
        <v>3</v>
      </c>
    </row>
    <row r="6716" spans="3:27" x14ac:dyDescent="0.35">
      <c r="C6716" s="15" t="s">
        <v>8</v>
      </c>
      <c r="F6716" s="15" t="s">
        <v>8</v>
      </c>
      <c r="H6716" s="15" t="s">
        <v>8</v>
      </c>
      <c r="I6716" s="15" t="s">
        <v>8</v>
      </c>
      <c r="J6716" s="15" t="s">
        <v>8</v>
      </c>
      <c r="K6716" s="15" t="s">
        <v>8</v>
      </c>
      <c r="M6716" s="15" t="s">
        <v>8</v>
      </c>
      <c r="N6716" s="15" t="s">
        <v>8</v>
      </c>
      <c r="S6716" s="15" t="s">
        <v>8</v>
      </c>
      <c r="T6716" s="15" t="s">
        <v>8</v>
      </c>
      <c r="V6716" s="19" t="str">
        <f>HYPERLINK("http://yeinfo.com/family/I09066725.html", "NICHOLAS APPLEYARD &lt;2&gt; 1305 EN-1349 EN ID:09066727")</f>
        <v>NICHOLAS APPLEYARD &lt;2&gt; 1305 EN-1349 EN ID:09066727</v>
      </c>
      <c r="W6716" s="9"/>
      <c r="X6716" s="9"/>
      <c r="Y6716" s="9"/>
      <c r="Z6716" s="9"/>
    </row>
    <row r="6717" spans="3:27" x14ac:dyDescent="0.35">
      <c r="C6717" s="15" t="s">
        <v>8</v>
      </c>
      <c r="F6717" s="15" t="s">
        <v>8</v>
      </c>
      <c r="H6717" s="15" t="s">
        <v>8</v>
      </c>
      <c r="I6717" s="15" t="s">
        <v>8</v>
      </c>
      <c r="J6717" s="15" t="s">
        <v>8</v>
      </c>
      <c r="K6717" s="15" t="s">
        <v>8</v>
      </c>
      <c r="M6717" s="15" t="s">
        <v>8</v>
      </c>
      <c r="N6717" s="15" t="s">
        <v>8</v>
      </c>
      <c r="S6717" s="15" t="s">
        <v>8</v>
      </c>
      <c r="T6717" s="15" t="s">
        <v>8</v>
      </c>
      <c r="V6717" s="8" t="s">
        <v>3</v>
      </c>
      <c r="W6717" s="8" t="s">
        <v>6</v>
      </c>
    </row>
    <row r="6718" spans="3:27" x14ac:dyDescent="0.35">
      <c r="C6718" s="15" t="s">
        <v>8</v>
      </c>
      <c r="F6718" s="15" t="s">
        <v>8</v>
      </c>
      <c r="H6718" s="15" t="s">
        <v>8</v>
      </c>
      <c r="I6718" s="15" t="s">
        <v>8</v>
      </c>
      <c r="J6718" s="15" t="s">
        <v>8</v>
      </c>
      <c r="K6718" s="15" t="s">
        <v>8</v>
      </c>
      <c r="M6718" s="15" t="s">
        <v>8</v>
      </c>
      <c r="N6718" s="15" t="s">
        <v>8</v>
      </c>
      <c r="S6718" s="15" t="s">
        <v>8</v>
      </c>
      <c r="T6718" s="15" t="s">
        <v>8</v>
      </c>
      <c r="V6718" s="15" t="s">
        <v>8</v>
      </c>
      <c r="W6718" s="20" t="str">
        <f>HYPERLINK("http://yeinfo.com/family/I09066729.html", "Mrs. W. APPLEYARD &lt;2&gt; 1290 EN-1364 EN ID:09066730")</f>
        <v>Mrs. W. APPLEYARD &lt;2&gt; 1290 EN-1364 EN ID:09066730</v>
      </c>
      <c r="X6718" s="17"/>
      <c r="Y6718" s="17"/>
      <c r="Z6718" s="17"/>
      <c r="AA6718" s="17"/>
    </row>
    <row r="6719" spans="3:27" x14ac:dyDescent="0.35">
      <c r="C6719" s="15" t="s">
        <v>8</v>
      </c>
      <c r="F6719" s="15" t="s">
        <v>8</v>
      </c>
      <c r="H6719" s="15" t="s">
        <v>8</v>
      </c>
      <c r="I6719" s="15" t="s">
        <v>8</v>
      </c>
      <c r="J6719" s="15" t="s">
        <v>8</v>
      </c>
      <c r="K6719" s="15" t="s">
        <v>8</v>
      </c>
      <c r="M6719" s="15" t="s">
        <v>8</v>
      </c>
      <c r="N6719" s="15" t="s">
        <v>8</v>
      </c>
      <c r="S6719" s="15" t="s">
        <v>8</v>
      </c>
      <c r="T6719" s="15" t="s">
        <v>8</v>
      </c>
      <c r="V6719" s="15" t="s">
        <v>8</v>
      </c>
    </row>
    <row r="6720" spans="3:27" x14ac:dyDescent="0.35">
      <c r="C6720" s="15" t="s">
        <v>8</v>
      </c>
      <c r="F6720" s="15" t="s">
        <v>8</v>
      </c>
      <c r="H6720" s="15" t="s">
        <v>8</v>
      </c>
      <c r="I6720" s="15" t="s">
        <v>8</v>
      </c>
      <c r="J6720" s="15" t="s">
        <v>8</v>
      </c>
      <c r="K6720" s="15" t="s">
        <v>8</v>
      </c>
      <c r="M6720" s="15" t="s">
        <v>8</v>
      </c>
      <c r="N6720" s="15" t="s">
        <v>8</v>
      </c>
      <c r="S6720" s="15" t="s">
        <v>8</v>
      </c>
      <c r="T6720" s="15" t="s">
        <v>8</v>
      </c>
      <c r="U6720" s="19" t="str">
        <f>HYPERLINK("http://yeinfo.com/family/I09065880.html", "BARTHOLOMEW APPLEYARD &lt;2&gt; 1335 EN-1412 EN ID:09066725")</f>
        <v>BARTHOLOMEW APPLEYARD &lt;2&gt; 1335 EN-1412 EN ID:09066725</v>
      </c>
      <c r="V6720" s="9"/>
      <c r="W6720" s="9"/>
      <c r="X6720" s="9"/>
      <c r="Y6720" s="9"/>
    </row>
    <row r="6721" spans="3:26" x14ac:dyDescent="0.35">
      <c r="C6721" s="15" t="s">
        <v>8</v>
      </c>
      <c r="F6721" s="15" t="s">
        <v>8</v>
      </c>
      <c r="H6721" s="15" t="s">
        <v>8</v>
      </c>
      <c r="I6721" s="15" t="s">
        <v>8</v>
      </c>
      <c r="J6721" s="15" t="s">
        <v>8</v>
      </c>
      <c r="K6721" s="15" t="s">
        <v>8</v>
      </c>
      <c r="M6721" s="15" t="s">
        <v>8</v>
      </c>
      <c r="N6721" s="15" t="s">
        <v>8</v>
      </c>
      <c r="S6721" s="15" t="s">
        <v>8</v>
      </c>
      <c r="T6721" s="15" t="s">
        <v>8</v>
      </c>
      <c r="U6721" s="8" t="s">
        <v>3</v>
      </c>
      <c r="V6721" s="8" t="s">
        <v>6</v>
      </c>
    </row>
    <row r="6722" spans="3:26" x14ac:dyDescent="0.35">
      <c r="C6722" s="15" t="s">
        <v>8</v>
      </c>
      <c r="F6722" s="15" t="s">
        <v>8</v>
      </c>
      <c r="H6722" s="15" t="s">
        <v>8</v>
      </c>
      <c r="I6722" s="15" t="s">
        <v>8</v>
      </c>
      <c r="J6722" s="15" t="s">
        <v>8</v>
      </c>
      <c r="K6722" s="15" t="s">
        <v>8</v>
      </c>
      <c r="M6722" s="15" t="s">
        <v>8</v>
      </c>
      <c r="N6722" s="15" t="s">
        <v>8</v>
      </c>
      <c r="S6722" s="15" t="s">
        <v>8</v>
      </c>
      <c r="T6722" s="15" t="s">
        <v>8</v>
      </c>
      <c r="U6722" s="15" t="s">
        <v>8</v>
      </c>
      <c r="V6722" s="20" t="str">
        <f>HYPERLINK("http://yeinfo.com/family/I09066730.html", "Mrs. {_?_} APPLEYARD &lt;2&gt; 1310 EN-1335 EN ID:09066728")</f>
        <v>Mrs. {_?_} APPLEYARD &lt;2&gt; 1310 EN-1335 EN ID:09066728</v>
      </c>
      <c r="W6722" s="17"/>
      <c r="X6722" s="17"/>
      <c r="Y6722" s="17"/>
      <c r="Z6722" s="17"/>
    </row>
    <row r="6723" spans="3:26" x14ac:dyDescent="0.35">
      <c r="C6723" s="15" t="s">
        <v>8</v>
      </c>
      <c r="F6723" s="15" t="s">
        <v>8</v>
      </c>
      <c r="H6723" s="15" t="s">
        <v>8</v>
      </c>
      <c r="I6723" s="15" t="s">
        <v>8</v>
      </c>
      <c r="J6723" s="15" t="s">
        <v>8</v>
      </c>
      <c r="K6723" s="15" t="s">
        <v>8</v>
      </c>
      <c r="M6723" s="15" t="s">
        <v>8</v>
      </c>
      <c r="N6723" s="15" t="s">
        <v>8</v>
      </c>
      <c r="S6723" s="15" t="s">
        <v>8</v>
      </c>
      <c r="T6723" s="8" t="s">
        <v>6</v>
      </c>
      <c r="U6723" s="15" t="s">
        <v>8</v>
      </c>
    </row>
    <row r="6724" spans="3:26" x14ac:dyDescent="0.35">
      <c r="C6724" s="15" t="s">
        <v>8</v>
      </c>
      <c r="F6724" s="15" t="s">
        <v>8</v>
      </c>
      <c r="H6724" s="15" t="s">
        <v>8</v>
      </c>
      <c r="I6724" s="15" t="s">
        <v>8</v>
      </c>
      <c r="J6724" s="15" t="s">
        <v>8</v>
      </c>
      <c r="K6724" s="15" t="s">
        <v>8</v>
      </c>
      <c r="M6724" s="15" t="s">
        <v>8</v>
      </c>
      <c r="N6724" s="15" t="s">
        <v>8</v>
      </c>
      <c r="S6724" s="15" t="s">
        <v>8</v>
      </c>
      <c r="T6724" s="20" t="str">
        <f>HYPERLINK("http://yeinfo.com/family/I09065879.html", "CATHERINE APPLEYARD &lt;2&gt; 1352 EN-1430 EN ID:09065880")</f>
        <v>CATHERINE APPLEYARD &lt;2&gt; 1352 EN-1430 EN ID:09065880</v>
      </c>
      <c r="U6724" s="17"/>
      <c r="V6724" s="17"/>
      <c r="W6724" s="17"/>
      <c r="X6724" s="17"/>
    </row>
    <row r="6725" spans="3:26" x14ac:dyDescent="0.35">
      <c r="C6725" s="15" t="s">
        <v>8</v>
      </c>
      <c r="F6725" s="15" t="s">
        <v>8</v>
      </c>
      <c r="H6725" s="15" t="s">
        <v>8</v>
      </c>
      <c r="I6725" s="15" t="s">
        <v>8</v>
      </c>
      <c r="J6725" s="15" t="s">
        <v>8</v>
      </c>
      <c r="K6725" s="15" t="s">
        <v>8</v>
      </c>
      <c r="M6725" s="15" t="s">
        <v>8</v>
      </c>
      <c r="N6725" s="15" t="s">
        <v>8</v>
      </c>
      <c r="S6725" s="15" t="s">
        <v>8</v>
      </c>
      <c r="U6725" s="8" t="s">
        <v>6</v>
      </c>
    </row>
    <row r="6726" spans="3:26" x14ac:dyDescent="0.35">
      <c r="C6726" s="15" t="s">
        <v>8</v>
      </c>
      <c r="F6726" s="15" t="s">
        <v>8</v>
      </c>
      <c r="H6726" s="15" t="s">
        <v>8</v>
      </c>
      <c r="I6726" s="15" t="s">
        <v>8</v>
      </c>
      <c r="J6726" s="15" t="s">
        <v>8</v>
      </c>
      <c r="K6726" s="15" t="s">
        <v>8</v>
      </c>
      <c r="M6726" s="15" t="s">
        <v>8</v>
      </c>
      <c r="N6726" s="15" t="s">
        <v>8</v>
      </c>
      <c r="S6726" s="15" t="s">
        <v>8</v>
      </c>
      <c r="U6726" s="20" t="str">
        <f>HYPERLINK("http://yeinfo.com/family/I09066728.html", "EMMA BURWELL &lt;2&gt; 1337 EN-1394 EN ID:09066726")</f>
        <v>EMMA BURWELL &lt;2&gt; 1337 EN-1394 EN ID:09066726</v>
      </c>
      <c r="V6726" s="17"/>
      <c r="W6726" s="17"/>
      <c r="X6726" s="17"/>
      <c r="Y6726" s="17"/>
    </row>
    <row r="6727" spans="3:26" x14ac:dyDescent="0.35">
      <c r="C6727" s="15" t="s">
        <v>8</v>
      </c>
      <c r="F6727" s="15" t="s">
        <v>8</v>
      </c>
      <c r="H6727" s="15" t="s">
        <v>8</v>
      </c>
      <c r="I6727" s="15" t="s">
        <v>8</v>
      </c>
      <c r="J6727" s="15" t="s">
        <v>8</v>
      </c>
      <c r="K6727" s="15" t="s">
        <v>8</v>
      </c>
      <c r="M6727" s="15" t="s">
        <v>8</v>
      </c>
      <c r="N6727" s="15" t="s">
        <v>8</v>
      </c>
      <c r="S6727" s="15" t="s">
        <v>8</v>
      </c>
    </row>
    <row r="6728" spans="3:26" x14ac:dyDescent="0.35">
      <c r="C6728" s="15" t="s">
        <v>8</v>
      </c>
      <c r="F6728" s="15" t="s">
        <v>8</v>
      </c>
      <c r="H6728" s="15" t="s">
        <v>8</v>
      </c>
      <c r="I6728" s="15" t="s">
        <v>8</v>
      </c>
      <c r="J6728" s="15" t="s">
        <v>8</v>
      </c>
      <c r="K6728" s="15" t="s">
        <v>8</v>
      </c>
      <c r="M6728" s="15" t="s">
        <v>8</v>
      </c>
      <c r="N6728" s="15" t="s">
        <v>8</v>
      </c>
      <c r="R6728" s="19" t="str">
        <f>HYPERLINK("http://yeinfo.com/family/I09047432.html", "ROBERT WARD &lt;2&gt; 1460 EN-1520 EN ID:09065599")</f>
        <v>ROBERT WARD &lt;2&gt; 1460 EN-1520 EN ID:09065599</v>
      </c>
      <c r="S6728" s="9"/>
      <c r="T6728" s="9"/>
      <c r="U6728" s="9"/>
      <c r="V6728" s="9"/>
    </row>
    <row r="6729" spans="3:26" x14ac:dyDescent="0.35">
      <c r="C6729" s="15" t="s">
        <v>8</v>
      </c>
      <c r="F6729" s="15" t="s">
        <v>8</v>
      </c>
      <c r="H6729" s="15" t="s">
        <v>8</v>
      </c>
      <c r="I6729" s="15" t="s">
        <v>8</v>
      </c>
      <c r="J6729" s="15" t="s">
        <v>8</v>
      </c>
      <c r="K6729" s="15" t="s">
        <v>8</v>
      </c>
      <c r="M6729" s="15" t="s">
        <v>8</v>
      </c>
      <c r="N6729" s="15" t="s">
        <v>8</v>
      </c>
      <c r="R6729" s="8" t="s">
        <v>3</v>
      </c>
      <c r="S6729" s="15" t="s">
        <v>8</v>
      </c>
    </row>
    <row r="6730" spans="3:26" x14ac:dyDescent="0.35">
      <c r="C6730" s="15" t="s">
        <v>8</v>
      </c>
      <c r="F6730" s="15" t="s">
        <v>8</v>
      </c>
      <c r="H6730" s="15" t="s">
        <v>8</v>
      </c>
      <c r="I6730" s="15" t="s">
        <v>8</v>
      </c>
      <c r="J6730" s="15" t="s">
        <v>8</v>
      </c>
      <c r="K6730" s="15" t="s">
        <v>8</v>
      </c>
      <c r="M6730" s="15" t="s">
        <v>8</v>
      </c>
      <c r="N6730" s="15" t="s">
        <v>8</v>
      </c>
      <c r="R6730" s="15" t="s">
        <v>8</v>
      </c>
      <c r="S6730" s="15" t="s">
        <v>8</v>
      </c>
      <c r="T6730" s="19" t="str">
        <f>HYPERLINK("http://yeinfo.com/family/I09065733.html", "ROBERT KEMPE &lt;2&gt; 1360 EN-1400 EN ID:09065881")</f>
        <v>ROBERT KEMPE &lt;2&gt; 1360 EN-1400 EN ID:09065881</v>
      </c>
      <c r="U6730" s="9"/>
      <c r="V6730" s="9"/>
      <c r="W6730" s="9"/>
      <c r="X6730" s="9"/>
    </row>
    <row r="6731" spans="3:26" x14ac:dyDescent="0.35">
      <c r="C6731" s="15" t="s">
        <v>8</v>
      </c>
      <c r="F6731" s="15" t="s">
        <v>8</v>
      </c>
      <c r="H6731" s="15" t="s">
        <v>8</v>
      </c>
      <c r="I6731" s="15" t="s">
        <v>8</v>
      </c>
      <c r="J6731" s="15" t="s">
        <v>8</v>
      </c>
      <c r="K6731" s="15" t="s">
        <v>8</v>
      </c>
      <c r="M6731" s="15" t="s">
        <v>8</v>
      </c>
      <c r="N6731" s="15" t="s">
        <v>8</v>
      </c>
      <c r="R6731" s="15" t="s">
        <v>8</v>
      </c>
      <c r="S6731" s="8" t="s">
        <v>6</v>
      </c>
      <c r="T6731" s="8" t="s">
        <v>3</v>
      </c>
    </row>
    <row r="6732" spans="3:26" x14ac:dyDescent="0.35">
      <c r="C6732" s="15" t="s">
        <v>8</v>
      </c>
      <c r="F6732" s="15" t="s">
        <v>8</v>
      </c>
      <c r="H6732" s="15" t="s">
        <v>8</v>
      </c>
      <c r="I6732" s="15" t="s">
        <v>8</v>
      </c>
      <c r="J6732" s="15" t="s">
        <v>8</v>
      </c>
      <c r="K6732" s="15" t="s">
        <v>8</v>
      </c>
      <c r="M6732" s="15" t="s">
        <v>8</v>
      </c>
      <c r="N6732" s="15" t="s">
        <v>8</v>
      </c>
      <c r="R6732" s="15" t="s">
        <v>8</v>
      </c>
      <c r="S6732" s="20" t="str">
        <f>HYPERLINK("http://yeinfo.com/family/I09066726.html", "MARGARET\ALICE ALICE KEMPE &lt;2&gt; 1400 EN-1461 EN ID:09065733")</f>
        <v>MARGARET\ALICE ALICE KEMPE &lt;2&gt; 1400 EN-1461 EN ID:09065733</v>
      </c>
      <c r="T6732" s="17"/>
      <c r="U6732" s="17"/>
      <c r="V6732" s="17"/>
      <c r="W6732" s="17"/>
      <c r="X6732" s="17"/>
    </row>
    <row r="6733" spans="3:26" x14ac:dyDescent="0.35">
      <c r="C6733" s="15" t="s">
        <v>8</v>
      </c>
      <c r="F6733" s="15" t="s">
        <v>8</v>
      </c>
      <c r="H6733" s="15" t="s">
        <v>8</v>
      </c>
      <c r="I6733" s="15" t="s">
        <v>8</v>
      </c>
      <c r="J6733" s="15" t="s">
        <v>8</v>
      </c>
      <c r="K6733" s="15" t="s">
        <v>8</v>
      </c>
      <c r="M6733" s="15" t="s">
        <v>8</v>
      </c>
      <c r="N6733" s="15" t="s">
        <v>8</v>
      </c>
      <c r="R6733" s="15" t="s">
        <v>8</v>
      </c>
      <c r="T6733" s="8" t="s">
        <v>6</v>
      </c>
    </row>
    <row r="6734" spans="3:26" x14ac:dyDescent="0.35">
      <c r="C6734" s="15" t="s">
        <v>8</v>
      </c>
      <c r="F6734" s="15" t="s">
        <v>8</v>
      </c>
      <c r="H6734" s="15" t="s">
        <v>8</v>
      </c>
      <c r="I6734" s="15" t="s">
        <v>8</v>
      </c>
      <c r="J6734" s="15" t="s">
        <v>8</v>
      </c>
      <c r="K6734" s="15" t="s">
        <v>8</v>
      </c>
      <c r="M6734" s="15" t="s">
        <v>8</v>
      </c>
      <c r="N6734" s="15" t="s">
        <v>8</v>
      </c>
      <c r="R6734" s="15" t="s">
        <v>8</v>
      </c>
      <c r="T6734" s="20" t="str">
        <f>HYPERLINK("http://yeinfo.com/family/I09065881.html", "KATHERINE HAWKER &lt;2&gt; 1380 EN-1400  ID:09065882")</f>
        <v>KATHERINE HAWKER &lt;2&gt; 1380 EN-1400  ID:09065882</v>
      </c>
      <c r="U6734" s="17"/>
      <c r="V6734" s="17"/>
      <c r="W6734" s="17"/>
      <c r="X6734" s="17"/>
    </row>
    <row r="6735" spans="3:26" x14ac:dyDescent="0.35">
      <c r="C6735" s="15" t="s">
        <v>8</v>
      </c>
      <c r="F6735" s="15" t="s">
        <v>8</v>
      </c>
      <c r="H6735" s="15" t="s">
        <v>8</v>
      </c>
      <c r="I6735" s="15" t="s">
        <v>8</v>
      </c>
      <c r="J6735" s="15" t="s">
        <v>8</v>
      </c>
      <c r="K6735" s="15" t="s">
        <v>8</v>
      </c>
      <c r="M6735" s="15" t="s">
        <v>8</v>
      </c>
      <c r="N6735" s="15" t="s">
        <v>8</v>
      </c>
      <c r="R6735" s="15" t="s">
        <v>8</v>
      </c>
    </row>
    <row r="6736" spans="3:26" x14ac:dyDescent="0.35">
      <c r="C6736" s="15" t="s">
        <v>8</v>
      </c>
      <c r="F6736" s="15" t="s">
        <v>8</v>
      </c>
      <c r="H6736" s="15" t="s">
        <v>8</v>
      </c>
      <c r="I6736" s="15" t="s">
        <v>8</v>
      </c>
      <c r="J6736" s="15" t="s">
        <v>8</v>
      </c>
      <c r="K6736" s="15" t="s">
        <v>8</v>
      </c>
      <c r="M6736" s="15" t="s">
        <v>8</v>
      </c>
      <c r="N6736" s="15" t="s">
        <v>8</v>
      </c>
      <c r="Q6736" s="19" t="str">
        <f>HYPERLINK("http://yeinfo.com/family/I09023716.html", "ROBERT WARD &lt;2&gt; 1500 EN-1534 EN ID:09047432")</f>
        <v>ROBERT WARD &lt;2&gt; 1500 EN-1534 EN ID:09047432</v>
      </c>
      <c r="R6736" s="9"/>
      <c r="S6736" s="9"/>
      <c r="T6736" s="9"/>
      <c r="U6736" s="9"/>
    </row>
    <row r="6737" spans="3:25" x14ac:dyDescent="0.35">
      <c r="C6737" s="15" t="s">
        <v>8</v>
      </c>
      <c r="F6737" s="15" t="s">
        <v>8</v>
      </c>
      <c r="H6737" s="15" t="s">
        <v>8</v>
      </c>
      <c r="I6737" s="15" t="s">
        <v>8</v>
      </c>
      <c r="J6737" s="15" t="s">
        <v>8</v>
      </c>
      <c r="K6737" s="15" t="s">
        <v>8</v>
      </c>
      <c r="M6737" s="15" t="s">
        <v>8</v>
      </c>
      <c r="N6737" s="15" t="s">
        <v>8</v>
      </c>
      <c r="Q6737" s="8" t="s">
        <v>3</v>
      </c>
      <c r="R6737" s="8" t="s">
        <v>6</v>
      </c>
    </row>
    <row r="6738" spans="3:25" x14ac:dyDescent="0.35">
      <c r="C6738" s="15" t="s">
        <v>8</v>
      </c>
      <c r="F6738" s="15" t="s">
        <v>8</v>
      </c>
      <c r="H6738" s="15" t="s">
        <v>8</v>
      </c>
      <c r="I6738" s="15" t="s">
        <v>8</v>
      </c>
      <c r="J6738" s="15" t="s">
        <v>8</v>
      </c>
      <c r="K6738" s="15" t="s">
        <v>8</v>
      </c>
      <c r="M6738" s="15" t="s">
        <v>8</v>
      </c>
      <c r="N6738" s="15" t="s">
        <v>8</v>
      </c>
      <c r="Q6738" s="15" t="s">
        <v>8</v>
      </c>
      <c r="R6738" s="20" t="str">
        <f>HYPERLINK("http://yeinfo.com/family/I09065882.html", "ANNE COPPERDICK &lt;2&gt; 1462 WL-1502 EN ID:09065600")</f>
        <v>ANNE COPPERDICK &lt;2&gt; 1462 WL-1502 EN ID:09065600</v>
      </c>
      <c r="S6738" s="17"/>
      <c r="T6738" s="17"/>
      <c r="U6738" s="17"/>
      <c r="V6738" s="17"/>
    </row>
    <row r="6739" spans="3:25" x14ac:dyDescent="0.35">
      <c r="C6739" s="15" t="s">
        <v>8</v>
      </c>
      <c r="F6739" s="15" t="s">
        <v>8</v>
      </c>
      <c r="H6739" s="15" t="s">
        <v>8</v>
      </c>
      <c r="I6739" s="15" t="s">
        <v>8</v>
      </c>
      <c r="J6739" s="15" t="s">
        <v>8</v>
      </c>
      <c r="K6739" s="15" t="s">
        <v>8</v>
      </c>
      <c r="M6739" s="15" t="s">
        <v>8</v>
      </c>
      <c r="N6739" s="15" t="s">
        <v>8</v>
      </c>
      <c r="Q6739" s="15" t="s">
        <v>8</v>
      </c>
    </row>
    <row r="6740" spans="3:25" x14ac:dyDescent="0.35">
      <c r="C6740" s="15" t="s">
        <v>8</v>
      </c>
      <c r="F6740" s="15" t="s">
        <v>8</v>
      </c>
      <c r="H6740" s="15" t="s">
        <v>8</v>
      </c>
      <c r="I6740" s="15" t="s">
        <v>8</v>
      </c>
      <c r="J6740" s="15" t="s">
        <v>8</v>
      </c>
      <c r="K6740" s="15" t="s">
        <v>8</v>
      </c>
      <c r="M6740" s="15" t="s">
        <v>8</v>
      </c>
      <c r="N6740" s="15" t="s">
        <v>8</v>
      </c>
      <c r="P6740" s="19" t="str">
        <f>HYPERLINK("http://yeinfo.com/family/I09011858.html", "HENRY WARD &lt;2&gt; 1519 EN-1540 EN ID:09023716")</f>
        <v>HENRY WARD &lt;2&gt; 1519 EN-1540 EN ID:09023716</v>
      </c>
      <c r="Q6740" s="9"/>
      <c r="R6740" s="9"/>
      <c r="S6740" s="9"/>
      <c r="T6740" s="9"/>
    </row>
    <row r="6741" spans="3:25" x14ac:dyDescent="0.35">
      <c r="C6741" s="15" t="s">
        <v>8</v>
      </c>
      <c r="F6741" s="15" t="s">
        <v>8</v>
      </c>
      <c r="H6741" s="15" t="s">
        <v>8</v>
      </c>
      <c r="I6741" s="15" t="s">
        <v>8</v>
      </c>
      <c r="J6741" s="15" t="s">
        <v>8</v>
      </c>
      <c r="K6741" s="15" t="s">
        <v>8</v>
      </c>
      <c r="M6741" s="15" t="s">
        <v>8</v>
      </c>
      <c r="N6741" s="15" t="s">
        <v>8</v>
      </c>
      <c r="P6741" s="8" t="s">
        <v>3</v>
      </c>
      <c r="Q6741" s="15" t="s">
        <v>8</v>
      </c>
    </row>
    <row r="6742" spans="3:25" x14ac:dyDescent="0.35">
      <c r="C6742" s="15" t="s">
        <v>8</v>
      </c>
      <c r="F6742" s="15" t="s">
        <v>8</v>
      </c>
      <c r="H6742" s="15" t="s">
        <v>8</v>
      </c>
      <c r="I6742" s="15" t="s">
        <v>8</v>
      </c>
      <c r="J6742" s="15" t="s">
        <v>8</v>
      </c>
      <c r="K6742" s="15" t="s">
        <v>8</v>
      </c>
      <c r="M6742" s="15" t="s">
        <v>8</v>
      </c>
      <c r="N6742" s="15" t="s">
        <v>8</v>
      </c>
      <c r="P6742" s="15" t="s">
        <v>8</v>
      </c>
      <c r="Q6742" s="15" t="s">
        <v>8</v>
      </c>
      <c r="T6742" s="19" t="str">
        <f>HYPERLINK("http://yeinfo.com/family/I09065734.html", "JOHN CAPELL &lt;4&gt; 1398 EN-1449 EN ID:09065883")</f>
        <v>JOHN CAPELL &lt;4&gt; 1398 EN-1449 EN ID:09065883</v>
      </c>
      <c r="U6742" s="9"/>
      <c r="V6742" s="9"/>
      <c r="W6742" s="9"/>
      <c r="X6742" s="9"/>
    </row>
    <row r="6743" spans="3:25" x14ac:dyDescent="0.35">
      <c r="C6743" s="15" t="s">
        <v>8</v>
      </c>
      <c r="F6743" s="15" t="s">
        <v>8</v>
      </c>
      <c r="H6743" s="15" t="s">
        <v>8</v>
      </c>
      <c r="I6743" s="15" t="s">
        <v>8</v>
      </c>
      <c r="J6743" s="15" t="s">
        <v>8</v>
      </c>
      <c r="K6743" s="15" t="s">
        <v>8</v>
      </c>
      <c r="M6743" s="15" t="s">
        <v>8</v>
      </c>
      <c r="N6743" s="15" t="s">
        <v>8</v>
      </c>
      <c r="P6743" s="15" t="s">
        <v>8</v>
      </c>
      <c r="Q6743" s="15" t="s">
        <v>8</v>
      </c>
      <c r="T6743" s="8" t="s">
        <v>3</v>
      </c>
    </row>
    <row r="6744" spans="3:25" x14ac:dyDescent="0.35">
      <c r="C6744" s="15" t="s">
        <v>8</v>
      </c>
      <c r="F6744" s="15" t="s">
        <v>8</v>
      </c>
      <c r="H6744" s="15" t="s">
        <v>8</v>
      </c>
      <c r="I6744" s="15" t="s">
        <v>8</v>
      </c>
      <c r="J6744" s="15" t="s">
        <v>8</v>
      </c>
      <c r="K6744" s="15" t="s">
        <v>8</v>
      </c>
      <c r="M6744" s="15" t="s">
        <v>8</v>
      </c>
      <c r="N6744" s="15" t="s">
        <v>8</v>
      </c>
      <c r="P6744" s="15" t="s">
        <v>8</v>
      </c>
      <c r="Q6744" s="15" t="s">
        <v>8</v>
      </c>
      <c r="S6744" s="19" t="str">
        <f>HYPERLINK("http://yeinfo.com/family/I09065601.html", "WILLIAM CAPELL &lt;4&gt; 1446 EN-1515 EN ID:09065734")</f>
        <v>WILLIAM CAPELL &lt;4&gt; 1446 EN-1515 EN ID:09065734</v>
      </c>
      <c r="T6744" s="9"/>
      <c r="U6744" s="9"/>
      <c r="V6744" s="9"/>
      <c r="W6744" s="9"/>
    </row>
    <row r="6745" spans="3:25" x14ac:dyDescent="0.35">
      <c r="C6745" s="15" t="s">
        <v>8</v>
      </c>
      <c r="F6745" s="15" t="s">
        <v>8</v>
      </c>
      <c r="H6745" s="15" t="s">
        <v>8</v>
      </c>
      <c r="I6745" s="15" t="s">
        <v>8</v>
      </c>
      <c r="J6745" s="15" t="s">
        <v>8</v>
      </c>
      <c r="K6745" s="15" t="s">
        <v>8</v>
      </c>
      <c r="M6745" s="15" t="s">
        <v>8</v>
      </c>
      <c r="N6745" s="15" t="s">
        <v>8</v>
      </c>
      <c r="P6745" s="15" t="s">
        <v>8</v>
      </c>
      <c r="Q6745" s="15" t="s">
        <v>8</v>
      </c>
      <c r="S6745" s="8" t="s">
        <v>3</v>
      </c>
      <c r="T6745" s="8" t="s">
        <v>6</v>
      </c>
    </row>
    <row r="6746" spans="3:25" x14ac:dyDescent="0.35">
      <c r="C6746" s="15" t="s">
        <v>8</v>
      </c>
      <c r="F6746" s="15" t="s">
        <v>8</v>
      </c>
      <c r="H6746" s="15" t="s">
        <v>8</v>
      </c>
      <c r="I6746" s="15" t="s">
        <v>8</v>
      </c>
      <c r="J6746" s="15" t="s">
        <v>8</v>
      </c>
      <c r="K6746" s="15" t="s">
        <v>8</v>
      </c>
      <c r="M6746" s="15" t="s">
        <v>8</v>
      </c>
      <c r="N6746" s="15" t="s">
        <v>8</v>
      </c>
      <c r="P6746" s="15" t="s">
        <v>8</v>
      </c>
      <c r="Q6746" s="15" t="s">
        <v>8</v>
      </c>
      <c r="S6746" s="15" t="s">
        <v>8</v>
      </c>
      <c r="T6746" s="20" t="str">
        <f>HYPERLINK("http://yeinfo.com/family/I09065883.html", "Mrs. JOAN CAPELL &lt;4&gt; 1402 EN-1446 EN ID:09065884")</f>
        <v>Mrs. JOAN CAPELL &lt;4&gt; 1402 EN-1446 EN ID:09065884</v>
      </c>
      <c r="U6746" s="17"/>
      <c r="V6746" s="17"/>
      <c r="W6746" s="17"/>
      <c r="X6746" s="17"/>
    </row>
    <row r="6747" spans="3:25" x14ac:dyDescent="0.35">
      <c r="C6747" s="15" t="s">
        <v>8</v>
      </c>
      <c r="F6747" s="15" t="s">
        <v>8</v>
      </c>
      <c r="H6747" s="15" t="s">
        <v>8</v>
      </c>
      <c r="I6747" s="15" t="s">
        <v>8</v>
      </c>
      <c r="J6747" s="15" t="s">
        <v>8</v>
      </c>
      <c r="K6747" s="15" t="s">
        <v>8</v>
      </c>
      <c r="M6747" s="15" t="s">
        <v>8</v>
      </c>
      <c r="N6747" s="15" t="s">
        <v>8</v>
      </c>
      <c r="P6747" s="15" t="s">
        <v>8</v>
      </c>
      <c r="Q6747" s="15" t="s">
        <v>8</v>
      </c>
      <c r="S6747" s="15" t="s">
        <v>8</v>
      </c>
    </row>
    <row r="6748" spans="3:25" x14ac:dyDescent="0.35">
      <c r="C6748" s="15" t="s">
        <v>8</v>
      </c>
      <c r="F6748" s="15" t="s">
        <v>8</v>
      </c>
      <c r="H6748" s="15" t="s">
        <v>8</v>
      </c>
      <c r="I6748" s="15" t="s">
        <v>8</v>
      </c>
      <c r="J6748" s="15" t="s">
        <v>8</v>
      </c>
      <c r="K6748" s="15" t="s">
        <v>8</v>
      </c>
      <c r="M6748" s="15" t="s">
        <v>8</v>
      </c>
      <c r="N6748" s="15" t="s">
        <v>8</v>
      </c>
      <c r="P6748" s="15" t="s">
        <v>8</v>
      </c>
      <c r="Q6748" s="15" t="s">
        <v>8</v>
      </c>
      <c r="R6748" s="19" t="str">
        <f>HYPERLINK("http://yeinfo.com/family/I09047433.html", "GILES CAPELL &lt;4&gt; 1480 EN-1556 EN ID:09065601")</f>
        <v>GILES CAPELL &lt;4&gt; 1480 EN-1556 EN ID:09065601</v>
      </c>
      <c r="S6748" s="9"/>
      <c r="T6748" s="9"/>
      <c r="U6748" s="9"/>
      <c r="V6748" s="9"/>
    </row>
    <row r="6749" spans="3:25" x14ac:dyDescent="0.35">
      <c r="C6749" s="15" t="s">
        <v>8</v>
      </c>
      <c r="F6749" s="15" t="s">
        <v>8</v>
      </c>
      <c r="H6749" s="15" t="s">
        <v>8</v>
      </c>
      <c r="I6749" s="15" t="s">
        <v>8</v>
      </c>
      <c r="J6749" s="15" t="s">
        <v>8</v>
      </c>
      <c r="K6749" s="15" t="s">
        <v>8</v>
      </c>
      <c r="M6749" s="15" t="s">
        <v>8</v>
      </c>
      <c r="N6749" s="15" t="s">
        <v>8</v>
      </c>
      <c r="P6749" s="15" t="s">
        <v>8</v>
      </c>
      <c r="Q6749" s="15" t="s">
        <v>8</v>
      </c>
      <c r="R6749" s="8" t="s">
        <v>3</v>
      </c>
      <c r="S6749" s="15" t="s">
        <v>8</v>
      </c>
    </row>
    <row r="6750" spans="3:25" x14ac:dyDescent="0.35">
      <c r="C6750" s="15" t="s">
        <v>8</v>
      </c>
      <c r="F6750" s="15" t="s">
        <v>8</v>
      </c>
      <c r="H6750" s="15" t="s">
        <v>8</v>
      </c>
      <c r="I6750" s="15" t="s">
        <v>8</v>
      </c>
      <c r="J6750" s="15" t="s">
        <v>8</v>
      </c>
      <c r="K6750" s="15" t="s">
        <v>8</v>
      </c>
      <c r="M6750" s="15" t="s">
        <v>8</v>
      </c>
      <c r="N6750" s="15" t="s">
        <v>8</v>
      </c>
      <c r="P6750" s="15" t="s">
        <v>8</v>
      </c>
      <c r="Q6750" s="15" t="s">
        <v>8</v>
      </c>
      <c r="R6750" s="15" t="s">
        <v>8</v>
      </c>
      <c r="S6750" s="15" t="s">
        <v>8</v>
      </c>
      <c r="U6750" s="19" t="str">
        <f>HYPERLINK("http://yeinfo.com/family/I09066731.html", "JOHN ARUNDELL VI &lt;4&gt; 1392 EN-1423 EN ID:09066733")</f>
        <v>JOHN ARUNDELL VI &lt;4&gt; 1392 EN-1423 EN ID:09066733</v>
      </c>
      <c r="V6750" s="9"/>
      <c r="W6750" s="9"/>
      <c r="X6750" s="9"/>
      <c r="Y6750" s="9"/>
    </row>
    <row r="6751" spans="3:25" x14ac:dyDescent="0.35">
      <c r="C6751" s="15" t="s">
        <v>8</v>
      </c>
      <c r="F6751" s="15" t="s">
        <v>8</v>
      </c>
      <c r="H6751" s="15" t="s">
        <v>8</v>
      </c>
      <c r="I6751" s="15" t="s">
        <v>8</v>
      </c>
      <c r="J6751" s="15" t="s">
        <v>8</v>
      </c>
      <c r="K6751" s="15" t="s">
        <v>8</v>
      </c>
      <c r="M6751" s="15" t="s">
        <v>8</v>
      </c>
      <c r="N6751" s="15" t="s">
        <v>8</v>
      </c>
      <c r="P6751" s="15" t="s">
        <v>8</v>
      </c>
      <c r="Q6751" s="15" t="s">
        <v>8</v>
      </c>
      <c r="R6751" s="15" t="s">
        <v>8</v>
      </c>
      <c r="S6751" s="15" t="s">
        <v>8</v>
      </c>
      <c r="U6751" s="8" t="s">
        <v>3</v>
      </c>
    </row>
    <row r="6752" spans="3:25" x14ac:dyDescent="0.35">
      <c r="C6752" s="15" t="s">
        <v>8</v>
      </c>
      <c r="F6752" s="15" t="s">
        <v>8</v>
      </c>
      <c r="H6752" s="15" t="s">
        <v>8</v>
      </c>
      <c r="I6752" s="15" t="s">
        <v>8</v>
      </c>
      <c r="J6752" s="15" t="s">
        <v>8</v>
      </c>
      <c r="K6752" s="15" t="s">
        <v>8</v>
      </c>
      <c r="M6752" s="15" t="s">
        <v>8</v>
      </c>
      <c r="N6752" s="15" t="s">
        <v>8</v>
      </c>
      <c r="P6752" s="15" t="s">
        <v>8</v>
      </c>
      <c r="Q6752" s="15" t="s">
        <v>8</v>
      </c>
      <c r="R6752" s="15" t="s">
        <v>8</v>
      </c>
      <c r="S6752" s="15" t="s">
        <v>8</v>
      </c>
      <c r="T6752" s="19" t="str">
        <f>HYPERLINK("http://yeinfo.com/family/I09065735.html", "JOHN ARUNDELL VII &lt;4&gt; 1421 EN-1473 EN ID:09066731")</f>
        <v>JOHN ARUNDELL VII &lt;4&gt; 1421 EN-1473 EN ID:09066731</v>
      </c>
      <c r="U6752" s="9"/>
      <c r="V6752" s="9"/>
      <c r="W6752" s="9"/>
      <c r="X6752" s="9"/>
    </row>
    <row r="6753" spans="3:25" x14ac:dyDescent="0.35">
      <c r="C6753" s="15" t="s">
        <v>8</v>
      </c>
      <c r="F6753" s="15" t="s">
        <v>8</v>
      </c>
      <c r="H6753" s="15" t="s">
        <v>8</v>
      </c>
      <c r="I6753" s="15" t="s">
        <v>8</v>
      </c>
      <c r="J6753" s="15" t="s">
        <v>8</v>
      </c>
      <c r="K6753" s="15" t="s">
        <v>8</v>
      </c>
      <c r="M6753" s="15" t="s">
        <v>8</v>
      </c>
      <c r="N6753" s="15" t="s">
        <v>8</v>
      </c>
      <c r="P6753" s="15" t="s">
        <v>8</v>
      </c>
      <c r="Q6753" s="15" t="s">
        <v>8</v>
      </c>
      <c r="R6753" s="15" t="s">
        <v>8</v>
      </c>
      <c r="S6753" s="15" t="s">
        <v>8</v>
      </c>
      <c r="T6753" s="8" t="s">
        <v>3</v>
      </c>
      <c r="U6753" s="8" t="s">
        <v>6</v>
      </c>
    </row>
    <row r="6754" spans="3:25" x14ac:dyDescent="0.35">
      <c r="C6754" s="15" t="s">
        <v>8</v>
      </c>
      <c r="F6754" s="15" t="s">
        <v>8</v>
      </c>
      <c r="H6754" s="15" t="s">
        <v>8</v>
      </c>
      <c r="I6754" s="15" t="s">
        <v>8</v>
      </c>
      <c r="J6754" s="15" t="s">
        <v>8</v>
      </c>
      <c r="K6754" s="15" t="s">
        <v>8</v>
      </c>
      <c r="M6754" s="15" t="s">
        <v>8</v>
      </c>
      <c r="N6754" s="15" t="s">
        <v>8</v>
      </c>
      <c r="P6754" s="15" t="s">
        <v>8</v>
      </c>
      <c r="Q6754" s="15" t="s">
        <v>8</v>
      </c>
      <c r="R6754" s="15" t="s">
        <v>8</v>
      </c>
      <c r="S6754" s="15" t="s">
        <v>8</v>
      </c>
      <c r="T6754" s="15" t="s">
        <v>8</v>
      </c>
      <c r="U6754" s="20" t="str">
        <f>HYPERLINK("http://yeinfo.com/family/I09066733.html", "MARGARET BURGHRESH &lt;4&gt; 1379 EN-1424 EN ID:09066734")</f>
        <v>MARGARET BURGHRESH &lt;4&gt; 1379 EN-1424 EN ID:09066734</v>
      </c>
      <c r="V6754" s="17"/>
      <c r="W6754" s="17"/>
      <c r="X6754" s="17"/>
      <c r="Y6754" s="17"/>
    </row>
    <row r="6755" spans="3:25" x14ac:dyDescent="0.35">
      <c r="C6755" s="15" t="s">
        <v>8</v>
      </c>
      <c r="F6755" s="15" t="s">
        <v>8</v>
      </c>
      <c r="H6755" s="15" t="s">
        <v>8</v>
      </c>
      <c r="I6755" s="15" t="s">
        <v>8</v>
      </c>
      <c r="J6755" s="15" t="s">
        <v>8</v>
      </c>
      <c r="K6755" s="15" t="s">
        <v>8</v>
      </c>
      <c r="M6755" s="15" t="s">
        <v>8</v>
      </c>
      <c r="N6755" s="15" t="s">
        <v>8</v>
      </c>
      <c r="P6755" s="15" t="s">
        <v>8</v>
      </c>
      <c r="Q6755" s="15" t="s">
        <v>8</v>
      </c>
      <c r="R6755" s="15" t="s">
        <v>8</v>
      </c>
      <c r="S6755" s="8" t="s">
        <v>6</v>
      </c>
      <c r="T6755" s="15" t="s">
        <v>8</v>
      </c>
    </row>
    <row r="6756" spans="3:25" x14ac:dyDescent="0.35">
      <c r="C6756" s="15" t="s">
        <v>8</v>
      </c>
      <c r="F6756" s="15" t="s">
        <v>8</v>
      </c>
      <c r="H6756" s="15" t="s">
        <v>8</v>
      </c>
      <c r="I6756" s="15" t="s">
        <v>8</v>
      </c>
      <c r="J6756" s="15" t="s">
        <v>8</v>
      </c>
      <c r="K6756" s="15" t="s">
        <v>8</v>
      </c>
      <c r="M6756" s="15" t="s">
        <v>8</v>
      </c>
      <c r="N6756" s="15" t="s">
        <v>8</v>
      </c>
      <c r="P6756" s="15" t="s">
        <v>8</v>
      </c>
      <c r="Q6756" s="15" t="s">
        <v>8</v>
      </c>
      <c r="R6756" s="15" t="s">
        <v>8</v>
      </c>
      <c r="S6756" s="20" t="str">
        <f>HYPERLINK("http://yeinfo.com/family/I09065884.html", "MARGARET ARUNDELL &lt;4&gt; 1456 EN-1519 EN ID:09065735")</f>
        <v>MARGARET ARUNDELL &lt;4&gt; 1456 EN-1519 EN ID:09065735</v>
      </c>
      <c r="T6756" s="17"/>
      <c r="U6756" s="17"/>
      <c r="V6756" s="17"/>
      <c r="W6756" s="17"/>
    </row>
    <row r="6757" spans="3:25" x14ac:dyDescent="0.35">
      <c r="C6757" s="15" t="s">
        <v>8</v>
      </c>
      <c r="F6757" s="15" t="s">
        <v>8</v>
      </c>
      <c r="H6757" s="15" t="s">
        <v>8</v>
      </c>
      <c r="I6757" s="15" t="s">
        <v>8</v>
      </c>
      <c r="J6757" s="15" t="s">
        <v>8</v>
      </c>
      <c r="K6757" s="15" t="s">
        <v>8</v>
      </c>
      <c r="M6757" s="15" t="s">
        <v>8</v>
      </c>
      <c r="N6757" s="15" t="s">
        <v>8</v>
      </c>
      <c r="P6757" s="15" t="s">
        <v>8</v>
      </c>
      <c r="Q6757" s="15" t="s">
        <v>8</v>
      </c>
      <c r="R6757" s="15" t="s">
        <v>8</v>
      </c>
      <c r="T6757" s="15" t="s">
        <v>8</v>
      </c>
    </row>
    <row r="6758" spans="3:25" x14ac:dyDescent="0.35">
      <c r="C6758" s="15" t="s">
        <v>8</v>
      </c>
      <c r="F6758" s="15" t="s">
        <v>8</v>
      </c>
      <c r="H6758" s="15" t="s">
        <v>8</v>
      </c>
      <c r="I6758" s="15" t="s">
        <v>8</v>
      </c>
      <c r="J6758" s="15" t="s">
        <v>8</v>
      </c>
      <c r="K6758" s="15" t="s">
        <v>8</v>
      </c>
      <c r="M6758" s="15" t="s">
        <v>8</v>
      </c>
      <c r="N6758" s="15" t="s">
        <v>8</v>
      </c>
      <c r="P6758" s="15" t="s">
        <v>8</v>
      </c>
      <c r="Q6758" s="15" t="s">
        <v>8</v>
      </c>
      <c r="R6758" s="15" t="s">
        <v>8</v>
      </c>
      <c r="T6758" s="15" t="s">
        <v>8</v>
      </c>
      <c r="U6758" s="19" t="str">
        <f>HYPERLINK("http://yeinfo.com/family/I09066732.html", "JOHN CHIDIOCKE &lt;4&gt; 1401 EN-1450 EN ID:09066735")</f>
        <v>JOHN CHIDIOCKE &lt;4&gt; 1401 EN-1450 EN ID:09066735</v>
      </c>
      <c r="V6758" s="9"/>
      <c r="W6758" s="9"/>
      <c r="X6758" s="9"/>
      <c r="Y6758" s="9"/>
    </row>
    <row r="6759" spans="3:25" x14ac:dyDescent="0.35">
      <c r="C6759" s="15" t="s">
        <v>8</v>
      </c>
      <c r="F6759" s="15" t="s">
        <v>8</v>
      </c>
      <c r="H6759" s="15" t="s">
        <v>8</v>
      </c>
      <c r="I6759" s="15" t="s">
        <v>8</v>
      </c>
      <c r="J6759" s="15" t="s">
        <v>8</v>
      </c>
      <c r="K6759" s="15" t="s">
        <v>8</v>
      </c>
      <c r="M6759" s="15" t="s">
        <v>8</v>
      </c>
      <c r="N6759" s="15" t="s">
        <v>8</v>
      </c>
      <c r="P6759" s="15" t="s">
        <v>8</v>
      </c>
      <c r="Q6759" s="15" t="s">
        <v>8</v>
      </c>
      <c r="R6759" s="15" t="s">
        <v>8</v>
      </c>
      <c r="T6759" s="8" t="s">
        <v>6</v>
      </c>
      <c r="U6759" s="8" t="s">
        <v>3</v>
      </c>
    </row>
    <row r="6760" spans="3:25" x14ac:dyDescent="0.35">
      <c r="C6760" s="15" t="s">
        <v>8</v>
      </c>
      <c r="F6760" s="15" t="s">
        <v>8</v>
      </c>
      <c r="H6760" s="15" t="s">
        <v>8</v>
      </c>
      <c r="I6760" s="15" t="s">
        <v>8</v>
      </c>
      <c r="J6760" s="15" t="s">
        <v>8</v>
      </c>
      <c r="K6760" s="15" t="s">
        <v>8</v>
      </c>
      <c r="M6760" s="15" t="s">
        <v>8</v>
      </c>
      <c r="N6760" s="15" t="s">
        <v>8</v>
      </c>
      <c r="P6760" s="15" t="s">
        <v>8</v>
      </c>
      <c r="Q6760" s="15" t="s">
        <v>8</v>
      </c>
      <c r="R6760" s="15" t="s">
        <v>8</v>
      </c>
      <c r="T6760" s="20" t="str">
        <f>HYPERLINK("http://yeinfo.com/family/I09066734.html", "CATHERINE CHIDIOCKE &lt;4&gt; 1423 EN-1479 EN ID:09066732")</f>
        <v>CATHERINE CHIDIOCKE &lt;4&gt; 1423 EN-1479 EN ID:09066732</v>
      </c>
      <c r="U6760" s="17"/>
      <c r="V6760" s="17"/>
      <c r="W6760" s="17"/>
      <c r="X6760" s="17"/>
    </row>
    <row r="6761" spans="3:25" x14ac:dyDescent="0.35">
      <c r="C6761" s="15" t="s">
        <v>8</v>
      </c>
      <c r="F6761" s="15" t="s">
        <v>8</v>
      </c>
      <c r="H6761" s="15" t="s">
        <v>8</v>
      </c>
      <c r="I6761" s="15" t="s">
        <v>8</v>
      </c>
      <c r="J6761" s="15" t="s">
        <v>8</v>
      </c>
      <c r="K6761" s="15" t="s">
        <v>8</v>
      </c>
      <c r="M6761" s="15" t="s">
        <v>8</v>
      </c>
      <c r="N6761" s="15" t="s">
        <v>8</v>
      </c>
      <c r="P6761" s="15" t="s">
        <v>8</v>
      </c>
      <c r="Q6761" s="15" t="s">
        <v>8</v>
      </c>
      <c r="R6761" s="15" t="s">
        <v>8</v>
      </c>
      <c r="U6761" s="8" t="s">
        <v>6</v>
      </c>
    </row>
    <row r="6762" spans="3:25" x14ac:dyDescent="0.35">
      <c r="C6762" s="15" t="s">
        <v>8</v>
      </c>
      <c r="F6762" s="15" t="s">
        <v>8</v>
      </c>
      <c r="H6762" s="15" t="s">
        <v>8</v>
      </c>
      <c r="I6762" s="15" t="s">
        <v>8</v>
      </c>
      <c r="J6762" s="15" t="s">
        <v>8</v>
      </c>
      <c r="K6762" s="15" t="s">
        <v>8</v>
      </c>
      <c r="M6762" s="15" t="s">
        <v>8</v>
      </c>
      <c r="N6762" s="15" t="s">
        <v>8</v>
      </c>
      <c r="P6762" s="15" t="s">
        <v>8</v>
      </c>
      <c r="Q6762" s="15" t="s">
        <v>8</v>
      </c>
      <c r="R6762" s="15" t="s">
        <v>8</v>
      </c>
      <c r="U6762" s="20" t="str">
        <f>HYPERLINK("http://yeinfo.com/family/I09066735.html", "CATHERINE LUMLEY &lt;4&gt; 1400 EN-1461 EN ID:09066736")</f>
        <v>CATHERINE LUMLEY &lt;4&gt; 1400 EN-1461 EN ID:09066736</v>
      </c>
      <c r="V6762" s="17"/>
      <c r="W6762" s="17"/>
      <c r="X6762" s="17"/>
      <c r="Y6762" s="17"/>
    </row>
    <row r="6763" spans="3:25" x14ac:dyDescent="0.35">
      <c r="C6763" s="15" t="s">
        <v>8</v>
      </c>
      <c r="F6763" s="15" t="s">
        <v>8</v>
      </c>
      <c r="H6763" s="15" t="s">
        <v>8</v>
      </c>
      <c r="I6763" s="15" t="s">
        <v>8</v>
      </c>
      <c r="J6763" s="15" t="s">
        <v>8</v>
      </c>
      <c r="K6763" s="15" t="s">
        <v>8</v>
      </c>
      <c r="M6763" s="15" t="s">
        <v>8</v>
      </c>
      <c r="N6763" s="15" t="s">
        <v>8</v>
      </c>
      <c r="P6763" s="15" t="s">
        <v>8</v>
      </c>
      <c r="Q6763" s="8" t="s">
        <v>6</v>
      </c>
      <c r="R6763" s="15" t="s">
        <v>8</v>
      </c>
    </row>
    <row r="6764" spans="3:25" x14ac:dyDescent="0.35">
      <c r="C6764" s="15" t="s">
        <v>8</v>
      </c>
      <c r="F6764" s="15" t="s">
        <v>8</v>
      </c>
      <c r="H6764" s="15" t="s">
        <v>8</v>
      </c>
      <c r="I6764" s="15" t="s">
        <v>8</v>
      </c>
      <c r="J6764" s="15" t="s">
        <v>8</v>
      </c>
      <c r="K6764" s="15" t="s">
        <v>8</v>
      </c>
      <c r="M6764" s="15" t="s">
        <v>8</v>
      </c>
      <c r="N6764" s="15" t="s">
        <v>8</v>
      </c>
      <c r="P6764" s="15" t="s">
        <v>8</v>
      </c>
      <c r="Q6764" s="20" t="str">
        <f>HYPERLINK("http://yeinfo.com/family/I09065600.html", "MARGARET CAPELL CAPELL &lt;4&gt; 1507 EN-1530 EN ID:09047433")</f>
        <v>MARGARET CAPELL CAPELL &lt;4&gt; 1507 EN-1530 EN ID:09047433</v>
      </c>
      <c r="R6764" s="17"/>
      <c r="S6764" s="17"/>
      <c r="T6764" s="17"/>
      <c r="U6764" s="17"/>
    </row>
    <row r="6765" spans="3:25" x14ac:dyDescent="0.35">
      <c r="C6765" s="15" t="s">
        <v>8</v>
      </c>
      <c r="F6765" s="15" t="s">
        <v>8</v>
      </c>
      <c r="H6765" s="15" t="s">
        <v>8</v>
      </c>
      <c r="I6765" s="15" t="s">
        <v>8</v>
      </c>
      <c r="J6765" s="15" t="s">
        <v>8</v>
      </c>
      <c r="K6765" s="15" t="s">
        <v>8</v>
      </c>
      <c r="M6765" s="15" t="s">
        <v>8</v>
      </c>
      <c r="N6765" s="15" t="s">
        <v>8</v>
      </c>
      <c r="P6765" s="15" t="s">
        <v>8</v>
      </c>
      <c r="R6765" s="15" t="s">
        <v>8</v>
      </c>
    </row>
    <row r="6766" spans="3:25" x14ac:dyDescent="0.35">
      <c r="C6766" s="15" t="s">
        <v>8</v>
      </c>
      <c r="F6766" s="15" t="s">
        <v>8</v>
      </c>
      <c r="H6766" s="15" t="s">
        <v>8</v>
      </c>
      <c r="I6766" s="15" t="s">
        <v>8</v>
      </c>
      <c r="J6766" s="15" t="s">
        <v>8</v>
      </c>
      <c r="K6766" s="15" t="s">
        <v>8</v>
      </c>
      <c r="M6766" s="15" t="s">
        <v>8</v>
      </c>
      <c r="N6766" s="15" t="s">
        <v>8</v>
      </c>
      <c r="P6766" s="15" t="s">
        <v>8</v>
      </c>
      <c r="R6766" s="15" t="s">
        <v>8</v>
      </c>
      <c r="T6766" s="19" t="str">
        <f>HYPERLINK("http://yeinfo.com/family/I09065736.html", "JOHN NEWTON &lt;4&gt; 1425 EN-1488 WL ID:09065885")</f>
        <v>JOHN NEWTON &lt;4&gt; 1425 EN-1488 WL ID:09065885</v>
      </c>
      <c r="U6766" s="9"/>
      <c r="V6766" s="9"/>
      <c r="W6766" s="9"/>
      <c r="X6766" s="9"/>
    </row>
    <row r="6767" spans="3:25" x14ac:dyDescent="0.35">
      <c r="C6767" s="15" t="s">
        <v>8</v>
      </c>
      <c r="F6767" s="15" t="s">
        <v>8</v>
      </c>
      <c r="H6767" s="15" t="s">
        <v>8</v>
      </c>
      <c r="I6767" s="15" t="s">
        <v>8</v>
      </c>
      <c r="J6767" s="15" t="s">
        <v>8</v>
      </c>
      <c r="K6767" s="15" t="s">
        <v>8</v>
      </c>
      <c r="M6767" s="15" t="s">
        <v>8</v>
      </c>
      <c r="N6767" s="15" t="s">
        <v>8</v>
      </c>
      <c r="P6767" s="15" t="s">
        <v>8</v>
      </c>
      <c r="R6767" s="15" t="s">
        <v>8</v>
      </c>
      <c r="T6767" s="8" t="s">
        <v>3</v>
      </c>
    </row>
    <row r="6768" spans="3:25" x14ac:dyDescent="0.35">
      <c r="C6768" s="15" t="s">
        <v>8</v>
      </c>
      <c r="F6768" s="15" t="s">
        <v>8</v>
      </c>
      <c r="H6768" s="15" t="s">
        <v>8</v>
      </c>
      <c r="I6768" s="15" t="s">
        <v>8</v>
      </c>
      <c r="J6768" s="15" t="s">
        <v>8</v>
      </c>
      <c r="K6768" s="15" t="s">
        <v>8</v>
      </c>
      <c r="M6768" s="15" t="s">
        <v>8</v>
      </c>
      <c r="N6768" s="15" t="s">
        <v>8</v>
      </c>
      <c r="P6768" s="15" t="s">
        <v>8</v>
      </c>
      <c r="R6768" s="15" t="s">
        <v>8</v>
      </c>
      <c r="S6768" s="19" t="str">
        <f>HYPERLINK("http://yeinfo.com/family/I09065602.html", "THOMAS\RICHARD NEWTON &lt;4&gt; 1450 EN-1500 EN ID:09065736")</f>
        <v>THOMAS\RICHARD NEWTON &lt;4&gt; 1450 EN-1500 EN ID:09065736</v>
      </c>
      <c r="T6768" s="9"/>
      <c r="U6768" s="9"/>
      <c r="V6768" s="9"/>
      <c r="W6768" s="9"/>
      <c r="X6768" s="9"/>
    </row>
    <row r="6769" spans="3:27" x14ac:dyDescent="0.35">
      <c r="C6769" s="15" t="s">
        <v>8</v>
      </c>
      <c r="F6769" s="15" t="s">
        <v>8</v>
      </c>
      <c r="H6769" s="15" t="s">
        <v>8</v>
      </c>
      <c r="I6769" s="15" t="s">
        <v>8</v>
      </c>
      <c r="J6769" s="15" t="s">
        <v>8</v>
      </c>
      <c r="K6769" s="15" t="s">
        <v>8</v>
      </c>
      <c r="M6769" s="15" t="s">
        <v>8</v>
      </c>
      <c r="N6769" s="15" t="s">
        <v>8</v>
      </c>
      <c r="P6769" s="15" t="s">
        <v>8</v>
      </c>
      <c r="R6769" s="15" t="s">
        <v>8</v>
      </c>
      <c r="S6769" s="8" t="s">
        <v>3</v>
      </c>
      <c r="T6769" s="8" t="s">
        <v>6</v>
      </c>
    </row>
    <row r="6770" spans="3:27" x14ac:dyDescent="0.35">
      <c r="C6770" s="15" t="s">
        <v>8</v>
      </c>
      <c r="F6770" s="15" t="s">
        <v>8</v>
      </c>
      <c r="H6770" s="15" t="s">
        <v>8</v>
      </c>
      <c r="I6770" s="15" t="s">
        <v>8</v>
      </c>
      <c r="J6770" s="15" t="s">
        <v>8</v>
      </c>
      <c r="K6770" s="15" t="s">
        <v>8</v>
      </c>
      <c r="M6770" s="15" t="s">
        <v>8</v>
      </c>
      <c r="N6770" s="15" t="s">
        <v>8</v>
      </c>
      <c r="P6770" s="15" t="s">
        <v>8</v>
      </c>
      <c r="R6770" s="15" t="s">
        <v>8</v>
      </c>
      <c r="S6770" s="15" t="s">
        <v>8</v>
      </c>
      <c r="T6770" s="20" t="str">
        <f>HYPERLINK("http://yeinfo.com/family/I09065885.html", "ISABEL CHEDDAR &lt;4&gt; 1429 EN-1499 EN ID:09065886")</f>
        <v>ISABEL CHEDDAR &lt;4&gt; 1429 EN-1499 EN ID:09065886</v>
      </c>
      <c r="U6770" s="17"/>
      <c r="V6770" s="17"/>
      <c r="W6770" s="17"/>
      <c r="X6770" s="17"/>
    </row>
    <row r="6771" spans="3:27" x14ac:dyDescent="0.35">
      <c r="C6771" s="15" t="s">
        <v>8</v>
      </c>
      <c r="F6771" s="15" t="s">
        <v>8</v>
      </c>
      <c r="H6771" s="15" t="s">
        <v>8</v>
      </c>
      <c r="I6771" s="15" t="s">
        <v>8</v>
      </c>
      <c r="J6771" s="15" t="s">
        <v>8</v>
      </c>
      <c r="K6771" s="15" t="s">
        <v>8</v>
      </c>
      <c r="M6771" s="15" t="s">
        <v>8</v>
      </c>
      <c r="N6771" s="15" t="s">
        <v>8</v>
      </c>
      <c r="P6771" s="15" t="s">
        <v>8</v>
      </c>
      <c r="R6771" s="8" t="s">
        <v>6</v>
      </c>
      <c r="S6771" s="15" t="s">
        <v>8</v>
      </c>
    </row>
    <row r="6772" spans="3:27" x14ac:dyDescent="0.35">
      <c r="C6772" s="15" t="s">
        <v>8</v>
      </c>
      <c r="F6772" s="15" t="s">
        <v>8</v>
      </c>
      <c r="H6772" s="15" t="s">
        <v>8</v>
      </c>
      <c r="I6772" s="15" t="s">
        <v>8</v>
      </c>
      <c r="J6772" s="15" t="s">
        <v>8</v>
      </c>
      <c r="K6772" s="15" t="s">
        <v>8</v>
      </c>
      <c r="M6772" s="15" t="s">
        <v>8</v>
      </c>
      <c r="N6772" s="15" t="s">
        <v>8</v>
      </c>
      <c r="P6772" s="15" t="s">
        <v>8</v>
      </c>
      <c r="R6772" s="20" t="str">
        <f>HYPERLINK("http://yeinfo.com/family/I09066736.html", "ISABEL NEWTON &lt;4&gt; 1475 EN-1508 EN ID:09065602")</f>
        <v>ISABEL NEWTON &lt;4&gt; 1475 EN-1508 EN ID:09065602</v>
      </c>
      <c r="S6772" s="17"/>
      <c r="T6772" s="17"/>
      <c r="U6772" s="17"/>
      <c r="V6772" s="17"/>
    </row>
    <row r="6773" spans="3:27" x14ac:dyDescent="0.35">
      <c r="C6773" s="15" t="s">
        <v>8</v>
      </c>
      <c r="F6773" s="15" t="s">
        <v>8</v>
      </c>
      <c r="H6773" s="15" t="s">
        <v>8</v>
      </c>
      <c r="I6773" s="15" t="s">
        <v>8</v>
      </c>
      <c r="J6773" s="15" t="s">
        <v>8</v>
      </c>
      <c r="K6773" s="15" t="s">
        <v>8</v>
      </c>
      <c r="M6773" s="15" t="s">
        <v>8</v>
      </c>
      <c r="N6773" s="15" t="s">
        <v>8</v>
      </c>
      <c r="P6773" s="15" t="s">
        <v>8</v>
      </c>
      <c r="S6773" s="15" t="s">
        <v>8</v>
      </c>
    </row>
    <row r="6774" spans="3:27" x14ac:dyDescent="0.35">
      <c r="C6774" s="15" t="s">
        <v>8</v>
      </c>
      <c r="F6774" s="15" t="s">
        <v>8</v>
      </c>
      <c r="H6774" s="15" t="s">
        <v>8</v>
      </c>
      <c r="I6774" s="15" t="s">
        <v>8</v>
      </c>
      <c r="J6774" s="15" t="s">
        <v>8</v>
      </c>
      <c r="K6774" s="15" t="s">
        <v>8</v>
      </c>
      <c r="M6774" s="15" t="s">
        <v>8</v>
      </c>
      <c r="N6774" s="15" t="s">
        <v>8</v>
      </c>
      <c r="P6774" s="15" t="s">
        <v>8</v>
      </c>
      <c r="S6774" s="15" t="s">
        <v>8</v>
      </c>
      <c r="W6774" s="19" t="str">
        <f>HYPERLINK("http://yeinfo.com/family/I09066282.html", "GILES DAUBENEY &lt;4&gt; 1337 EN-1388 EN ID:09066448")</f>
        <v>GILES DAUBENEY &lt;4&gt; 1337 EN-1388 EN ID:09066448</v>
      </c>
      <c r="X6774" s="9"/>
      <c r="Y6774" s="9"/>
      <c r="Z6774" s="9"/>
      <c r="AA6774" s="9"/>
    </row>
    <row r="6775" spans="3:27" x14ac:dyDescent="0.35">
      <c r="C6775" s="15" t="s">
        <v>8</v>
      </c>
      <c r="F6775" s="15" t="s">
        <v>8</v>
      </c>
      <c r="H6775" s="15" t="s">
        <v>8</v>
      </c>
      <c r="I6775" s="15" t="s">
        <v>8</v>
      </c>
      <c r="J6775" s="15" t="s">
        <v>8</v>
      </c>
      <c r="K6775" s="15" t="s">
        <v>8</v>
      </c>
      <c r="M6775" s="15" t="s">
        <v>8</v>
      </c>
      <c r="N6775" s="15" t="s">
        <v>8</v>
      </c>
      <c r="P6775" s="15" t="s">
        <v>8</v>
      </c>
      <c r="S6775" s="15" t="s">
        <v>8</v>
      </c>
      <c r="W6775" s="8" t="s">
        <v>3</v>
      </c>
    </row>
    <row r="6776" spans="3:27" x14ac:dyDescent="0.35">
      <c r="C6776" s="15" t="s">
        <v>8</v>
      </c>
      <c r="F6776" s="15" t="s">
        <v>8</v>
      </c>
      <c r="H6776" s="15" t="s">
        <v>8</v>
      </c>
      <c r="I6776" s="15" t="s">
        <v>8</v>
      </c>
      <c r="J6776" s="15" t="s">
        <v>8</v>
      </c>
      <c r="K6776" s="15" t="s">
        <v>8</v>
      </c>
      <c r="M6776" s="15" t="s">
        <v>8</v>
      </c>
      <c r="N6776" s="15" t="s">
        <v>8</v>
      </c>
      <c r="P6776" s="15" t="s">
        <v>8</v>
      </c>
      <c r="S6776" s="15" t="s">
        <v>8</v>
      </c>
      <c r="V6776" s="19" t="str">
        <f>HYPERLINK("http://yeinfo.com/family/I09066086.html", "GILES DAUBENEY &lt;4&gt; 1371 EN-1403 EN ID:09066282")</f>
        <v>GILES DAUBENEY &lt;4&gt; 1371 EN-1403 EN ID:09066282</v>
      </c>
      <c r="W6776" s="9"/>
      <c r="X6776" s="9"/>
      <c r="Y6776" s="9"/>
      <c r="Z6776" s="9"/>
    </row>
    <row r="6777" spans="3:27" x14ac:dyDescent="0.35">
      <c r="C6777" s="15" t="s">
        <v>8</v>
      </c>
      <c r="F6777" s="15" t="s">
        <v>8</v>
      </c>
      <c r="H6777" s="15" t="s">
        <v>8</v>
      </c>
      <c r="I6777" s="15" t="s">
        <v>8</v>
      </c>
      <c r="J6777" s="15" t="s">
        <v>8</v>
      </c>
      <c r="K6777" s="15" t="s">
        <v>8</v>
      </c>
      <c r="M6777" s="15" t="s">
        <v>8</v>
      </c>
      <c r="N6777" s="15" t="s">
        <v>8</v>
      </c>
      <c r="P6777" s="15" t="s">
        <v>8</v>
      </c>
      <c r="S6777" s="15" t="s">
        <v>8</v>
      </c>
      <c r="V6777" s="8" t="s">
        <v>3</v>
      </c>
      <c r="W6777" s="8" t="s">
        <v>6</v>
      </c>
    </row>
    <row r="6778" spans="3:27" x14ac:dyDescent="0.35">
      <c r="C6778" s="15" t="s">
        <v>8</v>
      </c>
      <c r="F6778" s="15" t="s">
        <v>8</v>
      </c>
      <c r="H6778" s="15" t="s">
        <v>8</v>
      </c>
      <c r="I6778" s="15" t="s">
        <v>8</v>
      </c>
      <c r="J6778" s="15" t="s">
        <v>8</v>
      </c>
      <c r="K6778" s="15" t="s">
        <v>8</v>
      </c>
      <c r="M6778" s="15" t="s">
        <v>8</v>
      </c>
      <c r="N6778" s="15" t="s">
        <v>8</v>
      </c>
      <c r="P6778" s="15" t="s">
        <v>8</v>
      </c>
      <c r="S6778" s="15" t="s">
        <v>8</v>
      </c>
      <c r="V6778" s="15" t="s">
        <v>8</v>
      </c>
      <c r="W6778" s="20" t="str">
        <f>HYPERLINK("http://yeinfo.com/family/I09066448.html", "ELEANOR WILLINGTON &lt;4&gt; 1337 EN-1400 EN ID:09066488")</f>
        <v>ELEANOR WILLINGTON &lt;4&gt; 1337 EN-1400 EN ID:09066488</v>
      </c>
      <c r="X6778" s="17"/>
      <c r="Y6778" s="17"/>
      <c r="Z6778" s="17"/>
      <c r="AA6778" s="17"/>
    </row>
    <row r="6779" spans="3:27" x14ac:dyDescent="0.35">
      <c r="C6779" s="15" t="s">
        <v>8</v>
      </c>
      <c r="F6779" s="15" t="s">
        <v>8</v>
      </c>
      <c r="H6779" s="15" t="s">
        <v>8</v>
      </c>
      <c r="I6779" s="15" t="s">
        <v>8</v>
      </c>
      <c r="J6779" s="15" t="s">
        <v>8</v>
      </c>
      <c r="K6779" s="15" t="s">
        <v>8</v>
      </c>
      <c r="M6779" s="15" t="s">
        <v>8</v>
      </c>
      <c r="N6779" s="15" t="s">
        <v>8</v>
      </c>
      <c r="P6779" s="15" t="s">
        <v>8</v>
      </c>
      <c r="S6779" s="15" t="s">
        <v>8</v>
      </c>
      <c r="V6779" s="15" t="s">
        <v>8</v>
      </c>
    </row>
    <row r="6780" spans="3:27" x14ac:dyDescent="0.35">
      <c r="C6780" s="15" t="s">
        <v>8</v>
      </c>
      <c r="F6780" s="15" t="s">
        <v>8</v>
      </c>
      <c r="H6780" s="15" t="s">
        <v>8</v>
      </c>
      <c r="I6780" s="15" t="s">
        <v>8</v>
      </c>
      <c r="J6780" s="15" t="s">
        <v>8</v>
      </c>
      <c r="K6780" s="15" t="s">
        <v>8</v>
      </c>
      <c r="M6780" s="15" t="s">
        <v>8</v>
      </c>
      <c r="N6780" s="15" t="s">
        <v>8</v>
      </c>
      <c r="P6780" s="15" t="s">
        <v>8</v>
      </c>
      <c r="S6780" s="15" t="s">
        <v>8</v>
      </c>
      <c r="U6780" s="19" t="str">
        <f>HYPERLINK("http://yeinfo.com/family/I09065887.html", "GILES DAUBENEY &lt;4&gt; 1393 EN-1446 EN ID:09066086")</f>
        <v>GILES DAUBENEY &lt;4&gt; 1393 EN-1446 EN ID:09066086</v>
      </c>
      <c r="V6780" s="9"/>
      <c r="W6780" s="9"/>
      <c r="X6780" s="9"/>
      <c r="Y6780" s="9"/>
    </row>
    <row r="6781" spans="3:27" x14ac:dyDescent="0.35">
      <c r="C6781" s="15" t="s">
        <v>8</v>
      </c>
      <c r="F6781" s="15" t="s">
        <v>8</v>
      </c>
      <c r="H6781" s="15" t="s">
        <v>8</v>
      </c>
      <c r="I6781" s="15" t="s">
        <v>8</v>
      </c>
      <c r="J6781" s="15" t="s">
        <v>8</v>
      </c>
      <c r="K6781" s="15" t="s">
        <v>8</v>
      </c>
      <c r="M6781" s="15" t="s">
        <v>8</v>
      </c>
      <c r="N6781" s="15" t="s">
        <v>8</v>
      </c>
      <c r="P6781" s="15" t="s">
        <v>8</v>
      </c>
      <c r="S6781" s="15" t="s">
        <v>8</v>
      </c>
      <c r="U6781" s="8" t="s">
        <v>3</v>
      </c>
      <c r="V6781" s="15" t="s">
        <v>8</v>
      </c>
    </row>
    <row r="6782" spans="3:27" x14ac:dyDescent="0.35">
      <c r="C6782" s="15" t="s">
        <v>8</v>
      </c>
      <c r="F6782" s="15" t="s">
        <v>8</v>
      </c>
      <c r="H6782" s="15" t="s">
        <v>8</v>
      </c>
      <c r="I6782" s="15" t="s">
        <v>8</v>
      </c>
      <c r="J6782" s="15" t="s">
        <v>8</v>
      </c>
      <c r="K6782" s="15" t="s">
        <v>8</v>
      </c>
      <c r="M6782" s="15" t="s">
        <v>8</v>
      </c>
      <c r="N6782" s="15" t="s">
        <v>8</v>
      </c>
      <c r="P6782" s="15" t="s">
        <v>8</v>
      </c>
      <c r="S6782" s="15" t="s">
        <v>8</v>
      </c>
      <c r="U6782" s="15" t="s">
        <v>8</v>
      </c>
      <c r="V6782" s="15" t="s">
        <v>8</v>
      </c>
      <c r="W6782" s="19" t="str">
        <f>HYPERLINK("http://yeinfo.com/family/I09066279.html", "JOHN BEAUCHAMP &lt;4&gt; 1330 EN-1389 EN ID:09066442")</f>
        <v>JOHN BEAUCHAMP &lt;4&gt; 1330 EN-1389 EN ID:09066442</v>
      </c>
      <c r="X6782" s="9"/>
      <c r="Y6782" s="9"/>
      <c r="Z6782" s="9"/>
      <c r="AA6782" s="9"/>
    </row>
    <row r="6783" spans="3:27" x14ac:dyDescent="0.35">
      <c r="C6783" s="15" t="s">
        <v>8</v>
      </c>
      <c r="F6783" s="15" t="s">
        <v>8</v>
      </c>
      <c r="H6783" s="15" t="s">
        <v>8</v>
      </c>
      <c r="I6783" s="15" t="s">
        <v>8</v>
      </c>
      <c r="J6783" s="15" t="s">
        <v>8</v>
      </c>
      <c r="K6783" s="15" t="s">
        <v>8</v>
      </c>
      <c r="M6783" s="15" t="s">
        <v>8</v>
      </c>
      <c r="N6783" s="15" t="s">
        <v>8</v>
      </c>
      <c r="P6783" s="15" t="s">
        <v>8</v>
      </c>
      <c r="S6783" s="15" t="s">
        <v>8</v>
      </c>
      <c r="U6783" s="15" t="s">
        <v>8</v>
      </c>
      <c r="V6783" s="8" t="s">
        <v>6</v>
      </c>
      <c r="W6783" s="8" t="s">
        <v>3</v>
      </c>
    </row>
    <row r="6784" spans="3:27" x14ac:dyDescent="0.35">
      <c r="C6784" s="15" t="s">
        <v>8</v>
      </c>
      <c r="F6784" s="15" t="s">
        <v>8</v>
      </c>
      <c r="H6784" s="15" t="s">
        <v>8</v>
      </c>
      <c r="I6784" s="15" t="s">
        <v>8</v>
      </c>
      <c r="J6784" s="15" t="s">
        <v>8</v>
      </c>
      <c r="K6784" s="15" t="s">
        <v>8</v>
      </c>
      <c r="M6784" s="15" t="s">
        <v>8</v>
      </c>
      <c r="N6784" s="15" t="s">
        <v>8</v>
      </c>
      <c r="P6784" s="15" t="s">
        <v>8</v>
      </c>
      <c r="S6784" s="15" t="s">
        <v>8</v>
      </c>
      <c r="U6784" s="15" t="s">
        <v>8</v>
      </c>
      <c r="V6784" s="20" t="str">
        <f>HYPERLINK("http://yeinfo.com/family/I09066488.html", "MARGARET BEAUCHAMP &lt;4&gt; 1374 EN-1420 EN ID:09066279")</f>
        <v>MARGARET BEAUCHAMP &lt;4&gt; 1374 EN-1420 EN ID:09066279</v>
      </c>
      <c r="W6784" s="17"/>
      <c r="X6784" s="17"/>
      <c r="Y6784" s="17"/>
      <c r="Z6784" s="17"/>
    </row>
    <row r="6785" spans="3:27" x14ac:dyDescent="0.35">
      <c r="C6785" s="15" t="s">
        <v>8</v>
      </c>
      <c r="F6785" s="15" t="s">
        <v>8</v>
      </c>
      <c r="H6785" s="15" t="s">
        <v>8</v>
      </c>
      <c r="I6785" s="15" t="s">
        <v>8</v>
      </c>
      <c r="J6785" s="15" t="s">
        <v>8</v>
      </c>
      <c r="K6785" s="15" t="s">
        <v>8</v>
      </c>
      <c r="M6785" s="15" t="s">
        <v>8</v>
      </c>
      <c r="N6785" s="15" t="s">
        <v>8</v>
      </c>
      <c r="P6785" s="15" t="s">
        <v>8</v>
      </c>
      <c r="S6785" s="15" t="s">
        <v>8</v>
      </c>
      <c r="U6785" s="15" t="s">
        <v>8</v>
      </c>
      <c r="W6785" s="8" t="s">
        <v>6</v>
      </c>
    </row>
    <row r="6786" spans="3:27" x14ac:dyDescent="0.35">
      <c r="C6786" s="15" t="s">
        <v>8</v>
      </c>
      <c r="F6786" s="15" t="s">
        <v>8</v>
      </c>
      <c r="H6786" s="15" t="s">
        <v>8</v>
      </c>
      <c r="I6786" s="15" t="s">
        <v>8</v>
      </c>
      <c r="J6786" s="15" t="s">
        <v>8</v>
      </c>
      <c r="K6786" s="15" t="s">
        <v>8</v>
      </c>
      <c r="M6786" s="15" t="s">
        <v>8</v>
      </c>
      <c r="N6786" s="15" t="s">
        <v>8</v>
      </c>
      <c r="P6786" s="15" t="s">
        <v>8</v>
      </c>
      <c r="S6786" s="15" t="s">
        <v>8</v>
      </c>
      <c r="U6786" s="15" t="s">
        <v>8</v>
      </c>
      <c r="W6786" s="20" t="str">
        <f>HYPERLINK("http://yeinfo.com/family/I09066442.html", "ELIZABETH ST.JOHN &lt;4&gt; 1331 EN-1411 EN ID:09066478")</f>
        <v>ELIZABETH ST.JOHN &lt;4&gt; 1331 EN-1411 EN ID:09066478</v>
      </c>
      <c r="X6786" s="17"/>
      <c r="Y6786" s="17"/>
      <c r="Z6786" s="17"/>
      <c r="AA6786" s="17"/>
    </row>
    <row r="6787" spans="3:27" x14ac:dyDescent="0.35">
      <c r="C6787" s="15" t="s">
        <v>8</v>
      </c>
      <c r="F6787" s="15" t="s">
        <v>8</v>
      </c>
      <c r="H6787" s="15" t="s">
        <v>8</v>
      </c>
      <c r="I6787" s="15" t="s">
        <v>8</v>
      </c>
      <c r="J6787" s="15" t="s">
        <v>8</v>
      </c>
      <c r="K6787" s="15" t="s">
        <v>8</v>
      </c>
      <c r="M6787" s="15" t="s">
        <v>8</v>
      </c>
      <c r="N6787" s="15" t="s">
        <v>8</v>
      </c>
      <c r="P6787" s="15" t="s">
        <v>8</v>
      </c>
      <c r="S6787" s="15" t="s">
        <v>8</v>
      </c>
      <c r="U6787" s="15" t="s">
        <v>8</v>
      </c>
    </row>
    <row r="6788" spans="3:27" x14ac:dyDescent="0.35">
      <c r="C6788" s="15" t="s">
        <v>8</v>
      </c>
      <c r="F6788" s="15" t="s">
        <v>8</v>
      </c>
      <c r="H6788" s="15" t="s">
        <v>8</v>
      </c>
      <c r="I6788" s="15" t="s">
        <v>8</v>
      </c>
      <c r="J6788" s="15" t="s">
        <v>8</v>
      </c>
      <c r="K6788" s="15" t="s">
        <v>8</v>
      </c>
      <c r="M6788" s="15" t="s">
        <v>8</v>
      </c>
      <c r="N6788" s="15" t="s">
        <v>8</v>
      </c>
      <c r="P6788" s="15" t="s">
        <v>8</v>
      </c>
      <c r="S6788" s="15" t="s">
        <v>8</v>
      </c>
      <c r="T6788" s="19" t="str">
        <f>HYPERLINK("http://yeinfo.com/family/I09065737.html", "WILLIAM DAUBENEY &lt;4&gt; 1424 EN-1461 EN ID:09065887")</f>
        <v>WILLIAM DAUBENEY &lt;4&gt; 1424 EN-1461 EN ID:09065887</v>
      </c>
      <c r="U6788" s="9"/>
      <c r="V6788" s="9"/>
      <c r="W6788" s="9"/>
      <c r="X6788" s="9"/>
    </row>
    <row r="6789" spans="3:27" x14ac:dyDescent="0.35">
      <c r="C6789" s="15" t="s">
        <v>8</v>
      </c>
      <c r="F6789" s="15" t="s">
        <v>8</v>
      </c>
      <c r="H6789" s="15" t="s">
        <v>8</v>
      </c>
      <c r="I6789" s="15" t="s">
        <v>8</v>
      </c>
      <c r="J6789" s="15" t="s">
        <v>8</v>
      </c>
      <c r="K6789" s="15" t="s">
        <v>8</v>
      </c>
      <c r="M6789" s="15" t="s">
        <v>8</v>
      </c>
      <c r="N6789" s="15" t="s">
        <v>8</v>
      </c>
      <c r="P6789" s="15" t="s">
        <v>8</v>
      </c>
      <c r="S6789" s="15" t="s">
        <v>8</v>
      </c>
      <c r="T6789" s="8" t="s">
        <v>3</v>
      </c>
      <c r="U6789" s="8" t="s">
        <v>6</v>
      </c>
    </row>
    <row r="6790" spans="3:27" x14ac:dyDescent="0.35">
      <c r="C6790" s="15" t="s">
        <v>8</v>
      </c>
      <c r="F6790" s="15" t="s">
        <v>8</v>
      </c>
      <c r="H6790" s="15" t="s">
        <v>8</v>
      </c>
      <c r="I6790" s="15" t="s">
        <v>8</v>
      </c>
      <c r="J6790" s="15" t="s">
        <v>8</v>
      </c>
      <c r="K6790" s="15" t="s">
        <v>8</v>
      </c>
      <c r="M6790" s="15" t="s">
        <v>8</v>
      </c>
      <c r="N6790" s="15" t="s">
        <v>8</v>
      </c>
      <c r="P6790" s="15" t="s">
        <v>8</v>
      </c>
      <c r="S6790" s="15" t="s">
        <v>8</v>
      </c>
      <c r="T6790" s="15" t="s">
        <v>8</v>
      </c>
      <c r="U6790" s="20" t="str">
        <f>HYPERLINK("http://yeinfo.com/family/I09066478.html", "JOAN DARCY &lt;4&gt; 1398 EN-1424 EN ID:09066085")</f>
        <v>JOAN DARCY &lt;4&gt; 1398 EN-1424 EN ID:09066085</v>
      </c>
      <c r="V6790" s="17"/>
      <c r="W6790" s="17"/>
      <c r="X6790" s="17"/>
      <c r="Y6790" s="17"/>
    </row>
    <row r="6791" spans="3:27" x14ac:dyDescent="0.35">
      <c r="C6791" s="15" t="s">
        <v>8</v>
      </c>
      <c r="F6791" s="15" t="s">
        <v>8</v>
      </c>
      <c r="H6791" s="15" t="s">
        <v>8</v>
      </c>
      <c r="I6791" s="15" t="s">
        <v>8</v>
      </c>
      <c r="J6791" s="15" t="s">
        <v>8</v>
      </c>
      <c r="K6791" s="15" t="s">
        <v>8</v>
      </c>
      <c r="M6791" s="15" t="s">
        <v>8</v>
      </c>
      <c r="N6791" s="15" t="s">
        <v>8</v>
      </c>
      <c r="P6791" s="15" t="s">
        <v>8</v>
      </c>
      <c r="S6791" s="8" t="s">
        <v>6</v>
      </c>
      <c r="T6791" s="15" t="s">
        <v>8</v>
      </c>
    </row>
    <row r="6792" spans="3:27" x14ac:dyDescent="0.35">
      <c r="C6792" s="15" t="s">
        <v>8</v>
      </c>
      <c r="F6792" s="15" t="s">
        <v>8</v>
      </c>
      <c r="H6792" s="15" t="s">
        <v>8</v>
      </c>
      <c r="I6792" s="15" t="s">
        <v>8</v>
      </c>
      <c r="J6792" s="15" t="s">
        <v>8</v>
      </c>
      <c r="K6792" s="15" t="s">
        <v>8</v>
      </c>
      <c r="M6792" s="15" t="s">
        <v>8</v>
      </c>
      <c r="N6792" s="15" t="s">
        <v>8</v>
      </c>
      <c r="P6792" s="15" t="s">
        <v>8</v>
      </c>
      <c r="S6792" s="20" t="str">
        <f>HYPERLINK("http://yeinfo.com/family/I09065886.html", "ELINOR DAUBENEY &lt;4&gt; 1455 EN-1482 EN ID:09065737")</f>
        <v>ELINOR DAUBENEY &lt;4&gt; 1455 EN-1482 EN ID:09065737</v>
      </c>
      <c r="T6792" s="17"/>
      <c r="U6792" s="17"/>
      <c r="V6792" s="17"/>
      <c r="W6792" s="17"/>
    </row>
    <row r="6793" spans="3:27" x14ac:dyDescent="0.35">
      <c r="C6793" s="15" t="s">
        <v>8</v>
      </c>
      <c r="F6793" s="15" t="s">
        <v>8</v>
      </c>
      <c r="H6793" s="15" t="s">
        <v>8</v>
      </c>
      <c r="I6793" s="15" t="s">
        <v>8</v>
      </c>
      <c r="J6793" s="15" t="s">
        <v>8</v>
      </c>
      <c r="K6793" s="15" t="s">
        <v>8</v>
      </c>
      <c r="M6793" s="15" t="s">
        <v>8</v>
      </c>
      <c r="N6793" s="15" t="s">
        <v>8</v>
      </c>
      <c r="P6793" s="15" t="s">
        <v>8</v>
      </c>
      <c r="T6793" s="8" t="s">
        <v>6</v>
      </c>
    </row>
    <row r="6794" spans="3:27" x14ac:dyDescent="0.35">
      <c r="C6794" s="15" t="s">
        <v>8</v>
      </c>
      <c r="F6794" s="15" t="s">
        <v>8</v>
      </c>
      <c r="H6794" s="15" t="s">
        <v>8</v>
      </c>
      <c r="I6794" s="15" t="s">
        <v>8</v>
      </c>
      <c r="J6794" s="15" t="s">
        <v>8</v>
      </c>
      <c r="K6794" s="15" t="s">
        <v>8</v>
      </c>
      <c r="M6794" s="15" t="s">
        <v>8</v>
      </c>
      <c r="N6794" s="15" t="s">
        <v>8</v>
      </c>
      <c r="P6794" s="15" t="s">
        <v>8</v>
      </c>
      <c r="T6794" s="20" t="str">
        <f>HYPERLINK("http://yeinfo.com/family/I09066085.html", "ALICE STOURTON &lt;4&gt; 1432 EN-1491 EN ID:09065888")</f>
        <v>ALICE STOURTON &lt;4&gt; 1432 EN-1491 EN ID:09065888</v>
      </c>
      <c r="U6794" s="17"/>
      <c r="V6794" s="17"/>
      <c r="W6794" s="17"/>
      <c r="X6794" s="17"/>
    </row>
    <row r="6795" spans="3:27" x14ac:dyDescent="0.35">
      <c r="C6795" s="15" t="s">
        <v>8</v>
      </c>
      <c r="F6795" s="15" t="s">
        <v>8</v>
      </c>
      <c r="H6795" s="15" t="s">
        <v>8</v>
      </c>
      <c r="I6795" s="15" t="s">
        <v>8</v>
      </c>
      <c r="J6795" s="15" t="s">
        <v>8</v>
      </c>
      <c r="K6795" s="15" t="s">
        <v>8</v>
      </c>
      <c r="M6795" s="15" t="s">
        <v>8</v>
      </c>
      <c r="N6795" s="15" t="s">
        <v>8</v>
      </c>
      <c r="P6795" s="15" t="s">
        <v>8</v>
      </c>
    </row>
    <row r="6796" spans="3:27" x14ac:dyDescent="0.35">
      <c r="C6796" s="15" t="s">
        <v>8</v>
      </c>
      <c r="F6796" s="15" t="s">
        <v>8</v>
      </c>
      <c r="H6796" s="15" t="s">
        <v>8</v>
      </c>
      <c r="I6796" s="15" t="s">
        <v>8</v>
      </c>
      <c r="J6796" s="15" t="s">
        <v>8</v>
      </c>
      <c r="K6796" s="15" t="s">
        <v>8</v>
      </c>
      <c r="M6796" s="15" t="s">
        <v>8</v>
      </c>
      <c r="N6796" s="15" t="s">
        <v>8</v>
      </c>
      <c r="O6796" s="19" t="str">
        <f>HYPERLINK("http://yeinfo.com/family/I09005929.html", "EDWARD WARD &lt;2&gt; 1540 EN-1595 EN ID:09011858")</f>
        <v>EDWARD WARD &lt;2&gt; 1540 EN-1595 EN ID:09011858</v>
      </c>
      <c r="P6796" s="9"/>
      <c r="Q6796" s="9"/>
      <c r="R6796" s="9"/>
      <c r="S6796" s="9"/>
    </row>
    <row r="6797" spans="3:27" x14ac:dyDescent="0.35">
      <c r="C6797" s="15" t="s">
        <v>8</v>
      </c>
      <c r="F6797" s="15" t="s">
        <v>8</v>
      </c>
      <c r="H6797" s="15" t="s">
        <v>8</v>
      </c>
      <c r="I6797" s="15" t="s">
        <v>8</v>
      </c>
      <c r="J6797" s="15" t="s">
        <v>8</v>
      </c>
      <c r="K6797" s="15" t="s">
        <v>8</v>
      </c>
      <c r="M6797" s="15" t="s">
        <v>8</v>
      </c>
      <c r="N6797" s="15" t="s">
        <v>8</v>
      </c>
      <c r="O6797" s="8" t="s">
        <v>3</v>
      </c>
      <c r="P6797" s="15" t="s">
        <v>8</v>
      </c>
    </row>
    <row r="6798" spans="3:27" x14ac:dyDescent="0.35">
      <c r="C6798" s="15" t="s">
        <v>8</v>
      </c>
      <c r="F6798" s="15" t="s">
        <v>8</v>
      </c>
      <c r="H6798" s="15" t="s">
        <v>8</v>
      </c>
      <c r="I6798" s="15" t="s">
        <v>8</v>
      </c>
      <c r="J6798" s="15" t="s">
        <v>8</v>
      </c>
      <c r="K6798" s="15" t="s">
        <v>8</v>
      </c>
      <c r="M6798" s="15" t="s">
        <v>8</v>
      </c>
      <c r="N6798" s="15" t="s">
        <v>8</v>
      </c>
      <c r="O6798" s="15" t="s">
        <v>8</v>
      </c>
      <c r="P6798" s="15" t="s">
        <v>8</v>
      </c>
      <c r="Q6798" s="19" t="str">
        <f>HYPERLINK("http://yeinfo.com/family/I09023717.html", "WILLIAM UGGS &lt;2&gt; 1500 EN-1575 EN ID:09047434")</f>
        <v>WILLIAM UGGS &lt;2&gt; 1500 EN-1575 EN ID:09047434</v>
      </c>
      <c r="R6798" s="9"/>
      <c r="S6798" s="9"/>
      <c r="T6798" s="9"/>
      <c r="U6798" s="9"/>
    </row>
    <row r="6799" spans="3:27" x14ac:dyDescent="0.35">
      <c r="C6799" s="15" t="s">
        <v>8</v>
      </c>
      <c r="F6799" s="15" t="s">
        <v>8</v>
      </c>
      <c r="H6799" s="15" t="s">
        <v>8</v>
      </c>
      <c r="I6799" s="15" t="s">
        <v>8</v>
      </c>
      <c r="J6799" s="15" t="s">
        <v>8</v>
      </c>
      <c r="K6799" s="15" t="s">
        <v>8</v>
      </c>
      <c r="M6799" s="15" t="s">
        <v>8</v>
      </c>
      <c r="N6799" s="15" t="s">
        <v>8</v>
      </c>
      <c r="O6799" s="15" t="s">
        <v>8</v>
      </c>
      <c r="P6799" s="8" t="s">
        <v>6</v>
      </c>
      <c r="Q6799" s="8" t="s">
        <v>3</v>
      </c>
    </row>
    <row r="6800" spans="3:27" x14ac:dyDescent="0.35">
      <c r="C6800" s="15" t="s">
        <v>8</v>
      </c>
      <c r="F6800" s="15" t="s">
        <v>8</v>
      </c>
      <c r="H6800" s="15" t="s">
        <v>8</v>
      </c>
      <c r="I6800" s="15" t="s">
        <v>8</v>
      </c>
      <c r="J6800" s="15" t="s">
        <v>8</v>
      </c>
      <c r="K6800" s="15" t="s">
        <v>8</v>
      </c>
      <c r="M6800" s="15" t="s">
        <v>8</v>
      </c>
      <c r="N6800" s="15" t="s">
        <v>8</v>
      </c>
      <c r="O6800" s="15" t="s">
        <v>8</v>
      </c>
      <c r="P6800" s="20" t="str">
        <f>HYPERLINK("http://yeinfo.com/family/I09065888.html", "MARGARET UGGS &lt;2&gt; 1520 EN-1587 EN ID:09023717")</f>
        <v>MARGARET UGGS &lt;2&gt; 1520 EN-1587 EN ID:09023717</v>
      </c>
      <c r="Q6800" s="17"/>
      <c r="R6800" s="17"/>
      <c r="S6800" s="17"/>
      <c r="T6800" s="17"/>
    </row>
    <row r="6801" spans="3:25" x14ac:dyDescent="0.35">
      <c r="C6801" s="15" t="s">
        <v>8</v>
      </c>
      <c r="F6801" s="15" t="s">
        <v>8</v>
      </c>
      <c r="H6801" s="15" t="s">
        <v>8</v>
      </c>
      <c r="I6801" s="15" t="s">
        <v>8</v>
      </c>
      <c r="J6801" s="15" t="s">
        <v>8</v>
      </c>
      <c r="K6801" s="15" t="s">
        <v>8</v>
      </c>
      <c r="M6801" s="15" t="s">
        <v>8</v>
      </c>
      <c r="N6801" s="15" t="s">
        <v>8</v>
      </c>
      <c r="O6801" s="15" t="s">
        <v>8</v>
      </c>
      <c r="Q6801" s="15" t="s">
        <v>8</v>
      </c>
    </row>
    <row r="6802" spans="3:25" x14ac:dyDescent="0.35">
      <c r="C6802" s="15" t="s">
        <v>8</v>
      </c>
      <c r="F6802" s="15" t="s">
        <v>8</v>
      </c>
      <c r="H6802" s="15" t="s">
        <v>8</v>
      </c>
      <c r="I6802" s="15" t="s">
        <v>8</v>
      </c>
      <c r="J6802" s="15" t="s">
        <v>8</v>
      </c>
      <c r="K6802" s="15" t="s">
        <v>8</v>
      </c>
      <c r="M6802" s="15" t="s">
        <v>8</v>
      </c>
      <c r="N6802" s="15" t="s">
        <v>8</v>
      </c>
      <c r="O6802" s="15" t="s">
        <v>8</v>
      </c>
      <c r="Q6802" s="15" t="s">
        <v>8</v>
      </c>
      <c r="T6802" s="19" t="str">
        <f>HYPERLINK("http://yeinfo.com/family/I09065883.html", "JOHN CAPELL &lt;4&gt; 1398 EN-1449 EN ID:09065883")</f>
        <v>JOHN CAPELL &lt;4&gt; 1398 EN-1449 EN ID:09065883</v>
      </c>
      <c r="U6802" s="9"/>
      <c r="V6802" s="9"/>
      <c r="W6802" s="9"/>
      <c r="X6802" s="9"/>
    </row>
    <row r="6803" spans="3:25" x14ac:dyDescent="0.35">
      <c r="C6803" s="15" t="s">
        <v>8</v>
      </c>
      <c r="F6803" s="15" t="s">
        <v>8</v>
      </c>
      <c r="H6803" s="15" t="s">
        <v>8</v>
      </c>
      <c r="I6803" s="15" t="s">
        <v>8</v>
      </c>
      <c r="J6803" s="15" t="s">
        <v>8</v>
      </c>
      <c r="K6803" s="15" t="s">
        <v>8</v>
      </c>
      <c r="M6803" s="15" t="s">
        <v>8</v>
      </c>
      <c r="N6803" s="15" t="s">
        <v>8</v>
      </c>
      <c r="O6803" s="15" t="s">
        <v>8</v>
      </c>
      <c r="Q6803" s="15" t="s">
        <v>8</v>
      </c>
      <c r="T6803" s="8" t="s">
        <v>3</v>
      </c>
    </row>
    <row r="6804" spans="3:25" x14ac:dyDescent="0.35">
      <c r="C6804" s="15" t="s">
        <v>8</v>
      </c>
      <c r="F6804" s="15" t="s">
        <v>8</v>
      </c>
      <c r="H6804" s="15" t="s">
        <v>8</v>
      </c>
      <c r="I6804" s="15" t="s">
        <v>8</v>
      </c>
      <c r="J6804" s="15" t="s">
        <v>8</v>
      </c>
      <c r="K6804" s="15" t="s">
        <v>8</v>
      </c>
      <c r="M6804" s="15" t="s">
        <v>8</v>
      </c>
      <c r="N6804" s="15" t="s">
        <v>8</v>
      </c>
      <c r="O6804" s="15" t="s">
        <v>8</v>
      </c>
      <c r="Q6804" s="15" t="s">
        <v>8</v>
      </c>
      <c r="S6804" s="19" t="str">
        <f>HYPERLINK("http://yeinfo.com/family/I09065734.html", "WILLIAM CAPELL &lt;4&gt; 1446 EN-1515 EN ID:09065734")</f>
        <v>WILLIAM CAPELL &lt;4&gt; 1446 EN-1515 EN ID:09065734</v>
      </c>
      <c r="T6804" s="9"/>
      <c r="U6804" s="9"/>
      <c r="V6804" s="9"/>
      <c r="W6804" s="9"/>
    </row>
    <row r="6805" spans="3:25" x14ac:dyDescent="0.35">
      <c r="C6805" s="15" t="s">
        <v>8</v>
      </c>
      <c r="F6805" s="15" t="s">
        <v>8</v>
      </c>
      <c r="H6805" s="15" t="s">
        <v>8</v>
      </c>
      <c r="I6805" s="15" t="s">
        <v>8</v>
      </c>
      <c r="J6805" s="15" t="s">
        <v>8</v>
      </c>
      <c r="K6805" s="15" t="s">
        <v>8</v>
      </c>
      <c r="M6805" s="15" t="s">
        <v>8</v>
      </c>
      <c r="N6805" s="15" t="s">
        <v>8</v>
      </c>
      <c r="O6805" s="15" t="s">
        <v>8</v>
      </c>
      <c r="Q6805" s="15" t="s">
        <v>8</v>
      </c>
      <c r="S6805" s="8" t="s">
        <v>3</v>
      </c>
      <c r="T6805" s="8" t="s">
        <v>6</v>
      </c>
    </row>
    <row r="6806" spans="3:25" x14ac:dyDescent="0.35">
      <c r="C6806" s="15" t="s">
        <v>8</v>
      </c>
      <c r="F6806" s="15" t="s">
        <v>8</v>
      </c>
      <c r="H6806" s="15" t="s">
        <v>8</v>
      </c>
      <c r="I6806" s="15" t="s">
        <v>8</v>
      </c>
      <c r="J6806" s="15" t="s">
        <v>8</v>
      </c>
      <c r="K6806" s="15" t="s">
        <v>8</v>
      </c>
      <c r="M6806" s="15" t="s">
        <v>8</v>
      </c>
      <c r="N6806" s="15" t="s">
        <v>8</v>
      </c>
      <c r="O6806" s="15" t="s">
        <v>8</v>
      </c>
      <c r="Q6806" s="15" t="s">
        <v>8</v>
      </c>
      <c r="S6806" s="15" t="s">
        <v>8</v>
      </c>
      <c r="T6806" s="20" t="str">
        <f>HYPERLINK("http://yeinfo.com/family/I09065884.html", "Mrs. JOAN CAPELL &lt;4&gt; 1402 EN-1446 EN ID:09065884")</f>
        <v>Mrs. JOAN CAPELL &lt;4&gt; 1402 EN-1446 EN ID:09065884</v>
      </c>
      <c r="U6806" s="17"/>
      <c r="V6806" s="17"/>
      <c r="W6806" s="17"/>
      <c r="X6806" s="17"/>
    </row>
    <row r="6807" spans="3:25" x14ac:dyDescent="0.35">
      <c r="C6807" s="15" t="s">
        <v>8</v>
      </c>
      <c r="F6807" s="15" t="s">
        <v>8</v>
      </c>
      <c r="H6807" s="15" t="s">
        <v>8</v>
      </c>
      <c r="I6807" s="15" t="s">
        <v>8</v>
      </c>
      <c r="J6807" s="15" t="s">
        <v>8</v>
      </c>
      <c r="K6807" s="15" t="s">
        <v>8</v>
      </c>
      <c r="M6807" s="15" t="s">
        <v>8</v>
      </c>
      <c r="N6807" s="15" t="s">
        <v>8</v>
      </c>
      <c r="O6807" s="15" t="s">
        <v>8</v>
      </c>
      <c r="Q6807" s="15" t="s">
        <v>8</v>
      </c>
      <c r="S6807" s="15" t="s">
        <v>8</v>
      </c>
    </row>
    <row r="6808" spans="3:25" x14ac:dyDescent="0.35">
      <c r="C6808" s="15" t="s">
        <v>8</v>
      </c>
      <c r="F6808" s="15" t="s">
        <v>8</v>
      </c>
      <c r="H6808" s="15" t="s">
        <v>8</v>
      </c>
      <c r="I6808" s="15" t="s">
        <v>8</v>
      </c>
      <c r="J6808" s="15" t="s">
        <v>8</v>
      </c>
      <c r="K6808" s="15" t="s">
        <v>8</v>
      </c>
      <c r="M6808" s="15" t="s">
        <v>8</v>
      </c>
      <c r="N6808" s="15" t="s">
        <v>8</v>
      </c>
      <c r="O6808" s="15" t="s">
        <v>8</v>
      </c>
      <c r="Q6808" s="15" t="s">
        <v>8</v>
      </c>
      <c r="R6808" s="19" t="str">
        <f>HYPERLINK("http://yeinfo.com/family/I09065601.html", "GILES CAPELL &lt;4&gt; 1480 EN-1556 EN ID:09065601")</f>
        <v>GILES CAPELL &lt;4&gt; 1480 EN-1556 EN ID:09065601</v>
      </c>
      <c r="S6808" s="9"/>
      <c r="T6808" s="9"/>
      <c r="U6808" s="9"/>
      <c r="V6808" s="9"/>
    </row>
    <row r="6809" spans="3:25" x14ac:dyDescent="0.35">
      <c r="C6809" s="15" t="s">
        <v>8</v>
      </c>
      <c r="F6809" s="15" t="s">
        <v>8</v>
      </c>
      <c r="H6809" s="15" t="s">
        <v>8</v>
      </c>
      <c r="I6809" s="15" t="s">
        <v>8</v>
      </c>
      <c r="J6809" s="15" t="s">
        <v>8</v>
      </c>
      <c r="K6809" s="15" t="s">
        <v>8</v>
      </c>
      <c r="M6809" s="15" t="s">
        <v>8</v>
      </c>
      <c r="N6809" s="15" t="s">
        <v>8</v>
      </c>
      <c r="O6809" s="15" t="s">
        <v>8</v>
      </c>
      <c r="Q6809" s="15" t="s">
        <v>8</v>
      </c>
      <c r="R6809" s="8" t="s">
        <v>3</v>
      </c>
      <c r="S6809" s="15" t="s">
        <v>8</v>
      </c>
    </row>
    <row r="6810" spans="3:25" x14ac:dyDescent="0.35">
      <c r="C6810" s="15" t="s">
        <v>8</v>
      </c>
      <c r="F6810" s="15" t="s">
        <v>8</v>
      </c>
      <c r="H6810" s="15" t="s">
        <v>8</v>
      </c>
      <c r="I6810" s="15" t="s">
        <v>8</v>
      </c>
      <c r="J6810" s="15" t="s">
        <v>8</v>
      </c>
      <c r="K6810" s="15" t="s">
        <v>8</v>
      </c>
      <c r="M6810" s="15" t="s">
        <v>8</v>
      </c>
      <c r="N6810" s="15" t="s">
        <v>8</v>
      </c>
      <c r="O6810" s="15" t="s">
        <v>8</v>
      </c>
      <c r="Q6810" s="15" t="s">
        <v>8</v>
      </c>
      <c r="R6810" s="15" t="s">
        <v>8</v>
      </c>
      <c r="S6810" s="15" t="s">
        <v>8</v>
      </c>
      <c r="U6810" s="19" t="str">
        <f>HYPERLINK("http://yeinfo.com/family/I09066733.html", "JOHN ARUNDELL VI &lt;4&gt; 1392 EN-1423 EN ID:09066733")</f>
        <v>JOHN ARUNDELL VI &lt;4&gt; 1392 EN-1423 EN ID:09066733</v>
      </c>
      <c r="V6810" s="9"/>
      <c r="W6810" s="9"/>
      <c r="X6810" s="9"/>
      <c r="Y6810" s="9"/>
    </row>
    <row r="6811" spans="3:25" x14ac:dyDescent="0.35">
      <c r="C6811" s="15" t="s">
        <v>8</v>
      </c>
      <c r="F6811" s="15" t="s">
        <v>8</v>
      </c>
      <c r="H6811" s="15" t="s">
        <v>8</v>
      </c>
      <c r="I6811" s="15" t="s">
        <v>8</v>
      </c>
      <c r="J6811" s="15" t="s">
        <v>8</v>
      </c>
      <c r="K6811" s="15" t="s">
        <v>8</v>
      </c>
      <c r="M6811" s="15" t="s">
        <v>8</v>
      </c>
      <c r="N6811" s="15" t="s">
        <v>8</v>
      </c>
      <c r="O6811" s="15" t="s">
        <v>8</v>
      </c>
      <c r="Q6811" s="15" t="s">
        <v>8</v>
      </c>
      <c r="R6811" s="15" t="s">
        <v>8</v>
      </c>
      <c r="S6811" s="15" t="s">
        <v>8</v>
      </c>
      <c r="U6811" s="8" t="s">
        <v>3</v>
      </c>
    </row>
    <row r="6812" spans="3:25" x14ac:dyDescent="0.35">
      <c r="C6812" s="15" t="s">
        <v>8</v>
      </c>
      <c r="F6812" s="15" t="s">
        <v>8</v>
      </c>
      <c r="H6812" s="15" t="s">
        <v>8</v>
      </c>
      <c r="I6812" s="15" t="s">
        <v>8</v>
      </c>
      <c r="J6812" s="15" t="s">
        <v>8</v>
      </c>
      <c r="K6812" s="15" t="s">
        <v>8</v>
      </c>
      <c r="M6812" s="15" t="s">
        <v>8</v>
      </c>
      <c r="N6812" s="15" t="s">
        <v>8</v>
      </c>
      <c r="O6812" s="15" t="s">
        <v>8</v>
      </c>
      <c r="Q6812" s="15" t="s">
        <v>8</v>
      </c>
      <c r="R6812" s="15" t="s">
        <v>8</v>
      </c>
      <c r="S6812" s="15" t="s">
        <v>8</v>
      </c>
      <c r="T6812" s="19" t="str">
        <f>HYPERLINK("http://yeinfo.com/family/I09066731.html", "JOHN ARUNDELL VII &lt;4&gt; 1421 EN-1473 EN ID:09066731")</f>
        <v>JOHN ARUNDELL VII &lt;4&gt; 1421 EN-1473 EN ID:09066731</v>
      </c>
      <c r="U6812" s="9"/>
      <c r="V6812" s="9"/>
      <c r="W6812" s="9"/>
      <c r="X6812" s="9"/>
    </row>
    <row r="6813" spans="3:25" x14ac:dyDescent="0.35">
      <c r="C6813" s="15" t="s">
        <v>8</v>
      </c>
      <c r="F6813" s="15" t="s">
        <v>8</v>
      </c>
      <c r="H6813" s="15" t="s">
        <v>8</v>
      </c>
      <c r="I6813" s="15" t="s">
        <v>8</v>
      </c>
      <c r="J6813" s="15" t="s">
        <v>8</v>
      </c>
      <c r="K6813" s="15" t="s">
        <v>8</v>
      </c>
      <c r="M6813" s="15" t="s">
        <v>8</v>
      </c>
      <c r="N6813" s="15" t="s">
        <v>8</v>
      </c>
      <c r="O6813" s="15" t="s">
        <v>8</v>
      </c>
      <c r="Q6813" s="15" t="s">
        <v>8</v>
      </c>
      <c r="R6813" s="15" t="s">
        <v>8</v>
      </c>
      <c r="S6813" s="15" t="s">
        <v>8</v>
      </c>
      <c r="T6813" s="8" t="s">
        <v>3</v>
      </c>
      <c r="U6813" s="8" t="s">
        <v>6</v>
      </c>
    </row>
    <row r="6814" spans="3:25" x14ac:dyDescent="0.35">
      <c r="C6814" s="15" t="s">
        <v>8</v>
      </c>
      <c r="F6814" s="15" t="s">
        <v>8</v>
      </c>
      <c r="H6814" s="15" t="s">
        <v>8</v>
      </c>
      <c r="I6814" s="15" t="s">
        <v>8</v>
      </c>
      <c r="J6814" s="15" t="s">
        <v>8</v>
      </c>
      <c r="K6814" s="15" t="s">
        <v>8</v>
      </c>
      <c r="M6814" s="15" t="s">
        <v>8</v>
      </c>
      <c r="N6814" s="15" t="s">
        <v>8</v>
      </c>
      <c r="O6814" s="15" t="s">
        <v>8</v>
      </c>
      <c r="Q6814" s="15" t="s">
        <v>8</v>
      </c>
      <c r="R6814" s="15" t="s">
        <v>8</v>
      </c>
      <c r="S6814" s="15" t="s">
        <v>8</v>
      </c>
      <c r="T6814" s="15" t="s">
        <v>8</v>
      </c>
      <c r="U6814" s="20" t="str">
        <f>HYPERLINK("http://yeinfo.com/family/I09066734.html", "MARGARET BURGHRESH &lt;4&gt; 1379 EN-1424 EN ID:09066734")</f>
        <v>MARGARET BURGHRESH &lt;4&gt; 1379 EN-1424 EN ID:09066734</v>
      </c>
      <c r="V6814" s="17"/>
      <c r="W6814" s="17"/>
      <c r="X6814" s="17"/>
      <c r="Y6814" s="17"/>
    </row>
    <row r="6815" spans="3:25" x14ac:dyDescent="0.35">
      <c r="C6815" s="15" t="s">
        <v>8</v>
      </c>
      <c r="F6815" s="15" t="s">
        <v>8</v>
      </c>
      <c r="H6815" s="15" t="s">
        <v>8</v>
      </c>
      <c r="I6815" s="15" t="s">
        <v>8</v>
      </c>
      <c r="J6815" s="15" t="s">
        <v>8</v>
      </c>
      <c r="K6815" s="15" t="s">
        <v>8</v>
      </c>
      <c r="M6815" s="15" t="s">
        <v>8</v>
      </c>
      <c r="N6815" s="15" t="s">
        <v>8</v>
      </c>
      <c r="O6815" s="15" t="s">
        <v>8</v>
      </c>
      <c r="Q6815" s="15" t="s">
        <v>8</v>
      </c>
      <c r="R6815" s="15" t="s">
        <v>8</v>
      </c>
      <c r="S6815" s="8" t="s">
        <v>6</v>
      </c>
      <c r="T6815" s="15" t="s">
        <v>8</v>
      </c>
    </row>
    <row r="6816" spans="3:25" x14ac:dyDescent="0.35">
      <c r="C6816" s="15" t="s">
        <v>8</v>
      </c>
      <c r="F6816" s="15" t="s">
        <v>8</v>
      </c>
      <c r="H6816" s="15" t="s">
        <v>8</v>
      </c>
      <c r="I6816" s="15" t="s">
        <v>8</v>
      </c>
      <c r="J6816" s="15" t="s">
        <v>8</v>
      </c>
      <c r="K6816" s="15" t="s">
        <v>8</v>
      </c>
      <c r="M6816" s="15" t="s">
        <v>8</v>
      </c>
      <c r="N6816" s="15" t="s">
        <v>8</v>
      </c>
      <c r="O6816" s="15" t="s">
        <v>8</v>
      </c>
      <c r="Q6816" s="15" t="s">
        <v>8</v>
      </c>
      <c r="R6816" s="15" t="s">
        <v>8</v>
      </c>
      <c r="S6816" s="20" t="str">
        <f>HYPERLINK("http://yeinfo.com/family/I09065735.html", "MARGARET ARUNDELL &lt;4&gt; 1456 EN-1519 EN ID:09065735")</f>
        <v>MARGARET ARUNDELL &lt;4&gt; 1456 EN-1519 EN ID:09065735</v>
      </c>
      <c r="T6816" s="17"/>
      <c r="U6816" s="17"/>
      <c r="V6816" s="17"/>
      <c r="W6816" s="17"/>
    </row>
    <row r="6817" spans="3:25" x14ac:dyDescent="0.35">
      <c r="C6817" s="15" t="s">
        <v>8</v>
      </c>
      <c r="F6817" s="15" t="s">
        <v>8</v>
      </c>
      <c r="H6817" s="15" t="s">
        <v>8</v>
      </c>
      <c r="I6817" s="15" t="s">
        <v>8</v>
      </c>
      <c r="J6817" s="15" t="s">
        <v>8</v>
      </c>
      <c r="K6817" s="15" t="s">
        <v>8</v>
      </c>
      <c r="M6817" s="15" t="s">
        <v>8</v>
      </c>
      <c r="N6817" s="15" t="s">
        <v>8</v>
      </c>
      <c r="O6817" s="15" t="s">
        <v>8</v>
      </c>
      <c r="Q6817" s="15" t="s">
        <v>8</v>
      </c>
      <c r="R6817" s="15" t="s">
        <v>8</v>
      </c>
      <c r="T6817" s="15" t="s">
        <v>8</v>
      </c>
    </row>
    <row r="6818" spans="3:25" x14ac:dyDescent="0.35">
      <c r="C6818" s="15" t="s">
        <v>8</v>
      </c>
      <c r="F6818" s="15" t="s">
        <v>8</v>
      </c>
      <c r="H6818" s="15" t="s">
        <v>8</v>
      </c>
      <c r="I6818" s="15" t="s">
        <v>8</v>
      </c>
      <c r="J6818" s="15" t="s">
        <v>8</v>
      </c>
      <c r="K6818" s="15" t="s">
        <v>8</v>
      </c>
      <c r="M6818" s="15" t="s">
        <v>8</v>
      </c>
      <c r="N6818" s="15" t="s">
        <v>8</v>
      </c>
      <c r="O6818" s="15" t="s">
        <v>8</v>
      </c>
      <c r="Q6818" s="15" t="s">
        <v>8</v>
      </c>
      <c r="R6818" s="15" t="s">
        <v>8</v>
      </c>
      <c r="T6818" s="15" t="s">
        <v>8</v>
      </c>
      <c r="U6818" s="19" t="str">
        <f>HYPERLINK("http://yeinfo.com/family/I09066735.html", "JOHN CHIDIOCKE &lt;4&gt; 1401 EN-1450 EN ID:09066735")</f>
        <v>JOHN CHIDIOCKE &lt;4&gt; 1401 EN-1450 EN ID:09066735</v>
      </c>
      <c r="V6818" s="9"/>
      <c r="W6818" s="9"/>
      <c r="X6818" s="9"/>
      <c r="Y6818" s="9"/>
    </row>
    <row r="6819" spans="3:25" x14ac:dyDescent="0.35">
      <c r="C6819" s="15" t="s">
        <v>8</v>
      </c>
      <c r="F6819" s="15" t="s">
        <v>8</v>
      </c>
      <c r="H6819" s="15" t="s">
        <v>8</v>
      </c>
      <c r="I6819" s="15" t="s">
        <v>8</v>
      </c>
      <c r="J6819" s="15" t="s">
        <v>8</v>
      </c>
      <c r="K6819" s="15" t="s">
        <v>8</v>
      </c>
      <c r="M6819" s="15" t="s">
        <v>8</v>
      </c>
      <c r="N6819" s="15" t="s">
        <v>8</v>
      </c>
      <c r="O6819" s="15" t="s">
        <v>8</v>
      </c>
      <c r="Q6819" s="15" t="s">
        <v>8</v>
      </c>
      <c r="R6819" s="15" t="s">
        <v>8</v>
      </c>
      <c r="T6819" s="8" t="s">
        <v>6</v>
      </c>
      <c r="U6819" s="8" t="s">
        <v>3</v>
      </c>
    </row>
    <row r="6820" spans="3:25" x14ac:dyDescent="0.35">
      <c r="C6820" s="15" t="s">
        <v>8</v>
      </c>
      <c r="F6820" s="15" t="s">
        <v>8</v>
      </c>
      <c r="H6820" s="15" t="s">
        <v>8</v>
      </c>
      <c r="I6820" s="15" t="s">
        <v>8</v>
      </c>
      <c r="J6820" s="15" t="s">
        <v>8</v>
      </c>
      <c r="K6820" s="15" t="s">
        <v>8</v>
      </c>
      <c r="M6820" s="15" t="s">
        <v>8</v>
      </c>
      <c r="N6820" s="15" t="s">
        <v>8</v>
      </c>
      <c r="O6820" s="15" t="s">
        <v>8</v>
      </c>
      <c r="Q6820" s="15" t="s">
        <v>8</v>
      </c>
      <c r="R6820" s="15" t="s">
        <v>8</v>
      </c>
      <c r="T6820" s="20" t="str">
        <f>HYPERLINK("http://yeinfo.com/family/I09066732.html", "CATHERINE CHIDIOCKE &lt;4&gt; 1423 EN-1479 EN ID:09066732")</f>
        <v>CATHERINE CHIDIOCKE &lt;4&gt; 1423 EN-1479 EN ID:09066732</v>
      </c>
      <c r="U6820" s="17"/>
      <c r="V6820" s="17"/>
      <c r="W6820" s="17"/>
      <c r="X6820" s="17"/>
    </row>
    <row r="6821" spans="3:25" x14ac:dyDescent="0.35">
      <c r="C6821" s="15" t="s">
        <v>8</v>
      </c>
      <c r="F6821" s="15" t="s">
        <v>8</v>
      </c>
      <c r="H6821" s="15" t="s">
        <v>8</v>
      </c>
      <c r="I6821" s="15" t="s">
        <v>8</v>
      </c>
      <c r="J6821" s="15" t="s">
        <v>8</v>
      </c>
      <c r="K6821" s="15" t="s">
        <v>8</v>
      </c>
      <c r="M6821" s="15" t="s">
        <v>8</v>
      </c>
      <c r="N6821" s="15" t="s">
        <v>8</v>
      </c>
      <c r="O6821" s="15" t="s">
        <v>8</v>
      </c>
      <c r="Q6821" s="15" t="s">
        <v>8</v>
      </c>
      <c r="R6821" s="15" t="s">
        <v>8</v>
      </c>
      <c r="U6821" s="8" t="s">
        <v>6</v>
      </c>
    </row>
    <row r="6822" spans="3:25" x14ac:dyDescent="0.35">
      <c r="C6822" s="15" t="s">
        <v>8</v>
      </c>
      <c r="F6822" s="15" t="s">
        <v>8</v>
      </c>
      <c r="H6822" s="15" t="s">
        <v>8</v>
      </c>
      <c r="I6822" s="15" t="s">
        <v>8</v>
      </c>
      <c r="J6822" s="15" t="s">
        <v>8</v>
      </c>
      <c r="K6822" s="15" t="s">
        <v>8</v>
      </c>
      <c r="M6822" s="15" t="s">
        <v>8</v>
      </c>
      <c r="N6822" s="15" t="s">
        <v>8</v>
      </c>
      <c r="O6822" s="15" t="s">
        <v>8</v>
      </c>
      <c r="Q6822" s="15" t="s">
        <v>8</v>
      </c>
      <c r="R6822" s="15" t="s">
        <v>8</v>
      </c>
      <c r="U6822" s="20" t="str">
        <f>HYPERLINK("http://yeinfo.com/family/I09066736.html", "CATHERINE LUMLEY &lt;4&gt; 1400 EN-1461 EN ID:09066736")</f>
        <v>CATHERINE LUMLEY &lt;4&gt; 1400 EN-1461 EN ID:09066736</v>
      </c>
      <c r="V6822" s="17"/>
      <c r="W6822" s="17"/>
      <c r="X6822" s="17"/>
      <c r="Y6822" s="17"/>
    </row>
    <row r="6823" spans="3:25" x14ac:dyDescent="0.35">
      <c r="C6823" s="15" t="s">
        <v>8</v>
      </c>
      <c r="F6823" s="15" t="s">
        <v>8</v>
      </c>
      <c r="H6823" s="15" t="s">
        <v>8</v>
      </c>
      <c r="I6823" s="15" t="s">
        <v>8</v>
      </c>
      <c r="J6823" s="15" t="s">
        <v>8</v>
      </c>
      <c r="K6823" s="15" t="s">
        <v>8</v>
      </c>
      <c r="M6823" s="15" t="s">
        <v>8</v>
      </c>
      <c r="N6823" s="15" t="s">
        <v>8</v>
      </c>
      <c r="O6823" s="15" t="s">
        <v>8</v>
      </c>
      <c r="Q6823" s="8" t="s">
        <v>6</v>
      </c>
      <c r="R6823" s="15" t="s">
        <v>8</v>
      </c>
    </row>
    <row r="6824" spans="3:25" x14ac:dyDescent="0.35">
      <c r="C6824" s="15" t="s">
        <v>8</v>
      </c>
      <c r="F6824" s="15" t="s">
        <v>8</v>
      </c>
      <c r="H6824" s="15" t="s">
        <v>8</v>
      </c>
      <c r="I6824" s="15" t="s">
        <v>8</v>
      </c>
      <c r="J6824" s="15" t="s">
        <v>8</v>
      </c>
      <c r="K6824" s="15" t="s">
        <v>8</v>
      </c>
      <c r="M6824" s="15" t="s">
        <v>8</v>
      </c>
      <c r="N6824" s="15" t="s">
        <v>8</v>
      </c>
      <c r="O6824" s="15" t="s">
        <v>8</v>
      </c>
      <c r="Q6824" s="20" t="str">
        <f>HYPERLINK("http://yeinfo.com/family/I09047433.html", "MARGARET CAPELL CAPELL &lt;4&gt; 1507 EN-1530 EN ID:09047433")</f>
        <v>MARGARET CAPELL CAPELL &lt;4&gt; 1507 EN-1530 EN ID:09047433</v>
      </c>
      <c r="R6824" s="17"/>
      <c r="S6824" s="17"/>
      <c r="T6824" s="17"/>
      <c r="U6824" s="17"/>
    </row>
    <row r="6825" spans="3:25" x14ac:dyDescent="0.35">
      <c r="C6825" s="15" t="s">
        <v>8</v>
      </c>
      <c r="F6825" s="15" t="s">
        <v>8</v>
      </c>
      <c r="H6825" s="15" t="s">
        <v>8</v>
      </c>
      <c r="I6825" s="15" t="s">
        <v>8</v>
      </c>
      <c r="J6825" s="15" t="s">
        <v>8</v>
      </c>
      <c r="K6825" s="15" t="s">
        <v>8</v>
      </c>
      <c r="M6825" s="15" t="s">
        <v>8</v>
      </c>
      <c r="N6825" s="15" t="s">
        <v>8</v>
      </c>
      <c r="O6825" s="15" t="s">
        <v>8</v>
      </c>
      <c r="R6825" s="15" t="s">
        <v>8</v>
      </c>
    </row>
    <row r="6826" spans="3:25" x14ac:dyDescent="0.35">
      <c r="C6826" s="15" t="s">
        <v>8</v>
      </c>
      <c r="F6826" s="15" t="s">
        <v>8</v>
      </c>
      <c r="H6826" s="15" t="s">
        <v>8</v>
      </c>
      <c r="I6826" s="15" t="s">
        <v>8</v>
      </c>
      <c r="J6826" s="15" t="s">
        <v>8</v>
      </c>
      <c r="K6826" s="15" t="s">
        <v>8</v>
      </c>
      <c r="M6826" s="15" t="s">
        <v>8</v>
      </c>
      <c r="N6826" s="15" t="s">
        <v>8</v>
      </c>
      <c r="O6826" s="15" t="s">
        <v>8</v>
      </c>
      <c r="R6826" s="15" t="s">
        <v>8</v>
      </c>
      <c r="T6826" s="19" t="str">
        <f>HYPERLINK("http://yeinfo.com/family/I09065885.html", "JOHN NEWTON &lt;4&gt; 1425 EN-1488 WL ID:09065885")</f>
        <v>JOHN NEWTON &lt;4&gt; 1425 EN-1488 WL ID:09065885</v>
      </c>
      <c r="U6826" s="9"/>
      <c r="V6826" s="9"/>
      <c r="W6826" s="9"/>
      <c r="X6826" s="9"/>
    </row>
    <row r="6827" spans="3:25" x14ac:dyDescent="0.35">
      <c r="C6827" s="15" t="s">
        <v>8</v>
      </c>
      <c r="F6827" s="15" t="s">
        <v>8</v>
      </c>
      <c r="H6827" s="15" t="s">
        <v>8</v>
      </c>
      <c r="I6827" s="15" t="s">
        <v>8</v>
      </c>
      <c r="J6827" s="15" t="s">
        <v>8</v>
      </c>
      <c r="K6827" s="15" t="s">
        <v>8</v>
      </c>
      <c r="M6827" s="15" t="s">
        <v>8</v>
      </c>
      <c r="N6827" s="15" t="s">
        <v>8</v>
      </c>
      <c r="O6827" s="15" t="s">
        <v>8</v>
      </c>
      <c r="R6827" s="15" t="s">
        <v>8</v>
      </c>
      <c r="T6827" s="8" t="s">
        <v>3</v>
      </c>
    </row>
    <row r="6828" spans="3:25" x14ac:dyDescent="0.35">
      <c r="C6828" s="15" t="s">
        <v>8</v>
      </c>
      <c r="F6828" s="15" t="s">
        <v>8</v>
      </c>
      <c r="H6828" s="15" t="s">
        <v>8</v>
      </c>
      <c r="I6828" s="15" t="s">
        <v>8</v>
      </c>
      <c r="J6828" s="15" t="s">
        <v>8</v>
      </c>
      <c r="K6828" s="15" t="s">
        <v>8</v>
      </c>
      <c r="M6828" s="15" t="s">
        <v>8</v>
      </c>
      <c r="N6828" s="15" t="s">
        <v>8</v>
      </c>
      <c r="O6828" s="15" t="s">
        <v>8</v>
      </c>
      <c r="R6828" s="15" t="s">
        <v>8</v>
      </c>
      <c r="S6828" s="19" t="str">
        <f>HYPERLINK("http://yeinfo.com/family/I09065736.html", "THOMAS\RICHARD NEWTON &lt;4&gt; 1450 EN-1500 EN ID:09065736")</f>
        <v>THOMAS\RICHARD NEWTON &lt;4&gt; 1450 EN-1500 EN ID:09065736</v>
      </c>
      <c r="T6828" s="9"/>
      <c r="U6828" s="9"/>
      <c r="V6828" s="9"/>
      <c r="W6828" s="9"/>
      <c r="X6828" s="9"/>
    </row>
    <row r="6829" spans="3:25" x14ac:dyDescent="0.35">
      <c r="C6829" s="15" t="s">
        <v>8</v>
      </c>
      <c r="F6829" s="15" t="s">
        <v>8</v>
      </c>
      <c r="H6829" s="15" t="s">
        <v>8</v>
      </c>
      <c r="I6829" s="15" t="s">
        <v>8</v>
      </c>
      <c r="J6829" s="15" t="s">
        <v>8</v>
      </c>
      <c r="K6829" s="15" t="s">
        <v>8</v>
      </c>
      <c r="M6829" s="15" t="s">
        <v>8</v>
      </c>
      <c r="N6829" s="15" t="s">
        <v>8</v>
      </c>
      <c r="O6829" s="15" t="s">
        <v>8</v>
      </c>
      <c r="R6829" s="15" t="s">
        <v>8</v>
      </c>
      <c r="S6829" s="8" t="s">
        <v>3</v>
      </c>
      <c r="T6829" s="8" t="s">
        <v>6</v>
      </c>
    </row>
    <row r="6830" spans="3:25" x14ac:dyDescent="0.35">
      <c r="C6830" s="15" t="s">
        <v>8</v>
      </c>
      <c r="F6830" s="15" t="s">
        <v>8</v>
      </c>
      <c r="H6830" s="15" t="s">
        <v>8</v>
      </c>
      <c r="I6830" s="15" t="s">
        <v>8</v>
      </c>
      <c r="J6830" s="15" t="s">
        <v>8</v>
      </c>
      <c r="K6830" s="15" t="s">
        <v>8</v>
      </c>
      <c r="M6830" s="15" t="s">
        <v>8</v>
      </c>
      <c r="N6830" s="15" t="s">
        <v>8</v>
      </c>
      <c r="O6830" s="15" t="s">
        <v>8</v>
      </c>
      <c r="R6830" s="15" t="s">
        <v>8</v>
      </c>
      <c r="S6830" s="15" t="s">
        <v>8</v>
      </c>
      <c r="T6830" s="20" t="str">
        <f>HYPERLINK("http://yeinfo.com/family/I09065886.html", "ISABEL CHEDDAR &lt;4&gt; 1429 EN-1499 EN ID:09065886")</f>
        <v>ISABEL CHEDDAR &lt;4&gt; 1429 EN-1499 EN ID:09065886</v>
      </c>
      <c r="U6830" s="17"/>
      <c r="V6830" s="17"/>
      <c r="W6830" s="17"/>
      <c r="X6830" s="17"/>
    </row>
    <row r="6831" spans="3:25" x14ac:dyDescent="0.35">
      <c r="C6831" s="15" t="s">
        <v>8</v>
      </c>
      <c r="F6831" s="15" t="s">
        <v>8</v>
      </c>
      <c r="H6831" s="15" t="s">
        <v>8</v>
      </c>
      <c r="I6831" s="15" t="s">
        <v>8</v>
      </c>
      <c r="J6831" s="15" t="s">
        <v>8</v>
      </c>
      <c r="K6831" s="15" t="s">
        <v>8</v>
      </c>
      <c r="M6831" s="15" t="s">
        <v>8</v>
      </c>
      <c r="N6831" s="15" t="s">
        <v>8</v>
      </c>
      <c r="O6831" s="15" t="s">
        <v>8</v>
      </c>
      <c r="R6831" s="8" t="s">
        <v>6</v>
      </c>
      <c r="S6831" s="15" t="s">
        <v>8</v>
      </c>
    </row>
    <row r="6832" spans="3:25" x14ac:dyDescent="0.35">
      <c r="C6832" s="15" t="s">
        <v>8</v>
      </c>
      <c r="F6832" s="15" t="s">
        <v>8</v>
      </c>
      <c r="H6832" s="15" t="s">
        <v>8</v>
      </c>
      <c r="I6832" s="15" t="s">
        <v>8</v>
      </c>
      <c r="J6832" s="15" t="s">
        <v>8</v>
      </c>
      <c r="K6832" s="15" t="s">
        <v>8</v>
      </c>
      <c r="M6832" s="15" t="s">
        <v>8</v>
      </c>
      <c r="N6832" s="15" t="s">
        <v>8</v>
      </c>
      <c r="O6832" s="15" t="s">
        <v>8</v>
      </c>
      <c r="R6832" s="20" t="str">
        <f>HYPERLINK("http://yeinfo.com/family/I09065602.html", "ISABEL NEWTON &lt;4&gt; 1475 EN-1508 EN ID:09065602")</f>
        <v>ISABEL NEWTON &lt;4&gt; 1475 EN-1508 EN ID:09065602</v>
      </c>
      <c r="S6832" s="17"/>
      <c r="T6832" s="17"/>
      <c r="U6832" s="17"/>
      <c r="V6832" s="17"/>
    </row>
    <row r="6833" spans="3:27" x14ac:dyDescent="0.35">
      <c r="C6833" s="15" t="s">
        <v>8</v>
      </c>
      <c r="F6833" s="15" t="s">
        <v>8</v>
      </c>
      <c r="H6833" s="15" t="s">
        <v>8</v>
      </c>
      <c r="I6833" s="15" t="s">
        <v>8</v>
      </c>
      <c r="J6833" s="15" t="s">
        <v>8</v>
      </c>
      <c r="K6833" s="15" t="s">
        <v>8</v>
      </c>
      <c r="M6833" s="15" t="s">
        <v>8</v>
      </c>
      <c r="N6833" s="15" t="s">
        <v>8</v>
      </c>
      <c r="O6833" s="15" t="s">
        <v>8</v>
      </c>
      <c r="S6833" s="15" t="s">
        <v>8</v>
      </c>
    </row>
    <row r="6834" spans="3:27" x14ac:dyDescent="0.35">
      <c r="C6834" s="15" t="s">
        <v>8</v>
      </c>
      <c r="F6834" s="15" t="s">
        <v>8</v>
      </c>
      <c r="H6834" s="15" t="s">
        <v>8</v>
      </c>
      <c r="I6834" s="15" t="s">
        <v>8</v>
      </c>
      <c r="J6834" s="15" t="s">
        <v>8</v>
      </c>
      <c r="K6834" s="15" t="s">
        <v>8</v>
      </c>
      <c r="M6834" s="15" t="s">
        <v>8</v>
      </c>
      <c r="N6834" s="15" t="s">
        <v>8</v>
      </c>
      <c r="O6834" s="15" t="s">
        <v>8</v>
      </c>
      <c r="S6834" s="15" t="s">
        <v>8</v>
      </c>
      <c r="W6834" s="19" t="str">
        <f>HYPERLINK("http://yeinfo.com/family/I09066448.html", "GILES DAUBENEY &lt;4&gt; 1337 EN-1388 EN ID:09066448")</f>
        <v>GILES DAUBENEY &lt;4&gt; 1337 EN-1388 EN ID:09066448</v>
      </c>
      <c r="X6834" s="9"/>
      <c r="Y6834" s="9"/>
      <c r="Z6834" s="9"/>
      <c r="AA6834" s="9"/>
    </row>
    <row r="6835" spans="3:27" x14ac:dyDescent="0.35">
      <c r="C6835" s="15" t="s">
        <v>8</v>
      </c>
      <c r="F6835" s="15" t="s">
        <v>8</v>
      </c>
      <c r="H6835" s="15" t="s">
        <v>8</v>
      </c>
      <c r="I6835" s="15" t="s">
        <v>8</v>
      </c>
      <c r="J6835" s="15" t="s">
        <v>8</v>
      </c>
      <c r="K6835" s="15" t="s">
        <v>8</v>
      </c>
      <c r="M6835" s="15" t="s">
        <v>8</v>
      </c>
      <c r="N6835" s="15" t="s">
        <v>8</v>
      </c>
      <c r="O6835" s="15" t="s">
        <v>8</v>
      </c>
      <c r="S6835" s="15" t="s">
        <v>8</v>
      </c>
      <c r="W6835" s="8" t="s">
        <v>3</v>
      </c>
    </row>
    <row r="6836" spans="3:27" x14ac:dyDescent="0.35">
      <c r="C6836" s="15" t="s">
        <v>8</v>
      </c>
      <c r="F6836" s="15" t="s">
        <v>8</v>
      </c>
      <c r="H6836" s="15" t="s">
        <v>8</v>
      </c>
      <c r="I6836" s="15" t="s">
        <v>8</v>
      </c>
      <c r="J6836" s="15" t="s">
        <v>8</v>
      </c>
      <c r="K6836" s="15" t="s">
        <v>8</v>
      </c>
      <c r="M6836" s="15" t="s">
        <v>8</v>
      </c>
      <c r="N6836" s="15" t="s">
        <v>8</v>
      </c>
      <c r="O6836" s="15" t="s">
        <v>8</v>
      </c>
      <c r="S6836" s="15" t="s">
        <v>8</v>
      </c>
      <c r="V6836" s="19" t="str">
        <f>HYPERLINK("http://yeinfo.com/family/I09066282.html", "GILES DAUBENEY &lt;4&gt; 1371 EN-1403 EN ID:09066282")</f>
        <v>GILES DAUBENEY &lt;4&gt; 1371 EN-1403 EN ID:09066282</v>
      </c>
      <c r="W6836" s="9"/>
      <c r="X6836" s="9"/>
      <c r="Y6836" s="9"/>
      <c r="Z6836" s="9"/>
    </row>
    <row r="6837" spans="3:27" x14ac:dyDescent="0.35">
      <c r="C6837" s="15" t="s">
        <v>8</v>
      </c>
      <c r="F6837" s="15" t="s">
        <v>8</v>
      </c>
      <c r="H6837" s="15" t="s">
        <v>8</v>
      </c>
      <c r="I6837" s="15" t="s">
        <v>8</v>
      </c>
      <c r="J6837" s="15" t="s">
        <v>8</v>
      </c>
      <c r="K6837" s="15" t="s">
        <v>8</v>
      </c>
      <c r="M6837" s="15" t="s">
        <v>8</v>
      </c>
      <c r="N6837" s="15" t="s">
        <v>8</v>
      </c>
      <c r="O6837" s="15" t="s">
        <v>8</v>
      </c>
      <c r="S6837" s="15" t="s">
        <v>8</v>
      </c>
      <c r="V6837" s="8" t="s">
        <v>3</v>
      </c>
      <c r="W6837" s="8" t="s">
        <v>6</v>
      </c>
    </row>
    <row r="6838" spans="3:27" x14ac:dyDescent="0.35">
      <c r="C6838" s="15" t="s">
        <v>8</v>
      </c>
      <c r="F6838" s="15" t="s">
        <v>8</v>
      </c>
      <c r="H6838" s="15" t="s">
        <v>8</v>
      </c>
      <c r="I6838" s="15" t="s">
        <v>8</v>
      </c>
      <c r="J6838" s="15" t="s">
        <v>8</v>
      </c>
      <c r="K6838" s="15" t="s">
        <v>8</v>
      </c>
      <c r="M6838" s="15" t="s">
        <v>8</v>
      </c>
      <c r="N6838" s="15" t="s">
        <v>8</v>
      </c>
      <c r="O6838" s="15" t="s">
        <v>8</v>
      </c>
      <c r="S6838" s="15" t="s">
        <v>8</v>
      </c>
      <c r="V6838" s="15" t="s">
        <v>8</v>
      </c>
      <c r="W6838" s="20" t="str">
        <f>HYPERLINK("http://yeinfo.com/family/I09066488.html", "ELEANOR WILLINGTON &lt;4&gt; 1337 EN-1400 EN ID:09066488")</f>
        <v>ELEANOR WILLINGTON &lt;4&gt; 1337 EN-1400 EN ID:09066488</v>
      </c>
      <c r="X6838" s="17"/>
      <c r="Y6838" s="17"/>
      <c r="Z6838" s="17"/>
      <c r="AA6838" s="17"/>
    </row>
    <row r="6839" spans="3:27" x14ac:dyDescent="0.35">
      <c r="C6839" s="15" t="s">
        <v>8</v>
      </c>
      <c r="F6839" s="15" t="s">
        <v>8</v>
      </c>
      <c r="H6839" s="15" t="s">
        <v>8</v>
      </c>
      <c r="I6839" s="15" t="s">
        <v>8</v>
      </c>
      <c r="J6839" s="15" t="s">
        <v>8</v>
      </c>
      <c r="K6839" s="15" t="s">
        <v>8</v>
      </c>
      <c r="M6839" s="15" t="s">
        <v>8</v>
      </c>
      <c r="N6839" s="15" t="s">
        <v>8</v>
      </c>
      <c r="O6839" s="15" t="s">
        <v>8</v>
      </c>
      <c r="S6839" s="15" t="s">
        <v>8</v>
      </c>
      <c r="V6839" s="15" t="s">
        <v>8</v>
      </c>
    </row>
    <row r="6840" spans="3:27" x14ac:dyDescent="0.35">
      <c r="C6840" s="15" t="s">
        <v>8</v>
      </c>
      <c r="F6840" s="15" t="s">
        <v>8</v>
      </c>
      <c r="H6840" s="15" t="s">
        <v>8</v>
      </c>
      <c r="I6840" s="15" t="s">
        <v>8</v>
      </c>
      <c r="J6840" s="15" t="s">
        <v>8</v>
      </c>
      <c r="K6840" s="15" t="s">
        <v>8</v>
      </c>
      <c r="M6840" s="15" t="s">
        <v>8</v>
      </c>
      <c r="N6840" s="15" t="s">
        <v>8</v>
      </c>
      <c r="O6840" s="15" t="s">
        <v>8</v>
      </c>
      <c r="S6840" s="15" t="s">
        <v>8</v>
      </c>
      <c r="U6840" s="19" t="str">
        <f>HYPERLINK("http://yeinfo.com/family/I09066086.html", "GILES DAUBENEY &lt;4&gt; 1393 EN-1446 EN ID:09066086")</f>
        <v>GILES DAUBENEY &lt;4&gt; 1393 EN-1446 EN ID:09066086</v>
      </c>
      <c r="V6840" s="9"/>
      <c r="W6840" s="9"/>
      <c r="X6840" s="9"/>
      <c r="Y6840" s="9"/>
    </row>
    <row r="6841" spans="3:27" x14ac:dyDescent="0.35">
      <c r="C6841" s="15" t="s">
        <v>8</v>
      </c>
      <c r="F6841" s="15" t="s">
        <v>8</v>
      </c>
      <c r="H6841" s="15" t="s">
        <v>8</v>
      </c>
      <c r="I6841" s="15" t="s">
        <v>8</v>
      </c>
      <c r="J6841" s="15" t="s">
        <v>8</v>
      </c>
      <c r="K6841" s="15" t="s">
        <v>8</v>
      </c>
      <c r="M6841" s="15" t="s">
        <v>8</v>
      </c>
      <c r="N6841" s="15" t="s">
        <v>8</v>
      </c>
      <c r="O6841" s="15" t="s">
        <v>8</v>
      </c>
      <c r="S6841" s="15" t="s">
        <v>8</v>
      </c>
      <c r="U6841" s="8" t="s">
        <v>3</v>
      </c>
      <c r="V6841" s="15" t="s">
        <v>8</v>
      </c>
    </row>
    <row r="6842" spans="3:27" x14ac:dyDescent="0.35">
      <c r="C6842" s="15" t="s">
        <v>8</v>
      </c>
      <c r="F6842" s="15" t="s">
        <v>8</v>
      </c>
      <c r="H6842" s="15" t="s">
        <v>8</v>
      </c>
      <c r="I6842" s="15" t="s">
        <v>8</v>
      </c>
      <c r="J6842" s="15" t="s">
        <v>8</v>
      </c>
      <c r="K6842" s="15" t="s">
        <v>8</v>
      </c>
      <c r="M6842" s="15" t="s">
        <v>8</v>
      </c>
      <c r="N6842" s="15" t="s">
        <v>8</v>
      </c>
      <c r="O6842" s="15" t="s">
        <v>8</v>
      </c>
      <c r="S6842" s="15" t="s">
        <v>8</v>
      </c>
      <c r="U6842" s="15" t="s">
        <v>8</v>
      </c>
      <c r="V6842" s="15" t="s">
        <v>8</v>
      </c>
      <c r="W6842" s="19" t="str">
        <f>HYPERLINK("http://yeinfo.com/family/I09066442.html", "JOHN BEAUCHAMP &lt;4&gt; 1330 EN-1389 EN ID:09066442")</f>
        <v>JOHN BEAUCHAMP &lt;4&gt; 1330 EN-1389 EN ID:09066442</v>
      </c>
      <c r="X6842" s="9"/>
      <c r="Y6842" s="9"/>
      <c r="Z6842" s="9"/>
      <c r="AA6842" s="9"/>
    </row>
    <row r="6843" spans="3:27" x14ac:dyDescent="0.35">
      <c r="C6843" s="15" t="s">
        <v>8</v>
      </c>
      <c r="F6843" s="15" t="s">
        <v>8</v>
      </c>
      <c r="H6843" s="15" t="s">
        <v>8</v>
      </c>
      <c r="I6843" s="15" t="s">
        <v>8</v>
      </c>
      <c r="J6843" s="15" t="s">
        <v>8</v>
      </c>
      <c r="K6843" s="15" t="s">
        <v>8</v>
      </c>
      <c r="M6843" s="15" t="s">
        <v>8</v>
      </c>
      <c r="N6843" s="15" t="s">
        <v>8</v>
      </c>
      <c r="O6843" s="15" t="s">
        <v>8</v>
      </c>
      <c r="S6843" s="15" t="s">
        <v>8</v>
      </c>
      <c r="U6843" s="15" t="s">
        <v>8</v>
      </c>
      <c r="V6843" s="8" t="s">
        <v>6</v>
      </c>
      <c r="W6843" s="8" t="s">
        <v>3</v>
      </c>
    </row>
    <row r="6844" spans="3:27" x14ac:dyDescent="0.35">
      <c r="C6844" s="15" t="s">
        <v>8</v>
      </c>
      <c r="F6844" s="15" t="s">
        <v>8</v>
      </c>
      <c r="H6844" s="15" t="s">
        <v>8</v>
      </c>
      <c r="I6844" s="15" t="s">
        <v>8</v>
      </c>
      <c r="J6844" s="15" t="s">
        <v>8</v>
      </c>
      <c r="K6844" s="15" t="s">
        <v>8</v>
      </c>
      <c r="M6844" s="15" t="s">
        <v>8</v>
      </c>
      <c r="N6844" s="15" t="s">
        <v>8</v>
      </c>
      <c r="O6844" s="15" t="s">
        <v>8</v>
      </c>
      <c r="S6844" s="15" t="s">
        <v>8</v>
      </c>
      <c r="U6844" s="15" t="s">
        <v>8</v>
      </c>
      <c r="V6844" s="20" t="str">
        <f>HYPERLINK("http://yeinfo.com/family/I09066279.html", "MARGARET BEAUCHAMP &lt;4&gt; 1374 EN-1420 EN ID:09066279")</f>
        <v>MARGARET BEAUCHAMP &lt;4&gt; 1374 EN-1420 EN ID:09066279</v>
      </c>
      <c r="W6844" s="17"/>
      <c r="X6844" s="17"/>
      <c r="Y6844" s="17"/>
      <c r="Z6844" s="17"/>
    </row>
    <row r="6845" spans="3:27" x14ac:dyDescent="0.35">
      <c r="C6845" s="15" t="s">
        <v>8</v>
      </c>
      <c r="F6845" s="15" t="s">
        <v>8</v>
      </c>
      <c r="H6845" s="15" t="s">
        <v>8</v>
      </c>
      <c r="I6845" s="15" t="s">
        <v>8</v>
      </c>
      <c r="J6845" s="15" t="s">
        <v>8</v>
      </c>
      <c r="K6845" s="15" t="s">
        <v>8</v>
      </c>
      <c r="M6845" s="15" t="s">
        <v>8</v>
      </c>
      <c r="N6845" s="15" t="s">
        <v>8</v>
      </c>
      <c r="O6845" s="15" t="s">
        <v>8</v>
      </c>
      <c r="S6845" s="15" t="s">
        <v>8</v>
      </c>
      <c r="U6845" s="15" t="s">
        <v>8</v>
      </c>
      <c r="W6845" s="8" t="s">
        <v>6</v>
      </c>
    </row>
    <row r="6846" spans="3:27" x14ac:dyDescent="0.35">
      <c r="C6846" s="15" t="s">
        <v>8</v>
      </c>
      <c r="F6846" s="15" t="s">
        <v>8</v>
      </c>
      <c r="H6846" s="15" t="s">
        <v>8</v>
      </c>
      <c r="I6846" s="15" t="s">
        <v>8</v>
      </c>
      <c r="J6846" s="15" t="s">
        <v>8</v>
      </c>
      <c r="K6846" s="15" t="s">
        <v>8</v>
      </c>
      <c r="M6846" s="15" t="s">
        <v>8</v>
      </c>
      <c r="N6846" s="15" t="s">
        <v>8</v>
      </c>
      <c r="O6846" s="15" t="s">
        <v>8</v>
      </c>
      <c r="S6846" s="15" t="s">
        <v>8</v>
      </c>
      <c r="U6846" s="15" t="s">
        <v>8</v>
      </c>
      <c r="W6846" s="20" t="str">
        <f>HYPERLINK("http://yeinfo.com/family/I09066478.html", "ELIZABETH ST.JOHN &lt;4&gt; 1331 EN-1411 EN ID:09066478")</f>
        <v>ELIZABETH ST.JOHN &lt;4&gt; 1331 EN-1411 EN ID:09066478</v>
      </c>
      <c r="X6846" s="17"/>
      <c r="Y6846" s="17"/>
      <c r="Z6846" s="17"/>
      <c r="AA6846" s="17"/>
    </row>
    <row r="6847" spans="3:27" x14ac:dyDescent="0.35">
      <c r="C6847" s="15" t="s">
        <v>8</v>
      </c>
      <c r="F6847" s="15" t="s">
        <v>8</v>
      </c>
      <c r="H6847" s="15" t="s">
        <v>8</v>
      </c>
      <c r="I6847" s="15" t="s">
        <v>8</v>
      </c>
      <c r="J6847" s="15" t="s">
        <v>8</v>
      </c>
      <c r="K6847" s="15" t="s">
        <v>8</v>
      </c>
      <c r="M6847" s="15" t="s">
        <v>8</v>
      </c>
      <c r="N6847" s="15" t="s">
        <v>8</v>
      </c>
      <c r="O6847" s="15" t="s">
        <v>8</v>
      </c>
      <c r="S6847" s="15" t="s">
        <v>8</v>
      </c>
      <c r="U6847" s="15" t="s">
        <v>8</v>
      </c>
    </row>
    <row r="6848" spans="3:27" x14ac:dyDescent="0.35">
      <c r="C6848" s="15" t="s">
        <v>8</v>
      </c>
      <c r="F6848" s="15" t="s">
        <v>8</v>
      </c>
      <c r="H6848" s="15" t="s">
        <v>8</v>
      </c>
      <c r="I6848" s="15" t="s">
        <v>8</v>
      </c>
      <c r="J6848" s="15" t="s">
        <v>8</v>
      </c>
      <c r="K6848" s="15" t="s">
        <v>8</v>
      </c>
      <c r="M6848" s="15" t="s">
        <v>8</v>
      </c>
      <c r="N6848" s="15" t="s">
        <v>8</v>
      </c>
      <c r="O6848" s="15" t="s">
        <v>8</v>
      </c>
      <c r="S6848" s="15" t="s">
        <v>8</v>
      </c>
      <c r="T6848" s="19" t="str">
        <f>HYPERLINK("http://yeinfo.com/family/I09065887.html", "WILLIAM DAUBENEY &lt;4&gt; 1424 EN-1461 EN ID:09065887")</f>
        <v>WILLIAM DAUBENEY &lt;4&gt; 1424 EN-1461 EN ID:09065887</v>
      </c>
      <c r="U6848" s="9"/>
      <c r="V6848" s="9"/>
      <c r="W6848" s="9"/>
      <c r="X6848" s="9"/>
    </row>
    <row r="6849" spans="3:25" x14ac:dyDescent="0.35">
      <c r="C6849" s="15" t="s">
        <v>8</v>
      </c>
      <c r="F6849" s="15" t="s">
        <v>8</v>
      </c>
      <c r="H6849" s="15" t="s">
        <v>8</v>
      </c>
      <c r="I6849" s="15" t="s">
        <v>8</v>
      </c>
      <c r="J6849" s="15" t="s">
        <v>8</v>
      </c>
      <c r="K6849" s="15" t="s">
        <v>8</v>
      </c>
      <c r="M6849" s="15" t="s">
        <v>8</v>
      </c>
      <c r="N6849" s="15" t="s">
        <v>8</v>
      </c>
      <c r="O6849" s="15" t="s">
        <v>8</v>
      </c>
      <c r="S6849" s="15" t="s">
        <v>8</v>
      </c>
      <c r="T6849" s="8" t="s">
        <v>3</v>
      </c>
      <c r="U6849" s="8" t="s">
        <v>6</v>
      </c>
    </row>
    <row r="6850" spans="3:25" x14ac:dyDescent="0.35">
      <c r="C6850" s="15" t="s">
        <v>8</v>
      </c>
      <c r="F6850" s="15" t="s">
        <v>8</v>
      </c>
      <c r="H6850" s="15" t="s">
        <v>8</v>
      </c>
      <c r="I6850" s="15" t="s">
        <v>8</v>
      </c>
      <c r="J6850" s="15" t="s">
        <v>8</v>
      </c>
      <c r="K6850" s="15" t="s">
        <v>8</v>
      </c>
      <c r="M6850" s="15" t="s">
        <v>8</v>
      </c>
      <c r="N6850" s="15" t="s">
        <v>8</v>
      </c>
      <c r="O6850" s="15" t="s">
        <v>8</v>
      </c>
      <c r="S6850" s="15" t="s">
        <v>8</v>
      </c>
      <c r="T6850" s="15" t="s">
        <v>8</v>
      </c>
      <c r="U6850" s="20" t="str">
        <f>HYPERLINK("http://yeinfo.com/family/I09066085.html", "JOAN DARCY &lt;4&gt; 1398 EN-1424 EN ID:09066085")</f>
        <v>JOAN DARCY &lt;4&gt; 1398 EN-1424 EN ID:09066085</v>
      </c>
      <c r="V6850" s="17"/>
      <c r="W6850" s="17"/>
      <c r="X6850" s="17"/>
      <c r="Y6850" s="17"/>
    </row>
    <row r="6851" spans="3:25" x14ac:dyDescent="0.35">
      <c r="C6851" s="15" t="s">
        <v>8</v>
      </c>
      <c r="F6851" s="15" t="s">
        <v>8</v>
      </c>
      <c r="H6851" s="15" t="s">
        <v>8</v>
      </c>
      <c r="I6851" s="15" t="s">
        <v>8</v>
      </c>
      <c r="J6851" s="15" t="s">
        <v>8</v>
      </c>
      <c r="K6851" s="15" t="s">
        <v>8</v>
      </c>
      <c r="M6851" s="15" t="s">
        <v>8</v>
      </c>
      <c r="N6851" s="15" t="s">
        <v>8</v>
      </c>
      <c r="O6851" s="15" t="s">
        <v>8</v>
      </c>
      <c r="S6851" s="8" t="s">
        <v>6</v>
      </c>
      <c r="T6851" s="15" t="s">
        <v>8</v>
      </c>
    </row>
    <row r="6852" spans="3:25" x14ac:dyDescent="0.35">
      <c r="C6852" s="15" t="s">
        <v>8</v>
      </c>
      <c r="F6852" s="15" t="s">
        <v>8</v>
      </c>
      <c r="H6852" s="15" t="s">
        <v>8</v>
      </c>
      <c r="I6852" s="15" t="s">
        <v>8</v>
      </c>
      <c r="J6852" s="15" t="s">
        <v>8</v>
      </c>
      <c r="K6852" s="15" t="s">
        <v>8</v>
      </c>
      <c r="M6852" s="15" t="s">
        <v>8</v>
      </c>
      <c r="N6852" s="15" t="s">
        <v>8</v>
      </c>
      <c r="O6852" s="15" t="s">
        <v>8</v>
      </c>
      <c r="S6852" s="20" t="str">
        <f>HYPERLINK("http://yeinfo.com/family/I09065737.html", "ELINOR DAUBENEY &lt;4&gt; 1455 EN-1482 EN ID:09065737")</f>
        <v>ELINOR DAUBENEY &lt;4&gt; 1455 EN-1482 EN ID:09065737</v>
      </c>
      <c r="T6852" s="17"/>
      <c r="U6852" s="17"/>
      <c r="V6852" s="17"/>
      <c r="W6852" s="17"/>
    </row>
    <row r="6853" spans="3:25" x14ac:dyDescent="0.35">
      <c r="C6853" s="15" t="s">
        <v>8</v>
      </c>
      <c r="F6853" s="15" t="s">
        <v>8</v>
      </c>
      <c r="H6853" s="15" t="s">
        <v>8</v>
      </c>
      <c r="I6853" s="15" t="s">
        <v>8</v>
      </c>
      <c r="J6853" s="15" t="s">
        <v>8</v>
      </c>
      <c r="K6853" s="15" t="s">
        <v>8</v>
      </c>
      <c r="M6853" s="15" t="s">
        <v>8</v>
      </c>
      <c r="N6853" s="15" t="s">
        <v>8</v>
      </c>
      <c r="O6853" s="15" t="s">
        <v>8</v>
      </c>
      <c r="T6853" s="8" t="s">
        <v>6</v>
      </c>
    </row>
    <row r="6854" spans="3:25" x14ac:dyDescent="0.35">
      <c r="C6854" s="15" t="s">
        <v>8</v>
      </c>
      <c r="F6854" s="15" t="s">
        <v>8</v>
      </c>
      <c r="H6854" s="15" t="s">
        <v>8</v>
      </c>
      <c r="I6854" s="15" t="s">
        <v>8</v>
      </c>
      <c r="J6854" s="15" t="s">
        <v>8</v>
      </c>
      <c r="K6854" s="15" t="s">
        <v>8</v>
      </c>
      <c r="M6854" s="15" t="s">
        <v>8</v>
      </c>
      <c r="N6854" s="15" t="s">
        <v>8</v>
      </c>
      <c r="O6854" s="15" t="s">
        <v>8</v>
      </c>
      <c r="T6854" s="20" t="str">
        <f>HYPERLINK("http://yeinfo.com/family/I09065888.html", "ALICE STOURTON &lt;4&gt; 1432 EN-1491 EN ID:09065888")</f>
        <v>ALICE STOURTON &lt;4&gt; 1432 EN-1491 EN ID:09065888</v>
      </c>
      <c r="U6854" s="17"/>
      <c r="V6854" s="17"/>
      <c r="W6854" s="17"/>
      <c r="X6854" s="17"/>
    </row>
    <row r="6855" spans="3:25" x14ac:dyDescent="0.35">
      <c r="C6855" s="15" t="s">
        <v>8</v>
      </c>
      <c r="F6855" s="15" t="s">
        <v>8</v>
      </c>
      <c r="H6855" s="15" t="s">
        <v>8</v>
      </c>
      <c r="I6855" s="15" t="s">
        <v>8</v>
      </c>
      <c r="J6855" s="15" t="s">
        <v>8</v>
      </c>
      <c r="K6855" s="15" t="s">
        <v>8</v>
      </c>
      <c r="M6855" s="15" t="s">
        <v>8</v>
      </c>
      <c r="N6855" s="8" t="s">
        <v>6</v>
      </c>
      <c r="O6855" s="15" t="s">
        <v>8</v>
      </c>
    </row>
    <row r="6856" spans="3:25" x14ac:dyDescent="0.35">
      <c r="C6856" s="15" t="s">
        <v>8</v>
      </c>
      <c r="F6856" s="15" t="s">
        <v>8</v>
      </c>
      <c r="H6856" s="15" t="s">
        <v>8</v>
      </c>
      <c r="I6856" s="15" t="s">
        <v>8</v>
      </c>
      <c r="J6856" s="15" t="s">
        <v>8</v>
      </c>
      <c r="K6856" s="15" t="s">
        <v>8</v>
      </c>
      <c r="M6856" s="15" t="s">
        <v>8</v>
      </c>
      <c r="N6856" s="16" t="str">
        <f>HYPERLINK("http://yeinfo.com/family/I09011857.html", "REBECCA WARD &lt;2&gt; 1595 -1678 MA ID:09005929")</f>
        <v>REBECCA WARD &lt;2&gt; 1595 -1678 MA ID:09005929</v>
      </c>
      <c r="O6856" s="11"/>
      <c r="P6856" s="11"/>
      <c r="Q6856" s="11"/>
      <c r="R6856" s="11"/>
    </row>
    <row r="6857" spans="3:25" x14ac:dyDescent="0.35">
      <c r="C6857" s="15" t="s">
        <v>8</v>
      </c>
      <c r="F6857" s="15" t="s">
        <v>8</v>
      </c>
      <c r="H6857" s="15" t="s">
        <v>8</v>
      </c>
      <c r="I6857" s="15" t="s">
        <v>8</v>
      </c>
      <c r="J6857" s="15" t="s">
        <v>8</v>
      </c>
      <c r="K6857" s="15" t="s">
        <v>8</v>
      </c>
      <c r="M6857" s="15" t="s">
        <v>8</v>
      </c>
      <c r="O6857" s="15" t="s">
        <v>8</v>
      </c>
    </row>
    <row r="6858" spans="3:25" x14ac:dyDescent="0.35">
      <c r="C6858" s="15" t="s">
        <v>8</v>
      </c>
      <c r="F6858" s="15" t="s">
        <v>8</v>
      </c>
      <c r="H6858" s="15" t="s">
        <v>8</v>
      </c>
      <c r="I6858" s="15" t="s">
        <v>8</v>
      </c>
      <c r="J6858" s="15" t="s">
        <v>8</v>
      </c>
      <c r="K6858" s="15" t="s">
        <v>8</v>
      </c>
      <c r="M6858" s="15" t="s">
        <v>8</v>
      </c>
      <c r="O6858" s="15" t="s">
        <v>8</v>
      </c>
      <c r="Q6858" s="19" t="str">
        <f>HYPERLINK("http://yeinfo.com/family/I09023718.html", "GEOFFREY LUKYN &lt;2&gt; 1498 EN-1518 EN ID:09047436")</f>
        <v>GEOFFREY LUKYN &lt;2&gt; 1498 EN-1518 EN ID:09047436</v>
      </c>
      <c r="R6858" s="9"/>
      <c r="S6858" s="9"/>
      <c r="T6858" s="9"/>
      <c r="U6858" s="9"/>
    </row>
    <row r="6859" spans="3:25" x14ac:dyDescent="0.35">
      <c r="C6859" s="15" t="s">
        <v>8</v>
      </c>
      <c r="F6859" s="15" t="s">
        <v>8</v>
      </c>
      <c r="H6859" s="15" t="s">
        <v>8</v>
      </c>
      <c r="I6859" s="15" t="s">
        <v>8</v>
      </c>
      <c r="J6859" s="15" t="s">
        <v>8</v>
      </c>
      <c r="K6859" s="15" t="s">
        <v>8</v>
      </c>
      <c r="M6859" s="15" t="s">
        <v>8</v>
      </c>
      <c r="O6859" s="15" t="s">
        <v>8</v>
      </c>
      <c r="Q6859" s="8" t="s">
        <v>3</v>
      </c>
    </row>
    <row r="6860" spans="3:25" x14ac:dyDescent="0.35">
      <c r="C6860" s="15" t="s">
        <v>8</v>
      </c>
      <c r="F6860" s="15" t="s">
        <v>8</v>
      </c>
      <c r="H6860" s="15" t="s">
        <v>8</v>
      </c>
      <c r="I6860" s="15" t="s">
        <v>8</v>
      </c>
      <c r="J6860" s="15" t="s">
        <v>8</v>
      </c>
      <c r="K6860" s="15" t="s">
        <v>8</v>
      </c>
      <c r="M6860" s="15" t="s">
        <v>8</v>
      </c>
      <c r="O6860" s="15" t="s">
        <v>8</v>
      </c>
      <c r="P6860" s="19" t="str">
        <f>HYPERLINK("http://yeinfo.com/family/I09011859.html", "WILLIAM LUKYN &lt;2&gt; 1518 EN-1575 EN ID:09023718")</f>
        <v>WILLIAM LUKYN &lt;2&gt; 1518 EN-1575 EN ID:09023718</v>
      </c>
      <c r="Q6860" s="9"/>
      <c r="R6860" s="9"/>
      <c r="S6860" s="9"/>
      <c r="T6860" s="9"/>
    </row>
    <row r="6861" spans="3:25" x14ac:dyDescent="0.35">
      <c r="C6861" s="15" t="s">
        <v>8</v>
      </c>
      <c r="F6861" s="15" t="s">
        <v>8</v>
      </c>
      <c r="H6861" s="15" t="s">
        <v>8</v>
      </c>
      <c r="I6861" s="15" t="s">
        <v>8</v>
      </c>
      <c r="J6861" s="15" t="s">
        <v>8</v>
      </c>
      <c r="K6861" s="15" t="s">
        <v>8</v>
      </c>
      <c r="M6861" s="15" t="s">
        <v>8</v>
      </c>
      <c r="O6861" s="15" t="s">
        <v>8</v>
      </c>
      <c r="P6861" s="8" t="s">
        <v>3</v>
      </c>
      <c r="Q6861" s="8" t="s">
        <v>6</v>
      </c>
    </row>
    <row r="6862" spans="3:25" x14ac:dyDescent="0.35">
      <c r="C6862" s="15" t="s">
        <v>8</v>
      </c>
      <c r="F6862" s="15" t="s">
        <v>8</v>
      </c>
      <c r="H6862" s="15" t="s">
        <v>8</v>
      </c>
      <c r="I6862" s="15" t="s">
        <v>8</v>
      </c>
      <c r="J6862" s="15" t="s">
        <v>8</v>
      </c>
      <c r="K6862" s="15" t="s">
        <v>8</v>
      </c>
      <c r="M6862" s="15" t="s">
        <v>8</v>
      </c>
      <c r="O6862" s="15" t="s">
        <v>8</v>
      </c>
      <c r="P6862" s="15" t="s">
        <v>8</v>
      </c>
      <c r="Q6862" s="20" t="str">
        <f>HYPERLINK("http://yeinfo.com/family/I09047436.html", "Mrs. MARGARET LUKYN &lt;2&gt; 1498 EN-1518 EN ID:09047437")</f>
        <v>Mrs. MARGARET LUKYN &lt;2&gt; 1498 EN-1518 EN ID:09047437</v>
      </c>
      <c r="R6862" s="17"/>
      <c r="S6862" s="17"/>
      <c r="T6862" s="17"/>
      <c r="U6862" s="17"/>
    </row>
    <row r="6863" spans="3:25" x14ac:dyDescent="0.35">
      <c r="C6863" s="15" t="s">
        <v>8</v>
      </c>
      <c r="F6863" s="15" t="s">
        <v>8</v>
      </c>
      <c r="H6863" s="15" t="s">
        <v>8</v>
      </c>
      <c r="I6863" s="15" t="s">
        <v>8</v>
      </c>
      <c r="J6863" s="15" t="s">
        <v>8</v>
      </c>
      <c r="K6863" s="15" t="s">
        <v>8</v>
      </c>
      <c r="M6863" s="15" t="s">
        <v>8</v>
      </c>
      <c r="O6863" s="8" t="s">
        <v>6</v>
      </c>
      <c r="P6863" s="15" t="s">
        <v>8</v>
      </c>
    </row>
    <row r="6864" spans="3:25" x14ac:dyDescent="0.35">
      <c r="C6864" s="15" t="s">
        <v>8</v>
      </c>
      <c r="F6864" s="15" t="s">
        <v>8</v>
      </c>
      <c r="H6864" s="15" t="s">
        <v>8</v>
      </c>
      <c r="I6864" s="15" t="s">
        <v>8</v>
      </c>
      <c r="J6864" s="15" t="s">
        <v>8</v>
      </c>
      <c r="K6864" s="15" t="s">
        <v>8</v>
      </c>
      <c r="M6864" s="15" t="s">
        <v>8</v>
      </c>
      <c r="O6864" s="16" t="str">
        <f>HYPERLINK("http://yeinfo.com/family/I09047434.html", "JUDITH LUKYN &lt;2&gt; 1567 -1626  ID:09011859")</f>
        <v>JUDITH LUKYN &lt;2&gt; 1567 -1626  ID:09011859</v>
      </c>
      <c r="P6864" s="11"/>
      <c r="Q6864" s="11"/>
      <c r="R6864" s="11"/>
      <c r="S6864" s="11"/>
    </row>
    <row r="6865" spans="3:25" x14ac:dyDescent="0.35">
      <c r="C6865" s="15" t="s">
        <v>8</v>
      </c>
      <c r="F6865" s="15" t="s">
        <v>8</v>
      </c>
      <c r="H6865" s="15" t="s">
        <v>8</v>
      </c>
      <c r="I6865" s="15" t="s">
        <v>8</v>
      </c>
      <c r="J6865" s="15" t="s">
        <v>8</v>
      </c>
      <c r="K6865" s="15" t="s">
        <v>8</v>
      </c>
      <c r="M6865" s="15" t="s">
        <v>8</v>
      </c>
      <c r="P6865" s="15" t="s">
        <v>8</v>
      </c>
    </row>
    <row r="6866" spans="3:25" x14ac:dyDescent="0.35">
      <c r="C6866" s="15" t="s">
        <v>8</v>
      </c>
      <c r="F6866" s="15" t="s">
        <v>8</v>
      </c>
      <c r="H6866" s="15" t="s">
        <v>8</v>
      </c>
      <c r="I6866" s="15" t="s">
        <v>8</v>
      </c>
      <c r="J6866" s="15" t="s">
        <v>8</v>
      </c>
      <c r="K6866" s="15" t="s">
        <v>8</v>
      </c>
      <c r="M6866" s="15" t="s">
        <v>8</v>
      </c>
      <c r="P6866" s="15" t="s">
        <v>8</v>
      </c>
      <c r="Q6866" s="19" t="str">
        <f>HYPERLINK("http://yeinfo.com/family/I09023719.html", "WILLIAM WALTER &lt;2&gt; 1495 EN-1584 EN ID:09047438")</f>
        <v>WILLIAM WALTER &lt;2&gt; 1495 EN-1584 EN ID:09047438</v>
      </c>
      <c r="R6866" s="9"/>
      <c r="S6866" s="9"/>
      <c r="T6866" s="9"/>
      <c r="U6866" s="9"/>
    </row>
    <row r="6867" spans="3:25" x14ac:dyDescent="0.35">
      <c r="C6867" s="15" t="s">
        <v>8</v>
      </c>
      <c r="F6867" s="15" t="s">
        <v>8</v>
      </c>
      <c r="H6867" s="15" t="s">
        <v>8</v>
      </c>
      <c r="I6867" s="15" t="s">
        <v>8</v>
      </c>
      <c r="J6867" s="15" t="s">
        <v>8</v>
      </c>
      <c r="K6867" s="15" t="s">
        <v>8</v>
      </c>
      <c r="M6867" s="15" t="s">
        <v>8</v>
      </c>
      <c r="P6867" s="8" t="s">
        <v>6</v>
      </c>
      <c r="Q6867" s="8" t="s">
        <v>3</v>
      </c>
    </row>
    <row r="6868" spans="3:25" x14ac:dyDescent="0.35">
      <c r="C6868" s="15" t="s">
        <v>8</v>
      </c>
      <c r="F6868" s="15" t="s">
        <v>8</v>
      </c>
      <c r="H6868" s="15" t="s">
        <v>8</v>
      </c>
      <c r="I6868" s="15" t="s">
        <v>8</v>
      </c>
      <c r="J6868" s="15" t="s">
        <v>8</v>
      </c>
      <c r="K6868" s="15" t="s">
        <v>8</v>
      </c>
      <c r="M6868" s="15" t="s">
        <v>8</v>
      </c>
      <c r="P6868" s="20" t="str">
        <f>HYPERLINK("http://yeinfo.com/family/I09047437.html", "THOMASINE WALTER &lt;2&gt; 1534 EN-1581 EN ID:09023719")</f>
        <v>THOMASINE WALTER &lt;2&gt; 1534 EN-1581 EN ID:09023719</v>
      </c>
      <c r="Q6868" s="17"/>
      <c r="R6868" s="17"/>
      <c r="S6868" s="17"/>
      <c r="T6868" s="17"/>
    </row>
    <row r="6869" spans="3:25" x14ac:dyDescent="0.35">
      <c r="C6869" s="15" t="s">
        <v>8</v>
      </c>
      <c r="F6869" s="15" t="s">
        <v>8</v>
      </c>
      <c r="H6869" s="15" t="s">
        <v>8</v>
      </c>
      <c r="I6869" s="15" t="s">
        <v>8</v>
      </c>
      <c r="J6869" s="15" t="s">
        <v>8</v>
      </c>
      <c r="K6869" s="15" t="s">
        <v>8</v>
      </c>
      <c r="M6869" s="15" t="s">
        <v>8</v>
      </c>
      <c r="Q6869" s="15" t="s">
        <v>8</v>
      </c>
    </row>
    <row r="6870" spans="3:25" x14ac:dyDescent="0.35">
      <c r="C6870" s="15" t="s">
        <v>8</v>
      </c>
      <c r="F6870" s="15" t="s">
        <v>8</v>
      </c>
      <c r="H6870" s="15" t="s">
        <v>8</v>
      </c>
      <c r="I6870" s="15" t="s">
        <v>8</v>
      </c>
      <c r="J6870" s="15" t="s">
        <v>8</v>
      </c>
      <c r="K6870" s="15" t="s">
        <v>8</v>
      </c>
      <c r="M6870" s="15" t="s">
        <v>8</v>
      </c>
      <c r="Q6870" s="15" t="s">
        <v>8</v>
      </c>
      <c r="U6870" s="19" t="str">
        <f>HYPERLINK("http://yeinfo.com/family/I09065889.html", "THOMAS DENTON &lt;2&gt; 1401 EN-1427  ID:09066073")</f>
        <v>THOMAS DENTON &lt;2&gt; 1401 EN-1427  ID:09066073</v>
      </c>
      <c r="V6870" s="9"/>
      <c r="W6870" s="9"/>
      <c r="X6870" s="9"/>
      <c r="Y6870" s="9"/>
    </row>
    <row r="6871" spans="3:25" x14ac:dyDescent="0.35">
      <c r="C6871" s="15" t="s">
        <v>8</v>
      </c>
      <c r="F6871" s="15" t="s">
        <v>8</v>
      </c>
      <c r="H6871" s="15" t="s">
        <v>8</v>
      </c>
      <c r="I6871" s="15" t="s">
        <v>8</v>
      </c>
      <c r="J6871" s="15" t="s">
        <v>8</v>
      </c>
      <c r="K6871" s="15" t="s">
        <v>8</v>
      </c>
      <c r="M6871" s="15" t="s">
        <v>8</v>
      </c>
      <c r="Q6871" s="15" t="s">
        <v>8</v>
      </c>
      <c r="U6871" s="8" t="s">
        <v>3</v>
      </c>
    </row>
    <row r="6872" spans="3:25" x14ac:dyDescent="0.35">
      <c r="C6872" s="15" t="s">
        <v>8</v>
      </c>
      <c r="F6872" s="15" t="s">
        <v>8</v>
      </c>
      <c r="H6872" s="15" t="s">
        <v>8</v>
      </c>
      <c r="I6872" s="15" t="s">
        <v>8</v>
      </c>
      <c r="J6872" s="15" t="s">
        <v>8</v>
      </c>
      <c r="K6872" s="15" t="s">
        <v>8</v>
      </c>
      <c r="M6872" s="15" t="s">
        <v>8</v>
      </c>
      <c r="Q6872" s="15" t="s">
        <v>8</v>
      </c>
      <c r="T6872" s="19" t="str">
        <f>HYPERLINK("http://yeinfo.com/family/I09065738.html", "THOMAS DENTON &lt;2&gt; 1427 EN-1453  ID:09065889")</f>
        <v>THOMAS DENTON &lt;2&gt; 1427 EN-1453  ID:09065889</v>
      </c>
      <c r="U6872" s="9"/>
      <c r="V6872" s="9"/>
      <c r="W6872" s="9"/>
      <c r="X6872" s="9"/>
    </row>
    <row r="6873" spans="3:25" x14ac:dyDescent="0.35">
      <c r="C6873" s="15" t="s">
        <v>8</v>
      </c>
      <c r="F6873" s="15" t="s">
        <v>8</v>
      </c>
      <c r="H6873" s="15" t="s">
        <v>8</v>
      </c>
      <c r="I6873" s="15" t="s">
        <v>8</v>
      </c>
      <c r="J6873" s="15" t="s">
        <v>8</v>
      </c>
      <c r="K6873" s="15" t="s">
        <v>8</v>
      </c>
      <c r="M6873" s="15" t="s">
        <v>8</v>
      </c>
      <c r="Q6873" s="15" t="s">
        <v>8</v>
      </c>
      <c r="T6873" s="8" t="s">
        <v>3</v>
      </c>
      <c r="U6873" s="8" t="s">
        <v>6</v>
      </c>
    </row>
    <row r="6874" spans="3:25" x14ac:dyDescent="0.35">
      <c r="C6874" s="15" t="s">
        <v>8</v>
      </c>
      <c r="F6874" s="15" t="s">
        <v>8</v>
      </c>
      <c r="H6874" s="15" t="s">
        <v>8</v>
      </c>
      <c r="I6874" s="15" t="s">
        <v>8</v>
      </c>
      <c r="J6874" s="15" t="s">
        <v>8</v>
      </c>
      <c r="K6874" s="15" t="s">
        <v>8</v>
      </c>
      <c r="M6874" s="15" t="s">
        <v>8</v>
      </c>
      <c r="Q6874" s="15" t="s">
        <v>8</v>
      </c>
      <c r="T6874" s="15" t="s">
        <v>8</v>
      </c>
      <c r="U6874" s="20" t="str">
        <f>HYPERLINK("http://yeinfo.com/family/I09066073.html", "AGNES BALDINGTON &lt;2&gt; 1403 EN-1427  ID:09066130")</f>
        <v>AGNES BALDINGTON &lt;2&gt; 1403 EN-1427  ID:09066130</v>
      </c>
      <c r="V6874" s="17"/>
      <c r="W6874" s="17"/>
      <c r="X6874" s="17"/>
      <c r="Y6874" s="17"/>
    </row>
    <row r="6875" spans="3:25" x14ac:dyDescent="0.35">
      <c r="C6875" s="15" t="s">
        <v>8</v>
      </c>
      <c r="F6875" s="15" t="s">
        <v>8</v>
      </c>
      <c r="H6875" s="15" t="s">
        <v>8</v>
      </c>
      <c r="I6875" s="15" t="s">
        <v>8</v>
      </c>
      <c r="J6875" s="15" t="s">
        <v>8</v>
      </c>
      <c r="K6875" s="15" t="s">
        <v>8</v>
      </c>
      <c r="M6875" s="15" t="s">
        <v>8</v>
      </c>
      <c r="Q6875" s="15" t="s">
        <v>8</v>
      </c>
      <c r="T6875" s="15" t="s">
        <v>8</v>
      </c>
    </row>
    <row r="6876" spans="3:25" x14ac:dyDescent="0.35">
      <c r="C6876" s="15" t="s">
        <v>8</v>
      </c>
      <c r="F6876" s="15" t="s">
        <v>8</v>
      </c>
      <c r="H6876" s="15" t="s">
        <v>8</v>
      </c>
      <c r="I6876" s="15" t="s">
        <v>8</v>
      </c>
      <c r="J6876" s="15" t="s">
        <v>8</v>
      </c>
      <c r="K6876" s="15" t="s">
        <v>8</v>
      </c>
      <c r="M6876" s="15" t="s">
        <v>8</v>
      </c>
      <c r="Q6876" s="15" t="s">
        <v>8</v>
      </c>
      <c r="S6876" s="19" t="str">
        <f>HYPERLINK("http://yeinfo.com/family/I09065603.html", "JOHN DENTON &lt;2&gt; 1445 EN-1497  ID:09065738")</f>
        <v>JOHN DENTON &lt;2&gt; 1445 EN-1497  ID:09065738</v>
      </c>
      <c r="T6876" s="9"/>
      <c r="U6876" s="9"/>
      <c r="V6876" s="9"/>
      <c r="W6876" s="9"/>
    </row>
    <row r="6877" spans="3:25" x14ac:dyDescent="0.35">
      <c r="C6877" s="15" t="s">
        <v>8</v>
      </c>
      <c r="F6877" s="15" t="s">
        <v>8</v>
      </c>
      <c r="H6877" s="15" t="s">
        <v>8</v>
      </c>
      <c r="I6877" s="15" t="s">
        <v>8</v>
      </c>
      <c r="J6877" s="15" t="s">
        <v>8</v>
      </c>
      <c r="K6877" s="15" t="s">
        <v>8</v>
      </c>
      <c r="M6877" s="15" t="s">
        <v>8</v>
      </c>
      <c r="Q6877" s="15" t="s">
        <v>8</v>
      </c>
      <c r="S6877" s="8" t="s">
        <v>3</v>
      </c>
      <c r="T6877" s="8" t="s">
        <v>6</v>
      </c>
    </row>
    <row r="6878" spans="3:25" x14ac:dyDescent="0.35">
      <c r="C6878" s="15" t="s">
        <v>8</v>
      </c>
      <c r="F6878" s="15" t="s">
        <v>8</v>
      </c>
      <c r="H6878" s="15" t="s">
        <v>8</v>
      </c>
      <c r="I6878" s="15" t="s">
        <v>8</v>
      </c>
      <c r="J6878" s="15" t="s">
        <v>8</v>
      </c>
      <c r="K6878" s="15" t="s">
        <v>8</v>
      </c>
      <c r="M6878" s="15" t="s">
        <v>8</v>
      </c>
      <c r="Q6878" s="15" t="s">
        <v>8</v>
      </c>
      <c r="S6878" s="15" t="s">
        <v>8</v>
      </c>
      <c r="T6878" s="20" t="str">
        <f>HYPERLINK("http://yeinfo.com/family/I09066130.html", "ALISON DAUNCY &lt;2&gt; 1427 EN-1453  ID:09065890")</f>
        <v>ALISON DAUNCY &lt;2&gt; 1427 EN-1453  ID:09065890</v>
      </c>
      <c r="U6878" s="17"/>
      <c r="V6878" s="17"/>
      <c r="W6878" s="17"/>
      <c r="X6878" s="17"/>
    </row>
    <row r="6879" spans="3:25" x14ac:dyDescent="0.35">
      <c r="C6879" s="15" t="s">
        <v>8</v>
      </c>
      <c r="F6879" s="15" t="s">
        <v>8</v>
      </c>
      <c r="H6879" s="15" t="s">
        <v>8</v>
      </c>
      <c r="I6879" s="15" t="s">
        <v>8</v>
      </c>
      <c r="J6879" s="15" t="s">
        <v>8</v>
      </c>
      <c r="K6879" s="15" t="s">
        <v>8</v>
      </c>
      <c r="M6879" s="15" t="s">
        <v>8</v>
      </c>
      <c r="Q6879" s="15" t="s">
        <v>8</v>
      </c>
      <c r="S6879" s="15" t="s">
        <v>8</v>
      </c>
    </row>
    <row r="6880" spans="3:25" x14ac:dyDescent="0.35">
      <c r="C6880" s="15" t="s">
        <v>8</v>
      </c>
      <c r="F6880" s="15" t="s">
        <v>8</v>
      </c>
      <c r="H6880" s="15" t="s">
        <v>8</v>
      </c>
      <c r="I6880" s="15" t="s">
        <v>8</v>
      </c>
      <c r="J6880" s="15" t="s">
        <v>8</v>
      </c>
      <c r="K6880" s="15" t="s">
        <v>8</v>
      </c>
      <c r="M6880" s="15" t="s">
        <v>8</v>
      </c>
      <c r="Q6880" s="15" t="s">
        <v>8</v>
      </c>
      <c r="R6880" s="19" t="str">
        <f>HYPERLINK("http://yeinfo.com/family/I09047439.html", "THOMAS DENTON &lt;2&gt; 1464 EN-1560 EN ID:09065603")</f>
        <v>THOMAS DENTON &lt;2&gt; 1464 EN-1560 EN ID:09065603</v>
      </c>
      <c r="S6880" s="9"/>
      <c r="T6880" s="9"/>
      <c r="U6880" s="9"/>
      <c r="V6880" s="9"/>
    </row>
    <row r="6881" spans="3:24" x14ac:dyDescent="0.35">
      <c r="C6881" s="15" t="s">
        <v>8</v>
      </c>
      <c r="F6881" s="15" t="s">
        <v>8</v>
      </c>
      <c r="H6881" s="15" t="s">
        <v>8</v>
      </c>
      <c r="I6881" s="15" t="s">
        <v>8</v>
      </c>
      <c r="J6881" s="15" t="s">
        <v>8</v>
      </c>
      <c r="K6881" s="15" t="s">
        <v>8</v>
      </c>
      <c r="M6881" s="15" t="s">
        <v>8</v>
      </c>
      <c r="Q6881" s="15" t="s">
        <v>8</v>
      </c>
      <c r="R6881" s="8" t="s">
        <v>3</v>
      </c>
      <c r="S6881" s="15" t="s">
        <v>8</v>
      </c>
    </row>
    <row r="6882" spans="3:24" x14ac:dyDescent="0.35">
      <c r="C6882" s="15" t="s">
        <v>8</v>
      </c>
      <c r="F6882" s="15" t="s">
        <v>8</v>
      </c>
      <c r="H6882" s="15" t="s">
        <v>8</v>
      </c>
      <c r="I6882" s="15" t="s">
        <v>8</v>
      </c>
      <c r="J6882" s="15" t="s">
        <v>8</v>
      </c>
      <c r="K6882" s="15" t="s">
        <v>8</v>
      </c>
      <c r="M6882" s="15" t="s">
        <v>8</v>
      </c>
      <c r="Q6882" s="15" t="s">
        <v>8</v>
      </c>
      <c r="R6882" s="15" t="s">
        <v>8</v>
      </c>
      <c r="S6882" s="15" t="s">
        <v>8</v>
      </c>
      <c r="T6882" s="19" t="str">
        <f>HYPERLINK("http://yeinfo.com/family/I09065739.html", "JOHN BROME &lt;2&gt; 1410 EN-1468 EN ID:09065891")</f>
        <v>JOHN BROME &lt;2&gt; 1410 EN-1468 EN ID:09065891</v>
      </c>
      <c r="U6882" s="9"/>
      <c r="V6882" s="9"/>
      <c r="W6882" s="9"/>
      <c r="X6882" s="9"/>
    </row>
    <row r="6883" spans="3:24" x14ac:dyDescent="0.35">
      <c r="C6883" s="15" t="s">
        <v>8</v>
      </c>
      <c r="F6883" s="15" t="s">
        <v>8</v>
      </c>
      <c r="H6883" s="15" t="s">
        <v>8</v>
      </c>
      <c r="I6883" s="15" t="s">
        <v>8</v>
      </c>
      <c r="J6883" s="15" t="s">
        <v>8</v>
      </c>
      <c r="K6883" s="15" t="s">
        <v>8</v>
      </c>
      <c r="M6883" s="15" t="s">
        <v>8</v>
      </c>
      <c r="Q6883" s="15" t="s">
        <v>8</v>
      </c>
      <c r="R6883" s="15" t="s">
        <v>8</v>
      </c>
      <c r="S6883" s="8" t="s">
        <v>6</v>
      </c>
      <c r="T6883" s="8" t="s">
        <v>3</v>
      </c>
    </row>
    <row r="6884" spans="3:24" x14ac:dyDescent="0.35">
      <c r="C6884" s="15" t="s">
        <v>8</v>
      </c>
      <c r="F6884" s="15" t="s">
        <v>8</v>
      </c>
      <c r="H6884" s="15" t="s">
        <v>8</v>
      </c>
      <c r="I6884" s="15" t="s">
        <v>8</v>
      </c>
      <c r="J6884" s="15" t="s">
        <v>8</v>
      </c>
      <c r="K6884" s="15" t="s">
        <v>8</v>
      </c>
      <c r="M6884" s="15" t="s">
        <v>8</v>
      </c>
      <c r="Q6884" s="15" t="s">
        <v>8</v>
      </c>
      <c r="R6884" s="15" t="s">
        <v>8</v>
      </c>
      <c r="S6884" s="20" t="str">
        <f>HYPERLINK("http://yeinfo.com/family/I09065890.html", "ISABELL BROME &lt;2&gt; 1436 EN-1470  ID:09065739")</f>
        <v>ISABELL BROME &lt;2&gt; 1436 EN-1470  ID:09065739</v>
      </c>
      <c r="T6884" s="17"/>
      <c r="U6884" s="17"/>
      <c r="V6884" s="17"/>
      <c r="W6884" s="17"/>
    </row>
    <row r="6885" spans="3:24" x14ac:dyDescent="0.35">
      <c r="C6885" s="15" t="s">
        <v>8</v>
      </c>
      <c r="F6885" s="15" t="s">
        <v>8</v>
      </c>
      <c r="H6885" s="15" t="s">
        <v>8</v>
      </c>
      <c r="I6885" s="15" t="s">
        <v>8</v>
      </c>
      <c r="J6885" s="15" t="s">
        <v>8</v>
      </c>
      <c r="K6885" s="15" t="s">
        <v>8</v>
      </c>
      <c r="M6885" s="15" t="s">
        <v>8</v>
      </c>
      <c r="Q6885" s="15" t="s">
        <v>8</v>
      </c>
      <c r="R6885" s="15" t="s">
        <v>8</v>
      </c>
      <c r="T6885" s="8" t="s">
        <v>6</v>
      </c>
    </row>
    <row r="6886" spans="3:24" x14ac:dyDescent="0.35">
      <c r="C6886" s="15" t="s">
        <v>8</v>
      </c>
      <c r="F6886" s="15" t="s">
        <v>8</v>
      </c>
      <c r="H6886" s="15" t="s">
        <v>8</v>
      </c>
      <c r="I6886" s="15" t="s">
        <v>8</v>
      </c>
      <c r="J6886" s="15" t="s">
        <v>8</v>
      </c>
      <c r="K6886" s="15" t="s">
        <v>8</v>
      </c>
      <c r="M6886" s="15" t="s">
        <v>8</v>
      </c>
      <c r="Q6886" s="15" t="s">
        <v>8</v>
      </c>
      <c r="R6886" s="15" t="s">
        <v>8</v>
      </c>
      <c r="T6886" s="20" t="str">
        <f>HYPERLINK("http://yeinfo.com/family/I09065891.html", "BEATRIX SHIRLEY &lt;2&gt; 1414 EN-1483 EN ID:09065892")</f>
        <v>BEATRIX SHIRLEY &lt;2&gt; 1414 EN-1483 EN ID:09065892</v>
      </c>
      <c r="U6886" s="17"/>
      <c r="V6886" s="17"/>
      <c r="W6886" s="17"/>
      <c r="X6886" s="17"/>
    </row>
    <row r="6887" spans="3:24" x14ac:dyDescent="0.35">
      <c r="C6887" s="15" t="s">
        <v>8</v>
      </c>
      <c r="F6887" s="15" t="s">
        <v>8</v>
      </c>
      <c r="H6887" s="15" t="s">
        <v>8</v>
      </c>
      <c r="I6887" s="15" t="s">
        <v>8</v>
      </c>
      <c r="J6887" s="15" t="s">
        <v>8</v>
      </c>
      <c r="K6887" s="15" t="s">
        <v>8</v>
      </c>
      <c r="M6887" s="15" t="s">
        <v>8</v>
      </c>
      <c r="Q6887" s="8" t="s">
        <v>6</v>
      </c>
      <c r="R6887" s="15" t="s">
        <v>8</v>
      </c>
    </row>
    <row r="6888" spans="3:24" x14ac:dyDescent="0.35">
      <c r="C6888" s="15" t="s">
        <v>8</v>
      </c>
      <c r="F6888" s="15" t="s">
        <v>8</v>
      </c>
      <c r="H6888" s="15" t="s">
        <v>8</v>
      </c>
      <c r="I6888" s="15" t="s">
        <v>8</v>
      </c>
      <c r="J6888" s="15" t="s">
        <v>8</v>
      </c>
      <c r="K6888" s="15" t="s">
        <v>8</v>
      </c>
      <c r="M6888" s="15" t="s">
        <v>8</v>
      </c>
      <c r="Q6888" s="20" t="str">
        <f>HYPERLINK("http://yeinfo.com/family/I09047438.html", "ISABEL DENTON &lt;2&gt; 1490 EN-1580 EN ID:09047439")</f>
        <v>ISABEL DENTON &lt;2&gt; 1490 EN-1580 EN ID:09047439</v>
      </c>
      <c r="R6888" s="17"/>
      <c r="S6888" s="17"/>
      <c r="T6888" s="17"/>
      <c r="U6888" s="17"/>
    </row>
    <row r="6889" spans="3:24" x14ac:dyDescent="0.35">
      <c r="C6889" s="15" t="s">
        <v>8</v>
      </c>
      <c r="F6889" s="15" t="s">
        <v>8</v>
      </c>
      <c r="H6889" s="15" t="s">
        <v>8</v>
      </c>
      <c r="I6889" s="15" t="s">
        <v>8</v>
      </c>
      <c r="J6889" s="15" t="s">
        <v>8</v>
      </c>
      <c r="K6889" s="15" t="s">
        <v>8</v>
      </c>
      <c r="M6889" s="15" t="s">
        <v>8</v>
      </c>
      <c r="R6889" s="8" t="s">
        <v>6</v>
      </c>
    </row>
    <row r="6890" spans="3:24" x14ac:dyDescent="0.35">
      <c r="C6890" s="15" t="s">
        <v>8</v>
      </c>
      <c r="F6890" s="15" t="s">
        <v>8</v>
      </c>
      <c r="H6890" s="15" t="s">
        <v>8</v>
      </c>
      <c r="I6890" s="15" t="s">
        <v>8</v>
      </c>
      <c r="J6890" s="15" t="s">
        <v>8</v>
      </c>
      <c r="K6890" s="15" t="s">
        <v>8</v>
      </c>
      <c r="M6890" s="15" t="s">
        <v>8</v>
      </c>
      <c r="R6890" s="20" t="str">
        <f>HYPERLINK("http://yeinfo.com/family/I09065892.html", "JANE WEBBE &lt;2&gt; 1468 EN-1560 EN ID:09065604")</f>
        <v>JANE WEBBE &lt;2&gt; 1468 EN-1560 EN ID:09065604</v>
      </c>
      <c r="S6890" s="17"/>
      <c r="T6890" s="17"/>
      <c r="U6890" s="17"/>
      <c r="V6890" s="17"/>
    </row>
    <row r="6891" spans="3:24" x14ac:dyDescent="0.35">
      <c r="C6891" s="15" t="s">
        <v>8</v>
      </c>
      <c r="F6891" s="15" t="s">
        <v>8</v>
      </c>
      <c r="H6891" s="15" t="s">
        <v>8</v>
      </c>
      <c r="I6891" s="15" t="s">
        <v>8</v>
      </c>
      <c r="J6891" s="15" t="s">
        <v>8</v>
      </c>
      <c r="K6891" s="15" t="s">
        <v>8</v>
      </c>
      <c r="M6891" s="15" t="s">
        <v>8</v>
      </c>
    </row>
    <row r="6892" spans="3:24" x14ac:dyDescent="0.35">
      <c r="C6892" s="15" t="s">
        <v>8</v>
      </c>
      <c r="F6892" s="15" t="s">
        <v>8</v>
      </c>
      <c r="H6892" s="15" t="s">
        <v>8</v>
      </c>
      <c r="I6892" s="15" t="s">
        <v>8</v>
      </c>
      <c r="J6892" s="15" t="s">
        <v>8</v>
      </c>
      <c r="K6892" s="15" t="s">
        <v>8</v>
      </c>
      <c r="L6892" s="5" t="str">
        <f>HYPERLINK("http://yeinfo.com/family/I09000741.html", "ELNATHAN ALLEN &lt;2&gt; 1666 MA-1734 MA ID:09001482")</f>
        <v>ELNATHAN ALLEN &lt;2&gt; 1666 MA-1734 MA ID:09001482</v>
      </c>
      <c r="M6892" s="3"/>
      <c r="N6892" s="3"/>
      <c r="O6892" s="3"/>
      <c r="P6892" s="3"/>
    </row>
    <row r="6893" spans="3:24" x14ac:dyDescent="0.35">
      <c r="C6893" s="15" t="s">
        <v>8</v>
      </c>
      <c r="F6893" s="15" t="s">
        <v>8</v>
      </c>
      <c r="H6893" s="15" t="s">
        <v>8</v>
      </c>
      <c r="I6893" s="15" t="s">
        <v>8</v>
      </c>
      <c r="J6893" s="15" t="s">
        <v>8</v>
      </c>
      <c r="K6893" s="15" t="s">
        <v>8</v>
      </c>
      <c r="L6893" s="8" t="s">
        <v>3</v>
      </c>
      <c r="M6893" s="15" t="s">
        <v>8</v>
      </c>
    </row>
    <row r="6894" spans="3:24" x14ac:dyDescent="0.35">
      <c r="C6894" s="15" t="s">
        <v>8</v>
      </c>
      <c r="F6894" s="15" t="s">
        <v>8</v>
      </c>
      <c r="H6894" s="15" t="s">
        <v>8</v>
      </c>
      <c r="I6894" s="15" t="s">
        <v>8</v>
      </c>
      <c r="J6894" s="15" t="s">
        <v>8</v>
      </c>
      <c r="K6894" s="15" t="s">
        <v>8</v>
      </c>
      <c r="L6894" s="15" t="s">
        <v>8</v>
      </c>
      <c r="M6894" s="15" t="s">
        <v>8</v>
      </c>
      <c r="R6894" s="19" t="str">
        <f>HYPERLINK("http://yeinfo.com/family/I09047440.html", "NICHOLAS WILDER &lt;2&gt; 1460 FR-1542 EN ID:09065605")</f>
        <v>NICHOLAS WILDER &lt;2&gt; 1460 FR-1542 EN ID:09065605</v>
      </c>
      <c r="S6894" s="9"/>
      <c r="T6894" s="9"/>
      <c r="U6894" s="9"/>
      <c r="V6894" s="9"/>
    </row>
    <row r="6895" spans="3:24" x14ac:dyDescent="0.35">
      <c r="C6895" s="15" t="s">
        <v>8</v>
      </c>
      <c r="F6895" s="15" t="s">
        <v>8</v>
      </c>
      <c r="H6895" s="15" t="s">
        <v>8</v>
      </c>
      <c r="I6895" s="15" t="s">
        <v>8</v>
      </c>
      <c r="J6895" s="15" t="s">
        <v>8</v>
      </c>
      <c r="K6895" s="15" t="s">
        <v>8</v>
      </c>
      <c r="L6895" s="15" t="s">
        <v>8</v>
      </c>
      <c r="M6895" s="15" t="s">
        <v>8</v>
      </c>
      <c r="R6895" s="8" t="s">
        <v>3</v>
      </c>
    </row>
    <row r="6896" spans="3:24" x14ac:dyDescent="0.35">
      <c r="C6896" s="15" t="s">
        <v>8</v>
      </c>
      <c r="F6896" s="15" t="s">
        <v>8</v>
      </c>
      <c r="H6896" s="15" t="s">
        <v>8</v>
      </c>
      <c r="I6896" s="15" t="s">
        <v>8</v>
      </c>
      <c r="J6896" s="15" t="s">
        <v>8</v>
      </c>
      <c r="K6896" s="15" t="s">
        <v>8</v>
      </c>
      <c r="L6896" s="15" t="s">
        <v>8</v>
      </c>
      <c r="M6896" s="15" t="s">
        <v>8</v>
      </c>
      <c r="Q6896" s="19" t="str">
        <f>HYPERLINK("http://yeinfo.com/family/I09023720.html", "JOHN WILDER &lt;2&gt; 1500 EN-1545 EN ID:09047440")</f>
        <v>JOHN WILDER &lt;2&gt; 1500 EN-1545 EN ID:09047440</v>
      </c>
      <c r="R6896" s="9"/>
      <c r="S6896" s="9"/>
      <c r="T6896" s="9"/>
      <c r="U6896" s="9"/>
    </row>
    <row r="6897" spans="3:24" x14ac:dyDescent="0.35">
      <c r="C6897" s="15" t="s">
        <v>8</v>
      </c>
      <c r="F6897" s="15" t="s">
        <v>8</v>
      </c>
      <c r="H6897" s="15" t="s">
        <v>8</v>
      </c>
      <c r="I6897" s="15" t="s">
        <v>8</v>
      </c>
      <c r="J6897" s="15" t="s">
        <v>8</v>
      </c>
      <c r="K6897" s="15" t="s">
        <v>8</v>
      </c>
      <c r="L6897" s="15" t="s">
        <v>8</v>
      </c>
      <c r="M6897" s="15" t="s">
        <v>8</v>
      </c>
      <c r="Q6897" s="8" t="s">
        <v>3</v>
      </c>
      <c r="R6897" s="8" t="s">
        <v>6</v>
      </c>
    </row>
    <row r="6898" spans="3:24" x14ac:dyDescent="0.35">
      <c r="C6898" s="15" t="s">
        <v>8</v>
      </c>
      <c r="F6898" s="15" t="s">
        <v>8</v>
      </c>
      <c r="H6898" s="15" t="s">
        <v>8</v>
      </c>
      <c r="I6898" s="15" t="s">
        <v>8</v>
      </c>
      <c r="J6898" s="15" t="s">
        <v>8</v>
      </c>
      <c r="K6898" s="15" t="s">
        <v>8</v>
      </c>
      <c r="L6898" s="15" t="s">
        <v>8</v>
      </c>
      <c r="M6898" s="15" t="s">
        <v>8</v>
      </c>
      <c r="Q6898" s="15" t="s">
        <v>8</v>
      </c>
      <c r="R6898" s="20" t="str">
        <f>HYPERLINK("http://yeinfo.com/family/I09065605.html", "Mrs. ISABEL\ELIZABETH WILDER &lt;2&gt; 1460 EN-1543 EN ID:09065606")</f>
        <v>Mrs. ISABEL\ELIZABETH WILDER &lt;2&gt; 1460 EN-1543 EN ID:09065606</v>
      </c>
      <c r="S6898" s="17"/>
      <c r="T6898" s="17"/>
      <c r="U6898" s="17"/>
      <c r="V6898" s="17"/>
      <c r="W6898" s="17"/>
      <c r="X6898" s="17"/>
    </row>
    <row r="6899" spans="3:24" x14ac:dyDescent="0.35">
      <c r="C6899" s="15" t="s">
        <v>8</v>
      </c>
      <c r="F6899" s="15" t="s">
        <v>8</v>
      </c>
      <c r="H6899" s="15" t="s">
        <v>8</v>
      </c>
      <c r="I6899" s="15" t="s">
        <v>8</v>
      </c>
      <c r="J6899" s="15" t="s">
        <v>8</v>
      </c>
      <c r="K6899" s="15" t="s">
        <v>8</v>
      </c>
      <c r="L6899" s="15" t="s">
        <v>8</v>
      </c>
      <c r="M6899" s="15" t="s">
        <v>8</v>
      </c>
      <c r="Q6899" s="15" t="s">
        <v>8</v>
      </c>
    </row>
    <row r="6900" spans="3:24" x14ac:dyDescent="0.35">
      <c r="C6900" s="15" t="s">
        <v>8</v>
      </c>
      <c r="F6900" s="15" t="s">
        <v>8</v>
      </c>
      <c r="H6900" s="15" t="s">
        <v>8</v>
      </c>
      <c r="I6900" s="15" t="s">
        <v>8</v>
      </c>
      <c r="J6900" s="15" t="s">
        <v>8</v>
      </c>
      <c r="K6900" s="15" t="s">
        <v>8</v>
      </c>
      <c r="L6900" s="15" t="s">
        <v>8</v>
      </c>
      <c r="M6900" s="15" t="s">
        <v>8</v>
      </c>
      <c r="P6900" s="19" t="str">
        <f>HYPERLINK("http://yeinfo.com/family/I09011860.html", "JOHN RICHARD WILDER &lt;2&gt; 1545 EN-1588  ID:09023720")</f>
        <v>JOHN RICHARD WILDER &lt;2&gt; 1545 EN-1588  ID:09023720</v>
      </c>
      <c r="Q6900" s="9"/>
      <c r="R6900" s="9"/>
      <c r="S6900" s="9"/>
      <c r="T6900" s="9"/>
    </row>
    <row r="6901" spans="3:24" x14ac:dyDescent="0.35">
      <c r="C6901" s="15" t="s">
        <v>8</v>
      </c>
      <c r="F6901" s="15" t="s">
        <v>8</v>
      </c>
      <c r="H6901" s="15" t="s">
        <v>8</v>
      </c>
      <c r="I6901" s="15" t="s">
        <v>8</v>
      </c>
      <c r="J6901" s="15" t="s">
        <v>8</v>
      </c>
      <c r="K6901" s="15" t="s">
        <v>8</v>
      </c>
      <c r="L6901" s="15" t="s">
        <v>8</v>
      </c>
      <c r="M6901" s="15" t="s">
        <v>8</v>
      </c>
      <c r="P6901" s="8" t="s">
        <v>3</v>
      </c>
      <c r="Q6901" s="8" t="s">
        <v>6</v>
      </c>
    </row>
    <row r="6902" spans="3:24" x14ac:dyDescent="0.35">
      <c r="C6902" s="15" t="s">
        <v>8</v>
      </c>
      <c r="F6902" s="15" t="s">
        <v>8</v>
      </c>
      <c r="H6902" s="15" t="s">
        <v>8</v>
      </c>
      <c r="I6902" s="15" t="s">
        <v>8</v>
      </c>
      <c r="J6902" s="15" t="s">
        <v>8</v>
      </c>
      <c r="K6902" s="15" t="s">
        <v>8</v>
      </c>
      <c r="L6902" s="15" t="s">
        <v>8</v>
      </c>
      <c r="M6902" s="15" t="s">
        <v>8</v>
      </c>
      <c r="P6902" s="15" t="s">
        <v>8</v>
      </c>
      <c r="Q6902" s="20" t="str">
        <f>HYPERLINK("http://yeinfo.com/family/I09065606.html", "AGNES KNAPP &lt;2&gt; 1500 EN-1545  ID:09047441")</f>
        <v>AGNES KNAPP &lt;2&gt; 1500 EN-1545  ID:09047441</v>
      </c>
      <c r="R6902" s="17"/>
      <c r="S6902" s="17"/>
      <c r="T6902" s="17"/>
      <c r="U6902" s="17"/>
    </row>
    <row r="6903" spans="3:24" x14ac:dyDescent="0.35">
      <c r="C6903" s="15" t="s">
        <v>8</v>
      </c>
      <c r="F6903" s="15" t="s">
        <v>8</v>
      </c>
      <c r="H6903" s="15" t="s">
        <v>8</v>
      </c>
      <c r="I6903" s="15" t="s">
        <v>8</v>
      </c>
      <c r="J6903" s="15" t="s">
        <v>8</v>
      </c>
      <c r="K6903" s="15" t="s">
        <v>8</v>
      </c>
      <c r="L6903" s="15" t="s">
        <v>8</v>
      </c>
      <c r="M6903" s="15" t="s">
        <v>8</v>
      </c>
      <c r="P6903" s="15" t="s">
        <v>8</v>
      </c>
    </row>
    <row r="6904" spans="3:24" x14ac:dyDescent="0.35">
      <c r="C6904" s="15" t="s">
        <v>8</v>
      </c>
      <c r="F6904" s="15" t="s">
        <v>8</v>
      </c>
      <c r="H6904" s="15" t="s">
        <v>8</v>
      </c>
      <c r="I6904" s="15" t="s">
        <v>8</v>
      </c>
      <c r="J6904" s="15" t="s">
        <v>8</v>
      </c>
      <c r="K6904" s="15" t="s">
        <v>8</v>
      </c>
      <c r="L6904" s="15" t="s">
        <v>8</v>
      </c>
      <c r="M6904" s="15" t="s">
        <v>8</v>
      </c>
      <c r="O6904" s="19" t="str">
        <f>HYPERLINK("http://yeinfo.com/family/I09005930.html", "THOMAS WILDER &lt;2&gt; 1585 EN-1634 EN ID:09011860")</f>
        <v>THOMAS WILDER &lt;2&gt; 1585 EN-1634 EN ID:09011860</v>
      </c>
      <c r="P6904" s="9"/>
      <c r="Q6904" s="9"/>
      <c r="R6904" s="9"/>
      <c r="S6904" s="9"/>
    </row>
    <row r="6905" spans="3:24" x14ac:dyDescent="0.35">
      <c r="C6905" s="15" t="s">
        <v>8</v>
      </c>
      <c r="F6905" s="15" t="s">
        <v>8</v>
      </c>
      <c r="H6905" s="15" t="s">
        <v>8</v>
      </c>
      <c r="I6905" s="15" t="s">
        <v>8</v>
      </c>
      <c r="J6905" s="15" t="s">
        <v>8</v>
      </c>
      <c r="K6905" s="15" t="s">
        <v>8</v>
      </c>
      <c r="L6905" s="15" t="s">
        <v>8</v>
      </c>
      <c r="M6905" s="15" t="s">
        <v>8</v>
      </c>
      <c r="O6905" s="8" t="s">
        <v>3</v>
      </c>
      <c r="P6905" s="15" t="s">
        <v>8</v>
      </c>
    </row>
    <row r="6906" spans="3:24" x14ac:dyDescent="0.35">
      <c r="C6906" s="15" t="s">
        <v>8</v>
      </c>
      <c r="F6906" s="15" t="s">
        <v>8</v>
      </c>
      <c r="H6906" s="15" t="s">
        <v>8</v>
      </c>
      <c r="I6906" s="15" t="s">
        <v>8</v>
      </c>
      <c r="J6906" s="15" t="s">
        <v>8</v>
      </c>
      <c r="K6906" s="15" t="s">
        <v>8</v>
      </c>
      <c r="L6906" s="15" t="s">
        <v>8</v>
      </c>
      <c r="M6906" s="15" t="s">
        <v>8</v>
      </c>
      <c r="O6906" s="15" t="s">
        <v>8</v>
      </c>
      <c r="P6906" s="15" t="s">
        <v>8</v>
      </c>
      <c r="Q6906" s="19" t="str">
        <f>HYPERLINK("http://yeinfo.com/family/I09023721.html", "THOMAS KEATS &lt;2&gt; 1530 EN-1582 EN ID:09047442")</f>
        <v>THOMAS KEATS &lt;2&gt; 1530 EN-1582 EN ID:09047442</v>
      </c>
      <c r="R6906" s="9"/>
      <c r="S6906" s="9"/>
      <c r="T6906" s="9"/>
      <c r="U6906" s="9"/>
    </row>
    <row r="6907" spans="3:24" x14ac:dyDescent="0.35">
      <c r="C6907" s="15" t="s">
        <v>8</v>
      </c>
      <c r="F6907" s="15" t="s">
        <v>8</v>
      </c>
      <c r="H6907" s="15" t="s">
        <v>8</v>
      </c>
      <c r="I6907" s="15" t="s">
        <v>8</v>
      </c>
      <c r="J6907" s="15" t="s">
        <v>8</v>
      </c>
      <c r="K6907" s="15" t="s">
        <v>8</v>
      </c>
      <c r="L6907" s="15" t="s">
        <v>8</v>
      </c>
      <c r="M6907" s="15" t="s">
        <v>8</v>
      </c>
      <c r="O6907" s="15" t="s">
        <v>8</v>
      </c>
      <c r="P6907" s="8" t="s">
        <v>6</v>
      </c>
      <c r="Q6907" s="8" t="s">
        <v>3</v>
      </c>
    </row>
    <row r="6908" spans="3:24" x14ac:dyDescent="0.35">
      <c r="C6908" s="15" t="s">
        <v>8</v>
      </c>
      <c r="F6908" s="15" t="s">
        <v>8</v>
      </c>
      <c r="H6908" s="15" t="s">
        <v>8</v>
      </c>
      <c r="I6908" s="15" t="s">
        <v>8</v>
      </c>
      <c r="J6908" s="15" t="s">
        <v>8</v>
      </c>
      <c r="K6908" s="15" t="s">
        <v>8</v>
      </c>
      <c r="L6908" s="15" t="s">
        <v>8</v>
      </c>
      <c r="M6908" s="15" t="s">
        <v>8</v>
      </c>
      <c r="O6908" s="15" t="s">
        <v>8</v>
      </c>
      <c r="P6908" s="20" t="str">
        <f>HYPERLINK("http://yeinfo.com/family/I09047441.html", "ALICE EARL KEATS &lt;2&gt; 1555 EN-1587  ID:09023721")</f>
        <v>ALICE EARL KEATS &lt;2&gt; 1555 EN-1587  ID:09023721</v>
      </c>
      <c r="Q6908" s="17"/>
      <c r="R6908" s="17"/>
      <c r="S6908" s="17"/>
      <c r="T6908" s="17"/>
    </row>
    <row r="6909" spans="3:24" x14ac:dyDescent="0.35">
      <c r="C6909" s="15" t="s">
        <v>8</v>
      </c>
      <c r="F6909" s="15" t="s">
        <v>8</v>
      </c>
      <c r="H6909" s="15" t="s">
        <v>8</v>
      </c>
      <c r="I6909" s="15" t="s">
        <v>8</v>
      </c>
      <c r="J6909" s="15" t="s">
        <v>8</v>
      </c>
      <c r="K6909" s="15" t="s">
        <v>8</v>
      </c>
      <c r="L6909" s="15" t="s">
        <v>8</v>
      </c>
      <c r="M6909" s="15" t="s">
        <v>8</v>
      </c>
      <c r="O6909" s="15" t="s">
        <v>8</v>
      </c>
      <c r="Q6909" s="8" t="s">
        <v>6</v>
      </c>
    </row>
    <row r="6910" spans="3:24" x14ac:dyDescent="0.35">
      <c r="C6910" s="15" t="s">
        <v>8</v>
      </c>
      <c r="F6910" s="15" t="s">
        <v>8</v>
      </c>
      <c r="H6910" s="15" t="s">
        <v>8</v>
      </c>
      <c r="I6910" s="15" t="s">
        <v>8</v>
      </c>
      <c r="J6910" s="15" t="s">
        <v>8</v>
      </c>
      <c r="K6910" s="15" t="s">
        <v>8</v>
      </c>
      <c r="L6910" s="15" t="s">
        <v>8</v>
      </c>
      <c r="M6910" s="15" t="s">
        <v>8</v>
      </c>
      <c r="O6910" s="15" t="s">
        <v>8</v>
      </c>
      <c r="Q6910" s="20" t="str">
        <f>HYPERLINK("http://yeinfo.com/family/I09047442.html", "FRANCES JENNINGS &lt;2&gt; 1530 EN-1555  ID:09047443")</f>
        <v>FRANCES JENNINGS &lt;2&gt; 1530 EN-1555  ID:09047443</v>
      </c>
      <c r="R6910" s="17"/>
      <c r="S6910" s="17"/>
      <c r="T6910" s="17"/>
      <c r="U6910" s="17"/>
    </row>
    <row r="6911" spans="3:24" x14ac:dyDescent="0.35">
      <c r="C6911" s="15" t="s">
        <v>8</v>
      </c>
      <c r="F6911" s="15" t="s">
        <v>8</v>
      </c>
      <c r="H6911" s="15" t="s">
        <v>8</v>
      </c>
      <c r="I6911" s="15" t="s">
        <v>8</v>
      </c>
      <c r="J6911" s="15" t="s">
        <v>8</v>
      </c>
      <c r="K6911" s="15" t="s">
        <v>8</v>
      </c>
      <c r="L6911" s="15" t="s">
        <v>8</v>
      </c>
      <c r="M6911" s="15" t="s">
        <v>8</v>
      </c>
      <c r="O6911" s="15" t="s">
        <v>8</v>
      </c>
    </row>
    <row r="6912" spans="3:24" x14ac:dyDescent="0.35">
      <c r="C6912" s="15" t="s">
        <v>8</v>
      </c>
      <c r="F6912" s="15" t="s">
        <v>8</v>
      </c>
      <c r="H6912" s="15" t="s">
        <v>8</v>
      </c>
      <c r="I6912" s="15" t="s">
        <v>8</v>
      </c>
      <c r="J6912" s="15" t="s">
        <v>8</v>
      </c>
      <c r="K6912" s="15" t="s">
        <v>8</v>
      </c>
      <c r="L6912" s="15" t="s">
        <v>8</v>
      </c>
      <c r="M6912" s="15" t="s">
        <v>8</v>
      </c>
      <c r="N6912" s="5" t="str">
        <f>HYPERLINK("http://yeinfo.com/family/I09002965.html", "THOMAS WILDER &lt;2&gt; 1618 EN-1668  ID:09005930")</f>
        <v>THOMAS WILDER &lt;2&gt; 1618 EN-1668  ID:09005930</v>
      </c>
      <c r="O6912" s="3"/>
      <c r="P6912" s="3"/>
      <c r="Q6912" s="3"/>
      <c r="R6912" s="3"/>
    </row>
    <row r="6913" spans="3:19" x14ac:dyDescent="0.35">
      <c r="C6913" s="15" t="s">
        <v>8</v>
      </c>
      <c r="F6913" s="15" t="s">
        <v>8</v>
      </c>
      <c r="H6913" s="15" t="s">
        <v>8</v>
      </c>
      <c r="I6913" s="15" t="s">
        <v>8</v>
      </c>
      <c r="J6913" s="15" t="s">
        <v>8</v>
      </c>
      <c r="K6913" s="15" t="s">
        <v>8</v>
      </c>
      <c r="L6913" s="15" t="s">
        <v>8</v>
      </c>
      <c r="M6913" s="15" t="s">
        <v>8</v>
      </c>
      <c r="N6913" s="8" t="s">
        <v>3</v>
      </c>
      <c r="O6913" s="8" t="s">
        <v>6</v>
      </c>
    </row>
    <row r="6914" spans="3:19" x14ac:dyDescent="0.35">
      <c r="C6914" s="15" t="s">
        <v>8</v>
      </c>
      <c r="F6914" s="15" t="s">
        <v>8</v>
      </c>
      <c r="H6914" s="15" t="s">
        <v>8</v>
      </c>
      <c r="I6914" s="15" t="s">
        <v>8</v>
      </c>
      <c r="J6914" s="15" t="s">
        <v>8</v>
      </c>
      <c r="K6914" s="15" t="s">
        <v>8</v>
      </c>
      <c r="L6914" s="15" t="s">
        <v>8</v>
      </c>
      <c r="M6914" s="15" t="s">
        <v>8</v>
      </c>
      <c r="N6914" s="15" t="s">
        <v>8</v>
      </c>
      <c r="O6914" s="22" t="str">
        <f>HYPERLINK("http://yeinfo.com/family/I09047443.html", "MARTHA HIGGS &lt;2&gt; 1590 EN-1652 MA ID:09011861")</f>
        <v>MARTHA HIGGS &lt;2&gt; 1590 EN-1652 MA ID:09011861</v>
      </c>
      <c r="P6914" s="13"/>
      <c r="Q6914" s="13"/>
      <c r="R6914" s="13"/>
      <c r="S6914" s="13"/>
    </row>
    <row r="6915" spans="3:19" x14ac:dyDescent="0.35">
      <c r="C6915" s="15" t="s">
        <v>8</v>
      </c>
      <c r="F6915" s="15" t="s">
        <v>8</v>
      </c>
      <c r="H6915" s="15" t="s">
        <v>8</v>
      </c>
      <c r="I6915" s="15" t="s">
        <v>8</v>
      </c>
      <c r="J6915" s="15" t="s">
        <v>8</v>
      </c>
      <c r="K6915" s="15" t="s">
        <v>8</v>
      </c>
      <c r="L6915" s="15" t="s">
        <v>8</v>
      </c>
      <c r="M6915" s="8" t="s">
        <v>6</v>
      </c>
      <c r="N6915" s="15" t="s">
        <v>8</v>
      </c>
    </row>
    <row r="6916" spans="3:19" x14ac:dyDescent="0.35">
      <c r="C6916" s="15" t="s">
        <v>8</v>
      </c>
      <c r="F6916" s="15" t="s">
        <v>8</v>
      </c>
      <c r="H6916" s="15" t="s">
        <v>8</v>
      </c>
      <c r="I6916" s="15" t="s">
        <v>8</v>
      </c>
      <c r="J6916" s="15" t="s">
        <v>8</v>
      </c>
      <c r="K6916" s="15" t="s">
        <v>8</v>
      </c>
      <c r="L6916" s="15" t="s">
        <v>8</v>
      </c>
      <c r="M6916" s="16" t="str">
        <f>HYPERLINK("http://yeinfo.com/family/I09065604.html", "MARY WILDER &lt;2&gt; 1642 MA-1666 MA ID:09002965")</f>
        <v>MARY WILDER &lt;2&gt; 1642 MA-1666 MA ID:09002965</v>
      </c>
      <c r="N6916" s="11"/>
      <c r="O6916" s="11"/>
      <c r="P6916" s="11"/>
      <c r="Q6916" s="11"/>
    </row>
    <row r="6917" spans="3:19" x14ac:dyDescent="0.35">
      <c r="C6917" s="15" t="s">
        <v>8</v>
      </c>
      <c r="F6917" s="15" t="s">
        <v>8</v>
      </c>
      <c r="H6917" s="15" t="s">
        <v>8</v>
      </c>
      <c r="I6917" s="15" t="s">
        <v>8</v>
      </c>
      <c r="J6917" s="15" t="s">
        <v>8</v>
      </c>
      <c r="K6917" s="15" t="s">
        <v>8</v>
      </c>
      <c r="L6917" s="15" t="s">
        <v>8</v>
      </c>
      <c r="N6917" s="15" t="s">
        <v>8</v>
      </c>
    </row>
    <row r="6918" spans="3:19" x14ac:dyDescent="0.35">
      <c r="C6918" s="15" t="s">
        <v>8</v>
      </c>
      <c r="F6918" s="15" t="s">
        <v>8</v>
      </c>
      <c r="H6918" s="15" t="s">
        <v>8</v>
      </c>
      <c r="I6918" s="15" t="s">
        <v>8</v>
      </c>
      <c r="J6918" s="15" t="s">
        <v>8</v>
      </c>
      <c r="K6918" s="15" t="s">
        <v>8</v>
      </c>
      <c r="L6918" s="15" t="s">
        <v>8</v>
      </c>
      <c r="N6918" s="15" t="s">
        <v>8</v>
      </c>
      <c r="O6918" s="19" t="str">
        <f>HYPERLINK("http://yeinfo.com/family/I09005931.html", "ANTHONY EAMES &lt;2&gt; 1595 EN-1686 EN ID:09011862")</f>
        <v>ANTHONY EAMES &lt;2&gt; 1595 EN-1686 EN ID:09011862</v>
      </c>
      <c r="P6918" s="9"/>
      <c r="Q6918" s="9"/>
      <c r="R6918" s="9"/>
      <c r="S6918" s="9"/>
    </row>
    <row r="6919" spans="3:19" x14ac:dyDescent="0.35">
      <c r="C6919" s="15" t="s">
        <v>8</v>
      </c>
      <c r="F6919" s="15" t="s">
        <v>8</v>
      </c>
      <c r="H6919" s="15" t="s">
        <v>8</v>
      </c>
      <c r="I6919" s="15" t="s">
        <v>8</v>
      </c>
      <c r="J6919" s="15" t="s">
        <v>8</v>
      </c>
      <c r="K6919" s="15" t="s">
        <v>8</v>
      </c>
      <c r="L6919" s="15" t="s">
        <v>8</v>
      </c>
      <c r="N6919" s="8" t="s">
        <v>6</v>
      </c>
      <c r="O6919" s="8" t="s">
        <v>3</v>
      </c>
    </row>
    <row r="6920" spans="3:19" x14ac:dyDescent="0.35">
      <c r="C6920" s="15" t="s">
        <v>8</v>
      </c>
      <c r="F6920" s="15" t="s">
        <v>8</v>
      </c>
      <c r="H6920" s="15" t="s">
        <v>8</v>
      </c>
      <c r="I6920" s="15" t="s">
        <v>8</v>
      </c>
      <c r="J6920" s="15" t="s">
        <v>8</v>
      </c>
      <c r="K6920" s="15" t="s">
        <v>8</v>
      </c>
      <c r="L6920" s="15" t="s">
        <v>8</v>
      </c>
      <c r="N6920" s="22" t="str">
        <f>HYPERLINK("http://yeinfo.com/family/I09011861.html", "ANNA EAMES &lt;2&gt; 1597 EN-1692 MA ID:09005931")</f>
        <v>ANNA EAMES &lt;2&gt; 1597 EN-1692 MA ID:09005931</v>
      </c>
      <c r="O6920" s="13"/>
      <c r="P6920" s="13"/>
      <c r="Q6920" s="13"/>
      <c r="R6920" s="13"/>
    </row>
    <row r="6921" spans="3:19" x14ac:dyDescent="0.35">
      <c r="C6921" s="15" t="s">
        <v>8</v>
      </c>
      <c r="F6921" s="15" t="s">
        <v>8</v>
      </c>
      <c r="H6921" s="15" t="s">
        <v>8</v>
      </c>
      <c r="I6921" s="15" t="s">
        <v>8</v>
      </c>
      <c r="J6921" s="15" t="s">
        <v>8</v>
      </c>
      <c r="K6921" s="15" t="s">
        <v>8</v>
      </c>
      <c r="L6921" s="15" t="s">
        <v>8</v>
      </c>
      <c r="O6921" s="8" t="s">
        <v>6</v>
      </c>
    </row>
    <row r="6922" spans="3:19" x14ac:dyDescent="0.35">
      <c r="C6922" s="15" t="s">
        <v>8</v>
      </c>
      <c r="F6922" s="15" t="s">
        <v>8</v>
      </c>
      <c r="H6922" s="15" t="s">
        <v>8</v>
      </c>
      <c r="I6922" s="15" t="s">
        <v>8</v>
      </c>
      <c r="J6922" s="15" t="s">
        <v>8</v>
      </c>
      <c r="K6922" s="15" t="s">
        <v>8</v>
      </c>
      <c r="L6922" s="15" t="s">
        <v>8</v>
      </c>
      <c r="O6922" s="16" t="str">
        <f>HYPERLINK("http://yeinfo.com/family/I09011862.html", "MARGERY PIERCE &lt;2&gt; 1575 EN-1662  ID:09011863")</f>
        <v>MARGERY PIERCE &lt;2&gt; 1575 EN-1662  ID:09011863</v>
      </c>
      <c r="P6922" s="11"/>
      <c r="Q6922" s="11"/>
      <c r="R6922" s="11"/>
      <c r="S6922" s="11"/>
    </row>
    <row r="6923" spans="3:19" x14ac:dyDescent="0.35">
      <c r="C6923" s="15" t="s">
        <v>8</v>
      </c>
      <c r="F6923" s="15" t="s">
        <v>8</v>
      </c>
      <c r="H6923" s="15" t="s">
        <v>8</v>
      </c>
      <c r="I6923" s="15" t="s">
        <v>8</v>
      </c>
      <c r="J6923" s="15" t="s">
        <v>8</v>
      </c>
      <c r="K6923" s="8" t="s">
        <v>6</v>
      </c>
      <c r="L6923" s="15" t="s">
        <v>8</v>
      </c>
    </row>
    <row r="6924" spans="3:19" x14ac:dyDescent="0.35">
      <c r="C6924" s="15" t="s">
        <v>8</v>
      </c>
      <c r="F6924" s="15" t="s">
        <v>8</v>
      </c>
      <c r="H6924" s="15" t="s">
        <v>8</v>
      </c>
      <c r="I6924" s="15" t="s">
        <v>8</v>
      </c>
      <c r="J6924" s="15" t="s">
        <v>8</v>
      </c>
      <c r="K6924" s="16" t="str">
        <f>HYPERLINK("http://yeinfo.com/family/I09005927.html", "ANN\MARY ALLEN 1700 MA-1742 MA ID:09000741")</f>
        <v>ANN\MARY ALLEN 1700 MA-1742 MA ID:09000741</v>
      </c>
      <c r="L6924" s="11"/>
      <c r="M6924" s="11"/>
      <c r="N6924" s="11"/>
      <c r="O6924" s="11"/>
      <c r="P6924" s="11"/>
    </row>
    <row r="6925" spans="3:19" x14ac:dyDescent="0.35">
      <c r="C6925" s="15" t="s">
        <v>8</v>
      </c>
      <c r="F6925" s="15" t="s">
        <v>8</v>
      </c>
      <c r="H6925" s="15" t="s">
        <v>8</v>
      </c>
      <c r="I6925" s="15" t="s">
        <v>8</v>
      </c>
      <c r="J6925" s="15" t="s">
        <v>8</v>
      </c>
      <c r="L6925" s="15" t="s">
        <v>8</v>
      </c>
    </row>
    <row r="6926" spans="3:19" x14ac:dyDescent="0.35">
      <c r="C6926" s="15" t="s">
        <v>8</v>
      </c>
      <c r="F6926" s="15" t="s">
        <v>8</v>
      </c>
      <c r="H6926" s="15" t="s">
        <v>8</v>
      </c>
      <c r="I6926" s="15" t="s">
        <v>8</v>
      </c>
      <c r="J6926" s="15" t="s">
        <v>8</v>
      </c>
      <c r="L6926" s="15" t="s">
        <v>8</v>
      </c>
      <c r="O6926" s="19" t="str">
        <f>HYPERLINK("http://yeinfo.com/family/I09021788.html", "Mr. {_?_} RICE &lt;5&gt; 1560 EN-1594  ID:09021788")</f>
        <v>Mr. {_?_} RICE &lt;5&gt; 1560 EN-1594  ID:09021788</v>
      </c>
      <c r="P6926" s="9"/>
      <c r="Q6926" s="9"/>
      <c r="R6926" s="9"/>
      <c r="S6926" s="9"/>
    </row>
    <row r="6927" spans="3:19" x14ac:dyDescent="0.35">
      <c r="C6927" s="15" t="s">
        <v>8</v>
      </c>
      <c r="F6927" s="15" t="s">
        <v>8</v>
      </c>
      <c r="H6927" s="15" t="s">
        <v>8</v>
      </c>
      <c r="I6927" s="15" t="s">
        <v>8</v>
      </c>
      <c r="J6927" s="15" t="s">
        <v>8</v>
      </c>
      <c r="L6927" s="15" t="s">
        <v>8</v>
      </c>
      <c r="O6927" s="8" t="s">
        <v>3</v>
      </c>
    </row>
    <row r="6928" spans="3:19" x14ac:dyDescent="0.35">
      <c r="C6928" s="15" t="s">
        <v>8</v>
      </c>
      <c r="F6928" s="15" t="s">
        <v>8</v>
      </c>
      <c r="H6928" s="15" t="s">
        <v>8</v>
      </c>
      <c r="I6928" s="15" t="s">
        <v>8</v>
      </c>
      <c r="J6928" s="15" t="s">
        <v>8</v>
      </c>
      <c r="L6928" s="15" t="s">
        <v>8</v>
      </c>
      <c r="N6928" s="21" t="str">
        <f>HYPERLINK("http://yeinfo.com/family/I09002844.html", "EDMUND RICE &lt;4&gt; 1594 EN-1663 MA ID:09002844")</f>
        <v>EDMUND RICE &lt;4&gt; 1594 EN-1663 MA ID:09002844</v>
      </c>
      <c r="O6928" s="6"/>
      <c r="P6928" s="6"/>
      <c r="Q6928" s="6"/>
      <c r="R6928" s="6"/>
    </row>
    <row r="6929" spans="3:22" x14ac:dyDescent="0.35">
      <c r="C6929" s="15" t="s">
        <v>8</v>
      </c>
      <c r="F6929" s="15" t="s">
        <v>8</v>
      </c>
      <c r="H6929" s="15" t="s">
        <v>8</v>
      </c>
      <c r="I6929" s="15" t="s">
        <v>8</v>
      </c>
      <c r="J6929" s="15" t="s">
        <v>8</v>
      </c>
      <c r="L6929" s="15" t="s">
        <v>8</v>
      </c>
      <c r="N6929" s="8" t="s">
        <v>3</v>
      </c>
      <c r="O6929" s="8" t="s">
        <v>6</v>
      </c>
    </row>
    <row r="6930" spans="3:22" x14ac:dyDescent="0.35">
      <c r="C6930" s="15" t="s">
        <v>8</v>
      </c>
      <c r="F6930" s="15" t="s">
        <v>8</v>
      </c>
      <c r="H6930" s="15" t="s">
        <v>8</v>
      </c>
      <c r="I6930" s="15" t="s">
        <v>8</v>
      </c>
      <c r="J6930" s="15" t="s">
        <v>8</v>
      </c>
      <c r="L6930" s="15" t="s">
        <v>8</v>
      </c>
      <c r="N6930" s="15" t="s">
        <v>8</v>
      </c>
      <c r="O6930" s="20" t="str">
        <f>HYPERLINK("http://yeinfo.com/family/I09021789.html", "Mrs. {_?_} RICE &lt;5&gt; 1560 EN-1594  ID:09021789")</f>
        <v>Mrs. {_?_} RICE &lt;5&gt; 1560 EN-1594  ID:09021789</v>
      </c>
      <c r="P6930" s="17"/>
      <c r="Q6930" s="17"/>
      <c r="R6930" s="17"/>
      <c r="S6930" s="17"/>
    </row>
    <row r="6931" spans="3:22" x14ac:dyDescent="0.35">
      <c r="C6931" s="15" t="s">
        <v>8</v>
      </c>
      <c r="F6931" s="15" t="s">
        <v>8</v>
      </c>
      <c r="H6931" s="15" t="s">
        <v>8</v>
      </c>
      <c r="I6931" s="15" t="s">
        <v>8</v>
      </c>
      <c r="J6931" s="15" t="s">
        <v>8</v>
      </c>
      <c r="L6931" s="15" t="s">
        <v>8</v>
      </c>
      <c r="N6931" s="15" t="s">
        <v>8</v>
      </c>
    </row>
    <row r="6932" spans="3:22" x14ac:dyDescent="0.35">
      <c r="C6932" s="15" t="s">
        <v>8</v>
      </c>
      <c r="F6932" s="15" t="s">
        <v>8</v>
      </c>
      <c r="H6932" s="15" t="s">
        <v>8</v>
      </c>
      <c r="I6932" s="15" t="s">
        <v>8</v>
      </c>
      <c r="J6932" s="15" t="s">
        <v>8</v>
      </c>
      <c r="L6932" s="15" t="s">
        <v>8</v>
      </c>
      <c r="M6932" s="21" t="str">
        <f>HYPERLINK("http://yeinfo.com/family/I09001483.html", "HENRY RICE &lt;2&gt; 1618 EN-1711 MA ID:09002966")</f>
        <v>HENRY RICE &lt;2&gt; 1618 EN-1711 MA ID:09002966</v>
      </c>
      <c r="N6932" s="6"/>
      <c r="O6932" s="6"/>
      <c r="P6932" s="6"/>
      <c r="Q6932" s="6"/>
    </row>
    <row r="6933" spans="3:22" x14ac:dyDescent="0.35">
      <c r="C6933" s="15" t="s">
        <v>8</v>
      </c>
      <c r="F6933" s="15" t="s">
        <v>8</v>
      </c>
      <c r="H6933" s="15" t="s">
        <v>8</v>
      </c>
      <c r="I6933" s="15" t="s">
        <v>8</v>
      </c>
      <c r="J6933" s="15" t="s">
        <v>8</v>
      </c>
      <c r="L6933" s="15" t="s">
        <v>8</v>
      </c>
      <c r="M6933" s="8" t="s">
        <v>3</v>
      </c>
      <c r="N6933" s="15" t="s">
        <v>8</v>
      </c>
    </row>
    <row r="6934" spans="3:22" x14ac:dyDescent="0.35">
      <c r="C6934" s="15" t="s">
        <v>8</v>
      </c>
      <c r="F6934" s="15" t="s">
        <v>8</v>
      </c>
      <c r="H6934" s="15" t="s">
        <v>8</v>
      </c>
      <c r="I6934" s="15" t="s">
        <v>8</v>
      </c>
      <c r="J6934" s="15" t="s">
        <v>8</v>
      </c>
      <c r="L6934" s="15" t="s">
        <v>8</v>
      </c>
      <c r="M6934" s="15" t="s">
        <v>8</v>
      </c>
      <c r="N6934" s="15" t="s">
        <v>8</v>
      </c>
      <c r="Q6934" s="19" t="str">
        <f>HYPERLINK("http://yeinfo.com/family/I09065537.html", "WILLIAM\HENRY FROST &lt;5&gt; 1480 EN-1549 EN ID:09065537")</f>
        <v>WILLIAM\HENRY FROST &lt;5&gt; 1480 EN-1549 EN ID:09065537</v>
      </c>
      <c r="R6934" s="9"/>
      <c r="S6934" s="9"/>
      <c r="T6934" s="9"/>
      <c r="U6934" s="9"/>
      <c r="V6934" s="9"/>
    </row>
    <row r="6935" spans="3:22" x14ac:dyDescent="0.35">
      <c r="C6935" s="15" t="s">
        <v>8</v>
      </c>
      <c r="F6935" s="15" t="s">
        <v>8</v>
      </c>
      <c r="H6935" s="15" t="s">
        <v>8</v>
      </c>
      <c r="I6935" s="15" t="s">
        <v>8</v>
      </c>
      <c r="J6935" s="15" t="s">
        <v>8</v>
      </c>
      <c r="L6935" s="15" t="s">
        <v>8</v>
      </c>
      <c r="M6935" s="15" t="s">
        <v>8</v>
      </c>
      <c r="N6935" s="15" t="s">
        <v>8</v>
      </c>
      <c r="Q6935" s="8" t="s">
        <v>3</v>
      </c>
    </row>
    <row r="6936" spans="3:22" x14ac:dyDescent="0.35">
      <c r="C6936" s="15" t="s">
        <v>8</v>
      </c>
      <c r="F6936" s="15" t="s">
        <v>8</v>
      </c>
      <c r="H6936" s="15" t="s">
        <v>8</v>
      </c>
      <c r="I6936" s="15" t="s">
        <v>8</v>
      </c>
      <c r="J6936" s="15" t="s">
        <v>8</v>
      </c>
      <c r="L6936" s="15" t="s">
        <v>8</v>
      </c>
      <c r="M6936" s="15" t="s">
        <v>8</v>
      </c>
      <c r="N6936" s="15" t="s">
        <v>8</v>
      </c>
      <c r="P6936" s="19" t="str">
        <f>HYPERLINK("http://yeinfo.com/family/I09043580.html", "JOHN\THOMAS FROST &lt;5&gt; 1537 -1610  ID:09043580")</f>
        <v>JOHN\THOMAS FROST &lt;5&gt; 1537 -1610  ID:09043580</v>
      </c>
      <c r="Q6936" s="9"/>
      <c r="R6936" s="9"/>
      <c r="S6936" s="9"/>
      <c r="T6936" s="9"/>
      <c r="U6936" s="9"/>
    </row>
    <row r="6937" spans="3:22" x14ac:dyDescent="0.35">
      <c r="C6937" s="15" t="s">
        <v>8</v>
      </c>
      <c r="F6937" s="15" t="s">
        <v>8</v>
      </c>
      <c r="H6937" s="15" t="s">
        <v>8</v>
      </c>
      <c r="I6937" s="15" t="s">
        <v>8</v>
      </c>
      <c r="J6937" s="15" t="s">
        <v>8</v>
      </c>
      <c r="L6937" s="15" t="s">
        <v>8</v>
      </c>
      <c r="M6937" s="15" t="s">
        <v>8</v>
      </c>
      <c r="N6937" s="15" t="s">
        <v>8</v>
      </c>
      <c r="P6937" s="8" t="s">
        <v>3</v>
      </c>
      <c r="Q6937" s="8" t="s">
        <v>6</v>
      </c>
    </row>
    <row r="6938" spans="3:22" x14ac:dyDescent="0.35">
      <c r="C6938" s="15" t="s">
        <v>8</v>
      </c>
      <c r="F6938" s="15" t="s">
        <v>8</v>
      </c>
      <c r="H6938" s="15" t="s">
        <v>8</v>
      </c>
      <c r="I6938" s="15" t="s">
        <v>8</v>
      </c>
      <c r="J6938" s="15" t="s">
        <v>8</v>
      </c>
      <c r="L6938" s="15" t="s">
        <v>8</v>
      </c>
      <c r="M6938" s="15" t="s">
        <v>8</v>
      </c>
      <c r="N6938" s="15" t="s">
        <v>8</v>
      </c>
      <c r="P6938" s="15" t="s">
        <v>8</v>
      </c>
      <c r="Q6938" s="20" t="str">
        <f>HYPERLINK("http://yeinfo.com/family/I09065538.html", "PHILLIPA SCOTT &lt;5&gt; 1505 EN-1558 EN ID:09065538")</f>
        <v>PHILLIPA SCOTT &lt;5&gt; 1505 EN-1558 EN ID:09065538</v>
      </c>
      <c r="R6938" s="17"/>
      <c r="S6938" s="17"/>
      <c r="T6938" s="17"/>
      <c r="U6938" s="17"/>
    </row>
    <row r="6939" spans="3:22" x14ac:dyDescent="0.35">
      <c r="C6939" s="15" t="s">
        <v>8</v>
      </c>
      <c r="F6939" s="15" t="s">
        <v>8</v>
      </c>
      <c r="H6939" s="15" t="s">
        <v>8</v>
      </c>
      <c r="I6939" s="15" t="s">
        <v>8</v>
      </c>
      <c r="J6939" s="15" t="s">
        <v>8</v>
      </c>
      <c r="L6939" s="15" t="s">
        <v>8</v>
      </c>
      <c r="M6939" s="15" t="s">
        <v>8</v>
      </c>
      <c r="N6939" s="15" t="s">
        <v>8</v>
      </c>
      <c r="P6939" s="15" t="s">
        <v>8</v>
      </c>
    </row>
    <row r="6940" spans="3:22" x14ac:dyDescent="0.35">
      <c r="C6940" s="15" t="s">
        <v>8</v>
      </c>
      <c r="F6940" s="15" t="s">
        <v>8</v>
      </c>
      <c r="H6940" s="15" t="s">
        <v>8</v>
      </c>
      <c r="I6940" s="15" t="s">
        <v>8</v>
      </c>
      <c r="J6940" s="15" t="s">
        <v>8</v>
      </c>
      <c r="L6940" s="15" t="s">
        <v>8</v>
      </c>
      <c r="M6940" s="15" t="s">
        <v>8</v>
      </c>
      <c r="N6940" s="15" t="s">
        <v>8</v>
      </c>
      <c r="O6940" s="19" t="str">
        <f>HYPERLINK("http://yeinfo.com/family/I09021790.html", "EDWARD\EDMUND FROST &lt;5&gt; 1560 EN-1616 EN ID:09021790")</f>
        <v>EDWARD\EDMUND FROST &lt;5&gt; 1560 EN-1616 EN ID:09021790</v>
      </c>
      <c r="P6940" s="9"/>
      <c r="Q6940" s="9"/>
      <c r="R6940" s="9"/>
      <c r="S6940" s="9"/>
      <c r="T6940" s="9"/>
    </row>
    <row r="6941" spans="3:22" x14ac:dyDescent="0.35">
      <c r="C6941" s="15" t="s">
        <v>8</v>
      </c>
      <c r="F6941" s="15" t="s">
        <v>8</v>
      </c>
      <c r="H6941" s="15" t="s">
        <v>8</v>
      </c>
      <c r="I6941" s="15" t="s">
        <v>8</v>
      </c>
      <c r="J6941" s="15" t="s">
        <v>8</v>
      </c>
      <c r="L6941" s="15" t="s">
        <v>8</v>
      </c>
      <c r="M6941" s="15" t="s">
        <v>8</v>
      </c>
      <c r="N6941" s="15" t="s">
        <v>8</v>
      </c>
      <c r="O6941" s="8" t="s">
        <v>3</v>
      </c>
      <c r="P6941" s="15" t="s">
        <v>8</v>
      </c>
    </row>
    <row r="6942" spans="3:22" x14ac:dyDescent="0.35">
      <c r="C6942" s="15" t="s">
        <v>8</v>
      </c>
      <c r="F6942" s="15" t="s">
        <v>8</v>
      </c>
      <c r="H6942" s="15" t="s">
        <v>8</v>
      </c>
      <c r="I6942" s="15" t="s">
        <v>8</v>
      </c>
      <c r="J6942" s="15" t="s">
        <v>8</v>
      </c>
      <c r="L6942" s="15" t="s">
        <v>8</v>
      </c>
      <c r="M6942" s="15" t="s">
        <v>8</v>
      </c>
      <c r="N6942" s="15" t="s">
        <v>8</v>
      </c>
      <c r="O6942" s="15" t="s">
        <v>8</v>
      </c>
      <c r="P6942" s="15" t="s">
        <v>8</v>
      </c>
      <c r="Q6942" s="19" t="str">
        <f>HYPERLINK("http://yeinfo.com/family/I09065539.html", "RICHARD SCOTT &lt;5&gt; 1505 EN-1565 EN ID:09065539")</f>
        <v>RICHARD SCOTT &lt;5&gt; 1505 EN-1565 EN ID:09065539</v>
      </c>
      <c r="R6942" s="9"/>
      <c r="S6942" s="9"/>
      <c r="T6942" s="9"/>
      <c r="U6942" s="9"/>
    </row>
    <row r="6943" spans="3:22" x14ac:dyDescent="0.35">
      <c r="C6943" s="15" t="s">
        <v>8</v>
      </c>
      <c r="F6943" s="15" t="s">
        <v>8</v>
      </c>
      <c r="H6943" s="15" t="s">
        <v>8</v>
      </c>
      <c r="I6943" s="15" t="s">
        <v>8</v>
      </c>
      <c r="J6943" s="15" t="s">
        <v>8</v>
      </c>
      <c r="L6943" s="15" t="s">
        <v>8</v>
      </c>
      <c r="M6943" s="15" t="s">
        <v>8</v>
      </c>
      <c r="N6943" s="15" t="s">
        <v>8</v>
      </c>
      <c r="O6943" s="15" t="s">
        <v>8</v>
      </c>
      <c r="P6943" s="8" t="s">
        <v>6</v>
      </c>
      <c r="Q6943" s="8" t="s">
        <v>3</v>
      </c>
    </row>
    <row r="6944" spans="3:22" x14ac:dyDescent="0.35">
      <c r="C6944" s="15" t="s">
        <v>8</v>
      </c>
      <c r="F6944" s="15" t="s">
        <v>8</v>
      </c>
      <c r="H6944" s="15" t="s">
        <v>8</v>
      </c>
      <c r="I6944" s="15" t="s">
        <v>8</v>
      </c>
      <c r="J6944" s="15" t="s">
        <v>8</v>
      </c>
      <c r="L6944" s="15" t="s">
        <v>8</v>
      </c>
      <c r="M6944" s="15" t="s">
        <v>8</v>
      </c>
      <c r="N6944" s="15" t="s">
        <v>8</v>
      </c>
      <c r="O6944" s="15" t="s">
        <v>8</v>
      </c>
      <c r="P6944" s="20" t="str">
        <f>HYPERLINK("http://yeinfo.com/family/I09043581.html", "ANN SCOTT &lt;5&gt; 1540 -1588  ID:09043581")</f>
        <v>ANN SCOTT &lt;5&gt; 1540 -1588  ID:09043581</v>
      </c>
      <c r="Q6944" s="17"/>
      <c r="R6944" s="17"/>
      <c r="S6944" s="17"/>
      <c r="T6944" s="17"/>
    </row>
    <row r="6945" spans="3:23" x14ac:dyDescent="0.35">
      <c r="C6945" s="15" t="s">
        <v>8</v>
      </c>
      <c r="F6945" s="15" t="s">
        <v>8</v>
      </c>
      <c r="H6945" s="15" t="s">
        <v>8</v>
      </c>
      <c r="I6945" s="15" t="s">
        <v>8</v>
      </c>
      <c r="J6945" s="15" t="s">
        <v>8</v>
      </c>
      <c r="L6945" s="15" t="s">
        <v>8</v>
      </c>
      <c r="M6945" s="15" t="s">
        <v>8</v>
      </c>
      <c r="N6945" s="15" t="s">
        <v>8</v>
      </c>
      <c r="O6945" s="15" t="s">
        <v>8</v>
      </c>
      <c r="Q6945" s="8" t="s">
        <v>6</v>
      </c>
    </row>
    <row r="6946" spans="3:23" x14ac:dyDescent="0.35">
      <c r="C6946" s="15" t="s">
        <v>8</v>
      </c>
      <c r="F6946" s="15" t="s">
        <v>8</v>
      </c>
      <c r="H6946" s="15" t="s">
        <v>8</v>
      </c>
      <c r="I6946" s="15" t="s">
        <v>8</v>
      </c>
      <c r="J6946" s="15" t="s">
        <v>8</v>
      </c>
      <c r="L6946" s="15" t="s">
        <v>8</v>
      </c>
      <c r="M6946" s="15" t="s">
        <v>8</v>
      </c>
      <c r="N6946" s="15" t="s">
        <v>8</v>
      </c>
      <c r="O6946" s="15" t="s">
        <v>8</v>
      </c>
      <c r="Q6946" s="20" t="str">
        <f>HYPERLINK("http://yeinfo.com/family/I09065540.html", "Mrs. JOANNA SCOTT &lt;5&gt; 1505 EN-1556 EN ID:09065540")</f>
        <v>Mrs. JOANNA SCOTT &lt;5&gt; 1505 EN-1556 EN ID:09065540</v>
      </c>
      <c r="R6946" s="17"/>
      <c r="S6946" s="17"/>
      <c r="T6946" s="17"/>
      <c r="U6946" s="17"/>
    </row>
    <row r="6947" spans="3:23" x14ac:dyDescent="0.35">
      <c r="C6947" s="15" t="s">
        <v>8</v>
      </c>
      <c r="F6947" s="15" t="s">
        <v>8</v>
      </c>
      <c r="H6947" s="15" t="s">
        <v>8</v>
      </c>
      <c r="I6947" s="15" t="s">
        <v>8</v>
      </c>
      <c r="J6947" s="15" t="s">
        <v>8</v>
      </c>
      <c r="L6947" s="15" t="s">
        <v>8</v>
      </c>
      <c r="M6947" s="15" t="s">
        <v>8</v>
      </c>
      <c r="N6947" s="8" t="s">
        <v>6</v>
      </c>
      <c r="O6947" s="15" t="s">
        <v>8</v>
      </c>
    </row>
    <row r="6948" spans="3:23" x14ac:dyDescent="0.35">
      <c r="C6948" s="15" t="s">
        <v>8</v>
      </c>
      <c r="F6948" s="15" t="s">
        <v>8</v>
      </c>
      <c r="H6948" s="15" t="s">
        <v>8</v>
      </c>
      <c r="I6948" s="15" t="s">
        <v>8</v>
      </c>
      <c r="J6948" s="15" t="s">
        <v>8</v>
      </c>
      <c r="L6948" s="15" t="s">
        <v>8</v>
      </c>
      <c r="M6948" s="15" t="s">
        <v>8</v>
      </c>
      <c r="N6948" s="16" t="str">
        <f>HYPERLINK("http://yeinfo.com/family/I09002845.html", "THOMAZINE\ESTHER FROST &lt;4&gt; 1600 -1654  ID:09002845")</f>
        <v>THOMAZINE\ESTHER FROST &lt;4&gt; 1600 -1654  ID:09002845</v>
      </c>
      <c r="O6948" s="11"/>
      <c r="P6948" s="11"/>
      <c r="Q6948" s="11"/>
      <c r="R6948" s="11"/>
      <c r="S6948" s="11"/>
    </row>
    <row r="6949" spans="3:23" x14ac:dyDescent="0.35">
      <c r="C6949" s="15" t="s">
        <v>8</v>
      </c>
      <c r="F6949" s="15" t="s">
        <v>8</v>
      </c>
      <c r="H6949" s="15" t="s">
        <v>8</v>
      </c>
      <c r="I6949" s="15" t="s">
        <v>8</v>
      </c>
      <c r="J6949" s="15" t="s">
        <v>8</v>
      </c>
      <c r="L6949" s="15" t="s">
        <v>8</v>
      </c>
      <c r="M6949" s="15" t="s">
        <v>8</v>
      </c>
      <c r="O6949" s="15" t="s">
        <v>8</v>
      </c>
    </row>
    <row r="6950" spans="3:23" x14ac:dyDescent="0.35">
      <c r="C6950" s="15" t="s">
        <v>8</v>
      </c>
      <c r="F6950" s="15" t="s">
        <v>8</v>
      </c>
      <c r="H6950" s="15" t="s">
        <v>8</v>
      </c>
      <c r="I6950" s="15" t="s">
        <v>8</v>
      </c>
      <c r="J6950" s="15" t="s">
        <v>8</v>
      </c>
      <c r="L6950" s="15" t="s">
        <v>8</v>
      </c>
      <c r="M6950" s="15" t="s">
        <v>8</v>
      </c>
      <c r="O6950" s="15" t="s">
        <v>8</v>
      </c>
      <c r="P6950" s="19" t="str">
        <f>HYPERLINK("http://yeinfo.com/family/I09043582.html", "JOHN BELGRAVE &lt;5&gt; 1535 EN-1591 EN ID:09043582")</f>
        <v>JOHN BELGRAVE &lt;5&gt; 1535 EN-1591 EN ID:09043582</v>
      </c>
      <c r="Q6950" s="9"/>
      <c r="R6950" s="9"/>
      <c r="S6950" s="9"/>
      <c r="T6950" s="9"/>
    </row>
    <row r="6951" spans="3:23" x14ac:dyDescent="0.35">
      <c r="C6951" s="15" t="s">
        <v>8</v>
      </c>
      <c r="F6951" s="15" t="s">
        <v>8</v>
      </c>
      <c r="H6951" s="15" t="s">
        <v>8</v>
      </c>
      <c r="I6951" s="15" t="s">
        <v>8</v>
      </c>
      <c r="J6951" s="15" t="s">
        <v>8</v>
      </c>
      <c r="L6951" s="15" t="s">
        <v>8</v>
      </c>
      <c r="M6951" s="15" t="s">
        <v>8</v>
      </c>
      <c r="O6951" s="8" t="s">
        <v>6</v>
      </c>
      <c r="P6951" s="8" t="s">
        <v>3</v>
      </c>
    </row>
    <row r="6952" spans="3:23" x14ac:dyDescent="0.35">
      <c r="C6952" s="15" t="s">
        <v>8</v>
      </c>
      <c r="F6952" s="15" t="s">
        <v>8</v>
      </c>
      <c r="H6952" s="15" t="s">
        <v>8</v>
      </c>
      <c r="I6952" s="15" t="s">
        <v>8</v>
      </c>
      <c r="J6952" s="15" t="s">
        <v>8</v>
      </c>
      <c r="L6952" s="15" t="s">
        <v>8</v>
      </c>
      <c r="M6952" s="15" t="s">
        <v>8</v>
      </c>
      <c r="O6952" s="16" t="str">
        <f>HYPERLINK("http://yeinfo.com/family/I09021791.html", "THOMASINE BELGRAVE &lt;5&gt; 1562 -1653 EN ID:09021791")</f>
        <v>THOMASINE BELGRAVE &lt;5&gt; 1562 -1653 EN ID:09021791</v>
      </c>
      <c r="P6952" s="11"/>
      <c r="Q6952" s="11"/>
      <c r="R6952" s="11"/>
      <c r="S6952" s="11"/>
    </row>
    <row r="6953" spans="3:23" x14ac:dyDescent="0.35">
      <c r="C6953" s="15" t="s">
        <v>8</v>
      </c>
      <c r="F6953" s="15" t="s">
        <v>8</v>
      </c>
      <c r="H6953" s="15" t="s">
        <v>8</v>
      </c>
      <c r="I6953" s="15" t="s">
        <v>8</v>
      </c>
      <c r="J6953" s="15" t="s">
        <v>8</v>
      </c>
      <c r="L6953" s="15" t="s">
        <v>8</v>
      </c>
      <c r="M6953" s="15" t="s">
        <v>8</v>
      </c>
      <c r="P6953" s="15" t="s">
        <v>8</v>
      </c>
    </row>
    <row r="6954" spans="3:23" x14ac:dyDescent="0.35">
      <c r="C6954" s="15" t="s">
        <v>8</v>
      </c>
      <c r="F6954" s="15" t="s">
        <v>8</v>
      </c>
      <c r="H6954" s="15" t="s">
        <v>8</v>
      </c>
      <c r="I6954" s="15" t="s">
        <v>8</v>
      </c>
      <c r="J6954" s="15" t="s">
        <v>8</v>
      </c>
      <c r="L6954" s="15" t="s">
        <v>8</v>
      </c>
      <c r="M6954" s="15" t="s">
        <v>8</v>
      </c>
      <c r="P6954" s="15" t="s">
        <v>8</v>
      </c>
      <c r="S6954" s="19" t="str">
        <f>HYPERLINK("http://yeinfo.com/family/I09065805.html", "JOHN STRUTT &lt;5&gt; 1450 EN-1516 EN ID:09065805")</f>
        <v>JOHN STRUTT &lt;5&gt; 1450 EN-1516 EN ID:09065805</v>
      </c>
      <c r="T6954" s="9"/>
      <c r="U6954" s="9"/>
      <c r="V6954" s="9"/>
      <c r="W6954" s="9"/>
    </row>
    <row r="6955" spans="3:23" x14ac:dyDescent="0.35">
      <c r="C6955" s="15" t="s">
        <v>8</v>
      </c>
      <c r="F6955" s="15" t="s">
        <v>8</v>
      </c>
      <c r="H6955" s="15" t="s">
        <v>8</v>
      </c>
      <c r="I6955" s="15" t="s">
        <v>8</v>
      </c>
      <c r="J6955" s="15" t="s">
        <v>8</v>
      </c>
      <c r="L6955" s="15" t="s">
        <v>8</v>
      </c>
      <c r="M6955" s="15" t="s">
        <v>8</v>
      </c>
      <c r="P6955" s="15" t="s">
        <v>8</v>
      </c>
      <c r="S6955" s="8" t="s">
        <v>3</v>
      </c>
    </row>
    <row r="6956" spans="3:23" x14ac:dyDescent="0.35">
      <c r="C6956" s="15" t="s">
        <v>8</v>
      </c>
      <c r="F6956" s="15" t="s">
        <v>8</v>
      </c>
      <c r="H6956" s="15" t="s">
        <v>8</v>
      </c>
      <c r="I6956" s="15" t="s">
        <v>8</v>
      </c>
      <c r="J6956" s="15" t="s">
        <v>8</v>
      </c>
      <c r="L6956" s="15" t="s">
        <v>8</v>
      </c>
      <c r="M6956" s="15" t="s">
        <v>8</v>
      </c>
      <c r="P6956" s="15" t="s">
        <v>8</v>
      </c>
      <c r="R6956" s="19" t="str">
        <f>HYPERLINK("http://yeinfo.com/family/I09065679.html", "THOMAS STRUTT &lt;5&gt; 1475 EN-1548 EN ID:09065679")</f>
        <v>THOMAS STRUTT &lt;5&gt; 1475 EN-1548 EN ID:09065679</v>
      </c>
      <c r="S6956" s="9"/>
      <c r="T6956" s="9"/>
      <c r="U6956" s="9"/>
      <c r="V6956" s="9"/>
    </row>
    <row r="6957" spans="3:23" x14ac:dyDescent="0.35">
      <c r="C6957" s="15" t="s">
        <v>8</v>
      </c>
      <c r="F6957" s="15" t="s">
        <v>8</v>
      </c>
      <c r="H6957" s="15" t="s">
        <v>8</v>
      </c>
      <c r="I6957" s="15" t="s">
        <v>8</v>
      </c>
      <c r="J6957" s="15" t="s">
        <v>8</v>
      </c>
      <c r="L6957" s="15" t="s">
        <v>8</v>
      </c>
      <c r="M6957" s="15" t="s">
        <v>8</v>
      </c>
      <c r="P6957" s="15" t="s">
        <v>8</v>
      </c>
      <c r="R6957" s="8" t="s">
        <v>3</v>
      </c>
      <c r="S6957" s="8" t="s">
        <v>6</v>
      </c>
    </row>
    <row r="6958" spans="3:23" x14ac:dyDescent="0.35">
      <c r="C6958" s="15" t="s">
        <v>8</v>
      </c>
      <c r="F6958" s="15" t="s">
        <v>8</v>
      </c>
      <c r="H6958" s="15" t="s">
        <v>8</v>
      </c>
      <c r="I6958" s="15" t="s">
        <v>8</v>
      </c>
      <c r="J6958" s="15" t="s">
        <v>8</v>
      </c>
      <c r="L6958" s="15" t="s">
        <v>8</v>
      </c>
      <c r="M6958" s="15" t="s">
        <v>8</v>
      </c>
      <c r="P6958" s="15" t="s">
        <v>8</v>
      </c>
      <c r="R6958" s="15" t="s">
        <v>8</v>
      </c>
      <c r="S6958" s="20" t="str">
        <f>HYPERLINK("http://yeinfo.com/family/I09065806.html", "ISABELLE ELIZABETH GOLDING &lt;5&gt; 1450 EN-1526 EN ID:09065806")</f>
        <v>ISABELLE ELIZABETH GOLDING &lt;5&gt; 1450 EN-1526 EN ID:09065806</v>
      </c>
      <c r="T6958" s="17"/>
      <c r="U6958" s="17"/>
      <c r="V6958" s="17"/>
      <c r="W6958" s="17"/>
    </row>
    <row r="6959" spans="3:23" x14ac:dyDescent="0.35">
      <c r="C6959" s="15" t="s">
        <v>8</v>
      </c>
      <c r="F6959" s="15" t="s">
        <v>8</v>
      </c>
      <c r="H6959" s="15" t="s">
        <v>8</v>
      </c>
      <c r="I6959" s="15" t="s">
        <v>8</v>
      </c>
      <c r="J6959" s="15" t="s">
        <v>8</v>
      </c>
      <c r="L6959" s="15" t="s">
        <v>8</v>
      </c>
      <c r="M6959" s="15" t="s">
        <v>8</v>
      </c>
      <c r="P6959" s="15" t="s">
        <v>8</v>
      </c>
      <c r="R6959" s="15" t="s">
        <v>8</v>
      </c>
    </row>
    <row r="6960" spans="3:23" x14ac:dyDescent="0.35">
      <c r="C6960" s="15" t="s">
        <v>8</v>
      </c>
      <c r="F6960" s="15" t="s">
        <v>8</v>
      </c>
      <c r="H6960" s="15" t="s">
        <v>8</v>
      </c>
      <c r="I6960" s="15" t="s">
        <v>8</v>
      </c>
      <c r="J6960" s="15" t="s">
        <v>8</v>
      </c>
      <c r="L6960" s="15" t="s">
        <v>8</v>
      </c>
      <c r="M6960" s="15" t="s">
        <v>8</v>
      </c>
      <c r="P6960" s="15" t="s">
        <v>8</v>
      </c>
      <c r="Q6960" s="19" t="str">
        <f>HYPERLINK("http://yeinfo.com/family/I09065541.html", "JOHN STRUTT &lt;5&gt; 1502 EN-1591 EN ID:09065541")</f>
        <v>JOHN STRUTT &lt;5&gt; 1502 EN-1591 EN ID:09065541</v>
      </c>
      <c r="R6960" s="9"/>
      <c r="S6960" s="9"/>
      <c r="T6960" s="9"/>
      <c r="U6960" s="9"/>
    </row>
    <row r="6961" spans="3:22" x14ac:dyDescent="0.35">
      <c r="C6961" s="15" t="s">
        <v>8</v>
      </c>
      <c r="F6961" s="15" t="s">
        <v>8</v>
      </c>
      <c r="H6961" s="15" t="s">
        <v>8</v>
      </c>
      <c r="I6961" s="15" t="s">
        <v>8</v>
      </c>
      <c r="J6961" s="15" t="s">
        <v>8</v>
      </c>
      <c r="L6961" s="15" t="s">
        <v>8</v>
      </c>
      <c r="M6961" s="15" t="s">
        <v>8</v>
      </c>
      <c r="P6961" s="15" t="s">
        <v>8</v>
      </c>
      <c r="Q6961" s="8" t="s">
        <v>3</v>
      </c>
      <c r="R6961" s="8" t="s">
        <v>6</v>
      </c>
    </row>
    <row r="6962" spans="3:22" x14ac:dyDescent="0.35">
      <c r="C6962" s="15" t="s">
        <v>8</v>
      </c>
      <c r="F6962" s="15" t="s">
        <v>8</v>
      </c>
      <c r="H6962" s="15" t="s">
        <v>8</v>
      </c>
      <c r="I6962" s="15" t="s">
        <v>8</v>
      </c>
      <c r="J6962" s="15" t="s">
        <v>8</v>
      </c>
      <c r="L6962" s="15" t="s">
        <v>8</v>
      </c>
      <c r="M6962" s="15" t="s">
        <v>8</v>
      </c>
      <c r="P6962" s="15" t="s">
        <v>8</v>
      </c>
      <c r="Q6962" s="15" t="s">
        <v>8</v>
      </c>
      <c r="R6962" s="20" t="str">
        <f>HYPERLINK("http://yeinfo.com/family/I09065680.html", "Mrs. JOHANE STRUTT &lt;5&gt; 1480 EN-1510 EN ID:09065680")</f>
        <v>Mrs. JOHANE STRUTT &lt;5&gt; 1480 EN-1510 EN ID:09065680</v>
      </c>
      <c r="S6962" s="17"/>
      <c r="T6962" s="17"/>
      <c r="U6962" s="17"/>
      <c r="V6962" s="17"/>
    </row>
    <row r="6963" spans="3:22" x14ac:dyDescent="0.35">
      <c r="C6963" s="15" t="s">
        <v>8</v>
      </c>
      <c r="F6963" s="15" t="s">
        <v>8</v>
      </c>
      <c r="H6963" s="15" t="s">
        <v>8</v>
      </c>
      <c r="I6963" s="15" t="s">
        <v>8</v>
      </c>
      <c r="J6963" s="15" t="s">
        <v>8</v>
      </c>
      <c r="L6963" s="15" t="s">
        <v>8</v>
      </c>
      <c r="M6963" s="15" t="s">
        <v>8</v>
      </c>
      <c r="P6963" s="8" t="s">
        <v>6</v>
      </c>
      <c r="Q6963" s="15" t="s">
        <v>8</v>
      </c>
    </row>
    <row r="6964" spans="3:22" x14ac:dyDescent="0.35">
      <c r="C6964" s="15" t="s">
        <v>8</v>
      </c>
      <c r="F6964" s="15" t="s">
        <v>8</v>
      </c>
      <c r="H6964" s="15" t="s">
        <v>8</v>
      </c>
      <c r="I6964" s="15" t="s">
        <v>8</v>
      </c>
      <c r="J6964" s="15" t="s">
        <v>8</v>
      </c>
      <c r="L6964" s="15" t="s">
        <v>8</v>
      </c>
      <c r="M6964" s="15" t="s">
        <v>8</v>
      </c>
      <c r="P6964" s="20" t="str">
        <f>HYPERLINK("http://yeinfo.com/family/I09043583.html", "JOANNA STRUTT &lt;5&gt; 1538 EN-1577 EN ID:09043583")</f>
        <v>JOANNA STRUTT &lt;5&gt; 1538 EN-1577 EN ID:09043583</v>
      </c>
      <c r="Q6964" s="17"/>
      <c r="R6964" s="17"/>
      <c r="S6964" s="17"/>
      <c r="T6964" s="17"/>
    </row>
    <row r="6965" spans="3:22" x14ac:dyDescent="0.35">
      <c r="C6965" s="15" t="s">
        <v>8</v>
      </c>
      <c r="F6965" s="15" t="s">
        <v>8</v>
      </c>
      <c r="H6965" s="15" t="s">
        <v>8</v>
      </c>
      <c r="I6965" s="15" t="s">
        <v>8</v>
      </c>
      <c r="J6965" s="15" t="s">
        <v>8</v>
      </c>
      <c r="L6965" s="15" t="s">
        <v>8</v>
      </c>
      <c r="M6965" s="15" t="s">
        <v>8</v>
      </c>
      <c r="Q6965" s="8" t="s">
        <v>6</v>
      </c>
    </row>
    <row r="6966" spans="3:22" x14ac:dyDescent="0.35">
      <c r="C6966" s="15" t="s">
        <v>8</v>
      </c>
      <c r="F6966" s="15" t="s">
        <v>8</v>
      </c>
      <c r="H6966" s="15" t="s">
        <v>8</v>
      </c>
      <c r="I6966" s="15" t="s">
        <v>8</v>
      </c>
      <c r="J6966" s="15" t="s">
        <v>8</v>
      </c>
      <c r="L6966" s="15" t="s">
        <v>8</v>
      </c>
      <c r="M6966" s="15" t="s">
        <v>8</v>
      </c>
      <c r="Q6966" s="20" t="str">
        <f>HYPERLINK("http://yeinfo.com/family/I09065542.html", "CATHERINE\JOHANNA SCOTT &lt;5&gt; 1510 EN-1578 EN ID:09065542")</f>
        <v>CATHERINE\JOHANNA SCOTT &lt;5&gt; 1510 EN-1578 EN ID:09065542</v>
      </c>
      <c r="R6966" s="17"/>
      <c r="S6966" s="17"/>
      <c r="T6966" s="17"/>
      <c r="U6966" s="17"/>
      <c r="V6966" s="17"/>
    </row>
    <row r="6967" spans="3:22" x14ac:dyDescent="0.35">
      <c r="C6967" s="15" t="s">
        <v>8</v>
      </c>
      <c r="F6967" s="15" t="s">
        <v>8</v>
      </c>
      <c r="H6967" s="15" t="s">
        <v>8</v>
      </c>
      <c r="I6967" s="15" t="s">
        <v>8</v>
      </c>
      <c r="J6967" s="15" t="s">
        <v>8</v>
      </c>
      <c r="L6967" s="8" t="s">
        <v>6</v>
      </c>
      <c r="M6967" s="15" t="s">
        <v>8</v>
      </c>
    </row>
    <row r="6968" spans="3:22" x14ac:dyDescent="0.35">
      <c r="C6968" s="15" t="s">
        <v>8</v>
      </c>
      <c r="F6968" s="15" t="s">
        <v>8</v>
      </c>
      <c r="H6968" s="15" t="s">
        <v>8</v>
      </c>
      <c r="I6968" s="15" t="s">
        <v>8</v>
      </c>
      <c r="J6968" s="15" t="s">
        <v>8</v>
      </c>
      <c r="L6968" s="16" t="str">
        <f>HYPERLINK("http://yeinfo.com/family/I09011863.html", "MARY\MERCY RICE &lt;2&gt; 1670 MA-1727 MA ID:09001483")</f>
        <v>MARY\MERCY RICE &lt;2&gt; 1670 MA-1727 MA ID:09001483</v>
      </c>
      <c r="M6968" s="11"/>
      <c r="N6968" s="11"/>
      <c r="O6968" s="11"/>
      <c r="P6968" s="11"/>
      <c r="Q6968" s="11"/>
    </row>
    <row r="6969" spans="3:22" x14ac:dyDescent="0.35">
      <c r="C6969" s="15" t="s">
        <v>8</v>
      </c>
      <c r="F6969" s="15" t="s">
        <v>8</v>
      </c>
      <c r="H6969" s="15" t="s">
        <v>8</v>
      </c>
      <c r="I6969" s="15" t="s">
        <v>8</v>
      </c>
      <c r="J6969" s="15" t="s">
        <v>8</v>
      </c>
      <c r="M6969" s="15" t="s">
        <v>8</v>
      </c>
    </row>
    <row r="6970" spans="3:22" x14ac:dyDescent="0.35">
      <c r="C6970" s="15" t="s">
        <v>8</v>
      </c>
      <c r="F6970" s="15" t="s">
        <v>8</v>
      </c>
      <c r="H6970" s="15" t="s">
        <v>8</v>
      </c>
      <c r="I6970" s="15" t="s">
        <v>8</v>
      </c>
      <c r="J6970" s="15" t="s">
        <v>8</v>
      </c>
      <c r="M6970" s="15" t="s">
        <v>8</v>
      </c>
      <c r="N6970" s="21" t="str">
        <f>HYPERLINK("http://yeinfo.com/family/I09005446.html", "JOHN MOORE &lt;5&gt; 1598 EN-1674 MA ID:09005446")</f>
        <v>JOHN MOORE &lt;5&gt; 1598 EN-1674 MA ID:09005446</v>
      </c>
      <c r="O6970" s="6"/>
      <c r="P6970" s="6"/>
      <c r="Q6970" s="6"/>
      <c r="R6970" s="6"/>
    </row>
    <row r="6971" spans="3:22" x14ac:dyDescent="0.35">
      <c r="C6971" s="15" t="s">
        <v>8</v>
      </c>
      <c r="F6971" s="15" t="s">
        <v>8</v>
      </c>
      <c r="H6971" s="15" t="s">
        <v>8</v>
      </c>
      <c r="I6971" s="15" t="s">
        <v>8</v>
      </c>
      <c r="J6971" s="15" t="s">
        <v>8</v>
      </c>
      <c r="M6971" s="8" t="s">
        <v>6</v>
      </c>
      <c r="N6971" s="8" t="s">
        <v>3</v>
      </c>
    </row>
    <row r="6972" spans="3:22" x14ac:dyDescent="0.35">
      <c r="C6972" s="15" t="s">
        <v>8</v>
      </c>
      <c r="F6972" s="15" t="s">
        <v>8</v>
      </c>
      <c r="H6972" s="15" t="s">
        <v>8</v>
      </c>
      <c r="I6972" s="15" t="s">
        <v>8</v>
      </c>
      <c r="J6972" s="15" t="s">
        <v>8</v>
      </c>
      <c r="M6972" s="16" t="str">
        <f>HYPERLINK("http://yeinfo.com/family/I09002966.html", "ELIZABETH\HANNAH MOORE &lt;2&gt; 1626 -1705  ID:09002967")</f>
        <v>ELIZABETH\HANNAH MOORE &lt;2&gt; 1626 -1705  ID:09002967</v>
      </c>
      <c r="N6972" s="11"/>
      <c r="O6972" s="11"/>
      <c r="P6972" s="11"/>
      <c r="Q6972" s="11"/>
      <c r="R6972" s="11"/>
    </row>
    <row r="6973" spans="3:22" x14ac:dyDescent="0.35">
      <c r="C6973" s="15" t="s">
        <v>8</v>
      </c>
      <c r="F6973" s="15" t="s">
        <v>8</v>
      </c>
      <c r="H6973" s="15" t="s">
        <v>8</v>
      </c>
      <c r="I6973" s="15" t="s">
        <v>8</v>
      </c>
      <c r="J6973" s="15" t="s">
        <v>8</v>
      </c>
      <c r="N6973" s="8" t="s">
        <v>6</v>
      </c>
    </row>
    <row r="6974" spans="3:22" x14ac:dyDescent="0.35">
      <c r="C6974" s="15" t="s">
        <v>8</v>
      </c>
      <c r="F6974" s="15" t="s">
        <v>8</v>
      </c>
      <c r="H6974" s="15" t="s">
        <v>8</v>
      </c>
      <c r="I6974" s="15" t="s">
        <v>8</v>
      </c>
      <c r="J6974" s="15" t="s">
        <v>8</v>
      </c>
      <c r="N6974" s="20" t="str">
        <f>HYPERLINK("http://yeinfo.com/family/I09002817.html", "Mrs. ELIZABETH MOORE &lt;4&gt; 1600 EN-1633 EN ID:09002817")</f>
        <v>Mrs. ELIZABETH MOORE &lt;4&gt; 1600 EN-1633 EN ID:09002817</v>
      </c>
      <c r="O6974" s="17"/>
      <c r="P6974" s="17"/>
      <c r="Q6974" s="17"/>
      <c r="R6974" s="17"/>
    </row>
    <row r="6975" spans="3:22" x14ac:dyDescent="0.35">
      <c r="C6975" s="15" t="s">
        <v>8</v>
      </c>
      <c r="F6975" s="15" t="s">
        <v>8</v>
      </c>
      <c r="H6975" s="15" t="s">
        <v>8</v>
      </c>
      <c r="I6975" s="8" t="s">
        <v>6</v>
      </c>
      <c r="J6975" s="15" t="s">
        <v>8</v>
      </c>
    </row>
    <row r="6976" spans="3:22" x14ac:dyDescent="0.35">
      <c r="C6976" s="15" t="s">
        <v>8</v>
      </c>
      <c r="F6976" s="15" t="s">
        <v>8</v>
      </c>
      <c r="H6976" s="15" t="s">
        <v>8</v>
      </c>
      <c r="I6976" s="16" t="str">
        <f>HYPERLINK("http://yeinfo.com/family/I09000369.html", "MOLLY\MARY PRATT 1761 MA-1831 VT ID:09000185")</f>
        <v>MOLLY\MARY PRATT 1761 MA-1831 VT ID:09000185</v>
      </c>
      <c r="J6976" s="11"/>
      <c r="K6976" s="11"/>
      <c r="L6976" s="11"/>
      <c r="M6976" s="11"/>
      <c r="N6976" s="11"/>
    </row>
    <row r="6977" spans="3:19" x14ac:dyDescent="0.35">
      <c r="C6977" s="15" t="s">
        <v>8</v>
      </c>
      <c r="F6977" s="15" t="s">
        <v>8</v>
      </c>
      <c r="H6977" s="15" t="s">
        <v>8</v>
      </c>
      <c r="J6977" s="15" t="s">
        <v>8</v>
      </c>
    </row>
    <row r="6978" spans="3:19" x14ac:dyDescent="0.35">
      <c r="C6978" s="15" t="s">
        <v>8</v>
      </c>
      <c r="F6978" s="15" t="s">
        <v>8</v>
      </c>
      <c r="H6978" s="15" t="s">
        <v>8</v>
      </c>
      <c r="J6978" s="15" t="s">
        <v>8</v>
      </c>
      <c r="O6978" s="19" t="str">
        <f>HYPERLINK("http://yeinfo.com/family/I09005936.html", "ISAAC MIXER 1572 EN-1642 EN ID:09011872")</f>
        <v>ISAAC MIXER 1572 EN-1642 EN ID:09011872</v>
      </c>
      <c r="P6978" s="9"/>
      <c r="Q6978" s="9"/>
      <c r="R6978" s="9"/>
      <c r="S6978" s="9"/>
    </row>
    <row r="6979" spans="3:19" x14ac:dyDescent="0.35">
      <c r="C6979" s="15" t="s">
        <v>8</v>
      </c>
      <c r="F6979" s="15" t="s">
        <v>8</v>
      </c>
      <c r="H6979" s="15" t="s">
        <v>8</v>
      </c>
      <c r="J6979" s="15" t="s">
        <v>8</v>
      </c>
      <c r="O6979" s="8" t="s">
        <v>3</v>
      </c>
    </row>
    <row r="6980" spans="3:19" x14ac:dyDescent="0.35">
      <c r="C6980" s="15" t="s">
        <v>8</v>
      </c>
      <c r="F6980" s="15" t="s">
        <v>8</v>
      </c>
      <c r="H6980" s="15" t="s">
        <v>8</v>
      </c>
      <c r="J6980" s="15" t="s">
        <v>8</v>
      </c>
      <c r="N6980" s="5" t="str">
        <f>HYPERLINK("http://yeinfo.com/family/I09002968.html", "ISAAC\JOHN MIXER 1603 -1655 EN ID:09005936")</f>
        <v>ISAAC\JOHN MIXER 1603 -1655 EN ID:09005936</v>
      </c>
      <c r="O6980" s="3"/>
      <c r="P6980" s="3"/>
      <c r="Q6980" s="3"/>
      <c r="R6980" s="3"/>
      <c r="S6980" s="3"/>
    </row>
    <row r="6981" spans="3:19" x14ac:dyDescent="0.35">
      <c r="C6981" s="15" t="s">
        <v>8</v>
      </c>
      <c r="F6981" s="15" t="s">
        <v>8</v>
      </c>
      <c r="H6981" s="15" t="s">
        <v>8</v>
      </c>
      <c r="J6981" s="15" t="s">
        <v>8</v>
      </c>
      <c r="N6981" s="8" t="s">
        <v>3</v>
      </c>
      <c r="O6981" s="8" t="s">
        <v>6</v>
      </c>
    </row>
    <row r="6982" spans="3:19" x14ac:dyDescent="0.35">
      <c r="C6982" s="15" t="s">
        <v>8</v>
      </c>
      <c r="F6982" s="15" t="s">
        <v>8</v>
      </c>
      <c r="H6982" s="15" t="s">
        <v>8</v>
      </c>
      <c r="J6982" s="15" t="s">
        <v>8</v>
      </c>
      <c r="N6982" s="15" t="s">
        <v>8</v>
      </c>
      <c r="O6982" s="20" t="str">
        <f>HYPERLINK("http://yeinfo.com/family/I09011872.html", "Mrs. FRANCES MIXER 1572 EN-1621 EN ID:09011873")</f>
        <v>Mrs. FRANCES MIXER 1572 EN-1621 EN ID:09011873</v>
      </c>
      <c r="P6982" s="17"/>
      <c r="Q6982" s="17"/>
      <c r="R6982" s="17"/>
      <c r="S6982" s="17"/>
    </row>
    <row r="6983" spans="3:19" x14ac:dyDescent="0.35">
      <c r="C6983" s="15" t="s">
        <v>8</v>
      </c>
      <c r="F6983" s="15" t="s">
        <v>8</v>
      </c>
      <c r="H6983" s="15" t="s">
        <v>8</v>
      </c>
      <c r="J6983" s="15" t="s">
        <v>8</v>
      </c>
      <c r="N6983" s="15" t="s">
        <v>8</v>
      </c>
    </row>
    <row r="6984" spans="3:19" x14ac:dyDescent="0.35">
      <c r="C6984" s="15" t="s">
        <v>8</v>
      </c>
      <c r="F6984" s="15" t="s">
        <v>8</v>
      </c>
      <c r="H6984" s="15" t="s">
        <v>8</v>
      </c>
      <c r="J6984" s="15" t="s">
        <v>8</v>
      </c>
      <c r="M6984" s="5" t="str">
        <f>HYPERLINK("http://yeinfo.com/family/I09001484.html", "ISAAC\THOMAS\JOHN MIXER 1630 EN-1716  ID:09002968")</f>
        <v>ISAAC\THOMAS\JOHN MIXER 1630 EN-1716  ID:09002968</v>
      </c>
      <c r="N6984" s="3"/>
      <c r="O6984" s="3"/>
      <c r="P6984" s="3"/>
      <c r="Q6984" s="3"/>
      <c r="R6984" s="3"/>
    </row>
    <row r="6985" spans="3:19" x14ac:dyDescent="0.35">
      <c r="C6985" s="15" t="s">
        <v>8</v>
      </c>
      <c r="F6985" s="15" t="s">
        <v>8</v>
      </c>
      <c r="H6985" s="15" t="s">
        <v>8</v>
      </c>
      <c r="J6985" s="15" t="s">
        <v>8</v>
      </c>
      <c r="M6985" s="8" t="s">
        <v>3</v>
      </c>
      <c r="N6985" s="15" t="s">
        <v>8</v>
      </c>
    </row>
    <row r="6986" spans="3:19" x14ac:dyDescent="0.35">
      <c r="C6986" s="15" t="s">
        <v>8</v>
      </c>
      <c r="F6986" s="15" t="s">
        <v>8</v>
      </c>
      <c r="H6986" s="15" t="s">
        <v>8</v>
      </c>
      <c r="J6986" s="15" t="s">
        <v>8</v>
      </c>
      <c r="M6986" s="15" t="s">
        <v>8</v>
      </c>
      <c r="N6986" s="15" t="s">
        <v>8</v>
      </c>
      <c r="O6986" s="19" t="str">
        <f>HYPERLINK("http://yeinfo.com/family/I09005937.html", "WILLIAM THURSTON 1565 EN-1600 EN ID:09011874")</f>
        <v>WILLIAM THURSTON 1565 EN-1600 EN ID:09011874</v>
      </c>
      <c r="P6986" s="9"/>
      <c r="Q6986" s="9"/>
      <c r="R6986" s="9"/>
      <c r="S6986" s="9"/>
    </row>
    <row r="6987" spans="3:19" x14ac:dyDescent="0.35">
      <c r="C6987" s="15" t="s">
        <v>8</v>
      </c>
      <c r="F6987" s="15" t="s">
        <v>8</v>
      </c>
      <c r="H6987" s="15" t="s">
        <v>8</v>
      </c>
      <c r="J6987" s="15" t="s">
        <v>8</v>
      </c>
      <c r="M6987" s="15" t="s">
        <v>8</v>
      </c>
      <c r="N6987" s="8" t="s">
        <v>6</v>
      </c>
      <c r="O6987" s="8" t="s">
        <v>3</v>
      </c>
    </row>
    <row r="6988" spans="3:19" x14ac:dyDescent="0.35">
      <c r="C6988" s="15" t="s">
        <v>8</v>
      </c>
      <c r="F6988" s="15" t="s">
        <v>8</v>
      </c>
      <c r="H6988" s="15" t="s">
        <v>8</v>
      </c>
      <c r="J6988" s="15" t="s">
        <v>8</v>
      </c>
      <c r="M6988" s="15" t="s">
        <v>8</v>
      </c>
      <c r="N6988" s="16" t="str">
        <f>HYPERLINK("http://yeinfo.com/family/I09011873.html", "SARAH THURSTON 1600 EN-1681  ID:09005937")</f>
        <v>SARAH THURSTON 1600 EN-1681  ID:09005937</v>
      </c>
      <c r="O6988" s="11"/>
      <c r="P6988" s="11"/>
      <c r="Q6988" s="11"/>
      <c r="R6988" s="11"/>
    </row>
    <row r="6989" spans="3:19" x14ac:dyDescent="0.35">
      <c r="C6989" s="15" t="s">
        <v>8</v>
      </c>
      <c r="F6989" s="15" t="s">
        <v>8</v>
      </c>
      <c r="H6989" s="15" t="s">
        <v>8</v>
      </c>
      <c r="J6989" s="15" t="s">
        <v>8</v>
      </c>
      <c r="M6989" s="15" t="s">
        <v>8</v>
      </c>
      <c r="O6989" s="8" t="s">
        <v>6</v>
      </c>
    </row>
    <row r="6990" spans="3:19" x14ac:dyDescent="0.35">
      <c r="C6990" s="15" t="s">
        <v>8</v>
      </c>
      <c r="F6990" s="15" t="s">
        <v>8</v>
      </c>
      <c r="H6990" s="15" t="s">
        <v>8</v>
      </c>
      <c r="J6990" s="15" t="s">
        <v>8</v>
      </c>
      <c r="M6990" s="15" t="s">
        <v>8</v>
      </c>
      <c r="O6990" s="20" t="str">
        <f>HYPERLINK("http://yeinfo.com/family/I09011874.html", "ANN HASEL 1569 EN-1600 EN ID:09011875")</f>
        <v>ANN HASEL 1569 EN-1600 EN ID:09011875</v>
      </c>
      <c r="P6990" s="17"/>
      <c r="Q6990" s="17"/>
      <c r="R6990" s="17"/>
      <c r="S6990" s="17"/>
    </row>
    <row r="6991" spans="3:19" x14ac:dyDescent="0.35">
      <c r="C6991" s="15" t="s">
        <v>8</v>
      </c>
      <c r="F6991" s="15" t="s">
        <v>8</v>
      </c>
      <c r="H6991" s="15" t="s">
        <v>8</v>
      </c>
      <c r="J6991" s="15" t="s">
        <v>8</v>
      </c>
      <c r="M6991" s="15" t="s">
        <v>8</v>
      </c>
    </row>
    <row r="6992" spans="3:19" x14ac:dyDescent="0.35">
      <c r="C6992" s="15" t="s">
        <v>8</v>
      </c>
      <c r="F6992" s="15" t="s">
        <v>8</v>
      </c>
      <c r="H6992" s="15" t="s">
        <v>8</v>
      </c>
      <c r="J6992" s="15" t="s">
        <v>8</v>
      </c>
      <c r="L6992" s="5" t="str">
        <f>HYPERLINK("http://yeinfo.com/family/I09000742.html", "JOSEPH MIXER 1674 MA-1723 MA ID:09001484")</f>
        <v>JOSEPH MIXER 1674 MA-1723 MA ID:09001484</v>
      </c>
      <c r="M6992" s="3"/>
      <c r="N6992" s="3"/>
      <c r="O6992" s="3"/>
      <c r="P6992" s="3"/>
    </row>
    <row r="6993" spans="3:21" x14ac:dyDescent="0.35">
      <c r="C6993" s="15" t="s">
        <v>8</v>
      </c>
      <c r="F6993" s="15" t="s">
        <v>8</v>
      </c>
      <c r="H6993" s="15" t="s">
        <v>8</v>
      </c>
      <c r="J6993" s="15" t="s">
        <v>8</v>
      </c>
      <c r="L6993" s="8" t="s">
        <v>3</v>
      </c>
      <c r="M6993" s="15" t="s">
        <v>8</v>
      </c>
    </row>
    <row r="6994" spans="3:21" x14ac:dyDescent="0.35">
      <c r="C6994" s="15" t="s">
        <v>8</v>
      </c>
      <c r="F6994" s="15" t="s">
        <v>8</v>
      </c>
      <c r="H6994" s="15" t="s">
        <v>8</v>
      </c>
      <c r="J6994" s="15" t="s">
        <v>8</v>
      </c>
      <c r="L6994" s="15" t="s">
        <v>8</v>
      </c>
      <c r="M6994" s="15" t="s">
        <v>8</v>
      </c>
      <c r="O6994" s="21" t="str">
        <f>HYPERLINK("http://yeinfo.com/family/I09011496.html", "EDWARD GARFIELD &lt;4&gt; 1575 EN-1672 MA ID:09011496")</f>
        <v>EDWARD GARFIELD &lt;4&gt; 1575 EN-1672 MA ID:09011496</v>
      </c>
      <c r="P6994" s="6"/>
      <c r="Q6994" s="6"/>
      <c r="R6994" s="6"/>
      <c r="S6994" s="6"/>
    </row>
    <row r="6995" spans="3:21" x14ac:dyDescent="0.35">
      <c r="C6995" s="15" t="s">
        <v>8</v>
      </c>
      <c r="F6995" s="15" t="s">
        <v>8</v>
      </c>
      <c r="H6995" s="15" t="s">
        <v>8</v>
      </c>
      <c r="J6995" s="15" t="s">
        <v>8</v>
      </c>
      <c r="L6995" s="15" t="s">
        <v>8</v>
      </c>
      <c r="M6995" s="15" t="s">
        <v>8</v>
      </c>
      <c r="O6995" s="8" t="s">
        <v>3</v>
      </c>
    </row>
    <row r="6996" spans="3:21" x14ac:dyDescent="0.35">
      <c r="C6996" s="15" t="s">
        <v>8</v>
      </c>
      <c r="F6996" s="15" t="s">
        <v>8</v>
      </c>
      <c r="H6996" s="15" t="s">
        <v>8</v>
      </c>
      <c r="J6996" s="15" t="s">
        <v>8</v>
      </c>
      <c r="L6996" s="15" t="s">
        <v>8</v>
      </c>
      <c r="M6996" s="15" t="s">
        <v>8</v>
      </c>
      <c r="N6996" s="5" t="str">
        <f>HYPERLINK("http://yeinfo.com/family/I09005748.html", "EDWARD GARFIELD &lt;4&gt; 1605 EN-1672  ID:09005748")</f>
        <v>EDWARD GARFIELD &lt;4&gt; 1605 EN-1672  ID:09005748</v>
      </c>
      <c r="O6996" s="3"/>
      <c r="P6996" s="3"/>
      <c r="Q6996" s="3"/>
      <c r="R6996" s="3"/>
    </row>
    <row r="6997" spans="3:21" x14ac:dyDescent="0.35">
      <c r="C6997" s="15" t="s">
        <v>8</v>
      </c>
      <c r="F6997" s="15" t="s">
        <v>8</v>
      </c>
      <c r="H6997" s="15" t="s">
        <v>8</v>
      </c>
      <c r="J6997" s="15" t="s">
        <v>8</v>
      </c>
      <c r="L6997" s="15" t="s">
        <v>8</v>
      </c>
      <c r="M6997" s="15" t="s">
        <v>8</v>
      </c>
      <c r="N6997" s="8" t="s">
        <v>3</v>
      </c>
      <c r="O6997" s="8" t="s">
        <v>6</v>
      </c>
    </row>
    <row r="6998" spans="3:21" x14ac:dyDescent="0.35">
      <c r="C6998" s="15" t="s">
        <v>8</v>
      </c>
      <c r="F6998" s="15" t="s">
        <v>8</v>
      </c>
      <c r="H6998" s="15" t="s">
        <v>8</v>
      </c>
      <c r="J6998" s="15" t="s">
        <v>8</v>
      </c>
      <c r="L6998" s="15" t="s">
        <v>8</v>
      </c>
      <c r="M6998" s="15" t="s">
        <v>8</v>
      </c>
      <c r="N6998" s="15" t="s">
        <v>8</v>
      </c>
      <c r="O6998" s="16" t="str">
        <f>HYPERLINK("http://yeinfo.com/family/I09011497.html", "Mrs. AGNES\SARAH GARFIELD &lt;4&gt; 1575 EN-1605  ID:09011497")</f>
        <v>Mrs. AGNES\SARAH GARFIELD &lt;4&gt; 1575 EN-1605  ID:09011497</v>
      </c>
      <c r="P6998" s="11"/>
      <c r="Q6998" s="11"/>
      <c r="R6998" s="11"/>
      <c r="S6998" s="11"/>
      <c r="T6998" s="11"/>
      <c r="U6998" s="11"/>
    </row>
    <row r="6999" spans="3:21" x14ac:dyDescent="0.35">
      <c r="C6999" s="15" t="s">
        <v>8</v>
      </c>
      <c r="F6999" s="15" t="s">
        <v>8</v>
      </c>
      <c r="H6999" s="15" t="s">
        <v>8</v>
      </c>
      <c r="J6999" s="15" t="s">
        <v>8</v>
      </c>
      <c r="L6999" s="15" t="s">
        <v>8</v>
      </c>
      <c r="M6999" s="8" t="s">
        <v>6</v>
      </c>
      <c r="N6999" s="15" t="s">
        <v>8</v>
      </c>
    </row>
    <row r="7000" spans="3:21" x14ac:dyDescent="0.35">
      <c r="C7000" s="15" t="s">
        <v>8</v>
      </c>
      <c r="F7000" s="15" t="s">
        <v>8</v>
      </c>
      <c r="H7000" s="15" t="s">
        <v>8</v>
      </c>
      <c r="J7000" s="15" t="s">
        <v>8</v>
      </c>
      <c r="L7000" s="15" t="s">
        <v>8</v>
      </c>
      <c r="M7000" s="16" t="str">
        <f>HYPERLINK("http://yeinfo.com/family/I09011875.html", "REBECCA GARFIELD 1641 MA-1684 MA ID:09002969")</f>
        <v>REBECCA GARFIELD 1641 MA-1684 MA ID:09002969</v>
      </c>
      <c r="N7000" s="11"/>
      <c r="O7000" s="11"/>
      <c r="P7000" s="11"/>
      <c r="Q7000" s="11"/>
    </row>
    <row r="7001" spans="3:21" x14ac:dyDescent="0.35">
      <c r="C7001" s="15" t="s">
        <v>8</v>
      </c>
      <c r="F7001" s="15" t="s">
        <v>8</v>
      </c>
      <c r="H7001" s="15" t="s">
        <v>8</v>
      </c>
      <c r="J7001" s="15" t="s">
        <v>8</v>
      </c>
      <c r="L7001" s="15" t="s">
        <v>8</v>
      </c>
      <c r="N7001" s="15" t="s">
        <v>8</v>
      </c>
    </row>
    <row r="7002" spans="3:21" x14ac:dyDescent="0.35">
      <c r="C7002" s="15" t="s">
        <v>8</v>
      </c>
      <c r="F7002" s="15" t="s">
        <v>8</v>
      </c>
      <c r="H7002" s="15" t="s">
        <v>8</v>
      </c>
      <c r="J7002" s="15" t="s">
        <v>8</v>
      </c>
      <c r="L7002" s="15" t="s">
        <v>8</v>
      </c>
      <c r="N7002" s="15" t="s">
        <v>8</v>
      </c>
      <c r="O7002" s="21" t="str">
        <f>HYPERLINK("http://yeinfo.com/family/I09011498.html", "EDWARD JOHNSON &lt;4&gt; 1580 EN-1672 MA ID:09011498")</f>
        <v>EDWARD JOHNSON &lt;4&gt; 1580 EN-1672 MA ID:09011498</v>
      </c>
      <c r="P7002" s="6"/>
      <c r="Q7002" s="6"/>
      <c r="R7002" s="6"/>
      <c r="S7002" s="6"/>
    </row>
    <row r="7003" spans="3:21" x14ac:dyDescent="0.35">
      <c r="C7003" s="15" t="s">
        <v>8</v>
      </c>
      <c r="F7003" s="15" t="s">
        <v>8</v>
      </c>
      <c r="H7003" s="15" t="s">
        <v>8</v>
      </c>
      <c r="J7003" s="15" t="s">
        <v>8</v>
      </c>
      <c r="L7003" s="15" t="s">
        <v>8</v>
      </c>
      <c r="N7003" s="8" t="s">
        <v>6</v>
      </c>
      <c r="O7003" s="8" t="s">
        <v>3</v>
      </c>
    </row>
    <row r="7004" spans="3:21" x14ac:dyDescent="0.35">
      <c r="C7004" s="15" t="s">
        <v>8</v>
      </c>
      <c r="F7004" s="15" t="s">
        <v>8</v>
      </c>
      <c r="H7004" s="15" t="s">
        <v>8</v>
      </c>
      <c r="J7004" s="15" t="s">
        <v>8</v>
      </c>
      <c r="L7004" s="15" t="s">
        <v>8</v>
      </c>
      <c r="N7004" s="22" t="str">
        <f>HYPERLINK("http://yeinfo.com/family/I09005749.html", "REBECCA JOHNSON &lt;4&gt; 1609 EN-1661 MA ID:09005749")</f>
        <v>REBECCA JOHNSON &lt;4&gt; 1609 EN-1661 MA ID:09005749</v>
      </c>
      <c r="O7004" s="13"/>
      <c r="P7004" s="13"/>
      <c r="Q7004" s="13"/>
      <c r="R7004" s="13"/>
    </row>
    <row r="7005" spans="3:21" x14ac:dyDescent="0.35">
      <c r="C7005" s="15" t="s">
        <v>8</v>
      </c>
      <c r="F7005" s="15" t="s">
        <v>8</v>
      </c>
      <c r="H7005" s="15" t="s">
        <v>8</v>
      </c>
      <c r="J7005" s="15" t="s">
        <v>8</v>
      </c>
      <c r="L7005" s="15" t="s">
        <v>8</v>
      </c>
      <c r="O7005" s="8" t="s">
        <v>6</v>
      </c>
    </row>
    <row r="7006" spans="3:21" x14ac:dyDescent="0.35">
      <c r="C7006" s="15" t="s">
        <v>8</v>
      </c>
      <c r="F7006" s="15" t="s">
        <v>8</v>
      </c>
      <c r="H7006" s="15" t="s">
        <v>8</v>
      </c>
      <c r="J7006" s="15" t="s">
        <v>8</v>
      </c>
      <c r="L7006" s="15" t="s">
        <v>8</v>
      </c>
      <c r="O7006" s="22" t="str">
        <f>HYPERLINK("http://yeinfo.com/family/I09011499.html", "KATHERINE FISHER &lt;4&gt; 1580 EN-1609 MA ID:09011499")</f>
        <v>KATHERINE FISHER &lt;4&gt; 1580 EN-1609 MA ID:09011499</v>
      </c>
      <c r="P7006" s="13"/>
      <c r="Q7006" s="13"/>
      <c r="R7006" s="13"/>
      <c r="S7006" s="13"/>
    </row>
    <row r="7007" spans="3:21" x14ac:dyDescent="0.35">
      <c r="C7007" s="15" t="s">
        <v>8</v>
      </c>
      <c r="F7007" s="15" t="s">
        <v>8</v>
      </c>
      <c r="H7007" s="15" t="s">
        <v>8</v>
      </c>
      <c r="J7007" s="15" t="s">
        <v>8</v>
      </c>
      <c r="L7007" s="15" t="s">
        <v>8</v>
      </c>
    </row>
    <row r="7008" spans="3:21" x14ac:dyDescent="0.35">
      <c r="C7008" s="15" t="s">
        <v>8</v>
      </c>
      <c r="F7008" s="15" t="s">
        <v>8</v>
      </c>
      <c r="H7008" s="15" t="s">
        <v>8</v>
      </c>
      <c r="J7008" s="15" t="s">
        <v>8</v>
      </c>
      <c r="K7008" s="5" t="str">
        <f>HYPERLINK("http://yeinfo.com/family/I09000371.html", "JOSEPH MIXER 1705 MA-1748  ID:09000742")</f>
        <v>JOSEPH MIXER 1705 MA-1748  ID:09000742</v>
      </c>
      <c r="L7008" s="3"/>
      <c r="M7008" s="3"/>
      <c r="N7008" s="3"/>
      <c r="O7008" s="3"/>
    </row>
    <row r="7009" spans="3:24" x14ac:dyDescent="0.35">
      <c r="C7009" s="15" t="s">
        <v>8</v>
      </c>
      <c r="F7009" s="15" t="s">
        <v>8</v>
      </c>
      <c r="H7009" s="15" t="s">
        <v>8</v>
      </c>
      <c r="J7009" s="15" t="s">
        <v>8</v>
      </c>
      <c r="K7009" s="8" t="s">
        <v>3</v>
      </c>
      <c r="L7009" s="15" t="s">
        <v>8</v>
      </c>
    </row>
    <row r="7010" spans="3:24" x14ac:dyDescent="0.35">
      <c r="C7010" s="15" t="s">
        <v>8</v>
      </c>
      <c r="F7010" s="15" t="s">
        <v>8</v>
      </c>
      <c r="H7010" s="15" t="s">
        <v>8</v>
      </c>
      <c r="J7010" s="15" t="s">
        <v>8</v>
      </c>
      <c r="K7010" s="15" t="s">
        <v>8</v>
      </c>
      <c r="L7010" s="15" t="s">
        <v>8</v>
      </c>
      <c r="N7010" s="21" t="str">
        <f>HYPERLINK("http://yeinfo.com/family/I09002970.html", "LEWIS JONES 1600 EN-1684 MA ID:09005940")</f>
        <v>LEWIS JONES 1600 EN-1684 MA ID:09005940</v>
      </c>
      <c r="O7010" s="6"/>
      <c r="P7010" s="6"/>
      <c r="Q7010" s="6"/>
      <c r="R7010" s="6"/>
    </row>
    <row r="7011" spans="3:24" x14ac:dyDescent="0.35">
      <c r="C7011" s="15" t="s">
        <v>8</v>
      </c>
      <c r="F7011" s="15" t="s">
        <v>8</v>
      </c>
      <c r="H7011" s="15" t="s">
        <v>8</v>
      </c>
      <c r="J7011" s="15" t="s">
        <v>8</v>
      </c>
      <c r="K7011" s="15" t="s">
        <v>8</v>
      </c>
      <c r="L7011" s="15" t="s">
        <v>8</v>
      </c>
      <c r="N7011" s="8" t="s">
        <v>3</v>
      </c>
    </row>
    <row r="7012" spans="3:24" x14ac:dyDescent="0.35">
      <c r="C7012" s="15" t="s">
        <v>8</v>
      </c>
      <c r="F7012" s="15" t="s">
        <v>8</v>
      </c>
      <c r="H7012" s="15" t="s">
        <v>8</v>
      </c>
      <c r="J7012" s="15" t="s">
        <v>8</v>
      </c>
      <c r="K7012" s="15" t="s">
        <v>8</v>
      </c>
      <c r="L7012" s="15" t="s">
        <v>8</v>
      </c>
      <c r="M7012" s="5" t="str">
        <f>HYPERLINK("http://yeinfo.com/family/I09001485.html", "JOSIAH JONES 1643 MA-1714  ID:09002970")</f>
        <v>JOSIAH JONES 1643 MA-1714  ID:09002970</v>
      </c>
      <c r="N7012" s="3"/>
      <c r="O7012" s="3"/>
      <c r="P7012" s="3"/>
      <c r="Q7012" s="3"/>
    </row>
    <row r="7013" spans="3:24" x14ac:dyDescent="0.35">
      <c r="C7013" s="15" t="s">
        <v>8</v>
      </c>
      <c r="F7013" s="15" t="s">
        <v>8</v>
      </c>
      <c r="H7013" s="15" t="s">
        <v>8</v>
      </c>
      <c r="J7013" s="15" t="s">
        <v>8</v>
      </c>
      <c r="K7013" s="15" t="s">
        <v>8</v>
      </c>
      <c r="L7013" s="15" t="s">
        <v>8</v>
      </c>
      <c r="M7013" s="8" t="s">
        <v>3</v>
      </c>
      <c r="N7013" s="15" t="s">
        <v>8</v>
      </c>
    </row>
    <row r="7014" spans="3:24" x14ac:dyDescent="0.35">
      <c r="C7014" s="15" t="s">
        <v>8</v>
      </c>
      <c r="F7014" s="15" t="s">
        <v>8</v>
      </c>
      <c r="H7014" s="15" t="s">
        <v>8</v>
      </c>
      <c r="J7014" s="15" t="s">
        <v>8</v>
      </c>
      <c r="K7014" s="15" t="s">
        <v>8</v>
      </c>
      <c r="L7014" s="15" t="s">
        <v>8</v>
      </c>
      <c r="M7014" s="15" t="s">
        <v>8</v>
      </c>
      <c r="N7014" s="15" t="s">
        <v>8</v>
      </c>
      <c r="T7014" s="19" t="str">
        <f>HYPERLINK("http://yeinfo.com/family/I09065740.html", "JOHN STONE 1420 EN-1487 EN ID:09065893")</f>
        <v>JOHN STONE 1420 EN-1487 EN ID:09065893</v>
      </c>
      <c r="U7014" s="9"/>
      <c r="V7014" s="9"/>
      <c r="W7014" s="9"/>
      <c r="X7014" s="9"/>
    </row>
    <row r="7015" spans="3:24" x14ac:dyDescent="0.35">
      <c r="C7015" s="15" t="s">
        <v>8</v>
      </c>
      <c r="F7015" s="15" t="s">
        <v>8</v>
      </c>
      <c r="H7015" s="15" t="s">
        <v>8</v>
      </c>
      <c r="J7015" s="15" t="s">
        <v>8</v>
      </c>
      <c r="K7015" s="15" t="s">
        <v>8</v>
      </c>
      <c r="L7015" s="15" t="s">
        <v>8</v>
      </c>
      <c r="M7015" s="15" t="s">
        <v>8</v>
      </c>
      <c r="N7015" s="15" t="s">
        <v>8</v>
      </c>
      <c r="T7015" s="8" t="s">
        <v>3</v>
      </c>
    </row>
    <row r="7016" spans="3:24" x14ac:dyDescent="0.35">
      <c r="C7016" s="15" t="s">
        <v>8</v>
      </c>
      <c r="F7016" s="15" t="s">
        <v>8</v>
      </c>
      <c r="H7016" s="15" t="s">
        <v>8</v>
      </c>
      <c r="J7016" s="15" t="s">
        <v>8</v>
      </c>
      <c r="K7016" s="15" t="s">
        <v>8</v>
      </c>
      <c r="L7016" s="15" t="s">
        <v>8</v>
      </c>
      <c r="M7016" s="15" t="s">
        <v>8</v>
      </c>
      <c r="N7016" s="15" t="s">
        <v>8</v>
      </c>
      <c r="S7016" s="19" t="str">
        <f>HYPERLINK("http://yeinfo.com/family/I09065607.html", "SIMON STONE 1450 EN-1506 EN ID:09065740")</f>
        <v>SIMON STONE 1450 EN-1506 EN ID:09065740</v>
      </c>
      <c r="T7016" s="9"/>
      <c r="U7016" s="9"/>
      <c r="V7016" s="9"/>
      <c r="W7016" s="9"/>
    </row>
    <row r="7017" spans="3:24" x14ac:dyDescent="0.35">
      <c r="C7017" s="15" t="s">
        <v>8</v>
      </c>
      <c r="F7017" s="15" t="s">
        <v>8</v>
      </c>
      <c r="H7017" s="15" t="s">
        <v>8</v>
      </c>
      <c r="J7017" s="15" t="s">
        <v>8</v>
      </c>
      <c r="K7017" s="15" t="s">
        <v>8</v>
      </c>
      <c r="L7017" s="15" t="s">
        <v>8</v>
      </c>
      <c r="M7017" s="15" t="s">
        <v>8</v>
      </c>
      <c r="N7017" s="15" t="s">
        <v>8</v>
      </c>
      <c r="S7017" s="8" t="s">
        <v>3</v>
      </c>
      <c r="T7017" s="8" t="s">
        <v>6</v>
      </c>
    </row>
    <row r="7018" spans="3:24" x14ac:dyDescent="0.35">
      <c r="C7018" s="15" t="s">
        <v>8</v>
      </c>
      <c r="F7018" s="15" t="s">
        <v>8</v>
      </c>
      <c r="H7018" s="15" t="s">
        <v>8</v>
      </c>
      <c r="J7018" s="15" t="s">
        <v>8</v>
      </c>
      <c r="K7018" s="15" t="s">
        <v>8</v>
      </c>
      <c r="L7018" s="15" t="s">
        <v>8</v>
      </c>
      <c r="M7018" s="15" t="s">
        <v>8</v>
      </c>
      <c r="N7018" s="15" t="s">
        <v>8</v>
      </c>
      <c r="S7018" s="15" t="s">
        <v>8</v>
      </c>
      <c r="T7018" s="20" t="str">
        <f>HYPERLINK("http://yeinfo.com/family/I09065893.html", "Mrs. {_?_} STONE 1420 EN-1450  ID:09065894")</f>
        <v>Mrs. {_?_} STONE 1420 EN-1450  ID:09065894</v>
      </c>
      <c r="U7018" s="17"/>
      <c r="V7018" s="17"/>
      <c r="W7018" s="17"/>
      <c r="X7018" s="17"/>
    </row>
    <row r="7019" spans="3:24" x14ac:dyDescent="0.35">
      <c r="C7019" s="15" t="s">
        <v>8</v>
      </c>
      <c r="F7019" s="15" t="s">
        <v>8</v>
      </c>
      <c r="H7019" s="15" t="s">
        <v>8</v>
      </c>
      <c r="J7019" s="15" t="s">
        <v>8</v>
      </c>
      <c r="K7019" s="15" t="s">
        <v>8</v>
      </c>
      <c r="L7019" s="15" t="s">
        <v>8</v>
      </c>
      <c r="M7019" s="15" t="s">
        <v>8</v>
      </c>
      <c r="N7019" s="15" t="s">
        <v>8</v>
      </c>
      <c r="S7019" s="15" t="s">
        <v>8</v>
      </c>
    </row>
    <row r="7020" spans="3:24" x14ac:dyDescent="0.35">
      <c r="C7020" s="15" t="s">
        <v>8</v>
      </c>
      <c r="F7020" s="15" t="s">
        <v>8</v>
      </c>
      <c r="H7020" s="15" t="s">
        <v>8</v>
      </c>
      <c r="J7020" s="15" t="s">
        <v>8</v>
      </c>
      <c r="K7020" s="15" t="s">
        <v>8</v>
      </c>
      <c r="L7020" s="15" t="s">
        <v>8</v>
      </c>
      <c r="M7020" s="15" t="s">
        <v>8</v>
      </c>
      <c r="N7020" s="15" t="s">
        <v>8</v>
      </c>
      <c r="R7020" s="19" t="str">
        <f>HYPERLINK("http://yeinfo.com/family/I09047528.html", "DAVID STONE 1480 EN-1543 EN ID:09065607")</f>
        <v>DAVID STONE 1480 EN-1543 EN ID:09065607</v>
      </c>
      <c r="S7020" s="9"/>
      <c r="T7020" s="9"/>
      <c r="U7020" s="9"/>
      <c r="V7020" s="9"/>
    </row>
    <row r="7021" spans="3:24" x14ac:dyDescent="0.35">
      <c r="C7021" s="15" t="s">
        <v>8</v>
      </c>
      <c r="F7021" s="15" t="s">
        <v>8</v>
      </c>
      <c r="H7021" s="15" t="s">
        <v>8</v>
      </c>
      <c r="J7021" s="15" t="s">
        <v>8</v>
      </c>
      <c r="K7021" s="15" t="s">
        <v>8</v>
      </c>
      <c r="L7021" s="15" t="s">
        <v>8</v>
      </c>
      <c r="M7021" s="15" t="s">
        <v>8</v>
      </c>
      <c r="N7021" s="15" t="s">
        <v>8</v>
      </c>
      <c r="R7021" s="8" t="s">
        <v>3</v>
      </c>
      <c r="S7021" s="8" t="s">
        <v>6</v>
      </c>
    </row>
    <row r="7022" spans="3:24" x14ac:dyDescent="0.35">
      <c r="C7022" s="15" t="s">
        <v>8</v>
      </c>
      <c r="F7022" s="15" t="s">
        <v>8</v>
      </c>
      <c r="H7022" s="15" t="s">
        <v>8</v>
      </c>
      <c r="J7022" s="15" t="s">
        <v>8</v>
      </c>
      <c r="K7022" s="15" t="s">
        <v>8</v>
      </c>
      <c r="L7022" s="15" t="s">
        <v>8</v>
      </c>
      <c r="M7022" s="15" t="s">
        <v>8</v>
      </c>
      <c r="N7022" s="15" t="s">
        <v>8</v>
      </c>
      <c r="R7022" s="15" t="s">
        <v>8</v>
      </c>
      <c r="S7022" s="20" t="str">
        <f>HYPERLINK("http://yeinfo.com/family/I09065894.html", "ELIZABETH SPRINGETTE 1450 EN-1480  ID:09065741")</f>
        <v>ELIZABETH SPRINGETTE 1450 EN-1480  ID:09065741</v>
      </c>
      <c r="T7022" s="17"/>
      <c r="U7022" s="17"/>
      <c r="V7022" s="17"/>
      <c r="W7022" s="17"/>
    </row>
    <row r="7023" spans="3:24" x14ac:dyDescent="0.35">
      <c r="C7023" s="15" t="s">
        <v>8</v>
      </c>
      <c r="F7023" s="15" t="s">
        <v>8</v>
      </c>
      <c r="H7023" s="15" t="s">
        <v>8</v>
      </c>
      <c r="J7023" s="15" t="s">
        <v>8</v>
      </c>
      <c r="K7023" s="15" t="s">
        <v>8</v>
      </c>
      <c r="L7023" s="15" t="s">
        <v>8</v>
      </c>
      <c r="M7023" s="15" t="s">
        <v>8</v>
      </c>
      <c r="N7023" s="15" t="s">
        <v>8</v>
      </c>
      <c r="R7023" s="15" t="s">
        <v>8</v>
      </c>
    </row>
    <row r="7024" spans="3:24" x14ac:dyDescent="0.35">
      <c r="C7024" s="15" t="s">
        <v>8</v>
      </c>
      <c r="F7024" s="15" t="s">
        <v>8</v>
      </c>
      <c r="H7024" s="15" t="s">
        <v>8</v>
      </c>
      <c r="J7024" s="15" t="s">
        <v>8</v>
      </c>
      <c r="K7024" s="15" t="s">
        <v>8</v>
      </c>
      <c r="L7024" s="15" t="s">
        <v>8</v>
      </c>
      <c r="M7024" s="15" t="s">
        <v>8</v>
      </c>
      <c r="N7024" s="15" t="s">
        <v>8</v>
      </c>
      <c r="Q7024" s="19" t="str">
        <f>HYPERLINK("http://yeinfo.com/family/I09023764.html", "SIMON STONE 1507 EN-1558 EN ID:09047528")</f>
        <v>SIMON STONE 1507 EN-1558 EN ID:09047528</v>
      </c>
      <c r="R7024" s="9"/>
      <c r="S7024" s="9"/>
      <c r="T7024" s="9"/>
      <c r="U7024" s="9"/>
    </row>
    <row r="7025" spans="3:22" x14ac:dyDescent="0.35">
      <c r="C7025" s="15" t="s">
        <v>8</v>
      </c>
      <c r="F7025" s="15" t="s">
        <v>8</v>
      </c>
      <c r="H7025" s="15" t="s">
        <v>8</v>
      </c>
      <c r="J7025" s="15" t="s">
        <v>8</v>
      </c>
      <c r="K7025" s="15" t="s">
        <v>8</v>
      </c>
      <c r="L7025" s="15" t="s">
        <v>8</v>
      </c>
      <c r="M7025" s="15" t="s">
        <v>8</v>
      </c>
      <c r="N7025" s="15" t="s">
        <v>8</v>
      </c>
      <c r="Q7025" s="8" t="s">
        <v>3</v>
      </c>
      <c r="R7025" s="8" t="s">
        <v>6</v>
      </c>
    </row>
    <row r="7026" spans="3:22" x14ac:dyDescent="0.35">
      <c r="C7026" s="15" t="s">
        <v>8</v>
      </c>
      <c r="F7026" s="15" t="s">
        <v>8</v>
      </c>
      <c r="H7026" s="15" t="s">
        <v>8</v>
      </c>
      <c r="J7026" s="15" t="s">
        <v>8</v>
      </c>
      <c r="K7026" s="15" t="s">
        <v>8</v>
      </c>
      <c r="L7026" s="15" t="s">
        <v>8</v>
      </c>
      <c r="M7026" s="15" t="s">
        <v>8</v>
      </c>
      <c r="N7026" s="15" t="s">
        <v>8</v>
      </c>
      <c r="Q7026" s="15" t="s">
        <v>8</v>
      </c>
      <c r="R7026" s="20" t="str">
        <f>HYPERLINK("http://yeinfo.com/family/I09065741.html", "CATHERINE HEWITT 1480 EN-1515  ID:09065608")</f>
        <v>CATHERINE HEWITT 1480 EN-1515  ID:09065608</v>
      </c>
      <c r="S7026" s="17"/>
      <c r="T7026" s="17"/>
      <c r="U7026" s="17"/>
      <c r="V7026" s="17"/>
    </row>
    <row r="7027" spans="3:22" x14ac:dyDescent="0.35">
      <c r="C7027" s="15" t="s">
        <v>8</v>
      </c>
      <c r="F7027" s="15" t="s">
        <v>8</v>
      </c>
      <c r="H7027" s="15" t="s">
        <v>8</v>
      </c>
      <c r="J7027" s="15" t="s">
        <v>8</v>
      </c>
      <c r="K7027" s="15" t="s">
        <v>8</v>
      </c>
      <c r="L7027" s="15" t="s">
        <v>8</v>
      </c>
      <c r="M7027" s="15" t="s">
        <v>8</v>
      </c>
      <c r="N7027" s="15" t="s">
        <v>8</v>
      </c>
      <c r="Q7027" s="15" t="s">
        <v>8</v>
      </c>
    </row>
    <row r="7028" spans="3:22" x14ac:dyDescent="0.35">
      <c r="C7028" s="15" t="s">
        <v>8</v>
      </c>
      <c r="F7028" s="15" t="s">
        <v>8</v>
      </c>
      <c r="H7028" s="15" t="s">
        <v>8</v>
      </c>
      <c r="J7028" s="15" t="s">
        <v>8</v>
      </c>
      <c r="K7028" s="15" t="s">
        <v>8</v>
      </c>
      <c r="L7028" s="15" t="s">
        <v>8</v>
      </c>
      <c r="M7028" s="15" t="s">
        <v>8</v>
      </c>
      <c r="N7028" s="15" t="s">
        <v>8</v>
      </c>
      <c r="P7028" s="19" t="str">
        <f>HYPERLINK("http://yeinfo.com/family/I09011882.html", "DAVID TIMOTHY STONE 1540 EN-1590 EN ID:09023764")</f>
        <v>DAVID TIMOTHY STONE 1540 EN-1590 EN ID:09023764</v>
      </c>
      <c r="Q7028" s="9"/>
      <c r="R7028" s="9"/>
      <c r="S7028" s="9"/>
      <c r="T7028" s="9"/>
    </row>
    <row r="7029" spans="3:22" x14ac:dyDescent="0.35">
      <c r="C7029" s="15" t="s">
        <v>8</v>
      </c>
      <c r="F7029" s="15" t="s">
        <v>8</v>
      </c>
      <c r="H7029" s="15" t="s">
        <v>8</v>
      </c>
      <c r="J7029" s="15" t="s">
        <v>8</v>
      </c>
      <c r="K7029" s="15" t="s">
        <v>8</v>
      </c>
      <c r="L7029" s="15" t="s">
        <v>8</v>
      </c>
      <c r="M7029" s="15" t="s">
        <v>8</v>
      </c>
      <c r="N7029" s="15" t="s">
        <v>8</v>
      </c>
      <c r="P7029" s="8" t="s">
        <v>3</v>
      </c>
      <c r="Q7029" s="8" t="s">
        <v>6</v>
      </c>
    </row>
    <row r="7030" spans="3:22" x14ac:dyDescent="0.35">
      <c r="C7030" s="15" t="s">
        <v>8</v>
      </c>
      <c r="F7030" s="15" t="s">
        <v>8</v>
      </c>
      <c r="H7030" s="15" t="s">
        <v>8</v>
      </c>
      <c r="J7030" s="15" t="s">
        <v>8</v>
      </c>
      <c r="K7030" s="15" t="s">
        <v>8</v>
      </c>
      <c r="L7030" s="15" t="s">
        <v>8</v>
      </c>
      <c r="M7030" s="15" t="s">
        <v>8</v>
      </c>
      <c r="N7030" s="15" t="s">
        <v>8</v>
      </c>
      <c r="P7030" s="15" t="s">
        <v>8</v>
      </c>
      <c r="Q7030" s="20" t="str">
        <f>HYPERLINK("http://yeinfo.com/family/I09065608.html", "AGNES CLARKE 1507 EN-1590  ID:09047529")</f>
        <v>AGNES CLARKE 1507 EN-1590  ID:09047529</v>
      </c>
      <c r="R7030" s="17"/>
      <c r="S7030" s="17"/>
      <c r="T7030" s="17"/>
      <c r="U7030" s="17"/>
    </row>
    <row r="7031" spans="3:22" x14ac:dyDescent="0.35">
      <c r="C7031" s="15" t="s">
        <v>8</v>
      </c>
      <c r="F7031" s="15" t="s">
        <v>8</v>
      </c>
      <c r="H7031" s="15" t="s">
        <v>8</v>
      </c>
      <c r="J7031" s="15" t="s">
        <v>8</v>
      </c>
      <c r="K7031" s="15" t="s">
        <v>8</v>
      </c>
      <c r="L7031" s="15" t="s">
        <v>8</v>
      </c>
      <c r="M7031" s="15" t="s">
        <v>8</v>
      </c>
      <c r="N7031" s="15" t="s">
        <v>8</v>
      </c>
      <c r="P7031" s="15" t="s">
        <v>8</v>
      </c>
    </row>
    <row r="7032" spans="3:22" x14ac:dyDescent="0.35">
      <c r="C7032" s="15" t="s">
        <v>8</v>
      </c>
      <c r="F7032" s="15" t="s">
        <v>8</v>
      </c>
      <c r="H7032" s="15" t="s">
        <v>8</v>
      </c>
      <c r="J7032" s="15" t="s">
        <v>8</v>
      </c>
      <c r="K7032" s="15" t="s">
        <v>8</v>
      </c>
      <c r="L7032" s="15" t="s">
        <v>8</v>
      </c>
      <c r="M7032" s="15" t="s">
        <v>8</v>
      </c>
      <c r="N7032" s="15" t="s">
        <v>8</v>
      </c>
      <c r="O7032" s="21" t="str">
        <f>HYPERLINK("http://yeinfo.com/family/I09005941.html", "SIMON STONE 1585 EN-1665 MA ID:09011882")</f>
        <v>SIMON STONE 1585 EN-1665 MA ID:09011882</v>
      </c>
      <c r="P7032" s="6"/>
      <c r="Q7032" s="6"/>
      <c r="R7032" s="6"/>
      <c r="S7032" s="6"/>
    </row>
    <row r="7033" spans="3:22" x14ac:dyDescent="0.35">
      <c r="C7033" s="15" t="s">
        <v>8</v>
      </c>
      <c r="F7033" s="15" t="s">
        <v>8</v>
      </c>
      <c r="H7033" s="15" t="s">
        <v>8</v>
      </c>
      <c r="J7033" s="15" t="s">
        <v>8</v>
      </c>
      <c r="K7033" s="15" t="s">
        <v>8</v>
      </c>
      <c r="L7033" s="15" t="s">
        <v>8</v>
      </c>
      <c r="M7033" s="15" t="s">
        <v>8</v>
      </c>
      <c r="N7033" s="15" t="s">
        <v>8</v>
      </c>
      <c r="O7033" s="8" t="s">
        <v>3</v>
      </c>
      <c r="P7033" s="8" t="s">
        <v>6</v>
      </c>
    </row>
    <row r="7034" spans="3:22" x14ac:dyDescent="0.35">
      <c r="C7034" s="15" t="s">
        <v>8</v>
      </c>
      <c r="F7034" s="15" t="s">
        <v>8</v>
      </c>
      <c r="H7034" s="15" t="s">
        <v>8</v>
      </c>
      <c r="J7034" s="15" t="s">
        <v>8</v>
      </c>
      <c r="K7034" s="15" t="s">
        <v>8</v>
      </c>
      <c r="L7034" s="15" t="s">
        <v>8</v>
      </c>
      <c r="M7034" s="15" t="s">
        <v>8</v>
      </c>
      <c r="N7034" s="15" t="s">
        <v>8</v>
      </c>
      <c r="O7034" s="15" t="s">
        <v>8</v>
      </c>
      <c r="P7034" s="20" t="str">
        <f>HYPERLINK("http://yeinfo.com/family/I09047529.html", "Mrs. URSULA STONE 1550 EN-1585  ID:09023765")</f>
        <v>Mrs. URSULA STONE 1550 EN-1585  ID:09023765</v>
      </c>
      <c r="Q7034" s="17"/>
      <c r="R7034" s="17"/>
      <c r="S7034" s="17"/>
      <c r="T7034" s="17"/>
    </row>
    <row r="7035" spans="3:22" x14ac:dyDescent="0.35">
      <c r="C7035" s="15" t="s">
        <v>8</v>
      </c>
      <c r="F7035" s="15" t="s">
        <v>8</v>
      </c>
      <c r="H7035" s="15" t="s">
        <v>8</v>
      </c>
      <c r="J7035" s="15" t="s">
        <v>8</v>
      </c>
      <c r="K7035" s="15" t="s">
        <v>8</v>
      </c>
      <c r="L7035" s="15" t="s">
        <v>8</v>
      </c>
      <c r="M7035" s="15" t="s">
        <v>8</v>
      </c>
      <c r="N7035" s="8" t="s">
        <v>6</v>
      </c>
      <c r="O7035" s="15" t="s">
        <v>8</v>
      </c>
    </row>
    <row r="7036" spans="3:22" x14ac:dyDescent="0.35">
      <c r="C7036" s="15" t="s">
        <v>8</v>
      </c>
      <c r="F7036" s="15" t="s">
        <v>8</v>
      </c>
      <c r="H7036" s="15" t="s">
        <v>8</v>
      </c>
      <c r="J7036" s="15" t="s">
        <v>8</v>
      </c>
      <c r="K7036" s="15" t="s">
        <v>8</v>
      </c>
      <c r="L7036" s="15" t="s">
        <v>8</v>
      </c>
      <c r="M7036" s="15" t="s">
        <v>8</v>
      </c>
      <c r="N7036" s="22" t="str">
        <f>HYPERLINK("http://yeinfo.com/family/I09005940.html", "ANNE\ANNA STONE 1623 EN-1680 MA ID:09005941")</f>
        <v>ANNE\ANNA STONE 1623 EN-1680 MA ID:09005941</v>
      </c>
      <c r="O7036" s="13"/>
      <c r="P7036" s="13"/>
      <c r="Q7036" s="13"/>
      <c r="R7036" s="13"/>
      <c r="S7036" s="13"/>
    </row>
    <row r="7037" spans="3:22" x14ac:dyDescent="0.35">
      <c r="C7037" s="15" t="s">
        <v>8</v>
      </c>
      <c r="F7037" s="15" t="s">
        <v>8</v>
      </c>
      <c r="H7037" s="15" t="s">
        <v>8</v>
      </c>
      <c r="J7037" s="15" t="s">
        <v>8</v>
      </c>
      <c r="K7037" s="15" t="s">
        <v>8</v>
      </c>
      <c r="L7037" s="15" t="s">
        <v>8</v>
      </c>
      <c r="M7037" s="15" t="s">
        <v>8</v>
      </c>
      <c r="O7037" s="15" t="s">
        <v>8</v>
      </c>
    </row>
    <row r="7038" spans="3:22" x14ac:dyDescent="0.35">
      <c r="C7038" s="15" t="s">
        <v>8</v>
      </c>
      <c r="F7038" s="15" t="s">
        <v>8</v>
      </c>
      <c r="H7038" s="15" t="s">
        <v>8</v>
      </c>
      <c r="J7038" s="15" t="s">
        <v>8</v>
      </c>
      <c r="K7038" s="15" t="s">
        <v>8</v>
      </c>
      <c r="L7038" s="15" t="s">
        <v>8</v>
      </c>
      <c r="M7038" s="15" t="s">
        <v>8</v>
      </c>
      <c r="O7038" s="15" t="s">
        <v>8</v>
      </c>
      <c r="P7038" s="19" t="str">
        <f>HYPERLINK("http://yeinfo.com/family/I09011883.html", "WILLIAM CLARK 1570 EN-1597  ID:09023766")</f>
        <v>WILLIAM CLARK 1570 EN-1597  ID:09023766</v>
      </c>
      <c r="Q7038" s="9"/>
      <c r="R7038" s="9"/>
      <c r="S7038" s="9"/>
      <c r="T7038" s="9"/>
    </row>
    <row r="7039" spans="3:22" x14ac:dyDescent="0.35">
      <c r="C7039" s="15" t="s">
        <v>8</v>
      </c>
      <c r="F7039" s="15" t="s">
        <v>8</v>
      </c>
      <c r="H7039" s="15" t="s">
        <v>8</v>
      </c>
      <c r="J7039" s="15" t="s">
        <v>8</v>
      </c>
      <c r="K7039" s="15" t="s">
        <v>8</v>
      </c>
      <c r="L7039" s="15" t="s">
        <v>8</v>
      </c>
      <c r="M7039" s="15" t="s">
        <v>8</v>
      </c>
      <c r="O7039" s="8" t="s">
        <v>6</v>
      </c>
      <c r="P7039" s="8" t="s">
        <v>3</v>
      </c>
    </row>
    <row r="7040" spans="3:22" x14ac:dyDescent="0.35">
      <c r="C7040" s="15" t="s">
        <v>8</v>
      </c>
      <c r="F7040" s="15" t="s">
        <v>8</v>
      </c>
      <c r="H7040" s="15" t="s">
        <v>8</v>
      </c>
      <c r="J7040" s="15" t="s">
        <v>8</v>
      </c>
      <c r="K7040" s="15" t="s">
        <v>8</v>
      </c>
      <c r="L7040" s="15" t="s">
        <v>8</v>
      </c>
      <c r="M7040" s="15" t="s">
        <v>8</v>
      </c>
      <c r="O7040" s="22" t="str">
        <f>HYPERLINK("http://yeinfo.com/family/I09023765.html", "JOAN\JANE CLARK 1597 EN-1653 MA ID:09011883")</f>
        <v>JOAN\JANE CLARK 1597 EN-1653 MA ID:09011883</v>
      </c>
      <c r="P7040" s="13"/>
      <c r="Q7040" s="13"/>
      <c r="R7040" s="13"/>
      <c r="S7040" s="13"/>
      <c r="T7040" s="13"/>
    </row>
    <row r="7041" spans="3:20" x14ac:dyDescent="0.35">
      <c r="C7041" s="15" t="s">
        <v>8</v>
      </c>
      <c r="F7041" s="15" t="s">
        <v>8</v>
      </c>
      <c r="H7041" s="15" t="s">
        <v>8</v>
      </c>
      <c r="J7041" s="15" t="s">
        <v>8</v>
      </c>
      <c r="K7041" s="15" t="s">
        <v>8</v>
      </c>
      <c r="L7041" s="15" t="s">
        <v>8</v>
      </c>
      <c r="M7041" s="15" t="s">
        <v>8</v>
      </c>
      <c r="P7041" s="8" t="s">
        <v>6</v>
      </c>
    </row>
    <row r="7042" spans="3:20" x14ac:dyDescent="0.35">
      <c r="C7042" s="15" t="s">
        <v>8</v>
      </c>
      <c r="F7042" s="15" t="s">
        <v>8</v>
      </c>
      <c r="H7042" s="15" t="s">
        <v>8</v>
      </c>
      <c r="J7042" s="15" t="s">
        <v>8</v>
      </c>
      <c r="K7042" s="15" t="s">
        <v>8</v>
      </c>
      <c r="L7042" s="15" t="s">
        <v>8</v>
      </c>
      <c r="M7042" s="15" t="s">
        <v>8</v>
      </c>
      <c r="P7042" s="20" t="str">
        <f>HYPERLINK("http://yeinfo.com/family/I09023766.html", "SARAH STRONG 1570 EN-1597  ID:09023767")</f>
        <v>SARAH STRONG 1570 EN-1597  ID:09023767</v>
      </c>
      <c r="Q7042" s="17"/>
      <c r="R7042" s="17"/>
      <c r="S7042" s="17"/>
      <c r="T7042" s="17"/>
    </row>
    <row r="7043" spans="3:20" x14ac:dyDescent="0.35">
      <c r="C7043" s="15" t="s">
        <v>8</v>
      </c>
      <c r="F7043" s="15" t="s">
        <v>8</v>
      </c>
      <c r="H7043" s="15" t="s">
        <v>8</v>
      </c>
      <c r="J7043" s="15" t="s">
        <v>8</v>
      </c>
      <c r="K7043" s="15" t="s">
        <v>8</v>
      </c>
      <c r="L7043" s="8" t="s">
        <v>6</v>
      </c>
      <c r="M7043" s="15" t="s">
        <v>8</v>
      </c>
    </row>
    <row r="7044" spans="3:20" x14ac:dyDescent="0.35">
      <c r="C7044" s="15" t="s">
        <v>8</v>
      </c>
      <c r="F7044" s="15" t="s">
        <v>8</v>
      </c>
      <c r="H7044" s="15" t="s">
        <v>8</v>
      </c>
      <c r="J7044" s="15" t="s">
        <v>8</v>
      </c>
      <c r="K7044" s="15" t="s">
        <v>8</v>
      </c>
      <c r="L7044" s="16" t="str">
        <f>HYPERLINK("http://yeinfo.com/family/I09002969.html", "ANNA JONES 1684 MA-1736  ID:09001485")</f>
        <v>ANNA JONES 1684 MA-1736  ID:09001485</v>
      </c>
      <c r="M7044" s="11"/>
      <c r="N7044" s="11"/>
      <c r="O7044" s="11"/>
      <c r="P7044" s="11"/>
    </row>
    <row r="7045" spans="3:20" x14ac:dyDescent="0.35">
      <c r="C7045" s="15" t="s">
        <v>8</v>
      </c>
      <c r="F7045" s="15" t="s">
        <v>8</v>
      </c>
      <c r="H7045" s="15" t="s">
        <v>8</v>
      </c>
      <c r="J7045" s="15" t="s">
        <v>8</v>
      </c>
      <c r="K7045" s="15" t="s">
        <v>8</v>
      </c>
      <c r="M7045" s="15" t="s">
        <v>8</v>
      </c>
    </row>
    <row r="7046" spans="3:20" x14ac:dyDescent="0.35">
      <c r="C7046" s="15" t="s">
        <v>8</v>
      </c>
      <c r="F7046" s="15" t="s">
        <v>8</v>
      </c>
      <c r="H7046" s="15" t="s">
        <v>8</v>
      </c>
      <c r="J7046" s="15" t="s">
        <v>8</v>
      </c>
      <c r="K7046" s="15" t="s">
        <v>8</v>
      </c>
      <c r="M7046" s="15" t="s">
        <v>8</v>
      </c>
      <c r="N7046" s="5" t="str">
        <f>HYPERLINK("http://yeinfo.com/family/I09002971.html", "NATHANIEL\NATHANIAL TREADWAY 1610 EN-1689  ID:09005942")</f>
        <v>NATHANIEL\NATHANIAL TREADWAY 1610 EN-1689  ID:09005942</v>
      </c>
      <c r="O7046" s="3"/>
      <c r="P7046" s="3"/>
      <c r="Q7046" s="3"/>
      <c r="R7046" s="3"/>
      <c r="S7046" s="3"/>
    </row>
    <row r="7047" spans="3:20" x14ac:dyDescent="0.35">
      <c r="C7047" s="15" t="s">
        <v>8</v>
      </c>
      <c r="F7047" s="15" t="s">
        <v>8</v>
      </c>
      <c r="H7047" s="15" t="s">
        <v>8</v>
      </c>
      <c r="J7047" s="15" t="s">
        <v>8</v>
      </c>
      <c r="K7047" s="15" t="s">
        <v>8</v>
      </c>
      <c r="M7047" s="8" t="s">
        <v>6</v>
      </c>
      <c r="N7047" s="8" t="s">
        <v>3</v>
      </c>
    </row>
    <row r="7048" spans="3:20" x14ac:dyDescent="0.35">
      <c r="C7048" s="15" t="s">
        <v>8</v>
      </c>
      <c r="F7048" s="15" t="s">
        <v>8</v>
      </c>
      <c r="H7048" s="15" t="s">
        <v>8</v>
      </c>
      <c r="J7048" s="15" t="s">
        <v>8</v>
      </c>
      <c r="K7048" s="15" t="s">
        <v>8</v>
      </c>
      <c r="M7048" s="16" t="str">
        <f>HYPERLINK("http://yeinfo.com/family/I09023767.html", "LYDIA TREADWAY 1649 MA-1743  ID:09002971")</f>
        <v>LYDIA TREADWAY 1649 MA-1743  ID:09002971</v>
      </c>
      <c r="N7048" s="11"/>
      <c r="O7048" s="11"/>
      <c r="P7048" s="11"/>
      <c r="Q7048" s="11"/>
    </row>
    <row r="7049" spans="3:20" x14ac:dyDescent="0.35">
      <c r="C7049" s="15" t="s">
        <v>8</v>
      </c>
      <c r="F7049" s="15" t="s">
        <v>8</v>
      </c>
      <c r="H7049" s="15" t="s">
        <v>8</v>
      </c>
      <c r="J7049" s="15" t="s">
        <v>8</v>
      </c>
      <c r="K7049" s="15" t="s">
        <v>8</v>
      </c>
      <c r="N7049" s="15" t="s">
        <v>8</v>
      </c>
    </row>
    <row r="7050" spans="3:20" x14ac:dyDescent="0.35">
      <c r="C7050" s="15" t="s">
        <v>8</v>
      </c>
      <c r="F7050" s="15" t="s">
        <v>8</v>
      </c>
      <c r="H7050" s="15" t="s">
        <v>8</v>
      </c>
      <c r="J7050" s="15" t="s">
        <v>8</v>
      </c>
      <c r="K7050" s="15" t="s">
        <v>8</v>
      </c>
      <c r="N7050" s="15" t="s">
        <v>8</v>
      </c>
      <c r="P7050" s="19" t="str">
        <f>HYPERLINK("http://yeinfo.com/family/I09011886.html", "JOHN HAYNES 1560 EN-1583 EN ID:09023772")</f>
        <v>JOHN HAYNES 1560 EN-1583 EN ID:09023772</v>
      </c>
      <c r="Q7050" s="9"/>
      <c r="R7050" s="9"/>
      <c r="S7050" s="9"/>
      <c r="T7050" s="9"/>
    </row>
    <row r="7051" spans="3:20" x14ac:dyDescent="0.35">
      <c r="C7051" s="15" t="s">
        <v>8</v>
      </c>
      <c r="F7051" s="15" t="s">
        <v>8</v>
      </c>
      <c r="H7051" s="15" t="s">
        <v>8</v>
      </c>
      <c r="J7051" s="15" t="s">
        <v>8</v>
      </c>
      <c r="K7051" s="15" t="s">
        <v>8</v>
      </c>
      <c r="N7051" s="15" t="s">
        <v>8</v>
      </c>
      <c r="P7051" s="8" t="s">
        <v>3</v>
      </c>
    </row>
    <row r="7052" spans="3:20" x14ac:dyDescent="0.35">
      <c r="C7052" s="15" t="s">
        <v>8</v>
      </c>
      <c r="F7052" s="15" t="s">
        <v>8</v>
      </c>
      <c r="H7052" s="15" t="s">
        <v>8</v>
      </c>
      <c r="J7052" s="15" t="s">
        <v>8</v>
      </c>
      <c r="K7052" s="15" t="s">
        <v>8</v>
      </c>
      <c r="N7052" s="15" t="s">
        <v>8</v>
      </c>
      <c r="O7052" s="21" t="str">
        <f>HYPERLINK("http://yeinfo.com/family/I09005943.html", "WALTER HAYNES 1583 EN-1665 MA ID:09011886")</f>
        <v>WALTER HAYNES 1583 EN-1665 MA ID:09011886</v>
      </c>
      <c r="P7052" s="6"/>
      <c r="Q7052" s="6"/>
      <c r="R7052" s="6"/>
      <c r="S7052" s="6"/>
    </row>
    <row r="7053" spans="3:20" x14ac:dyDescent="0.35">
      <c r="C7053" s="15" t="s">
        <v>8</v>
      </c>
      <c r="F7053" s="15" t="s">
        <v>8</v>
      </c>
      <c r="H7053" s="15" t="s">
        <v>8</v>
      </c>
      <c r="J7053" s="15" t="s">
        <v>8</v>
      </c>
      <c r="K7053" s="15" t="s">
        <v>8</v>
      </c>
      <c r="N7053" s="15" t="s">
        <v>8</v>
      </c>
      <c r="O7053" s="8" t="s">
        <v>3</v>
      </c>
      <c r="P7053" s="8" t="s">
        <v>6</v>
      </c>
    </row>
    <row r="7054" spans="3:20" x14ac:dyDescent="0.35">
      <c r="C7054" s="15" t="s">
        <v>8</v>
      </c>
      <c r="F7054" s="15" t="s">
        <v>8</v>
      </c>
      <c r="H7054" s="15" t="s">
        <v>8</v>
      </c>
      <c r="J7054" s="15" t="s">
        <v>8</v>
      </c>
      <c r="K7054" s="15" t="s">
        <v>8</v>
      </c>
      <c r="N7054" s="15" t="s">
        <v>8</v>
      </c>
      <c r="O7054" s="15" t="s">
        <v>8</v>
      </c>
      <c r="P7054" s="20" t="str">
        <f>HYPERLINK("http://yeinfo.com/family/I09023772.html", "ALICE LAMBERT 1560 EN-1624 EN ID:09023773")</f>
        <v>ALICE LAMBERT 1560 EN-1624 EN ID:09023773</v>
      </c>
      <c r="Q7054" s="17"/>
      <c r="R7054" s="17"/>
      <c r="S7054" s="17"/>
      <c r="T7054" s="17"/>
    </row>
    <row r="7055" spans="3:20" x14ac:dyDescent="0.35">
      <c r="C7055" s="15" t="s">
        <v>8</v>
      </c>
      <c r="F7055" s="15" t="s">
        <v>8</v>
      </c>
      <c r="H7055" s="15" t="s">
        <v>8</v>
      </c>
      <c r="J7055" s="15" t="s">
        <v>8</v>
      </c>
      <c r="K7055" s="15" t="s">
        <v>8</v>
      </c>
      <c r="N7055" s="8" t="s">
        <v>6</v>
      </c>
      <c r="O7055" s="15" t="s">
        <v>8</v>
      </c>
    </row>
    <row r="7056" spans="3:20" x14ac:dyDescent="0.35">
      <c r="C7056" s="15" t="s">
        <v>8</v>
      </c>
      <c r="F7056" s="15" t="s">
        <v>8</v>
      </c>
      <c r="H7056" s="15" t="s">
        <v>8</v>
      </c>
      <c r="J7056" s="15" t="s">
        <v>8</v>
      </c>
      <c r="K7056" s="15" t="s">
        <v>8</v>
      </c>
      <c r="N7056" s="16" t="str">
        <f>HYPERLINK("http://yeinfo.com/family/I09005942.html", "SUFFERANCE HAYNES 1618 EN-1682  ID:09005943")</f>
        <v>SUFFERANCE HAYNES 1618 EN-1682  ID:09005943</v>
      </c>
      <c r="O7056" s="11"/>
      <c r="P7056" s="11"/>
      <c r="Q7056" s="11"/>
      <c r="R7056" s="11"/>
    </row>
    <row r="7057" spans="3:19" x14ac:dyDescent="0.35">
      <c r="C7057" s="15" t="s">
        <v>8</v>
      </c>
      <c r="F7057" s="15" t="s">
        <v>8</v>
      </c>
      <c r="H7057" s="15" t="s">
        <v>8</v>
      </c>
      <c r="J7057" s="15" t="s">
        <v>8</v>
      </c>
      <c r="K7057" s="15" t="s">
        <v>8</v>
      </c>
      <c r="O7057" s="8" t="s">
        <v>6</v>
      </c>
    </row>
    <row r="7058" spans="3:19" x14ac:dyDescent="0.35">
      <c r="C7058" s="15" t="s">
        <v>8</v>
      </c>
      <c r="F7058" s="15" t="s">
        <v>8</v>
      </c>
      <c r="H7058" s="15" t="s">
        <v>8</v>
      </c>
      <c r="J7058" s="15" t="s">
        <v>8</v>
      </c>
      <c r="K7058" s="15" t="s">
        <v>8</v>
      </c>
      <c r="O7058" s="22" t="str">
        <f>HYPERLINK("http://yeinfo.com/family/I09023773.html", "ELIZABETH GOURD 1589 EN-1659 MA ID:09011887")</f>
        <v>ELIZABETH GOURD 1589 EN-1659 MA ID:09011887</v>
      </c>
      <c r="P7058" s="13"/>
      <c r="Q7058" s="13"/>
      <c r="R7058" s="13"/>
      <c r="S7058" s="13"/>
    </row>
    <row r="7059" spans="3:19" x14ac:dyDescent="0.35">
      <c r="C7059" s="15" t="s">
        <v>8</v>
      </c>
      <c r="F7059" s="15" t="s">
        <v>8</v>
      </c>
      <c r="H7059" s="15" t="s">
        <v>8</v>
      </c>
      <c r="J7059" s="8" t="s">
        <v>6</v>
      </c>
      <c r="K7059" s="15" t="s">
        <v>8</v>
      </c>
    </row>
    <row r="7060" spans="3:19" x14ac:dyDescent="0.35">
      <c r="C7060" s="15" t="s">
        <v>8</v>
      </c>
      <c r="F7060" s="15" t="s">
        <v>8</v>
      </c>
      <c r="H7060" s="15" t="s">
        <v>8</v>
      </c>
      <c r="J7060" s="16" t="str">
        <f>HYPERLINK("http://yeinfo.com/family/I09002967.html", "LYDIA MIXER 1734 MA-1825 VT ID:09000371")</f>
        <v>LYDIA MIXER 1734 MA-1825 VT ID:09000371</v>
      </c>
      <c r="K7060" s="11"/>
      <c r="L7060" s="11"/>
      <c r="M7060" s="11"/>
      <c r="N7060" s="11"/>
    </row>
    <row r="7061" spans="3:19" x14ac:dyDescent="0.35">
      <c r="C7061" s="15" t="s">
        <v>8</v>
      </c>
      <c r="F7061" s="15" t="s">
        <v>8</v>
      </c>
      <c r="H7061" s="15" t="s">
        <v>8</v>
      </c>
      <c r="K7061" s="15" t="s">
        <v>8</v>
      </c>
    </row>
    <row r="7062" spans="3:19" x14ac:dyDescent="0.35">
      <c r="C7062" s="15" t="s">
        <v>8</v>
      </c>
      <c r="F7062" s="15" t="s">
        <v>8</v>
      </c>
      <c r="H7062" s="15" t="s">
        <v>8</v>
      </c>
      <c r="K7062" s="15" t="s">
        <v>8</v>
      </c>
      <c r="O7062" s="21" t="str">
        <f>HYPERLINK("http://yeinfo.com/family/I09005944.html", "JOHN BALL 1580 EN-1655 MA ID:09011888")</f>
        <v>JOHN BALL 1580 EN-1655 MA ID:09011888</v>
      </c>
      <c r="P7062" s="6"/>
      <c r="Q7062" s="6"/>
      <c r="R7062" s="6"/>
      <c r="S7062" s="6"/>
    </row>
    <row r="7063" spans="3:19" x14ac:dyDescent="0.35">
      <c r="C7063" s="15" t="s">
        <v>8</v>
      </c>
      <c r="F7063" s="15" t="s">
        <v>8</v>
      </c>
      <c r="H7063" s="15" t="s">
        <v>8</v>
      </c>
      <c r="K7063" s="15" t="s">
        <v>8</v>
      </c>
      <c r="O7063" s="8" t="s">
        <v>3</v>
      </c>
    </row>
    <row r="7064" spans="3:19" x14ac:dyDescent="0.35">
      <c r="C7064" s="15" t="s">
        <v>8</v>
      </c>
      <c r="F7064" s="15" t="s">
        <v>8</v>
      </c>
      <c r="H7064" s="15" t="s">
        <v>8</v>
      </c>
      <c r="K7064" s="15" t="s">
        <v>8</v>
      </c>
      <c r="N7064" s="21" t="str">
        <f>HYPERLINK("http://yeinfo.com/family/I09002972.html", "JOHN BALL 1620 EN-1675 MA ID:09005944")</f>
        <v>JOHN BALL 1620 EN-1675 MA ID:09005944</v>
      </c>
      <c r="O7064" s="6"/>
      <c r="P7064" s="6"/>
      <c r="Q7064" s="6"/>
      <c r="R7064" s="6"/>
    </row>
    <row r="7065" spans="3:19" x14ac:dyDescent="0.35">
      <c r="C7065" s="15" t="s">
        <v>8</v>
      </c>
      <c r="F7065" s="15" t="s">
        <v>8</v>
      </c>
      <c r="H7065" s="15" t="s">
        <v>8</v>
      </c>
      <c r="K7065" s="15" t="s">
        <v>8</v>
      </c>
      <c r="N7065" s="8" t="s">
        <v>3</v>
      </c>
      <c r="O7065" s="8" t="s">
        <v>6</v>
      </c>
    </row>
    <row r="7066" spans="3:19" x14ac:dyDescent="0.35">
      <c r="C7066" s="15" t="s">
        <v>8</v>
      </c>
      <c r="F7066" s="15" t="s">
        <v>8</v>
      </c>
      <c r="H7066" s="15" t="s">
        <v>8</v>
      </c>
      <c r="K7066" s="15" t="s">
        <v>8</v>
      </c>
      <c r="N7066" s="15" t="s">
        <v>8</v>
      </c>
      <c r="O7066" s="22" t="str">
        <f>HYPERLINK("http://yeinfo.com/family/I09011888.html", "ELIZABETH KING 1600 EN-1667 MA ID:09011889")</f>
        <v>ELIZABETH KING 1600 EN-1667 MA ID:09011889</v>
      </c>
      <c r="P7066" s="13"/>
      <c r="Q7066" s="13"/>
      <c r="R7066" s="13"/>
      <c r="S7066" s="13"/>
    </row>
    <row r="7067" spans="3:19" x14ac:dyDescent="0.35">
      <c r="C7067" s="15" t="s">
        <v>8</v>
      </c>
      <c r="F7067" s="15" t="s">
        <v>8</v>
      </c>
      <c r="H7067" s="15" t="s">
        <v>8</v>
      </c>
      <c r="K7067" s="15" t="s">
        <v>8</v>
      </c>
      <c r="N7067" s="15" t="s">
        <v>8</v>
      </c>
    </row>
    <row r="7068" spans="3:19" x14ac:dyDescent="0.35">
      <c r="C7068" s="15" t="s">
        <v>8</v>
      </c>
      <c r="F7068" s="15" t="s">
        <v>8</v>
      </c>
      <c r="H7068" s="15" t="s">
        <v>8</v>
      </c>
      <c r="K7068" s="15" t="s">
        <v>8</v>
      </c>
      <c r="M7068" s="5" t="str">
        <f>HYPERLINK("http://yeinfo.com/family/I09001486.html", "JOHN BALL 1644 MA-1722 MA ID:09002972")</f>
        <v>JOHN BALL 1644 MA-1722 MA ID:09002972</v>
      </c>
      <c r="N7068" s="3"/>
      <c r="O7068" s="3"/>
      <c r="P7068" s="3"/>
      <c r="Q7068" s="3"/>
    </row>
    <row r="7069" spans="3:19" x14ac:dyDescent="0.35">
      <c r="C7069" s="15" t="s">
        <v>8</v>
      </c>
      <c r="F7069" s="15" t="s">
        <v>8</v>
      </c>
      <c r="H7069" s="15" t="s">
        <v>8</v>
      </c>
      <c r="K7069" s="15" t="s">
        <v>8</v>
      </c>
      <c r="M7069" s="8" t="s">
        <v>3</v>
      </c>
      <c r="N7069" s="15" t="s">
        <v>8</v>
      </c>
    </row>
    <row r="7070" spans="3:19" x14ac:dyDescent="0.35">
      <c r="C7070" s="15" t="s">
        <v>8</v>
      </c>
      <c r="F7070" s="15" t="s">
        <v>8</v>
      </c>
      <c r="H7070" s="15" t="s">
        <v>8</v>
      </c>
      <c r="K7070" s="15" t="s">
        <v>8</v>
      </c>
      <c r="M7070" s="15" t="s">
        <v>8</v>
      </c>
      <c r="N7070" s="15" t="s">
        <v>8</v>
      </c>
      <c r="O7070" s="21" t="str">
        <f>HYPERLINK("http://yeinfo.com/family/I09005945.html", "JOHN PIERCE &lt;2&gt; 1585 EN-1661 MA ID:09011890")</f>
        <v>JOHN PIERCE &lt;2&gt; 1585 EN-1661 MA ID:09011890</v>
      </c>
      <c r="P7070" s="6"/>
      <c r="Q7070" s="6"/>
      <c r="R7070" s="6"/>
      <c r="S7070" s="6"/>
    </row>
    <row r="7071" spans="3:19" x14ac:dyDescent="0.35">
      <c r="C7071" s="15" t="s">
        <v>8</v>
      </c>
      <c r="F7071" s="15" t="s">
        <v>8</v>
      </c>
      <c r="H7071" s="15" t="s">
        <v>8</v>
      </c>
      <c r="K7071" s="15" t="s">
        <v>8</v>
      </c>
      <c r="M7071" s="15" t="s">
        <v>8</v>
      </c>
      <c r="N7071" s="8" t="s">
        <v>6</v>
      </c>
      <c r="O7071" s="8" t="s">
        <v>3</v>
      </c>
    </row>
    <row r="7072" spans="3:19" x14ac:dyDescent="0.35">
      <c r="C7072" s="15" t="s">
        <v>8</v>
      </c>
      <c r="F7072" s="15" t="s">
        <v>8</v>
      </c>
      <c r="H7072" s="15" t="s">
        <v>8</v>
      </c>
      <c r="K7072" s="15" t="s">
        <v>8</v>
      </c>
      <c r="M7072" s="15" t="s">
        <v>8</v>
      </c>
      <c r="N7072" s="22" t="str">
        <f>HYPERLINK("http://yeinfo.com/family/I09011889.html", "ELIZABETH PIERCE 1622 EN-1665 MA ID:09005945")</f>
        <v>ELIZABETH PIERCE 1622 EN-1665 MA ID:09005945</v>
      </c>
      <c r="O7072" s="13"/>
      <c r="P7072" s="13"/>
      <c r="Q7072" s="13"/>
      <c r="R7072" s="13"/>
    </row>
    <row r="7073" spans="3:21" x14ac:dyDescent="0.35">
      <c r="C7073" s="15" t="s">
        <v>8</v>
      </c>
      <c r="F7073" s="15" t="s">
        <v>8</v>
      </c>
      <c r="H7073" s="15" t="s">
        <v>8</v>
      </c>
      <c r="K7073" s="15" t="s">
        <v>8</v>
      </c>
      <c r="M7073" s="15" t="s">
        <v>8</v>
      </c>
      <c r="O7073" s="15" t="s">
        <v>8</v>
      </c>
    </row>
    <row r="7074" spans="3:21" x14ac:dyDescent="0.35">
      <c r="C7074" s="15" t="s">
        <v>8</v>
      </c>
      <c r="F7074" s="15" t="s">
        <v>8</v>
      </c>
      <c r="H7074" s="15" t="s">
        <v>8</v>
      </c>
      <c r="K7074" s="15" t="s">
        <v>8</v>
      </c>
      <c r="M7074" s="15" t="s">
        <v>8</v>
      </c>
      <c r="O7074" s="15" t="s">
        <v>8</v>
      </c>
      <c r="P7074" s="19" t="str">
        <f>HYPERLINK("http://yeinfo.com/family/I09011891.html", "ROBERT TRULL &lt;2&gt; 1535 EN-1590 EN ID:09023782")</f>
        <v>ROBERT TRULL &lt;2&gt; 1535 EN-1590 EN ID:09023782</v>
      </c>
      <c r="Q7074" s="9"/>
      <c r="R7074" s="9"/>
      <c r="S7074" s="9"/>
      <c r="T7074" s="9"/>
    </row>
    <row r="7075" spans="3:21" x14ac:dyDescent="0.35">
      <c r="C7075" s="15" t="s">
        <v>8</v>
      </c>
      <c r="F7075" s="15" t="s">
        <v>8</v>
      </c>
      <c r="H7075" s="15" t="s">
        <v>8</v>
      </c>
      <c r="K7075" s="15" t="s">
        <v>8</v>
      </c>
      <c r="M7075" s="15" t="s">
        <v>8</v>
      </c>
      <c r="O7075" s="8" t="s">
        <v>6</v>
      </c>
      <c r="P7075" s="8" t="s">
        <v>3</v>
      </c>
    </row>
    <row r="7076" spans="3:21" x14ac:dyDescent="0.35">
      <c r="C7076" s="15" t="s">
        <v>8</v>
      </c>
      <c r="F7076" s="15" t="s">
        <v>8</v>
      </c>
      <c r="H7076" s="15" t="s">
        <v>8</v>
      </c>
      <c r="K7076" s="15" t="s">
        <v>8</v>
      </c>
      <c r="M7076" s="15" t="s">
        <v>8</v>
      </c>
      <c r="O7076" s="22" t="str">
        <f>HYPERLINK("http://yeinfo.com/family/I09011890.html", "ELIZABETH TRULL &lt;2&gt; 1590 EN-1667 MA ID:09011891")</f>
        <v>ELIZABETH TRULL &lt;2&gt; 1590 EN-1667 MA ID:09011891</v>
      </c>
      <c r="P7076" s="13"/>
      <c r="Q7076" s="13"/>
      <c r="R7076" s="13"/>
      <c r="S7076" s="13"/>
    </row>
    <row r="7077" spans="3:21" x14ac:dyDescent="0.35">
      <c r="C7077" s="15" t="s">
        <v>8</v>
      </c>
      <c r="F7077" s="15" t="s">
        <v>8</v>
      </c>
      <c r="H7077" s="15" t="s">
        <v>8</v>
      </c>
      <c r="K7077" s="15" t="s">
        <v>8</v>
      </c>
      <c r="M7077" s="15" t="s">
        <v>8</v>
      </c>
      <c r="P7077" s="8" t="s">
        <v>6</v>
      </c>
    </row>
    <row r="7078" spans="3:21" x14ac:dyDescent="0.35">
      <c r="C7078" s="15" t="s">
        <v>8</v>
      </c>
      <c r="F7078" s="15" t="s">
        <v>8</v>
      </c>
      <c r="H7078" s="15" t="s">
        <v>8</v>
      </c>
      <c r="K7078" s="15" t="s">
        <v>8</v>
      </c>
      <c r="M7078" s="15" t="s">
        <v>8</v>
      </c>
      <c r="P7078" s="20" t="str">
        <f>HYPERLINK("http://yeinfo.com/family/I09023782.html", "MARY LADYMAN &lt;2&gt; 1556 EN-1590 EN ID:09023783")</f>
        <v>MARY LADYMAN &lt;2&gt; 1556 EN-1590 EN ID:09023783</v>
      </c>
      <c r="Q7078" s="17"/>
      <c r="R7078" s="17"/>
      <c r="S7078" s="17"/>
      <c r="T7078" s="17"/>
    </row>
    <row r="7079" spans="3:21" x14ac:dyDescent="0.35">
      <c r="C7079" s="15" t="s">
        <v>8</v>
      </c>
      <c r="F7079" s="15" t="s">
        <v>8</v>
      </c>
      <c r="H7079" s="15" t="s">
        <v>8</v>
      </c>
      <c r="K7079" s="15" t="s">
        <v>8</v>
      </c>
      <c r="M7079" s="15" t="s">
        <v>8</v>
      </c>
    </row>
    <row r="7080" spans="3:21" x14ac:dyDescent="0.35">
      <c r="C7080" s="15" t="s">
        <v>8</v>
      </c>
      <c r="F7080" s="15" t="s">
        <v>8</v>
      </c>
      <c r="H7080" s="15" t="s">
        <v>8</v>
      </c>
      <c r="K7080" s="15" t="s">
        <v>8</v>
      </c>
      <c r="L7080" s="5" t="str">
        <f>HYPERLINK("http://yeinfo.com/family/I09000743.html", "DANIEL BALL 1683 MA-1717 MA ID:09001486")</f>
        <v>DANIEL BALL 1683 MA-1717 MA ID:09001486</v>
      </c>
      <c r="M7080" s="3"/>
      <c r="N7080" s="3"/>
      <c r="O7080" s="3"/>
      <c r="P7080" s="3"/>
    </row>
    <row r="7081" spans="3:21" x14ac:dyDescent="0.35">
      <c r="C7081" s="15" t="s">
        <v>8</v>
      </c>
      <c r="F7081" s="15" t="s">
        <v>8</v>
      </c>
      <c r="H7081" s="15" t="s">
        <v>8</v>
      </c>
      <c r="K7081" s="15" t="s">
        <v>8</v>
      </c>
      <c r="L7081" s="8" t="s">
        <v>3</v>
      </c>
      <c r="M7081" s="15" t="s">
        <v>8</v>
      </c>
    </row>
    <row r="7082" spans="3:21" x14ac:dyDescent="0.35">
      <c r="C7082" s="15" t="s">
        <v>8</v>
      </c>
      <c r="F7082" s="15" t="s">
        <v>8</v>
      </c>
      <c r="H7082" s="15" t="s">
        <v>8</v>
      </c>
      <c r="K7082" s="15" t="s">
        <v>8</v>
      </c>
      <c r="L7082" s="15" t="s">
        <v>8</v>
      </c>
      <c r="M7082" s="15" t="s">
        <v>8</v>
      </c>
      <c r="Q7082" s="19" t="str">
        <f>HYPERLINK("http://yeinfo.com/family/I09023784.html", "JOHN BULLARD 1510 EN-1583 EN ID:09047568")</f>
        <v>JOHN BULLARD 1510 EN-1583 EN ID:09047568</v>
      </c>
      <c r="R7082" s="9"/>
      <c r="S7082" s="9"/>
      <c r="T7082" s="9"/>
      <c r="U7082" s="9"/>
    </row>
    <row r="7083" spans="3:21" x14ac:dyDescent="0.35">
      <c r="C7083" s="15" t="s">
        <v>8</v>
      </c>
      <c r="F7083" s="15" t="s">
        <v>8</v>
      </c>
      <c r="H7083" s="15" t="s">
        <v>8</v>
      </c>
      <c r="K7083" s="15" t="s">
        <v>8</v>
      </c>
      <c r="L7083" s="15" t="s">
        <v>8</v>
      </c>
      <c r="M7083" s="15" t="s">
        <v>8</v>
      </c>
      <c r="Q7083" s="8" t="s">
        <v>3</v>
      </c>
    </row>
    <row r="7084" spans="3:21" x14ac:dyDescent="0.35">
      <c r="C7084" s="15" t="s">
        <v>8</v>
      </c>
      <c r="F7084" s="15" t="s">
        <v>8</v>
      </c>
      <c r="H7084" s="15" t="s">
        <v>8</v>
      </c>
      <c r="K7084" s="15" t="s">
        <v>8</v>
      </c>
      <c r="L7084" s="15" t="s">
        <v>8</v>
      </c>
      <c r="M7084" s="15" t="s">
        <v>8</v>
      </c>
      <c r="P7084" s="19" t="str">
        <f>HYPERLINK("http://yeinfo.com/family/I09011892.html", "HENRY BULLARD 1535 EN-1591 EN ID:09023784")</f>
        <v>HENRY BULLARD 1535 EN-1591 EN ID:09023784</v>
      </c>
      <c r="Q7084" s="9"/>
      <c r="R7084" s="9"/>
      <c r="S7084" s="9"/>
      <c r="T7084" s="9"/>
    </row>
    <row r="7085" spans="3:21" x14ac:dyDescent="0.35">
      <c r="C7085" s="15" t="s">
        <v>8</v>
      </c>
      <c r="F7085" s="15" t="s">
        <v>8</v>
      </c>
      <c r="H7085" s="15" t="s">
        <v>8</v>
      </c>
      <c r="K7085" s="15" t="s">
        <v>8</v>
      </c>
      <c r="L7085" s="15" t="s">
        <v>8</v>
      </c>
      <c r="M7085" s="15" t="s">
        <v>8</v>
      </c>
      <c r="P7085" s="8" t="s">
        <v>3</v>
      </c>
      <c r="Q7085" s="8" t="s">
        <v>6</v>
      </c>
    </row>
    <row r="7086" spans="3:21" x14ac:dyDescent="0.35">
      <c r="C7086" s="15" t="s">
        <v>8</v>
      </c>
      <c r="F7086" s="15" t="s">
        <v>8</v>
      </c>
      <c r="H7086" s="15" t="s">
        <v>8</v>
      </c>
      <c r="K7086" s="15" t="s">
        <v>8</v>
      </c>
      <c r="L7086" s="15" t="s">
        <v>8</v>
      </c>
      <c r="M7086" s="15" t="s">
        <v>8</v>
      </c>
      <c r="P7086" s="15" t="s">
        <v>8</v>
      </c>
      <c r="Q7086" s="20" t="str">
        <f>HYPERLINK("http://yeinfo.com/family/I09047568.html", "MARGARET KENT 1510 EN-1587 EN ID:09047569")</f>
        <v>MARGARET KENT 1510 EN-1587 EN ID:09047569</v>
      </c>
      <c r="R7086" s="17"/>
      <c r="S7086" s="17"/>
      <c r="T7086" s="17"/>
      <c r="U7086" s="17"/>
    </row>
    <row r="7087" spans="3:21" x14ac:dyDescent="0.35">
      <c r="C7087" s="15" t="s">
        <v>8</v>
      </c>
      <c r="F7087" s="15" t="s">
        <v>8</v>
      </c>
      <c r="H7087" s="15" t="s">
        <v>8</v>
      </c>
      <c r="K7087" s="15" t="s">
        <v>8</v>
      </c>
      <c r="L7087" s="15" t="s">
        <v>8</v>
      </c>
      <c r="M7087" s="15" t="s">
        <v>8</v>
      </c>
      <c r="P7087" s="15" t="s">
        <v>8</v>
      </c>
    </row>
    <row r="7088" spans="3:21" x14ac:dyDescent="0.35">
      <c r="C7088" s="15" t="s">
        <v>8</v>
      </c>
      <c r="F7088" s="15" t="s">
        <v>8</v>
      </c>
      <c r="H7088" s="15" t="s">
        <v>8</v>
      </c>
      <c r="K7088" s="15" t="s">
        <v>8</v>
      </c>
      <c r="L7088" s="15" t="s">
        <v>8</v>
      </c>
      <c r="M7088" s="15" t="s">
        <v>8</v>
      </c>
      <c r="O7088" s="19" t="str">
        <f>HYPERLINK("http://yeinfo.com/family/I09005946.html", "WILLIAM BULLARD 1562 EN-1610 EN ID:09011892")</f>
        <v>WILLIAM BULLARD 1562 EN-1610 EN ID:09011892</v>
      </c>
      <c r="P7088" s="9"/>
      <c r="Q7088" s="9"/>
      <c r="R7088" s="9"/>
      <c r="S7088" s="9"/>
    </row>
    <row r="7089" spans="3:21" x14ac:dyDescent="0.35">
      <c r="C7089" s="15" t="s">
        <v>8</v>
      </c>
      <c r="F7089" s="15" t="s">
        <v>8</v>
      </c>
      <c r="H7089" s="15" t="s">
        <v>8</v>
      </c>
      <c r="K7089" s="15" t="s">
        <v>8</v>
      </c>
      <c r="L7089" s="15" t="s">
        <v>8</v>
      </c>
      <c r="M7089" s="15" t="s">
        <v>8</v>
      </c>
      <c r="O7089" s="8" t="s">
        <v>3</v>
      </c>
      <c r="P7089" s="8" t="s">
        <v>6</v>
      </c>
    </row>
    <row r="7090" spans="3:21" x14ac:dyDescent="0.35">
      <c r="C7090" s="15" t="s">
        <v>8</v>
      </c>
      <c r="F7090" s="15" t="s">
        <v>8</v>
      </c>
      <c r="H7090" s="15" t="s">
        <v>8</v>
      </c>
      <c r="K7090" s="15" t="s">
        <v>8</v>
      </c>
      <c r="L7090" s="15" t="s">
        <v>8</v>
      </c>
      <c r="M7090" s="15" t="s">
        <v>8</v>
      </c>
      <c r="O7090" s="15" t="s">
        <v>8</v>
      </c>
      <c r="P7090" s="20" t="str">
        <f>HYPERLINK("http://yeinfo.com/family/I09047569.html", "MARGARET GREEKE 1535 EN-1574 EN ID:09023785")</f>
        <v>MARGARET GREEKE 1535 EN-1574 EN ID:09023785</v>
      </c>
      <c r="Q7090" s="17"/>
      <c r="R7090" s="17"/>
      <c r="S7090" s="17"/>
      <c r="T7090" s="17"/>
    </row>
    <row r="7091" spans="3:21" x14ac:dyDescent="0.35">
      <c r="C7091" s="15" t="s">
        <v>8</v>
      </c>
      <c r="F7091" s="15" t="s">
        <v>8</v>
      </c>
      <c r="H7091" s="15" t="s">
        <v>8</v>
      </c>
      <c r="K7091" s="15" t="s">
        <v>8</v>
      </c>
      <c r="L7091" s="15" t="s">
        <v>8</v>
      </c>
      <c r="M7091" s="15" t="s">
        <v>8</v>
      </c>
      <c r="O7091" s="15" t="s">
        <v>8</v>
      </c>
    </row>
    <row r="7092" spans="3:21" x14ac:dyDescent="0.35">
      <c r="C7092" s="15" t="s">
        <v>8</v>
      </c>
      <c r="F7092" s="15" t="s">
        <v>8</v>
      </c>
      <c r="H7092" s="15" t="s">
        <v>8</v>
      </c>
      <c r="K7092" s="15" t="s">
        <v>8</v>
      </c>
      <c r="L7092" s="15" t="s">
        <v>8</v>
      </c>
      <c r="M7092" s="15" t="s">
        <v>8</v>
      </c>
      <c r="N7092" s="21" t="str">
        <f>HYPERLINK("http://yeinfo.com/family/I09002973.html", "GEORGE BULLARD 1607 EN-1689 MA ID:09005946")</f>
        <v>GEORGE BULLARD 1607 EN-1689 MA ID:09005946</v>
      </c>
      <c r="O7092" s="6"/>
      <c r="P7092" s="6"/>
      <c r="Q7092" s="6"/>
      <c r="R7092" s="6"/>
    </row>
    <row r="7093" spans="3:21" x14ac:dyDescent="0.35">
      <c r="C7093" s="15" t="s">
        <v>8</v>
      </c>
      <c r="F7093" s="15" t="s">
        <v>8</v>
      </c>
      <c r="H7093" s="15" t="s">
        <v>8</v>
      </c>
      <c r="K7093" s="15" t="s">
        <v>8</v>
      </c>
      <c r="L7093" s="15" t="s">
        <v>8</v>
      </c>
      <c r="M7093" s="15" t="s">
        <v>8</v>
      </c>
      <c r="N7093" s="8" t="s">
        <v>3</v>
      </c>
      <c r="O7093" s="15" t="s">
        <v>8</v>
      </c>
    </row>
    <row r="7094" spans="3:21" x14ac:dyDescent="0.35">
      <c r="C7094" s="15" t="s">
        <v>8</v>
      </c>
      <c r="F7094" s="15" t="s">
        <v>8</v>
      </c>
      <c r="H7094" s="15" t="s">
        <v>8</v>
      </c>
      <c r="K7094" s="15" t="s">
        <v>8</v>
      </c>
      <c r="L7094" s="15" t="s">
        <v>8</v>
      </c>
      <c r="M7094" s="15" t="s">
        <v>8</v>
      </c>
      <c r="N7094" s="15" t="s">
        <v>8</v>
      </c>
      <c r="O7094" s="15" t="s">
        <v>8</v>
      </c>
      <c r="Q7094" s="19" t="str">
        <f>HYPERLINK("http://yeinfo.com/family/I09023786.html", "THOMAS BIGNETTE 1490 EN-1542 EN ID:09047572")</f>
        <v>THOMAS BIGNETTE 1490 EN-1542 EN ID:09047572</v>
      </c>
      <c r="R7094" s="9"/>
      <c r="S7094" s="9"/>
      <c r="T7094" s="9"/>
      <c r="U7094" s="9"/>
    </row>
    <row r="7095" spans="3:21" x14ac:dyDescent="0.35">
      <c r="C7095" s="15" t="s">
        <v>8</v>
      </c>
      <c r="F7095" s="15" t="s">
        <v>8</v>
      </c>
      <c r="H7095" s="15" t="s">
        <v>8</v>
      </c>
      <c r="K7095" s="15" t="s">
        <v>8</v>
      </c>
      <c r="L7095" s="15" t="s">
        <v>8</v>
      </c>
      <c r="M7095" s="15" t="s">
        <v>8</v>
      </c>
      <c r="N7095" s="15" t="s">
        <v>8</v>
      </c>
      <c r="O7095" s="15" t="s">
        <v>8</v>
      </c>
      <c r="Q7095" s="8" t="s">
        <v>3</v>
      </c>
    </row>
    <row r="7096" spans="3:21" x14ac:dyDescent="0.35">
      <c r="C7096" s="15" t="s">
        <v>8</v>
      </c>
      <c r="F7096" s="15" t="s">
        <v>8</v>
      </c>
      <c r="H7096" s="15" t="s">
        <v>8</v>
      </c>
      <c r="K7096" s="15" t="s">
        <v>8</v>
      </c>
      <c r="L7096" s="15" t="s">
        <v>8</v>
      </c>
      <c r="M7096" s="15" t="s">
        <v>8</v>
      </c>
      <c r="N7096" s="15" t="s">
        <v>8</v>
      </c>
      <c r="O7096" s="15" t="s">
        <v>8</v>
      </c>
      <c r="P7096" s="19" t="str">
        <f>HYPERLINK("http://yeinfo.com/family/I09011893.html", "WILLIAM BIGNETTE 1519 EN-1583 EN ID:09023786")</f>
        <v>WILLIAM BIGNETTE 1519 EN-1583 EN ID:09023786</v>
      </c>
      <c r="Q7096" s="9"/>
      <c r="R7096" s="9"/>
      <c r="S7096" s="9"/>
      <c r="T7096" s="9"/>
    </row>
    <row r="7097" spans="3:21" x14ac:dyDescent="0.35">
      <c r="C7097" s="15" t="s">
        <v>8</v>
      </c>
      <c r="F7097" s="15" t="s">
        <v>8</v>
      </c>
      <c r="H7097" s="15" t="s">
        <v>8</v>
      </c>
      <c r="K7097" s="15" t="s">
        <v>8</v>
      </c>
      <c r="L7097" s="15" t="s">
        <v>8</v>
      </c>
      <c r="M7097" s="15" t="s">
        <v>8</v>
      </c>
      <c r="N7097" s="15" t="s">
        <v>8</v>
      </c>
      <c r="O7097" s="15" t="s">
        <v>8</v>
      </c>
      <c r="P7097" s="8" t="s">
        <v>3</v>
      </c>
      <c r="Q7097" s="8" t="s">
        <v>6</v>
      </c>
    </row>
    <row r="7098" spans="3:21" x14ac:dyDescent="0.35">
      <c r="C7098" s="15" t="s">
        <v>8</v>
      </c>
      <c r="F7098" s="15" t="s">
        <v>8</v>
      </c>
      <c r="H7098" s="15" t="s">
        <v>8</v>
      </c>
      <c r="K7098" s="15" t="s">
        <v>8</v>
      </c>
      <c r="L7098" s="15" t="s">
        <v>8</v>
      </c>
      <c r="M7098" s="15" t="s">
        <v>8</v>
      </c>
      <c r="N7098" s="15" t="s">
        <v>8</v>
      </c>
      <c r="O7098" s="15" t="s">
        <v>8</v>
      </c>
      <c r="P7098" s="15" t="s">
        <v>8</v>
      </c>
      <c r="Q7098" s="20" t="str">
        <f>HYPERLINK("http://yeinfo.com/family/I09047572.html", "Mrs. {_?_} BIGNETTE 1490 EN-1522 EN ID:09047573")</f>
        <v>Mrs. {_?_} BIGNETTE 1490 EN-1522 EN ID:09047573</v>
      </c>
      <c r="R7098" s="17"/>
      <c r="S7098" s="17"/>
      <c r="T7098" s="17"/>
      <c r="U7098" s="17"/>
    </row>
    <row r="7099" spans="3:21" x14ac:dyDescent="0.35">
      <c r="C7099" s="15" t="s">
        <v>8</v>
      </c>
      <c r="F7099" s="15" t="s">
        <v>8</v>
      </c>
      <c r="H7099" s="15" t="s">
        <v>8</v>
      </c>
      <c r="K7099" s="15" t="s">
        <v>8</v>
      </c>
      <c r="L7099" s="15" t="s">
        <v>8</v>
      </c>
      <c r="M7099" s="15" t="s">
        <v>8</v>
      </c>
      <c r="N7099" s="15" t="s">
        <v>8</v>
      </c>
      <c r="O7099" s="8" t="s">
        <v>6</v>
      </c>
      <c r="P7099" s="15" t="s">
        <v>8</v>
      </c>
    </row>
    <row r="7100" spans="3:21" x14ac:dyDescent="0.35">
      <c r="C7100" s="15" t="s">
        <v>8</v>
      </c>
      <c r="F7100" s="15" t="s">
        <v>8</v>
      </c>
      <c r="H7100" s="15" t="s">
        <v>8</v>
      </c>
      <c r="K7100" s="15" t="s">
        <v>8</v>
      </c>
      <c r="L7100" s="15" t="s">
        <v>8</v>
      </c>
      <c r="M7100" s="15" t="s">
        <v>8</v>
      </c>
      <c r="N7100" s="15" t="s">
        <v>8</v>
      </c>
      <c r="O7100" s="20" t="str">
        <f>HYPERLINK("http://yeinfo.com/family/I09023785.html", "GRACE BIGNETTE 1565 EN-1630 EN ID:09011893")</f>
        <v>GRACE BIGNETTE 1565 EN-1630 EN ID:09011893</v>
      </c>
      <c r="P7100" s="17"/>
      <c r="Q7100" s="17"/>
      <c r="R7100" s="17"/>
      <c r="S7100" s="17"/>
    </row>
    <row r="7101" spans="3:21" x14ac:dyDescent="0.35">
      <c r="C7101" s="15" t="s">
        <v>8</v>
      </c>
      <c r="F7101" s="15" t="s">
        <v>8</v>
      </c>
      <c r="H7101" s="15" t="s">
        <v>8</v>
      </c>
      <c r="K7101" s="15" t="s">
        <v>8</v>
      </c>
      <c r="L7101" s="15" t="s">
        <v>8</v>
      </c>
      <c r="M7101" s="15" t="s">
        <v>8</v>
      </c>
      <c r="N7101" s="15" t="s">
        <v>8</v>
      </c>
      <c r="P7101" s="8" t="s">
        <v>6</v>
      </c>
    </row>
    <row r="7102" spans="3:21" x14ac:dyDescent="0.35">
      <c r="C7102" s="15" t="s">
        <v>8</v>
      </c>
      <c r="F7102" s="15" t="s">
        <v>8</v>
      </c>
      <c r="H7102" s="15" t="s">
        <v>8</v>
      </c>
      <c r="K7102" s="15" t="s">
        <v>8</v>
      </c>
      <c r="L7102" s="15" t="s">
        <v>8</v>
      </c>
      <c r="M7102" s="15" t="s">
        <v>8</v>
      </c>
      <c r="N7102" s="15" t="s">
        <v>8</v>
      </c>
      <c r="P7102" s="20" t="str">
        <f>HYPERLINK("http://yeinfo.com/family/I09047573.html", "Mrs. MARGARET BIGNETTE 1520 EN-1596 EN ID:09023787")</f>
        <v>Mrs. MARGARET BIGNETTE 1520 EN-1596 EN ID:09023787</v>
      </c>
      <c r="Q7102" s="17"/>
      <c r="R7102" s="17"/>
      <c r="S7102" s="17"/>
      <c r="T7102" s="17"/>
    </row>
    <row r="7103" spans="3:21" x14ac:dyDescent="0.35">
      <c r="C7103" s="15" t="s">
        <v>8</v>
      </c>
      <c r="F7103" s="15" t="s">
        <v>8</v>
      </c>
      <c r="H7103" s="15" t="s">
        <v>8</v>
      </c>
      <c r="K7103" s="15" t="s">
        <v>8</v>
      </c>
      <c r="L7103" s="15" t="s">
        <v>8</v>
      </c>
      <c r="M7103" s="8" t="s">
        <v>6</v>
      </c>
      <c r="N7103" s="15" t="s">
        <v>8</v>
      </c>
    </row>
    <row r="7104" spans="3:21" x14ac:dyDescent="0.35">
      <c r="C7104" s="15" t="s">
        <v>8</v>
      </c>
      <c r="F7104" s="15" t="s">
        <v>8</v>
      </c>
      <c r="H7104" s="15" t="s">
        <v>8</v>
      </c>
      <c r="K7104" s="15" t="s">
        <v>8</v>
      </c>
      <c r="L7104" s="15" t="s">
        <v>8</v>
      </c>
      <c r="M7104" s="22" t="str">
        <f>HYPERLINK("http://yeinfo.com/family/I09023783.html", "SARAH BULLARD 1645 EN-1686 MA ID:09002973")</f>
        <v>SARAH BULLARD 1645 EN-1686 MA ID:09002973</v>
      </c>
      <c r="N7104" s="13"/>
      <c r="O7104" s="13"/>
      <c r="P7104" s="13"/>
      <c r="Q7104" s="13"/>
    </row>
    <row r="7105" spans="3:19" x14ac:dyDescent="0.35">
      <c r="C7105" s="15" t="s">
        <v>8</v>
      </c>
      <c r="F7105" s="15" t="s">
        <v>8</v>
      </c>
      <c r="H7105" s="15" t="s">
        <v>8</v>
      </c>
      <c r="K7105" s="15" t="s">
        <v>8</v>
      </c>
      <c r="L7105" s="15" t="s">
        <v>8</v>
      </c>
      <c r="N7105" s="8" t="s">
        <v>6</v>
      </c>
    </row>
    <row r="7106" spans="3:19" x14ac:dyDescent="0.35">
      <c r="C7106" s="15" t="s">
        <v>8</v>
      </c>
      <c r="F7106" s="15" t="s">
        <v>8</v>
      </c>
      <c r="H7106" s="15" t="s">
        <v>8</v>
      </c>
      <c r="K7106" s="15" t="s">
        <v>8</v>
      </c>
      <c r="L7106" s="15" t="s">
        <v>8</v>
      </c>
      <c r="N7106" s="22" t="str">
        <f>HYPERLINK("http://yeinfo.com/family/I09023787.html", "BEATRICE HALL 1610 EN-1652 MA ID:09005947")</f>
        <v>BEATRICE HALL 1610 EN-1652 MA ID:09005947</v>
      </c>
      <c r="O7106" s="13"/>
      <c r="P7106" s="13"/>
      <c r="Q7106" s="13"/>
      <c r="R7106" s="13"/>
    </row>
    <row r="7107" spans="3:19" x14ac:dyDescent="0.35">
      <c r="C7107" s="15" t="s">
        <v>8</v>
      </c>
      <c r="F7107" s="15" t="s">
        <v>8</v>
      </c>
      <c r="H7107" s="15" t="s">
        <v>8</v>
      </c>
      <c r="K7107" s="8" t="s">
        <v>6</v>
      </c>
      <c r="L7107" s="15" t="s">
        <v>8</v>
      </c>
    </row>
    <row r="7108" spans="3:19" x14ac:dyDescent="0.35">
      <c r="C7108" s="15" t="s">
        <v>8</v>
      </c>
      <c r="F7108" s="15" t="s">
        <v>8</v>
      </c>
      <c r="H7108" s="15" t="s">
        <v>8</v>
      </c>
      <c r="K7108" s="16" t="str">
        <f>HYPERLINK("http://yeinfo.com/family/I09011887.html", "MARY ELIZABETH BALL 1709 MA-1748  ID:09000743")</f>
        <v>MARY ELIZABETH BALL 1709 MA-1748  ID:09000743</v>
      </c>
      <c r="L7108" s="11"/>
      <c r="M7108" s="11"/>
      <c r="N7108" s="11"/>
      <c r="O7108" s="11"/>
    </row>
    <row r="7109" spans="3:19" x14ac:dyDescent="0.35">
      <c r="C7109" s="15" t="s">
        <v>8</v>
      </c>
      <c r="F7109" s="15" t="s">
        <v>8</v>
      </c>
      <c r="H7109" s="15" t="s">
        <v>8</v>
      </c>
      <c r="L7109" s="15" t="s">
        <v>8</v>
      </c>
    </row>
    <row r="7110" spans="3:19" x14ac:dyDescent="0.35">
      <c r="C7110" s="15" t="s">
        <v>8</v>
      </c>
      <c r="F7110" s="15" t="s">
        <v>8</v>
      </c>
      <c r="H7110" s="15" t="s">
        <v>8</v>
      </c>
      <c r="L7110" s="15" t="s">
        <v>8</v>
      </c>
      <c r="O7110" s="21" t="str">
        <f>HYPERLINK("http://yeinfo.com/family/I09005948.html", "RALPH EARLE 1605 EN-1678 RI ID:09011896")</f>
        <v>RALPH EARLE 1605 EN-1678 RI ID:09011896</v>
      </c>
      <c r="P7110" s="6"/>
      <c r="Q7110" s="6"/>
      <c r="R7110" s="6"/>
      <c r="S7110" s="6"/>
    </row>
    <row r="7111" spans="3:19" x14ac:dyDescent="0.35">
      <c r="C7111" s="15" t="s">
        <v>8</v>
      </c>
      <c r="F7111" s="15" t="s">
        <v>8</v>
      </c>
      <c r="H7111" s="15" t="s">
        <v>8</v>
      </c>
      <c r="L7111" s="15" t="s">
        <v>8</v>
      </c>
      <c r="O7111" s="8" t="s">
        <v>3</v>
      </c>
    </row>
    <row r="7112" spans="3:19" x14ac:dyDescent="0.35">
      <c r="C7112" s="15" t="s">
        <v>8</v>
      </c>
      <c r="F7112" s="15" t="s">
        <v>8</v>
      </c>
      <c r="H7112" s="15" t="s">
        <v>8</v>
      </c>
      <c r="L7112" s="15" t="s">
        <v>8</v>
      </c>
      <c r="N7112" s="21" t="str">
        <f>HYPERLINK("http://yeinfo.com/family/I09002974.html", "WILLIAM EARLE 1632 EN-1715 RI ID:09005948")</f>
        <v>WILLIAM EARLE 1632 EN-1715 RI ID:09005948</v>
      </c>
      <c r="O7112" s="6"/>
      <c r="P7112" s="6"/>
      <c r="Q7112" s="6"/>
      <c r="R7112" s="6"/>
    </row>
    <row r="7113" spans="3:19" x14ac:dyDescent="0.35">
      <c r="C7113" s="15" t="s">
        <v>8</v>
      </c>
      <c r="F7113" s="15" t="s">
        <v>8</v>
      </c>
      <c r="H7113" s="15" t="s">
        <v>8</v>
      </c>
      <c r="L7113" s="15" t="s">
        <v>8</v>
      </c>
      <c r="N7113" s="8" t="s">
        <v>3</v>
      </c>
      <c r="O7113" s="8" t="s">
        <v>6</v>
      </c>
    </row>
    <row r="7114" spans="3:19" x14ac:dyDescent="0.35">
      <c r="C7114" s="15" t="s">
        <v>8</v>
      </c>
      <c r="F7114" s="15" t="s">
        <v>8</v>
      </c>
      <c r="H7114" s="15" t="s">
        <v>8</v>
      </c>
      <c r="L7114" s="15" t="s">
        <v>8</v>
      </c>
      <c r="N7114" s="15" t="s">
        <v>8</v>
      </c>
      <c r="O7114" s="22" t="str">
        <f>HYPERLINK("http://yeinfo.com/family/I09011896.html", "JOAN SAVAGE 1606 EN-1632 RI ID:09011897")</f>
        <v>JOAN SAVAGE 1606 EN-1632 RI ID:09011897</v>
      </c>
      <c r="P7114" s="13"/>
      <c r="Q7114" s="13"/>
      <c r="R7114" s="13"/>
      <c r="S7114" s="13"/>
    </row>
    <row r="7115" spans="3:19" x14ac:dyDescent="0.35">
      <c r="C7115" s="15" t="s">
        <v>8</v>
      </c>
      <c r="F7115" s="15" t="s">
        <v>8</v>
      </c>
      <c r="H7115" s="15" t="s">
        <v>8</v>
      </c>
      <c r="L7115" s="15" t="s">
        <v>8</v>
      </c>
      <c r="N7115" s="15" t="s">
        <v>8</v>
      </c>
    </row>
    <row r="7116" spans="3:19" x14ac:dyDescent="0.35">
      <c r="C7116" s="15" t="s">
        <v>8</v>
      </c>
      <c r="F7116" s="15" t="s">
        <v>8</v>
      </c>
      <c r="H7116" s="15" t="s">
        <v>8</v>
      </c>
      <c r="L7116" s="15" t="s">
        <v>8</v>
      </c>
      <c r="M7116" s="5" t="str">
        <f>HYPERLINK("http://yeinfo.com/family/I09001487.html", "JOHN EARLE 1664 MA-1703 MA ID:09002974")</f>
        <v>JOHN EARLE 1664 MA-1703 MA ID:09002974</v>
      </c>
      <c r="N7116" s="3"/>
      <c r="O7116" s="3"/>
      <c r="P7116" s="3"/>
      <c r="Q7116" s="3"/>
    </row>
    <row r="7117" spans="3:19" x14ac:dyDescent="0.35">
      <c r="C7117" s="15" t="s">
        <v>8</v>
      </c>
      <c r="F7117" s="15" t="s">
        <v>8</v>
      </c>
      <c r="H7117" s="15" t="s">
        <v>8</v>
      </c>
      <c r="L7117" s="15" t="s">
        <v>8</v>
      </c>
      <c r="M7117" s="8" t="s">
        <v>3</v>
      </c>
      <c r="N7117" s="15" t="s">
        <v>8</v>
      </c>
    </row>
    <row r="7118" spans="3:19" x14ac:dyDescent="0.35">
      <c r="C7118" s="15" t="s">
        <v>8</v>
      </c>
      <c r="F7118" s="15" t="s">
        <v>8</v>
      </c>
      <c r="H7118" s="15" t="s">
        <v>8</v>
      </c>
      <c r="L7118" s="15" t="s">
        <v>8</v>
      </c>
      <c r="M7118" s="15" t="s">
        <v>8</v>
      </c>
      <c r="N7118" s="15" t="s">
        <v>8</v>
      </c>
      <c r="O7118" s="5" t="str">
        <f>HYPERLINK("http://yeinfo.com/family/I09005949.html", "JOHN WALKER 1604 EN-1635  ID:09011898")</f>
        <v>JOHN WALKER 1604 EN-1635  ID:09011898</v>
      </c>
      <c r="P7118" s="3"/>
      <c r="Q7118" s="3"/>
      <c r="R7118" s="3"/>
      <c r="S7118" s="3"/>
    </row>
    <row r="7119" spans="3:19" x14ac:dyDescent="0.35">
      <c r="C7119" s="15" t="s">
        <v>8</v>
      </c>
      <c r="F7119" s="15" t="s">
        <v>8</v>
      </c>
      <c r="H7119" s="15" t="s">
        <v>8</v>
      </c>
      <c r="L7119" s="15" t="s">
        <v>8</v>
      </c>
      <c r="M7119" s="15" t="s">
        <v>8</v>
      </c>
      <c r="N7119" s="8" t="s">
        <v>6</v>
      </c>
      <c r="O7119" s="8" t="s">
        <v>3</v>
      </c>
    </row>
    <row r="7120" spans="3:19" x14ac:dyDescent="0.35">
      <c r="C7120" s="15" t="s">
        <v>8</v>
      </c>
      <c r="F7120" s="15" t="s">
        <v>8</v>
      </c>
      <c r="H7120" s="15" t="s">
        <v>8</v>
      </c>
      <c r="L7120" s="15" t="s">
        <v>8</v>
      </c>
      <c r="M7120" s="15" t="s">
        <v>8</v>
      </c>
      <c r="N7120" s="22" t="str">
        <f>HYPERLINK("http://yeinfo.com/family/I09011897.html", "MARY WALKER 1635 EN-1718 RI ID:09005949")</f>
        <v>MARY WALKER 1635 EN-1718 RI ID:09005949</v>
      </c>
      <c r="O7120" s="13"/>
      <c r="P7120" s="13"/>
      <c r="Q7120" s="13"/>
      <c r="R7120" s="13"/>
    </row>
    <row r="7121" spans="3:25" x14ac:dyDescent="0.35">
      <c r="C7121" s="15" t="s">
        <v>8</v>
      </c>
      <c r="F7121" s="15" t="s">
        <v>8</v>
      </c>
      <c r="H7121" s="15" t="s">
        <v>8</v>
      </c>
      <c r="L7121" s="15" t="s">
        <v>8</v>
      </c>
      <c r="M7121" s="15" t="s">
        <v>8</v>
      </c>
      <c r="O7121" s="8" t="s">
        <v>6</v>
      </c>
    </row>
    <row r="7122" spans="3:25" x14ac:dyDescent="0.35">
      <c r="C7122" s="15" t="s">
        <v>8</v>
      </c>
      <c r="F7122" s="15" t="s">
        <v>8</v>
      </c>
      <c r="H7122" s="15" t="s">
        <v>8</v>
      </c>
      <c r="L7122" s="15" t="s">
        <v>8</v>
      </c>
      <c r="M7122" s="15" t="s">
        <v>8</v>
      </c>
      <c r="O7122" s="22" t="str">
        <f>HYPERLINK("http://yeinfo.com/family/I09011898.html", "KATHERINE HUTCHINSON 1610 EN-1654 RI ID:09011899")</f>
        <v>KATHERINE HUTCHINSON 1610 EN-1654 RI ID:09011899</v>
      </c>
      <c r="P7122" s="13"/>
      <c r="Q7122" s="13"/>
      <c r="R7122" s="13"/>
      <c r="S7122" s="13"/>
    </row>
    <row r="7123" spans="3:25" x14ac:dyDescent="0.35">
      <c r="C7123" s="15" t="s">
        <v>8</v>
      </c>
      <c r="F7123" s="15" t="s">
        <v>8</v>
      </c>
      <c r="H7123" s="15" t="s">
        <v>8</v>
      </c>
      <c r="L7123" s="8" t="s">
        <v>6</v>
      </c>
      <c r="M7123" s="15" t="s">
        <v>8</v>
      </c>
    </row>
    <row r="7124" spans="3:25" x14ac:dyDescent="0.35">
      <c r="C7124" s="15" t="s">
        <v>8</v>
      </c>
      <c r="F7124" s="15" t="s">
        <v>8</v>
      </c>
      <c r="H7124" s="15" t="s">
        <v>8</v>
      </c>
      <c r="L7124" s="16" t="str">
        <f>HYPERLINK("http://yeinfo.com/family/I09005947.html", "MARY EARLE 1690 MA-1720  ID:09001487")</f>
        <v>MARY EARLE 1690 MA-1720  ID:09001487</v>
      </c>
      <c r="M7124" s="11"/>
      <c r="N7124" s="11"/>
      <c r="O7124" s="11"/>
      <c r="P7124" s="11"/>
    </row>
    <row r="7125" spans="3:25" x14ac:dyDescent="0.35">
      <c r="C7125" s="15" t="s">
        <v>8</v>
      </c>
      <c r="F7125" s="15" t="s">
        <v>8</v>
      </c>
      <c r="H7125" s="15" t="s">
        <v>8</v>
      </c>
      <c r="M7125" s="15" t="s">
        <v>8</v>
      </c>
    </row>
    <row r="7126" spans="3:25" x14ac:dyDescent="0.35">
      <c r="C7126" s="15" t="s">
        <v>8</v>
      </c>
      <c r="F7126" s="15" t="s">
        <v>8</v>
      </c>
      <c r="H7126" s="15" t="s">
        <v>8</v>
      </c>
      <c r="M7126" s="15" t="s">
        <v>8</v>
      </c>
      <c r="U7126" s="19" t="str">
        <f>HYPERLINK("http://yeinfo.com/family/I09065895.html", "JOHN LAWRENCE 1450 EN-1485 EN ID:09066051")</f>
        <v>JOHN LAWRENCE 1450 EN-1485 EN ID:09066051</v>
      </c>
      <c r="V7126" s="9"/>
      <c r="W7126" s="9"/>
      <c r="X7126" s="9"/>
      <c r="Y7126" s="9"/>
    </row>
    <row r="7127" spans="3:25" x14ac:dyDescent="0.35">
      <c r="C7127" s="15" t="s">
        <v>8</v>
      </c>
      <c r="F7127" s="15" t="s">
        <v>8</v>
      </c>
      <c r="H7127" s="15" t="s">
        <v>8</v>
      </c>
      <c r="M7127" s="15" t="s">
        <v>8</v>
      </c>
      <c r="U7127" s="8" t="s">
        <v>3</v>
      </c>
    </row>
    <row r="7128" spans="3:25" x14ac:dyDescent="0.35">
      <c r="C7128" s="15" t="s">
        <v>8</v>
      </c>
      <c r="F7128" s="15" t="s">
        <v>8</v>
      </c>
      <c r="H7128" s="15" t="s">
        <v>8</v>
      </c>
      <c r="M7128" s="15" t="s">
        <v>8</v>
      </c>
      <c r="T7128" s="19" t="str">
        <f>HYPERLINK("http://yeinfo.com/family/I09065742.html", "ROBERT LAWRENCE 1474 EN-1500 EN ID:09065895")</f>
        <v>ROBERT LAWRENCE 1474 EN-1500 EN ID:09065895</v>
      </c>
      <c r="U7128" s="9"/>
      <c r="V7128" s="9"/>
      <c r="W7128" s="9"/>
      <c r="X7128" s="9"/>
    </row>
    <row r="7129" spans="3:25" x14ac:dyDescent="0.35">
      <c r="C7129" s="15" t="s">
        <v>8</v>
      </c>
      <c r="F7129" s="15" t="s">
        <v>8</v>
      </c>
      <c r="H7129" s="15" t="s">
        <v>8</v>
      </c>
      <c r="M7129" s="15" t="s">
        <v>8</v>
      </c>
      <c r="T7129" s="8" t="s">
        <v>3</v>
      </c>
      <c r="U7129" s="8" t="s">
        <v>6</v>
      </c>
    </row>
    <row r="7130" spans="3:25" x14ac:dyDescent="0.35">
      <c r="C7130" s="15" t="s">
        <v>8</v>
      </c>
      <c r="F7130" s="15" t="s">
        <v>8</v>
      </c>
      <c r="H7130" s="15" t="s">
        <v>8</v>
      </c>
      <c r="M7130" s="15" t="s">
        <v>8</v>
      </c>
      <c r="T7130" s="15" t="s">
        <v>8</v>
      </c>
      <c r="U7130" s="20" t="str">
        <f>HYPERLINK("http://yeinfo.com/family/I09066051.html", "MARGERY HOLT 1465 EN-1485 EN ID:09066052")</f>
        <v>MARGERY HOLT 1465 EN-1485 EN ID:09066052</v>
      </c>
      <c r="V7130" s="17"/>
      <c r="W7130" s="17"/>
      <c r="X7130" s="17"/>
      <c r="Y7130" s="17"/>
    </row>
    <row r="7131" spans="3:25" x14ac:dyDescent="0.35">
      <c r="C7131" s="15" t="s">
        <v>8</v>
      </c>
      <c r="F7131" s="15" t="s">
        <v>8</v>
      </c>
      <c r="H7131" s="15" t="s">
        <v>8</v>
      </c>
      <c r="M7131" s="15" t="s">
        <v>8</v>
      </c>
      <c r="T7131" s="15" t="s">
        <v>8</v>
      </c>
    </row>
    <row r="7132" spans="3:25" x14ac:dyDescent="0.35">
      <c r="C7132" s="15" t="s">
        <v>8</v>
      </c>
      <c r="F7132" s="15" t="s">
        <v>8</v>
      </c>
      <c r="H7132" s="15" t="s">
        <v>8</v>
      </c>
      <c r="M7132" s="15" t="s">
        <v>8</v>
      </c>
      <c r="S7132" s="19" t="str">
        <f>HYPERLINK("http://yeinfo.com/family/I09065609.html", "JOHN LAWRENCE 1495 EN-1555 EN ID:09065742")</f>
        <v>JOHN LAWRENCE 1495 EN-1555 EN ID:09065742</v>
      </c>
      <c r="T7132" s="9"/>
      <c r="U7132" s="9"/>
      <c r="V7132" s="9"/>
      <c r="W7132" s="9"/>
    </row>
    <row r="7133" spans="3:25" x14ac:dyDescent="0.35">
      <c r="C7133" s="15" t="s">
        <v>8</v>
      </c>
      <c r="F7133" s="15" t="s">
        <v>8</v>
      </c>
      <c r="H7133" s="15" t="s">
        <v>8</v>
      </c>
      <c r="M7133" s="15" t="s">
        <v>8</v>
      </c>
      <c r="S7133" s="8" t="s">
        <v>3</v>
      </c>
      <c r="T7133" s="8" t="s">
        <v>6</v>
      </c>
    </row>
    <row r="7134" spans="3:25" x14ac:dyDescent="0.35">
      <c r="C7134" s="15" t="s">
        <v>8</v>
      </c>
      <c r="F7134" s="15" t="s">
        <v>8</v>
      </c>
      <c r="H7134" s="15" t="s">
        <v>8</v>
      </c>
      <c r="M7134" s="15" t="s">
        <v>8</v>
      </c>
      <c r="S7134" s="15" t="s">
        <v>8</v>
      </c>
      <c r="T7134" s="20" t="str">
        <f>HYPERLINK("http://yeinfo.com/family/I09066052.html", "Mrs. ELIZABETH LAWRENCE 1474 EN-1500 EN ID:09065896")</f>
        <v>Mrs. ELIZABETH LAWRENCE 1474 EN-1500 EN ID:09065896</v>
      </c>
      <c r="U7134" s="17"/>
      <c r="V7134" s="17"/>
      <c r="W7134" s="17"/>
      <c r="X7134" s="17"/>
    </row>
    <row r="7135" spans="3:25" x14ac:dyDescent="0.35">
      <c r="C7135" s="15" t="s">
        <v>8</v>
      </c>
      <c r="F7135" s="15" t="s">
        <v>8</v>
      </c>
      <c r="H7135" s="15" t="s">
        <v>8</v>
      </c>
      <c r="M7135" s="15" t="s">
        <v>8</v>
      </c>
      <c r="S7135" s="15" t="s">
        <v>8</v>
      </c>
    </row>
    <row r="7136" spans="3:25" x14ac:dyDescent="0.35">
      <c r="C7136" s="15" t="s">
        <v>8</v>
      </c>
      <c r="F7136" s="15" t="s">
        <v>8</v>
      </c>
      <c r="H7136" s="15" t="s">
        <v>8</v>
      </c>
      <c r="M7136" s="15" t="s">
        <v>8</v>
      </c>
      <c r="R7136" s="19" t="str">
        <f>HYPERLINK("http://yeinfo.com/family/I09047600.html", "JOHN LAWRENCE 1523 EN-1590 EN ID:09065609")</f>
        <v>JOHN LAWRENCE 1523 EN-1590 EN ID:09065609</v>
      </c>
      <c r="S7136" s="9"/>
      <c r="T7136" s="9"/>
      <c r="U7136" s="9"/>
      <c r="V7136" s="9"/>
    </row>
    <row r="7137" spans="3:23" x14ac:dyDescent="0.35">
      <c r="C7137" s="15" t="s">
        <v>8</v>
      </c>
      <c r="F7137" s="15" t="s">
        <v>8</v>
      </c>
      <c r="H7137" s="15" t="s">
        <v>8</v>
      </c>
      <c r="M7137" s="15" t="s">
        <v>8</v>
      </c>
      <c r="R7137" s="8" t="s">
        <v>3</v>
      </c>
      <c r="S7137" s="8" t="s">
        <v>6</v>
      </c>
    </row>
    <row r="7138" spans="3:23" x14ac:dyDescent="0.35">
      <c r="C7138" s="15" t="s">
        <v>8</v>
      </c>
      <c r="F7138" s="15" t="s">
        <v>8</v>
      </c>
      <c r="H7138" s="15" t="s">
        <v>8</v>
      </c>
      <c r="M7138" s="15" t="s">
        <v>8</v>
      </c>
      <c r="R7138" s="15" t="s">
        <v>8</v>
      </c>
      <c r="S7138" s="20" t="str">
        <f>HYPERLINK("http://yeinfo.com/family/I09065896.html", "Mrs. ELIZABETH LAWRENCE 1500 EN-1523 EN ID:09065743")</f>
        <v>Mrs. ELIZABETH LAWRENCE 1500 EN-1523 EN ID:09065743</v>
      </c>
      <c r="T7138" s="17"/>
      <c r="U7138" s="17"/>
      <c r="V7138" s="17"/>
      <c r="W7138" s="17"/>
    </row>
    <row r="7139" spans="3:23" x14ac:dyDescent="0.35">
      <c r="C7139" s="15" t="s">
        <v>8</v>
      </c>
      <c r="F7139" s="15" t="s">
        <v>8</v>
      </c>
      <c r="H7139" s="15" t="s">
        <v>8</v>
      </c>
      <c r="M7139" s="15" t="s">
        <v>8</v>
      </c>
      <c r="R7139" s="15" t="s">
        <v>8</v>
      </c>
    </row>
    <row r="7140" spans="3:23" x14ac:dyDescent="0.35">
      <c r="C7140" s="15" t="s">
        <v>8</v>
      </c>
      <c r="F7140" s="15" t="s">
        <v>8</v>
      </c>
      <c r="H7140" s="15" t="s">
        <v>8</v>
      </c>
      <c r="M7140" s="15" t="s">
        <v>8</v>
      </c>
      <c r="Q7140" s="5" t="str">
        <f>HYPERLINK("http://yeinfo.com/family/I09023800.html", "JOHN LAWRENCE 1545 EN-1607  ID:09047600")</f>
        <v>JOHN LAWRENCE 1545 EN-1607  ID:09047600</v>
      </c>
      <c r="R7140" s="3"/>
      <c r="S7140" s="3"/>
      <c r="T7140" s="3"/>
      <c r="U7140" s="3"/>
    </row>
    <row r="7141" spans="3:23" x14ac:dyDescent="0.35">
      <c r="C7141" s="15" t="s">
        <v>8</v>
      </c>
      <c r="F7141" s="15" t="s">
        <v>8</v>
      </c>
      <c r="H7141" s="15" t="s">
        <v>8</v>
      </c>
      <c r="M7141" s="15" t="s">
        <v>8</v>
      </c>
      <c r="Q7141" s="8" t="s">
        <v>3</v>
      </c>
      <c r="R7141" s="8" t="s">
        <v>6</v>
      </c>
    </row>
    <row r="7142" spans="3:23" x14ac:dyDescent="0.35">
      <c r="C7142" s="15" t="s">
        <v>8</v>
      </c>
      <c r="F7142" s="15" t="s">
        <v>8</v>
      </c>
      <c r="H7142" s="15" t="s">
        <v>8</v>
      </c>
      <c r="M7142" s="15" t="s">
        <v>8</v>
      </c>
      <c r="Q7142" s="15" t="s">
        <v>8</v>
      </c>
      <c r="R7142" s="20" t="str">
        <f>HYPERLINK("http://yeinfo.com/family/I09065743.html", "AGNES CLARK 1525 EN-1545  ID:09065610")</f>
        <v>AGNES CLARK 1525 EN-1545  ID:09065610</v>
      </c>
      <c r="S7142" s="17"/>
      <c r="T7142" s="17"/>
      <c r="U7142" s="17"/>
      <c r="V7142" s="17"/>
    </row>
    <row r="7143" spans="3:23" x14ac:dyDescent="0.35">
      <c r="C7143" s="15" t="s">
        <v>8</v>
      </c>
      <c r="F7143" s="15" t="s">
        <v>8</v>
      </c>
      <c r="H7143" s="15" t="s">
        <v>8</v>
      </c>
      <c r="M7143" s="15" t="s">
        <v>8</v>
      </c>
      <c r="Q7143" s="15" t="s">
        <v>8</v>
      </c>
    </row>
    <row r="7144" spans="3:23" x14ac:dyDescent="0.35">
      <c r="C7144" s="15" t="s">
        <v>8</v>
      </c>
      <c r="F7144" s="15" t="s">
        <v>8</v>
      </c>
      <c r="H7144" s="15" t="s">
        <v>8</v>
      </c>
      <c r="M7144" s="15" t="s">
        <v>8</v>
      </c>
      <c r="P7144" s="21" t="str">
        <f>HYPERLINK("http://yeinfo.com/family/I09011900.html", "HENRY LAWRENCE 1586 EN-1638 MA ID:09023800")</f>
        <v>HENRY LAWRENCE 1586 EN-1638 MA ID:09023800</v>
      </c>
      <c r="Q7144" s="6"/>
      <c r="R7144" s="6"/>
      <c r="S7144" s="6"/>
      <c r="T7144" s="6"/>
    </row>
    <row r="7145" spans="3:23" x14ac:dyDescent="0.35">
      <c r="C7145" s="15" t="s">
        <v>8</v>
      </c>
      <c r="F7145" s="15" t="s">
        <v>8</v>
      </c>
      <c r="H7145" s="15" t="s">
        <v>8</v>
      </c>
      <c r="M7145" s="15" t="s">
        <v>8</v>
      </c>
      <c r="P7145" s="8" t="s">
        <v>3</v>
      </c>
      <c r="Q7145" s="8" t="s">
        <v>6</v>
      </c>
    </row>
    <row r="7146" spans="3:23" x14ac:dyDescent="0.35">
      <c r="C7146" s="15" t="s">
        <v>8</v>
      </c>
      <c r="F7146" s="15" t="s">
        <v>8</v>
      </c>
      <c r="H7146" s="15" t="s">
        <v>8</v>
      </c>
      <c r="M7146" s="15" t="s">
        <v>8</v>
      </c>
      <c r="P7146" s="15" t="s">
        <v>8</v>
      </c>
      <c r="Q7146" s="20" t="str">
        <f>HYPERLINK("http://yeinfo.com/family/I09065610.html", "JOAN FURSTENDEN 1549 EN-1586  ID:09047601")</f>
        <v>JOAN FURSTENDEN 1549 EN-1586  ID:09047601</v>
      </c>
      <c r="R7146" s="17"/>
      <c r="S7146" s="17"/>
      <c r="T7146" s="17"/>
      <c r="U7146" s="17"/>
    </row>
    <row r="7147" spans="3:23" x14ac:dyDescent="0.35">
      <c r="C7147" s="15" t="s">
        <v>8</v>
      </c>
      <c r="F7147" s="15" t="s">
        <v>8</v>
      </c>
      <c r="H7147" s="15" t="s">
        <v>8</v>
      </c>
      <c r="M7147" s="15" t="s">
        <v>8</v>
      </c>
      <c r="P7147" s="15" t="s">
        <v>8</v>
      </c>
    </row>
    <row r="7148" spans="3:23" x14ac:dyDescent="0.35">
      <c r="C7148" s="15" t="s">
        <v>8</v>
      </c>
      <c r="F7148" s="15" t="s">
        <v>8</v>
      </c>
      <c r="H7148" s="15" t="s">
        <v>8</v>
      </c>
      <c r="M7148" s="15" t="s">
        <v>8</v>
      </c>
      <c r="O7148" s="21" t="str">
        <f>HYPERLINK("http://yeinfo.com/family/I09005950.html", "JOHN LAWRENCE 1609 EN-1667 MA ID:09011900")</f>
        <v>JOHN LAWRENCE 1609 EN-1667 MA ID:09011900</v>
      </c>
      <c r="P7148" s="6"/>
      <c r="Q7148" s="6"/>
      <c r="R7148" s="6"/>
      <c r="S7148" s="6"/>
    </row>
    <row r="7149" spans="3:23" x14ac:dyDescent="0.35">
      <c r="C7149" s="15" t="s">
        <v>8</v>
      </c>
      <c r="F7149" s="15" t="s">
        <v>8</v>
      </c>
      <c r="H7149" s="15" t="s">
        <v>8</v>
      </c>
      <c r="M7149" s="15" t="s">
        <v>8</v>
      </c>
      <c r="O7149" s="8" t="s">
        <v>3</v>
      </c>
      <c r="P7149" s="8" t="s">
        <v>6</v>
      </c>
    </row>
    <row r="7150" spans="3:23" x14ac:dyDescent="0.35">
      <c r="C7150" s="15" t="s">
        <v>8</v>
      </c>
      <c r="F7150" s="15" t="s">
        <v>8</v>
      </c>
      <c r="H7150" s="15" t="s">
        <v>8</v>
      </c>
      <c r="M7150" s="15" t="s">
        <v>8</v>
      </c>
      <c r="O7150" s="15" t="s">
        <v>8</v>
      </c>
      <c r="P7150" s="22" t="str">
        <f>HYPERLINK("http://yeinfo.com/family/I09047601.html", "MARY WEST 1579 EN-1647 MA ID:09023801")</f>
        <v>MARY WEST 1579 EN-1647 MA ID:09023801</v>
      </c>
      <c r="Q7150" s="13"/>
      <c r="R7150" s="13"/>
      <c r="S7150" s="13"/>
      <c r="T7150" s="13"/>
    </row>
    <row r="7151" spans="3:23" x14ac:dyDescent="0.35">
      <c r="C7151" s="15" t="s">
        <v>8</v>
      </c>
      <c r="F7151" s="15" t="s">
        <v>8</v>
      </c>
      <c r="H7151" s="15" t="s">
        <v>8</v>
      </c>
      <c r="M7151" s="15" t="s">
        <v>8</v>
      </c>
      <c r="O7151" s="15" t="s">
        <v>8</v>
      </c>
    </row>
    <row r="7152" spans="3:23" x14ac:dyDescent="0.35">
      <c r="C7152" s="15" t="s">
        <v>8</v>
      </c>
      <c r="F7152" s="15" t="s">
        <v>8</v>
      </c>
      <c r="H7152" s="15" t="s">
        <v>8</v>
      </c>
      <c r="M7152" s="15" t="s">
        <v>8</v>
      </c>
      <c r="N7152" s="5" t="str">
        <f>HYPERLINK("http://yeinfo.com/family/I09002975.html", "GEORGE LAWRENCE 1637 MA-1709 MA ID:09005950")</f>
        <v>GEORGE LAWRENCE 1637 MA-1709 MA ID:09005950</v>
      </c>
      <c r="O7152" s="3"/>
      <c r="P7152" s="3"/>
      <c r="Q7152" s="3"/>
      <c r="R7152" s="3"/>
    </row>
    <row r="7153" spans="3:24" x14ac:dyDescent="0.35">
      <c r="C7153" s="15" t="s">
        <v>8</v>
      </c>
      <c r="F7153" s="15" t="s">
        <v>8</v>
      </c>
      <c r="H7153" s="15" t="s">
        <v>8</v>
      </c>
      <c r="M7153" s="15" t="s">
        <v>8</v>
      </c>
      <c r="N7153" s="8" t="s">
        <v>3</v>
      </c>
      <c r="O7153" s="15" t="s">
        <v>8</v>
      </c>
    </row>
    <row r="7154" spans="3:24" x14ac:dyDescent="0.35">
      <c r="C7154" s="15" t="s">
        <v>8</v>
      </c>
      <c r="F7154" s="15" t="s">
        <v>8</v>
      </c>
      <c r="H7154" s="15" t="s">
        <v>8</v>
      </c>
      <c r="M7154" s="15" t="s">
        <v>8</v>
      </c>
      <c r="N7154" s="15" t="s">
        <v>8</v>
      </c>
      <c r="O7154" s="15" t="s">
        <v>8</v>
      </c>
      <c r="P7154" s="19" t="str">
        <f>HYPERLINK("http://yeinfo.com/family/I09011901.html", "AARON\SIMON COOKE 1583 EN-1615 EN ID:09023802")</f>
        <v>AARON\SIMON COOKE 1583 EN-1615 EN ID:09023802</v>
      </c>
      <c r="Q7154" s="9"/>
      <c r="R7154" s="9"/>
      <c r="S7154" s="9"/>
      <c r="T7154" s="9"/>
      <c r="U7154" s="9"/>
    </row>
    <row r="7155" spans="3:24" x14ac:dyDescent="0.35">
      <c r="C7155" s="15" t="s">
        <v>8</v>
      </c>
      <c r="F7155" s="15" t="s">
        <v>8</v>
      </c>
      <c r="H7155" s="15" t="s">
        <v>8</v>
      </c>
      <c r="M7155" s="15" t="s">
        <v>8</v>
      </c>
      <c r="N7155" s="15" t="s">
        <v>8</v>
      </c>
      <c r="O7155" s="8" t="s">
        <v>6</v>
      </c>
      <c r="P7155" s="8" t="s">
        <v>3</v>
      </c>
    </row>
    <row r="7156" spans="3:24" x14ac:dyDescent="0.35">
      <c r="C7156" s="15" t="s">
        <v>8</v>
      </c>
      <c r="F7156" s="15" t="s">
        <v>8</v>
      </c>
      <c r="H7156" s="15" t="s">
        <v>8</v>
      </c>
      <c r="M7156" s="15" t="s">
        <v>8</v>
      </c>
      <c r="N7156" s="15" t="s">
        <v>8</v>
      </c>
      <c r="O7156" s="16" t="str">
        <f>HYPERLINK("http://yeinfo.com/family/I09023801.html", "ELIZABETH COOKE 1611 -1663 MA ID:09011901")</f>
        <v>ELIZABETH COOKE 1611 -1663 MA ID:09011901</v>
      </c>
      <c r="P7156" s="11"/>
      <c r="Q7156" s="11"/>
      <c r="R7156" s="11"/>
      <c r="S7156" s="11"/>
    </row>
    <row r="7157" spans="3:24" x14ac:dyDescent="0.35">
      <c r="C7157" s="15" t="s">
        <v>8</v>
      </c>
      <c r="F7157" s="15" t="s">
        <v>8</v>
      </c>
      <c r="H7157" s="15" t="s">
        <v>8</v>
      </c>
      <c r="M7157" s="15" t="s">
        <v>8</v>
      </c>
      <c r="N7157" s="15" t="s">
        <v>8</v>
      </c>
      <c r="P7157" s="15" t="s">
        <v>8</v>
      </c>
    </row>
    <row r="7158" spans="3:24" x14ac:dyDescent="0.35">
      <c r="C7158" s="15" t="s">
        <v>8</v>
      </c>
      <c r="F7158" s="15" t="s">
        <v>8</v>
      </c>
      <c r="H7158" s="15" t="s">
        <v>8</v>
      </c>
      <c r="M7158" s="15" t="s">
        <v>8</v>
      </c>
      <c r="N7158" s="15" t="s">
        <v>8</v>
      </c>
      <c r="P7158" s="15" t="s">
        <v>8</v>
      </c>
      <c r="Q7158" s="19" t="str">
        <f>HYPERLINK("http://yeinfo.com/family/I09023803.html", "THOMAS\AARON CHARDE 1567 EN-1588 EN ID:09047606")</f>
        <v>THOMAS\AARON CHARDE 1567 EN-1588 EN ID:09047606</v>
      </c>
      <c r="R7158" s="9"/>
      <c r="S7158" s="9"/>
      <c r="T7158" s="9"/>
      <c r="U7158" s="9"/>
      <c r="V7158" s="9"/>
    </row>
    <row r="7159" spans="3:24" x14ac:dyDescent="0.35">
      <c r="C7159" s="15" t="s">
        <v>8</v>
      </c>
      <c r="F7159" s="15" t="s">
        <v>8</v>
      </c>
      <c r="H7159" s="15" t="s">
        <v>8</v>
      </c>
      <c r="M7159" s="15" t="s">
        <v>8</v>
      </c>
      <c r="N7159" s="15" t="s">
        <v>8</v>
      </c>
      <c r="P7159" s="8" t="s">
        <v>6</v>
      </c>
      <c r="Q7159" s="8" t="s">
        <v>3</v>
      </c>
    </row>
    <row r="7160" spans="3:24" x14ac:dyDescent="0.35">
      <c r="C7160" s="15" t="s">
        <v>8</v>
      </c>
      <c r="F7160" s="15" t="s">
        <v>8</v>
      </c>
      <c r="H7160" s="15" t="s">
        <v>8</v>
      </c>
      <c r="M7160" s="15" t="s">
        <v>8</v>
      </c>
      <c r="N7160" s="15" t="s">
        <v>8</v>
      </c>
      <c r="P7160" s="22" t="str">
        <f>HYPERLINK("http://yeinfo.com/family/I09023802.html", "ELIZABETH CHARDE 1588 EN-1673 CT ID:09023803")</f>
        <v>ELIZABETH CHARDE 1588 EN-1673 CT ID:09023803</v>
      </c>
      <c r="Q7160" s="13"/>
      <c r="R7160" s="13"/>
      <c r="S7160" s="13"/>
      <c r="T7160" s="13"/>
    </row>
    <row r="7161" spans="3:24" x14ac:dyDescent="0.35">
      <c r="C7161" s="15" t="s">
        <v>8</v>
      </c>
      <c r="F7161" s="15" t="s">
        <v>8</v>
      </c>
      <c r="H7161" s="15" t="s">
        <v>8</v>
      </c>
      <c r="M7161" s="15" t="s">
        <v>8</v>
      </c>
      <c r="N7161" s="15" t="s">
        <v>8</v>
      </c>
      <c r="Q7161" s="15" t="s">
        <v>8</v>
      </c>
    </row>
    <row r="7162" spans="3:24" x14ac:dyDescent="0.35">
      <c r="C7162" s="15" t="s">
        <v>8</v>
      </c>
      <c r="F7162" s="15" t="s">
        <v>8</v>
      </c>
      <c r="H7162" s="15" t="s">
        <v>8</v>
      </c>
      <c r="M7162" s="15" t="s">
        <v>8</v>
      </c>
      <c r="N7162" s="15" t="s">
        <v>8</v>
      </c>
      <c r="Q7162" s="15" t="s">
        <v>8</v>
      </c>
      <c r="T7162" s="19" t="str">
        <f>HYPERLINK("http://yeinfo.com/family/I09065774.html", "THOMAS BUNCKOM 1485 EN-1575 EN ID:09065917")</f>
        <v>THOMAS BUNCKOM 1485 EN-1575 EN ID:09065917</v>
      </c>
      <c r="U7162" s="9"/>
      <c r="V7162" s="9"/>
      <c r="W7162" s="9"/>
      <c r="X7162" s="9"/>
    </row>
    <row r="7163" spans="3:24" x14ac:dyDescent="0.35">
      <c r="C7163" s="15" t="s">
        <v>8</v>
      </c>
      <c r="F7163" s="15" t="s">
        <v>8</v>
      </c>
      <c r="H7163" s="15" t="s">
        <v>8</v>
      </c>
      <c r="M7163" s="15" t="s">
        <v>8</v>
      </c>
      <c r="N7163" s="15" t="s">
        <v>8</v>
      </c>
      <c r="Q7163" s="15" t="s">
        <v>8</v>
      </c>
      <c r="T7163" s="8" t="s">
        <v>3</v>
      </c>
    </row>
    <row r="7164" spans="3:24" x14ac:dyDescent="0.35">
      <c r="C7164" s="15" t="s">
        <v>8</v>
      </c>
      <c r="F7164" s="15" t="s">
        <v>8</v>
      </c>
      <c r="H7164" s="15" t="s">
        <v>8</v>
      </c>
      <c r="M7164" s="15" t="s">
        <v>8</v>
      </c>
      <c r="N7164" s="15" t="s">
        <v>8</v>
      </c>
      <c r="Q7164" s="15" t="s">
        <v>8</v>
      </c>
      <c r="S7164" s="19" t="str">
        <f>HYPERLINK("http://yeinfo.com/family/I09065640.html", "THOMAS BUNCKOM 1520 EN-1575 EN ID:09065774")</f>
        <v>THOMAS BUNCKOM 1520 EN-1575 EN ID:09065774</v>
      </c>
      <c r="T7164" s="9"/>
      <c r="U7164" s="9"/>
      <c r="V7164" s="9"/>
      <c r="W7164" s="9"/>
    </row>
    <row r="7165" spans="3:24" x14ac:dyDescent="0.35">
      <c r="C7165" s="15" t="s">
        <v>8</v>
      </c>
      <c r="F7165" s="15" t="s">
        <v>8</v>
      </c>
      <c r="H7165" s="15" t="s">
        <v>8</v>
      </c>
      <c r="M7165" s="15" t="s">
        <v>8</v>
      </c>
      <c r="N7165" s="15" t="s">
        <v>8</v>
      </c>
      <c r="Q7165" s="15" t="s">
        <v>8</v>
      </c>
      <c r="S7165" s="8" t="s">
        <v>3</v>
      </c>
      <c r="T7165" s="8" t="s">
        <v>6</v>
      </c>
    </row>
    <row r="7166" spans="3:24" x14ac:dyDescent="0.35">
      <c r="C7166" s="15" t="s">
        <v>8</v>
      </c>
      <c r="F7166" s="15" t="s">
        <v>8</v>
      </c>
      <c r="H7166" s="15" t="s">
        <v>8</v>
      </c>
      <c r="M7166" s="15" t="s">
        <v>8</v>
      </c>
      <c r="N7166" s="15" t="s">
        <v>8</v>
      </c>
      <c r="Q7166" s="15" t="s">
        <v>8</v>
      </c>
      <c r="S7166" s="15" t="s">
        <v>8</v>
      </c>
      <c r="T7166" s="20" t="str">
        <f>HYPERLINK("http://yeinfo.com/family/I09065917.html", "Mrs. MARY BUNCKOM 1500 EN-1520 EN ID:09065916")</f>
        <v>Mrs. MARY BUNCKOM 1500 EN-1520 EN ID:09065916</v>
      </c>
      <c r="U7166" s="17"/>
      <c r="V7166" s="17"/>
      <c r="W7166" s="17"/>
      <c r="X7166" s="17"/>
    </row>
    <row r="7167" spans="3:24" x14ac:dyDescent="0.35">
      <c r="C7167" s="15" t="s">
        <v>8</v>
      </c>
      <c r="F7167" s="15" t="s">
        <v>8</v>
      </c>
      <c r="H7167" s="15" t="s">
        <v>8</v>
      </c>
      <c r="M7167" s="15" t="s">
        <v>8</v>
      </c>
      <c r="N7167" s="15" t="s">
        <v>8</v>
      </c>
      <c r="Q7167" s="15" t="s">
        <v>8</v>
      </c>
      <c r="S7167" s="15" t="s">
        <v>8</v>
      </c>
    </row>
    <row r="7168" spans="3:24" x14ac:dyDescent="0.35">
      <c r="C7168" s="15" t="s">
        <v>8</v>
      </c>
      <c r="F7168" s="15" t="s">
        <v>8</v>
      </c>
      <c r="H7168" s="15" t="s">
        <v>8</v>
      </c>
      <c r="M7168" s="15" t="s">
        <v>8</v>
      </c>
      <c r="N7168" s="15" t="s">
        <v>8</v>
      </c>
      <c r="Q7168" s="15" t="s">
        <v>8</v>
      </c>
      <c r="R7168" s="19" t="str">
        <f>HYPERLINK("http://yeinfo.com/family/I09047607.html", "JOHN BUNCKOM 1545 EN-1569 EN ID:09065640")</f>
        <v>JOHN BUNCKOM 1545 EN-1569 EN ID:09065640</v>
      </c>
      <c r="S7168" s="9"/>
      <c r="T7168" s="9"/>
      <c r="U7168" s="9"/>
      <c r="V7168" s="9"/>
    </row>
    <row r="7169" spans="3:25" x14ac:dyDescent="0.35">
      <c r="C7169" s="15" t="s">
        <v>8</v>
      </c>
      <c r="F7169" s="15" t="s">
        <v>8</v>
      </c>
      <c r="H7169" s="15" t="s">
        <v>8</v>
      </c>
      <c r="M7169" s="15" t="s">
        <v>8</v>
      </c>
      <c r="N7169" s="15" t="s">
        <v>8</v>
      </c>
      <c r="Q7169" s="15" t="s">
        <v>8</v>
      </c>
      <c r="R7169" s="8" t="s">
        <v>3</v>
      </c>
      <c r="S7169" s="8" t="s">
        <v>6</v>
      </c>
    </row>
    <row r="7170" spans="3:25" x14ac:dyDescent="0.35">
      <c r="C7170" s="15" t="s">
        <v>8</v>
      </c>
      <c r="F7170" s="15" t="s">
        <v>8</v>
      </c>
      <c r="H7170" s="15" t="s">
        <v>8</v>
      </c>
      <c r="M7170" s="15" t="s">
        <v>8</v>
      </c>
      <c r="N7170" s="15" t="s">
        <v>8</v>
      </c>
      <c r="Q7170" s="15" t="s">
        <v>8</v>
      </c>
      <c r="R7170" s="15" t="s">
        <v>8</v>
      </c>
      <c r="S7170" s="20" t="str">
        <f>HYPERLINK("http://yeinfo.com/family/I09065916.html", "ISABELL SOROREIUS 1520 EN-1569 EN ID:09065798")</f>
        <v>ISABELL SOROREIUS 1520 EN-1569 EN ID:09065798</v>
      </c>
      <c r="T7170" s="17"/>
      <c r="U7170" s="17"/>
      <c r="V7170" s="17"/>
      <c r="W7170" s="17"/>
    </row>
    <row r="7171" spans="3:25" x14ac:dyDescent="0.35">
      <c r="C7171" s="15" t="s">
        <v>8</v>
      </c>
      <c r="F7171" s="15" t="s">
        <v>8</v>
      </c>
      <c r="H7171" s="15" t="s">
        <v>8</v>
      </c>
      <c r="M7171" s="15" t="s">
        <v>8</v>
      </c>
      <c r="N7171" s="15" t="s">
        <v>8</v>
      </c>
      <c r="Q7171" s="8" t="s">
        <v>6</v>
      </c>
      <c r="R7171" s="15" t="s">
        <v>8</v>
      </c>
    </row>
    <row r="7172" spans="3:25" x14ac:dyDescent="0.35">
      <c r="C7172" s="15" t="s">
        <v>8</v>
      </c>
      <c r="F7172" s="15" t="s">
        <v>8</v>
      </c>
      <c r="H7172" s="15" t="s">
        <v>8</v>
      </c>
      <c r="M7172" s="15" t="s">
        <v>8</v>
      </c>
      <c r="N7172" s="15" t="s">
        <v>8</v>
      </c>
      <c r="Q7172" s="20" t="str">
        <f>HYPERLINK("http://yeinfo.com/family/I09047606.html", "ELIZABETH BUNCKOM 1569 EN-1589  ID:09047607")</f>
        <v>ELIZABETH BUNCKOM 1569 EN-1589  ID:09047607</v>
      </c>
      <c r="R7172" s="17"/>
      <c r="S7172" s="17"/>
      <c r="T7172" s="17"/>
      <c r="U7172" s="17"/>
    </row>
    <row r="7173" spans="3:25" x14ac:dyDescent="0.35">
      <c r="C7173" s="15" t="s">
        <v>8</v>
      </c>
      <c r="F7173" s="15" t="s">
        <v>8</v>
      </c>
      <c r="H7173" s="15" t="s">
        <v>8</v>
      </c>
      <c r="M7173" s="15" t="s">
        <v>8</v>
      </c>
      <c r="N7173" s="15" t="s">
        <v>8</v>
      </c>
      <c r="R7173" s="15" t="s">
        <v>8</v>
      </c>
    </row>
    <row r="7174" spans="3:25" x14ac:dyDescent="0.35">
      <c r="C7174" s="15" t="s">
        <v>8</v>
      </c>
      <c r="F7174" s="15" t="s">
        <v>8</v>
      </c>
      <c r="H7174" s="15" t="s">
        <v>8</v>
      </c>
      <c r="M7174" s="15" t="s">
        <v>8</v>
      </c>
      <c r="N7174" s="15" t="s">
        <v>8</v>
      </c>
      <c r="R7174" s="15" t="s">
        <v>8</v>
      </c>
      <c r="T7174" s="19" t="str">
        <f>HYPERLINK("http://yeinfo.com/family/I09065785.html", "THOMAS LINSCOMBE 1502 EN-1614 EN ID:09065932")</f>
        <v>THOMAS LINSCOMBE 1502 EN-1614 EN ID:09065932</v>
      </c>
      <c r="U7174" s="9"/>
      <c r="V7174" s="9"/>
      <c r="W7174" s="9"/>
      <c r="X7174" s="9"/>
    </row>
    <row r="7175" spans="3:25" x14ac:dyDescent="0.35">
      <c r="C7175" s="15" t="s">
        <v>8</v>
      </c>
      <c r="F7175" s="15" t="s">
        <v>8</v>
      </c>
      <c r="H7175" s="15" t="s">
        <v>8</v>
      </c>
      <c r="M7175" s="15" t="s">
        <v>8</v>
      </c>
      <c r="N7175" s="15" t="s">
        <v>8</v>
      </c>
      <c r="R7175" s="15" t="s">
        <v>8</v>
      </c>
      <c r="T7175" s="8" t="s">
        <v>3</v>
      </c>
    </row>
    <row r="7176" spans="3:25" x14ac:dyDescent="0.35">
      <c r="C7176" s="15" t="s">
        <v>8</v>
      </c>
      <c r="F7176" s="15" t="s">
        <v>8</v>
      </c>
      <c r="H7176" s="15" t="s">
        <v>8</v>
      </c>
      <c r="M7176" s="15" t="s">
        <v>8</v>
      </c>
      <c r="N7176" s="15" t="s">
        <v>8</v>
      </c>
      <c r="R7176" s="15" t="s">
        <v>8</v>
      </c>
      <c r="S7176" s="19" t="str">
        <f>HYPERLINK("http://yeinfo.com/family/I09065657.html", "THOMAS LINSCOMBE 1529 EN-1616 EN ID:09065785")</f>
        <v>THOMAS LINSCOMBE 1529 EN-1616 EN ID:09065785</v>
      </c>
      <c r="T7176" s="9"/>
      <c r="U7176" s="9"/>
      <c r="V7176" s="9"/>
      <c r="W7176" s="9"/>
    </row>
    <row r="7177" spans="3:25" x14ac:dyDescent="0.35">
      <c r="C7177" s="15" t="s">
        <v>8</v>
      </c>
      <c r="F7177" s="15" t="s">
        <v>8</v>
      </c>
      <c r="H7177" s="15" t="s">
        <v>8</v>
      </c>
      <c r="M7177" s="15" t="s">
        <v>8</v>
      </c>
      <c r="N7177" s="15" t="s">
        <v>8</v>
      </c>
      <c r="R7177" s="15" t="s">
        <v>8</v>
      </c>
      <c r="S7177" s="8" t="s">
        <v>3</v>
      </c>
      <c r="T7177" s="8" t="s">
        <v>6</v>
      </c>
    </row>
    <row r="7178" spans="3:25" x14ac:dyDescent="0.35">
      <c r="C7178" s="15" t="s">
        <v>8</v>
      </c>
      <c r="F7178" s="15" t="s">
        <v>8</v>
      </c>
      <c r="H7178" s="15" t="s">
        <v>8</v>
      </c>
      <c r="M7178" s="15" t="s">
        <v>8</v>
      </c>
      <c r="N7178" s="15" t="s">
        <v>8</v>
      </c>
      <c r="R7178" s="15" t="s">
        <v>8</v>
      </c>
      <c r="S7178" s="15" t="s">
        <v>8</v>
      </c>
      <c r="T7178" s="20" t="str">
        <f>HYPERLINK("http://yeinfo.com/family/I09065932.html", "Mrs. {_?_} LINSCOMBE 1511 EN-1531 EN ID:09065931")</f>
        <v>Mrs. {_?_} LINSCOMBE 1511 EN-1531 EN ID:09065931</v>
      </c>
      <c r="U7178" s="17"/>
      <c r="V7178" s="17"/>
      <c r="W7178" s="17"/>
      <c r="X7178" s="17"/>
    </row>
    <row r="7179" spans="3:25" x14ac:dyDescent="0.35">
      <c r="C7179" s="15" t="s">
        <v>8</v>
      </c>
      <c r="F7179" s="15" t="s">
        <v>8</v>
      </c>
      <c r="H7179" s="15" t="s">
        <v>8</v>
      </c>
      <c r="M7179" s="15" t="s">
        <v>8</v>
      </c>
      <c r="N7179" s="15" t="s">
        <v>8</v>
      </c>
      <c r="R7179" s="8" t="s">
        <v>6</v>
      </c>
      <c r="S7179" s="15" t="s">
        <v>8</v>
      </c>
    </row>
    <row r="7180" spans="3:25" x14ac:dyDescent="0.35">
      <c r="C7180" s="15" t="s">
        <v>8</v>
      </c>
      <c r="F7180" s="15" t="s">
        <v>8</v>
      </c>
      <c r="H7180" s="15" t="s">
        <v>8</v>
      </c>
      <c r="M7180" s="15" t="s">
        <v>8</v>
      </c>
      <c r="N7180" s="15" t="s">
        <v>8</v>
      </c>
      <c r="R7180" s="20" t="str">
        <f>HYPERLINK("http://yeinfo.com/family/I09065798.html", "THAMSEN LINSCOMBE 1545 EN-1569 EN ID:09065657")</f>
        <v>THAMSEN LINSCOMBE 1545 EN-1569 EN ID:09065657</v>
      </c>
      <c r="S7180" s="17"/>
      <c r="T7180" s="17"/>
      <c r="U7180" s="17"/>
      <c r="V7180" s="17"/>
    </row>
    <row r="7181" spans="3:25" x14ac:dyDescent="0.35">
      <c r="C7181" s="15" t="s">
        <v>8</v>
      </c>
      <c r="F7181" s="15" t="s">
        <v>8</v>
      </c>
      <c r="H7181" s="15" t="s">
        <v>8</v>
      </c>
      <c r="M7181" s="15" t="s">
        <v>8</v>
      </c>
      <c r="N7181" s="15" t="s">
        <v>8</v>
      </c>
      <c r="S7181" s="15" t="s">
        <v>8</v>
      </c>
    </row>
    <row r="7182" spans="3:25" x14ac:dyDescent="0.35">
      <c r="C7182" s="15" t="s">
        <v>8</v>
      </c>
      <c r="F7182" s="15" t="s">
        <v>8</v>
      </c>
      <c r="H7182" s="15" t="s">
        <v>8</v>
      </c>
      <c r="M7182" s="15" t="s">
        <v>8</v>
      </c>
      <c r="N7182" s="15" t="s">
        <v>8</v>
      </c>
      <c r="S7182" s="15" t="s">
        <v>8</v>
      </c>
      <c r="U7182" s="19" t="str">
        <f>HYPERLINK("http://yeinfo.com/family/I09065950.html", "AARON UPCOTTE 1490 EN-1510 EN ID:09066120")</f>
        <v>AARON UPCOTTE 1490 EN-1510 EN ID:09066120</v>
      </c>
      <c r="V7182" s="9"/>
      <c r="W7182" s="9"/>
      <c r="X7182" s="9"/>
      <c r="Y7182" s="9"/>
    </row>
    <row r="7183" spans="3:25" x14ac:dyDescent="0.35">
      <c r="C7183" s="15" t="s">
        <v>8</v>
      </c>
      <c r="F7183" s="15" t="s">
        <v>8</v>
      </c>
      <c r="H7183" s="15" t="s">
        <v>8</v>
      </c>
      <c r="M7183" s="15" t="s">
        <v>8</v>
      </c>
      <c r="N7183" s="15" t="s">
        <v>8</v>
      </c>
      <c r="S7183" s="15" t="s">
        <v>8</v>
      </c>
      <c r="U7183" s="8" t="s">
        <v>3</v>
      </c>
    </row>
    <row r="7184" spans="3:25" x14ac:dyDescent="0.35">
      <c r="C7184" s="15" t="s">
        <v>8</v>
      </c>
      <c r="F7184" s="15" t="s">
        <v>8</v>
      </c>
      <c r="H7184" s="15" t="s">
        <v>8</v>
      </c>
      <c r="M7184" s="15" t="s">
        <v>8</v>
      </c>
      <c r="N7184" s="15" t="s">
        <v>8</v>
      </c>
      <c r="S7184" s="15" t="s">
        <v>8</v>
      </c>
      <c r="T7184" s="19" t="str">
        <f>HYPERLINK("http://yeinfo.com/family/I09065803.html", "WILLIAM UPCOTTE 1510 EN-1565 EN ID:09065950")</f>
        <v>WILLIAM UPCOTTE 1510 EN-1565 EN ID:09065950</v>
      </c>
      <c r="U7184" s="9"/>
      <c r="V7184" s="9"/>
      <c r="W7184" s="9"/>
      <c r="X7184" s="9"/>
    </row>
    <row r="7185" spans="3:26" x14ac:dyDescent="0.35">
      <c r="C7185" s="15" t="s">
        <v>8</v>
      </c>
      <c r="F7185" s="15" t="s">
        <v>8</v>
      </c>
      <c r="H7185" s="15" t="s">
        <v>8</v>
      </c>
      <c r="M7185" s="15" t="s">
        <v>8</v>
      </c>
      <c r="N7185" s="15" t="s">
        <v>8</v>
      </c>
      <c r="S7185" s="15" t="s">
        <v>8</v>
      </c>
      <c r="T7185" s="8" t="s">
        <v>3</v>
      </c>
      <c r="U7185" s="8" t="s">
        <v>6</v>
      </c>
    </row>
    <row r="7186" spans="3:26" x14ac:dyDescent="0.35">
      <c r="C7186" s="15" t="s">
        <v>8</v>
      </c>
      <c r="F7186" s="15" t="s">
        <v>8</v>
      </c>
      <c r="H7186" s="15" t="s">
        <v>8</v>
      </c>
      <c r="M7186" s="15" t="s">
        <v>8</v>
      </c>
      <c r="N7186" s="15" t="s">
        <v>8</v>
      </c>
      <c r="S7186" s="15" t="s">
        <v>8</v>
      </c>
      <c r="T7186" s="15" t="s">
        <v>8</v>
      </c>
      <c r="U7186" s="20" t="str">
        <f>HYPERLINK("http://yeinfo.com/family/I09066120.html", "JULIAN HUXTABLE 1490 EN-1510 EN ID:09066098")</f>
        <v>JULIAN HUXTABLE 1490 EN-1510 EN ID:09066098</v>
      </c>
      <c r="V7186" s="17"/>
      <c r="W7186" s="17"/>
      <c r="X7186" s="17"/>
      <c r="Y7186" s="17"/>
    </row>
    <row r="7187" spans="3:26" x14ac:dyDescent="0.35">
      <c r="C7187" s="15" t="s">
        <v>8</v>
      </c>
      <c r="F7187" s="15" t="s">
        <v>8</v>
      </c>
      <c r="H7187" s="15" t="s">
        <v>8</v>
      </c>
      <c r="M7187" s="15" t="s">
        <v>8</v>
      </c>
      <c r="N7187" s="15" t="s">
        <v>8</v>
      </c>
      <c r="S7187" s="8" t="s">
        <v>6</v>
      </c>
      <c r="T7187" s="15" t="s">
        <v>8</v>
      </c>
    </row>
    <row r="7188" spans="3:26" x14ac:dyDescent="0.35">
      <c r="C7188" s="15" t="s">
        <v>8</v>
      </c>
      <c r="F7188" s="15" t="s">
        <v>8</v>
      </c>
      <c r="H7188" s="15" t="s">
        <v>8</v>
      </c>
      <c r="M7188" s="15" t="s">
        <v>8</v>
      </c>
      <c r="N7188" s="15" t="s">
        <v>8</v>
      </c>
      <c r="S7188" s="20" t="str">
        <f>HYPERLINK("http://yeinfo.com/family/I09065931.html", "JOHANA UPCOTTE 1530 EN-1637 EN ID:09065803")</f>
        <v>JOHANA UPCOTTE 1530 EN-1637 EN ID:09065803</v>
      </c>
      <c r="T7188" s="17"/>
      <c r="U7188" s="17"/>
      <c r="V7188" s="17"/>
      <c r="W7188" s="17"/>
    </row>
    <row r="7189" spans="3:26" x14ac:dyDescent="0.35">
      <c r="C7189" s="15" t="s">
        <v>8</v>
      </c>
      <c r="F7189" s="15" t="s">
        <v>8</v>
      </c>
      <c r="H7189" s="15" t="s">
        <v>8</v>
      </c>
      <c r="M7189" s="15" t="s">
        <v>8</v>
      </c>
      <c r="N7189" s="15" t="s">
        <v>8</v>
      </c>
      <c r="T7189" s="15" t="s">
        <v>8</v>
      </c>
    </row>
    <row r="7190" spans="3:26" x14ac:dyDescent="0.35">
      <c r="C7190" s="15" t="s">
        <v>8</v>
      </c>
      <c r="F7190" s="15" t="s">
        <v>8</v>
      </c>
      <c r="H7190" s="15" t="s">
        <v>8</v>
      </c>
      <c r="M7190" s="15" t="s">
        <v>8</v>
      </c>
      <c r="N7190" s="15" t="s">
        <v>8</v>
      </c>
      <c r="T7190" s="15" t="s">
        <v>8</v>
      </c>
      <c r="V7190" s="19" t="str">
        <f>HYPERLINK("http://yeinfo.com/family/I09066105.html", "BARNABY PARROTT 1460 EN-1490 EN ID:09066300")</f>
        <v>BARNABY PARROTT 1460 EN-1490 EN ID:09066300</v>
      </c>
      <c r="W7190" s="9"/>
      <c r="X7190" s="9"/>
      <c r="Y7190" s="9"/>
      <c r="Z7190" s="9"/>
    </row>
    <row r="7191" spans="3:26" x14ac:dyDescent="0.35">
      <c r="C7191" s="15" t="s">
        <v>8</v>
      </c>
      <c r="F7191" s="15" t="s">
        <v>8</v>
      </c>
      <c r="H7191" s="15" t="s">
        <v>8</v>
      </c>
      <c r="M7191" s="15" t="s">
        <v>8</v>
      </c>
      <c r="N7191" s="15" t="s">
        <v>8</v>
      </c>
      <c r="T7191" s="15" t="s">
        <v>8</v>
      </c>
      <c r="V7191" s="8" t="s">
        <v>3</v>
      </c>
    </row>
    <row r="7192" spans="3:26" x14ac:dyDescent="0.35">
      <c r="C7192" s="15" t="s">
        <v>8</v>
      </c>
      <c r="F7192" s="15" t="s">
        <v>8</v>
      </c>
      <c r="H7192" s="15" t="s">
        <v>8</v>
      </c>
      <c r="M7192" s="15" t="s">
        <v>8</v>
      </c>
      <c r="N7192" s="15" t="s">
        <v>8</v>
      </c>
      <c r="T7192" s="15" t="s">
        <v>8</v>
      </c>
      <c r="U7192" s="19" t="str">
        <f>HYPERLINK("http://yeinfo.com/family/I09065937.html", "CHARLES PARROTT 1490 EN-1510 EN ID:09066105")</f>
        <v>CHARLES PARROTT 1490 EN-1510 EN ID:09066105</v>
      </c>
      <c r="V7192" s="9"/>
      <c r="W7192" s="9"/>
      <c r="X7192" s="9"/>
      <c r="Y7192" s="9"/>
    </row>
    <row r="7193" spans="3:26" x14ac:dyDescent="0.35">
      <c r="C7193" s="15" t="s">
        <v>8</v>
      </c>
      <c r="F7193" s="15" t="s">
        <v>8</v>
      </c>
      <c r="H7193" s="15" t="s">
        <v>8</v>
      </c>
      <c r="M7193" s="15" t="s">
        <v>8</v>
      </c>
      <c r="N7193" s="15" t="s">
        <v>8</v>
      </c>
      <c r="T7193" s="15" t="s">
        <v>8</v>
      </c>
      <c r="U7193" s="8" t="s">
        <v>3</v>
      </c>
      <c r="V7193" s="8" t="s">
        <v>6</v>
      </c>
    </row>
    <row r="7194" spans="3:26" x14ac:dyDescent="0.35">
      <c r="C7194" s="15" t="s">
        <v>8</v>
      </c>
      <c r="F7194" s="15" t="s">
        <v>8</v>
      </c>
      <c r="H7194" s="15" t="s">
        <v>8</v>
      </c>
      <c r="M7194" s="15" t="s">
        <v>8</v>
      </c>
      <c r="N7194" s="15" t="s">
        <v>8</v>
      </c>
      <c r="T7194" s="15" t="s">
        <v>8</v>
      </c>
      <c r="U7194" s="15" t="s">
        <v>8</v>
      </c>
      <c r="V7194" s="20" t="str">
        <f>HYPERLINK("http://yeinfo.com/family/I09066300.html", "TROY PHENY ARUNDALE 1460 EN-1490 EN ID:09066273")</f>
        <v>TROY PHENY ARUNDALE 1460 EN-1490 EN ID:09066273</v>
      </c>
      <c r="W7194" s="17"/>
      <c r="X7194" s="17"/>
      <c r="Y7194" s="17"/>
      <c r="Z7194" s="17"/>
    </row>
    <row r="7195" spans="3:26" x14ac:dyDescent="0.35">
      <c r="C7195" s="15" t="s">
        <v>8</v>
      </c>
      <c r="F7195" s="15" t="s">
        <v>8</v>
      </c>
      <c r="H7195" s="15" t="s">
        <v>8</v>
      </c>
      <c r="M7195" s="15" t="s">
        <v>8</v>
      </c>
      <c r="N7195" s="15" t="s">
        <v>8</v>
      </c>
      <c r="T7195" s="8" t="s">
        <v>6</v>
      </c>
      <c r="U7195" s="15" t="s">
        <v>8</v>
      </c>
    </row>
    <row r="7196" spans="3:26" x14ac:dyDescent="0.35">
      <c r="C7196" s="15" t="s">
        <v>8</v>
      </c>
      <c r="F7196" s="15" t="s">
        <v>8</v>
      </c>
      <c r="H7196" s="15" t="s">
        <v>8</v>
      </c>
      <c r="M7196" s="15" t="s">
        <v>8</v>
      </c>
      <c r="N7196" s="15" t="s">
        <v>8</v>
      </c>
      <c r="T7196" s="20" t="str">
        <f>HYPERLINK("http://yeinfo.com/family/I09066098.html", "THAMSIN PARROTT 1510 EN-1530 EN ID:09065937")</f>
        <v>THAMSIN PARROTT 1510 EN-1530 EN ID:09065937</v>
      </c>
      <c r="U7196" s="17"/>
      <c r="V7196" s="17"/>
      <c r="W7196" s="17"/>
      <c r="X7196" s="17"/>
    </row>
    <row r="7197" spans="3:26" x14ac:dyDescent="0.35">
      <c r="C7197" s="15" t="s">
        <v>8</v>
      </c>
      <c r="F7197" s="15" t="s">
        <v>8</v>
      </c>
      <c r="H7197" s="15" t="s">
        <v>8</v>
      </c>
      <c r="M7197" s="15" t="s">
        <v>8</v>
      </c>
      <c r="N7197" s="15" t="s">
        <v>8</v>
      </c>
      <c r="U7197" s="8" t="s">
        <v>6</v>
      </c>
    </row>
    <row r="7198" spans="3:26" x14ac:dyDescent="0.35">
      <c r="C7198" s="15" t="s">
        <v>8</v>
      </c>
      <c r="F7198" s="15" t="s">
        <v>8</v>
      </c>
      <c r="H7198" s="15" t="s">
        <v>8</v>
      </c>
      <c r="M7198" s="15" t="s">
        <v>8</v>
      </c>
      <c r="N7198" s="15" t="s">
        <v>8</v>
      </c>
      <c r="U7198" s="20" t="str">
        <f>HYPERLINK("http://yeinfo.com/family/I09066273.html", "ALICE ARMSTRONG 1490 EN-1510 EN ID:09066074")</f>
        <v>ALICE ARMSTRONG 1490 EN-1510 EN ID:09066074</v>
      </c>
      <c r="V7198" s="17"/>
      <c r="W7198" s="17"/>
      <c r="X7198" s="17"/>
      <c r="Y7198" s="17"/>
    </row>
    <row r="7199" spans="3:26" x14ac:dyDescent="0.35">
      <c r="C7199" s="15" t="s">
        <v>8</v>
      </c>
      <c r="F7199" s="15" t="s">
        <v>8</v>
      </c>
      <c r="H7199" s="15" t="s">
        <v>8</v>
      </c>
      <c r="M7199" s="8" t="s">
        <v>6</v>
      </c>
      <c r="N7199" s="15" t="s">
        <v>8</v>
      </c>
    </row>
    <row r="7200" spans="3:26" x14ac:dyDescent="0.35">
      <c r="C7200" s="15" t="s">
        <v>8</v>
      </c>
      <c r="F7200" s="15" t="s">
        <v>8</v>
      </c>
      <c r="H7200" s="15" t="s">
        <v>8</v>
      </c>
      <c r="M7200" s="16" t="str">
        <f>HYPERLINK("http://yeinfo.com/family/I09011899.html", "MARY LAWRENCE 1671 MA-1744 MA ID:09002975")</f>
        <v>MARY LAWRENCE 1671 MA-1744 MA ID:09002975</v>
      </c>
      <c r="N7200" s="11"/>
      <c r="O7200" s="11"/>
      <c r="P7200" s="11"/>
      <c r="Q7200" s="11"/>
    </row>
    <row r="7201" spans="3:19" x14ac:dyDescent="0.35">
      <c r="C7201" s="15" t="s">
        <v>8</v>
      </c>
      <c r="F7201" s="15" t="s">
        <v>8</v>
      </c>
      <c r="H7201" s="15" t="s">
        <v>8</v>
      </c>
      <c r="N7201" s="15" t="s">
        <v>8</v>
      </c>
    </row>
    <row r="7202" spans="3:19" x14ac:dyDescent="0.35">
      <c r="C7202" s="15" t="s">
        <v>8</v>
      </c>
      <c r="F7202" s="15" t="s">
        <v>8</v>
      </c>
      <c r="H7202" s="15" t="s">
        <v>8</v>
      </c>
      <c r="N7202" s="15" t="s">
        <v>8</v>
      </c>
      <c r="O7202" s="21" t="str">
        <f>HYPERLINK("http://yeinfo.com/family/I09002870.html", "BENJAMIN CRISPE &lt;2&gt; 1610 EN-1683 MA ID:09002870")</f>
        <v>BENJAMIN CRISPE &lt;2&gt; 1610 EN-1683 MA ID:09002870</v>
      </c>
      <c r="P7202" s="6"/>
      <c r="Q7202" s="6"/>
      <c r="R7202" s="6"/>
      <c r="S7202" s="6"/>
    </row>
    <row r="7203" spans="3:19" x14ac:dyDescent="0.35">
      <c r="C7203" s="15" t="s">
        <v>8</v>
      </c>
      <c r="F7203" s="15" t="s">
        <v>8</v>
      </c>
      <c r="H7203" s="15" t="s">
        <v>8</v>
      </c>
      <c r="N7203" s="8" t="s">
        <v>6</v>
      </c>
      <c r="O7203" s="8" t="s">
        <v>3</v>
      </c>
    </row>
    <row r="7204" spans="3:19" x14ac:dyDescent="0.35">
      <c r="C7204" s="15" t="s">
        <v>8</v>
      </c>
      <c r="F7204" s="15" t="s">
        <v>8</v>
      </c>
      <c r="H7204" s="15" t="s">
        <v>8</v>
      </c>
      <c r="N7204" s="16" t="str">
        <f>HYPERLINK("http://yeinfo.com/family/I09066074.html", "ELIZABETH CRISPE 1637 MA-1681 MA ID:09005951")</f>
        <v>ELIZABETH CRISPE 1637 MA-1681 MA ID:09005951</v>
      </c>
      <c r="O7204" s="11"/>
      <c r="P7204" s="11"/>
      <c r="Q7204" s="11"/>
      <c r="R7204" s="11"/>
    </row>
    <row r="7205" spans="3:19" x14ac:dyDescent="0.35">
      <c r="C7205" s="15" t="s">
        <v>8</v>
      </c>
      <c r="F7205" s="15" t="s">
        <v>8</v>
      </c>
      <c r="H7205" s="15" t="s">
        <v>8</v>
      </c>
      <c r="O7205" s="8" t="s">
        <v>6</v>
      </c>
    </row>
    <row r="7206" spans="3:19" x14ac:dyDescent="0.35">
      <c r="C7206" s="15" t="s">
        <v>8</v>
      </c>
      <c r="F7206" s="15" t="s">
        <v>8</v>
      </c>
      <c r="H7206" s="15" t="s">
        <v>8</v>
      </c>
      <c r="O7206" s="22" t="str">
        <f>HYPERLINK("http://yeinfo.com/family/I09002871.html", "MARY BRIDGET HARRIS &lt;2&gt; 1613 EN-1675 MA ID:09002871")</f>
        <v>MARY BRIDGET HARRIS &lt;2&gt; 1613 EN-1675 MA ID:09002871</v>
      </c>
      <c r="P7206" s="13"/>
      <c r="Q7206" s="13"/>
      <c r="R7206" s="13"/>
      <c r="S7206" s="13"/>
    </row>
    <row r="7207" spans="3:19" x14ac:dyDescent="0.35">
      <c r="C7207" s="15" t="s">
        <v>8</v>
      </c>
      <c r="F7207" s="15" t="s">
        <v>8</v>
      </c>
      <c r="H7207" s="15" t="s">
        <v>8</v>
      </c>
    </row>
    <row r="7208" spans="3:19" x14ac:dyDescent="0.35">
      <c r="C7208" s="15" t="s">
        <v>8</v>
      </c>
      <c r="F7208" s="15" t="s">
        <v>8</v>
      </c>
      <c r="G7208" s="5" t="str">
        <f>HYPERLINK("http://yeinfo.com/family/I09000023.html", "JOHN B. MILLER 1822 VT-1883 VT ID:09000046")</f>
        <v>JOHN B. MILLER 1822 VT-1883 VT ID:09000046</v>
      </c>
      <c r="H7208" s="3"/>
      <c r="I7208" s="3"/>
      <c r="J7208" s="3"/>
      <c r="K7208" s="3"/>
    </row>
    <row r="7209" spans="3:19" x14ac:dyDescent="0.35">
      <c r="C7209" s="15" t="s">
        <v>8</v>
      </c>
      <c r="F7209" s="15" t="s">
        <v>8</v>
      </c>
      <c r="G7209" s="8" t="s">
        <v>3</v>
      </c>
      <c r="H7209" s="15" t="s">
        <v>8</v>
      </c>
    </row>
    <row r="7210" spans="3:19" x14ac:dyDescent="0.35">
      <c r="C7210" s="15" t="s">
        <v>8</v>
      </c>
      <c r="F7210" s="15" t="s">
        <v>8</v>
      </c>
      <c r="G7210" s="15" t="s">
        <v>8</v>
      </c>
      <c r="H7210" s="15" t="s">
        <v>8</v>
      </c>
      <c r="J7210" s="5" t="str">
        <f>HYPERLINK("http://yeinfo.com/family/I09000186.html", "BENJAMIN CARTER Sr. 1731 MA-1752 MA ID:09000372")</f>
        <v>BENJAMIN CARTER Sr. 1731 MA-1752 MA ID:09000372</v>
      </c>
      <c r="K7210" s="3"/>
      <c r="L7210" s="3"/>
      <c r="M7210" s="3"/>
      <c r="N7210" s="3"/>
    </row>
    <row r="7211" spans="3:19" x14ac:dyDescent="0.35">
      <c r="C7211" s="15" t="s">
        <v>8</v>
      </c>
      <c r="F7211" s="15" t="s">
        <v>8</v>
      </c>
      <c r="G7211" s="15" t="s">
        <v>8</v>
      </c>
      <c r="H7211" s="15" t="s">
        <v>8</v>
      </c>
      <c r="J7211" s="8" t="s">
        <v>3</v>
      </c>
    </row>
    <row r="7212" spans="3:19" x14ac:dyDescent="0.35">
      <c r="C7212" s="15" t="s">
        <v>8</v>
      </c>
      <c r="F7212" s="15" t="s">
        <v>8</v>
      </c>
      <c r="G7212" s="15" t="s">
        <v>8</v>
      </c>
      <c r="H7212" s="15" t="s">
        <v>8</v>
      </c>
      <c r="I7212" s="5" t="str">
        <f>HYPERLINK("http://yeinfo.com/family/I09000093.html", "BENJAMIN CARTER Jr. 1747 MA-1814 VT ID:09000186")</f>
        <v>BENJAMIN CARTER Jr. 1747 MA-1814 VT ID:09000186</v>
      </c>
      <c r="J7212" s="3"/>
      <c r="K7212" s="3"/>
      <c r="L7212" s="3"/>
      <c r="M7212" s="3"/>
    </row>
    <row r="7213" spans="3:19" x14ac:dyDescent="0.35">
      <c r="C7213" s="15" t="s">
        <v>8</v>
      </c>
      <c r="F7213" s="15" t="s">
        <v>8</v>
      </c>
      <c r="G7213" s="15" t="s">
        <v>8</v>
      </c>
      <c r="H7213" s="15" t="s">
        <v>8</v>
      </c>
      <c r="I7213" s="8" t="s">
        <v>3</v>
      </c>
      <c r="J7213" s="8" t="s">
        <v>6</v>
      </c>
    </row>
    <row r="7214" spans="3:19" x14ac:dyDescent="0.35">
      <c r="C7214" s="15" t="s">
        <v>8</v>
      </c>
      <c r="F7214" s="15" t="s">
        <v>8</v>
      </c>
      <c r="G7214" s="15" t="s">
        <v>8</v>
      </c>
      <c r="H7214" s="15" t="s">
        <v>8</v>
      </c>
      <c r="I7214" s="15" t="s">
        <v>8</v>
      </c>
      <c r="J7214" s="16" t="str">
        <f>HYPERLINK("http://yeinfo.com/family/I09000372.html", "SARAH RUNNELS 1732 VT-1785 ME ID:09000373")</f>
        <v>SARAH RUNNELS 1732 VT-1785 ME ID:09000373</v>
      </c>
      <c r="K7214" s="11"/>
      <c r="L7214" s="11"/>
      <c r="M7214" s="11"/>
      <c r="N7214" s="11"/>
    </row>
    <row r="7215" spans="3:19" x14ac:dyDescent="0.35">
      <c r="C7215" s="15" t="s">
        <v>8</v>
      </c>
      <c r="F7215" s="15" t="s">
        <v>8</v>
      </c>
      <c r="G7215" s="15" t="s">
        <v>8</v>
      </c>
      <c r="H7215" s="8" t="s">
        <v>6</v>
      </c>
      <c r="I7215" s="15" t="s">
        <v>8</v>
      </c>
    </row>
    <row r="7216" spans="3:19" x14ac:dyDescent="0.35">
      <c r="C7216" s="15" t="s">
        <v>8</v>
      </c>
      <c r="F7216" s="15" t="s">
        <v>8</v>
      </c>
      <c r="G7216" s="15" t="s">
        <v>8</v>
      </c>
      <c r="H7216" s="16" t="str">
        <f>HYPERLINK("http://yeinfo.com/family/I09005951.html", "SALLY\MERCY CARTER 1795 VT-1866 VT ID:09000093")</f>
        <v>SALLY\MERCY CARTER 1795 VT-1866 VT ID:09000093</v>
      </c>
      <c r="I7216" s="11"/>
      <c r="J7216" s="11"/>
      <c r="K7216" s="11"/>
      <c r="L7216" s="11"/>
      <c r="M7216" s="11"/>
    </row>
    <row r="7217" spans="3:19" x14ac:dyDescent="0.35">
      <c r="C7217" s="15" t="s">
        <v>8</v>
      </c>
      <c r="F7217" s="15" t="s">
        <v>8</v>
      </c>
      <c r="G7217" s="15" t="s">
        <v>8</v>
      </c>
      <c r="I7217" s="15" t="s">
        <v>8</v>
      </c>
    </row>
    <row r="7218" spans="3:19" x14ac:dyDescent="0.35">
      <c r="C7218" s="15" t="s">
        <v>8</v>
      </c>
      <c r="F7218" s="15" t="s">
        <v>8</v>
      </c>
      <c r="G7218" s="15" t="s">
        <v>8</v>
      </c>
      <c r="I7218" s="15" t="s">
        <v>8</v>
      </c>
      <c r="O7218" s="19" t="str">
        <f>HYPERLINK("http://yeinfo.com/family/I09022200.html", "ABRAHAM GALE &lt;2&gt; 1543 EN-1577 EN ID:09022200")</f>
        <v>ABRAHAM GALE &lt;2&gt; 1543 EN-1577 EN ID:09022200</v>
      </c>
      <c r="P7218" s="9"/>
      <c r="Q7218" s="9"/>
      <c r="R7218" s="9"/>
      <c r="S7218" s="9"/>
    </row>
    <row r="7219" spans="3:19" x14ac:dyDescent="0.35">
      <c r="C7219" s="15" t="s">
        <v>8</v>
      </c>
      <c r="F7219" s="15" t="s">
        <v>8</v>
      </c>
      <c r="G7219" s="15" t="s">
        <v>8</v>
      </c>
      <c r="I7219" s="15" t="s">
        <v>8</v>
      </c>
      <c r="O7219" s="8" t="s">
        <v>3</v>
      </c>
    </row>
    <row r="7220" spans="3:19" x14ac:dyDescent="0.35">
      <c r="C7220" s="15" t="s">
        <v>8</v>
      </c>
      <c r="F7220" s="15" t="s">
        <v>8</v>
      </c>
      <c r="G7220" s="15" t="s">
        <v>8</v>
      </c>
      <c r="I7220" s="15" t="s">
        <v>8</v>
      </c>
      <c r="N7220" s="19" t="str">
        <f>HYPERLINK("http://yeinfo.com/family/I09011100.html", "RICHARD GALE Sr. &lt;2&gt; 1577 EN-1638 EN ID:09011100")</f>
        <v>RICHARD GALE Sr. &lt;2&gt; 1577 EN-1638 EN ID:09011100</v>
      </c>
      <c r="O7220" s="9"/>
      <c r="P7220" s="9"/>
      <c r="Q7220" s="9"/>
      <c r="R7220" s="9"/>
    </row>
    <row r="7221" spans="3:19" x14ac:dyDescent="0.35">
      <c r="C7221" s="15" t="s">
        <v>8</v>
      </c>
      <c r="F7221" s="15" t="s">
        <v>8</v>
      </c>
      <c r="G7221" s="15" t="s">
        <v>8</v>
      </c>
      <c r="I7221" s="15" t="s">
        <v>8</v>
      </c>
      <c r="N7221" s="8" t="s">
        <v>3</v>
      </c>
      <c r="O7221" s="8" t="s">
        <v>6</v>
      </c>
    </row>
    <row r="7222" spans="3:19" x14ac:dyDescent="0.35">
      <c r="C7222" s="15" t="s">
        <v>8</v>
      </c>
      <c r="F7222" s="15" t="s">
        <v>8</v>
      </c>
      <c r="G7222" s="15" t="s">
        <v>8</v>
      </c>
      <c r="I7222" s="15" t="s">
        <v>8</v>
      </c>
      <c r="N7222" s="15" t="s">
        <v>8</v>
      </c>
      <c r="O7222" s="20" t="str">
        <f>HYPERLINK("http://yeinfo.com/family/I09022201.html", "Mrs. MARGARET GALE &lt;2&gt; 1548 EN-1577 EN ID:09022201")</f>
        <v>Mrs. MARGARET GALE &lt;2&gt; 1548 EN-1577 EN ID:09022201</v>
      </c>
      <c r="P7222" s="17"/>
      <c r="Q7222" s="17"/>
      <c r="R7222" s="17"/>
      <c r="S7222" s="17"/>
    </row>
    <row r="7223" spans="3:19" x14ac:dyDescent="0.35">
      <c r="C7223" s="15" t="s">
        <v>8</v>
      </c>
      <c r="F7223" s="15" t="s">
        <v>8</v>
      </c>
      <c r="G7223" s="15" t="s">
        <v>8</v>
      </c>
      <c r="I7223" s="15" t="s">
        <v>8</v>
      </c>
      <c r="N7223" s="15" t="s">
        <v>8</v>
      </c>
    </row>
    <row r="7224" spans="3:19" x14ac:dyDescent="0.35">
      <c r="C7224" s="15" t="s">
        <v>8</v>
      </c>
      <c r="F7224" s="15" t="s">
        <v>8</v>
      </c>
      <c r="G7224" s="15" t="s">
        <v>8</v>
      </c>
      <c r="I7224" s="15" t="s">
        <v>8</v>
      </c>
      <c r="M7224" s="21" t="str">
        <f>HYPERLINK("http://yeinfo.com/family/I09005550.html", "RICHARD GALE Jr. &lt;2&gt; 1618 EN-1679 MA ID:09005550")</f>
        <v>RICHARD GALE Jr. &lt;2&gt; 1618 EN-1679 MA ID:09005550</v>
      </c>
      <c r="N7224" s="6"/>
      <c r="O7224" s="6"/>
      <c r="P7224" s="6"/>
      <c r="Q7224" s="6"/>
    </row>
    <row r="7225" spans="3:19" x14ac:dyDescent="0.35">
      <c r="C7225" s="15" t="s">
        <v>8</v>
      </c>
      <c r="F7225" s="15" t="s">
        <v>8</v>
      </c>
      <c r="G7225" s="15" t="s">
        <v>8</v>
      </c>
      <c r="I7225" s="15" t="s">
        <v>8</v>
      </c>
      <c r="M7225" s="8" t="s">
        <v>3</v>
      </c>
      <c r="N7225" s="8" t="s">
        <v>6</v>
      </c>
    </row>
    <row r="7226" spans="3:19" x14ac:dyDescent="0.35">
      <c r="C7226" s="15" t="s">
        <v>8</v>
      </c>
      <c r="F7226" s="15" t="s">
        <v>8</v>
      </c>
      <c r="G7226" s="15" t="s">
        <v>8</v>
      </c>
      <c r="I7226" s="15" t="s">
        <v>8</v>
      </c>
      <c r="M7226" s="15" t="s">
        <v>8</v>
      </c>
      <c r="N7226" s="20" t="str">
        <f>HYPERLINK("http://yeinfo.com/family/I09011101.html", "ALICE ATWOOD &lt;2&gt; 1578 EN-1618 EN ID:09011101")</f>
        <v>ALICE ATWOOD &lt;2&gt; 1578 EN-1618 EN ID:09011101</v>
      </c>
      <c r="O7226" s="17"/>
      <c r="P7226" s="17"/>
      <c r="Q7226" s="17"/>
      <c r="R7226" s="17"/>
    </row>
    <row r="7227" spans="3:19" x14ac:dyDescent="0.35">
      <c r="C7227" s="15" t="s">
        <v>8</v>
      </c>
      <c r="F7227" s="15" t="s">
        <v>8</v>
      </c>
      <c r="G7227" s="15" t="s">
        <v>8</v>
      </c>
      <c r="I7227" s="15" t="s">
        <v>8</v>
      </c>
      <c r="M7227" s="15" t="s">
        <v>8</v>
      </c>
    </row>
    <row r="7228" spans="3:19" x14ac:dyDescent="0.35">
      <c r="C7228" s="15" t="s">
        <v>8</v>
      </c>
      <c r="F7228" s="15" t="s">
        <v>8</v>
      </c>
      <c r="G7228" s="15" t="s">
        <v>8</v>
      </c>
      <c r="I7228" s="15" t="s">
        <v>8</v>
      </c>
      <c r="L7228" s="5" t="str">
        <f>HYPERLINK("http://yeinfo.com/family/I09000748.html", "ABRAHAM GALE Sr. 1643 MA-1718 MA ID:09001496")</f>
        <v>ABRAHAM GALE Sr. 1643 MA-1718 MA ID:09001496</v>
      </c>
      <c r="M7228" s="3"/>
      <c r="N7228" s="3"/>
      <c r="O7228" s="3"/>
      <c r="P7228" s="3"/>
    </row>
    <row r="7229" spans="3:19" x14ac:dyDescent="0.35">
      <c r="C7229" s="15" t="s">
        <v>8</v>
      </c>
      <c r="F7229" s="15" t="s">
        <v>8</v>
      </c>
      <c r="G7229" s="15" t="s">
        <v>8</v>
      </c>
      <c r="I7229" s="15" t="s">
        <v>8</v>
      </c>
      <c r="L7229" s="8" t="s">
        <v>3</v>
      </c>
      <c r="M7229" s="15" t="s">
        <v>8</v>
      </c>
    </row>
    <row r="7230" spans="3:19" x14ac:dyDescent="0.35">
      <c r="C7230" s="15" t="s">
        <v>8</v>
      </c>
      <c r="F7230" s="15" t="s">
        <v>8</v>
      </c>
      <c r="G7230" s="15" t="s">
        <v>8</v>
      </c>
      <c r="I7230" s="15" t="s">
        <v>8</v>
      </c>
      <c r="L7230" s="15" t="s">
        <v>8</v>
      </c>
      <c r="M7230" s="15" t="s">
        <v>8</v>
      </c>
      <c r="O7230" s="19" t="str">
        <f>HYPERLINK("http://yeinfo.com/family/I09022204.html", "RICHARD CASTLE &lt;2&gt; 1538 EN-1594 EN ID:09022204")</f>
        <v>RICHARD CASTLE &lt;2&gt; 1538 EN-1594 EN ID:09022204</v>
      </c>
      <c r="P7230" s="9"/>
      <c r="Q7230" s="9"/>
      <c r="R7230" s="9"/>
      <c r="S7230" s="9"/>
    </row>
    <row r="7231" spans="3:19" x14ac:dyDescent="0.35">
      <c r="C7231" s="15" t="s">
        <v>8</v>
      </c>
      <c r="F7231" s="15" t="s">
        <v>8</v>
      </c>
      <c r="G7231" s="15" t="s">
        <v>8</v>
      </c>
      <c r="I7231" s="15" t="s">
        <v>8</v>
      </c>
      <c r="L7231" s="15" t="s">
        <v>8</v>
      </c>
      <c r="M7231" s="15" t="s">
        <v>8</v>
      </c>
      <c r="O7231" s="8" t="s">
        <v>3</v>
      </c>
    </row>
    <row r="7232" spans="3:19" x14ac:dyDescent="0.35">
      <c r="C7232" s="15" t="s">
        <v>8</v>
      </c>
      <c r="F7232" s="15" t="s">
        <v>8</v>
      </c>
      <c r="G7232" s="15" t="s">
        <v>8</v>
      </c>
      <c r="I7232" s="15" t="s">
        <v>8</v>
      </c>
      <c r="L7232" s="15" t="s">
        <v>8</v>
      </c>
      <c r="M7232" s="15" t="s">
        <v>8</v>
      </c>
      <c r="N7232" s="19" t="str">
        <f>HYPERLINK("http://yeinfo.com/family/I09011102.html", "RICHARD CASTLE &lt;2&gt; 1577 EN-1632 EN ID:09011102")</f>
        <v>RICHARD CASTLE &lt;2&gt; 1577 EN-1632 EN ID:09011102</v>
      </c>
      <c r="O7232" s="9"/>
      <c r="P7232" s="9"/>
      <c r="Q7232" s="9"/>
      <c r="R7232" s="9"/>
    </row>
    <row r="7233" spans="3:22" x14ac:dyDescent="0.35">
      <c r="C7233" s="15" t="s">
        <v>8</v>
      </c>
      <c r="F7233" s="15" t="s">
        <v>8</v>
      </c>
      <c r="G7233" s="15" t="s">
        <v>8</v>
      </c>
      <c r="I7233" s="15" t="s">
        <v>8</v>
      </c>
      <c r="L7233" s="15" t="s">
        <v>8</v>
      </c>
      <c r="M7233" s="15" t="s">
        <v>8</v>
      </c>
      <c r="N7233" s="8" t="s">
        <v>3</v>
      </c>
      <c r="O7233" s="8" t="s">
        <v>6</v>
      </c>
    </row>
    <row r="7234" spans="3:22" x14ac:dyDescent="0.35">
      <c r="C7234" s="15" t="s">
        <v>8</v>
      </c>
      <c r="F7234" s="15" t="s">
        <v>8</v>
      </c>
      <c r="G7234" s="15" t="s">
        <v>8</v>
      </c>
      <c r="I7234" s="15" t="s">
        <v>8</v>
      </c>
      <c r="L7234" s="15" t="s">
        <v>8</v>
      </c>
      <c r="M7234" s="15" t="s">
        <v>8</v>
      </c>
      <c r="N7234" s="15" t="s">
        <v>8</v>
      </c>
      <c r="O7234" s="20" t="str">
        <f>HYPERLINK("http://yeinfo.com/family/I09022205.html", "ELIZABETH SMITH &lt;2&gt; 1538 EN-1583 EN ID:09022205")</f>
        <v>ELIZABETH SMITH &lt;2&gt; 1538 EN-1583 EN ID:09022205</v>
      </c>
      <c r="P7234" s="17"/>
      <c r="Q7234" s="17"/>
      <c r="R7234" s="17"/>
      <c r="S7234" s="17"/>
    </row>
    <row r="7235" spans="3:22" x14ac:dyDescent="0.35">
      <c r="C7235" s="15" t="s">
        <v>8</v>
      </c>
      <c r="F7235" s="15" t="s">
        <v>8</v>
      </c>
      <c r="G7235" s="15" t="s">
        <v>8</v>
      </c>
      <c r="I7235" s="15" t="s">
        <v>8</v>
      </c>
      <c r="L7235" s="15" t="s">
        <v>8</v>
      </c>
      <c r="M7235" s="8" t="s">
        <v>6</v>
      </c>
      <c r="N7235" s="15" t="s">
        <v>8</v>
      </c>
    </row>
    <row r="7236" spans="3:22" x14ac:dyDescent="0.35">
      <c r="C7236" s="15" t="s">
        <v>8</v>
      </c>
      <c r="F7236" s="15" t="s">
        <v>8</v>
      </c>
      <c r="G7236" s="15" t="s">
        <v>8</v>
      </c>
      <c r="I7236" s="15" t="s">
        <v>8</v>
      </c>
      <c r="L7236" s="15" t="s">
        <v>8</v>
      </c>
      <c r="M7236" s="22" t="str">
        <f>HYPERLINK("http://yeinfo.com/family/I09005551.html", "MARY CASTLE &lt;2&gt; 1624 EN-1681 MA ID:09005551")</f>
        <v>MARY CASTLE &lt;2&gt; 1624 EN-1681 MA ID:09005551</v>
      </c>
      <c r="N7236" s="13"/>
      <c r="O7236" s="13"/>
      <c r="P7236" s="13"/>
      <c r="Q7236" s="13"/>
    </row>
    <row r="7237" spans="3:22" x14ac:dyDescent="0.35">
      <c r="C7237" s="15" t="s">
        <v>8</v>
      </c>
      <c r="F7237" s="15" t="s">
        <v>8</v>
      </c>
      <c r="G7237" s="15" t="s">
        <v>8</v>
      </c>
      <c r="I7237" s="15" t="s">
        <v>8</v>
      </c>
      <c r="L7237" s="15" t="s">
        <v>8</v>
      </c>
      <c r="N7237" s="8" t="s">
        <v>6</v>
      </c>
    </row>
    <row r="7238" spans="3:22" x14ac:dyDescent="0.35">
      <c r="C7238" s="15" t="s">
        <v>8</v>
      </c>
      <c r="F7238" s="15" t="s">
        <v>8</v>
      </c>
      <c r="G7238" s="15" t="s">
        <v>8</v>
      </c>
      <c r="I7238" s="15" t="s">
        <v>8</v>
      </c>
      <c r="L7238" s="15" t="s">
        <v>8</v>
      </c>
      <c r="N7238" s="20" t="str">
        <f>HYPERLINK("http://yeinfo.com/family/I09011103.html", "ALICE ELIZABETH CATER &lt;2&gt; 1586 EN-1632 EN ID:09011103")</f>
        <v>ALICE ELIZABETH CATER &lt;2&gt; 1586 EN-1632 EN ID:09011103</v>
      </c>
      <c r="O7238" s="17"/>
      <c r="P7238" s="17"/>
      <c r="Q7238" s="17"/>
      <c r="R7238" s="17"/>
    </row>
    <row r="7239" spans="3:22" x14ac:dyDescent="0.35">
      <c r="C7239" s="15" t="s">
        <v>8</v>
      </c>
      <c r="F7239" s="15" t="s">
        <v>8</v>
      </c>
      <c r="G7239" s="15" t="s">
        <v>8</v>
      </c>
      <c r="I7239" s="15" t="s">
        <v>8</v>
      </c>
      <c r="L7239" s="15" t="s">
        <v>8</v>
      </c>
    </row>
    <row r="7240" spans="3:22" x14ac:dyDescent="0.35">
      <c r="C7240" s="15" t="s">
        <v>8</v>
      </c>
      <c r="F7240" s="15" t="s">
        <v>8</v>
      </c>
      <c r="G7240" s="15" t="s">
        <v>8</v>
      </c>
      <c r="I7240" s="15" t="s">
        <v>8</v>
      </c>
      <c r="K7240" s="5" t="str">
        <f>HYPERLINK("http://yeinfo.com/family/I09000374.html", "ABRAHAM GALE Jr. 1674 MA-1722 MA ID:09000748")</f>
        <v>ABRAHAM GALE Jr. 1674 MA-1722 MA ID:09000748</v>
      </c>
      <c r="L7240" s="3"/>
      <c r="M7240" s="3"/>
      <c r="N7240" s="3"/>
      <c r="O7240" s="3"/>
    </row>
    <row r="7241" spans="3:22" x14ac:dyDescent="0.35">
      <c r="C7241" s="15" t="s">
        <v>8</v>
      </c>
      <c r="F7241" s="15" t="s">
        <v>8</v>
      </c>
      <c r="G7241" s="15" t="s">
        <v>8</v>
      </c>
      <c r="I7241" s="15" t="s">
        <v>8</v>
      </c>
      <c r="K7241" s="8" t="s">
        <v>3</v>
      </c>
      <c r="L7241" s="15" t="s">
        <v>8</v>
      </c>
    </row>
    <row r="7242" spans="3:22" x14ac:dyDescent="0.35">
      <c r="C7242" s="15" t="s">
        <v>8</v>
      </c>
      <c r="F7242" s="15" t="s">
        <v>8</v>
      </c>
      <c r="G7242" s="15" t="s">
        <v>8</v>
      </c>
      <c r="I7242" s="15" t="s">
        <v>8</v>
      </c>
      <c r="K7242" s="15" t="s">
        <v>8</v>
      </c>
      <c r="L7242" s="15" t="s">
        <v>8</v>
      </c>
      <c r="Q7242" s="19" t="str">
        <f>HYPERLINK("http://yeinfo.com/family/I09023952.html", "NATHANIEL\SIMON FISKE 1462 EN-1493 EN ID:09047904")</f>
        <v>NATHANIEL\SIMON FISKE 1462 EN-1493 EN ID:09047904</v>
      </c>
      <c r="R7242" s="9"/>
      <c r="S7242" s="9"/>
      <c r="T7242" s="9"/>
      <c r="U7242" s="9"/>
      <c r="V7242" s="9"/>
    </row>
    <row r="7243" spans="3:22" x14ac:dyDescent="0.35">
      <c r="C7243" s="15" t="s">
        <v>8</v>
      </c>
      <c r="F7243" s="15" t="s">
        <v>8</v>
      </c>
      <c r="G7243" s="15" t="s">
        <v>8</v>
      </c>
      <c r="I7243" s="15" t="s">
        <v>8</v>
      </c>
      <c r="K7243" s="15" t="s">
        <v>8</v>
      </c>
      <c r="L7243" s="15" t="s">
        <v>8</v>
      </c>
      <c r="Q7243" s="8" t="s">
        <v>3</v>
      </c>
    </row>
    <row r="7244" spans="3:22" x14ac:dyDescent="0.35">
      <c r="C7244" s="15" t="s">
        <v>8</v>
      </c>
      <c r="F7244" s="15" t="s">
        <v>8</v>
      </c>
      <c r="G7244" s="15" t="s">
        <v>8</v>
      </c>
      <c r="I7244" s="15" t="s">
        <v>8</v>
      </c>
      <c r="K7244" s="15" t="s">
        <v>8</v>
      </c>
      <c r="L7244" s="15" t="s">
        <v>8</v>
      </c>
      <c r="P7244" s="19" t="str">
        <f>HYPERLINK("http://yeinfo.com/family/I09011976.html", "RICHARD\GEOFFREY FISKE 1493 EN-1565  ID:09023952")</f>
        <v>RICHARD\GEOFFREY FISKE 1493 EN-1565  ID:09023952</v>
      </c>
      <c r="Q7244" s="9"/>
      <c r="R7244" s="9"/>
      <c r="S7244" s="9"/>
      <c r="T7244" s="9"/>
      <c r="U7244" s="9"/>
    </row>
    <row r="7245" spans="3:22" x14ac:dyDescent="0.35">
      <c r="C7245" s="15" t="s">
        <v>8</v>
      </c>
      <c r="F7245" s="15" t="s">
        <v>8</v>
      </c>
      <c r="G7245" s="15" t="s">
        <v>8</v>
      </c>
      <c r="I7245" s="15" t="s">
        <v>8</v>
      </c>
      <c r="K7245" s="15" t="s">
        <v>8</v>
      </c>
      <c r="L7245" s="15" t="s">
        <v>8</v>
      </c>
      <c r="P7245" s="8" t="s">
        <v>3</v>
      </c>
      <c r="Q7245" s="8" t="s">
        <v>6</v>
      </c>
    </row>
    <row r="7246" spans="3:22" x14ac:dyDescent="0.35">
      <c r="C7246" s="15" t="s">
        <v>8</v>
      </c>
      <c r="F7246" s="15" t="s">
        <v>8</v>
      </c>
      <c r="G7246" s="15" t="s">
        <v>8</v>
      </c>
      <c r="I7246" s="15" t="s">
        <v>8</v>
      </c>
      <c r="K7246" s="15" t="s">
        <v>8</v>
      </c>
      <c r="L7246" s="15" t="s">
        <v>8</v>
      </c>
      <c r="P7246" s="15" t="s">
        <v>8</v>
      </c>
      <c r="Q7246" s="20" t="str">
        <f>HYPERLINK("http://yeinfo.com/family/I09047904.html", "Mrs. MARGERY FISKE 1465 EN-1493 EN ID:09047905")</f>
        <v>Mrs. MARGERY FISKE 1465 EN-1493 EN ID:09047905</v>
      </c>
      <c r="R7246" s="17"/>
      <c r="S7246" s="17"/>
      <c r="T7246" s="17"/>
      <c r="U7246" s="17"/>
    </row>
    <row r="7247" spans="3:22" x14ac:dyDescent="0.35">
      <c r="C7247" s="15" t="s">
        <v>8</v>
      </c>
      <c r="F7247" s="15" t="s">
        <v>8</v>
      </c>
      <c r="G7247" s="15" t="s">
        <v>8</v>
      </c>
      <c r="I7247" s="15" t="s">
        <v>8</v>
      </c>
      <c r="K7247" s="15" t="s">
        <v>8</v>
      </c>
      <c r="L7247" s="15" t="s">
        <v>8</v>
      </c>
      <c r="P7247" s="15" t="s">
        <v>8</v>
      </c>
    </row>
    <row r="7248" spans="3:22" x14ac:dyDescent="0.35">
      <c r="C7248" s="15" t="s">
        <v>8</v>
      </c>
      <c r="F7248" s="15" t="s">
        <v>8</v>
      </c>
      <c r="G7248" s="15" t="s">
        <v>8</v>
      </c>
      <c r="I7248" s="15" t="s">
        <v>8</v>
      </c>
      <c r="K7248" s="15" t="s">
        <v>8</v>
      </c>
      <c r="L7248" s="15" t="s">
        <v>8</v>
      </c>
      <c r="O7248" s="19" t="str">
        <f>HYPERLINK("http://yeinfo.com/family/I09005988.html", "ROBERT\GEOFFREY FISKE 1520 EN-1600 EN ID:09011976")</f>
        <v>ROBERT\GEOFFREY FISKE 1520 EN-1600 EN ID:09011976</v>
      </c>
      <c r="P7248" s="9"/>
      <c r="Q7248" s="9"/>
      <c r="R7248" s="9"/>
      <c r="S7248" s="9"/>
      <c r="T7248" s="9"/>
    </row>
    <row r="7249" spans="3:25" x14ac:dyDescent="0.35">
      <c r="C7249" s="15" t="s">
        <v>8</v>
      </c>
      <c r="F7249" s="15" t="s">
        <v>8</v>
      </c>
      <c r="G7249" s="15" t="s">
        <v>8</v>
      </c>
      <c r="I7249" s="15" t="s">
        <v>8</v>
      </c>
      <c r="K7249" s="15" t="s">
        <v>8</v>
      </c>
      <c r="L7249" s="15" t="s">
        <v>8</v>
      </c>
      <c r="O7249" s="8" t="s">
        <v>3</v>
      </c>
      <c r="P7249" s="8" t="s">
        <v>6</v>
      </c>
    </row>
    <row r="7250" spans="3:25" x14ac:dyDescent="0.35">
      <c r="C7250" s="15" t="s">
        <v>8</v>
      </c>
      <c r="F7250" s="15" t="s">
        <v>8</v>
      </c>
      <c r="G7250" s="15" t="s">
        <v>8</v>
      </c>
      <c r="I7250" s="15" t="s">
        <v>8</v>
      </c>
      <c r="K7250" s="15" t="s">
        <v>8</v>
      </c>
      <c r="L7250" s="15" t="s">
        <v>8</v>
      </c>
      <c r="O7250" s="15" t="s">
        <v>8</v>
      </c>
      <c r="P7250" s="20" t="str">
        <f>HYPERLINK("http://yeinfo.com/family/I09047905.html", "Mrs. URSULA\ELIZABETH FISKE 1495 EN-1527  ID:09023953")</f>
        <v>Mrs. URSULA\ELIZABETH FISKE 1495 EN-1527  ID:09023953</v>
      </c>
      <c r="Q7250" s="17"/>
      <c r="R7250" s="17"/>
      <c r="S7250" s="17"/>
      <c r="T7250" s="17"/>
      <c r="U7250" s="17"/>
      <c r="V7250" s="17"/>
    </row>
    <row r="7251" spans="3:25" x14ac:dyDescent="0.35">
      <c r="C7251" s="15" t="s">
        <v>8</v>
      </c>
      <c r="F7251" s="15" t="s">
        <v>8</v>
      </c>
      <c r="G7251" s="15" t="s">
        <v>8</v>
      </c>
      <c r="I7251" s="15" t="s">
        <v>8</v>
      </c>
      <c r="K7251" s="15" t="s">
        <v>8</v>
      </c>
      <c r="L7251" s="15" t="s">
        <v>8</v>
      </c>
      <c r="O7251" s="15" t="s">
        <v>8</v>
      </c>
    </row>
    <row r="7252" spans="3:25" x14ac:dyDescent="0.35">
      <c r="C7252" s="15" t="s">
        <v>8</v>
      </c>
      <c r="F7252" s="15" t="s">
        <v>8</v>
      </c>
      <c r="G7252" s="15" t="s">
        <v>8</v>
      </c>
      <c r="I7252" s="15" t="s">
        <v>8</v>
      </c>
      <c r="K7252" s="15" t="s">
        <v>8</v>
      </c>
      <c r="L7252" s="15" t="s">
        <v>8</v>
      </c>
      <c r="N7252" s="5" t="str">
        <f>HYPERLINK("http://yeinfo.com/family/I09002994.html", "GEOFFREY\ELEAZER FISKE 1552 EN-1629  ID:09005988")</f>
        <v>GEOFFREY\ELEAZER FISKE 1552 EN-1629  ID:09005988</v>
      </c>
      <c r="O7252" s="3"/>
      <c r="P7252" s="3"/>
      <c r="Q7252" s="3"/>
      <c r="R7252" s="3"/>
      <c r="S7252" s="3"/>
    </row>
    <row r="7253" spans="3:25" x14ac:dyDescent="0.35">
      <c r="C7253" s="15" t="s">
        <v>8</v>
      </c>
      <c r="F7253" s="15" t="s">
        <v>8</v>
      </c>
      <c r="G7253" s="15" t="s">
        <v>8</v>
      </c>
      <c r="I7253" s="15" t="s">
        <v>8</v>
      </c>
      <c r="K7253" s="15" t="s">
        <v>8</v>
      </c>
      <c r="L7253" s="15" t="s">
        <v>8</v>
      </c>
      <c r="N7253" s="8" t="s">
        <v>3</v>
      </c>
      <c r="O7253" s="15" t="s">
        <v>8</v>
      </c>
    </row>
    <row r="7254" spans="3:25" x14ac:dyDescent="0.35">
      <c r="C7254" s="15" t="s">
        <v>8</v>
      </c>
      <c r="F7254" s="15" t="s">
        <v>8</v>
      </c>
      <c r="G7254" s="15" t="s">
        <v>8</v>
      </c>
      <c r="I7254" s="15" t="s">
        <v>8</v>
      </c>
      <c r="K7254" s="15" t="s">
        <v>8</v>
      </c>
      <c r="L7254" s="15" t="s">
        <v>8</v>
      </c>
      <c r="N7254" s="15" t="s">
        <v>8</v>
      </c>
      <c r="O7254" s="15" t="s">
        <v>8</v>
      </c>
      <c r="U7254" s="19" t="str">
        <f>HYPERLINK("http://yeinfo.com/family/I09065926.html", "ROBERT GOULD 1342 EN-1380 EN ID:09066092")</f>
        <v>ROBERT GOULD 1342 EN-1380 EN ID:09066092</v>
      </c>
      <c r="V7254" s="9"/>
      <c r="W7254" s="9"/>
      <c r="X7254" s="9"/>
      <c r="Y7254" s="9"/>
    </row>
    <row r="7255" spans="3:25" x14ac:dyDescent="0.35">
      <c r="C7255" s="15" t="s">
        <v>8</v>
      </c>
      <c r="F7255" s="15" t="s">
        <v>8</v>
      </c>
      <c r="G7255" s="15" t="s">
        <v>8</v>
      </c>
      <c r="I7255" s="15" t="s">
        <v>8</v>
      </c>
      <c r="K7255" s="15" t="s">
        <v>8</v>
      </c>
      <c r="L7255" s="15" t="s">
        <v>8</v>
      </c>
      <c r="N7255" s="15" t="s">
        <v>8</v>
      </c>
      <c r="O7255" s="15" t="s">
        <v>8</v>
      </c>
      <c r="U7255" s="8" t="s">
        <v>3</v>
      </c>
    </row>
    <row r="7256" spans="3:25" x14ac:dyDescent="0.35">
      <c r="C7256" s="15" t="s">
        <v>8</v>
      </c>
      <c r="F7256" s="15" t="s">
        <v>8</v>
      </c>
      <c r="G7256" s="15" t="s">
        <v>8</v>
      </c>
      <c r="I7256" s="15" t="s">
        <v>8</v>
      </c>
      <c r="K7256" s="15" t="s">
        <v>8</v>
      </c>
      <c r="L7256" s="15" t="s">
        <v>8</v>
      </c>
      <c r="N7256" s="15" t="s">
        <v>8</v>
      </c>
      <c r="O7256" s="15" t="s">
        <v>8</v>
      </c>
      <c r="T7256" s="19" t="str">
        <f>HYPERLINK("http://yeinfo.com/family/I09065779.html", "JOHN GOULD 1372 EN-1426 EN ID:09065926")</f>
        <v>JOHN GOULD 1372 EN-1426 EN ID:09065926</v>
      </c>
      <c r="U7256" s="9"/>
      <c r="V7256" s="9"/>
      <c r="W7256" s="9"/>
      <c r="X7256" s="9"/>
    </row>
    <row r="7257" spans="3:25" x14ac:dyDescent="0.35">
      <c r="C7257" s="15" t="s">
        <v>8</v>
      </c>
      <c r="F7257" s="15" t="s">
        <v>8</v>
      </c>
      <c r="G7257" s="15" t="s">
        <v>8</v>
      </c>
      <c r="I7257" s="15" t="s">
        <v>8</v>
      </c>
      <c r="K7257" s="15" t="s">
        <v>8</v>
      </c>
      <c r="L7257" s="15" t="s">
        <v>8</v>
      </c>
      <c r="N7257" s="15" t="s">
        <v>8</v>
      </c>
      <c r="O7257" s="15" t="s">
        <v>8</v>
      </c>
      <c r="T7257" s="8" t="s">
        <v>3</v>
      </c>
      <c r="U7257" s="8" t="s">
        <v>6</v>
      </c>
    </row>
    <row r="7258" spans="3:25" x14ac:dyDescent="0.35">
      <c r="C7258" s="15" t="s">
        <v>8</v>
      </c>
      <c r="F7258" s="15" t="s">
        <v>8</v>
      </c>
      <c r="G7258" s="15" t="s">
        <v>8</v>
      </c>
      <c r="I7258" s="15" t="s">
        <v>8</v>
      </c>
      <c r="K7258" s="15" t="s">
        <v>8</v>
      </c>
      <c r="L7258" s="15" t="s">
        <v>8</v>
      </c>
      <c r="N7258" s="15" t="s">
        <v>8</v>
      </c>
      <c r="O7258" s="15" t="s">
        <v>8</v>
      </c>
      <c r="T7258" s="15" t="s">
        <v>8</v>
      </c>
      <c r="U7258" s="20" t="str">
        <f>HYPERLINK("http://yeinfo.com/family/I09066092.html", "Mrs. ELIZABETH GOULD 1346 EN-1411 EN ID:09066091")</f>
        <v>Mrs. ELIZABETH GOULD 1346 EN-1411 EN ID:09066091</v>
      </c>
      <c r="V7258" s="17"/>
      <c r="W7258" s="17"/>
      <c r="X7258" s="17"/>
      <c r="Y7258" s="17"/>
    </row>
    <row r="7259" spans="3:25" x14ac:dyDescent="0.35">
      <c r="C7259" s="15" t="s">
        <v>8</v>
      </c>
      <c r="F7259" s="15" t="s">
        <v>8</v>
      </c>
      <c r="G7259" s="15" t="s">
        <v>8</v>
      </c>
      <c r="I7259" s="15" t="s">
        <v>8</v>
      </c>
      <c r="K7259" s="15" t="s">
        <v>8</v>
      </c>
      <c r="L7259" s="15" t="s">
        <v>8</v>
      </c>
      <c r="N7259" s="15" t="s">
        <v>8</v>
      </c>
      <c r="O7259" s="15" t="s">
        <v>8</v>
      </c>
      <c r="T7259" s="15" t="s">
        <v>8</v>
      </c>
    </row>
    <row r="7260" spans="3:25" x14ac:dyDescent="0.35">
      <c r="C7260" s="15" t="s">
        <v>8</v>
      </c>
      <c r="F7260" s="15" t="s">
        <v>8</v>
      </c>
      <c r="G7260" s="15" t="s">
        <v>8</v>
      </c>
      <c r="I7260" s="15" t="s">
        <v>8</v>
      </c>
      <c r="K7260" s="15" t="s">
        <v>8</v>
      </c>
      <c r="L7260" s="15" t="s">
        <v>8</v>
      </c>
      <c r="N7260" s="15" t="s">
        <v>8</v>
      </c>
      <c r="O7260" s="15" t="s">
        <v>8</v>
      </c>
      <c r="S7260" s="19" t="str">
        <f>HYPERLINK("http://yeinfo.com/family/I09065647.html", "ROBERT GOULD 1404 EN-1455 EN ID:09065779")</f>
        <v>ROBERT GOULD 1404 EN-1455 EN ID:09065779</v>
      </c>
      <c r="T7260" s="9"/>
      <c r="U7260" s="9"/>
      <c r="V7260" s="9"/>
      <c r="W7260" s="9"/>
    </row>
    <row r="7261" spans="3:25" x14ac:dyDescent="0.35">
      <c r="C7261" s="15" t="s">
        <v>8</v>
      </c>
      <c r="F7261" s="15" t="s">
        <v>8</v>
      </c>
      <c r="G7261" s="15" t="s">
        <v>8</v>
      </c>
      <c r="I7261" s="15" t="s">
        <v>8</v>
      </c>
      <c r="K7261" s="15" t="s">
        <v>8</v>
      </c>
      <c r="L7261" s="15" t="s">
        <v>8</v>
      </c>
      <c r="N7261" s="15" t="s">
        <v>8</v>
      </c>
      <c r="O7261" s="15" t="s">
        <v>8</v>
      </c>
      <c r="S7261" s="8" t="s">
        <v>3</v>
      </c>
      <c r="T7261" s="15" t="s">
        <v>8</v>
      </c>
    </row>
    <row r="7262" spans="3:25" x14ac:dyDescent="0.35">
      <c r="C7262" s="15" t="s">
        <v>8</v>
      </c>
      <c r="F7262" s="15" t="s">
        <v>8</v>
      </c>
      <c r="G7262" s="15" t="s">
        <v>8</v>
      </c>
      <c r="I7262" s="15" t="s">
        <v>8</v>
      </c>
      <c r="K7262" s="15" t="s">
        <v>8</v>
      </c>
      <c r="L7262" s="15" t="s">
        <v>8</v>
      </c>
      <c r="N7262" s="15" t="s">
        <v>8</v>
      </c>
      <c r="O7262" s="15" t="s">
        <v>8</v>
      </c>
      <c r="S7262" s="15" t="s">
        <v>8</v>
      </c>
      <c r="T7262" s="15" t="s">
        <v>8</v>
      </c>
      <c r="U7262" s="19" t="str">
        <f>HYPERLINK("http://yeinfo.com/family/I09065939.html", "ROBERT SAMPIT 1355 EN-1414 EN ID:09066109")</f>
        <v>ROBERT SAMPIT 1355 EN-1414 EN ID:09066109</v>
      </c>
      <c r="V7262" s="9"/>
      <c r="W7262" s="9"/>
      <c r="X7262" s="9"/>
      <c r="Y7262" s="9"/>
    </row>
    <row r="7263" spans="3:25" x14ac:dyDescent="0.35">
      <c r="C7263" s="15" t="s">
        <v>8</v>
      </c>
      <c r="F7263" s="15" t="s">
        <v>8</v>
      </c>
      <c r="G7263" s="15" t="s">
        <v>8</v>
      </c>
      <c r="I7263" s="15" t="s">
        <v>8</v>
      </c>
      <c r="K7263" s="15" t="s">
        <v>8</v>
      </c>
      <c r="L7263" s="15" t="s">
        <v>8</v>
      </c>
      <c r="N7263" s="15" t="s">
        <v>8</v>
      </c>
      <c r="O7263" s="15" t="s">
        <v>8</v>
      </c>
      <c r="S7263" s="15" t="s">
        <v>8</v>
      </c>
      <c r="T7263" s="8" t="s">
        <v>6</v>
      </c>
      <c r="U7263" s="8" t="s">
        <v>3</v>
      </c>
    </row>
    <row r="7264" spans="3:25" x14ac:dyDescent="0.35">
      <c r="C7264" s="15" t="s">
        <v>8</v>
      </c>
      <c r="F7264" s="15" t="s">
        <v>8</v>
      </c>
      <c r="G7264" s="15" t="s">
        <v>8</v>
      </c>
      <c r="I7264" s="15" t="s">
        <v>8</v>
      </c>
      <c r="K7264" s="15" t="s">
        <v>8</v>
      </c>
      <c r="L7264" s="15" t="s">
        <v>8</v>
      </c>
      <c r="N7264" s="15" t="s">
        <v>8</v>
      </c>
      <c r="O7264" s="15" t="s">
        <v>8</v>
      </c>
      <c r="S7264" s="15" t="s">
        <v>8</v>
      </c>
      <c r="T7264" s="20" t="str">
        <f>HYPERLINK("http://yeinfo.com/family/I09066091.html", "ROBERTA SAMPIT 1377 EN-1420 EN ID:09065939")</f>
        <v>ROBERTA SAMPIT 1377 EN-1420 EN ID:09065939</v>
      </c>
      <c r="U7264" s="17"/>
      <c r="V7264" s="17"/>
      <c r="W7264" s="17"/>
      <c r="X7264" s="17"/>
    </row>
    <row r="7265" spans="3:25" x14ac:dyDescent="0.35">
      <c r="C7265" s="15" t="s">
        <v>8</v>
      </c>
      <c r="F7265" s="15" t="s">
        <v>8</v>
      </c>
      <c r="G7265" s="15" t="s">
        <v>8</v>
      </c>
      <c r="I7265" s="15" t="s">
        <v>8</v>
      </c>
      <c r="K7265" s="15" t="s">
        <v>8</v>
      </c>
      <c r="L7265" s="15" t="s">
        <v>8</v>
      </c>
      <c r="N7265" s="15" t="s">
        <v>8</v>
      </c>
      <c r="O7265" s="15" t="s">
        <v>8</v>
      </c>
      <c r="S7265" s="15" t="s">
        <v>8</v>
      </c>
      <c r="U7265" s="8" t="s">
        <v>6</v>
      </c>
    </row>
    <row r="7266" spans="3:25" x14ac:dyDescent="0.35">
      <c r="C7266" s="15" t="s">
        <v>8</v>
      </c>
      <c r="F7266" s="15" t="s">
        <v>8</v>
      </c>
      <c r="G7266" s="15" t="s">
        <v>8</v>
      </c>
      <c r="I7266" s="15" t="s">
        <v>8</v>
      </c>
      <c r="K7266" s="15" t="s">
        <v>8</v>
      </c>
      <c r="L7266" s="15" t="s">
        <v>8</v>
      </c>
      <c r="N7266" s="15" t="s">
        <v>8</v>
      </c>
      <c r="O7266" s="15" t="s">
        <v>8</v>
      </c>
      <c r="S7266" s="15" t="s">
        <v>8</v>
      </c>
      <c r="U7266" s="20" t="str">
        <f>HYPERLINK("http://yeinfo.com/family/I09066109.html", "Mrs. {_?_} SAMPIT 1355 EN-1377 EN ID:09066108")</f>
        <v>Mrs. {_?_} SAMPIT 1355 EN-1377 EN ID:09066108</v>
      </c>
      <c r="V7266" s="17"/>
      <c r="W7266" s="17"/>
      <c r="X7266" s="17"/>
      <c r="Y7266" s="17"/>
    </row>
    <row r="7267" spans="3:25" x14ac:dyDescent="0.35">
      <c r="C7267" s="15" t="s">
        <v>8</v>
      </c>
      <c r="F7267" s="15" t="s">
        <v>8</v>
      </c>
      <c r="G7267" s="15" t="s">
        <v>8</v>
      </c>
      <c r="I7267" s="15" t="s">
        <v>8</v>
      </c>
      <c r="K7267" s="15" t="s">
        <v>8</v>
      </c>
      <c r="L7267" s="15" t="s">
        <v>8</v>
      </c>
      <c r="N7267" s="15" t="s">
        <v>8</v>
      </c>
      <c r="O7267" s="15" t="s">
        <v>8</v>
      </c>
      <c r="S7267" s="15" t="s">
        <v>8</v>
      </c>
    </row>
    <row r="7268" spans="3:25" x14ac:dyDescent="0.35">
      <c r="C7268" s="15" t="s">
        <v>8</v>
      </c>
      <c r="F7268" s="15" t="s">
        <v>8</v>
      </c>
      <c r="G7268" s="15" t="s">
        <v>8</v>
      </c>
      <c r="I7268" s="15" t="s">
        <v>8</v>
      </c>
      <c r="K7268" s="15" t="s">
        <v>8</v>
      </c>
      <c r="L7268" s="15" t="s">
        <v>8</v>
      </c>
      <c r="N7268" s="15" t="s">
        <v>8</v>
      </c>
      <c r="O7268" s="15" t="s">
        <v>8</v>
      </c>
      <c r="R7268" s="19" t="str">
        <f>HYPERLINK("http://yeinfo.com/family/I09047908.html", "THOMAS GOULD Sr. 1455 EN-1502 EN ID:09065647")</f>
        <v>THOMAS GOULD Sr. 1455 EN-1502 EN ID:09065647</v>
      </c>
      <c r="S7268" s="9"/>
      <c r="T7268" s="9"/>
      <c r="U7268" s="9"/>
      <c r="V7268" s="9"/>
    </row>
    <row r="7269" spans="3:25" x14ac:dyDescent="0.35">
      <c r="C7269" s="15" t="s">
        <v>8</v>
      </c>
      <c r="F7269" s="15" t="s">
        <v>8</v>
      </c>
      <c r="G7269" s="15" t="s">
        <v>8</v>
      </c>
      <c r="I7269" s="15" t="s">
        <v>8</v>
      </c>
      <c r="K7269" s="15" t="s">
        <v>8</v>
      </c>
      <c r="L7269" s="15" t="s">
        <v>8</v>
      </c>
      <c r="N7269" s="15" t="s">
        <v>8</v>
      </c>
      <c r="O7269" s="15" t="s">
        <v>8</v>
      </c>
      <c r="R7269" s="8" t="s">
        <v>3</v>
      </c>
      <c r="S7269" s="15" t="s">
        <v>8</v>
      </c>
    </row>
    <row r="7270" spans="3:25" x14ac:dyDescent="0.35">
      <c r="C7270" s="15" t="s">
        <v>8</v>
      </c>
      <c r="F7270" s="15" t="s">
        <v>8</v>
      </c>
      <c r="G7270" s="15" t="s">
        <v>8</v>
      </c>
      <c r="I7270" s="15" t="s">
        <v>8</v>
      </c>
      <c r="K7270" s="15" t="s">
        <v>8</v>
      </c>
      <c r="L7270" s="15" t="s">
        <v>8</v>
      </c>
      <c r="N7270" s="15" t="s">
        <v>8</v>
      </c>
      <c r="O7270" s="15" t="s">
        <v>8</v>
      </c>
      <c r="R7270" s="15" t="s">
        <v>8</v>
      </c>
      <c r="S7270" s="15" t="s">
        <v>8</v>
      </c>
      <c r="T7270" s="19" t="str">
        <f>HYPERLINK("http://yeinfo.com/family/I09065789.html", "THOMAS MYCHELDEVER 1382 EN-1409 EN ID:09065936")</f>
        <v>THOMAS MYCHELDEVER 1382 EN-1409 EN ID:09065936</v>
      </c>
      <c r="U7270" s="9"/>
      <c r="V7270" s="9"/>
      <c r="W7270" s="9"/>
      <c r="X7270" s="9"/>
    </row>
    <row r="7271" spans="3:25" x14ac:dyDescent="0.35">
      <c r="C7271" s="15" t="s">
        <v>8</v>
      </c>
      <c r="F7271" s="15" t="s">
        <v>8</v>
      </c>
      <c r="G7271" s="15" t="s">
        <v>8</v>
      </c>
      <c r="I7271" s="15" t="s">
        <v>8</v>
      </c>
      <c r="K7271" s="15" t="s">
        <v>8</v>
      </c>
      <c r="L7271" s="15" t="s">
        <v>8</v>
      </c>
      <c r="N7271" s="15" t="s">
        <v>8</v>
      </c>
      <c r="O7271" s="15" t="s">
        <v>8</v>
      </c>
      <c r="R7271" s="15" t="s">
        <v>8</v>
      </c>
      <c r="S7271" s="8" t="s">
        <v>6</v>
      </c>
      <c r="T7271" s="8" t="s">
        <v>3</v>
      </c>
    </row>
    <row r="7272" spans="3:25" x14ac:dyDescent="0.35">
      <c r="C7272" s="15" t="s">
        <v>8</v>
      </c>
      <c r="F7272" s="15" t="s">
        <v>8</v>
      </c>
      <c r="G7272" s="15" t="s">
        <v>8</v>
      </c>
      <c r="I7272" s="15" t="s">
        <v>8</v>
      </c>
      <c r="K7272" s="15" t="s">
        <v>8</v>
      </c>
      <c r="L7272" s="15" t="s">
        <v>8</v>
      </c>
      <c r="N7272" s="15" t="s">
        <v>8</v>
      </c>
      <c r="O7272" s="15" t="s">
        <v>8</v>
      </c>
      <c r="R7272" s="15" t="s">
        <v>8</v>
      </c>
      <c r="S7272" s="20" t="str">
        <f>HYPERLINK("http://yeinfo.com/family/I09066108.html", "IDONEA MYCHELDEVER 1409 EN-1455 EN ID:09065789")</f>
        <v>IDONEA MYCHELDEVER 1409 EN-1455 EN ID:09065789</v>
      </c>
      <c r="T7272" s="17"/>
      <c r="U7272" s="17"/>
      <c r="V7272" s="17"/>
      <c r="W7272" s="17"/>
    </row>
    <row r="7273" spans="3:25" x14ac:dyDescent="0.35">
      <c r="C7273" s="15" t="s">
        <v>8</v>
      </c>
      <c r="F7273" s="15" t="s">
        <v>8</v>
      </c>
      <c r="G7273" s="15" t="s">
        <v>8</v>
      </c>
      <c r="I7273" s="15" t="s">
        <v>8</v>
      </c>
      <c r="K7273" s="15" t="s">
        <v>8</v>
      </c>
      <c r="L7273" s="15" t="s">
        <v>8</v>
      </c>
      <c r="N7273" s="15" t="s">
        <v>8</v>
      </c>
      <c r="O7273" s="15" t="s">
        <v>8</v>
      </c>
      <c r="R7273" s="15" t="s">
        <v>8</v>
      </c>
      <c r="T7273" s="8" t="s">
        <v>6</v>
      </c>
    </row>
    <row r="7274" spans="3:25" x14ac:dyDescent="0.35">
      <c r="C7274" s="15" t="s">
        <v>8</v>
      </c>
      <c r="F7274" s="15" t="s">
        <v>8</v>
      </c>
      <c r="G7274" s="15" t="s">
        <v>8</v>
      </c>
      <c r="I7274" s="15" t="s">
        <v>8</v>
      </c>
      <c r="K7274" s="15" t="s">
        <v>8</v>
      </c>
      <c r="L7274" s="15" t="s">
        <v>8</v>
      </c>
      <c r="N7274" s="15" t="s">
        <v>8</v>
      </c>
      <c r="O7274" s="15" t="s">
        <v>8</v>
      </c>
      <c r="R7274" s="15" t="s">
        <v>8</v>
      </c>
      <c r="T7274" s="20" t="str">
        <f>HYPERLINK("http://yeinfo.com/family/I09065936.html", "Mrs. {_?_} MYCHELDEVER 1390 EN-1410 EN ID:09065935")</f>
        <v>Mrs. {_?_} MYCHELDEVER 1390 EN-1410 EN ID:09065935</v>
      </c>
      <c r="U7274" s="17"/>
      <c r="V7274" s="17"/>
      <c r="W7274" s="17"/>
      <c r="X7274" s="17"/>
    </row>
    <row r="7275" spans="3:25" x14ac:dyDescent="0.35">
      <c r="C7275" s="15" t="s">
        <v>8</v>
      </c>
      <c r="F7275" s="15" t="s">
        <v>8</v>
      </c>
      <c r="G7275" s="15" t="s">
        <v>8</v>
      </c>
      <c r="I7275" s="15" t="s">
        <v>8</v>
      </c>
      <c r="K7275" s="15" t="s">
        <v>8</v>
      </c>
      <c r="L7275" s="15" t="s">
        <v>8</v>
      </c>
      <c r="N7275" s="15" t="s">
        <v>8</v>
      </c>
      <c r="O7275" s="15" t="s">
        <v>8</v>
      </c>
      <c r="R7275" s="15" t="s">
        <v>8</v>
      </c>
    </row>
    <row r="7276" spans="3:25" x14ac:dyDescent="0.35">
      <c r="C7276" s="15" t="s">
        <v>8</v>
      </c>
      <c r="F7276" s="15" t="s">
        <v>8</v>
      </c>
      <c r="G7276" s="15" t="s">
        <v>8</v>
      </c>
      <c r="I7276" s="15" t="s">
        <v>8</v>
      </c>
      <c r="K7276" s="15" t="s">
        <v>8</v>
      </c>
      <c r="L7276" s="15" t="s">
        <v>8</v>
      </c>
      <c r="N7276" s="15" t="s">
        <v>8</v>
      </c>
      <c r="O7276" s="15" t="s">
        <v>8</v>
      </c>
      <c r="Q7276" s="19" t="str">
        <f>HYPERLINK("http://yeinfo.com/family/I09023954.html", "THOMAS GOULD Jr. 1472 EN-1525 EN ID:09047908")</f>
        <v>THOMAS GOULD Jr. 1472 EN-1525 EN ID:09047908</v>
      </c>
      <c r="R7276" s="9"/>
      <c r="S7276" s="9"/>
      <c r="T7276" s="9"/>
      <c r="U7276" s="9"/>
    </row>
    <row r="7277" spans="3:25" x14ac:dyDescent="0.35">
      <c r="C7277" s="15" t="s">
        <v>8</v>
      </c>
      <c r="F7277" s="15" t="s">
        <v>8</v>
      </c>
      <c r="G7277" s="15" t="s">
        <v>8</v>
      </c>
      <c r="I7277" s="15" t="s">
        <v>8</v>
      </c>
      <c r="K7277" s="15" t="s">
        <v>8</v>
      </c>
      <c r="L7277" s="15" t="s">
        <v>8</v>
      </c>
      <c r="N7277" s="15" t="s">
        <v>8</v>
      </c>
      <c r="O7277" s="15" t="s">
        <v>8</v>
      </c>
      <c r="Q7277" s="8" t="s">
        <v>3</v>
      </c>
      <c r="R7277" s="8" t="s">
        <v>6</v>
      </c>
    </row>
    <row r="7278" spans="3:25" x14ac:dyDescent="0.35">
      <c r="C7278" s="15" t="s">
        <v>8</v>
      </c>
      <c r="F7278" s="15" t="s">
        <v>8</v>
      </c>
      <c r="G7278" s="15" t="s">
        <v>8</v>
      </c>
      <c r="I7278" s="15" t="s">
        <v>8</v>
      </c>
      <c r="K7278" s="15" t="s">
        <v>8</v>
      </c>
      <c r="L7278" s="15" t="s">
        <v>8</v>
      </c>
      <c r="N7278" s="15" t="s">
        <v>8</v>
      </c>
      <c r="O7278" s="15" t="s">
        <v>8</v>
      </c>
      <c r="Q7278" s="15" t="s">
        <v>8</v>
      </c>
      <c r="R7278" s="20" t="str">
        <f>HYPERLINK("http://yeinfo.com/family/I09065935.html", "Mrs. ELEANOR GOULD 1444 EN-1472 EN ID:09065646")</f>
        <v>Mrs. ELEANOR GOULD 1444 EN-1472 EN ID:09065646</v>
      </c>
      <c r="S7278" s="17"/>
      <c r="T7278" s="17"/>
      <c r="U7278" s="17"/>
      <c r="V7278" s="17"/>
    </row>
    <row r="7279" spans="3:25" x14ac:dyDescent="0.35">
      <c r="C7279" s="15" t="s">
        <v>8</v>
      </c>
      <c r="F7279" s="15" t="s">
        <v>8</v>
      </c>
      <c r="G7279" s="15" t="s">
        <v>8</v>
      </c>
      <c r="I7279" s="15" t="s">
        <v>8</v>
      </c>
      <c r="K7279" s="15" t="s">
        <v>8</v>
      </c>
      <c r="L7279" s="15" t="s">
        <v>8</v>
      </c>
      <c r="N7279" s="15" t="s">
        <v>8</v>
      </c>
      <c r="O7279" s="15" t="s">
        <v>8</v>
      </c>
      <c r="Q7279" s="15" t="s">
        <v>8</v>
      </c>
    </row>
    <row r="7280" spans="3:25" x14ac:dyDescent="0.35">
      <c r="C7280" s="15" t="s">
        <v>8</v>
      </c>
      <c r="F7280" s="15" t="s">
        <v>8</v>
      </c>
      <c r="G7280" s="15" t="s">
        <v>8</v>
      </c>
      <c r="I7280" s="15" t="s">
        <v>8</v>
      </c>
      <c r="K7280" s="15" t="s">
        <v>8</v>
      </c>
      <c r="L7280" s="15" t="s">
        <v>8</v>
      </c>
      <c r="N7280" s="15" t="s">
        <v>8</v>
      </c>
      <c r="O7280" s="15" t="s">
        <v>8</v>
      </c>
      <c r="P7280" s="19" t="str">
        <f>HYPERLINK("http://yeinfo.com/family/I09011977.html", "EPHRIAM GOULD 1505 -1585  ID:09023954")</f>
        <v>EPHRIAM GOULD 1505 -1585  ID:09023954</v>
      </c>
      <c r="Q7280" s="9"/>
      <c r="R7280" s="9"/>
      <c r="S7280" s="9"/>
      <c r="T7280" s="9"/>
    </row>
    <row r="7281" spans="3:25" x14ac:dyDescent="0.35">
      <c r="C7281" s="15" t="s">
        <v>8</v>
      </c>
      <c r="F7281" s="15" t="s">
        <v>8</v>
      </c>
      <c r="G7281" s="15" t="s">
        <v>8</v>
      </c>
      <c r="I7281" s="15" t="s">
        <v>8</v>
      </c>
      <c r="K7281" s="15" t="s">
        <v>8</v>
      </c>
      <c r="L7281" s="15" t="s">
        <v>8</v>
      </c>
      <c r="N7281" s="15" t="s">
        <v>8</v>
      </c>
      <c r="O7281" s="15" t="s">
        <v>8</v>
      </c>
      <c r="P7281" s="8" t="s">
        <v>3</v>
      </c>
      <c r="Q7281" s="15" t="s">
        <v>8</v>
      </c>
    </row>
    <row r="7282" spans="3:25" x14ac:dyDescent="0.35">
      <c r="C7282" s="15" t="s">
        <v>8</v>
      </c>
      <c r="F7282" s="15" t="s">
        <v>8</v>
      </c>
      <c r="G7282" s="15" t="s">
        <v>8</v>
      </c>
      <c r="I7282" s="15" t="s">
        <v>8</v>
      </c>
      <c r="K7282" s="15" t="s">
        <v>8</v>
      </c>
      <c r="L7282" s="15" t="s">
        <v>8</v>
      </c>
      <c r="N7282" s="15" t="s">
        <v>8</v>
      </c>
      <c r="O7282" s="15" t="s">
        <v>8</v>
      </c>
      <c r="P7282" s="15" t="s">
        <v>8</v>
      </c>
      <c r="Q7282" s="15" t="s">
        <v>8</v>
      </c>
      <c r="S7282" s="19" t="str">
        <f>HYPERLINK("http://yeinfo.com/family/I09065611.html", "ROGER APPLETON 1412 EN-1481 EN ID:09065744")</f>
        <v>ROGER APPLETON 1412 EN-1481 EN ID:09065744</v>
      </c>
      <c r="T7282" s="9"/>
      <c r="U7282" s="9"/>
      <c r="V7282" s="9"/>
      <c r="W7282" s="9"/>
    </row>
    <row r="7283" spans="3:25" x14ac:dyDescent="0.35">
      <c r="C7283" s="15" t="s">
        <v>8</v>
      </c>
      <c r="F7283" s="15" t="s">
        <v>8</v>
      </c>
      <c r="G7283" s="15" t="s">
        <v>8</v>
      </c>
      <c r="I7283" s="15" t="s">
        <v>8</v>
      </c>
      <c r="K7283" s="15" t="s">
        <v>8</v>
      </c>
      <c r="L7283" s="15" t="s">
        <v>8</v>
      </c>
      <c r="N7283" s="15" t="s">
        <v>8</v>
      </c>
      <c r="O7283" s="15" t="s">
        <v>8</v>
      </c>
      <c r="P7283" s="15" t="s">
        <v>8</v>
      </c>
      <c r="Q7283" s="15" t="s">
        <v>8</v>
      </c>
      <c r="S7283" s="8" t="s">
        <v>3</v>
      </c>
    </row>
    <row r="7284" spans="3:25" x14ac:dyDescent="0.35">
      <c r="C7284" s="15" t="s">
        <v>8</v>
      </c>
      <c r="F7284" s="15" t="s">
        <v>8</v>
      </c>
      <c r="G7284" s="15" t="s">
        <v>8</v>
      </c>
      <c r="I7284" s="15" t="s">
        <v>8</v>
      </c>
      <c r="K7284" s="15" t="s">
        <v>8</v>
      </c>
      <c r="L7284" s="15" t="s">
        <v>8</v>
      </c>
      <c r="N7284" s="15" t="s">
        <v>8</v>
      </c>
      <c r="O7284" s="15" t="s">
        <v>8</v>
      </c>
      <c r="P7284" s="15" t="s">
        <v>8</v>
      </c>
      <c r="Q7284" s="15" t="s">
        <v>8</v>
      </c>
      <c r="R7284" s="19" t="str">
        <f>HYPERLINK("http://yeinfo.com/family/I09047909.html", "ROGER APPLETON 1450 EN-1478 EN ID:09065611")</f>
        <v>ROGER APPLETON 1450 EN-1478 EN ID:09065611</v>
      </c>
      <c r="S7284" s="9"/>
      <c r="T7284" s="9"/>
      <c r="U7284" s="9"/>
      <c r="V7284" s="9"/>
    </row>
    <row r="7285" spans="3:25" x14ac:dyDescent="0.35">
      <c r="C7285" s="15" t="s">
        <v>8</v>
      </c>
      <c r="F7285" s="15" t="s">
        <v>8</v>
      </c>
      <c r="G7285" s="15" t="s">
        <v>8</v>
      </c>
      <c r="I7285" s="15" t="s">
        <v>8</v>
      </c>
      <c r="K7285" s="15" t="s">
        <v>8</v>
      </c>
      <c r="L7285" s="15" t="s">
        <v>8</v>
      </c>
      <c r="N7285" s="15" t="s">
        <v>8</v>
      </c>
      <c r="O7285" s="15" t="s">
        <v>8</v>
      </c>
      <c r="P7285" s="15" t="s">
        <v>8</v>
      </c>
      <c r="Q7285" s="15" t="s">
        <v>8</v>
      </c>
      <c r="R7285" s="8" t="s">
        <v>3</v>
      </c>
      <c r="S7285" s="15" t="s">
        <v>8</v>
      </c>
    </row>
    <row r="7286" spans="3:25" x14ac:dyDescent="0.35">
      <c r="C7286" s="15" t="s">
        <v>8</v>
      </c>
      <c r="F7286" s="15" t="s">
        <v>8</v>
      </c>
      <c r="G7286" s="15" t="s">
        <v>8</v>
      </c>
      <c r="I7286" s="15" t="s">
        <v>8</v>
      </c>
      <c r="K7286" s="15" t="s">
        <v>8</v>
      </c>
      <c r="L7286" s="15" t="s">
        <v>8</v>
      </c>
      <c r="N7286" s="15" t="s">
        <v>8</v>
      </c>
      <c r="O7286" s="15" t="s">
        <v>8</v>
      </c>
      <c r="P7286" s="15" t="s">
        <v>8</v>
      </c>
      <c r="Q7286" s="15" t="s">
        <v>8</v>
      </c>
      <c r="R7286" s="15" t="s">
        <v>8</v>
      </c>
      <c r="S7286" s="15" t="s">
        <v>8</v>
      </c>
      <c r="U7286" s="19" t="str">
        <f>HYPERLINK("http://yeinfo.com/family/I09066131.html", "HENRY FROWICKE &lt;2&gt; 1345 EN-1386 EN ID:09066131")</f>
        <v>HENRY FROWICKE &lt;2&gt; 1345 EN-1386 EN ID:09066131</v>
      </c>
      <c r="V7286" s="9"/>
      <c r="W7286" s="9"/>
      <c r="X7286" s="9"/>
      <c r="Y7286" s="9"/>
    </row>
    <row r="7287" spans="3:25" x14ac:dyDescent="0.35">
      <c r="C7287" s="15" t="s">
        <v>8</v>
      </c>
      <c r="F7287" s="15" t="s">
        <v>8</v>
      </c>
      <c r="G7287" s="15" t="s">
        <v>8</v>
      </c>
      <c r="I7287" s="15" t="s">
        <v>8</v>
      </c>
      <c r="K7287" s="15" t="s">
        <v>8</v>
      </c>
      <c r="L7287" s="15" t="s">
        <v>8</v>
      </c>
      <c r="N7287" s="15" t="s">
        <v>8</v>
      </c>
      <c r="O7287" s="15" t="s">
        <v>8</v>
      </c>
      <c r="P7287" s="15" t="s">
        <v>8</v>
      </c>
      <c r="Q7287" s="15" t="s">
        <v>8</v>
      </c>
      <c r="R7287" s="15" t="s">
        <v>8</v>
      </c>
      <c r="S7287" s="15" t="s">
        <v>8</v>
      </c>
      <c r="U7287" s="8" t="s">
        <v>3</v>
      </c>
    </row>
    <row r="7288" spans="3:25" x14ac:dyDescent="0.35">
      <c r="C7288" s="15" t="s">
        <v>8</v>
      </c>
      <c r="F7288" s="15" t="s">
        <v>8</v>
      </c>
      <c r="G7288" s="15" t="s">
        <v>8</v>
      </c>
      <c r="I7288" s="15" t="s">
        <v>8</v>
      </c>
      <c r="K7288" s="15" t="s">
        <v>8</v>
      </c>
      <c r="L7288" s="15" t="s">
        <v>8</v>
      </c>
      <c r="N7288" s="15" t="s">
        <v>8</v>
      </c>
      <c r="O7288" s="15" t="s">
        <v>8</v>
      </c>
      <c r="P7288" s="15" t="s">
        <v>8</v>
      </c>
      <c r="Q7288" s="15" t="s">
        <v>8</v>
      </c>
      <c r="R7288" s="15" t="s">
        <v>8</v>
      </c>
      <c r="S7288" s="15" t="s">
        <v>8</v>
      </c>
      <c r="T7288" s="19" t="str">
        <f>HYPERLINK("http://yeinfo.com/family/I09065957.html", "HENRY FROWICKE &lt;2&gt; 1384 EN-1460 EN ID:09065957")</f>
        <v>HENRY FROWICKE &lt;2&gt; 1384 EN-1460 EN ID:09065957</v>
      </c>
      <c r="U7288" s="9"/>
      <c r="V7288" s="9"/>
      <c r="W7288" s="9"/>
      <c r="X7288" s="9"/>
    </row>
    <row r="7289" spans="3:25" x14ac:dyDescent="0.35">
      <c r="C7289" s="15" t="s">
        <v>8</v>
      </c>
      <c r="F7289" s="15" t="s">
        <v>8</v>
      </c>
      <c r="G7289" s="15" t="s">
        <v>8</v>
      </c>
      <c r="I7289" s="15" t="s">
        <v>8</v>
      </c>
      <c r="K7289" s="15" t="s">
        <v>8</v>
      </c>
      <c r="L7289" s="15" t="s">
        <v>8</v>
      </c>
      <c r="N7289" s="15" t="s">
        <v>8</v>
      </c>
      <c r="O7289" s="15" t="s">
        <v>8</v>
      </c>
      <c r="P7289" s="15" t="s">
        <v>8</v>
      </c>
      <c r="Q7289" s="15" t="s">
        <v>8</v>
      </c>
      <c r="R7289" s="15" t="s">
        <v>8</v>
      </c>
      <c r="S7289" s="15" t="s">
        <v>8</v>
      </c>
      <c r="T7289" s="8" t="s">
        <v>3</v>
      </c>
      <c r="U7289" s="8" t="s">
        <v>6</v>
      </c>
    </row>
    <row r="7290" spans="3:25" x14ac:dyDescent="0.35">
      <c r="C7290" s="15" t="s">
        <v>8</v>
      </c>
      <c r="F7290" s="15" t="s">
        <v>8</v>
      </c>
      <c r="G7290" s="15" t="s">
        <v>8</v>
      </c>
      <c r="I7290" s="15" t="s">
        <v>8</v>
      </c>
      <c r="K7290" s="15" t="s">
        <v>8</v>
      </c>
      <c r="L7290" s="15" t="s">
        <v>8</v>
      </c>
      <c r="N7290" s="15" t="s">
        <v>8</v>
      </c>
      <c r="O7290" s="15" t="s">
        <v>8</v>
      </c>
      <c r="P7290" s="15" t="s">
        <v>8</v>
      </c>
      <c r="Q7290" s="15" t="s">
        <v>8</v>
      </c>
      <c r="R7290" s="15" t="s">
        <v>8</v>
      </c>
      <c r="S7290" s="15" t="s">
        <v>8</v>
      </c>
      <c r="T7290" s="15" t="s">
        <v>8</v>
      </c>
      <c r="U7290" s="20" t="str">
        <f>HYPERLINK("http://yeinfo.com/family/I09066132.html", "ALICE CORNWALL &lt;2&gt; 1350 EN-1416 EN ID:09066132")</f>
        <v>ALICE CORNWALL &lt;2&gt; 1350 EN-1416 EN ID:09066132</v>
      </c>
      <c r="V7290" s="17"/>
      <c r="W7290" s="17"/>
      <c r="X7290" s="17"/>
      <c r="Y7290" s="17"/>
    </row>
    <row r="7291" spans="3:25" x14ac:dyDescent="0.35">
      <c r="C7291" s="15" t="s">
        <v>8</v>
      </c>
      <c r="F7291" s="15" t="s">
        <v>8</v>
      </c>
      <c r="G7291" s="15" t="s">
        <v>8</v>
      </c>
      <c r="I7291" s="15" t="s">
        <v>8</v>
      </c>
      <c r="K7291" s="15" t="s">
        <v>8</v>
      </c>
      <c r="L7291" s="15" t="s">
        <v>8</v>
      </c>
      <c r="N7291" s="15" t="s">
        <v>8</v>
      </c>
      <c r="O7291" s="15" t="s">
        <v>8</v>
      </c>
      <c r="P7291" s="15" t="s">
        <v>8</v>
      </c>
      <c r="Q7291" s="15" t="s">
        <v>8</v>
      </c>
      <c r="R7291" s="15" t="s">
        <v>8</v>
      </c>
      <c r="S7291" s="8" t="s">
        <v>6</v>
      </c>
      <c r="T7291" s="15" t="s">
        <v>8</v>
      </c>
    </row>
    <row r="7292" spans="3:25" x14ac:dyDescent="0.35">
      <c r="C7292" s="15" t="s">
        <v>8</v>
      </c>
      <c r="F7292" s="15" t="s">
        <v>8</v>
      </c>
      <c r="G7292" s="15" t="s">
        <v>8</v>
      </c>
      <c r="I7292" s="15" t="s">
        <v>8</v>
      </c>
      <c r="K7292" s="15" t="s">
        <v>8</v>
      </c>
      <c r="L7292" s="15" t="s">
        <v>8</v>
      </c>
      <c r="N7292" s="15" t="s">
        <v>8</v>
      </c>
      <c r="O7292" s="15" t="s">
        <v>8</v>
      </c>
      <c r="P7292" s="15" t="s">
        <v>8</v>
      </c>
      <c r="Q7292" s="15" t="s">
        <v>8</v>
      </c>
      <c r="R7292" s="15" t="s">
        <v>8</v>
      </c>
      <c r="S7292" s="20" t="str">
        <f>HYPERLINK("http://yeinfo.com/family/I09065744.html", "ELIZABETH FROWICKE 1428 EN-1503 EN ID:09065745")</f>
        <v>ELIZABETH FROWICKE 1428 EN-1503 EN ID:09065745</v>
      </c>
      <c r="T7292" s="17"/>
      <c r="U7292" s="17"/>
      <c r="V7292" s="17"/>
      <c r="W7292" s="17"/>
    </row>
    <row r="7293" spans="3:25" x14ac:dyDescent="0.35">
      <c r="C7293" s="15" t="s">
        <v>8</v>
      </c>
      <c r="F7293" s="15" t="s">
        <v>8</v>
      </c>
      <c r="G7293" s="15" t="s">
        <v>8</v>
      </c>
      <c r="I7293" s="15" t="s">
        <v>8</v>
      </c>
      <c r="K7293" s="15" t="s">
        <v>8</v>
      </c>
      <c r="L7293" s="15" t="s">
        <v>8</v>
      </c>
      <c r="N7293" s="15" t="s">
        <v>8</v>
      </c>
      <c r="O7293" s="15" t="s">
        <v>8</v>
      </c>
      <c r="P7293" s="15" t="s">
        <v>8</v>
      </c>
      <c r="Q7293" s="15" t="s">
        <v>8</v>
      </c>
      <c r="R7293" s="15" t="s">
        <v>8</v>
      </c>
      <c r="T7293" s="15" t="s">
        <v>8</v>
      </c>
    </row>
    <row r="7294" spans="3:25" x14ac:dyDescent="0.35">
      <c r="C7294" s="15" t="s">
        <v>8</v>
      </c>
      <c r="F7294" s="15" t="s">
        <v>8</v>
      </c>
      <c r="G7294" s="15" t="s">
        <v>8</v>
      </c>
      <c r="I7294" s="15" t="s">
        <v>8</v>
      </c>
      <c r="K7294" s="15" t="s">
        <v>8</v>
      </c>
      <c r="L7294" s="15" t="s">
        <v>8</v>
      </c>
      <c r="N7294" s="15" t="s">
        <v>8</v>
      </c>
      <c r="O7294" s="15" t="s">
        <v>8</v>
      </c>
      <c r="P7294" s="15" t="s">
        <v>8</v>
      </c>
      <c r="Q7294" s="15" t="s">
        <v>8</v>
      </c>
      <c r="R7294" s="15" t="s">
        <v>8</v>
      </c>
      <c r="T7294" s="15" t="s">
        <v>8</v>
      </c>
      <c r="U7294" s="19" t="str">
        <f>HYPERLINK("http://yeinfo.com/family/I09066133.html", "WILLIAM OTIS &lt;2&gt; 1375 EN-1399 EN ID:09066133")</f>
        <v>WILLIAM OTIS &lt;2&gt; 1375 EN-1399 EN ID:09066133</v>
      </c>
      <c r="V7294" s="9"/>
      <c r="W7294" s="9"/>
      <c r="X7294" s="9"/>
      <c r="Y7294" s="9"/>
    </row>
    <row r="7295" spans="3:25" x14ac:dyDescent="0.35">
      <c r="C7295" s="15" t="s">
        <v>8</v>
      </c>
      <c r="F7295" s="15" t="s">
        <v>8</v>
      </c>
      <c r="G7295" s="15" t="s">
        <v>8</v>
      </c>
      <c r="I7295" s="15" t="s">
        <v>8</v>
      </c>
      <c r="K7295" s="15" t="s">
        <v>8</v>
      </c>
      <c r="L7295" s="15" t="s">
        <v>8</v>
      </c>
      <c r="N7295" s="15" t="s">
        <v>8</v>
      </c>
      <c r="O7295" s="15" t="s">
        <v>8</v>
      </c>
      <c r="P7295" s="15" t="s">
        <v>8</v>
      </c>
      <c r="Q7295" s="15" t="s">
        <v>8</v>
      </c>
      <c r="R7295" s="15" t="s">
        <v>8</v>
      </c>
      <c r="T7295" s="8" t="s">
        <v>6</v>
      </c>
      <c r="U7295" s="8" t="s">
        <v>3</v>
      </c>
    </row>
    <row r="7296" spans="3:25" x14ac:dyDescent="0.35">
      <c r="C7296" s="15" t="s">
        <v>8</v>
      </c>
      <c r="F7296" s="15" t="s">
        <v>8</v>
      </c>
      <c r="G7296" s="15" t="s">
        <v>8</v>
      </c>
      <c r="I7296" s="15" t="s">
        <v>8</v>
      </c>
      <c r="K7296" s="15" t="s">
        <v>8</v>
      </c>
      <c r="L7296" s="15" t="s">
        <v>8</v>
      </c>
      <c r="N7296" s="15" t="s">
        <v>8</v>
      </c>
      <c r="O7296" s="15" t="s">
        <v>8</v>
      </c>
      <c r="P7296" s="15" t="s">
        <v>8</v>
      </c>
      <c r="Q7296" s="15" t="s">
        <v>8</v>
      </c>
      <c r="R7296" s="15" t="s">
        <v>8</v>
      </c>
      <c r="T7296" s="20" t="str">
        <f>HYPERLINK("http://yeinfo.com/family/I09065958.html", "ISABEL OTIS &lt;2&gt; 1399 EN-1465 EN ID:09065958")</f>
        <v>ISABEL OTIS &lt;2&gt; 1399 EN-1465 EN ID:09065958</v>
      </c>
      <c r="U7296" s="17"/>
      <c r="V7296" s="17"/>
      <c r="W7296" s="17"/>
      <c r="X7296" s="17"/>
    </row>
    <row r="7297" spans="3:25" x14ac:dyDescent="0.35">
      <c r="C7297" s="15" t="s">
        <v>8</v>
      </c>
      <c r="F7297" s="15" t="s">
        <v>8</v>
      </c>
      <c r="G7297" s="15" t="s">
        <v>8</v>
      </c>
      <c r="I7297" s="15" t="s">
        <v>8</v>
      </c>
      <c r="K7297" s="15" t="s">
        <v>8</v>
      </c>
      <c r="L7297" s="15" t="s">
        <v>8</v>
      </c>
      <c r="N7297" s="15" t="s">
        <v>8</v>
      </c>
      <c r="O7297" s="15" t="s">
        <v>8</v>
      </c>
      <c r="P7297" s="15" t="s">
        <v>8</v>
      </c>
      <c r="Q7297" s="15" t="s">
        <v>8</v>
      </c>
      <c r="R7297" s="15" t="s">
        <v>8</v>
      </c>
      <c r="U7297" s="8" t="s">
        <v>6</v>
      </c>
    </row>
    <row r="7298" spans="3:25" x14ac:dyDescent="0.35">
      <c r="C7298" s="15" t="s">
        <v>8</v>
      </c>
      <c r="F7298" s="15" t="s">
        <v>8</v>
      </c>
      <c r="G7298" s="15" t="s">
        <v>8</v>
      </c>
      <c r="I7298" s="15" t="s">
        <v>8</v>
      </c>
      <c r="K7298" s="15" t="s">
        <v>8</v>
      </c>
      <c r="L7298" s="15" t="s">
        <v>8</v>
      </c>
      <c r="N7298" s="15" t="s">
        <v>8</v>
      </c>
      <c r="O7298" s="15" t="s">
        <v>8</v>
      </c>
      <c r="P7298" s="15" t="s">
        <v>8</v>
      </c>
      <c r="Q7298" s="15" t="s">
        <v>8</v>
      </c>
      <c r="R7298" s="15" t="s">
        <v>8</v>
      </c>
      <c r="U7298" s="20" t="str">
        <f>HYPERLINK("http://yeinfo.com/family/I09066134.html", "Mrs. {_?_} OTIS &lt;2&gt; 1375 EN-1399 EN ID:09066134")</f>
        <v>Mrs. {_?_} OTIS &lt;2&gt; 1375 EN-1399 EN ID:09066134</v>
      </c>
      <c r="V7298" s="17"/>
      <c r="W7298" s="17"/>
      <c r="X7298" s="17"/>
      <c r="Y7298" s="17"/>
    </row>
    <row r="7299" spans="3:25" x14ac:dyDescent="0.35">
      <c r="C7299" s="15" t="s">
        <v>8</v>
      </c>
      <c r="F7299" s="15" t="s">
        <v>8</v>
      </c>
      <c r="G7299" s="15" t="s">
        <v>8</v>
      </c>
      <c r="I7299" s="15" t="s">
        <v>8</v>
      </c>
      <c r="K7299" s="15" t="s">
        <v>8</v>
      </c>
      <c r="L7299" s="15" t="s">
        <v>8</v>
      </c>
      <c r="N7299" s="15" t="s">
        <v>8</v>
      </c>
      <c r="O7299" s="15" t="s">
        <v>8</v>
      </c>
      <c r="P7299" s="15" t="s">
        <v>8</v>
      </c>
      <c r="Q7299" s="8" t="s">
        <v>6</v>
      </c>
      <c r="R7299" s="15" t="s">
        <v>8</v>
      </c>
    </row>
    <row r="7300" spans="3:25" x14ac:dyDescent="0.35">
      <c r="C7300" s="15" t="s">
        <v>8</v>
      </c>
      <c r="F7300" s="15" t="s">
        <v>8</v>
      </c>
      <c r="G7300" s="15" t="s">
        <v>8</v>
      </c>
      <c r="I7300" s="15" t="s">
        <v>8</v>
      </c>
      <c r="K7300" s="15" t="s">
        <v>8</v>
      </c>
      <c r="L7300" s="15" t="s">
        <v>8</v>
      </c>
      <c r="N7300" s="15" t="s">
        <v>8</v>
      </c>
      <c r="O7300" s="15" t="s">
        <v>8</v>
      </c>
      <c r="P7300" s="15" t="s">
        <v>8</v>
      </c>
      <c r="Q7300" s="20" t="str">
        <f>HYPERLINK("http://yeinfo.com/family/I09065646.html", "EDITH APPLETON 1476 EN-1525 EN ID:09047909")</f>
        <v>EDITH APPLETON 1476 EN-1525 EN ID:09047909</v>
      </c>
      <c r="R7300" s="17"/>
      <c r="S7300" s="17"/>
      <c r="T7300" s="17"/>
      <c r="U7300" s="17"/>
    </row>
    <row r="7301" spans="3:25" x14ac:dyDescent="0.35">
      <c r="C7301" s="15" t="s">
        <v>8</v>
      </c>
      <c r="F7301" s="15" t="s">
        <v>8</v>
      </c>
      <c r="G7301" s="15" t="s">
        <v>8</v>
      </c>
      <c r="I7301" s="15" t="s">
        <v>8</v>
      </c>
      <c r="K7301" s="15" t="s">
        <v>8</v>
      </c>
      <c r="L7301" s="15" t="s">
        <v>8</v>
      </c>
      <c r="N7301" s="15" t="s">
        <v>8</v>
      </c>
      <c r="O7301" s="15" t="s">
        <v>8</v>
      </c>
      <c r="P7301" s="15" t="s">
        <v>8</v>
      </c>
      <c r="R7301" s="8" t="s">
        <v>6</v>
      </c>
    </row>
    <row r="7302" spans="3:25" x14ac:dyDescent="0.35">
      <c r="C7302" s="15" t="s">
        <v>8</v>
      </c>
      <c r="F7302" s="15" t="s">
        <v>8</v>
      </c>
      <c r="G7302" s="15" t="s">
        <v>8</v>
      </c>
      <c r="I7302" s="15" t="s">
        <v>8</v>
      </c>
      <c r="K7302" s="15" t="s">
        <v>8</v>
      </c>
      <c r="L7302" s="15" t="s">
        <v>8</v>
      </c>
      <c r="N7302" s="15" t="s">
        <v>8</v>
      </c>
      <c r="O7302" s="15" t="s">
        <v>8</v>
      </c>
      <c r="P7302" s="15" t="s">
        <v>8</v>
      </c>
      <c r="R7302" s="20" t="str">
        <f>HYPERLINK("http://yeinfo.com/family/I09065745.html", "CHRISTIANA GOLDE 1460 EN-1480 EN ID:09065612")</f>
        <v>CHRISTIANA GOLDE 1460 EN-1480 EN ID:09065612</v>
      </c>
      <c r="S7302" s="17"/>
      <c r="T7302" s="17"/>
      <c r="U7302" s="17"/>
      <c r="V7302" s="17"/>
    </row>
    <row r="7303" spans="3:25" x14ac:dyDescent="0.35">
      <c r="C7303" s="15" t="s">
        <v>8</v>
      </c>
      <c r="F7303" s="15" t="s">
        <v>8</v>
      </c>
      <c r="G7303" s="15" t="s">
        <v>8</v>
      </c>
      <c r="I7303" s="15" t="s">
        <v>8</v>
      </c>
      <c r="K7303" s="15" t="s">
        <v>8</v>
      </c>
      <c r="L7303" s="15" t="s">
        <v>8</v>
      </c>
      <c r="N7303" s="15" t="s">
        <v>8</v>
      </c>
      <c r="O7303" s="8" t="s">
        <v>6</v>
      </c>
      <c r="P7303" s="15" t="s">
        <v>8</v>
      </c>
    </row>
    <row r="7304" spans="3:25" x14ac:dyDescent="0.35">
      <c r="C7304" s="15" t="s">
        <v>8</v>
      </c>
      <c r="F7304" s="15" t="s">
        <v>8</v>
      </c>
      <c r="G7304" s="15" t="s">
        <v>8</v>
      </c>
      <c r="I7304" s="15" t="s">
        <v>8</v>
      </c>
      <c r="K7304" s="15" t="s">
        <v>8</v>
      </c>
      <c r="L7304" s="15" t="s">
        <v>8</v>
      </c>
      <c r="N7304" s="15" t="s">
        <v>8</v>
      </c>
      <c r="O7304" s="20" t="str">
        <f>HYPERLINK("http://yeinfo.com/family/I09023953.html", "SYBIL\SIBILLA GOULD 1527 -1571  ID:09011977")</f>
        <v>SYBIL\SIBILLA GOULD 1527 -1571  ID:09011977</v>
      </c>
      <c r="P7304" s="17"/>
      <c r="Q7304" s="17"/>
      <c r="R7304" s="17"/>
      <c r="S7304" s="17"/>
      <c r="T7304" s="17"/>
    </row>
    <row r="7305" spans="3:25" x14ac:dyDescent="0.35">
      <c r="C7305" s="15" t="s">
        <v>8</v>
      </c>
      <c r="F7305" s="15" t="s">
        <v>8</v>
      </c>
      <c r="G7305" s="15" t="s">
        <v>8</v>
      </c>
      <c r="I7305" s="15" t="s">
        <v>8</v>
      </c>
      <c r="K7305" s="15" t="s">
        <v>8</v>
      </c>
      <c r="L7305" s="15" t="s">
        <v>8</v>
      </c>
      <c r="N7305" s="15" t="s">
        <v>8</v>
      </c>
      <c r="P7305" s="15" t="s">
        <v>8</v>
      </c>
    </row>
    <row r="7306" spans="3:25" x14ac:dyDescent="0.35">
      <c r="C7306" s="15" t="s">
        <v>8</v>
      </c>
      <c r="F7306" s="15" t="s">
        <v>8</v>
      </c>
      <c r="G7306" s="15" t="s">
        <v>8</v>
      </c>
      <c r="I7306" s="15" t="s">
        <v>8</v>
      </c>
      <c r="K7306" s="15" t="s">
        <v>8</v>
      </c>
      <c r="L7306" s="15" t="s">
        <v>8</v>
      </c>
      <c r="N7306" s="15" t="s">
        <v>8</v>
      </c>
      <c r="P7306" s="15" t="s">
        <v>8</v>
      </c>
      <c r="Q7306" s="19" t="str">
        <f>HYPERLINK("http://yeinfo.com/family/I09023955.html", "THOMAS MOORE 1455 EN-1520 EN ID:09047910")</f>
        <v>THOMAS MOORE 1455 EN-1520 EN ID:09047910</v>
      </c>
      <c r="R7306" s="9"/>
      <c r="S7306" s="9"/>
      <c r="T7306" s="9"/>
      <c r="U7306" s="9"/>
    </row>
    <row r="7307" spans="3:25" x14ac:dyDescent="0.35">
      <c r="C7307" s="15" t="s">
        <v>8</v>
      </c>
      <c r="F7307" s="15" t="s">
        <v>8</v>
      </c>
      <c r="G7307" s="15" t="s">
        <v>8</v>
      </c>
      <c r="I7307" s="15" t="s">
        <v>8</v>
      </c>
      <c r="K7307" s="15" t="s">
        <v>8</v>
      </c>
      <c r="L7307" s="15" t="s">
        <v>8</v>
      </c>
      <c r="N7307" s="15" t="s">
        <v>8</v>
      </c>
      <c r="P7307" s="8" t="s">
        <v>6</v>
      </c>
      <c r="Q7307" s="8" t="s">
        <v>3</v>
      </c>
    </row>
    <row r="7308" spans="3:25" x14ac:dyDescent="0.35">
      <c r="C7308" s="15" t="s">
        <v>8</v>
      </c>
      <c r="F7308" s="15" t="s">
        <v>8</v>
      </c>
      <c r="G7308" s="15" t="s">
        <v>8</v>
      </c>
      <c r="I7308" s="15" t="s">
        <v>8</v>
      </c>
      <c r="K7308" s="15" t="s">
        <v>8</v>
      </c>
      <c r="L7308" s="15" t="s">
        <v>8</v>
      </c>
      <c r="N7308" s="15" t="s">
        <v>8</v>
      </c>
      <c r="P7308" s="20" t="str">
        <f>HYPERLINK("http://yeinfo.com/family/I09065612.html", "MARGARET MOORE 1503 -1546  ID:09023955")</f>
        <v>MARGARET MOORE 1503 -1546  ID:09023955</v>
      </c>
      <c r="Q7308" s="17"/>
      <c r="R7308" s="17"/>
      <c r="S7308" s="17"/>
      <c r="T7308" s="17"/>
    </row>
    <row r="7309" spans="3:25" x14ac:dyDescent="0.35">
      <c r="C7309" s="15" t="s">
        <v>8</v>
      </c>
      <c r="F7309" s="15" t="s">
        <v>8</v>
      </c>
      <c r="G7309" s="15" t="s">
        <v>8</v>
      </c>
      <c r="I7309" s="15" t="s">
        <v>8</v>
      </c>
      <c r="K7309" s="15" t="s">
        <v>8</v>
      </c>
      <c r="L7309" s="15" t="s">
        <v>8</v>
      </c>
      <c r="N7309" s="15" t="s">
        <v>8</v>
      </c>
      <c r="Q7309" s="15" t="s">
        <v>8</v>
      </c>
    </row>
    <row r="7310" spans="3:25" x14ac:dyDescent="0.35">
      <c r="C7310" s="15" t="s">
        <v>8</v>
      </c>
      <c r="F7310" s="15" t="s">
        <v>8</v>
      </c>
      <c r="G7310" s="15" t="s">
        <v>8</v>
      </c>
      <c r="I7310" s="15" t="s">
        <v>8</v>
      </c>
      <c r="K7310" s="15" t="s">
        <v>8</v>
      </c>
      <c r="L7310" s="15" t="s">
        <v>8</v>
      </c>
      <c r="N7310" s="15" t="s">
        <v>8</v>
      </c>
      <c r="Q7310" s="15" t="s">
        <v>8</v>
      </c>
      <c r="R7310" s="19" t="str">
        <f>HYPERLINK("http://yeinfo.com/family/I09047911.html", "RICHARD FRANCIS CURTIS 1440 EN-1460 EN ID:09065613")</f>
        <v>RICHARD FRANCIS CURTIS 1440 EN-1460 EN ID:09065613</v>
      </c>
      <c r="S7310" s="9"/>
      <c r="T7310" s="9"/>
      <c r="U7310" s="9"/>
      <c r="V7310" s="9"/>
    </row>
    <row r="7311" spans="3:25" x14ac:dyDescent="0.35">
      <c r="C7311" s="15" t="s">
        <v>8</v>
      </c>
      <c r="F7311" s="15" t="s">
        <v>8</v>
      </c>
      <c r="G7311" s="15" t="s">
        <v>8</v>
      </c>
      <c r="I7311" s="15" t="s">
        <v>8</v>
      </c>
      <c r="K7311" s="15" t="s">
        <v>8</v>
      </c>
      <c r="L7311" s="15" t="s">
        <v>8</v>
      </c>
      <c r="N7311" s="15" t="s">
        <v>8</v>
      </c>
      <c r="Q7311" s="8" t="s">
        <v>6</v>
      </c>
      <c r="R7311" s="8" t="s">
        <v>3</v>
      </c>
    </row>
    <row r="7312" spans="3:25" x14ac:dyDescent="0.35">
      <c r="C7312" s="15" t="s">
        <v>8</v>
      </c>
      <c r="F7312" s="15" t="s">
        <v>8</v>
      </c>
      <c r="G7312" s="15" t="s">
        <v>8</v>
      </c>
      <c r="I7312" s="15" t="s">
        <v>8</v>
      </c>
      <c r="K7312" s="15" t="s">
        <v>8</v>
      </c>
      <c r="L7312" s="15" t="s">
        <v>8</v>
      </c>
      <c r="N7312" s="15" t="s">
        <v>8</v>
      </c>
      <c r="Q7312" s="20" t="str">
        <f>HYPERLINK("http://yeinfo.com/family/I09047910.html", "JOAN CURTIS 1459 EN-1525 EN ID:09047911")</f>
        <v>JOAN CURTIS 1459 EN-1525 EN ID:09047911</v>
      </c>
      <c r="R7312" s="17"/>
      <c r="S7312" s="17"/>
      <c r="T7312" s="17"/>
      <c r="U7312" s="17"/>
    </row>
    <row r="7313" spans="3:22" x14ac:dyDescent="0.35">
      <c r="C7313" s="15" t="s">
        <v>8</v>
      </c>
      <c r="F7313" s="15" t="s">
        <v>8</v>
      </c>
      <c r="G7313" s="15" t="s">
        <v>8</v>
      </c>
      <c r="I7313" s="15" t="s">
        <v>8</v>
      </c>
      <c r="K7313" s="15" t="s">
        <v>8</v>
      </c>
      <c r="L7313" s="15" t="s">
        <v>8</v>
      </c>
      <c r="N7313" s="15" t="s">
        <v>8</v>
      </c>
      <c r="R7313" s="8" t="s">
        <v>6</v>
      </c>
    </row>
    <row r="7314" spans="3:22" x14ac:dyDescent="0.35">
      <c r="C7314" s="15" t="s">
        <v>8</v>
      </c>
      <c r="F7314" s="15" t="s">
        <v>8</v>
      </c>
      <c r="G7314" s="15" t="s">
        <v>8</v>
      </c>
      <c r="I7314" s="15" t="s">
        <v>8</v>
      </c>
      <c r="K7314" s="15" t="s">
        <v>8</v>
      </c>
      <c r="L7314" s="15" t="s">
        <v>8</v>
      </c>
      <c r="N7314" s="15" t="s">
        <v>8</v>
      </c>
      <c r="R7314" s="20" t="str">
        <f>HYPERLINK("http://yeinfo.com/family/I09065613.html", "ALICE AXTELL 1440 EN-1537 EN ID:09065614")</f>
        <v>ALICE AXTELL 1440 EN-1537 EN ID:09065614</v>
      </c>
      <c r="S7314" s="17"/>
      <c r="T7314" s="17"/>
      <c r="U7314" s="17"/>
      <c r="V7314" s="17"/>
    </row>
    <row r="7315" spans="3:22" x14ac:dyDescent="0.35">
      <c r="C7315" s="15" t="s">
        <v>8</v>
      </c>
      <c r="F7315" s="15" t="s">
        <v>8</v>
      </c>
      <c r="G7315" s="15" t="s">
        <v>8</v>
      </c>
      <c r="I7315" s="15" t="s">
        <v>8</v>
      </c>
      <c r="K7315" s="15" t="s">
        <v>8</v>
      </c>
      <c r="L7315" s="15" t="s">
        <v>8</v>
      </c>
      <c r="N7315" s="15" t="s">
        <v>8</v>
      </c>
    </row>
    <row r="7316" spans="3:22" x14ac:dyDescent="0.35">
      <c r="C7316" s="15" t="s">
        <v>8</v>
      </c>
      <c r="F7316" s="15" t="s">
        <v>8</v>
      </c>
      <c r="G7316" s="15" t="s">
        <v>8</v>
      </c>
      <c r="I7316" s="15" t="s">
        <v>8</v>
      </c>
      <c r="K7316" s="15" t="s">
        <v>8</v>
      </c>
      <c r="L7316" s="15" t="s">
        <v>8</v>
      </c>
      <c r="M7316" s="21" t="str">
        <f>HYPERLINK("http://yeinfo.com/family/I09001497.html", "NATHAN\DAVID FISKE 1615 EN-1676 MA ID:09002994")</f>
        <v>NATHAN\DAVID FISKE 1615 EN-1676 MA ID:09002994</v>
      </c>
      <c r="N7316" s="6"/>
      <c r="O7316" s="6"/>
      <c r="P7316" s="6"/>
      <c r="Q7316" s="6"/>
      <c r="R7316" s="6"/>
    </row>
    <row r="7317" spans="3:22" x14ac:dyDescent="0.35">
      <c r="C7317" s="15" t="s">
        <v>8</v>
      </c>
      <c r="F7317" s="15" t="s">
        <v>8</v>
      </c>
      <c r="G7317" s="15" t="s">
        <v>8</v>
      </c>
      <c r="I7317" s="15" t="s">
        <v>8</v>
      </c>
      <c r="K7317" s="15" t="s">
        <v>8</v>
      </c>
      <c r="L7317" s="15" t="s">
        <v>8</v>
      </c>
      <c r="M7317" s="8" t="s">
        <v>3</v>
      </c>
      <c r="N7317" s="15" t="s">
        <v>8</v>
      </c>
    </row>
    <row r="7318" spans="3:22" x14ac:dyDescent="0.35">
      <c r="C7318" s="15" t="s">
        <v>8</v>
      </c>
      <c r="F7318" s="15" t="s">
        <v>8</v>
      </c>
      <c r="G7318" s="15" t="s">
        <v>8</v>
      </c>
      <c r="I7318" s="15" t="s">
        <v>8</v>
      </c>
      <c r="K7318" s="15" t="s">
        <v>8</v>
      </c>
      <c r="L7318" s="15" t="s">
        <v>8</v>
      </c>
      <c r="M7318" s="15" t="s">
        <v>8</v>
      </c>
      <c r="N7318" s="15" t="s">
        <v>8</v>
      </c>
      <c r="P7318" s="19" t="str">
        <f>HYPERLINK("http://yeinfo.com/family/I09011978.html", "HUMPHREY COOKE 1485 -1515 EN ID:09023956")</f>
        <v>HUMPHREY COOKE 1485 -1515 EN ID:09023956</v>
      </c>
      <c r="Q7318" s="9"/>
      <c r="R7318" s="9"/>
      <c r="S7318" s="9"/>
      <c r="T7318" s="9"/>
    </row>
    <row r="7319" spans="3:22" x14ac:dyDescent="0.35">
      <c r="C7319" s="15" t="s">
        <v>8</v>
      </c>
      <c r="F7319" s="15" t="s">
        <v>8</v>
      </c>
      <c r="G7319" s="15" t="s">
        <v>8</v>
      </c>
      <c r="I7319" s="15" t="s">
        <v>8</v>
      </c>
      <c r="K7319" s="15" t="s">
        <v>8</v>
      </c>
      <c r="L7319" s="15" t="s">
        <v>8</v>
      </c>
      <c r="M7319" s="15" t="s">
        <v>8</v>
      </c>
      <c r="N7319" s="15" t="s">
        <v>8</v>
      </c>
      <c r="P7319" s="8" t="s">
        <v>3</v>
      </c>
    </row>
    <row r="7320" spans="3:22" x14ac:dyDescent="0.35">
      <c r="C7320" s="15" t="s">
        <v>8</v>
      </c>
      <c r="F7320" s="15" t="s">
        <v>8</v>
      </c>
      <c r="G7320" s="15" t="s">
        <v>8</v>
      </c>
      <c r="I7320" s="15" t="s">
        <v>8</v>
      </c>
      <c r="K7320" s="15" t="s">
        <v>8</v>
      </c>
      <c r="L7320" s="15" t="s">
        <v>8</v>
      </c>
      <c r="M7320" s="15" t="s">
        <v>8</v>
      </c>
      <c r="N7320" s="15" t="s">
        <v>8</v>
      </c>
      <c r="O7320" s="19" t="str">
        <f>HYPERLINK("http://yeinfo.com/family/I09005989.html", "JOHN COOKE 1515 -1565 EN ID:09011978")</f>
        <v>JOHN COOKE 1515 -1565 EN ID:09011978</v>
      </c>
      <c r="P7320" s="9"/>
      <c r="Q7320" s="9"/>
      <c r="R7320" s="9"/>
      <c r="S7320" s="9"/>
    </row>
    <row r="7321" spans="3:22" x14ac:dyDescent="0.35">
      <c r="C7321" s="15" t="s">
        <v>8</v>
      </c>
      <c r="F7321" s="15" t="s">
        <v>8</v>
      </c>
      <c r="G7321" s="15" t="s">
        <v>8</v>
      </c>
      <c r="I7321" s="15" t="s">
        <v>8</v>
      </c>
      <c r="K7321" s="15" t="s">
        <v>8</v>
      </c>
      <c r="L7321" s="15" t="s">
        <v>8</v>
      </c>
      <c r="M7321" s="15" t="s">
        <v>8</v>
      </c>
      <c r="N7321" s="15" t="s">
        <v>8</v>
      </c>
      <c r="O7321" s="8" t="s">
        <v>3</v>
      </c>
      <c r="P7321" s="8" t="s">
        <v>6</v>
      </c>
    </row>
    <row r="7322" spans="3:22" x14ac:dyDescent="0.35">
      <c r="C7322" s="15" t="s">
        <v>8</v>
      </c>
      <c r="F7322" s="15" t="s">
        <v>8</v>
      </c>
      <c r="G7322" s="15" t="s">
        <v>8</v>
      </c>
      <c r="I7322" s="15" t="s">
        <v>8</v>
      </c>
      <c r="K7322" s="15" t="s">
        <v>8</v>
      </c>
      <c r="L7322" s="15" t="s">
        <v>8</v>
      </c>
      <c r="M7322" s="15" t="s">
        <v>8</v>
      </c>
      <c r="N7322" s="15" t="s">
        <v>8</v>
      </c>
      <c r="O7322" s="15" t="s">
        <v>8</v>
      </c>
      <c r="P7322" s="20" t="str">
        <f>HYPERLINK("http://yeinfo.com/family/I09023956.html", "MARGARET MATILDA MAYNE 1487 EN-1515 EN ID:09023957")</f>
        <v>MARGARET MATILDA MAYNE 1487 EN-1515 EN ID:09023957</v>
      </c>
      <c r="Q7322" s="17"/>
      <c r="R7322" s="17"/>
      <c r="S7322" s="17"/>
      <c r="T7322" s="17"/>
    </row>
    <row r="7323" spans="3:22" x14ac:dyDescent="0.35">
      <c r="C7323" s="15" t="s">
        <v>8</v>
      </c>
      <c r="F7323" s="15" t="s">
        <v>8</v>
      </c>
      <c r="G7323" s="15" t="s">
        <v>8</v>
      </c>
      <c r="I7323" s="15" t="s">
        <v>8</v>
      </c>
      <c r="K7323" s="15" t="s">
        <v>8</v>
      </c>
      <c r="L7323" s="15" t="s">
        <v>8</v>
      </c>
      <c r="M7323" s="15" t="s">
        <v>8</v>
      </c>
      <c r="N7323" s="8" t="s">
        <v>6</v>
      </c>
      <c r="O7323" s="15" t="s">
        <v>8</v>
      </c>
    </row>
    <row r="7324" spans="3:22" x14ac:dyDescent="0.35">
      <c r="C7324" s="15" t="s">
        <v>8</v>
      </c>
      <c r="F7324" s="15" t="s">
        <v>8</v>
      </c>
      <c r="G7324" s="15" t="s">
        <v>8</v>
      </c>
      <c r="I7324" s="15" t="s">
        <v>8</v>
      </c>
      <c r="K7324" s="15" t="s">
        <v>8</v>
      </c>
      <c r="L7324" s="15" t="s">
        <v>8</v>
      </c>
      <c r="M7324" s="15" t="s">
        <v>8</v>
      </c>
      <c r="N7324" s="16" t="str">
        <f>HYPERLINK("http://yeinfo.com/family/I09065614.html", "MARY\MARGARET COOKE 1555 EN-1616  ID:09005989")</f>
        <v>MARY\MARGARET COOKE 1555 EN-1616  ID:09005989</v>
      </c>
      <c r="O7324" s="11"/>
      <c r="P7324" s="11"/>
      <c r="Q7324" s="11"/>
      <c r="R7324" s="11"/>
      <c r="S7324" s="11"/>
    </row>
    <row r="7325" spans="3:22" x14ac:dyDescent="0.35">
      <c r="C7325" s="15" t="s">
        <v>8</v>
      </c>
      <c r="F7325" s="15" t="s">
        <v>8</v>
      </c>
      <c r="G7325" s="15" t="s">
        <v>8</v>
      </c>
      <c r="I7325" s="15" t="s">
        <v>8</v>
      </c>
      <c r="K7325" s="15" t="s">
        <v>8</v>
      </c>
      <c r="L7325" s="15" t="s">
        <v>8</v>
      </c>
      <c r="M7325" s="15" t="s">
        <v>8</v>
      </c>
      <c r="O7325" s="15" t="s">
        <v>8</v>
      </c>
    </row>
    <row r="7326" spans="3:22" x14ac:dyDescent="0.35">
      <c r="C7326" s="15" t="s">
        <v>8</v>
      </c>
      <c r="F7326" s="15" t="s">
        <v>8</v>
      </c>
      <c r="G7326" s="15" t="s">
        <v>8</v>
      </c>
      <c r="I7326" s="15" t="s">
        <v>8</v>
      </c>
      <c r="K7326" s="15" t="s">
        <v>8</v>
      </c>
      <c r="L7326" s="15" t="s">
        <v>8</v>
      </c>
      <c r="M7326" s="15" t="s">
        <v>8</v>
      </c>
      <c r="O7326" s="15" t="s">
        <v>8</v>
      </c>
      <c r="P7326" s="19" t="str">
        <f>HYPERLINK("http://yeinfo.com/family/I09011979.html", "JOHN CARTER 1490 EN-1524 EN ID:09023958")</f>
        <v>JOHN CARTER 1490 EN-1524 EN ID:09023958</v>
      </c>
      <c r="Q7326" s="9"/>
      <c r="R7326" s="9"/>
      <c r="S7326" s="9"/>
      <c r="T7326" s="9"/>
    </row>
    <row r="7327" spans="3:22" x14ac:dyDescent="0.35">
      <c r="C7327" s="15" t="s">
        <v>8</v>
      </c>
      <c r="F7327" s="15" t="s">
        <v>8</v>
      </c>
      <c r="G7327" s="15" t="s">
        <v>8</v>
      </c>
      <c r="I7327" s="15" t="s">
        <v>8</v>
      </c>
      <c r="K7327" s="15" t="s">
        <v>8</v>
      </c>
      <c r="L7327" s="15" t="s">
        <v>8</v>
      </c>
      <c r="M7327" s="15" t="s">
        <v>8</v>
      </c>
      <c r="O7327" s="8" t="s">
        <v>6</v>
      </c>
      <c r="P7327" s="8" t="s">
        <v>3</v>
      </c>
    </row>
    <row r="7328" spans="3:22" x14ac:dyDescent="0.35">
      <c r="C7328" s="15" t="s">
        <v>8</v>
      </c>
      <c r="F7328" s="15" t="s">
        <v>8</v>
      </c>
      <c r="G7328" s="15" t="s">
        <v>8</v>
      </c>
      <c r="I7328" s="15" t="s">
        <v>8</v>
      </c>
      <c r="K7328" s="15" t="s">
        <v>8</v>
      </c>
      <c r="L7328" s="15" t="s">
        <v>8</v>
      </c>
      <c r="M7328" s="15" t="s">
        <v>8</v>
      </c>
      <c r="O7328" s="20" t="str">
        <f>HYPERLINK("http://yeinfo.com/family/I09023957.html", "ALICE MARIA CARTER 1520 EN-1570 EN ID:09011979")</f>
        <v>ALICE MARIA CARTER 1520 EN-1570 EN ID:09011979</v>
      </c>
      <c r="P7328" s="17"/>
      <c r="Q7328" s="17"/>
      <c r="R7328" s="17"/>
      <c r="S7328" s="17"/>
    </row>
    <row r="7329" spans="3:20" x14ac:dyDescent="0.35">
      <c r="C7329" s="15" t="s">
        <v>8</v>
      </c>
      <c r="F7329" s="15" t="s">
        <v>8</v>
      </c>
      <c r="G7329" s="15" t="s">
        <v>8</v>
      </c>
      <c r="I7329" s="15" t="s">
        <v>8</v>
      </c>
      <c r="K7329" s="15" t="s">
        <v>8</v>
      </c>
      <c r="L7329" s="15" t="s">
        <v>8</v>
      </c>
      <c r="M7329" s="15" t="s">
        <v>8</v>
      </c>
      <c r="P7329" s="8" t="s">
        <v>6</v>
      </c>
    </row>
    <row r="7330" spans="3:20" x14ac:dyDescent="0.35">
      <c r="C7330" s="15" t="s">
        <v>8</v>
      </c>
      <c r="F7330" s="15" t="s">
        <v>8</v>
      </c>
      <c r="G7330" s="15" t="s">
        <v>8</v>
      </c>
      <c r="I7330" s="15" t="s">
        <v>8</v>
      </c>
      <c r="K7330" s="15" t="s">
        <v>8</v>
      </c>
      <c r="L7330" s="15" t="s">
        <v>8</v>
      </c>
      <c r="M7330" s="15" t="s">
        <v>8</v>
      </c>
      <c r="P7330" s="20" t="str">
        <f>HYPERLINK("http://yeinfo.com/family/I09023958.html", "Mrs. {_?_} CARTER 1490 EN-1520 EN ID:09023959")</f>
        <v>Mrs. {_?_} CARTER 1490 EN-1520 EN ID:09023959</v>
      </c>
      <c r="Q7330" s="17"/>
      <c r="R7330" s="17"/>
      <c r="S7330" s="17"/>
      <c r="T7330" s="17"/>
    </row>
    <row r="7331" spans="3:20" x14ac:dyDescent="0.35">
      <c r="C7331" s="15" t="s">
        <v>8</v>
      </c>
      <c r="F7331" s="15" t="s">
        <v>8</v>
      </c>
      <c r="G7331" s="15" t="s">
        <v>8</v>
      </c>
      <c r="I7331" s="15" t="s">
        <v>8</v>
      </c>
      <c r="K7331" s="15" t="s">
        <v>8</v>
      </c>
      <c r="L7331" s="8" t="s">
        <v>6</v>
      </c>
      <c r="M7331" s="15" t="s">
        <v>8</v>
      </c>
    </row>
    <row r="7332" spans="3:20" x14ac:dyDescent="0.35">
      <c r="C7332" s="15" t="s">
        <v>8</v>
      </c>
      <c r="F7332" s="15" t="s">
        <v>8</v>
      </c>
      <c r="G7332" s="15" t="s">
        <v>8</v>
      </c>
      <c r="I7332" s="15" t="s">
        <v>8</v>
      </c>
      <c r="K7332" s="15" t="s">
        <v>8</v>
      </c>
      <c r="L7332" s="16" t="str">
        <f>HYPERLINK("http://yeinfo.com/family/I09001496.html", "SARAH FISKE 1656 -1728  ID:09001497")</f>
        <v>SARAH FISKE 1656 -1728  ID:09001497</v>
      </c>
      <c r="M7332" s="11"/>
      <c r="N7332" s="11"/>
      <c r="O7332" s="11"/>
      <c r="P7332" s="11"/>
    </row>
    <row r="7333" spans="3:20" x14ac:dyDescent="0.35">
      <c r="C7333" s="15" t="s">
        <v>8</v>
      </c>
      <c r="F7333" s="15" t="s">
        <v>8</v>
      </c>
      <c r="G7333" s="15" t="s">
        <v>8</v>
      </c>
      <c r="I7333" s="15" t="s">
        <v>8</v>
      </c>
      <c r="K7333" s="15" t="s">
        <v>8</v>
      </c>
      <c r="M7333" s="15" t="s">
        <v>8</v>
      </c>
    </row>
    <row r="7334" spans="3:20" x14ac:dyDescent="0.35">
      <c r="C7334" s="15" t="s">
        <v>8</v>
      </c>
      <c r="F7334" s="15" t="s">
        <v>8</v>
      </c>
      <c r="G7334" s="15" t="s">
        <v>8</v>
      </c>
      <c r="I7334" s="15" t="s">
        <v>8</v>
      </c>
      <c r="K7334" s="15" t="s">
        <v>8</v>
      </c>
      <c r="M7334" s="15" t="s">
        <v>8</v>
      </c>
      <c r="O7334" s="5" t="str">
        <f>HYPERLINK("http://yeinfo.com/family/I09005990.html", "WILLIAM BROWNE 1565 EN-1665  ID:09011980")</f>
        <v>WILLIAM BROWNE 1565 EN-1665  ID:09011980</v>
      </c>
      <c r="P7334" s="3"/>
      <c r="Q7334" s="3"/>
      <c r="R7334" s="3"/>
      <c r="S7334" s="3"/>
    </row>
    <row r="7335" spans="3:20" x14ac:dyDescent="0.35">
      <c r="C7335" s="15" t="s">
        <v>8</v>
      </c>
      <c r="F7335" s="15" t="s">
        <v>8</v>
      </c>
      <c r="G7335" s="15" t="s">
        <v>8</v>
      </c>
      <c r="I7335" s="15" t="s">
        <v>8</v>
      </c>
      <c r="K7335" s="15" t="s">
        <v>8</v>
      </c>
      <c r="M7335" s="15" t="s">
        <v>8</v>
      </c>
      <c r="O7335" s="8" t="s">
        <v>3</v>
      </c>
    </row>
    <row r="7336" spans="3:20" x14ac:dyDescent="0.35">
      <c r="C7336" s="15" t="s">
        <v>8</v>
      </c>
      <c r="F7336" s="15" t="s">
        <v>8</v>
      </c>
      <c r="G7336" s="15" t="s">
        <v>8</v>
      </c>
      <c r="I7336" s="15" t="s">
        <v>8</v>
      </c>
      <c r="K7336" s="15" t="s">
        <v>8</v>
      </c>
      <c r="M7336" s="15" t="s">
        <v>8</v>
      </c>
      <c r="N7336" s="21" t="str">
        <f>HYPERLINK("http://yeinfo.com/family/I09002995.html", "JOHN BROWNE 1591 EN-1640 MA ID:09005990")</f>
        <v>JOHN BROWNE 1591 EN-1640 MA ID:09005990</v>
      </c>
      <c r="O7336" s="6"/>
      <c r="P7336" s="6"/>
      <c r="Q7336" s="6"/>
      <c r="R7336" s="6"/>
    </row>
    <row r="7337" spans="3:20" x14ac:dyDescent="0.35">
      <c r="C7337" s="15" t="s">
        <v>8</v>
      </c>
      <c r="F7337" s="15" t="s">
        <v>8</v>
      </c>
      <c r="G7337" s="15" t="s">
        <v>8</v>
      </c>
      <c r="I7337" s="15" t="s">
        <v>8</v>
      </c>
      <c r="K7337" s="15" t="s">
        <v>8</v>
      </c>
      <c r="M7337" s="15" t="s">
        <v>8</v>
      </c>
      <c r="N7337" s="8" t="s">
        <v>3</v>
      </c>
      <c r="O7337" s="8" t="s">
        <v>6</v>
      </c>
    </row>
    <row r="7338" spans="3:20" x14ac:dyDescent="0.35">
      <c r="C7338" s="15" t="s">
        <v>8</v>
      </c>
      <c r="F7338" s="15" t="s">
        <v>8</v>
      </c>
      <c r="G7338" s="15" t="s">
        <v>8</v>
      </c>
      <c r="I7338" s="15" t="s">
        <v>8</v>
      </c>
      <c r="K7338" s="15" t="s">
        <v>8</v>
      </c>
      <c r="M7338" s="15" t="s">
        <v>8</v>
      </c>
      <c r="N7338" s="15" t="s">
        <v>8</v>
      </c>
      <c r="O7338" s="16" t="str">
        <f>HYPERLINK("http://yeinfo.com/family/I09011980.html", "JOHANE HEYWOOD 1567 EN-1667  ID:09011981")</f>
        <v>JOHANE HEYWOOD 1567 EN-1667  ID:09011981</v>
      </c>
      <c r="P7338" s="11"/>
      <c r="Q7338" s="11"/>
      <c r="R7338" s="11"/>
      <c r="S7338" s="11"/>
    </row>
    <row r="7339" spans="3:20" x14ac:dyDescent="0.35">
      <c r="C7339" s="15" t="s">
        <v>8</v>
      </c>
      <c r="F7339" s="15" t="s">
        <v>8</v>
      </c>
      <c r="G7339" s="15" t="s">
        <v>8</v>
      </c>
      <c r="I7339" s="15" t="s">
        <v>8</v>
      </c>
      <c r="K7339" s="15" t="s">
        <v>8</v>
      </c>
      <c r="M7339" s="8" t="s">
        <v>6</v>
      </c>
      <c r="N7339" s="15" t="s">
        <v>8</v>
      </c>
    </row>
    <row r="7340" spans="3:20" x14ac:dyDescent="0.35">
      <c r="C7340" s="15" t="s">
        <v>8</v>
      </c>
      <c r="F7340" s="15" t="s">
        <v>8</v>
      </c>
      <c r="G7340" s="15" t="s">
        <v>8</v>
      </c>
      <c r="I7340" s="15" t="s">
        <v>8</v>
      </c>
      <c r="K7340" s="15" t="s">
        <v>8</v>
      </c>
      <c r="M7340" s="22" t="str">
        <f>HYPERLINK("http://yeinfo.com/family/I09023959.html", "SUSAN BROWNE 1617 EN-1662 MA ID:09002995")</f>
        <v>SUSAN BROWNE 1617 EN-1662 MA ID:09002995</v>
      </c>
      <c r="N7340" s="13"/>
      <c r="O7340" s="13"/>
      <c r="P7340" s="13"/>
      <c r="Q7340" s="13"/>
    </row>
    <row r="7341" spans="3:20" x14ac:dyDescent="0.35">
      <c r="C7341" s="15" t="s">
        <v>8</v>
      </c>
      <c r="F7341" s="15" t="s">
        <v>8</v>
      </c>
      <c r="G7341" s="15" t="s">
        <v>8</v>
      </c>
      <c r="I7341" s="15" t="s">
        <v>8</v>
      </c>
      <c r="K7341" s="15" t="s">
        <v>8</v>
      </c>
      <c r="N7341" s="8" t="s">
        <v>6</v>
      </c>
    </row>
    <row r="7342" spans="3:20" x14ac:dyDescent="0.35">
      <c r="C7342" s="15" t="s">
        <v>8</v>
      </c>
      <c r="F7342" s="15" t="s">
        <v>8</v>
      </c>
      <c r="G7342" s="15" t="s">
        <v>8</v>
      </c>
      <c r="I7342" s="15" t="s">
        <v>8</v>
      </c>
      <c r="K7342" s="15" t="s">
        <v>8</v>
      </c>
      <c r="N7342" s="16" t="str">
        <f>HYPERLINK("http://yeinfo.com/family/I09011981.html", "Mrs. ALICE BROWNE 1595 MA-1617 MA ID:09005991")</f>
        <v>Mrs. ALICE BROWNE 1595 MA-1617 MA ID:09005991</v>
      </c>
      <c r="O7342" s="11"/>
      <c r="P7342" s="11"/>
      <c r="Q7342" s="11"/>
      <c r="R7342" s="11"/>
    </row>
    <row r="7343" spans="3:20" x14ac:dyDescent="0.35">
      <c r="C7343" s="15" t="s">
        <v>8</v>
      </c>
      <c r="F7343" s="15" t="s">
        <v>8</v>
      </c>
      <c r="G7343" s="15" t="s">
        <v>8</v>
      </c>
      <c r="I7343" s="15" t="s">
        <v>8</v>
      </c>
      <c r="K7343" s="15" t="s">
        <v>8</v>
      </c>
    </row>
    <row r="7344" spans="3:20" x14ac:dyDescent="0.35">
      <c r="C7344" s="15" t="s">
        <v>8</v>
      </c>
      <c r="F7344" s="15" t="s">
        <v>8</v>
      </c>
      <c r="G7344" s="15" t="s">
        <v>8</v>
      </c>
      <c r="I7344" s="15" t="s">
        <v>8</v>
      </c>
      <c r="J7344" s="5" t="str">
        <f>HYPERLINK("http://yeinfo.com/family/I09000187.html", "JOSIAH GALE Sr. 1722 MA-1794 MA ID:09000374")</f>
        <v>JOSIAH GALE Sr. 1722 MA-1794 MA ID:09000374</v>
      </c>
      <c r="K7344" s="3"/>
      <c r="L7344" s="3"/>
      <c r="M7344" s="3"/>
      <c r="N7344" s="3"/>
    </row>
    <row r="7345" spans="3:20" x14ac:dyDescent="0.35">
      <c r="C7345" s="15" t="s">
        <v>8</v>
      </c>
      <c r="F7345" s="15" t="s">
        <v>8</v>
      </c>
      <c r="G7345" s="15" t="s">
        <v>8</v>
      </c>
      <c r="I7345" s="15" t="s">
        <v>8</v>
      </c>
      <c r="J7345" s="8" t="s">
        <v>3</v>
      </c>
      <c r="K7345" s="15" t="s">
        <v>8</v>
      </c>
    </row>
    <row r="7346" spans="3:20" x14ac:dyDescent="0.35">
      <c r="C7346" s="15" t="s">
        <v>8</v>
      </c>
      <c r="F7346" s="15" t="s">
        <v>8</v>
      </c>
      <c r="G7346" s="15" t="s">
        <v>8</v>
      </c>
      <c r="I7346" s="15" t="s">
        <v>8</v>
      </c>
      <c r="J7346" s="15" t="s">
        <v>8</v>
      </c>
      <c r="K7346" s="15" t="s">
        <v>8</v>
      </c>
      <c r="M7346" s="5" t="str">
        <f>HYPERLINK("http://yeinfo.com/family/I09001498.html", "GEORGE PARKHURST Jr. 1621 EN-1644  ID:09002996")</f>
        <v>GEORGE PARKHURST Jr. 1621 EN-1644  ID:09002996</v>
      </c>
      <c r="N7346" s="3"/>
      <c r="O7346" s="3"/>
      <c r="P7346" s="3"/>
      <c r="Q7346" s="3"/>
    </row>
    <row r="7347" spans="3:20" x14ac:dyDescent="0.35">
      <c r="C7347" s="15" t="s">
        <v>8</v>
      </c>
      <c r="F7347" s="15" t="s">
        <v>8</v>
      </c>
      <c r="G7347" s="15" t="s">
        <v>8</v>
      </c>
      <c r="I7347" s="15" t="s">
        <v>8</v>
      </c>
      <c r="J7347" s="15" t="s">
        <v>8</v>
      </c>
      <c r="K7347" s="15" t="s">
        <v>8</v>
      </c>
      <c r="M7347" s="8" t="s">
        <v>3</v>
      </c>
    </row>
    <row r="7348" spans="3:20" x14ac:dyDescent="0.35">
      <c r="C7348" s="15" t="s">
        <v>8</v>
      </c>
      <c r="F7348" s="15" t="s">
        <v>8</v>
      </c>
      <c r="G7348" s="15" t="s">
        <v>8</v>
      </c>
      <c r="I7348" s="15" t="s">
        <v>8</v>
      </c>
      <c r="J7348" s="15" t="s">
        <v>8</v>
      </c>
      <c r="K7348" s="15" t="s">
        <v>8</v>
      </c>
      <c r="L7348" s="5" t="str">
        <f>HYPERLINK("http://yeinfo.com/family/I09000749.html", "JOHN PARKHURST 1644 MA-1725 MA ID:09001498")</f>
        <v>JOHN PARKHURST 1644 MA-1725 MA ID:09001498</v>
      </c>
      <c r="M7348" s="3"/>
      <c r="N7348" s="3"/>
      <c r="O7348" s="3"/>
      <c r="P7348" s="3"/>
    </row>
    <row r="7349" spans="3:20" x14ac:dyDescent="0.35">
      <c r="C7349" s="15" t="s">
        <v>8</v>
      </c>
      <c r="F7349" s="15" t="s">
        <v>8</v>
      </c>
      <c r="G7349" s="15" t="s">
        <v>8</v>
      </c>
      <c r="I7349" s="15" t="s">
        <v>8</v>
      </c>
      <c r="J7349" s="15" t="s">
        <v>8</v>
      </c>
      <c r="K7349" s="15" t="s">
        <v>8</v>
      </c>
      <c r="L7349" s="8" t="s">
        <v>3</v>
      </c>
      <c r="M7349" s="8" t="s">
        <v>6</v>
      </c>
    </row>
    <row r="7350" spans="3:20" x14ac:dyDescent="0.35">
      <c r="C7350" s="15" t="s">
        <v>8</v>
      </c>
      <c r="F7350" s="15" t="s">
        <v>8</v>
      </c>
      <c r="G7350" s="15" t="s">
        <v>8</v>
      </c>
      <c r="I7350" s="15" t="s">
        <v>8</v>
      </c>
      <c r="J7350" s="15" t="s">
        <v>8</v>
      </c>
      <c r="K7350" s="15" t="s">
        <v>8</v>
      </c>
      <c r="L7350" s="15" t="s">
        <v>8</v>
      </c>
      <c r="M7350" s="22" t="str">
        <f>HYPERLINK("http://yeinfo.com/family/I09002996.html", "SARAH BROWNE 1621 EN-1649 MA ID:09002997")</f>
        <v>SARAH BROWNE 1621 EN-1649 MA ID:09002997</v>
      </c>
      <c r="N7350" s="13"/>
      <c r="O7350" s="13"/>
      <c r="P7350" s="13"/>
      <c r="Q7350" s="13"/>
    </row>
    <row r="7351" spans="3:20" x14ac:dyDescent="0.35">
      <c r="C7351" s="15" t="s">
        <v>8</v>
      </c>
      <c r="F7351" s="15" t="s">
        <v>8</v>
      </c>
      <c r="G7351" s="15" t="s">
        <v>8</v>
      </c>
      <c r="I7351" s="15" t="s">
        <v>8</v>
      </c>
      <c r="J7351" s="15" t="s">
        <v>8</v>
      </c>
      <c r="K7351" s="8" t="s">
        <v>6</v>
      </c>
      <c r="L7351" s="15" t="s">
        <v>8</v>
      </c>
    </row>
    <row r="7352" spans="3:20" x14ac:dyDescent="0.35">
      <c r="C7352" s="15" t="s">
        <v>8</v>
      </c>
      <c r="F7352" s="15" t="s">
        <v>8</v>
      </c>
      <c r="G7352" s="15" t="s">
        <v>8</v>
      </c>
      <c r="I7352" s="15" t="s">
        <v>8</v>
      </c>
      <c r="J7352" s="15" t="s">
        <v>8</v>
      </c>
      <c r="K7352" s="16" t="str">
        <f>HYPERLINK("http://yeinfo.com/family/I09005991.html", "RACHEL PARKHURST 1678 MA-1767 MA ID:09000749")</f>
        <v>RACHEL PARKHURST 1678 MA-1767 MA ID:09000749</v>
      </c>
      <c r="L7352" s="11"/>
      <c r="M7352" s="11"/>
      <c r="N7352" s="11"/>
      <c r="O7352" s="11"/>
    </row>
    <row r="7353" spans="3:20" x14ac:dyDescent="0.35">
      <c r="C7353" s="15" t="s">
        <v>8</v>
      </c>
      <c r="F7353" s="15" t="s">
        <v>8</v>
      </c>
      <c r="G7353" s="15" t="s">
        <v>8</v>
      </c>
      <c r="I7353" s="15" t="s">
        <v>8</v>
      </c>
      <c r="J7353" s="15" t="s">
        <v>8</v>
      </c>
      <c r="L7353" s="15" t="s">
        <v>8</v>
      </c>
    </row>
    <row r="7354" spans="3:20" x14ac:dyDescent="0.35">
      <c r="C7354" s="15" t="s">
        <v>8</v>
      </c>
      <c r="F7354" s="15" t="s">
        <v>8</v>
      </c>
      <c r="G7354" s="15" t="s">
        <v>8</v>
      </c>
      <c r="I7354" s="15" t="s">
        <v>8</v>
      </c>
      <c r="J7354" s="15" t="s">
        <v>8</v>
      </c>
      <c r="L7354" s="15" t="s">
        <v>8</v>
      </c>
      <c r="N7354" s="21" t="str">
        <f>HYPERLINK("http://yeinfo.com/family/I09011496.html", "EDWARD GARFIELD &lt;4&gt; 1575 EN-1672 MA ID:09011496")</f>
        <v>EDWARD GARFIELD &lt;4&gt; 1575 EN-1672 MA ID:09011496</v>
      </c>
      <c r="O7354" s="6"/>
      <c r="P7354" s="6"/>
      <c r="Q7354" s="6"/>
      <c r="R7354" s="6"/>
    </row>
    <row r="7355" spans="3:20" x14ac:dyDescent="0.35">
      <c r="C7355" s="15" t="s">
        <v>8</v>
      </c>
      <c r="F7355" s="15" t="s">
        <v>8</v>
      </c>
      <c r="G7355" s="15" t="s">
        <v>8</v>
      </c>
      <c r="I7355" s="15" t="s">
        <v>8</v>
      </c>
      <c r="J7355" s="15" t="s">
        <v>8</v>
      </c>
      <c r="L7355" s="15" t="s">
        <v>8</v>
      </c>
      <c r="N7355" s="8" t="s">
        <v>3</v>
      </c>
    </row>
    <row r="7356" spans="3:20" x14ac:dyDescent="0.35">
      <c r="C7356" s="15" t="s">
        <v>8</v>
      </c>
      <c r="F7356" s="15" t="s">
        <v>8</v>
      </c>
      <c r="G7356" s="15" t="s">
        <v>8</v>
      </c>
      <c r="I7356" s="15" t="s">
        <v>8</v>
      </c>
      <c r="J7356" s="15" t="s">
        <v>8</v>
      </c>
      <c r="L7356" s="15" t="s">
        <v>8</v>
      </c>
      <c r="M7356" s="5" t="str">
        <f>HYPERLINK("http://yeinfo.com/family/I09005748.html", "EDWARD GARFIELD &lt;4&gt; 1605 EN-1672  ID:09005748")</f>
        <v>EDWARD GARFIELD &lt;4&gt; 1605 EN-1672  ID:09005748</v>
      </c>
      <c r="N7356" s="3"/>
      <c r="O7356" s="3"/>
      <c r="P7356" s="3"/>
      <c r="Q7356" s="3"/>
    </row>
    <row r="7357" spans="3:20" x14ac:dyDescent="0.35">
      <c r="C7357" s="15" t="s">
        <v>8</v>
      </c>
      <c r="F7357" s="15" t="s">
        <v>8</v>
      </c>
      <c r="G7357" s="15" t="s">
        <v>8</v>
      </c>
      <c r="I7357" s="15" t="s">
        <v>8</v>
      </c>
      <c r="J7357" s="15" t="s">
        <v>8</v>
      </c>
      <c r="L7357" s="15" t="s">
        <v>8</v>
      </c>
      <c r="M7357" s="8" t="s">
        <v>3</v>
      </c>
      <c r="N7357" s="8" t="s">
        <v>6</v>
      </c>
    </row>
    <row r="7358" spans="3:20" x14ac:dyDescent="0.35">
      <c r="C7358" s="15" t="s">
        <v>8</v>
      </c>
      <c r="F7358" s="15" t="s">
        <v>8</v>
      </c>
      <c r="G7358" s="15" t="s">
        <v>8</v>
      </c>
      <c r="I7358" s="15" t="s">
        <v>8</v>
      </c>
      <c r="J7358" s="15" t="s">
        <v>8</v>
      </c>
      <c r="L7358" s="15" t="s">
        <v>8</v>
      </c>
      <c r="M7358" s="15" t="s">
        <v>8</v>
      </c>
      <c r="N7358" s="16" t="str">
        <f>HYPERLINK("http://yeinfo.com/family/I09011497.html", "Mrs. AGNES\SARAH GARFIELD &lt;4&gt; 1575 EN-1605  ID:09011497")</f>
        <v>Mrs. AGNES\SARAH GARFIELD &lt;4&gt; 1575 EN-1605  ID:09011497</v>
      </c>
      <c r="O7358" s="11"/>
      <c r="P7358" s="11"/>
      <c r="Q7358" s="11"/>
      <c r="R7358" s="11"/>
      <c r="S7358" s="11"/>
      <c r="T7358" s="11"/>
    </row>
    <row r="7359" spans="3:20" x14ac:dyDescent="0.35">
      <c r="C7359" s="15" t="s">
        <v>8</v>
      </c>
      <c r="F7359" s="15" t="s">
        <v>8</v>
      </c>
      <c r="G7359" s="15" t="s">
        <v>8</v>
      </c>
      <c r="I7359" s="15" t="s">
        <v>8</v>
      </c>
      <c r="J7359" s="15" t="s">
        <v>8</v>
      </c>
      <c r="L7359" s="8" t="s">
        <v>6</v>
      </c>
      <c r="M7359" s="15" t="s">
        <v>8</v>
      </c>
    </row>
    <row r="7360" spans="3:20" x14ac:dyDescent="0.35">
      <c r="C7360" s="15" t="s">
        <v>8</v>
      </c>
      <c r="F7360" s="15" t="s">
        <v>8</v>
      </c>
      <c r="G7360" s="15" t="s">
        <v>8</v>
      </c>
      <c r="I7360" s="15" t="s">
        <v>8</v>
      </c>
      <c r="J7360" s="15" t="s">
        <v>8</v>
      </c>
      <c r="L7360" s="16" t="str">
        <f>HYPERLINK("http://yeinfo.com/family/I09002997.html", "ABIGAIL GARFIELD 1646 MA-1725 MA ID:09001499")</f>
        <v>ABIGAIL GARFIELD 1646 MA-1725 MA ID:09001499</v>
      </c>
      <c r="M7360" s="11"/>
      <c r="N7360" s="11"/>
      <c r="O7360" s="11"/>
      <c r="P7360" s="11"/>
    </row>
    <row r="7361" spans="3:20" x14ac:dyDescent="0.35">
      <c r="C7361" s="15" t="s">
        <v>8</v>
      </c>
      <c r="F7361" s="15" t="s">
        <v>8</v>
      </c>
      <c r="G7361" s="15" t="s">
        <v>8</v>
      </c>
      <c r="I7361" s="15" t="s">
        <v>8</v>
      </c>
      <c r="J7361" s="15" t="s">
        <v>8</v>
      </c>
      <c r="M7361" s="15" t="s">
        <v>8</v>
      </c>
    </row>
    <row r="7362" spans="3:20" x14ac:dyDescent="0.35">
      <c r="C7362" s="15" t="s">
        <v>8</v>
      </c>
      <c r="F7362" s="15" t="s">
        <v>8</v>
      </c>
      <c r="G7362" s="15" t="s">
        <v>8</v>
      </c>
      <c r="I7362" s="15" t="s">
        <v>8</v>
      </c>
      <c r="J7362" s="15" t="s">
        <v>8</v>
      </c>
      <c r="M7362" s="15" t="s">
        <v>8</v>
      </c>
      <c r="N7362" s="21" t="str">
        <f>HYPERLINK("http://yeinfo.com/family/I09011498.html", "EDWARD JOHNSON &lt;4&gt; 1580 EN-1672 MA ID:09011498")</f>
        <v>EDWARD JOHNSON &lt;4&gt; 1580 EN-1672 MA ID:09011498</v>
      </c>
      <c r="O7362" s="6"/>
      <c r="P7362" s="6"/>
      <c r="Q7362" s="6"/>
      <c r="R7362" s="6"/>
    </row>
    <row r="7363" spans="3:20" x14ac:dyDescent="0.35">
      <c r="C7363" s="15" t="s">
        <v>8</v>
      </c>
      <c r="F7363" s="15" t="s">
        <v>8</v>
      </c>
      <c r="G7363" s="15" t="s">
        <v>8</v>
      </c>
      <c r="I7363" s="15" t="s">
        <v>8</v>
      </c>
      <c r="J7363" s="15" t="s">
        <v>8</v>
      </c>
      <c r="M7363" s="8" t="s">
        <v>6</v>
      </c>
      <c r="N7363" s="8" t="s">
        <v>3</v>
      </c>
    </row>
    <row r="7364" spans="3:20" x14ac:dyDescent="0.35">
      <c r="C7364" s="15" t="s">
        <v>8</v>
      </c>
      <c r="F7364" s="15" t="s">
        <v>8</v>
      </c>
      <c r="G7364" s="15" t="s">
        <v>8</v>
      </c>
      <c r="I7364" s="15" t="s">
        <v>8</v>
      </c>
      <c r="J7364" s="15" t="s">
        <v>8</v>
      </c>
      <c r="M7364" s="22" t="str">
        <f>HYPERLINK("http://yeinfo.com/family/I09005749.html", "REBECCA JOHNSON &lt;4&gt; 1609 EN-1661 MA ID:09005749")</f>
        <v>REBECCA JOHNSON &lt;4&gt; 1609 EN-1661 MA ID:09005749</v>
      </c>
      <c r="N7364" s="13"/>
      <c r="O7364" s="13"/>
      <c r="P7364" s="13"/>
      <c r="Q7364" s="13"/>
    </row>
    <row r="7365" spans="3:20" x14ac:dyDescent="0.35">
      <c r="C7365" s="15" t="s">
        <v>8</v>
      </c>
      <c r="F7365" s="15" t="s">
        <v>8</v>
      </c>
      <c r="G7365" s="15" t="s">
        <v>8</v>
      </c>
      <c r="I7365" s="15" t="s">
        <v>8</v>
      </c>
      <c r="J7365" s="15" t="s">
        <v>8</v>
      </c>
      <c r="N7365" s="8" t="s">
        <v>6</v>
      </c>
    </row>
    <row r="7366" spans="3:20" x14ac:dyDescent="0.35">
      <c r="C7366" s="15" t="s">
        <v>8</v>
      </c>
      <c r="F7366" s="15" t="s">
        <v>8</v>
      </c>
      <c r="G7366" s="15" t="s">
        <v>8</v>
      </c>
      <c r="I7366" s="15" t="s">
        <v>8</v>
      </c>
      <c r="J7366" s="15" t="s">
        <v>8</v>
      </c>
      <c r="N7366" s="22" t="str">
        <f>HYPERLINK("http://yeinfo.com/family/I09011499.html", "KATHERINE FISHER &lt;4&gt; 1580 EN-1609 MA ID:09011499")</f>
        <v>KATHERINE FISHER &lt;4&gt; 1580 EN-1609 MA ID:09011499</v>
      </c>
      <c r="O7366" s="13"/>
      <c r="P7366" s="13"/>
      <c r="Q7366" s="13"/>
      <c r="R7366" s="13"/>
    </row>
    <row r="7367" spans="3:20" x14ac:dyDescent="0.35">
      <c r="C7367" s="15" t="s">
        <v>8</v>
      </c>
      <c r="F7367" s="15" t="s">
        <v>8</v>
      </c>
      <c r="G7367" s="15" t="s">
        <v>8</v>
      </c>
      <c r="I7367" s="8" t="s">
        <v>6</v>
      </c>
      <c r="J7367" s="15" t="s">
        <v>8</v>
      </c>
    </row>
    <row r="7368" spans="3:20" x14ac:dyDescent="0.35">
      <c r="C7368" s="15" t="s">
        <v>8</v>
      </c>
      <c r="F7368" s="15" t="s">
        <v>8</v>
      </c>
      <c r="G7368" s="15" t="s">
        <v>8</v>
      </c>
      <c r="I7368" s="16" t="str">
        <f>HYPERLINK("http://yeinfo.com/family/I09000373.html", "MERCY\MARY GALE 1756 MA-1795  ID:09000187")</f>
        <v>MERCY\MARY GALE 1756 MA-1795  ID:09000187</v>
      </c>
      <c r="J7368" s="11"/>
      <c r="K7368" s="11"/>
      <c r="L7368" s="11"/>
      <c r="M7368" s="11"/>
      <c r="N7368" s="11"/>
    </row>
    <row r="7369" spans="3:20" x14ac:dyDescent="0.35">
      <c r="C7369" s="15" t="s">
        <v>8</v>
      </c>
      <c r="F7369" s="15" t="s">
        <v>8</v>
      </c>
      <c r="G7369" s="15" t="s">
        <v>8</v>
      </c>
      <c r="J7369" s="15" t="s">
        <v>8</v>
      </c>
    </row>
    <row r="7370" spans="3:20" x14ac:dyDescent="0.35">
      <c r="C7370" s="15" t="s">
        <v>8</v>
      </c>
      <c r="F7370" s="15" t="s">
        <v>8</v>
      </c>
      <c r="G7370" s="15" t="s">
        <v>8</v>
      </c>
      <c r="J7370" s="15" t="s">
        <v>8</v>
      </c>
      <c r="P7370" s="19" t="str">
        <f>HYPERLINK("http://yeinfo.com/family/I09012000.html", "THOMAS CHADWICK 1488 EN-1556 EN ID:09024000")</f>
        <v>THOMAS CHADWICK 1488 EN-1556 EN ID:09024000</v>
      </c>
      <c r="Q7370" s="9"/>
      <c r="R7370" s="9"/>
      <c r="S7370" s="9"/>
      <c r="T7370" s="9"/>
    </row>
    <row r="7371" spans="3:20" x14ac:dyDescent="0.35">
      <c r="C7371" s="15" t="s">
        <v>8</v>
      </c>
      <c r="F7371" s="15" t="s">
        <v>8</v>
      </c>
      <c r="G7371" s="15" t="s">
        <v>8</v>
      </c>
      <c r="J7371" s="15" t="s">
        <v>8</v>
      </c>
      <c r="P7371" s="8" t="s">
        <v>3</v>
      </c>
    </row>
    <row r="7372" spans="3:20" x14ac:dyDescent="0.35">
      <c r="C7372" s="15" t="s">
        <v>8</v>
      </c>
      <c r="F7372" s="15" t="s">
        <v>8</v>
      </c>
      <c r="G7372" s="15" t="s">
        <v>8</v>
      </c>
      <c r="J7372" s="15" t="s">
        <v>8</v>
      </c>
      <c r="O7372" s="19" t="str">
        <f>HYPERLINK("http://yeinfo.com/family/I09006000.html", "JOHN CHADWICK 1526 EN-1615 EN ID:09012000")</f>
        <v>JOHN CHADWICK 1526 EN-1615 EN ID:09012000</v>
      </c>
      <c r="P7372" s="9"/>
      <c r="Q7372" s="9"/>
      <c r="R7372" s="9"/>
      <c r="S7372" s="9"/>
    </row>
    <row r="7373" spans="3:20" x14ac:dyDescent="0.35">
      <c r="C7373" s="15" t="s">
        <v>8</v>
      </c>
      <c r="F7373" s="15" t="s">
        <v>8</v>
      </c>
      <c r="G7373" s="15" t="s">
        <v>8</v>
      </c>
      <c r="J7373" s="15" t="s">
        <v>8</v>
      </c>
      <c r="O7373" s="8" t="s">
        <v>3</v>
      </c>
      <c r="P7373" s="8" t="s">
        <v>6</v>
      </c>
    </row>
    <row r="7374" spans="3:20" x14ac:dyDescent="0.35">
      <c r="C7374" s="15" t="s">
        <v>8</v>
      </c>
      <c r="F7374" s="15" t="s">
        <v>8</v>
      </c>
      <c r="G7374" s="15" t="s">
        <v>8</v>
      </c>
      <c r="J7374" s="15" t="s">
        <v>8</v>
      </c>
      <c r="O7374" s="15" t="s">
        <v>8</v>
      </c>
      <c r="P7374" s="20" t="str">
        <f>HYPERLINK("http://yeinfo.com/family/I09024000.html", "CATHERINE BUCKLEY 1494 EN-1543 EN ID:09024001")</f>
        <v>CATHERINE BUCKLEY 1494 EN-1543 EN ID:09024001</v>
      </c>
      <c r="Q7374" s="17"/>
      <c r="R7374" s="17"/>
      <c r="S7374" s="17"/>
      <c r="T7374" s="17"/>
    </row>
    <row r="7375" spans="3:20" x14ac:dyDescent="0.35">
      <c r="C7375" s="15" t="s">
        <v>8</v>
      </c>
      <c r="F7375" s="15" t="s">
        <v>8</v>
      </c>
      <c r="G7375" s="15" t="s">
        <v>8</v>
      </c>
      <c r="J7375" s="15" t="s">
        <v>8</v>
      </c>
      <c r="O7375" s="15" t="s">
        <v>8</v>
      </c>
    </row>
    <row r="7376" spans="3:20" x14ac:dyDescent="0.35">
      <c r="C7376" s="15" t="s">
        <v>8</v>
      </c>
      <c r="F7376" s="15" t="s">
        <v>8</v>
      </c>
      <c r="G7376" s="15" t="s">
        <v>8</v>
      </c>
      <c r="J7376" s="15" t="s">
        <v>8</v>
      </c>
      <c r="N7376" s="19" t="str">
        <f>HYPERLINK("http://yeinfo.com/family/I09003000.html", "ALEXANDER CHADWICK 1564 EN-1624 EN ID:09006000")</f>
        <v>ALEXANDER CHADWICK 1564 EN-1624 EN ID:09006000</v>
      </c>
      <c r="O7376" s="9"/>
      <c r="P7376" s="9"/>
      <c r="Q7376" s="9"/>
      <c r="R7376" s="9"/>
    </row>
    <row r="7377" spans="3:20" x14ac:dyDescent="0.35">
      <c r="C7377" s="15" t="s">
        <v>8</v>
      </c>
      <c r="F7377" s="15" t="s">
        <v>8</v>
      </c>
      <c r="G7377" s="15" t="s">
        <v>8</v>
      </c>
      <c r="J7377" s="15" t="s">
        <v>8</v>
      </c>
      <c r="N7377" s="8" t="s">
        <v>3</v>
      </c>
      <c r="O7377" s="15" t="s">
        <v>8</v>
      </c>
    </row>
    <row r="7378" spans="3:20" x14ac:dyDescent="0.35">
      <c r="C7378" s="15" t="s">
        <v>8</v>
      </c>
      <c r="F7378" s="15" t="s">
        <v>8</v>
      </c>
      <c r="G7378" s="15" t="s">
        <v>8</v>
      </c>
      <c r="J7378" s="15" t="s">
        <v>8</v>
      </c>
      <c r="N7378" s="15" t="s">
        <v>8</v>
      </c>
      <c r="O7378" s="15" t="s">
        <v>8</v>
      </c>
      <c r="P7378" s="19" t="str">
        <f>HYPERLINK("http://yeinfo.com/family/I09012001.html", "JAMES HEYWOOD 1502 EN-1561 EN ID:09024002")</f>
        <v>JAMES HEYWOOD 1502 EN-1561 EN ID:09024002</v>
      </c>
      <c r="Q7378" s="9"/>
      <c r="R7378" s="9"/>
      <c r="S7378" s="9"/>
      <c r="T7378" s="9"/>
    </row>
    <row r="7379" spans="3:20" x14ac:dyDescent="0.35">
      <c r="C7379" s="15" t="s">
        <v>8</v>
      </c>
      <c r="F7379" s="15" t="s">
        <v>8</v>
      </c>
      <c r="G7379" s="15" t="s">
        <v>8</v>
      </c>
      <c r="J7379" s="15" t="s">
        <v>8</v>
      </c>
      <c r="N7379" s="15" t="s">
        <v>8</v>
      </c>
      <c r="O7379" s="8" t="s">
        <v>6</v>
      </c>
      <c r="P7379" s="8" t="s">
        <v>3</v>
      </c>
    </row>
    <row r="7380" spans="3:20" x14ac:dyDescent="0.35">
      <c r="C7380" s="15" t="s">
        <v>8</v>
      </c>
      <c r="F7380" s="15" t="s">
        <v>8</v>
      </c>
      <c r="G7380" s="15" t="s">
        <v>8</v>
      </c>
      <c r="J7380" s="15" t="s">
        <v>8</v>
      </c>
      <c r="N7380" s="15" t="s">
        <v>8</v>
      </c>
      <c r="O7380" s="20" t="str">
        <f>HYPERLINK("http://yeinfo.com/family/I09024001.html", "AGNES HEYWOOD 1530 EN-1604 EN ID:09012001")</f>
        <v>AGNES HEYWOOD 1530 EN-1604 EN ID:09012001</v>
      </c>
      <c r="P7380" s="17"/>
      <c r="Q7380" s="17"/>
      <c r="R7380" s="17"/>
      <c r="S7380" s="17"/>
    </row>
    <row r="7381" spans="3:20" x14ac:dyDescent="0.35">
      <c r="C7381" s="15" t="s">
        <v>8</v>
      </c>
      <c r="F7381" s="15" t="s">
        <v>8</v>
      </c>
      <c r="G7381" s="15" t="s">
        <v>8</v>
      </c>
      <c r="J7381" s="15" t="s">
        <v>8</v>
      </c>
      <c r="N7381" s="15" t="s">
        <v>8</v>
      </c>
      <c r="P7381" s="8" t="s">
        <v>6</v>
      </c>
    </row>
    <row r="7382" spans="3:20" x14ac:dyDescent="0.35">
      <c r="C7382" s="15" t="s">
        <v>8</v>
      </c>
      <c r="F7382" s="15" t="s">
        <v>8</v>
      </c>
      <c r="G7382" s="15" t="s">
        <v>8</v>
      </c>
      <c r="J7382" s="15" t="s">
        <v>8</v>
      </c>
      <c r="N7382" s="15" t="s">
        <v>8</v>
      </c>
      <c r="P7382" s="20" t="str">
        <f>HYPERLINK("http://yeinfo.com/family/I09024002.html", "MARY ANN RIDDEOUGH 1503 EN-1530 EN ID:09024003")</f>
        <v>MARY ANN RIDDEOUGH 1503 EN-1530 EN ID:09024003</v>
      </c>
      <c r="Q7382" s="17"/>
      <c r="R7382" s="17"/>
      <c r="S7382" s="17"/>
      <c r="T7382" s="17"/>
    </row>
    <row r="7383" spans="3:20" x14ac:dyDescent="0.35">
      <c r="C7383" s="15" t="s">
        <v>8</v>
      </c>
      <c r="F7383" s="15" t="s">
        <v>8</v>
      </c>
      <c r="G7383" s="15" t="s">
        <v>8</v>
      </c>
      <c r="J7383" s="15" t="s">
        <v>8</v>
      </c>
      <c r="N7383" s="15" t="s">
        <v>8</v>
      </c>
    </row>
    <row r="7384" spans="3:20" x14ac:dyDescent="0.35">
      <c r="C7384" s="15" t="s">
        <v>8</v>
      </c>
      <c r="F7384" s="15" t="s">
        <v>8</v>
      </c>
      <c r="G7384" s="15" t="s">
        <v>8</v>
      </c>
      <c r="J7384" s="15" t="s">
        <v>8</v>
      </c>
      <c r="M7384" s="21" t="str">
        <f>HYPERLINK("http://yeinfo.com/family/I09001500.html", "JOHN CHADWICK Sr. 1601 EN-1680 MA ID:09003000")</f>
        <v>JOHN CHADWICK Sr. 1601 EN-1680 MA ID:09003000</v>
      </c>
      <c r="N7384" s="6"/>
      <c r="O7384" s="6"/>
      <c r="P7384" s="6"/>
      <c r="Q7384" s="6"/>
    </row>
    <row r="7385" spans="3:20" x14ac:dyDescent="0.35">
      <c r="C7385" s="15" t="s">
        <v>8</v>
      </c>
      <c r="F7385" s="15" t="s">
        <v>8</v>
      </c>
      <c r="G7385" s="15" t="s">
        <v>8</v>
      </c>
      <c r="J7385" s="15" t="s">
        <v>8</v>
      </c>
      <c r="M7385" s="8" t="s">
        <v>3</v>
      </c>
      <c r="N7385" s="15" t="s">
        <v>8</v>
      </c>
    </row>
    <row r="7386" spans="3:20" x14ac:dyDescent="0.35">
      <c r="C7386" s="15" t="s">
        <v>8</v>
      </c>
      <c r="F7386" s="15" t="s">
        <v>8</v>
      </c>
      <c r="G7386" s="15" t="s">
        <v>8</v>
      </c>
      <c r="J7386" s="15" t="s">
        <v>8</v>
      </c>
      <c r="M7386" s="15" t="s">
        <v>8</v>
      </c>
      <c r="N7386" s="15" t="s">
        <v>8</v>
      </c>
      <c r="P7386" s="19" t="str">
        <f>HYPERLINK("http://yeinfo.com/family/I09012002.html", "JAMES BENNETT 1513 EN-1539 EN ID:09024004")</f>
        <v>JAMES BENNETT 1513 EN-1539 EN ID:09024004</v>
      </c>
      <c r="Q7386" s="9"/>
      <c r="R7386" s="9"/>
      <c r="S7386" s="9"/>
      <c r="T7386" s="9"/>
    </row>
    <row r="7387" spans="3:20" x14ac:dyDescent="0.35">
      <c r="C7387" s="15" t="s">
        <v>8</v>
      </c>
      <c r="F7387" s="15" t="s">
        <v>8</v>
      </c>
      <c r="G7387" s="15" t="s">
        <v>8</v>
      </c>
      <c r="J7387" s="15" t="s">
        <v>8</v>
      </c>
      <c r="M7387" s="15" t="s">
        <v>8</v>
      </c>
      <c r="N7387" s="15" t="s">
        <v>8</v>
      </c>
      <c r="P7387" s="8" t="s">
        <v>3</v>
      </c>
    </row>
    <row r="7388" spans="3:20" x14ac:dyDescent="0.35">
      <c r="C7388" s="15" t="s">
        <v>8</v>
      </c>
      <c r="F7388" s="15" t="s">
        <v>8</v>
      </c>
      <c r="G7388" s="15" t="s">
        <v>8</v>
      </c>
      <c r="J7388" s="15" t="s">
        <v>8</v>
      </c>
      <c r="M7388" s="15" t="s">
        <v>8</v>
      </c>
      <c r="N7388" s="15" t="s">
        <v>8</v>
      </c>
      <c r="O7388" s="19" t="str">
        <f>HYPERLINK("http://yeinfo.com/family/I09006001.html", "JAMES BENNETT 1539 EN-1587 EN ID:09012002")</f>
        <v>JAMES BENNETT 1539 EN-1587 EN ID:09012002</v>
      </c>
      <c r="P7388" s="9"/>
      <c r="Q7388" s="9"/>
      <c r="R7388" s="9"/>
      <c r="S7388" s="9"/>
    </row>
    <row r="7389" spans="3:20" x14ac:dyDescent="0.35">
      <c r="C7389" s="15" t="s">
        <v>8</v>
      </c>
      <c r="F7389" s="15" t="s">
        <v>8</v>
      </c>
      <c r="G7389" s="15" t="s">
        <v>8</v>
      </c>
      <c r="J7389" s="15" t="s">
        <v>8</v>
      </c>
      <c r="M7389" s="15" t="s">
        <v>8</v>
      </c>
      <c r="N7389" s="15" t="s">
        <v>8</v>
      </c>
      <c r="O7389" s="8" t="s">
        <v>3</v>
      </c>
      <c r="P7389" s="8" t="s">
        <v>6</v>
      </c>
    </row>
    <row r="7390" spans="3:20" x14ac:dyDescent="0.35">
      <c r="C7390" s="15" t="s">
        <v>8</v>
      </c>
      <c r="F7390" s="15" t="s">
        <v>8</v>
      </c>
      <c r="G7390" s="15" t="s">
        <v>8</v>
      </c>
      <c r="J7390" s="15" t="s">
        <v>8</v>
      </c>
      <c r="M7390" s="15" t="s">
        <v>8</v>
      </c>
      <c r="N7390" s="15" t="s">
        <v>8</v>
      </c>
      <c r="O7390" s="15" t="s">
        <v>8</v>
      </c>
      <c r="P7390" s="20" t="str">
        <f>HYPERLINK("http://yeinfo.com/family/I09024004.html", "Mrs. {_?_} BENNETT 1517 EN-1539 EN ID:09024005")</f>
        <v>Mrs. {_?_} BENNETT 1517 EN-1539 EN ID:09024005</v>
      </c>
      <c r="Q7390" s="17"/>
      <c r="R7390" s="17"/>
      <c r="S7390" s="17"/>
      <c r="T7390" s="17"/>
    </row>
    <row r="7391" spans="3:20" x14ac:dyDescent="0.35">
      <c r="C7391" s="15" t="s">
        <v>8</v>
      </c>
      <c r="F7391" s="15" t="s">
        <v>8</v>
      </c>
      <c r="G7391" s="15" t="s">
        <v>8</v>
      </c>
      <c r="J7391" s="15" t="s">
        <v>8</v>
      </c>
      <c r="M7391" s="15" t="s">
        <v>8</v>
      </c>
      <c r="N7391" s="8" t="s">
        <v>6</v>
      </c>
      <c r="O7391" s="15" t="s">
        <v>8</v>
      </c>
    </row>
    <row r="7392" spans="3:20" x14ac:dyDescent="0.35">
      <c r="C7392" s="15" t="s">
        <v>8</v>
      </c>
      <c r="F7392" s="15" t="s">
        <v>8</v>
      </c>
      <c r="G7392" s="15" t="s">
        <v>8</v>
      </c>
      <c r="J7392" s="15" t="s">
        <v>8</v>
      </c>
      <c r="M7392" s="15" t="s">
        <v>8</v>
      </c>
      <c r="N7392" s="20" t="str">
        <f>HYPERLINK("http://yeinfo.com/family/I09024003.html", "JOAN\ALEXANDRA BENNET 1570 EN-1623 EN ID:09006001")</f>
        <v>JOAN\ALEXANDRA BENNET 1570 EN-1623 EN ID:09006001</v>
      </c>
      <c r="O7392" s="17"/>
      <c r="P7392" s="17"/>
      <c r="Q7392" s="17"/>
      <c r="R7392" s="17"/>
      <c r="S7392" s="17"/>
    </row>
    <row r="7393" spans="3:20" x14ac:dyDescent="0.35">
      <c r="C7393" s="15" t="s">
        <v>8</v>
      </c>
      <c r="F7393" s="15" t="s">
        <v>8</v>
      </c>
      <c r="G7393" s="15" t="s">
        <v>8</v>
      </c>
      <c r="J7393" s="15" t="s">
        <v>8</v>
      </c>
      <c r="M7393" s="15" t="s">
        <v>8</v>
      </c>
      <c r="O7393" s="8" t="s">
        <v>6</v>
      </c>
    </row>
    <row r="7394" spans="3:20" x14ac:dyDescent="0.35">
      <c r="C7394" s="15" t="s">
        <v>8</v>
      </c>
      <c r="F7394" s="15" t="s">
        <v>8</v>
      </c>
      <c r="G7394" s="15" t="s">
        <v>8</v>
      </c>
      <c r="J7394" s="15" t="s">
        <v>8</v>
      </c>
      <c r="M7394" s="15" t="s">
        <v>8</v>
      </c>
      <c r="O7394" s="20" t="str">
        <f>HYPERLINK("http://yeinfo.com/family/I09024005.html", "Mrs. {_?_} BENNETT 1543 EN-1570  ID:09012003")</f>
        <v>Mrs. {_?_} BENNETT 1543 EN-1570  ID:09012003</v>
      </c>
      <c r="P7394" s="17"/>
      <c r="Q7394" s="17"/>
      <c r="R7394" s="17"/>
      <c r="S7394" s="17"/>
    </row>
    <row r="7395" spans="3:20" x14ac:dyDescent="0.35">
      <c r="C7395" s="15" t="s">
        <v>8</v>
      </c>
      <c r="F7395" s="15" t="s">
        <v>8</v>
      </c>
      <c r="G7395" s="15" t="s">
        <v>8</v>
      </c>
      <c r="J7395" s="15" t="s">
        <v>8</v>
      </c>
      <c r="M7395" s="15" t="s">
        <v>8</v>
      </c>
    </row>
    <row r="7396" spans="3:20" x14ac:dyDescent="0.35">
      <c r="C7396" s="15" t="s">
        <v>8</v>
      </c>
      <c r="F7396" s="15" t="s">
        <v>8</v>
      </c>
      <c r="G7396" s="15" t="s">
        <v>8</v>
      </c>
      <c r="J7396" s="15" t="s">
        <v>8</v>
      </c>
      <c r="L7396" s="5" t="str">
        <f>HYPERLINK("http://yeinfo.com/family/I09000750.html", "JOHN CHADWICK Jr. 1644 MA-1711 MA ID:09001500")</f>
        <v>JOHN CHADWICK Jr. 1644 MA-1711 MA ID:09001500</v>
      </c>
      <c r="M7396" s="3"/>
      <c r="N7396" s="3"/>
      <c r="O7396" s="3"/>
      <c r="P7396" s="3"/>
    </row>
    <row r="7397" spans="3:20" x14ac:dyDescent="0.35">
      <c r="C7397" s="15" t="s">
        <v>8</v>
      </c>
      <c r="F7397" s="15" t="s">
        <v>8</v>
      </c>
      <c r="G7397" s="15" t="s">
        <v>8</v>
      </c>
      <c r="J7397" s="15" t="s">
        <v>8</v>
      </c>
      <c r="L7397" s="8" t="s">
        <v>3</v>
      </c>
      <c r="M7397" s="15" t="s">
        <v>8</v>
      </c>
    </row>
    <row r="7398" spans="3:20" x14ac:dyDescent="0.35">
      <c r="C7398" s="15" t="s">
        <v>8</v>
      </c>
      <c r="F7398" s="15" t="s">
        <v>8</v>
      </c>
      <c r="G7398" s="15" t="s">
        <v>8</v>
      </c>
      <c r="J7398" s="15" t="s">
        <v>8</v>
      </c>
      <c r="L7398" s="15" t="s">
        <v>8</v>
      </c>
      <c r="M7398" s="15" t="s">
        <v>8</v>
      </c>
      <c r="N7398" s="5" t="str">
        <f>HYPERLINK("http://yeinfo.com/family/I09003001.html", "JACOB SHEPHERD 1583 EN-1637  ID:09006002")</f>
        <v>JACOB SHEPHERD 1583 EN-1637  ID:09006002</v>
      </c>
      <c r="O7398" s="3"/>
      <c r="P7398" s="3"/>
      <c r="Q7398" s="3"/>
      <c r="R7398" s="3"/>
    </row>
    <row r="7399" spans="3:20" x14ac:dyDescent="0.35">
      <c r="C7399" s="15" t="s">
        <v>8</v>
      </c>
      <c r="F7399" s="15" t="s">
        <v>8</v>
      </c>
      <c r="G7399" s="15" t="s">
        <v>8</v>
      </c>
      <c r="J7399" s="15" t="s">
        <v>8</v>
      </c>
      <c r="L7399" s="15" t="s">
        <v>8</v>
      </c>
      <c r="M7399" s="8" t="s">
        <v>6</v>
      </c>
      <c r="N7399" s="8" t="s">
        <v>3</v>
      </c>
    </row>
    <row r="7400" spans="3:20" x14ac:dyDescent="0.35">
      <c r="C7400" s="15" t="s">
        <v>8</v>
      </c>
      <c r="F7400" s="15" t="s">
        <v>8</v>
      </c>
      <c r="G7400" s="15" t="s">
        <v>8</v>
      </c>
      <c r="J7400" s="15" t="s">
        <v>8</v>
      </c>
      <c r="L7400" s="15" t="s">
        <v>8</v>
      </c>
      <c r="M7400" s="16" t="str">
        <f>HYPERLINK("http://yeinfo.com/family/I09012003.html", "JOAN\MARY BARLOW SHEPHERD 1624 -1674  ID:09003001")</f>
        <v>JOAN\MARY BARLOW SHEPHERD 1624 -1674  ID:09003001</v>
      </c>
      <c r="N7400" s="11"/>
      <c r="O7400" s="11"/>
      <c r="P7400" s="11"/>
      <c r="Q7400" s="11"/>
      <c r="R7400" s="11"/>
    </row>
    <row r="7401" spans="3:20" x14ac:dyDescent="0.35">
      <c r="C7401" s="15" t="s">
        <v>8</v>
      </c>
      <c r="F7401" s="15" t="s">
        <v>8</v>
      </c>
      <c r="G7401" s="15" t="s">
        <v>8</v>
      </c>
      <c r="J7401" s="15" t="s">
        <v>8</v>
      </c>
      <c r="L7401" s="15" t="s">
        <v>8</v>
      </c>
      <c r="N7401" s="8" t="s">
        <v>6</v>
      </c>
    </row>
    <row r="7402" spans="3:20" x14ac:dyDescent="0.35">
      <c r="C7402" s="15" t="s">
        <v>8</v>
      </c>
      <c r="F7402" s="15" t="s">
        <v>8</v>
      </c>
      <c r="G7402" s="15" t="s">
        <v>8</v>
      </c>
      <c r="J7402" s="15" t="s">
        <v>8</v>
      </c>
      <c r="L7402" s="15" t="s">
        <v>8</v>
      </c>
      <c r="N7402" s="16" t="str">
        <f>HYPERLINK("http://yeinfo.com/family/I09006002.html", "Mrs. JONIE SHEPHERD 1585 EN-1624  ID:09006003")</f>
        <v>Mrs. JONIE SHEPHERD 1585 EN-1624  ID:09006003</v>
      </c>
      <c r="O7402" s="11"/>
      <c r="P7402" s="11"/>
      <c r="Q7402" s="11"/>
      <c r="R7402" s="11"/>
    </row>
    <row r="7403" spans="3:20" x14ac:dyDescent="0.35">
      <c r="C7403" s="15" t="s">
        <v>8</v>
      </c>
      <c r="F7403" s="15" t="s">
        <v>8</v>
      </c>
      <c r="G7403" s="15" t="s">
        <v>8</v>
      </c>
      <c r="J7403" s="15" t="s">
        <v>8</v>
      </c>
      <c r="L7403" s="15" t="s">
        <v>8</v>
      </c>
    </row>
    <row r="7404" spans="3:20" x14ac:dyDescent="0.35">
      <c r="C7404" s="15" t="s">
        <v>8</v>
      </c>
      <c r="F7404" s="15" t="s">
        <v>8</v>
      </c>
      <c r="G7404" s="15" t="s">
        <v>8</v>
      </c>
      <c r="J7404" s="15" t="s">
        <v>8</v>
      </c>
      <c r="K7404" s="5" t="str">
        <f>HYPERLINK("http://yeinfo.com/family/I09000375.html", "EBENEZER\SIMON\JOHN CHADWICK 1683 CT-1725 MA ID:09000750")</f>
        <v>EBENEZER\SIMON\JOHN CHADWICK 1683 CT-1725 MA ID:09000750</v>
      </c>
      <c r="L7404" s="3"/>
      <c r="M7404" s="3"/>
      <c r="N7404" s="3"/>
      <c r="O7404" s="3"/>
      <c r="P7404" s="3"/>
    </row>
    <row r="7405" spans="3:20" x14ac:dyDescent="0.35">
      <c r="C7405" s="15" t="s">
        <v>8</v>
      </c>
      <c r="F7405" s="15" t="s">
        <v>8</v>
      </c>
      <c r="G7405" s="15" t="s">
        <v>8</v>
      </c>
      <c r="J7405" s="15" t="s">
        <v>8</v>
      </c>
      <c r="K7405" s="8" t="s">
        <v>3</v>
      </c>
      <c r="L7405" s="15" t="s">
        <v>8</v>
      </c>
    </row>
    <row r="7406" spans="3:20" x14ac:dyDescent="0.35">
      <c r="C7406" s="15" t="s">
        <v>8</v>
      </c>
      <c r="F7406" s="15" t="s">
        <v>8</v>
      </c>
      <c r="G7406" s="15" t="s">
        <v>8</v>
      </c>
      <c r="J7406" s="15" t="s">
        <v>8</v>
      </c>
      <c r="K7406" s="15" t="s">
        <v>8</v>
      </c>
      <c r="L7406" s="15" t="s">
        <v>8</v>
      </c>
      <c r="O7406" s="19" t="str">
        <f>HYPERLINK("http://yeinfo.com/family/I09006004.html", "WILLIAM\HENRY MANNING 1565 EN-1592  ID:09012008")</f>
        <v>WILLIAM\HENRY MANNING 1565 EN-1592  ID:09012008</v>
      </c>
      <c r="P7406" s="9"/>
      <c r="Q7406" s="9"/>
      <c r="R7406" s="9"/>
      <c r="S7406" s="9"/>
      <c r="T7406" s="9"/>
    </row>
    <row r="7407" spans="3:20" x14ac:dyDescent="0.35">
      <c r="C7407" s="15" t="s">
        <v>8</v>
      </c>
      <c r="F7407" s="15" t="s">
        <v>8</v>
      </c>
      <c r="G7407" s="15" t="s">
        <v>8</v>
      </c>
      <c r="J7407" s="15" t="s">
        <v>8</v>
      </c>
      <c r="K7407" s="15" t="s">
        <v>8</v>
      </c>
      <c r="L7407" s="15" t="s">
        <v>8</v>
      </c>
      <c r="O7407" s="8" t="s">
        <v>3</v>
      </c>
    </row>
    <row r="7408" spans="3:20" x14ac:dyDescent="0.35">
      <c r="C7408" s="15" t="s">
        <v>8</v>
      </c>
      <c r="F7408" s="15" t="s">
        <v>8</v>
      </c>
      <c r="G7408" s="15" t="s">
        <v>8</v>
      </c>
      <c r="J7408" s="15" t="s">
        <v>8</v>
      </c>
      <c r="K7408" s="15" t="s">
        <v>8</v>
      </c>
      <c r="L7408" s="15" t="s">
        <v>8</v>
      </c>
      <c r="N7408" s="21" t="str">
        <f>HYPERLINK("http://yeinfo.com/family/I09003002.html", "WILLIAM MANNING Sr. 1592 EN-1665 MA ID:09006004")</f>
        <v>WILLIAM MANNING Sr. 1592 EN-1665 MA ID:09006004</v>
      </c>
      <c r="O7408" s="6"/>
      <c r="P7408" s="6"/>
      <c r="Q7408" s="6"/>
      <c r="R7408" s="6"/>
    </row>
    <row r="7409" spans="3:19" x14ac:dyDescent="0.35">
      <c r="C7409" s="15" t="s">
        <v>8</v>
      </c>
      <c r="F7409" s="15" t="s">
        <v>8</v>
      </c>
      <c r="G7409" s="15" t="s">
        <v>8</v>
      </c>
      <c r="J7409" s="15" t="s">
        <v>8</v>
      </c>
      <c r="K7409" s="15" t="s">
        <v>8</v>
      </c>
      <c r="L7409" s="15" t="s">
        <v>8</v>
      </c>
      <c r="N7409" s="8" t="s">
        <v>3</v>
      </c>
      <c r="O7409" s="8" t="s">
        <v>6</v>
      </c>
    </row>
    <row r="7410" spans="3:19" x14ac:dyDescent="0.35">
      <c r="C7410" s="15" t="s">
        <v>8</v>
      </c>
      <c r="F7410" s="15" t="s">
        <v>8</v>
      </c>
      <c r="G7410" s="15" t="s">
        <v>8</v>
      </c>
      <c r="J7410" s="15" t="s">
        <v>8</v>
      </c>
      <c r="K7410" s="15" t="s">
        <v>8</v>
      </c>
      <c r="L7410" s="15" t="s">
        <v>8</v>
      </c>
      <c r="N7410" s="15" t="s">
        <v>8</v>
      </c>
      <c r="O7410" s="20" t="str">
        <f>HYPERLINK("http://yeinfo.com/family/I09012008.html", "Mrs. SILVIA MANNING 1570 EN-1592  ID:09012009")</f>
        <v>Mrs. SILVIA MANNING 1570 EN-1592  ID:09012009</v>
      </c>
      <c r="P7410" s="17"/>
      <c r="Q7410" s="17"/>
      <c r="R7410" s="17"/>
      <c r="S7410" s="17"/>
    </row>
    <row r="7411" spans="3:19" x14ac:dyDescent="0.35">
      <c r="C7411" s="15" t="s">
        <v>8</v>
      </c>
      <c r="F7411" s="15" t="s">
        <v>8</v>
      </c>
      <c r="G7411" s="15" t="s">
        <v>8</v>
      </c>
      <c r="J7411" s="15" t="s">
        <v>8</v>
      </c>
      <c r="K7411" s="15" t="s">
        <v>8</v>
      </c>
      <c r="L7411" s="15" t="s">
        <v>8</v>
      </c>
      <c r="N7411" s="15" t="s">
        <v>8</v>
      </c>
    </row>
    <row r="7412" spans="3:19" x14ac:dyDescent="0.35">
      <c r="C7412" s="15" t="s">
        <v>8</v>
      </c>
      <c r="F7412" s="15" t="s">
        <v>8</v>
      </c>
      <c r="G7412" s="15" t="s">
        <v>8</v>
      </c>
      <c r="J7412" s="15" t="s">
        <v>8</v>
      </c>
      <c r="K7412" s="15" t="s">
        <v>8</v>
      </c>
      <c r="L7412" s="15" t="s">
        <v>8</v>
      </c>
      <c r="M7412" s="21" t="str">
        <f>HYPERLINK("http://yeinfo.com/family/I09001501.html", "WILLIAM MANNING Jr. 1614 EN-1690 MA ID:09003002")</f>
        <v>WILLIAM MANNING Jr. 1614 EN-1690 MA ID:09003002</v>
      </c>
      <c r="N7412" s="6"/>
      <c r="O7412" s="6"/>
      <c r="P7412" s="6"/>
      <c r="Q7412" s="6"/>
    </row>
    <row r="7413" spans="3:19" x14ac:dyDescent="0.35">
      <c r="C7413" s="15" t="s">
        <v>8</v>
      </c>
      <c r="F7413" s="15" t="s">
        <v>8</v>
      </c>
      <c r="G7413" s="15" t="s">
        <v>8</v>
      </c>
      <c r="J7413" s="15" t="s">
        <v>8</v>
      </c>
      <c r="K7413" s="15" t="s">
        <v>8</v>
      </c>
      <c r="L7413" s="15" t="s">
        <v>8</v>
      </c>
      <c r="M7413" s="8" t="s">
        <v>3</v>
      </c>
      <c r="N7413" s="8" t="s">
        <v>6</v>
      </c>
    </row>
    <row r="7414" spans="3:19" x14ac:dyDescent="0.35">
      <c r="C7414" s="15" t="s">
        <v>8</v>
      </c>
      <c r="F7414" s="15" t="s">
        <v>8</v>
      </c>
      <c r="G7414" s="15" t="s">
        <v>8</v>
      </c>
      <c r="J7414" s="15" t="s">
        <v>8</v>
      </c>
      <c r="K7414" s="15" t="s">
        <v>8</v>
      </c>
      <c r="L7414" s="15" t="s">
        <v>8</v>
      </c>
      <c r="M7414" s="15" t="s">
        <v>8</v>
      </c>
      <c r="N7414" s="22" t="str">
        <f>HYPERLINK("http://yeinfo.com/family/I09012009.html", "HANNAH DOE 1592 EN-1650 MA ID:09006005")</f>
        <v>HANNAH DOE 1592 EN-1650 MA ID:09006005</v>
      </c>
      <c r="O7414" s="13"/>
      <c r="P7414" s="13"/>
      <c r="Q7414" s="13"/>
      <c r="R7414" s="13"/>
    </row>
    <row r="7415" spans="3:19" x14ac:dyDescent="0.35">
      <c r="C7415" s="15" t="s">
        <v>8</v>
      </c>
      <c r="F7415" s="15" t="s">
        <v>8</v>
      </c>
      <c r="G7415" s="15" t="s">
        <v>8</v>
      </c>
      <c r="J7415" s="15" t="s">
        <v>8</v>
      </c>
      <c r="K7415" s="15" t="s">
        <v>8</v>
      </c>
      <c r="L7415" s="8" t="s">
        <v>6</v>
      </c>
      <c r="M7415" s="15" t="s">
        <v>8</v>
      </c>
    </row>
    <row r="7416" spans="3:19" x14ac:dyDescent="0.35">
      <c r="C7416" s="15" t="s">
        <v>8</v>
      </c>
      <c r="F7416" s="15" t="s">
        <v>8</v>
      </c>
      <c r="G7416" s="15" t="s">
        <v>8</v>
      </c>
      <c r="J7416" s="15" t="s">
        <v>8</v>
      </c>
      <c r="K7416" s="15" t="s">
        <v>8</v>
      </c>
      <c r="L7416" s="16" t="str">
        <f>HYPERLINK("http://yeinfo.com/family/I09006003.html", "SARAH MANNING 1645 -1691  ID:09001501")</f>
        <v>SARAH MANNING 1645 -1691  ID:09001501</v>
      </c>
      <c r="M7416" s="11"/>
      <c r="N7416" s="11"/>
      <c r="O7416" s="11"/>
      <c r="P7416" s="11"/>
    </row>
    <row r="7417" spans="3:19" x14ac:dyDescent="0.35">
      <c r="C7417" s="15" t="s">
        <v>8</v>
      </c>
      <c r="F7417" s="15" t="s">
        <v>8</v>
      </c>
      <c r="G7417" s="15" t="s">
        <v>8</v>
      </c>
      <c r="J7417" s="15" t="s">
        <v>8</v>
      </c>
      <c r="K7417" s="15" t="s">
        <v>8</v>
      </c>
      <c r="M7417" s="15" t="s">
        <v>8</v>
      </c>
    </row>
    <row r="7418" spans="3:19" x14ac:dyDescent="0.35">
      <c r="C7418" s="15" t="s">
        <v>8</v>
      </c>
      <c r="F7418" s="15" t="s">
        <v>8</v>
      </c>
      <c r="G7418" s="15" t="s">
        <v>8</v>
      </c>
      <c r="J7418" s="15" t="s">
        <v>8</v>
      </c>
      <c r="K7418" s="15" t="s">
        <v>8</v>
      </c>
      <c r="M7418" s="15" t="s">
        <v>8</v>
      </c>
      <c r="N7418" s="19" t="str">
        <f>HYPERLINK("http://yeinfo.com/family/I09003003.html", "JOHN ADAMS 1592 EN-1612 EN ID:09006006")</f>
        <v>JOHN ADAMS 1592 EN-1612 EN ID:09006006</v>
      </c>
      <c r="O7418" s="9"/>
      <c r="P7418" s="9"/>
      <c r="Q7418" s="9"/>
      <c r="R7418" s="9"/>
    </row>
    <row r="7419" spans="3:19" x14ac:dyDescent="0.35">
      <c r="C7419" s="15" t="s">
        <v>8</v>
      </c>
      <c r="F7419" s="15" t="s">
        <v>8</v>
      </c>
      <c r="G7419" s="15" t="s">
        <v>8</v>
      </c>
      <c r="J7419" s="15" t="s">
        <v>8</v>
      </c>
      <c r="K7419" s="15" t="s">
        <v>8</v>
      </c>
      <c r="M7419" s="8" t="s">
        <v>6</v>
      </c>
      <c r="N7419" s="8" t="s">
        <v>3</v>
      </c>
    </row>
    <row r="7420" spans="3:19" x14ac:dyDescent="0.35">
      <c r="C7420" s="15" t="s">
        <v>8</v>
      </c>
      <c r="F7420" s="15" t="s">
        <v>8</v>
      </c>
      <c r="G7420" s="15" t="s">
        <v>8</v>
      </c>
      <c r="J7420" s="15" t="s">
        <v>8</v>
      </c>
      <c r="K7420" s="15" t="s">
        <v>8</v>
      </c>
      <c r="M7420" s="22" t="str">
        <f>HYPERLINK("http://yeinfo.com/family/I09006005.html", "DOROTHY ADAMS 1612 EN-1692 MA ID:09003003")</f>
        <v>DOROTHY ADAMS 1612 EN-1692 MA ID:09003003</v>
      </c>
      <c r="N7420" s="13"/>
      <c r="O7420" s="13"/>
      <c r="P7420" s="13"/>
      <c r="Q7420" s="13"/>
    </row>
    <row r="7421" spans="3:19" x14ac:dyDescent="0.35">
      <c r="C7421" s="15" t="s">
        <v>8</v>
      </c>
      <c r="F7421" s="15" t="s">
        <v>8</v>
      </c>
      <c r="G7421" s="15" t="s">
        <v>8</v>
      </c>
      <c r="J7421" s="15" t="s">
        <v>8</v>
      </c>
      <c r="K7421" s="15" t="s">
        <v>8</v>
      </c>
      <c r="N7421" s="8" t="s">
        <v>6</v>
      </c>
    </row>
    <row r="7422" spans="3:19" x14ac:dyDescent="0.35">
      <c r="C7422" s="15" t="s">
        <v>8</v>
      </c>
      <c r="F7422" s="15" t="s">
        <v>8</v>
      </c>
      <c r="G7422" s="15" t="s">
        <v>8</v>
      </c>
      <c r="J7422" s="15" t="s">
        <v>8</v>
      </c>
      <c r="K7422" s="15" t="s">
        <v>8</v>
      </c>
      <c r="N7422" s="20" t="str">
        <f>HYPERLINK("http://yeinfo.com/family/I09006006.html", "ANN WRIGHT 1592 EN-1612 EN ID:09006007")</f>
        <v>ANN WRIGHT 1592 EN-1612 EN ID:09006007</v>
      </c>
      <c r="O7422" s="17"/>
      <c r="P7422" s="17"/>
      <c r="Q7422" s="17"/>
      <c r="R7422" s="17"/>
    </row>
    <row r="7423" spans="3:19" x14ac:dyDescent="0.35">
      <c r="C7423" s="15" t="s">
        <v>8</v>
      </c>
      <c r="F7423" s="15" t="s">
        <v>8</v>
      </c>
      <c r="G7423" s="15" t="s">
        <v>8</v>
      </c>
      <c r="J7423" s="8" t="s">
        <v>6</v>
      </c>
      <c r="K7423" s="15" t="s">
        <v>8</v>
      </c>
    </row>
    <row r="7424" spans="3:19" x14ac:dyDescent="0.35">
      <c r="C7424" s="15" t="s">
        <v>8</v>
      </c>
      <c r="F7424" s="15" t="s">
        <v>8</v>
      </c>
      <c r="G7424" s="15" t="s">
        <v>8</v>
      </c>
      <c r="J7424" s="16" t="str">
        <f>HYPERLINK("http://yeinfo.com/family/I09001499.html", "ELIZABETH CHADWICK 1723 -1802  ID:09000375")</f>
        <v>ELIZABETH CHADWICK 1723 -1802  ID:09000375</v>
      </c>
      <c r="K7424" s="11"/>
      <c r="L7424" s="11"/>
      <c r="M7424" s="11"/>
      <c r="N7424" s="11"/>
    </row>
    <row r="7425" spans="3:23" x14ac:dyDescent="0.35">
      <c r="C7425" s="15" t="s">
        <v>8</v>
      </c>
      <c r="F7425" s="15" t="s">
        <v>8</v>
      </c>
      <c r="G7425" s="15" t="s">
        <v>8</v>
      </c>
      <c r="K7425" s="15" t="s">
        <v>8</v>
      </c>
    </row>
    <row r="7426" spans="3:23" x14ac:dyDescent="0.35">
      <c r="C7426" s="15" t="s">
        <v>8</v>
      </c>
      <c r="F7426" s="15" t="s">
        <v>8</v>
      </c>
      <c r="G7426" s="15" t="s">
        <v>8</v>
      </c>
      <c r="K7426" s="15" t="s">
        <v>8</v>
      </c>
      <c r="S7426" s="19" t="str">
        <f>HYPERLINK("http://yeinfo.com/family/I09065615.html", "ADAM GRANT &lt;2&gt; 1401 WL-1439 EN ID:09065746")</f>
        <v>ADAM GRANT &lt;2&gt; 1401 WL-1439 EN ID:09065746</v>
      </c>
      <c r="T7426" s="9"/>
      <c r="U7426" s="9"/>
      <c r="V7426" s="9"/>
      <c r="W7426" s="9"/>
    </row>
    <row r="7427" spans="3:23" x14ac:dyDescent="0.35">
      <c r="C7427" s="15" t="s">
        <v>8</v>
      </c>
      <c r="F7427" s="15" t="s">
        <v>8</v>
      </c>
      <c r="G7427" s="15" t="s">
        <v>8</v>
      </c>
      <c r="K7427" s="15" t="s">
        <v>8</v>
      </c>
      <c r="S7427" s="8" t="s">
        <v>3</v>
      </c>
    </row>
    <row r="7428" spans="3:23" x14ac:dyDescent="0.35">
      <c r="C7428" s="15" t="s">
        <v>8</v>
      </c>
      <c r="F7428" s="15" t="s">
        <v>8</v>
      </c>
      <c r="G7428" s="15" t="s">
        <v>8</v>
      </c>
      <c r="K7428" s="15" t="s">
        <v>8</v>
      </c>
      <c r="R7428" s="19" t="str">
        <f>HYPERLINK("http://yeinfo.com/family/I09048064.html", "WILLIAM GRANT &lt;2&gt; 1439 EN-1479 EN ID:09065615")</f>
        <v>WILLIAM GRANT &lt;2&gt; 1439 EN-1479 EN ID:09065615</v>
      </c>
      <c r="S7428" s="9"/>
      <c r="T7428" s="9"/>
      <c r="U7428" s="9"/>
      <c r="V7428" s="9"/>
    </row>
    <row r="7429" spans="3:23" x14ac:dyDescent="0.35">
      <c r="C7429" s="15" t="s">
        <v>8</v>
      </c>
      <c r="F7429" s="15" t="s">
        <v>8</v>
      </c>
      <c r="G7429" s="15" t="s">
        <v>8</v>
      </c>
      <c r="K7429" s="15" t="s">
        <v>8</v>
      </c>
      <c r="R7429" s="8" t="s">
        <v>3</v>
      </c>
      <c r="S7429" s="8" t="s">
        <v>6</v>
      </c>
    </row>
    <row r="7430" spans="3:23" x14ac:dyDescent="0.35">
      <c r="C7430" s="15" t="s">
        <v>8</v>
      </c>
      <c r="F7430" s="15" t="s">
        <v>8</v>
      </c>
      <c r="G7430" s="15" t="s">
        <v>8</v>
      </c>
      <c r="K7430" s="15" t="s">
        <v>8</v>
      </c>
      <c r="R7430" s="15" t="s">
        <v>8</v>
      </c>
      <c r="S7430" s="20" t="str">
        <f>HYPERLINK("http://yeinfo.com/family/I09065746.html", "MAUD CHENOW &lt;2&gt; 1425 EN-1445 EN ID:09065747")</f>
        <v>MAUD CHENOW &lt;2&gt; 1425 EN-1445 EN ID:09065747</v>
      </c>
      <c r="T7430" s="17"/>
      <c r="U7430" s="17"/>
      <c r="V7430" s="17"/>
      <c r="W7430" s="17"/>
    </row>
    <row r="7431" spans="3:23" x14ac:dyDescent="0.35">
      <c r="C7431" s="15" t="s">
        <v>8</v>
      </c>
      <c r="F7431" s="15" t="s">
        <v>8</v>
      </c>
      <c r="G7431" s="15" t="s">
        <v>8</v>
      </c>
      <c r="K7431" s="15" t="s">
        <v>8</v>
      </c>
      <c r="R7431" s="15" t="s">
        <v>8</v>
      </c>
    </row>
    <row r="7432" spans="3:23" x14ac:dyDescent="0.35">
      <c r="C7432" s="15" t="s">
        <v>8</v>
      </c>
      <c r="F7432" s="15" t="s">
        <v>8</v>
      </c>
      <c r="G7432" s="15" t="s">
        <v>8</v>
      </c>
      <c r="K7432" s="15" t="s">
        <v>8</v>
      </c>
      <c r="Q7432" s="19" t="str">
        <f>HYPERLINK("http://yeinfo.com/family/I09024032.html", "WILLIAM GRANT &lt;2&gt; 1479 -1550  ID:09048064")</f>
        <v>WILLIAM GRANT &lt;2&gt; 1479 -1550  ID:09048064</v>
      </c>
      <c r="R7432" s="9"/>
      <c r="S7432" s="9"/>
      <c r="T7432" s="9"/>
      <c r="U7432" s="9"/>
    </row>
    <row r="7433" spans="3:23" x14ac:dyDescent="0.35">
      <c r="C7433" s="15" t="s">
        <v>8</v>
      </c>
      <c r="F7433" s="15" t="s">
        <v>8</v>
      </c>
      <c r="G7433" s="15" t="s">
        <v>8</v>
      </c>
      <c r="K7433" s="15" t="s">
        <v>8</v>
      </c>
      <c r="Q7433" s="8" t="s">
        <v>3</v>
      </c>
      <c r="R7433" s="8" t="s">
        <v>6</v>
      </c>
    </row>
    <row r="7434" spans="3:23" x14ac:dyDescent="0.35">
      <c r="C7434" s="15" t="s">
        <v>8</v>
      </c>
      <c r="F7434" s="15" t="s">
        <v>8</v>
      </c>
      <c r="G7434" s="15" t="s">
        <v>8</v>
      </c>
      <c r="K7434" s="15" t="s">
        <v>8</v>
      </c>
      <c r="Q7434" s="15" t="s">
        <v>8</v>
      </c>
      <c r="R7434" s="20" t="str">
        <f>HYPERLINK("http://yeinfo.com/family/I09065747.html", "JANE GRANTLAND &lt;2&gt; 1422 EN-1509 EN ID:09065616")</f>
        <v>JANE GRANTLAND &lt;2&gt; 1422 EN-1509 EN ID:09065616</v>
      </c>
      <c r="S7434" s="17"/>
      <c r="T7434" s="17"/>
      <c r="U7434" s="17"/>
      <c r="V7434" s="17"/>
    </row>
    <row r="7435" spans="3:23" x14ac:dyDescent="0.35">
      <c r="C7435" s="15" t="s">
        <v>8</v>
      </c>
      <c r="F7435" s="15" t="s">
        <v>8</v>
      </c>
      <c r="G7435" s="15" t="s">
        <v>8</v>
      </c>
      <c r="K7435" s="15" t="s">
        <v>8</v>
      </c>
      <c r="Q7435" s="15" t="s">
        <v>8</v>
      </c>
    </row>
    <row r="7436" spans="3:23" x14ac:dyDescent="0.35">
      <c r="C7436" s="15" t="s">
        <v>8</v>
      </c>
      <c r="F7436" s="15" t="s">
        <v>8</v>
      </c>
      <c r="G7436" s="15" t="s">
        <v>8</v>
      </c>
      <c r="K7436" s="15" t="s">
        <v>8</v>
      </c>
      <c r="P7436" s="19" t="str">
        <f>HYPERLINK("http://yeinfo.com/family/I09012016.html", "JOHN GRANT &lt;2&gt; 1505 EN-1593 EN ID:09024032")</f>
        <v>JOHN GRANT &lt;2&gt; 1505 EN-1593 EN ID:09024032</v>
      </c>
      <c r="Q7436" s="9"/>
      <c r="R7436" s="9"/>
      <c r="S7436" s="9"/>
      <c r="T7436" s="9"/>
    </row>
    <row r="7437" spans="3:23" x14ac:dyDescent="0.35">
      <c r="C7437" s="15" t="s">
        <v>8</v>
      </c>
      <c r="F7437" s="15" t="s">
        <v>8</v>
      </c>
      <c r="G7437" s="15" t="s">
        <v>8</v>
      </c>
      <c r="K7437" s="15" t="s">
        <v>8</v>
      </c>
      <c r="P7437" s="8" t="s">
        <v>3</v>
      </c>
      <c r="Q7437" s="15" t="s">
        <v>8</v>
      </c>
    </row>
    <row r="7438" spans="3:23" x14ac:dyDescent="0.35">
      <c r="C7438" s="15" t="s">
        <v>8</v>
      </c>
      <c r="F7438" s="15" t="s">
        <v>8</v>
      </c>
      <c r="G7438" s="15" t="s">
        <v>8</v>
      </c>
      <c r="K7438" s="15" t="s">
        <v>8</v>
      </c>
      <c r="P7438" s="15" t="s">
        <v>8</v>
      </c>
      <c r="Q7438" s="15" t="s">
        <v>8</v>
      </c>
      <c r="S7438" s="19" t="str">
        <f>HYPERLINK("http://yeinfo.com/family/I09065617.html", "WILLIAM BURTON &lt;2&gt; 1432 EN-1500  ID:09065766")</f>
        <v>WILLIAM BURTON &lt;2&gt; 1432 EN-1500  ID:09065766</v>
      </c>
      <c r="T7438" s="9"/>
      <c r="U7438" s="9"/>
      <c r="V7438" s="9"/>
      <c r="W7438" s="9"/>
    </row>
    <row r="7439" spans="3:23" x14ac:dyDescent="0.35">
      <c r="C7439" s="15" t="s">
        <v>8</v>
      </c>
      <c r="F7439" s="15" t="s">
        <v>8</v>
      </c>
      <c r="G7439" s="15" t="s">
        <v>8</v>
      </c>
      <c r="K7439" s="15" t="s">
        <v>8</v>
      </c>
      <c r="P7439" s="15" t="s">
        <v>8</v>
      </c>
      <c r="Q7439" s="15" t="s">
        <v>8</v>
      </c>
      <c r="S7439" s="8" t="s">
        <v>3</v>
      </c>
    </row>
    <row r="7440" spans="3:23" x14ac:dyDescent="0.35">
      <c r="C7440" s="15" t="s">
        <v>8</v>
      </c>
      <c r="F7440" s="15" t="s">
        <v>8</v>
      </c>
      <c r="G7440" s="15" t="s">
        <v>8</v>
      </c>
      <c r="K7440" s="15" t="s">
        <v>8</v>
      </c>
      <c r="P7440" s="15" t="s">
        <v>8</v>
      </c>
      <c r="Q7440" s="15" t="s">
        <v>8</v>
      </c>
      <c r="R7440" s="19" t="str">
        <f>HYPERLINK("http://yeinfo.com/family/I09048065.html", "WILLIAM BURTON &lt;2&gt; 1456 EN-1483 EN ID:09065617")</f>
        <v>WILLIAM BURTON &lt;2&gt; 1456 EN-1483 EN ID:09065617</v>
      </c>
      <c r="S7440" s="9"/>
      <c r="T7440" s="9"/>
      <c r="U7440" s="9"/>
      <c r="V7440" s="9"/>
    </row>
    <row r="7441" spans="3:23" x14ac:dyDescent="0.35">
      <c r="C7441" s="15" t="s">
        <v>8</v>
      </c>
      <c r="F7441" s="15" t="s">
        <v>8</v>
      </c>
      <c r="G7441" s="15" t="s">
        <v>8</v>
      </c>
      <c r="K7441" s="15" t="s">
        <v>8</v>
      </c>
      <c r="P7441" s="15" t="s">
        <v>8</v>
      </c>
      <c r="Q7441" s="15" t="s">
        <v>8</v>
      </c>
      <c r="R7441" s="8" t="s">
        <v>3</v>
      </c>
      <c r="S7441" s="8" t="s">
        <v>6</v>
      </c>
    </row>
    <row r="7442" spans="3:23" x14ac:dyDescent="0.35">
      <c r="C7442" s="15" t="s">
        <v>8</v>
      </c>
      <c r="F7442" s="15" t="s">
        <v>8</v>
      </c>
      <c r="G7442" s="15" t="s">
        <v>8</v>
      </c>
      <c r="K7442" s="15" t="s">
        <v>8</v>
      </c>
      <c r="P7442" s="15" t="s">
        <v>8</v>
      </c>
      <c r="Q7442" s="15" t="s">
        <v>8</v>
      </c>
      <c r="R7442" s="15" t="s">
        <v>8</v>
      </c>
      <c r="S7442" s="20" t="str">
        <f>HYPERLINK("http://yeinfo.com/family/I09065766.html", "Mrs. {_?_} BURTON &lt;2&gt; 1435 EN-1456  ID:09065681")</f>
        <v>Mrs. {_?_} BURTON &lt;2&gt; 1435 EN-1456  ID:09065681</v>
      </c>
      <c r="T7442" s="17"/>
      <c r="U7442" s="17"/>
      <c r="V7442" s="17"/>
      <c r="W7442" s="17"/>
    </row>
    <row r="7443" spans="3:23" x14ac:dyDescent="0.35">
      <c r="C7443" s="15" t="s">
        <v>8</v>
      </c>
      <c r="F7443" s="15" t="s">
        <v>8</v>
      </c>
      <c r="G7443" s="15" t="s">
        <v>8</v>
      </c>
      <c r="K7443" s="15" t="s">
        <v>8</v>
      </c>
      <c r="P7443" s="15" t="s">
        <v>8</v>
      </c>
      <c r="Q7443" s="8" t="s">
        <v>6</v>
      </c>
      <c r="R7443" s="15" t="s">
        <v>8</v>
      </c>
    </row>
    <row r="7444" spans="3:23" x14ac:dyDescent="0.35">
      <c r="C7444" s="15" t="s">
        <v>8</v>
      </c>
      <c r="F7444" s="15" t="s">
        <v>8</v>
      </c>
      <c r="G7444" s="15" t="s">
        <v>8</v>
      </c>
      <c r="K7444" s="15" t="s">
        <v>8</v>
      </c>
      <c r="P7444" s="15" t="s">
        <v>8</v>
      </c>
      <c r="Q7444" s="20" t="str">
        <f>HYPERLINK("http://yeinfo.com/family/I09065616.html", "JANE BURTON &lt;2&gt; 1483 -1507  ID:09048065")</f>
        <v>JANE BURTON &lt;2&gt; 1483 -1507  ID:09048065</v>
      </c>
      <c r="R7444" s="17"/>
      <c r="S7444" s="17"/>
      <c r="T7444" s="17"/>
      <c r="U7444" s="17"/>
    </row>
    <row r="7445" spans="3:23" x14ac:dyDescent="0.35">
      <c r="C7445" s="15" t="s">
        <v>8</v>
      </c>
      <c r="F7445" s="15" t="s">
        <v>8</v>
      </c>
      <c r="G7445" s="15" t="s">
        <v>8</v>
      </c>
      <c r="K7445" s="15" t="s">
        <v>8</v>
      </c>
      <c r="P7445" s="15" t="s">
        <v>8</v>
      </c>
      <c r="R7445" s="8" t="s">
        <v>6</v>
      </c>
    </row>
    <row r="7446" spans="3:23" x14ac:dyDescent="0.35">
      <c r="C7446" s="15" t="s">
        <v>8</v>
      </c>
      <c r="F7446" s="15" t="s">
        <v>8</v>
      </c>
      <c r="G7446" s="15" t="s">
        <v>8</v>
      </c>
      <c r="K7446" s="15" t="s">
        <v>8</v>
      </c>
      <c r="P7446" s="15" t="s">
        <v>8</v>
      </c>
      <c r="R7446" s="20" t="str">
        <f>HYPERLINK("http://yeinfo.com/family/I09065681.html", "Mrs. {_?_} BURTON &lt;2&gt; 1479 -1510  ID:09065618")</f>
        <v>Mrs. {_?_} BURTON &lt;2&gt; 1479 -1510  ID:09065618</v>
      </c>
      <c r="S7446" s="17"/>
      <c r="T7446" s="17"/>
      <c r="U7446" s="17"/>
      <c r="V7446" s="17"/>
    </row>
    <row r="7447" spans="3:23" x14ac:dyDescent="0.35">
      <c r="C7447" s="15" t="s">
        <v>8</v>
      </c>
      <c r="F7447" s="15" t="s">
        <v>8</v>
      </c>
      <c r="G7447" s="15" t="s">
        <v>8</v>
      </c>
      <c r="K7447" s="15" t="s">
        <v>8</v>
      </c>
      <c r="P7447" s="15" t="s">
        <v>8</v>
      </c>
    </row>
    <row r="7448" spans="3:23" x14ac:dyDescent="0.35">
      <c r="C7448" s="15" t="s">
        <v>8</v>
      </c>
      <c r="F7448" s="15" t="s">
        <v>8</v>
      </c>
      <c r="G7448" s="15" t="s">
        <v>8</v>
      </c>
      <c r="K7448" s="15" t="s">
        <v>8</v>
      </c>
      <c r="O7448" s="19" t="str">
        <f>HYPERLINK("http://yeinfo.com/family/I09006008.html", "GEORGE GRANT &lt;2&gt; 1542 EN-1596 EN ID:09012016")</f>
        <v>GEORGE GRANT &lt;2&gt; 1542 EN-1596 EN ID:09012016</v>
      </c>
      <c r="P7448" s="9"/>
      <c r="Q7448" s="9"/>
      <c r="R7448" s="9"/>
      <c r="S7448" s="9"/>
    </row>
    <row r="7449" spans="3:23" x14ac:dyDescent="0.35">
      <c r="C7449" s="15" t="s">
        <v>8</v>
      </c>
      <c r="F7449" s="15" t="s">
        <v>8</v>
      </c>
      <c r="G7449" s="15" t="s">
        <v>8</v>
      </c>
      <c r="K7449" s="15" t="s">
        <v>8</v>
      </c>
      <c r="O7449" s="8" t="s">
        <v>3</v>
      </c>
      <c r="P7449" s="15" t="s">
        <v>8</v>
      </c>
    </row>
    <row r="7450" spans="3:23" x14ac:dyDescent="0.35">
      <c r="C7450" s="15" t="s">
        <v>8</v>
      </c>
      <c r="F7450" s="15" t="s">
        <v>8</v>
      </c>
      <c r="G7450" s="15" t="s">
        <v>8</v>
      </c>
      <c r="K7450" s="15" t="s">
        <v>8</v>
      </c>
      <c r="O7450" s="15" t="s">
        <v>8</v>
      </c>
      <c r="P7450" s="15" t="s">
        <v>8</v>
      </c>
      <c r="R7450" s="19" t="str">
        <f>HYPERLINK("http://yeinfo.com/family/I09048066.html", "NICHOLAS BELFORD &lt;2&gt; 1420 EN-1450 EN ID:09065619")</f>
        <v>NICHOLAS BELFORD &lt;2&gt; 1420 EN-1450 EN ID:09065619</v>
      </c>
      <c r="S7450" s="9"/>
      <c r="T7450" s="9"/>
      <c r="U7450" s="9"/>
      <c r="V7450" s="9"/>
    </row>
    <row r="7451" spans="3:23" x14ac:dyDescent="0.35">
      <c r="C7451" s="15" t="s">
        <v>8</v>
      </c>
      <c r="F7451" s="15" t="s">
        <v>8</v>
      </c>
      <c r="G7451" s="15" t="s">
        <v>8</v>
      </c>
      <c r="K7451" s="15" t="s">
        <v>8</v>
      </c>
      <c r="O7451" s="15" t="s">
        <v>8</v>
      </c>
      <c r="P7451" s="15" t="s">
        <v>8</v>
      </c>
      <c r="R7451" s="8" t="s">
        <v>3</v>
      </c>
    </row>
    <row r="7452" spans="3:23" x14ac:dyDescent="0.35">
      <c r="C7452" s="15" t="s">
        <v>8</v>
      </c>
      <c r="F7452" s="15" t="s">
        <v>8</v>
      </c>
      <c r="G7452" s="15" t="s">
        <v>8</v>
      </c>
      <c r="K7452" s="15" t="s">
        <v>8</v>
      </c>
      <c r="O7452" s="15" t="s">
        <v>8</v>
      </c>
      <c r="P7452" s="15" t="s">
        <v>8</v>
      </c>
      <c r="Q7452" s="19" t="str">
        <f>HYPERLINK("http://yeinfo.com/family/I09024033.html", "EDWARD BELFORD &lt;2&gt; 1450 EN-1509 EN ID:09048066")</f>
        <v>EDWARD BELFORD &lt;2&gt; 1450 EN-1509 EN ID:09048066</v>
      </c>
      <c r="R7452" s="9"/>
      <c r="S7452" s="9"/>
      <c r="T7452" s="9"/>
      <c r="U7452" s="9"/>
    </row>
    <row r="7453" spans="3:23" x14ac:dyDescent="0.35">
      <c r="C7453" s="15" t="s">
        <v>8</v>
      </c>
      <c r="F7453" s="15" t="s">
        <v>8</v>
      </c>
      <c r="G7453" s="15" t="s">
        <v>8</v>
      </c>
      <c r="K7453" s="15" t="s">
        <v>8</v>
      </c>
      <c r="O7453" s="15" t="s">
        <v>8</v>
      </c>
      <c r="P7453" s="15" t="s">
        <v>8</v>
      </c>
      <c r="Q7453" s="8" t="s">
        <v>3</v>
      </c>
      <c r="R7453" s="8" t="s">
        <v>6</v>
      </c>
    </row>
    <row r="7454" spans="3:23" x14ac:dyDescent="0.35">
      <c r="C7454" s="15" t="s">
        <v>8</v>
      </c>
      <c r="F7454" s="15" t="s">
        <v>8</v>
      </c>
      <c r="G7454" s="15" t="s">
        <v>8</v>
      </c>
      <c r="K7454" s="15" t="s">
        <v>8</v>
      </c>
      <c r="O7454" s="15" t="s">
        <v>8</v>
      </c>
      <c r="P7454" s="15" t="s">
        <v>8</v>
      </c>
      <c r="Q7454" s="15" t="s">
        <v>8</v>
      </c>
      <c r="R7454" s="20" t="str">
        <f>HYPERLINK("http://yeinfo.com/family/I09065619.html", "MARJORY CHOKE &lt;2&gt; 1420 EN-1450 EN ID:09065620")</f>
        <v>MARJORY CHOKE &lt;2&gt; 1420 EN-1450 EN ID:09065620</v>
      </c>
      <c r="S7454" s="17"/>
      <c r="T7454" s="17"/>
      <c r="U7454" s="17"/>
      <c r="V7454" s="17"/>
    </row>
    <row r="7455" spans="3:23" x14ac:dyDescent="0.35">
      <c r="C7455" s="15" t="s">
        <v>8</v>
      </c>
      <c r="F7455" s="15" t="s">
        <v>8</v>
      </c>
      <c r="G7455" s="15" t="s">
        <v>8</v>
      </c>
      <c r="K7455" s="15" t="s">
        <v>8</v>
      </c>
      <c r="O7455" s="15" t="s">
        <v>8</v>
      </c>
      <c r="P7455" s="8" t="s">
        <v>6</v>
      </c>
      <c r="Q7455" s="15" t="s">
        <v>8</v>
      </c>
    </row>
    <row r="7456" spans="3:23" x14ac:dyDescent="0.35">
      <c r="C7456" s="15" t="s">
        <v>8</v>
      </c>
      <c r="F7456" s="15" t="s">
        <v>8</v>
      </c>
      <c r="G7456" s="15" t="s">
        <v>8</v>
      </c>
      <c r="K7456" s="15" t="s">
        <v>8</v>
      </c>
      <c r="O7456" s="15" t="s">
        <v>8</v>
      </c>
      <c r="P7456" s="20" t="str">
        <f>HYPERLINK("http://yeinfo.com/family/I09065618.html", "JANE BELFORD &lt;2&gt; 1509 EN-1593 EN ID:09024033")</f>
        <v>JANE BELFORD &lt;2&gt; 1509 EN-1593 EN ID:09024033</v>
      </c>
      <c r="Q7456" s="17"/>
      <c r="R7456" s="17"/>
      <c r="S7456" s="17"/>
      <c r="T7456" s="17"/>
    </row>
    <row r="7457" spans="3:21" x14ac:dyDescent="0.35">
      <c r="C7457" s="15" t="s">
        <v>8</v>
      </c>
      <c r="F7457" s="15" t="s">
        <v>8</v>
      </c>
      <c r="G7457" s="15" t="s">
        <v>8</v>
      </c>
      <c r="K7457" s="15" t="s">
        <v>8</v>
      </c>
      <c r="O7457" s="15" t="s">
        <v>8</v>
      </c>
      <c r="Q7457" s="8" t="s">
        <v>6</v>
      </c>
    </row>
    <row r="7458" spans="3:21" x14ac:dyDescent="0.35">
      <c r="C7458" s="15" t="s">
        <v>8</v>
      </c>
      <c r="F7458" s="15" t="s">
        <v>8</v>
      </c>
      <c r="G7458" s="15" t="s">
        <v>8</v>
      </c>
      <c r="K7458" s="15" t="s">
        <v>8</v>
      </c>
      <c r="O7458" s="15" t="s">
        <v>8</v>
      </c>
      <c r="Q7458" s="20" t="str">
        <f>HYPERLINK("http://yeinfo.com/family/I09065620.html", "SARAH CECILY BRANTINGHAM &lt;2&gt; 1470 EN-1509 EN ID:09048067")</f>
        <v>SARAH CECILY BRANTINGHAM &lt;2&gt; 1470 EN-1509 EN ID:09048067</v>
      </c>
      <c r="R7458" s="17"/>
      <c r="S7458" s="17"/>
      <c r="T7458" s="17"/>
      <c r="U7458" s="17"/>
    </row>
    <row r="7459" spans="3:21" x14ac:dyDescent="0.35">
      <c r="C7459" s="15" t="s">
        <v>8</v>
      </c>
      <c r="F7459" s="15" t="s">
        <v>8</v>
      </c>
      <c r="G7459" s="15" t="s">
        <v>8</v>
      </c>
      <c r="K7459" s="15" t="s">
        <v>8</v>
      </c>
      <c r="O7459" s="15" t="s">
        <v>8</v>
      </c>
    </row>
    <row r="7460" spans="3:21" x14ac:dyDescent="0.35">
      <c r="C7460" s="15" t="s">
        <v>8</v>
      </c>
      <c r="F7460" s="15" t="s">
        <v>8</v>
      </c>
      <c r="G7460" s="15" t="s">
        <v>8</v>
      </c>
      <c r="K7460" s="15" t="s">
        <v>8</v>
      </c>
      <c r="N7460" s="5" t="str">
        <f>HYPERLINK("http://yeinfo.com/family/I09003004.html", "JOHN GRANT &lt;2&gt; 1573 EN-1640  ID:09006008")</f>
        <v>JOHN GRANT &lt;2&gt; 1573 EN-1640  ID:09006008</v>
      </c>
      <c r="O7460" s="3"/>
      <c r="P7460" s="3"/>
      <c r="Q7460" s="3"/>
      <c r="R7460" s="3"/>
    </row>
    <row r="7461" spans="3:21" x14ac:dyDescent="0.35">
      <c r="C7461" s="15" t="s">
        <v>8</v>
      </c>
      <c r="F7461" s="15" t="s">
        <v>8</v>
      </c>
      <c r="G7461" s="15" t="s">
        <v>8</v>
      </c>
      <c r="K7461" s="15" t="s">
        <v>8</v>
      </c>
      <c r="N7461" s="8" t="s">
        <v>3</v>
      </c>
      <c r="O7461" s="15" t="s">
        <v>8</v>
      </c>
    </row>
    <row r="7462" spans="3:21" x14ac:dyDescent="0.35">
      <c r="C7462" s="15" t="s">
        <v>8</v>
      </c>
      <c r="F7462" s="15" t="s">
        <v>8</v>
      </c>
      <c r="G7462" s="15" t="s">
        <v>8</v>
      </c>
      <c r="K7462" s="15" t="s">
        <v>8</v>
      </c>
      <c r="N7462" s="15" t="s">
        <v>8</v>
      </c>
      <c r="O7462" s="15" t="s">
        <v>8</v>
      </c>
      <c r="P7462" s="19" t="str">
        <f>HYPERLINK("http://yeinfo.com/family/I09012017.html", "MARMANDUKE\MARMADUKE CLARGENNET &lt;2&gt; 1503 EN-1538  ID:09024034")</f>
        <v>MARMANDUKE\MARMADUKE CLARGENNET &lt;2&gt; 1503 EN-1538  ID:09024034</v>
      </c>
      <c r="Q7462" s="9"/>
      <c r="R7462" s="9"/>
      <c r="S7462" s="9"/>
      <c r="T7462" s="9"/>
      <c r="U7462" s="9"/>
    </row>
    <row r="7463" spans="3:21" x14ac:dyDescent="0.35">
      <c r="C7463" s="15" t="s">
        <v>8</v>
      </c>
      <c r="F7463" s="15" t="s">
        <v>8</v>
      </c>
      <c r="G7463" s="15" t="s">
        <v>8</v>
      </c>
      <c r="K7463" s="15" t="s">
        <v>8</v>
      </c>
      <c r="N7463" s="15" t="s">
        <v>8</v>
      </c>
      <c r="O7463" s="8" t="s">
        <v>6</v>
      </c>
      <c r="P7463" s="8" t="s">
        <v>3</v>
      </c>
    </row>
    <row r="7464" spans="3:21" x14ac:dyDescent="0.35">
      <c r="C7464" s="15" t="s">
        <v>8</v>
      </c>
      <c r="F7464" s="15" t="s">
        <v>8</v>
      </c>
      <c r="G7464" s="15" t="s">
        <v>8</v>
      </c>
      <c r="K7464" s="15" t="s">
        <v>8</v>
      </c>
      <c r="N7464" s="15" t="s">
        <v>8</v>
      </c>
      <c r="O7464" s="20" t="str">
        <f>HYPERLINK("http://yeinfo.com/family/I09048067.html", "JULIAN CLARGENNET &lt;2&gt; 1538 EN-1577 EN ID:09012017")</f>
        <v>JULIAN CLARGENNET &lt;2&gt; 1538 EN-1577 EN ID:09012017</v>
      </c>
      <c r="P7464" s="17"/>
      <c r="Q7464" s="17"/>
      <c r="R7464" s="17"/>
      <c r="S7464" s="17"/>
    </row>
    <row r="7465" spans="3:21" x14ac:dyDescent="0.35">
      <c r="C7465" s="15" t="s">
        <v>8</v>
      </c>
      <c r="F7465" s="15" t="s">
        <v>8</v>
      </c>
      <c r="G7465" s="15" t="s">
        <v>8</v>
      </c>
      <c r="K7465" s="15" t="s">
        <v>8</v>
      </c>
      <c r="N7465" s="15" t="s">
        <v>8</v>
      </c>
      <c r="P7465" s="8" t="s">
        <v>6</v>
      </c>
    </row>
    <row r="7466" spans="3:21" x14ac:dyDescent="0.35">
      <c r="C7466" s="15" t="s">
        <v>8</v>
      </c>
      <c r="F7466" s="15" t="s">
        <v>8</v>
      </c>
      <c r="G7466" s="15" t="s">
        <v>8</v>
      </c>
      <c r="K7466" s="15" t="s">
        <v>8</v>
      </c>
      <c r="N7466" s="15" t="s">
        <v>8</v>
      </c>
      <c r="P7466" s="20" t="str">
        <f>HYPERLINK("http://yeinfo.com/family/I09024034.html", "Mrs. {_?_} CLARGENNET &lt;2&gt; 1505 EN-1538 EN ID:09024035")</f>
        <v>Mrs. {_?_} CLARGENNET &lt;2&gt; 1505 EN-1538 EN ID:09024035</v>
      </c>
      <c r="Q7466" s="17"/>
      <c r="R7466" s="17"/>
      <c r="S7466" s="17"/>
      <c r="T7466" s="17"/>
    </row>
    <row r="7467" spans="3:21" x14ac:dyDescent="0.35">
      <c r="C7467" s="15" t="s">
        <v>8</v>
      </c>
      <c r="F7467" s="15" t="s">
        <v>8</v>
      </c>
      <c r="G7467" s="15" t="s">
        <v>8</v>
      </c>
      <c r="K7467" s="15" t="s">
        <v>8</v>
      </c>
      <c r="N7467" s="15" t="s">
        <v>8</v>
      </c>
    </row>
    <row r="7468" spans="3:21" x14ac:dyDescent="0.35">
      <c r="C7468" s="15" t="s">
        <v>8</v>
      </c>
      <c r="F7468" s="15" t="s">
        <v>8</v>
      </c>
      <c r="G7468" s="15" t="s">
        <v>8</v>
      </c>
      <c r="K7468" s="15" t="s">
        <v>8</v>
      </c>
      <c r="M7468" s="21" t="str">
        <f>HYPERLINK("http://yeinfo.com/family/I09001502.html", "CHRISTOPHER\SIMON GRANT Sr. 1618 EN-1685 MA ID:09003004")</f>
        <v>CHRISTOPHER\SIMON GRANT Sr. 1618 EN-1685 MA ID:09003004</v>
      </c>
      <c r="N7468" s="6"/>
      <c r="O7468" s="6"/>
      <c r="P7468" s="6"/>
      <c r="Q7468" s="6"/>
      <c r="R7468" s="6"/>
    </row>
    <row r="7469" spans="3:21" x14ac:dyDescent="0.35">
      <c r="C7469" s="15" t="s">
        <v>8</v>
      </c>
      <c r="F7469" s="15" t="s">
        <v>8</v>
      </c>
      <c r="G7469" s="15" t="s">
        <v>8</v>
      </c>
      <c r="K7469" s="15" t="s">
        <v>8</v>
      </c>
      <c r="M7469" s="8" t="s">
        <v>3</v>
      </c>
      <c r="N7469" s="15" t="s">
        <v>8</v>
      </c>
    </row>
    <row r="7470" spans="3:21" x14ac:dyDescent="0.35">
      <c r="C7470" s="15" t="s">
        <v>8</v>
      </c>
      <c r="F7470" s="15" t="s">
        <v>8</v>
      </c>
      <c r="G7470" s="15" t="s">
        <v>8</v>
      </c>
      <c r="K7470" s="15" t="s">
        <v>8</v>
      </c>
      <c r="M7470" s="15" t="s">
        <v>8</v>
      </c>
      <c r="N7470" s="15" t="s">
        <v>8</v>
      </c>
      <c r="P7470" s="19" t="str">
        <f>HYPERLINK("http://yeinfo.com/family/I09012018.html", "THOMAS TURBERVILLE 1530 EN-1577 EN ID:09024036")</f>
        <v>THOMAS TURBERVILLE 1530 EN-1577 EN ID:09024036</v>
      </c>
      <c r="Q7470" s="9"/>
      <c r="R7470" s="9"/>
      <c r="S7470" s="9"/>
      <c r="T7470" s="9"/>
    </row>
    <row r="7471" spans="3:21" x14ac:dyDescent="0.35">
      <c r="C7471" s="15" t="s">
        <v>8</v>
      </c>
      <c r="F7471" s="15" t="s">
        <v>8</v>
      </c>
      <c r="G7471" s="15" t="s">
        <v>8</v>
      </c>
      <c r="K7471" s="15" t="s">
        <v>8</v>
      </c>
      <c r="M7471" s="15" t="s">
        <v>8</v>
      </c>
      <c r="N7471" s="15" t="s">
        <v>8</v>
      </c>
      <c r="P7471" s="8" t="s">
        <v>3</v>
      </c>
    </row>
    <row r="7472" spans="3:21" x14ac:dyDescent="0.35">
      <c r="C7472" s="15" t="s">
        <v>8</v>
      </c>
      <c r="F7472" s="15" t="s">
        <v>8</v>
      </c>
      <c r="G7472" s="15" t="s">
        <v>8</v>
      </c>
      <c r="K7472" s="15" t="s">
        <v>8</v>
      </c>
      <c r="M7472" s="15" t="s">
        <v>8</v>
      </c>
      <c r="N7472" s="15" t="s">
        <v>8</v>
      </c>
      <c r="O7472" s="19" t="str">
        <f>HYPERLINK("http://yeinfo.com/family/I09006009.html", "MATTHEW TURBERVILLE 1556 EN-1577 EN ID:09012018")</f>
        <v>MATTHEW TURBERVILLE 1556 EN-1577 EN ID:09012018</v>
      </c>
      <c r="P7472" s="9"/>
      <c r="Q7472" s="9"/>
      <c r="R7472" s="9"/>
      <c r="S7472" s="9"/>
    </row>
    <row r="7473" spans="3:20" x14ac:dyDescent="0.35">
      <c r="C7473" s="15" t="s">
        <v>8</v>
      </c>
      <c r="F7473" s="15" t="s">
        <v>8</v>
      </c>
      <c r="G7473" s="15" t="s">
        <v>8</v>
      </c>
      <c r="K7473" s="15" t="s">
        <v>8</v>
      </c>
      <c r="M7473" s="15" t="s">
        <v>8</v>
      </c>
      <c r="N7473" s="15" t="s">
        <v>8</v>
      </c>
      <c r="O7473" s="8" t="s">
        <v>3</v>
      </c>
      <c r="P7473" s="8" t="s">
        <v>6</v>
      </c>
    </row>
    <row r="7474" spans="3:20" x14ac:dyDescent="0.35">
      <c r="C7474" s="15" t="s">
        <v>8</v>
      </c>
      <c r="F7474" s="15" t="s">
        <v>8</v>
      </c>
      <c r="G7474" s="15" t="s">
        <v>8</v>
      </c>
      <c r="K7474" s="15" t="s">
        <v>8</v>
      </c>
      <c r="M7474" s="15" t="s">
        <v>8</v>
      </c>
      <c r="N7474" s="15" t="s">
        <v>8</v>
      </c>
      <c r="O7474" s="15" t="s">
        <v>8</v>
      </c>
      <c r="P7474" s="20" t="str">
        <f>HYPERLINK("http://yeinfo.com/family/I09024036.html", "MARGARET GOLDESBOROUGH 1535 EN-1566 EN ID:09024037")</f>
        <v>MARGARET GOLDESBOROUGH 1535 EN-1566 EN ID:09024037</v>
      </c>
      <c r="Q7474" s="17"/>
      <c r="R7474" s="17"/>
      <c r="S7474" s="17"/>
      <c r="T7474" s="17"/>
    </row>
    <row r="7475" spans="3:20" x14ac:dyDescent="0.35">
      <c r="C7475" s="15" t="s">
        <v>8</v>
      </c>
      <c r="F7475" s="15" t="s">
        <v>8</v>
      </c>
      <c r="G7475" s="15" t="s">
        <v>8</v>
      </c>
      <c r="K7475" s="15" t="s">
        <v>8</v>
      </c>
      <c r="M7475" s="15" t="s">
        <v>8</v>
      </c>
      <c r="N7475" s="8" t="s">
        <v>6</v>
      </c>
      <c r="O7475" s="15" t="s">
        <v>8</v>
      </c>
    </row>
    <row r="7476" spans="3:20" x14ac:dyDescent="0.35">
      <c r="C7476" s="15" t="s">
        <v>8</v>
      </c>
      <c r="F7476" s="15" t="s">
        <v>8</v>
      </c>
      <c r="G7476" s="15" t="s">
        <v>8</v>
      </c>
      <c r="K7476" s="15" t="s">
        <v>8</v>
      </c>
      <c r="M7476" s="15" t="s">
        <v>8</v>
      </c>
      <c r="N7476" s="20" t="str">
        <f>HYPERLINK("http://yeinfo.com/family/I09024035.html", "ALICE TURBERVILLE 1577 EN-1640 EN ID:09006009")</f>
        <v>ALICE TURBERVILLE 1577 EN-1640 EN ID:09006009</v>
      </c>
      <c r="O7476" s="17"/>
      <c r="P7476" s="17"/>
      <c r="Q7476" s="17"/>
      <c r="R7476" s="17"/>
    </row>
    <row r="7477" spans="3:20" x14ac:dyDescent="0.35">
      <c r="C7477" s="15" t="s">
        <v>8</v>
      </c>
      <c r="F7477" s="15" t="s">
        <v>8</v>
      </c>
      <c r="G7477" s="15" t="s">
        <v>8</v>
      </c>
      <c r="K7477" s="15" t="s">
        <v>8</v>
      </c>
      <c r="M7477" s="15" t="s">
        <v>8</v>
      </c>
      <c r="O7477" s="8" t="s">
        <v>6</v>
      </c>
    </row>
    <row r="7478" spans="3:20" x14ac:dyDescent="0.35">
      <c r="C7478" s="15" t="s">
        <v>8</v>
      </c>
      <c r="F7478" s="15" t="s">
        <v>8</v>
      </c>
      <c r="G7478" s="15" t="s">
        <v>8</v>
      </c>
      <c r="K7478" s="15" t="s">
        <v>8</v>
      </c>
      <c r="M7478" s="15" t="s">
        <v>8</v>
      </c>
      <c r="O7478" s="20" t="str">
        <f>HYPERLINK("http://yeinfo.com/family/I09024037.html", "MARGARET\MARY KYTCHIN 1556 EN-1577 EN ID:09012019")</f>
        <v>MARGARET\MARY KYTCHIN 1556 EN-1577 EN ID:09012019</v>
      </c>
      <c r="P7478" s="17"/>
      <c r="Q7478" s="17"/>
      <c r="R7478" s="17"/>
      <c r="S7478" s="17"/>
      <c r="T7478" s="17"/>
    </row>
    <row r="7479" spans="3:20" x14ac:dyDescent="0.35">
      <c r="C7479" s="15" t="s">
        <v>8</v>
      </c>
      <c r="F7479" s="15" t="s">
        <v>8</v>
      </c>
      <c r="G7479" s="15" t="s">
        <v>8</v>
      </c>
      <c r="K7479" s="15" t="s">
        <v>8</v>
      </c>
      <c r="M7479" s="15" t="s">
        <v>8</v>
      </c>
    </row>
    <row r="7480" spans="3:20" x14ac:dyDescent="0.35">
      <c r="C7480" s="15" t="s">
        <v>8</v>
      </c>
      <c r="F7480" s="15" t="s">
        <v>8</v>
      </c>
      <c r="G7480" s="15" t="s">
        <v>8</v>
      </c>
      <c r="K7480" s="15" t="s">
        <v>8</v>
      </c>
      <c r="L7480" s="5" t="str">
        <f>HYPERLINK("http://yeinfo.com/family/I09000751.html", "CALEB GRANT Sr. 1639 -1694 MA ID:09001502")</f>
        <v>CALEB GRANT Sr. 1639 -1694 MA ID:09001502</v>
      </c>
      <c r="M7480" s="3"/>
      <c r="N7480" s="3"/>
      <c r="O7480" s="3"/>
      <c r="P7480" s="3"/>
    </row>
    <row r="7481" spans="3:20" x14ac:dyDescent="0.35">
      <c r="C7481" s="15" t="s">
        <v>8</v>
      </c>
      <c r="F7481" s="15" t="s">
        <v>8</v>
      </c>
      <c r="G7481" s="15" t="s">
        <v>8</v>
      </c>
      <c r="K7481" s="15" t="s">
        <v>8</v>
      </c>
      <c r="L7481" s="8" t="s">
        <v>3</v>
      </c>
      <c r="M7481" s="15" t="s">
        <v>8</v>
      </c>
    </row>
    <row r="7482" spans="3:20" x14ac:dyDescent="0.35">
      <c r="C7482" s="15" t="s">
        <v>8</v>
      </c>
      <c r="F7482" s="15" t="s">
        <v>8</v>
      </c>
      <c r="G7482" s="15" t="s">
        <v>8</v>
      </c>
      <c r="K7482" s="15" t="s">
        <v>8</v>
      </c>
      <c r="L7482" s="15" t="s">
        <v>8</v>
      </c>
      <c r="M7482" s="15" t="s">
        <v>8</v>
      </c>
      <c r="N7482" s="19" t="str">
        <f>HYPERLINK("http://yeinfo.com/family/I09003005.html", "HENRY BARTLETT 1572 EN-1630 EN ID:09006010")</f>
        <v>HENRY BARTLETT 1572 EN-1630 EN ID:09006010</v>
      </c>
      <c r="O7482" s="9"/>
      <c r="P7482" s="9"/>
      <c r="Q7482" s="9"/>
      <c r="R7482" s="9"/>
    </row>
    <row r="7483" spans="3:20" x14ac:dyDescent="0.35">
      <c r="C7483" s="15" t="s">
        <v>8</v>
      </c>
      <c r="F7483" s="15" t="s">
        <v>8</v>
      </c>
      <c r="G7483" s="15" t="s">
        <v>8</v>
      </c>
      <c r="K7483" s="15" t="s">
        <v>8</v>
      </c>
      <c r="L7483" s="15" t="s">
        <v>8</v>
      </c>
      <c r="M7483" s="8" t="s">
        <v>6</v>
      </c>
      <c r="N7483" s="8" t="s">
        <v>3</v>
      </c>
    </row>
    <row r="7484" spans="3:20" x14ac:dyDescent="0.35">
      <c r="C7484" s="15" t="s">
        <v>8</v>
      </c>
      <c r="F7484" s="15" t="s">
        <v>8</v>
      </c>
      <c r="G7484" s="15" t="s">
        <v>8</v>
      </c>
      <c r="K7484" s="15" t="s">
        <v>8</v>
      </c>
      <c r="L7484" s="15" t="s">
        <v>8</v>
      </c>
      <c r="M7484" s="22" t="str">
        <f>HYPERLINK("http://yeinfo.com/family/I09012019.html", "MARY\ALICE SARAH BARTLETT 1612 EN-1692 MA ID:09003005")</f>
        <v>MARY\ALICE SARAH BARTLETT 1612 EN-1692 MA ID:09003005</v>
      </c>
      <c r="N7484" s="13"/>
      <c r="O7484" s="13"/>
      <c r="P7484" s="13"/>
      <c r="Q7484" s="13"/>
      <c r="R7484" s="13"/>
    </row>
    <row r="7485" spans="3:20" x14ac:dyDescent="0.35">
      <c r="C7485" s="15" t="s">
        <v>8</v>
      </c>
      <c r="F7485" s="15" t="s">
        <v>8</v>
      </c>
      <c r="G7485" s="15" t="s">
        <v>8</v>
      </c>
      <c r="K7485" s="15" t="s">
        <v>8</v>
      </c>
      <c r="L7485" s="15" t="s">
        <v>8</v>
      </c>
      <c r="N7485" s="8" t="s">
        <v>6</v>
      </c>
    </row>
    <row r="7486" spans="3:20" x14ac:dyDescent="0.35">
      <c r="C7486" s="15" t="s">
        <v>8</v>
      </c>
      <c r="F7486" s="15" t="s">
        <v>8</v>
      </c>
      <c r="G7486" s="15" t="s">
        <v>8</v>
      </c>
      <c r="K7486" s="15" t="s">
        <v>8</v>
      </c>
      <c r="L7486" s="15" t="s">
        <v>8</v>
      </c>
      <c r="N7486" s="20" t="str">
        <f>HYPERLINK("http://yeinfo.com/family/I09006010.html", "MARY DEIGHTON 1585 EN-1640 EN ID:09006011")</f>
        <v>MARY DEIGHTON 1585 EN-1640 EN ID:09006011</v>
      </c>
      <c r="O7486" s="17"/>
      <c r="P7486" s="17"/>
      <c r="Q7486" s="17"/>
      <c r="R7486" s="17"/>
    </row>
    <row r="7487" spans="3:20" x14ac:dyDescent="0.35">
      <c r="C7487" s="15" t="s">
        <v>8</v>
      </c>
      <c r="F7487" s="15" t="s">
        <v>8</v>
      </c>
      <c r="G7487" s="15" t="s">
        <v>8</v>
      </c>
      <c r="K7487" s="8" t="s">
        <v>6</v>
      </c>
      <c r="L7487" s="15" t="s">
        <v>8</v>
      </c>
    </row>
    <row r="7488" spans="3:20" x14ac:dyDescent="0.35">
      <c r="C7488" s="15" t="s">
        <v>8</v>
      </c>
      <c r="F7488" s="15" t="s">
        <v>8</v>
      </c>
      <c r="G7488" s="15" t="s">
        <v>8</v>
      </c>
      <c r="K7488" s="16" t="str">
        <f>HYPERLINK("http://yeinfo.com/family/I09006007.html", "ABIGAIL GRANT 1683 MA-1769 MA ID:09000751")</f>
        <v>ABIGAIL GRANT 1683 MA-1769 MA ID:09000751</v>
      </c>
      <c r="L7488" s="11"/>
      <c r="M7488" s="11"/>
      <c r="N7488" s="11"/>
      <c r="O7488" s="11"/>
    </row>
    <row r="7489" spans="3:21" x14ac:dyDescent="0.35">
      <c r="C7489" s="15" t="s">
        <v>8</v>
      </c>
      <c r="F7489" s="15" t="s">
        <v>8</v>
      </c>
      <c r="G7489" s="15" t="s">
        <v>8</v>
      </c>
      <c r="L7489" s="8" t="s">
        <v>6</v>
      </c>
    </row>
    <row r="7490" spans="3:21" x14ac:dyDescent="0.35">
      <c r="C7490" s="15" t="s">
        <v>8</v>
      </c>
      <c r="F7490" s="15" t="s">
        <v>8</v>
      </c>
      <c r="G7490" s="15" t="s">
        <v>8</v>
      </c>
      <c r="L7490" s="16" t="str">
        <f>HYPERLINK("http://yeinfo.com/family/I09006011.html", "Mrs. MARY GRANT 1639 MA-1693 MA ID:09001503")</f>
        <v>Mrs. MARY GRANT 1639 MA-1693 MA ID:09001503</v>
      </c>
      <c r="M7490" s="11"/>
      <c r="N7490" s="11"/>
      <c r="O7490" s="11"/>
      <c r="P7490" s="11"/>
    </row>
    <row r="7491" spans="3:21" x14ac:dyDescent="0.35">
      <c r="C7491" s="15" t="s">
        <v>8</v>
      </c>
      <c r="F7491" s="8" t="s">
        <v>6</v>
      </c>
      <c r="G7491" s="15" t="s">
        <v>8</v>
      </c>
    </row>
    <row r="7492" spans="3:21" x14ac:dyDescent="0.35">
      <c r="C7492" s="15" t="s">
        <v>8</v>
      </c>
      <c r="F7492" s="16" t="str">
        <f>HYPERLINK("http://yeinfo.com/family/I09005887.html", "MAVERETTE ANN MILLER 1845 VT-1927 IA ID:09000023")</f>
        <v>MAVERETTE ANN MILLER 1845 VT-1927 IA ID:09000023</v>
      </c>
      <c r="G7492" s="11"/>
      <c r="H7492" s="11"/>
      <c r="I7492" s="11"/>
      <c r="J7492" s="11"/>
    </row>
    <row r="7493" spans="3:21" x14ac:dyDescent="0.35">
      <c r="C7493" s="15" t="s">
        <v>8</v>
      </c>
      <c r="G7493" s="15" t="s">
        <v>8</v>
      </c>
    </row>
    <row r="7494" spans="3:21" x14ac:dyDescent="0.35">
      <c r="C7494" s="15" t="s">
        <v>8</v>
      </c>
      <c r="G7494" s="15" t="s">
        <v>8</v>
      </c>
      <c r="N7494" s="21" t="str">
        <f>HYPERLINK("http://yeinfo.com/family/I09003008.html", "JOHN BARRETT 1620 EN-1664 ME ID:09006016")</f>
        <v>JOHN BARRETT 1620 EN-1664 ME ID:09006016</v>
      </c>
      <c r="O7494" s="6"/>
      <c r="P7494" s="6"/>
      <c r="Q7494" s="6"/>
      <c r="R7494" s="6"/>
    </row>
    <row r="7495" spans="3:21" x14ac:dyDescent="0.35">
      <c r="C7495" s="15" t="s">
        <v>8</v>
      </c>
      <c r="G7495" s="15" t="s">
        <v>8</v>
      </c>
      <c r="N7495" s="8" t="s">
        <v>3</v>
      </c>
    </row>
    <row r="7496" spans="3:21" x14ac:dyDescent="0.35">
      <c r="C7496" s="15" t="s">
        <v>8</v>
      </c>
      <c r="G7496" s="15" t="s">
        <v>8</v>
      </c>
      <c r="M7496" s="5" t="str">
        <f>HYPERLINK("http://yeinfo.com/family/I09001504.html", "BENJAMIN BARRETT 1653 MA-1690 MA ID:09003008")</f>
        <v>BENJAMIN BARRETT 1653 MA-1690 MA ID:09003008</v>
      </c>
      <c r="N7496" s="3"/>
      <c r="O7496" s="3"/>
      <c r="P7496" s="3"/>
      <c r="Q7496" s="3"/>
    </row>
    <row r="7497" spans="3:21" x14ac:dyDescent="0.35">
      <c r="C7497" s="15" t="s">
        <v>8</v>
      </c>
      <c r="G7497" s="15" t="s">
        <v>8</v>
      </c>
      <c r="M7497" s="8" t="s">
        <v>3</v>
      </c>
      <c r="N7497" s="15" t="s">
        <v>8</v>
      </c>
    </row>
    <row r="7498" spans="3:21" x14ac:dyDescent="0.35">
      <c r="C7498" s="15" t="s">
        <v>8</v>
      </c>
      <c r="G7498" s="15" t="s">
        <v>8</v>
      </c>
      <c r="M7498" s="15" t="s">
        <v>8</v>
      </c>
      <c r="N7498" s="15" t="s">
        <v>8</v>
      </c>
      <c r="O7498" s="21" t="str">
        <f>HYPERLINK("http://yeinfo.com/family/I09006017.html", "EDMUND\EDWARD LITTLEFIELD 1591 EN-1661 ME ID:09012034")</f>
        <v>EDMUND\EDWARD LITTLEFIELD 1591 EN-1661 ME ID:09012034</v>
      </c>
      <c r="P7498" s="6"/>
      <c r="Q7498" s="6"/>
      <c r="R7498" s="6"/>
      <c r="S7498" s="6"/>
      <c r="T7498" s="6"/>
    </row>
    <row r="7499" spans="3:21" x14ac:dyDescent="0.35">
      <c r="C7499" s="15" t="s">
        <v>8</v>
      </c>
      <c r="G7499" s="15" t="s">
        <v>8</v>
      </c>
      <c r="M7499" s="15" t="s">
        <v>8</v>
      </c>
      <c r="N7499" s="8" t="s">
        <v>6</v>
      </c>
      <c r="O7499" s="8" t="s">
        <v>3</v>
      </c>
    </row>
    <row r="7500" spans="3:21" x14ac:dyDescent="0.35">
      <c r="C7500" s="15" t="s">
        <v>8</v>
      </c>
      <c r="G7500" s="15" t="s">
        <v>8</v>
      </c>
      <c r="M7500" s="15" t="s">
        <v>8</v>
      </c>
      <c r="N7500" s="22" t="str">
        <f>HYPERLINK("http://yeinfo.com/family/I09006016.html", "MARY LITTLEFIELD 1625 EN-1653 ME ID:09006017")</f>
        <v>MARY LITTLEFIELD 1625 EN-1653 ME ID:09006017</v>
      </c>
      <c r="O7500" s="13"/>
      <c r="P7500" s="13"/>
      <c r="Q7500" s="13"/>
      <c r="R7500" s="13"/>
    </row>
    <row r="7501" spans="3:21" x14ac:dyDescent="0.35">
      <c r="C7501" s="15" t="s">
        <v>8</v>
      </c>
      <c r="G7501" s="15" t="s">
        <v>8</v>
      </c>
      <c r="M7501" s="15" t="s">
        <v>8</v>
      </c>
      <c r="O7501" s="15" t="s">
        <v>8</v>
      </c>
    </row>
    <row r="7502" spans="3:21" x14ac:dyDescent="0.35">
      <c r="C7502" s="15" t="s">
        <v>8</v>
      </c>
      <c r="G7502" s="15" t="s">
        <v>8</v>
      </c>
      <c r="M7502" s="15" t="s">
        <v>8</v>
      </c>
      <c r="O7502" s="15" t="s">
        <v>8</v>
      </c>
      <c r="Q7502" s="19" t="str">
        <f>HYPERLINK("http://yeinfo.com/family/I09024070.html", "WILLIAM AUSTIN 1516 EN-1557 EN ID:09048140")</f>
        <v>WILLIAM AUSTIN 1516 EN-1557 EN ID:09048140</v>
      </c>
      <c r="R7502" s="9"/>
      <c r="S7502" s="9"/>
      <c r="T7502" s="9"/>
      <c r="U7502" s="9"/>
    </row>
    <row r="7503" spans="3:21" x14ac:dyDescent="0.35">
      <c r="C7503" s="15" t="s">
        <v>8</v>
      </c>
      <c r="G7503" s="15" t="s">
        <v>8</v>
      </c>
      <c r="M7503" s="15" t="s">
        <v>8</v>
      </c>
      <c r="O7503" s="15" t="s">
        <v>8</v>
      </c>
      <c r="Q7503" s="8" t="s">
        <v>3</v>
      </c>
    </row>
    <row r="7504" spans="3:21" x14ac:dyDescent="0.35">
      <c r="C7504" s="15" t="s">
        <v>8</v>
      </c>
      <c r="G7504" s="15" t="s">
        <v>8</v>
      </c>
      <c r="M7504" s="15" t="s">
        <v>8</v>
      </c>
      <c r="O7504" s="15" t="s">
        <v>8</v>
      </c>
      <c r="P7504" s="19" t="str">
        <f>HYPERLINK("http://yeinfo.com/family/I09012035.html", "RICHARD AUSTIN Sr. 1548 EN-1623 EN ID:09024070")</f>
        <v>RICHARD AUSTIN Sr. 1548 EN-1623 EN ID:09024070</v>
      </c>
      <c r="Q7504" s="9"/>
      <c r="R7504" s="9"/>
      <c r="S7504" s="9"/>
      <c r="T7504" s="9"/>
    </row>
    <row r="7505" spans="3:22" x14ac:dyDescent="0.35">
      <c r="C7505" s="15" t="s">
        <v>8</v>
      </c>
      <c r="G7505" s="15" t="s">
        <v>8</v>
      </c>
      <c r="M7505" s="15" t="s">
        <v>8</v>
      </c>
      <c r="O7505" s="15" t="s">
        <v>8</v>
      </c>
      <c r="P7505" s="8" t="s">
        <v>3</v>
      </c>
      <c r="Q7505" s="8" t="s">
        <v>6</v>
      </c>
    </row>
    <row r="7506" spans="3:22" x14ac:dyDescent="0.35">
      <c r="C7506" s="15" t="s">
        <v>8</v>
      </c>
      <c r="G7506" s="15" t="s">
        <v>8</v>
      </c>
      <c r="M7506" s="15" t="s">
        <v>8</v>
      </c>
      <c r="O7506" s="15" t="s">
        <v>8</v>
      </c>
      <c r="P7506" s="15" t="s">
        <v>8</v>
      </c>
      <c r="Q7506" s="20" t="str">
        <f>HYPERLINK("http://yeinfo.com/family/I09048140.html", "ALICE LITTLEFIELD 1520 EN-1567 EN ID:09048141")</f>
        <v>ALICE LITTLEFIELD 1520 EN-1567 EN ID:09048141</v>
      </c>
      <c r="R7506" s="17"/>
      <c r="S7506" s="17"/>
      <c r="T7506" s="17"/>
      <c r="U7506" s="17"/>
    </row>
    <row r="7507" spans="3:22" x14ac:dyDescent="0.35">
      <c r="C7507" s="15" t="s">
        <v>8</v>
      </c>
      <c r="G7507" s="15" t="s">
        <v>8</v>
      </c>
      <c r="M7507" s="15" t="s">
        <v>8</v>
      </c>
      <c r="O7507" s="8" t="s">
        <v>6</v>
      </c>
      <c r="P7507" s="15" t="s">
        <v>8</v>
      </c>
    </row>
    <row r="7508" spans="3:22" x14ac:dyDescent="0.35">
      <c r="C7508" s="15" t="s">
        <v>8</v>
      </c>
      <c r="G7508" s="15" t="s">
        <v>8</v>
      </c>
      <c r="M7508" s="15" t="s">
        <v>8</v>
      </c>
      <c r="O7508" s="22" t="str">
        <f>HYPERLINK("http://yeinfo.com/family/I09012034.html", "ANNIS AGNES AUSTIN 1596 EN-1677 ME ID:09012035")</f>
        <v>ANNIS AGNES AUSTIN 1596 EN-1677 ME ID:09012035</v>
      </c>
      <c r="P7508" s="13"/>
      <c r="Q7508" s="13"/>
      <c r="R7508" s="13"/>
      <c r="S7508" s="13"/>
    </row>
    <row r="7509" spans="3:22" x14ac:dyDescent="0.35">
      <c r="C7509" s="15" t="s">
        <v>8</v>
      </c>
      <c r="G7509" s="15" t="s">
        <v>8</v>
      </c>
      <c r="M7509" s="15" t="s">
        <v>8</v>
      </c>
      <c r="P7509" s="8" t="s">
        <v>6</v>
      </c>
    </row>
    <row r="7510" spans="3:22" x14ac:dyDescent="0.35">
      <c r="C7510" s="15" t="s">
        <v>8</v>
      </c>
      <c r="G7510" s="15" t="s">
        <v>8</v>
      </c>
      <c r="M7510" s="15" t="s">
        <v>8</v>
      </c>
      <c r="P7510" s="20" t="str">
        <f>HYPERLINK("http://yeinfo.com/family/I09048141.html", "Mrs. ANN\ANNIS AGNES AUSTIN 1558 EN-1623 EN ID:09024071")</f>
        <v>Mrs. ANN\ANNIS AGNES AUSTIN 1558 EN-1623 EN ID:09024071</v>
      </c>
      <c r="Q7510" s="17"/>
      <c r="R7510" s="17"/>
      <c r="S7510" s="17"/>
      <c r="T7510" s="17"/>
      <c r="U7510" s="17"/>
      <c r="V7510" s="17"/>
    </row>
    <row r="7511" spans="3:22" x14ac:dyDescent="0.35">
      <c r="C7511" s="15" t="s">
        <v>8</v>
      </c>
      <c r="G7511" s="15" t="s">
        <v>8</v>
      </c>
      <c r="M7511" s="15" t="s">
        <v>8</v>
      </c>
    </row>
    <row r="7512" spans="3:22" x14ac:dyDescent="0.35">
      <c r="C7512" s="15" t="s">
        <v>8</v>
      </c>
      <c r="G7512" s="15" t="s">
        <v>8</v>
      </c>
      <c r="L7512" s="5" t="str">
        <f>HYPERLINK("http://yeinfo.com/family/I09000752.html", "BENJAMIN BARRETT 1685 MA-1728 MA ID:09001504")</f>
        <v>BENJAMIN BARRETT 1685 MA-1728 MA ID:09001504</v>
      </c>
      <c r="M7512" s="3"/>
      <c r="N7512" s="3"/>
      <c r="O7512" s="3"/>
      <c r="P7512" s="3"/>
    </row>
    <row r="7513" spans="3:22" x14ac:dyDescent="0.35">
      <c r="C7513" s="15" t="s">
        <v>8</v>
      </c>
      <c r="G7513" s="15" t="s">
        <v>8</v>
      </c>
      <c r="L7513" s="8" t="s">
        <v>3</v>
      </c>
      <c r="M7513" s="15" t="s">
        <v>8</v>
      </c>
    </row>
    <row r="7514" spans="3:22" x14ac:dyDescent="0.35">
      <c r="C7514" s="15" t="s">
        <v>8</v>
      </c>
      <c r="G7514" s="15" t="s">
        <v>8</v>
      </c>
      <c r="L7514" s="15" t="s">
        <v>8</v>
      </c>
      <c r="M7514" s="15" t="s">
        <v>8</v>
      </c>
      <c r="O7514" s="21" t="str">
        <f>HYPERLINK("http://yeinfo.com/family/I09006018.html", "THOMAS GRAVES 1585 EN-1662 MA ID:09012036")</f>
        <v>THOMAS GRAVES 1585 EN-1662 MA ID:09012036</v>
      </c>
      <c r="P7514" s="6"/>
      <c r="Q7514" s="6"/>
      <c r="R7514" s="6"/>
      <c r="S7514" s="6"/>
    </row>
    <row r="7515" spans="3:22" x14ac:dyDescent="0.35">
      <c r="C7515" s="15" t="s">
        <v>8</v>
      </c>
      <c r="G7515" s="15" t="s">
        <v>8</v>
      </c>
      <c r="L7515" s="15" t="s">
        <v>8</v>
      </c>
      <c r="M7515" s="15" t="s">
        <v>8</v>
      </c>
      <c r="O7515" s="8" t="s">
        <v>3</v>
      </c>
    </row>
    <row r="7516" spans="3:22" x14ac:dyDescent="0.35">
      <c r="C7516" s="15" t="s">
        <v>8</v>
      </c>
      <c r="G7516" s="15" t="s">
        <v>8</v>
      </c>
      <c r="L7516" s="15" t="s">
        <v>8</v>
      </c>
      <c r="M7516" s="15" t="s">
        <v>8</v>
      </c>
      <c r="N7516" s="21" t="str">
        <f>HYPERLINK("http://yeinfo.com/family/I09003009.html", "ISAAC GRAVES 1620 EN-1677 MA ID:09006018")</f>
        <v>ISAAC GRAVES 1620 EN-1677 MA ID:09006018</v>
      </c>
      <c r="O7516" s="6"/>
      <c r="P7516" s="6"/>
      <c r="Q7516" s="6"/>
      <c r="R7516" s="6"/>
    </row>
    <row r="7517" spans="3:22" x14ac:dyDescent="0.35">
      <c r="C7517" s="15" t="s">
        <v>8</v>
      </c>
      <c r="G7517" s="15" t="s">
        <v>8</v>
      </c>
      <c r="L7517" s="15" t="s">
        <v>8</v>
      </c>
      <c r="M7517" s="15" t="s">
        <v>8</v>
      </c>
      <c r="N7517" s="8" t="s">
        <v>3</v>
      </c>
      <c r="O7517" s="8" t="s">
        <v>6</v>
      </c>
    </row>
    <row r="7518" spans="3:22" x14ac:dyDescent="0.35">
      <c r="C7518" s="15" t="s">
        <v>8</v>
      </c>
      <c r="G7518" s="15" t="s">
        <v>8</v>
      </c>
      <c r="L7518" s="15" t="s">
        <v>8</v>
      </c>
      <c r="M7518" s="15" t="s">
        <v>8</v>
      </c>
      <c r="N7518" s="15" t="s">
        <v>8</v>
      </c>
      <c r="O7518" s="22" t="str">
        <f>HYPERLINK("http://yeinfo.com/family/I09012036.html", "SARAH SCOTT 1597 EN-1666 MA ID:09012037")</f>
        <v>SARAH SCOTT 1597 EN-1666 MA ID:09012037</v>
      </c>
      <c r="P7518" s="13"/>
      <c r="Q7518" s="13"/>
      <c r="R7518" s="13"/>
      <c r="S7518" s="13"/>
    </row>
    <row r="7519" spans="3:22" x14ac:dyDescent="0.35">
      <c r="C7519" s="15" t="s">
        <v>8</v>
      </c>
      <c r="G7519" s="15" t="s">
        <v>8</v>
      </c>
      <c r="L7519" s="15" t="s">
        <v>8</v>
      </c>
      <c r="M7519" s="8" t="s">
        <v>6</v>
      </c>
      <c r="N7519" s="15" t="s">
        <v>8</v>
      </c>
    </row>
    <row r="7520" spans="3:22" x14ac:dyDescent="0.35">
      <c r="C7520" s="15" t="s">
        <v>8</v>
      </c>
      <c r="G7520" s="15" t="s">
        <v>8</v>
      </c>
      <c r="L7520" s="15" t="s">
        <v>8</v>
      </c>
      <c r="M7520" s="16" t="str">
        <f>HYPERLINK("http://yeinfo.com/family/I09024071.html", "SARAH GRAVES 1657 CT-1687 MA ID:09003009")</f>
        <v>SARAH GRAVES 1657 CT-1687 MA ID:09003009</v>
      </c>
      <c r="N7520" s="11"/>
      <c r="O7520" s="11"/>
      <c r="P7520" s="11"/>
      <c r="Q7520" s="11"/>
    </row>
    <row r="7521" spans="3:21" x14ac:dyDescent="0.35">
      <c r="C7521" s="15" t="s">
        <v>8</v>
      </c>
      <c r="G7521" s="15" t="s">
        <v>8</v>
      </c>
      <c r="L7521" s="15" t="s">
        <v>8</v>
      </c>
      <c r="N7521" s="15" t="s">
        <v>8</v>
      </c>
    </row>
    <row r="7522" spans="3:21" x14ac:dyDescent="0.35">
      <c r="C7522" s="15" t="s">
        <v>8</v>
      </c>
      <c r="G7522" s="15" t="s">
        <v>8</v>
      </c>
      <c r="L7522" s="15" t="s">
        <v>8</v>
      </c>
      <c r="N7522" s="15" t="s">
        <v>8</v>
      </c>
      <c r="Q7522" s="19" t="str">
        <f>HYPERLINK("http://yeinfo.com/family/I09024076.html", "JOHN CHURCH 1548 EN-1593 EN ID:09048152")</f>
        <v>JOHN CHURCH 1548 EN-1593 EN ID:09048152</v>
      </c>
      <c r="R7522" s="9"/>
      <c r="S7522" s="9"/>
      <c r="T7522" s="9"/>
      <c r="U7522" s="9"/>
    </row>
    <row r="7523" spans="3:21" x14ac:dyDescent="0.35">
      <c r="C7523" s="15" t="s">
        <v>8</v>
      </c>
      <c r="G7523" s="15" t="s">
        <v>8</v>
      </c>
      <c r="L7523" s="15" t="s">
        <v>8</v>
      </c>
      <c r="N7523" s="15" t="s">
        <v>8</v>
      </c>
      <c r="Q7523" s="8" t="s">
        <v>3</v>
      </c>
    </row>
    <row r="7524" spans="3:21" x14ac:dyDescent="0.35">
      <c r="C7524" s="15" t="s">
        <v>8</v>
      </c>
      <c r="G7524" s="15" t="s">
        <v>8</v>
      </c>
      <c r="L7524" s="15" t="s">
        <v>8</v>
      </c>
      <c r="N7524" s="15" t="s">
        <v>8</v>
      </c>
      <c r="P7524" s="21" t="str">
        <f>HYPERLINK("http://yeinfo.com/family/I09012038.html", "RICHARD CHURCH 1570 EN-1610 MA ID:09024076")</f>
        <v>RICHARD CHURCH 1570 EN-1610 MA ID:09024076</v>
      </c>
      <c r="Q7524" s="6"/>
      <c r="R7524" s="6"/>
      <c r="S7524" s="6"/>
      <c r="T7524" s="6"/>
    </row>
    <row r="7525" spans="3:21" x14ac:dyDescent="0.35">
      <c r="C7525" s="15" t="s">
        <v>8</v>
      </c>
      <c r="G7525" s="15" t="s">
        <v>8</v>
      </c>
      <c r="L7525" s="15" t="s">
        <v>8</v>
      </c>
      <c r="N7525" s="15" t="s">
        <v>8</v>
      </c>
      <c r="P7525" s="8" t="s">
        <v>3</v>
      </c>
      <c r="Q7525" s="8" t="s">
        <v>6</v>
      </c>
    </row>
    <row r="7526" spans="3:21" x14ac:dyDescent="0.35">
      <c r="C7526" s="15" t="s">
        <v>8</v>
      </c>
      <c r="G7526" s="15" t="s">
        <v>8</v>
      </c>
      <c r="L7526" s="15" t="s">
        <v>8</v>
      </c>
      <c r="N7526" s="15" t="s">
        <v>8</v>
      </c>
      <c r="P7526" s="15" t="s">
        <v>8</v>
      </c>
      <c r="Q7526" s="20" t="str">
        <f>HYPERLINK("http://yeinfo.com/family/I09048152.html", "JOAN TITERLE 1550 EN-1570  ID:09048153")</f>
        <v>JOAN TITERLE 1550 EN-1570  ID:09048153</v>
      </c>
      <c r="R7526" s="17"/>
      <c r="S7526" s="17"/>
      <c r="T7526" s="17"/>
      <c r="U7526" s="17"/>
    </row>
    <row r="7527" spans="3:21" x14ac:dyDescent="0.35">
      <c r="C7527" s="15" t="s">
        <v>8</v>
      </c>
      <c r="G7527" s="15" t="s">
        <v>8</v>
      </c>
      <c r="L7527" s="15" t="s">
        <v>8</v>
      </c>
      <c r="N7527" s="15" t="s">
        <v>8</v>
      </c>
      <c r="P7527" s="15" t="s">
        <v>8</v>
      </c>
    </row>
    <row r="7528" spans="3:21" x14ac:dyDescent="0.35">
      <c r="C7528" s="15" t="s">
        <v>8</v>
      </c>
      <c r="G7528" s="15" t="s">
        <v>8</v>
      </c>
      <c r="L7528" s="15" t="s">
        <v>8</v>
      </c>
      <c r="N7528" s="15" t="s">
        <v>8</v>
      </c>
      <c r="O7528" s="5" t="str">
        <f>HYPERLINK("http://yeinfo.com/family/I09006019.html", "RICHARD CHURCH 1610 EN-1667  ID:09012038")</f>
        <v>RICHARD CHURCH 1610 EN-1667  ID:09012038</v>
      </c>
      <c r="P7528" s="3"/>
      <c r="Q7528" s="3"/>
      <c r="R7528" s="3"/>
      <c r="S7528" s="3"/>
    </row>
    <row r="7529" spans="3:21" x14ac:dyDescent="0.35">
      <c r="C7529" s="15" t="s">
        <v>8</v>
      </c>
      <c r="G7529" s="15" t="s">
        <v>8</v>
      </c>
      <c r="L7529" s="15" t="s">
        <v>8</v>
      </c>
      <c r="N7529" s="15" t="s">
        <v>8</v>
      </c>
      <c r="O7529" s="8" t="s">
        <v>3</v>
      </c>
      <c r="P7529" s="8" t="s">
        <v>6</v>
      </c>
    </row>
    <row r="7530" spans="3:21" x14ac:dyDescent="0.35">
      <c r="C7530" s="15" t="s">
        <v>8</v>
      </c>
      <c r="G7530" s="15" t="s">
        <v>8</v>
      </c>
      <c r="L7530" s="15" t="s">
        <v>8</v>
      </c>
      <c r="N7530" s="15" t="s">
        <v>8</v>
      </c>
      <c r="O7530" s="15" t="s">
        <v>8</v>
      </c>
      <c r="P7530" s="16" t="str">
        <f>HYPERLINK("http://yeinfo.com/family/I09048153.html", "Mrs. ALICE CHURCH 1580 EN-1610  ID:09024077")</f>
        <v>Mrs. ALICE CHURCH 1580 EN-1610  ID:09024077</v>
      </c>
      <c r="Q7530" s="11"/>
      <c r="R7530" s="11"/>
      <c r="S7530" s="11"/>
      <c r="T7530" s="11"/>
    </row>
    <row r="7531" spans="3:21" x14ac:dyDescent="0.35">
      <c r="C7531" s="15" t="s">
        <v>8</v>
      </c>
      <c r="G7531" s="15" t="s">
        <v>8</v>
      </c>
      <c r="L7531" s="15" t="s">
        <v>8</v>
      </c>
      <c r="N7531" s="8" t="s">
        <v>6</v>
      </c>
      <c r="O7531" s="15" t="s">
        <v>8</v>
      </c>
    </row>
    <row r="7532" spans="3:21" x14ac:dyDescent="0.35">
      <c r="C7532" s="15" t="s">
        <v>8</v>
      </c>
      <c r="G7532" s="15" t="s">
        <v>8</v>
      </c>
      <c r="L7532" s="15" t="s">
        <v>8</v>
      </c>
      <c r="N7532" s="16" t="str">
        <f>HYPERLINK("http://yeinfo.com/family/I09012037.html", "MARY\HANNAH CHURCH 1632 -1695 MA ID:09006019")</f>
        <v>MARY\HANNAH CHURCH 1632 -1695 MA ID:09006019</v>
      </c>
      <c r="O7532" s="11"/>
      <c r="P7532" s="11"/>
      <c r="Q7532" s="11"/>
      <c r="R7532" s="11"/>
      <c r="S7532" s="11"/>
    </row>
    <row r="7533" spans="3:21" x14ac:dyDescent="0.35">
      <c r="C7533" s="15" t="s">
        <v>8</v>
      </c>
      <c r="G7533" s="15" t="s">
        <v>8</v>
      </c>
      <c r="L7533" s="15" t="s">
        <v>8</v>
      </c>
      <c r="O7533" s="15" t="s">
        <v>8</v>
      </c>
    </row>
    <row r="7534" spans="3:21" x14ac:dyDescent="0.35">
      <c r="C7534" s="15" t="s">
        <v>8</v>
      </c>
      <c r="G7534" s="15" t="s">
        <v>8</v>
      </c>
      <c r="L7534" s="15" t="s">
        <v>8</v>
      </c>
      <c r="O7534" s="15" t="s">
        <v>8</v>
      </c>
      <c r="P7534" s="21" t="str">
        <f>HYPERLINK("http://yeinfo.com/family/I09012039.html", "EDWARD MARSH 1575 EN-1601 MA ID:09024078")</f>
        <v>EDWARD MARSH 1575 EN-1601 MA ID:09024078</v>
      </c>
      <c r="Q7534" s="6"/>
      <c r="R7534" s="6"/>
      <c r="S7534" s="6"/>
      <c r="T7534" s="6"/>
    </row>
    <row r="7535" spans="3:21" x14ac:dyDescent="0.35">
      <c r="C7535" s="15" t="s">
        <v>8</v>
      </c>
      <c r="G7535" s="15" t="s">
        <v>8</v>
      </c>
      <c r="L7535" s="15" t="s">
        <v>8</v>
      </c>
      <c r="O7535" s="8" t="s">
        <v>6</v>
      </c>
      <c r="P7535" s="8" t="s">
        <v>3</v>
      </c>
    </row>
    <row r="7536" spans="3:21" x14ac:dyDescent="0.35">
      <c r="C7536" s="15" t="s">
        <v>8</v>
      </c>
      <c r="G7536" s="15" t="s">
        <v>8</v>
      </c>
      <c r="L7536" s="15" t="s">
        <v>8</v>
      </c>
      <c r="O7536" s="16" t="str">
        <f>HYPERLINK("http://yeinfo.com/family/I09024077.html", "ANNA MARSH 1601 EN-1684  ID:09012039")</f>
        <v>ANNA MARSH 1601 EN-1684  ID:09012039</v>
      </c>
      <c r="P7536" s="11"/>
      <c r="Q7536" s="11"/>
      <c r="R7536" s="11"/>
      <c r="S7536" s="11"/>
    </row>
    <row r="7537" spans="3:26" x14ac:dyDescent="0.35">
      <c r="C7537" s="15" t="s">
        <v>8</v>
      </c>
      <c r="G7537" s="15" t="s">
        <v>8</v>
      </c>
      <c r="L7537" s="15" t="s">
        <v>8</v>
      </c>
      <c r="P7537" s="8" t="s">
        <v>6</v>
      </c>
    </row>
    <row r="7538" spans="3:26" x14ac:dyDescent="0.35">
      <c r="C7538" s="15" t="s">
        <v>8</v>
      </c>
      <c r="G7538" s="15" t="s">
        <v>8</v>
      </c>
      <c r="L7538" s="15" t="s">
        <v>8</v>
      </c>
      <c r="P7538" s="16" t="str">
        <f>HYPERLINK("http://yeinfo.com/family/I09024078.html", "Mrs. ALICE MARSH 1575 EN-1601  ID:09024079")</f>
        <v>Mrs. ALICE MARSH 1575 EN-1601  ID:09024079</v>
      </c>
      <c r="Q7538" s="11"/>
      <c r="R7538" s="11"/>
      <c r="S7538" s="11"/>
      <c r="T7538" s="11"/>
    </row>
    <row r="7539" spans="3:26" x14ac:dyDescent="0.35">
      <c r="C7539" s="15" t="s">
        <v>8</v>
      </c>
      <c r="G7539" s="15" t="s">
        <v>8</v>
      </c>
      <c r="L7539" s="15" t="s">
        <v>8</v>
      </c>
    </row>
    <row r="7540" spans="3:26" x14ac:dyDescent="0.35">
      <c r="C7540" s="15" t="s">
        <v>8</v>
      </c>
      <c r="G7540" s="15" t="s">
        <v>8</v>
      </c>
      <c r="K7540" s="5" t="str">
        <f>HYPERLINK("http://yeinfo.com/family/I09000376.html", "ISAAC BARRETT 1711 MA-1786 NH ID:09000752")</f>
        <v>ISAAC BARRETT 1711 MA-1786 NH ID:09000752</v>
      </c>
      <c r="L7540" s="3"/>
      <c r="M7540" s="3"/>
      <c r="N7540" s="3"/>
      <c r="O7540" s="3"/>
    </row>
    <row r="7541" spans="3:26" x14ac:dyDescent="0.35">
      <c r="C7541" s="15" t="s">
        <v>8</v>
      </c>
      <c r="G7541" s="15" t="s">
        <v>8</v>
      </c>
      <c r="K7541" s="8" t="s">
        <v>3</v>
      </c>
      <c r="L7541" s="15" t="s">
        <v>8</v>
      </c>
    </row>
    <row r="7542" spans="3:26" x14ac:dyDescent="0.35">
      <c r="C7542" s="15" t="s">
        <v>8</v>
      </c>
      <c r="G7542" s="15" t="s">
        <v>8</v>
      </c>
      <c r="K7542" s="15" t="s">
        <v>8</v>
      </c>
      <c r="L7542" s="15" t="s">
        <v>8</v>
      </c>
      <c r="O7542" s="19" t="str">
        <f>HYPERLINK("http://yeinfo.com/family/I09006020.html", "JOHN FOSTER 1585 EN-1619 EN ID:09012040")</f>
        <v>JOHN FOSTER 1585 EN-1619 EN ID:09012040</v>
      </c>
      <c r="P7542" s="9"/>
      <c r="Q7542" s="9"/>
      <c r="R7542" s="9"/>
      <c r="S7542" s="9"/>
    </row>
    <row r="7543" spans="3:26" x14ac:dyDescent="0.35">
      <c r="C7543" s="15" t="s">
        <v>8</v>
      </c>
      <c r="G7543" s="15" t="s">
        <v>8</v>
      </c>
      <c r="K7543" s="15" t="s">
        <v>8</v>
      </c>
      <c r="L7543" s="15" t="s">
        <v>8</v>
      </c>
      <c r="O7543" s="8" t="s">
        <v>3</v>
      </c>
    </row>
    <row r="7544" spans="3:26" x14ac:dyDescent="0.35">
      <c r="C7544" s="15" t="s">
        <v>8</v>
      </c>
      <c r="G7544" s="15" t="s">
        <v>8</v>
      </c>
      <c r="K7544" s="15" t="s">
        <v>8</v>
      </c>
      <c r="L7544" s="15" t="s">
        <v>8</v>
      </c>
      <c r="N7544" s="21" t="str">
        <f>HYPERLINK("http://yeinfo.com/family/I09003010.html", "SAMUEL ELI FOSTER Sr. 1619 EN-1702 MA ID:09006020")</f>
        <v>SAMUEL ELI FOSTER Sr. 1619 EN-1702 MA ID:09006020</v>
      </c>
      <c r="O7544" s="6"/>
      <c r="P7544" s="6"/>
      <c r="Q7544" s="6"/>
      <c r="R7544" s="6"/>
    </row>
    <row r="7545" spans="3:26" x14ac:dyDescent="0.35">
      <c r="C7545" s="15" t="s">
        <v>8</v>
      </c>
      <c r="G7545" s="15" t="s">
        <v>8</v>
      </c>
      <c r="K7545" s="15" t="s">
        <v>8</v>
      </c>
      <c r="L7545" s="15" t="s">
        <v>8</v>
      </c>
      <c r="N7545" s="8" t="s">
        <v>3</v>
      </c>
      <c r="O7545" s="8" t="s">
        <v>6</v>
      </c>
    </row>
    <row r="7546" spans="3:26" x14ac:dyDescent="0.35">
      <c r="C7546" s="15" t="s">
        <v>8</v>
      </c>
      <c r="G7546" s="15" t="s">
        <v>8</v>
      </c>
      <c r="K7546" s="15" t="s">
        <v>8</v>
      </c>
      <c r="L7546" s="15" t="s">
        <v>8</v>
      </c>
      <c r="N7546" s="15" t="s">
        <v>8</v>
      </c>
      <c r="O7546" s="20" t="str">
        <f>HYPERLINK("http://yeinfo.com/family/I09012040.html", "Mrs. {_?_} FOSTER 1585 EN-1619 EN ID:09012041")</f>
        <v>Mrs. {_?_} FOSTER 1585 EN-1619 EN ID:09012041</v>
      </c>
      <c r="P7546" s="17"/>
      <c r="Q7546" s="17"/>
      <c r="R7546" s="17"/>
      <c r="S7546" s="17"/>
    </row>
    <row r="7547" spans="3:26" x14ac:dyDescent="0.35">
      <c r="C7547" s="15" t="s">
        <v>8</v>
      </c>
      <c r="G7547" s="15" t="s">
        <v>8</v>
      </c>
      <c r="K7547" s="15" t="s">
        <v>8</v>
      </c>
      <c r="L7547" s="15" t="s">
        <v>8</v>
      </c>
      <c r="N7547" s="15" t="s">
        <v>8</v>
      </c>
    </row>
    <row r="7548" spans="3:26" x14ac:dyDescent="0.35">
      <c r="C7548" s="15" t="s">
        <v>8</v>
      </c>
      <c r="G7548" s="15" t="s">
        <v>8</v>
      </c>
      <c r="K7548" s="15" t="s">
        <v>8</v>
      </c>
      <c r="L7548" s="15" t="s">
        <v>8</v>
      </c>
      <c r="M7548" s="5" t="str">
        <f>HYPERLINK("http://yeinfo.com/family/I09001505.html", "SAMUEL ELI FOSTER Jr. 1650 MA-1730 MA ID:09003010")</f>
        <v>SAMUEL ELI FOSTER Jr. 1650 MA-1730 MA ID:09003010</v>
      </c>
      <c r="N7548" s="3"/>
      <c r="O7548" s="3"/>
      <c r="P7548" s="3"/>
      <c r="Q7548" s="3"/>
    </row>
    <row r="7549" spans="3:26" x14ac:dyDescent="0.35">
      <c r="C7549" s="15" t="s">
        <v>8</v>
      </c>
      <c r="G7549" s="15" t="s">
        <v>8</v>
      </c>
      <c r="K7549" s="15" t="s">
        <v>8</v>
      </c>
      <c r="L7549" s="15" t="s">
        <v>8</v>
      </c>
      <c r="M7549" s="8" t="s">
        <v>3</v>
      </c>
      <c r="N7549" s="15" t="s">
        <v>8</v>
      </c>
    </row>
    <row r="7550" spans="3:26" x14ac:dyDescent="0.35">
      <c r="C7550" s="15" t="s">
        <v>8</v>
      </c>
      <c r="G7550" s="15" t="s">
        <v>8</v>
      </c>
      <c r="K7550" s="15" t="s">
        <v>8</v>
      </c>
      <c r="L7550" s="15" t="s">
        <v>8</v>
      </c>
      <c r="M7550" s="15" t="s">
        <v>8</v>
      </c>
      <c r="N7550" s="15" t="s">
        <v>8</v>
      </c>
      <c r="V7550" s="19" t="str">
        <f>HYPERLINK("http://yeinfo.com/family/I09066053.html", "JOHN KEMPE 1405 EN-1460 EN ID:09066243")</f>
        <v>JOHN KEMPE 1405 EN-1460 EN ID:09066243</v>
      </c>
      <c r="W7550" s="9"/>
      <c r="X7550" s="9"/>
      <c r="Y7550" s="9"/>
      <c r="Z7550" s="9"/>
    </row>
    <row r="7551" spans="3:26" x14ac:dyDescent="0.35">
      <c r="C7551" s="15" t="s">
        <v>8</v>
      </c>
      <c r="G7551" s="15" t="s">
        <v>8</v>
      </c>
      <c r="K7551" s="15" t="s">
        <v>8</v>
      </c>
      <c r="L7551" s="15" t="s">
        <v>8</v>
      </c>
      <c r="M7551" s="15" t="s">
        <v>8</v>
      </c>
      <c r="N7551" s="15" t="s">
        <v>8</v>
      </c>
      <c r="V7551" s="8" t="s">
        <v>3</v>
      </c>
    </row>
    <row r="7552" spans="3:26" x14ac:dyDescent="0.35">
      <c r="C7552" s="15" t="s">
        <v>8</v>
      </c>
      <c r="G7552" s="15" t="s">
        <v>8</v>
      </c>
      <c r="K7552" s="15" t="s">
        <v>8</v>
      </c>
      <c r="L7552" s="15" t="s">
        <v>8</v>
      </c>
      <c r="M7552" s="15" t="s">
        <v>8</v>
      </c>
      <c r="N7552" s="15" t="s">
        <v>8</v>
      </c>
      <c r="U7552" s="19" t="str">
        <f>HYPERLINK("http://yeinfo.com/family/I09065897.html", "ROBERT KEMPE 1427 EN-1485 EN ID:09066053")</f>
        <v>ROBERT KEMPE 1427 EN-1485 EN ID:09066053</v>
      </c>
      <c r="V7552" s="9"/>
      <c r="W7552" s="9"/>
      <c r="X7552" s="9"/>
      <c r="Y7552" s="9"/>
    </row>
    <row r="7553" spans="3:27" x14ac:dyDescent="0.35">
      <c r="C7553" s="15" t="s">
        <v>8</v>
      </c>
      <c r="G7553" s="15" t="s">
        <v>8</v>
      </c>
      <c r="K7553" s="15" t="s">
        <v>8</v>
      </c>
      <c r="L7553" s="15" t="s">
        <v>8</v>
      </c>
      <c r="M7553" s="15" t="s">
        <v>8</v>
      </c>
      <c r="N7553" s="15" t="s">
        <v>8</v>
      </c>
      <c r="U7553" s="8" t="s">
        <v>3</v>
      </c>
      <c r="V7553" s="15" t="s">
        <v>8</v>
      </c>
    </row>
    <row r="7554" spans="3:27" x14ac:dyDescent="0.35">
      <c r="C7554" s="15" t="s">
        <v>8</v>
      </c>
      <c r="G7554" s="15" t="s">
        <v>8</v>
      </c>
      <c r="K7554" s="15" t="s">
        <v>8</v>
      </c>
      <c r="L7554" s="15" t="s">
        <v>8</v>
      </c>
      <c r="M7554" s="15" t="s">
        <v>8</v>
      </c>
      <c r="N7554" s="15" t="s">
        <v>8</v>
      </c>
      <c r="U7554" s="15" t="s">
        <v>8</v>
      </c>
      <c r="V7554" s="15" t="s">
        <v>8</v>
      </c>
      <c r="W7554" s="19" t="str">
        <f>HYPERLINK("http://yeinfo.com/family/I09066244.html", "ROBERT DUKE 1388 EN-1408 EN ID:09066395")</f>
        <v>ROBERT DUKE 1388 EN-1408 EN ID:09066395</v>
      </c>
      <c r="X7554" s="9"/>
      <c r="Y7554" s="9"/>
      <c r="Z7554" s="9"/>
      <c r="AA7554" s="9"/>
    </row>
    <row r="7555" spans="3:27" x14ac:dyDescent="0.35">
      <c r="C7555" s="15" t="s">
        <v>8</v>
      </c>
      <c r="G7555" s="15" t="s">
        <v>8</v>
      </c>
      <c r="K7555" s="15" t="s">
        <v>8</v>
      </c>
      <c r="L7555" s="15" t="s">
        <v>8</v>
      </c>
      <c r="M7555" s="15" t="s">
        <v>8</v>
      </c>
      <c r="N7555" s="15" t="s">
        <v>8</v>
      </c>
      <c r="U7555" s="15" t="s">
        <v>8</v>
      </c>
      <c r="V7555" s="8" t="s">
        <v>6</v>
      </c>
      <c r="W7555" s="8" t="s">
        <v>3</v>
      </c>
    </row>
    <row r="7556" spans="3:27" x14ac:dyDescent="0.35">
      <c r="C7556" s="15" t="s">
        <v>8</v>
      </c>
      <c r="G7556" s="15" t="s">
        <v>8</v>
      </c>
      <c r="K7556" s="15" t="s">
        <v>8</v>
      </c>
      <c r="L7556" s="15" t="s">
        <v>8</v>
      </c>
      <c r="M7556" s="15" t="s">
        <v>8</v>
      </c>
      <c r="N7556" s="15" t="s">
        <v>8</v>
      </c>
      <c r="U7556" s="15" t="s">
        <v>8</v>
      </c>
      <c r="V7556" s="20" t="str">
        <f>HYPERLINK("http://yeinfo.com/family/I09066243.html", "ALICE DUKE 1405 EN-1427 EN ID:09066244")</f>
        <v>ALICE DUKE 1405 EN-1427 EN ID:09066244</v>
      </c>
      <c r="W7556" s="17"/>
      <c r="X7556" s="17"/>
      <c r="Y7556" s="17"/>
      <c r="Z7556" s="17"/>
    </row>
    <row r="7557" spans="3:27" x14ac:dyDescent="0.35">
      <c r="C7557" s="15" t="s">
        <v>8</v>
      </c>
      <c r="G7557" s="15" t="s">
        <v>8</v>
      </c>
      <c r="K7557" s="15" t="s">
        <v>8</v>
      </c>
      <c r="L7557" s="15" t="s">
        <v>8</v>
      </c>
      <c r="M7557" s="15" t="s">
        <v>8</v>
      </c>
      <c r="N7557" s="15" t="s">
        <v>8</v>
      </c>
      <c r="U7557" s="15" t="s">
        <v>8</v>
      </c>
      <c r="W7557" s="8" t="s">
        <v>6</v>
      </c>
    </row>
    <row r="7558" spans="3:27" x14ac:dyDescent="0.35">
      <c r="C7558" s="15" t="s">
        <v>8</v>
      </c>
      <c r="G7558" s="15" t="s">
        <v>8</v>
      </c>
      <c r="K7558" s="15" t="s">
        <v>8</v>
      </c>
      <c r="L7558" s="15" t="s">
        <v>8</v>
      </c>
      <c r="M7558" s="15" t="s">
        <v>8</v>
      </c>
      <c r="N7558" s="15" t="s">
        <v>8</v>
      </c>
      <c r="U7558" s="15" t="s">
        <v>8</v>
      </c>
      <c r="W7558" s="20" t="str">
        <f>HYPERLINK("http://yeinfo.com/family/I09066395.html", "JULIAN BUTVILLEYN 1390 EN-1410 EN ID:09066396")</f>
        <v>JULIAN BUTVILLEYN 1390 EN-1410 EN ID:09066396</v>
      </c>
      <c r="X7558" s="17"/>
      <c r="Y7558" s="17"/>
      <c r="Z7558" s="17"/>
      <c r="AA7558" s="17"/>
    </row>
    <row r="7559" spans="3:27" x14ac:dyDescent="0.35">
      <c r="C7559" s="15" t="s">
        <v>8</v>
      </c>
      <c r="G7559" s="15" t="s">
        <v>8</v>
      </c>
      <c r="K7559" s="15" t="s">
        <v>8</v>
      </c>
      <c r="L7559" s="15" t="s">
        <v>8</v>
      </c>
      <c r="M7559" s="15" t="s">
        <v>8</v>
      </c>
      <c r="N7559" s="15" t="s">
        <v>8</v>
      </c>
      <c r="U7559" s="15" t="s">
        <v>8</v>
      </c>
    </row>
    <row r="7560" spans="3:27" x14ac:dyDescent="0.35">
      <c r="C7560" s="15" t="s">
        <v>8</v>
      </c>
      <c r="G7560" s="15" t="s">
        <v>8</v>
      </c>
      <c r="K7560" s="15" t="s">
        <v>8</v>
      </c>
      <c r="L7560" s="15" t="s">
        <v>8</v>
      </c>
      <c r="M7560" s="15" t="s">
        <v>8</v>
      </c>
      <c r="N7560" s="15" t="s">
        <v>8</v>
      </c>
      <c r="T7560" s="19" t="str">
        <f>HYPERLINK("http://yeinfo.com/family/I09065748.html", "ROBERT KEMPE 1450 -1526 EN ID:09065897")</f>
        <v>ROBERT KEMPE 1450 -1526 EN ID:09065897</v>
      </c>
      <c r="U7560" s="9"/>
      <c r="V7560" s="9"/>
      <c r="W7560" s="9"/>
      <c r="X7560" s="9"/>
    </row>
    <row r="7561" spans="3:27" x14ac:dyDescent="0.35">
      <c r="C7561" s="15" t="s">
        <v>8</v>
      </c>
      <c r="G7561" s="15" t="s">
        <v>8</v>
      </c>
      <c r="K7561" s="15" t="s">
        <v>8</v>
      </c>
      <c r="L7561" s="15" t="s">
        <v>8</v>
      </c>
      <c r="M7561" s="15" t="s">
        <v>8</v>
      </c>
      <c r="N7561" s="15" t="s">
        <v>8</v>
      </c>
      <c r="T7561" s="8" t="s">
        <v>3</v>
      </c>
      <c r="U7561" s="8" t="s">
        <v>6</v>
      </c>
    </row>
    <row r="7562" spans="3:27" x14ac:dyDescent="0.35">
      <c r="C7562" s="15" t="s">
        <v>8</v>
      </c>
      <c r="G7562" s="15" t="s">
        <v>8</v>
      </c>
      <c r="K7562" s="15" t="s">
        <v>8</v>
      </c>
      <c r="L7562" s="15" t="s">
        <v>8</v>
      </c>
      <c r="M7562" s="15" t="s">
        <v>8</v>
      </c>
      <c r="N7562" s="15" t="s">
        <v>8</v>
      </c>
      <c r="T7562" s="15" t="s">
        <v>8</v>
      </c>
      <c r="U7562" s="20" t="str">
        <f>HYPERLINK("http://yeinfo.com/family/I09066396.html", "MARGARET\ELIZABETH CURZON 1430 -1526 EN ID:09066054")</f>
        <v>MARGARET\ELIZABETH CURZON 1430 -1526 EN ID:09066054</v>
      </c>
      <c r="V7562" s="17"/>
      <c r="W7562" s="17"/>
      <c r="X7562" s="17"/>
      <c r="Y7562" s="17"/>
      <c r="Z7562" s="17"/>
    </row>
    <row r="7563" spans="3:27" x14ac:dyDescent="0.35">
      <c r="C7563" s="15" t="s">
        <v>8</v>
      </c>
      <c r="G7563" s="15" t="s">
        <v>8</v>
      </c>
      <c r="K7563" s="15" t="s">
        <v>8</v>
      </c>
      <c r="L7563" s="15" t="s">
        <v>8</v>
      </c>
      <c r="M7563" s="15" t="s">
        <v>8</v>
      </c>
      <c r="N7563" s="15" t="s">
        <v>8</v>
      </c>
      <c r="T7563" s="15" t="s">
        <v>8</v>
      </c>
    </row>
    <row r="7564" spans="3:27" x14ac:dyDescent="0.35">
      <c r="C7564" s="15" t="s">
        <v>8</v>
      </c>
      <c r="G7564" s="15" t="s">
        <v>8</v>
      </c>
      <c r="K7564" s="15" t="s">
        <v>8</v>
      </c>
      <c r="L7564" s="15" t="s">
        <v>8</v>
      </c>
      <c r="M7564" s="15" t="s">
        <v>8</v>
      </c>
      <c r="N7564" s="15" t="s">
        <v>8</v>
      </c>
      <c r="S7564" s="19" t="str">
        <f>HYPERLINK("http://yeinfo.com/family/I09065621.html", "BARTHOLOMEW KEMPE 1490 EN-1554 EN ID:09065748")</f>
        <v>BARTHOLOMEW KEMPE 1490 EN-1554 EN ID:09065748</v>
      </c>
      <c r="T7564" s="9"/>
      <c r="U7564" s="9"/>
      <c r="V7564" s="9"/>
      <c r="W7564" s="9"/>
    </row>
    <row r="7565" spans="3:27" x14ac:dyDescent="0.35">
      <c r="C7565" s="15" t="s">
        <v>8</v>
      </c>
      <c r="G7565" s="15" t="s">
        <v>8</v>
      </c>
      <c r="K7565" s="15" t="s">
        <v>8</v>
      </c>
      <c r="L7565" s="15" t="s">
        <v>8</v>
      </c>
      <c r="M7565" s="15" t="s">
        <v>8</v>
      </c>
      <c r="N7565" s="15" t="s">
        <v>8</v>
      </c>
      <c r="S7565" s="8" t="s">
        <v>3</v>
      </c>
      <c r="T7565" s="8" t="s">
        <v>6</v>
      </c>
    </row>
    <row r="7566" spans="3:27" x14ac:dyDescent="0.35">
      <c r="C7566" s="15" t="s">
        <v>8</v>
      </c>
      <c r="G7566" s="15" t="s">
        <v>8</v>
      </c>
      <c r="K7566" s="15" t="s">
        <v>8</v>
      </c>
      <c r="L7566" s="15" t="s">
        <v>8</v>
      </c>
      <c r="M7566" s="15" t="s">
        <v>8</v>
      </c>
      <c r="N7566" s="15" t="s">
        <v>8</v>
      </c>
      <c r="S7566" s="15" t="s">
        <v>8</v>
      </c>
      <c r="T7566" s="20" t="str">
        <f>HYPERLINK("http://yeinfo.com/family/I09066054.html", "ANNE CLIFFORD 1450 EN-1501 EN ID:09065898")</f>
        <v>ANNE CLIFFORD 1450 EN-1501 EN ID:09065898</v>
      </c>
      <c r="U7566" s="17"/>
      <c r="V7566" s="17"/>
      <c r="W7566" s="17"/>
      <c r="X7566" s="17"/>
    </row>
    <row r="7567" spans="3:27" x14ac:dyDescent="0.35">
      <c r="C7567" s="15" t="s">
        <v>8</v>
      </c>
      <c r="G7567" s="15" t="s">
        <v>8</v>
      </c>
      <c r="K7567" s="15" t="s">
        <v>8</v>
      </c>
      <c r="L7567" s="15" t="s">
        <v>8</v>
      </c>
      <c r="M7567" s="15" t="s">
        <v>8</v>
      </c>
      <c r="N7567" s="15" t="s">
        <v>8</v>
      </c>
      <c r="S7567" s="15" t="s">
        <v>8</v>
      </c>
    </row>
    <row r="7568" spans="3:27" x14ac:dyDescent="0.35">
      <c r="C7568" s="15" t="s">
        <v>8</v>
      </c>
      <c r="G7568" s="15" t="s">
        <v>8</v>
      </c>
      <c r="K7568" s="15" t="s">
        <v>8</v>
      </c>
      <c r="L7568" s="15" t="s">
        <v>8</v>
      </c>
      <c r="M7568" s="15" t="s">
        <v>8</v>
      </c>
      <c r="N7568" s="15" t="s">
        <v>8</v>
      </c>
      <c r="R7568" s="19" t="str">
        <f>HYPERLINK("http://yeinfo.com/family/I09048168.html", "ROBERT KEMPE 1520 EN-1594 EN ID:09065621")</f>
        <v>ROBERT KEMPE 1520 EN-1594 EN ID:09065621</v>
      </c>
      <c r="S7568" s="9"/>
      <c r="T7568" s="9"/>
      <c r="U7568" s="9"/>
      <c r="V7568" s="9"/>
    </row>
    <row r="7569" spans="3:29" x14ac:dyDescent="0.35">
      <c r="C7569" s="15" t="s">
        <v>8</v>
      </c>
      <c r="G7569" s="15" t="s">
        <v>8</v>
      </c>
      <c r="K7569" s="15" t="s">
        <v>8</v>
      </c>
      <c r="L7569" s="15" t="s">
        <v>8</v>
      </c>
      <c r="M7569" s="15" t="s">
        <v>8</v>
      </c>
      <c r="N7569" s="15" t="s">
        <v>8</v>
      </c>
      <c r="R7569" s="8" t="s">
        <v>3</v>
      </c>
      <c r="S7569" s="15" t="s">
        <v>8</v>
      </c>
    </row>
    <row r="7570" spans="3:29" x14ac:dyDescent="0.35">
      <c r="C7570" s="15" t="s">
        <v>8</v>
      </c>
      <c r="G7570" s="15" t="s">
        <v>8</v>
      </c>
      <c r="K7570" s="15" t="s">
        <v>8</v>
      </c>
      <c r="L7570" s="15" t="s">
        <v>8</v>
      </c>
      <c r="M7570" s="15" t="s">
        <v>8</v>
      </c>
      <c r="N7570" s="15" t="s">
        <v>8</v>
      </c>
      <c r="R7570" s="15" t="s">
        <v>8</v>
      </c>
      <c r="S7570" s="15" t="s">
        <v>8</v>
      </c>
      <c r="T7570" s="19" t="str">
        <f>HYPERLINK("http://yeinfo.com/family/I09065749.html", "JOHN ALLYNE 1457 -1512 EN ID:09065899")</f>
        <v>JOHN ALLYNE 1457 -1512 EN ID:09065899</v>
      </c>
      <c r="U7570" s="9"/>
      <c r="V7570" s="9"/>
      <c r="W7570" s="9"/>
      <c r="X7570" s="9"/>
    </row>
    <row r="7571" spans="3:29" x14ac:dyDescent="0.35">
      <c r="C7571" s="15" t="s">
        <v>8</v>
      </c>
      <c r="G7571" s="15" t="s">
        <v>8</v>
      </c>
      <c r="K7571" s="15" t="s">
        <v>8</v>
      </c>
      <c r="L7571" s="15" t="s">
        <v>8</v>
      </c>
      <c r="M7571" s="15" t="s">
        <v>8</v>
      </c>
      <c r="N7571" s="15" t="s">
        <v>8</v>
      </c>
      <c r="R7571" s="15" t="s">
        <v>8</v>
      </c>
      <c r="S7571" s="8" t="s">
        <v>6</v>
      </c>
      <c r="T7571" s="8" t="s">
        <v>3</v>
      </c>
    </row>
    <row r="7572" spans="3:29" x14ac:dyDescent="0.35">
      <c r="C7572" s="15" t="s">
        <v>8</v>
      </c>
      <c r="G7572" s="15" t="s">
        <v>8</v>
      </c>
      <c r="K7572" s="15" t="s">
        <v>8</v>
      </c>
      <c r="L7572" s="15" t="s">
        <v>8</v>
      </c>
      <c r="M7572" s="15" t="s">
        <v>8</v>
      </c>
      <c r="N7572" s="15" t="s">
        <v>8</v>
      </c>
      <c r="R7572" s="15" t="s">
        <v>8</v>
      </c>
      <c r="S7572" s="20" t="str">
        <f>HYPERLINK("http://yeinfo.com/family/I09065898.html", "ANNE ALLYNE 1480 EN-1531 EN ID:09065749")</f>
        <v>ANNE ALLYNE 1480 EN-1531 EN ID:09065749</v>
      </c>
      <c r="T7572" s="17"/>
      <c r="U7572" s="17"/>
      <c r="V7572" s="17"/>
      <c r="W7572" s="17"/>
    </row>
    <row r="7573" spans="3:29" x14ac:dyDescent="0.35">
      <c r="C7573" s="15" t="s">
        <v>8</v>
      </c>
      <c r="G7573" s="15" t="s">
        <v>8</v>
      </c>
      <c r="K7573" s="15" t="s">
        <v>8</v>
      </c>
      <c r="L7573" s="15" t="s">
        <v>8</v>
      </c>
      <c r="M7573" s="15" t="s">
        <v>8</v>
      </c>
      <c r="N7573" s="15" t="s">
        <v>8</v>
      </c>
      <c r="R7573" s="15" t="s">
        <v>8</v>
      </c>
      <c r="T7573" s="15" t="s">
        <v>8</v>
      </c>
    </row>
    <row r="7574" spans="3:29" x14ac:dyDescent="0.35">
      <c r="C7574" s="15" t="s">
        <v>8</v>
      </c>
      <c r="G7574" s="15" t="s">
        <v>8</v>
      </c>
      <c r="K7574" s="15" t="s">
        <v>8</v>
      </c>
      <c r="L7574" s="15" t="s">
        <v>8</v>
      </c>
      <c r="M7574" s="15" t="s">
        <v>8</v>
      </c>
      <c r="N7574" s="15" t="s">
        <v>8</v>
      </c>
      <c r="R7574" s="15" t="s">
        <v>8</v>
      </c>
      <c r="T7574" s="15" t="s">
        <v>8</v>
      </c>
      <c r="W7574" s="19" t="str">
        <f>HYPERLINK("http://yeinfo.com/family/I09066245.html", "WILLIAM GEDDINGE 1368 EN-1400 EN ID:09066397")</f>
        <v>WILLIAM GEDDINGE 1368 EN-1400 EN ID:09066397</v>
      </c>
      <c r="X7574" s="9"/>
      <c r="Y7574" s="9"/>
      <c r="Z7574" s="9"/>
      <c r="AA7574" s="9"/>
    </row>
    <row r="7575" spans="3:29" x14ac:dyDescent="0.35">
      <c r="C7575" s="15" t="s">
        <v>8</v>
      </c>
      <c r="G7575" s="15" t="s">
        <v>8</v>
      </c>
      <c r="K7575" s="15" t="s">
        <v>8</v>
      </c>
      <c r="L7575" s="15" t="s">
        <v>8</v>
      </c>
      <c r="M7575" s="15" t="s">
        <v>8</v>
      </c>
      <c r="N7575" s="15" t="s">
        <v>8</v>
      </c>
      <c r="R7575" s="15" t="s">
        <v>8</v>
      </c>
      <c r="T7575" s="15" t="s">
        <v>8</v>
      </c>
      <c r="W7575" s="8" t="s">
        <v>3</v>
      </c>
    </row>
    <row r="7576" spans="3:29" x14ac:dyDescent="0.35">
      <c r="C7576" s="15" t="s">
        <v>8</v>
      </c>
      <c r="G7576" s="15" t="s">
        <v>8</v>
      </c>
      <c r="K7576" s="15" t="s">
        <v>8</v>
      </c>
      <c r="L7576" s="15" t="s">
        <v>8</v>
      </c>
      <c r="M7576" s="15" t="s">
        <v>8</v>
      </c>
      <c r="N7576" s="15" t="s">
        <v>8</v>
      </c>
      <c r="R7576" s="15" t="s">
        <v>8</v>
      </c>
      <c r="T7576" s="15" t="s">
        <v>8</v>
      </c>
      <c r="V7576" s="19" t="str">
        <f>HYPERLINK("http://yeinfo.com/family/I09066055.html", "THOMAS GEDDINGE 1400 EN-1465 EN ID:09066245")</f>
        <v>THOMAS GEDDINGE 1400 EN-1465 EN ID:09066245</v>
      </c>
      <c r="W7576" s="9"/>
      <c r="X7576" s="9"/>
      <c r="Y7576" s="9"/>
      <c r="Z7576" s="9"/>
    </row>
    <row r="7577" spans="3:29" x14ac:dyDescent="0.35">
      <c r="C7577" s="15" t="s">
        <v>8</v>
      </c>
      <c r="G7577" s="15" t="s">
        <v>8</v>
      </c>
      <c r="K7577" s="15" t="s">
        <v>8</v>
      </c>
      <c r="L7577" s="15" t="s">
        <v>8</v>
      </c>
      <c r="M7577" s="15" t="s">
        <v>8</v>
      </c>
      <c r="N7577" s="15" t="s">
        <v>8</v>
      </c>
      <c r="R7577" s="15" t="s">
        <v>8</v>
      </c>
      <c r="T7577" s="15" t="s">
        <v>8</v>
      </c>
      <c r="V7577" s="8" t="s">
        <v>3</v>
      </c>
      <c r="W7577" s="15" t="s">
        <v>8</v>
      </c>
    </row>
    <row r="7578" spans="3:29" x14ac:dyDescent="0.35">
      <c r="C7578" s="15" t="s">
        <v>8</v>
      </c>
      <c r="G7578" s="15" t="s">
        <v>8</v>
      </c>
      <c r="K7578" s="15" t="s">
        <v>8</v>
      </c>
      <c r="L7578" s="15" t="s">
        <v>8</v>
      </c>
      <c r="M7578" s="15" t="s">
        <v>8</v>
      </c>
      <c r="N7578" s="15" t="s">
        <v>8</v>
      </c>
      <c r="R7578" s="15" t="s">
        <v>8</v>
      </c>
      <c r="T7578" s="15" t="s">
        <v>8</v>
      </c>
      <c r="V7578" s="15" t="s">
        <v>8</v>
      </c>
      <c r="W7578" s="15" t="s">
        <v>8</v>
      </c>
      <c r="X7578" s="19" t="str">
        <f>HYPERLINK("http://yeinfo.com/family/I09066398.html", "JOHN ASPALE 1332 EN-1369 EN ID:09066737")</f>
        <v>JOHN ASPALE 1332 EN-1369 EN ID:09066737</v>
      </c>
      <c r="Y7578" s="9"/>
      <c r="Z7578" s="9"/>
      <c r="AA7578" s="9"/>
      <c r="AB7578" s="9"/>
    </row>
    <row r="7579" spans="3:29" x14ac:dyDescent="0.35">
      <c r="C7579" s="15" t="s">
        <v>8</v>
      </c>
      <c r="G7579" s="15" t="s">
        <v>8</v>
      </c>
      <c r="K7579" s="15" t="s">
        <v>8</v>
      </c>
      <c r="L7579" s="15" t="s">
        <v>8</v>
      </c>
      <c r="M7579" s="15" t="s">
        <v>8</v>
      </c>
      <c r="N7579" s="15" t="s">
        <v>8</v>
      </c>
      <c r="R7579" s="15" t="s">
        <v>8</v>
      </c>
      <c r="T7579" s="15" t="s">
        <v>8</v>
      </c>
      <c r="V7579" s="15" t="s">
        <v>8</v>
      </c>
      <c r="W7579" s="8" t="s">
        <v>6</v>
      </c>
      <c r="X7579" s="8" t="s">
        <v>3</v>
      </c>
    </row>
    <row r="7580" spans="3:29" x14ac:dyDescent="0.35">
      <c r="C7580" s="15" t="s">
        <v>8</v>
      </c>
      <c r="G7580" s="15" t="s">
        <v>8</v>
      </c>
      <c r="K7580" s="15" t="s">
        <v>8</v>
      </c>
      <c r="L7580" s="15" t="s">
        <v>8</v>
      </c>
      <c r="M7580" s="15" t="s">
        <v>8</v>
      </c>
      <c r="N7580" s="15" t="s">
        <v>8</v>
      </c>
      <c r="R7580" s="15" t="s">
        <v>8</v>
      </c>
      <c r="T7580" s="15" t="s">
        <v>8</v>
      </c>
      <c r="V7580" s="15" t="s">
        <v>8</v>
      </c>
      <c r="W7580" s="20" t="str">
        <f>HYPERLINK("http://yeinfo.com/family/I09066397.html", "MIRABELL ASPALE 1370 EN-1406 EN ID:09066398")</f>
        <v>MIRABELL ASPALE 1370 EN-1406 EN ID:09066398</v>
      </c>
      <c r="X7580" s="17"/>
      <c r="Y7580" s="17"/>
      <c r="Z7580" s="17"/>
      <c r="AA7580" s="17"/>
    </row>
    <row r="7581" spans="3:29" x14ac:dyDescent="0.35">
      <c r="C7581" s="15" t="s">
        <v>8</v>
      </c>
      <c r="G7581" s="15" t="s">
        <v>8</v>
      </c>
      <c r="K7581" s="15" t="s">
        <v>8</v>
      </c>
      <c r="L7581" s="15" t="s">
        <v>8</v>
      </c>
      <c r="M7581" s="15" t="s">
        <v>8</v>
      </c>
      <c r="N7581" s="15" t="s">
        <v>8</v>
      </c>
      <c r="R7581" s="15" t="s">
        <v>8</v>
      </c>
      <c r="T7581" s="15" t="s">
        <v>8</v>
      </c>
      <c r="V7581" s="15" t="s">
        <v>8</v>
      </c>
      <c r="X7581" s="15" t="s">
        <v>8</v>
      </c>
    </row>
    <row r="7582" spans="3:29" x14ac:dyDescent="0.35">
      <c r="C7582" s="15" t="s">
        <v>8</v>
      </c>
      <c r="G7582" s="15" t="s">
        <v>8</v>
      </c>
      <c r="K7582" s="15" t="s">
        <v>8</v>
      </c>
      <c r="L7582" s="15" t="s">
        <v>8</v>
      </c>
      <c r="M7582" s="15" t="s">
        <v>8</v>
      </c>
      <c r="N7582" s="15" t="s">
        <v>8</v>
      </c>
      <c r="R7582" s="15" t="s">
        <v>8</v>
      </c>
      <c r="T7582" s="15" t="s">
        <v>8</v>
      </c>
      <c r="V7582" s="15" t="s">
        <v>8</v>
      </c>
      <c r="X7582" s="15" t="s">
        <v>8</v>
      </c>
      <c r="Y7582" s="19" t="str">
        <f>HYPERLINK("http://yeinfo.com/family/I09066738.html", "GILBERT PECCHE 1306 EN-1349 EN ID:09066739")</f>
        <v>GILBERT PECCHE 1306 EN-1349 EN ID:09066739</v>
      </c>
      <c r="Z7582" s="9"/>
      <c r="AA7582" s="9"/>
      <c r="AB7582" s="9"/>
      <c r="AC7582" s="9"/>
    </row>
    <row r="7583" spans="3:29" x14ac:dyDescent="0.35">
      <c r="C7583" s="15" t="s">
        <v>8</v>
      </c>
      <c r="G7583" s="15" t="s">
        <v>8</v>
      </c>
      <c r="K7583" s="15" t="s">
        <v>8</v>
      </c>
      <c r="L7583" s="15" t="s">
        <v>8</v>
      </c>
      <c r="M7583" s="15" t="s">
        <v>8</v>
      </c>
      <c r="N7583" s="15" t="s">
        <v>8</v>
      </c>
      <c r="R7583" s="15" t="s">
        <v>8</v>
      </c>
      <c r="T7583" s="15" t="s">
        <v>8</v>
      </c>
      <c r="V7583" s="15" t="s">
        <v>8</v>
      </c>
      <c r="X7583" s="8" t="s">
        <v>6</v>
      </c>
      <c r="Y7583" s="8" t="s">
        <v>3</v>
      </c>
    </row>
    <row r="7584" spans="3:29" x14ac:dyDescent="0.35">
      <c r="C7584" s="15" t="s">
        <v>8</v>
      </c>
      <c r="G7584" s="15" t="s">
        <v>8</v>
      </c>
      <c r="K7584" s="15" t="s">
        <v>8</v>
      </c>
      <c r="L7584" s="15" t="s">
        <v>8</v>
      </c>
      <c r="M7584" s="15" t="s">
        <v>8</v>
      </c>
      <c r="N7584" s="15" t="s">
        <v>8</v>
      </c>
      <c r="R7584" s="15" t="s">
        <v>8</v>
      </c>
      <c r="T7584" s="15" t="s">
        <v>8</v>
      </c>
      <c r="V7584" s="15" t="s">
        <v>8</v>
      </c>
      <c r="X7584" s="20" t="str">
        <f>HYPERLINK("http://yeinfo.com/family/I09066737.html", "KATHERINE PECCHE 1339 EN-1406 EN ID:09066738")</f>
        <v>KATHERINE PECCHE 1339 EN-1406 EN ID:09066738</v>
      </c>
      <c r="Y7584" s="17"/>
      <c r="Z7584" s="17"/>
      <c r="AA7584" s="17"/>
      <c r="AB7584" s="17"/>
    </row>
    <row r="7585" spans="3:29" x14ac:dyDescent="0.35">
      <c r="C7585" s="15" t="s">
        <v>8</v>
      </c>
      <c r="G7585" s="15" t="s">
        <v>8</v>
      </c>
      <c r="K7585" s="15" t="s">
        <v>8</v>
      </c>
      <c r="L7585" s="15" t="s">
        <v>8</v>
      </c>
      <c r="M7585" s="15" t="s">
        <v>8</v>
      </c>
      <c r="N7585" s="15" t="s">
        <v>8</v>
      </c>
      <c r="R7585" s="15" t="s">
        <v>8</v>
      </c>
      <c r="T7585" s="15" t="s">
        <v>8</v>
      </c>
      <c r="V7585" s="15" t="s">
        <v>8</v>
      </c>
      <c r="Y7585" s="8" t="s">
        <v>6</v>
      </c>
    </row>
    <row r="7586" spans="3:29" x14ac:dyDescent="0.35">
      <c r="C7586" s="15" t="s">
        <v>8</v>
      </c>
      <c r="G7586" s="15" t="s">
        <v>8</v>
      </c>
      <c r="K7586" s="15" t="s">
        <v>8</v>
      </c>
      <c r="L7586" s="15" t="s">
        <v>8</v>
      </c>
      <c r="M7586" s="15" t="s">
        <v>8</v>
      </c>
      <c r="N7586" s="15" t="s">
        <v>8</v>
      </c>
      <c r="R7586" s="15" t="s">
        <v>8</v>
      </c>
      <c r="T7586" s="15" t="s">
        <v>8</v>
      </c>
      <c r="V7586" s="15" t="s">
        <v>8</v>
      </c>
      <c r="Y7586" s="20" t="str">
        <f>HYPERLINK("http://yeinfo.com/family/I09066739.html", "Mrs. JOAN PECCHE 1319 EN-1341 EN ID:09066740")</f>
        <v>Mrs. JOAN PECCHE 1319 EN-1341 EN ID:09066740</v>
      </c>
      <c r="Z7586" s="17"/>
      <c r="AA7586" s="17"/>
      <c r="AB7586" s="17"/>
      <c r="AC7586" s="17"/>
    </row>
    <row r="7587" spans="3:29" x14ac:dyDescent="0.35">
      <c r="C7587" s="15" t="s">
        <v>8</v>
      </c>
      <c r="G7587" s="15" t="s">
        <v>8</v>
      </c>
      <c r="K7587" s="15" t="s">
        <v>8</v>
      </c>
      <c r="L7587" s="15" t="s">
        <v>8</v>
      </c>
      <c r="M7587" s="15" t="s">
        <v>8</v>
      </c>
      <c r="N7587" s="15" t="s">
        <v>8</v>
      </c>
      <c r="R7587" s="15" t="s">
        <v>8</v>
      </c>
      <c r="T7587" s="15" t="s">
        <v>8</v>
      </c>
      <c r="V7587" s="15" t="s">
        <v>8</v>
      </c>
    </row>
    <row r="7588" spans="3:29" x14ac:dyDescent="0.35">
      <c r="C7588" s="15" t="s">
        <v>8</v>
      </c>
      <c r="G7588" s="15" t="s">
        <v>8</v>
      </c>
      <c r="K7588" s="15" t="s">
        <v>8</v>
      </c>
      <c r="L7588" s="15" t="s">
        <v>8</v>
      </c>
      <c r="M7588" s="15" t="s">
        <v>8</v>
      </c>
      <c r="N7588" s="15" t="s">
        <v>8</v>
      </c>
      <c r="R7588" s="15" t="s">
        <v>8</v>
      </c>
      <c r="T7588" s="15" t="s">
        <v>8</v>
      </c>
      <c r="U7588" s="19" t="str">
        <f>HYPERLINK("http://yeinfo.com/family/I09065900.html", "WILLIAM GEDDINGE 1427 EN-1494 EN ID:09066055")</f>
        <v>WILLIAM GEDDINGE 1427 EN-1494 EN ID:09066055</v>
      </c>
      <c r="V7588" s="9"/>
      <c r="W7588" s="9"/>
      <c r="X7588" s="9"/>
      <c r="Y7588" s="9"/>
    </row>
    <row r="7589" spans="3:29" x14ac:dyDescent="0.35">
      <c r="C7589" s="15" t="s">
        <v>8</v>
      </c>
      <c r="G7589" s="15" t="s">
        <v>8</v>
      </c>
      <c r="K7589" s="15" t="s">
        <v>8</v>
      </c>
      <c r="L7589" s="15" t="s">
        <v>8</v>
      </c>
      <c r="M7589" s="15" t="s">
        <v>8</v>
      </c>
      <c r="N7589" s="15" t="s">
        <v>8</v>
      </c>
      <c r="R7589" s="15" t="s">
        <v>8</v>
      </c>
      <c r="T7589" s="15" t="s">
        <v>8</v>
      </c>
      <c r="U7589" s="8" t="s">
        <v>3</v>
      </c>
      <c r="V7589" s="15" t="s">
        <v>8</v>
      </c>
    </row>
    <row r="7590" spans="3:29" x14ac:dyDescent="0.35">
      <c r="C7590" s="15" t="s">
        <v>8</v>
      </c>
      <c r="G7590" s="15" t="s">
        <v>8</v>
      </c>
      <c r="K7590" s="15" t="s">
        <v>8</v>
      </c>
      <c r="L7590" s="15" t="s">
        <v>8</v>
      </c>
      <c r="M7590" s="15" t="s">
        <v>8</v>
      </c>
      <c r="N7590" s="15" t="s">
        <v>8</v>
      </c>
      <c r="R7590" s="15" t="s">
        <v>8</v>
      </c>
      <c r="T7590" s="15" t="s">
        <v>8</v>
      </c>
      <c r="U7590" s="15" t="s">
        <v>8</v>
      </c>
      <c r="V7590" s="15" t="s">
        <v>8</v>
      </c>
      <c r="X7590" s="19" t="str">
        <f>HYPERLINK("http://yeinfo.com/family/I09066399.html", "THOMAS ASTLEY 1351 EN-1384 EN ID:09066741")</f>
        <v>THOMAS ASTLEY 1351 EN-1384 EN ID:09066741</v>
      </c>
      <c r="Y7590" s="9"/>
      <c r="Z7590" s="9"/>
      <c r="AA7590" s="9"/>
      <c r="AB7590" s="9"/>
    </row>
    <row r="7591" spans="3:29" x14ac:dyDescent="0.35">
      <c r="C7591" s="15" t="s">
        <v>8</v>
      </c>
      <c r="G7591" s="15" t="s">
        <v>8</v>
      </c>
      <c r="K7591" s="15" t="s">
        <v>8</v>
      </c>
      <c r="L7591" s="15" t="s">
        <v>8</v>
      </c>
      <c r="M7591" s="15" t="s">
        <v>8</v>
      </c>
      <c r="N7591" s="15" t="s">
        <v>8</v>
      </c>
      <c r="R7591" s="15" t="s">
        <v>8</v>
      </c>
      <c r="T7591" s="15" t="s">
        <v>8</v>
      </c>
      <c r="U7591" s="15" t="s">
        <v>8</v>
      </c>
      <c r="V7591" s="15" t="s">
        <v>8</v>
      </c>
      <c r="X7591" s="8" t="s">
        <v>3</v>
      </c>
    </row>
    <row r="7592" spans="3:29" x14ac:dyDescent="0.35">
      <c r="C7592" s="15" t="s">
        <v>8</v>
      </c>
      <c r="G7592" s="15" t="s">
        <v>8</v>
      </c>
      <c r="K7592" s="15" t="s">
        <v>8</v>
      </c>
      <c r="L7592" s="15" t="s">
        <v>8</v>
      </c>
      <c r="M7592" s="15" t="s">
        <v>8</v>
      </c>
      <c r="N7592" s="15" t="s">
        <v>8</v>
      </c>
      <c r="R7592" s="15" t="s">
        <v>8</v>
      </c>
      <c r="T7592" s="15" t="s">
        <v>8</v>
      </c>
      <c r="U7592" s="15" t="s">
        <v>8</v>
      </c>
      <c r="V7592" s="15" t="s">
        <v>8</v>
      </c>
      <c r="W7592" s="19" t="str">
        <f>HYPERLINK("http://yeinfo.com/family/I09066246.html", "THOMAS ASTLEY 1385 EN-1423 EN ID:09066399")</f>
        <v>THOMAS ASTLEY 1385 EN-1423 EN ID:09066399</v>
      </c>
      <c r="X7592" s="9"/>
      <c r="Y7592" s="9"/>
      <c r="Z7592" s="9"/>
      <c r="AA7592" s="9"/>
    </row>
    <row r="7593" spans="3:29" x14ac:dyDescent="0.35">
      <c r="C7593" s="15" t="s">
        <v>8</v>
      </c>
      <c r="G7593" s="15" t="s">
        <v>8</v>
      </c>
      <c r="K7593" s="15" t="s">
        <v>8</v>
      </c>
      <c r="L7593" s="15" t="s">
        <v>8</v>
      </c>
      <c r="M7593" s="15" t="s">
        <v>8</v>
      </c>
      <c r="N7593" s="15" t="s">
        <v>8</v>
      </c>
      <c r="R7593" s="15" t="s">
        <v>8</v>
      </c>
      <c r="T7593" s="15" t="s">
        <v>8</v>
      </c>
      <c r="U7593" s="15" t="s">
        <v>8</v>
      </c>
      <c r="V7593" s="15" t="s">
        <v>8</v>
      </c>
      <c r="W7593" s="8" t="s">
        <v>3</v>
      </c>
      <c r="X7593" s="8" t="s">
        <v>6</v>
      </c>
    </row>
    <row r="7594" spans="3:29" x14ac:dyDescent="0.35">
      <c r="C7594" s="15" t="s">
        <v>8</v>
      </c>
      <c r="G7594" s="15" t="s">
        <v>8</v>
      </c>
      <c r="K7594" s="15" t="s">
        <v>8</v>
      </c>
      <c r="L7594" s="15" t="s">
        <v>8</v>
      </c>
      <c r="M7594" s="15" t="s">
        <v>8</v>
      </c>
      <c r="N7594" s="15" t="s">
        <v>8</v>
      </c>
      <c r="R7594" s="15" t="s">
        <v>8</v>
      </c>
      <c r="T7594" s="15" t="s">
        <v>8</v>
      </c>
      <c r="U7594" s="15" t="s">
        <v>8</v>
      </c>
      <c r="V7594" s="15" t="s">
        <v>8</v>
      </c>
      <c r="W7594" s="15" t="s">
        <v>8</v>
      </c>
      <c r="X7594" s="20" t="str">
        <f>HYPERLINK("http://yeinfo.com/family/I09066741.html", "CATHERINE BACON 1355 EN-1384 EN ID:09066742")</f>
        <v>CATHERINE BACON 1355 EN-1384 EN ID:09066742</v>
      </c>
      <c r="Y7594" s="17"/>
      <c r="Z7594" s="17"/>
      <c r="AA7594" s="17"/>
      <c r="AB7594" s="17"/>
    </row>
    <row r="7595" spans="3:29" x14ac:dyDescent="0.35">
      <c r="C7595" s="15" t="s">
        <v>8</v>
      </c>
      <c r="G7595" s="15" t="s">
        <v>8</v>
      </c>
      <c r="K7595" s="15" t="s">
        <v>8</v>
      </c>
      <c r="L7595" s="15" t="s">
        <v>8</v>
      </c>
      <c r="M7595" s="15" t="s">
        <v>8</v>
      </c>
      <c r="N7595" s="15" t="s">
        <v>8</v>
      </c>
      <c r="R7595" s="15" t="s">
        <v>8</v>
      </c>
      <c r="T7595" s="15" t="s">
        <v>8</v>
      </c>
      <c r="U7595" s="15" t="s">
        <v>8</v>
      </c>
      <c r="V7595" s="8" t="s">
        <v>6</v>
      </c>
      <c r="W7595" s="15" t="s">
        <v>8</v>
      </c>
    </row>
    <row r="7596" spans="3:29" x14ac:dyDescent="0.35">
      <c r="C7596" s="15" t="s">
        <v>8</v>
      </c>
      <c r="G7596" s="15" t="s">
        <v>8</v>
      </c>
      <c r="K7596" s="15" t="s">
        <v>8</v>
      </c>
      <c r="L7596" s="15" t="s">
        <v>8</v>
      </c>
      <c r="M7596" s="15" t="s">
        <v>8</v>
      </c>
      <c r="N7596" s="15" t="s">
        <v>8</v>
      </c>
      <c r="R7596" s="15" t="s">
        <v>8</v>
      </c>
      <c r="T7596" s="15" t="s">
        <v>8</v>
      </c>
      <c r="U7596" s="15" t="s">
        <v>8</v>
      </c>
      <c r="V7596" s="20" t="str">
        <f>HYPERLINK("http://yeinfo.com/family/I09066740.html", "ANNE ASTLEY 1408 EN-1428 EN ID:09066246")</f>
        <v>ANNE ASTLEY 1408 EN-1428 EN ID:09066246</v>
      </c>
      <c r="W7596" s="17"/>
      <c r="X7596" s="17"/>
      <c r="Y7596" s="17"/>
      <c r="Z7596" s="17"/>
    </row>
    <row r="7597" spans="3:29" x14ac:dyDescent="0.35">
      <c r="C7597" s="15" t="s">
        <v>8</v>
      </c>
      <c r="G7597" s="15" t="s">
        <v>8</v>
      </c>
      <c r="K7597" s="15" t="s">
        <v>8</v>
      </c>
      <c r="L7597" s="15" t="s">
        <v>8</v>
      </c>
      <c r="M7597" s="15" t="s">
        <v>8</v>
      </c>
      <c r="N7597" s="15" t="s">
        <v>8</v>
      </c>
      <c r="R7597" s="15" t="s">
        <v>8</v>
      </c>
      <c r="T7597" s="15" t="s">
        <v>8</v>
      </c>
      <c r="U7597" s="15" t="s">
        <v>8</v>
      </c>
      <c r="W7597" s="8" t="s">
        <v>6</v>
      </c>
    </row>
    <row r="7598" spans="3:29" x14ac:dyDescent="0.35">
      <c r="C7598" s="15" t="s">
        <v>8</v>
      </c>
      <c r="G7598" s="15" t="s">
        <v>8</v>
      </c>
      <c r="K7598" s="15" t="s">
        <v>8</v>
      </c>
      <c r="L7598" s="15" t="s">
        <v>8</v>
      </c>
      <c r="M7598" s="15" t="s">
        <v>8</v>
      </c>
      <c r="N7598" s="15" t="s">
        <v>8</v>
      </c>
      <c r="R7598" s="15" t="s">
        <v>8</v>
      </c>
      <c r="T7598" s="15" t="s">
        <v>8</v>
      </c>
      <c r="U7598" s="15" t="s">
        <v>8</v>
      </c>
      <c r="W7598" s="20" t="str">
        <f>HYPERLINK("http://yeinfo.com/family/I09066742.html", "ELIZABETH DACRE 1390 EN-1410 EN ID:09066400")</f>
        <v>ELIZABETH DACRE 1390 EN-1410 EN ID:09066400</v>
      </c>
      <c r="X7598" s="17"/>
      <c r="Y7598" s="17"/>
      <c r="Z7598" s="17"/>
      <c r="AA7598" s="17"/>
    </row>
    <row r="7599" spans="3:29" x14ac:dyDescent="0.35">
      <c r="C7599" s="15" t="s">
        <v>8</v>
      </c>
      <c r="G7599" s="15" t="s">
        <v>8</v>
      </c>
      <c r="K7599" s="15" t="s">
        <v>8</v>
      </c>
      <c r="L7599" s="15" t="s">
        <v>8</v>
      </c>
      <c r="M7599" s="15" t="s">
        <v>8</v>
      </c>
      <c r="N7599" s="15" t="s">
        <v>8</v>
      </c>
      <c r="R7599" s="15" t="s">
        <v>8</v>
      </c>
      <c r="T7599" s="8" t="s">
        <v>6</v>
      </c>
      <c r="U7599" s="15" t="s">
        <v>8</v>
      </c>
    </row>
    <row r="7600" spans="3:29" x14ac:dyDescent="0.35">
      <c r="C7600" s="15" t="s">
        <v>8</v>
      </c>
      <c r="G7600" s="15" t="s">
        <v>8</v>
      </c>
      <c r="K7600" s="15" t="s">
        <v>8</v>
      </c>
      <c r="L7600" s="15" t="s">
        <v>8</v>
      </c>
      <c r="M7600" s="15" t="s">
        <v>8</v>
      </c>
      <c r="N7600" s="15" t="s">
        <v>8</v>
      </c>
      <c r="R7600" s="15" t="s">
        <v>8</v>
      </c>
      <c r="T7600" s="20" t="str">
        <f>HYPERLINK("http://yeinfo.com/family/I09065899.html", "CONSTANCE GEDDINGE 1453 EN-1480 EN ID:09065900")</f>
        <v>CONSTANCE GEDDINGE 1453 EN-1480 EN ID:09065900</v>
      </c>
      <c r="U7600" s="17"/>
      <c r="V7600" s="17"/>
      <c r="W7600" s="17"/>
      <c r="X7600" s="17"/>
    </row>
    <row r="7601" spans="3:27" x14ac:dyDescent="0.35">
      <c r="C7601" s="15" t="s">
        <v>8</v>
      </c>
      <c r="G7601" s="15" t="s">
        <v>8</v>
      </c>
      <c r="K7601" s="15" t="s">
        <v>8</v>
      </c>
      <c r="L7601" s="15" t="s">
        <v>8</v>
      </c>
      <c r="M7601" s="15" t="s">
        <v>8</v>
      </c>
      <c r="N7601" s="15" t="s">
        <v>8</v>
      </c>
      <c r="R7601" s="15" t="s">
        <v>8</v>
      </c>
      <c r="U7601" s="15" t="s">
        <v>8</v>
      </c>
    </row>
    <row r="7602" spans="3:27" x14ac:dyDescent="0.35">
      <c r="C7602" s="15" t="s">
        <v>8</v>
      </c>
      <c r="G7602" s="15" t="s">
        <v>8</v>
      </c>
      <c r="K7602" s="15" t="s">
        <v>8</v>
      </c>
      <c r="L7602" s="15" t="s">
        <v>8</v>
      </c>
      <c r="M7602" s="15" t="s">
        <v>8</v>
      </c>
      <c r="N7602" s="15" t="s">
        <v>8</v>
      </c>
      <c r="R7602" s="15" t="s">
        <v>8</v>
      </c>
      <c r="U7602" s="15" t="s">
        <v>8</v>
      </c>
      <c r="V7602" s="19" t="str">
        <f>HYPERLINK("http://yeinfo.com/family/I09066056.html", "JOHN WATKINS 1405 EN-1470 EN ID:09066247")</f>
        <v>JOHN WATKINS 1405 EN-1470 EN ID:09066247</v>
      </c>
      <c r="W7602" s="9"/>
      <c r="X7602" s="9"/>
      <c r="Y7602" s="9"/>
      <c r="Z7602" s="9"/>
    </row>
    <row r="7603" spans="3:27" x14ac:dyDescent="0.35">
      <c r="C7603" s="15" t="s">
        <v>8</v>
      </c>
      <c r="G7603" s="15" t="s">
        <v>8</v>
      </c>
      <c r="K7603" s="15" t="s">
        <v>8</v>
      </c>
      <c r="L7603" s="15" t="s">
        <v>8</v>
      </c>
      <c r="M7603" s="15" t="s">
        <v>8</v>
      </c>
      <c r="N7603" s="15" t="s">
        <v>8</v>
      </c>
      <c r="R7603" s="15" t="s">
        <v>8</v>
      </c>
      <c r="U7603" s="8" t="s">
        <v>6</v>
      </c>
      <c r="V7603" s="8" t="s">
        <v>3</v>
      </c>
    </row>
    <row r="7604" spans="3:27" x14ac:dyDescent="0.35">
      <c r="C7604" s="15" t="s">
        <v>8</v>
      </c>
      <c r="G7604" s="15" t="s">
        <v>8</v>
      </c>
      <c r="K7604" s="15" t="s">
        <v>8</v>
      </c>
      <c r="L7604" s="15" t="s">
        <v>8</v>
      </c>
      <c r="M7604" s="15" t="s">
        <v>8</v>
      </c>
      <c r="N7604" s="15" t="s">
        <v>8</v>
      </c>
      <c r="R7604" s="15" t="s">
        <v>8</v>
      </c>
      <c r="U7604" s="20" t="str">
        <f>HYPERLINK("http://yeinfo.com/family/I09066400.html", "MARGERIE WATKINS 1431 EN-1488 EN ID:09066056")</f>
        <v>MARGERIE WATKINS 1431 EN-1488 EN ID:09066056</v>
      </c>
      <c r="V7604" s="17"/>
      <c r="W7604" s="17"/>
      <c r="X7604" s="17"/>
      <c r="Y7604" s="17"/>
    </row>
    <row r="7605" spans="3:27" x14ac:dyDescent="0.35">
      <c r="C7605" s="15" t="s">
        <v>8</v>
      </c>
      <c r="G7605" s="15" t="s">
        <v>8</v>
      </c>
      <c r="K7605" s="15" t="s">
        <v>8</v>
      </c>
      <c r="L7605" s="15" t="s">
        <v>8</v>
      </c>
      <c r="M7605" s="15" t="s">
        <v>8</v>
      </c>
      <c r="N7605" s="15" t="s">
        <v>8</v>
      </c>
      <c r="R7605" s="15" t="s">
        <v>8</v>
      </c>
      <c r="V7605" s="15" t="s">
        <v>8</v>
      </c>
    </row>
    <row r="7606" spans="3:27" x14ac:dyDescent="0.35">
      <c r="C7606" s="15" t="s">
        <v>8</v>
      </c>
      <c r="G7606" s="15" t="s">
        <v>8</v>
      </c>
      <c r="K7606" s="15" t="s">
        <v>8</v>
      </c>
      <c r="L7606" s="15" t="s">
        <v>8</v>
      </c>
      <c r="M7606" s="15" t="s">
        <v>8</v>
      </c>
      <c r="N7606" s="15" t="s">
        <v>8</v>
      </c>
      <c r="R7606" s="15" t="s">
        <v>8</v>
      </c>
      <c r="V7606" s="15" t="s">
        <v>8</v>
      </c>
      <c r="W7606" s="19" t="str">
        <f>HYPERLINK("http://yeinfo.com/family/I09066248.html", "ROGER CHENEY 1362 EN-1414 EN ID:09066401")</f>
        <v>ROGER CHENEY 1362 EN-1414 EN ID:09066401</v>
      </c>
      <c r="X7606" s="9"/>
      <c r="Y7606" s="9"/>
      <c r="Z7606" s="9"/>
      <c r="AA7606" s="9"/>
    </row>
    <row r="7607" spans="3:27" x14ac:dyDescent="0.35">
      <c r="C7607" s="15" t="s">
        <v>8</v>
      </c>
      <c r="G7607" s="15" t="s">
        <v>8</v>
      </c>
      <c r="K7607" s="15" t="s">
        <v>8</v>
      </c>
      <c r="L7607" s="15" t="s">
        <v>8</v>
      </c>
      <c r="M7607" s="15" t="s">
        <v>8</v>
      </c>
      <c r="N7607" s="15" t="s">
        <v>8</v>
      </c>
      <c r="R7607" s="15" t="s">
        <v>8</v>
      </c>
      <c r="V7607" s="8" t="s">
        <v>6</v>
      </c>
      <c r="W7607" s="8" t="s">
        <v>3</v>
      </c>
    </row>
    <row r="7608" spans="3:27" x14ac:dyDescent="0.35">
      <c r="C7608" s="15" t="s">
        <v>8</v>
      </c>
      <c r="G7608" s="15" t="s">
        <v>8</v>
      </c>
      <c r="K7608" s="15" t="s">
        <v>8</v>
      </c>
      <c r="L7608" s="15" t="s">
        <v>8</v>
      </c>
      <c r="M7608" s="15" t="s">
        <v>8</v>
      </c>
      <c r="N7608" s="15" t="s">
        <v>8</v>
      </c>
      <c r="R7608" s="15" t="s">
        <v>8</v>
      </c>
      <c r="V7608" s="20" t="str">
        <f>HYPERLINK("http://yeinfo.com/family/I09066247.html", "ANNE CHENEY 1412 EN-1431 EN ID:09066248")</f>
        <v>ANNE CHENEY 1412 EN-1431 EN ID:09066248</v>
      </c>
      <c r="W7608" s="17"/>
      <c r="X7608" s="17"/>
      <c r="Y7608" s="17"/>
      <c r="Z7608" s="17"/>
    </row>
    <row r="7609" spans="3:27" x14ac:dyDescent="0.35">
      <c r="C7609" s="15" t="s">
        <v>8</v>
      </c>
      <c r="G7609" s="15" t="s">
        <v>8</v>
      </c>
      <c r="K7609" s="15" t="s">
        <v>8</v>
      </c>
      <c r="L7609" s="15" t="s">
        <v>8</v>
      </c>
      <c r="M7609" s="15" t="s">
        <v>8</v>
      </c>
      <c r="N7609" s="15" t="s">
        <v>8</v>
      </c>
      <c r="R7609" s="15" t="s">
        <v>8</v>
      </c>
      <c r="W7609" s="8" t="s">
        <v>6</v>
      </c>
    </row>
    <row r="7610" spans="3:27" x14ac:dyDescent="0.35">
      <c r="C7610" s="15" t="s">
        <v>8</v>
      </c>
      <c r="G7610" s="15" t="s">
        <v>8</v>
      </c>
      <c r="K7610" s="15" t="s">
        <v>8</v>
      </c>
      <c r="L7610" s="15" t="s">
        <v>8</v>
      </c>
      <c r="M7610" s="15" t="s">
        <v>8</v>
      </c>
      <c r="N7610" s="15" t="s">
        <v>8</v>
      </c>
      <c r="R7610" s="15" t="s">
        <v>8</v>
      </c>
      <c r="W7610" s="20" t="str">
        <f>HYPERLINK("http://yeinfo.com/family/I09066401.html", "AGNES CARLETON 1374 EN-1412 EN ID:09066402")</f>
        <v>AGNES CARLETON 1374 EN-1412 EN ID:09066402</v>
      </c>
      <c r="X7610" s="17"/>
      <c r="Y7610" s="17"/>
      <c r="Z7610" s="17"/>
      <c r="AA7610" s="17"/>
    </row>
    <row r="7611" spans="3:27" x14ac:dyDescent="0.35">
      <c r="C7611" s="15" t="s">
        <v>8</v>
      </c>
      <c r="G7611" s="15" t="s">
        <v>8</v>
      </c>
      <c r="K7611" s="15" t="s">
        <v>8</v>
      </c>
      <c r="L7611" s="15" t="s">
        <v>8</v>
      </c>
      <c r="M7611" s="15" t="s">
        <v>8</v>
      </c>
      <c r="N7611" s="15" t="s">
        <v>8</v>
      </c>
      <c r="R7611" s="15" t="s">
        <v>8</v>
      </c>
    </row>
    <row r="7612" spans="3:27" x14ac:dyDescent="0.35">
      <c r="C7612" s="15" t="s">
        <v>8</v>
      </c>
      <c r="G7612" s="15" t="s">
        <v>8</v>
      </c>
      <c r="K7612" s="15" t="s">
        <v>8</v>
      </c>
      <c r="L7612" s="15" t="s">
        <v>8</v>
      </c>
      <c r="M7612" s="15" t="s">
        <v>8</v>
      </c>
      <c r="N7612" s="15" t="s">
        <v>8</v>
      </c>
      <c r="Q7612" s="19" t="str">
        <f>HYPERLINK("http://yeinfo.com/family/I09024084.html", "RICHARD KEMPE 1542 EN-1600 EN ID:09048168")</f>
        <v>RICHARD KEMPE 1542 EN-1600 EN ID:09048168</v>
      </c>
      <c r="R7612" s="9"/>
      <c r="S7612" s="9"/>
      <c r="T7612" s="9"/>
      <c r="U7612" s="9"/>
    </row>
    <row r="7613" spans="3:27" x14ac:dyDescent="0.35">
      <c r="C7613" s="15" t="s">
        <v>8</v>
      </c>
      <c r="G7613" s="15" t="s">
        <v>8</v>
      </c>
      <c r="K7613" s="15" t="s">
        <v>8</v>
      </c>
      <c r="L7613" s="15" t="s">
        <v>8</v>
      </c>
      <c r="M7613" s="15" t="s">
        <v>8</v>
      </c>
      <c r="N7613" s="15" t="s">
        <v>8</v>
      </c>
      <c r="Q7613" s="8" t="s">
        <v>3</v>
      </c>
      <c r="R7613" s="15" t="s">
        <v>8</v>
      </c>
    </row>
    <row r="7614" spans="3:27" x14ac:dyDescent="0.35">
      <c r="C7614" s="15" t="s">
        <v>8</v>
      </c>
      <c r="G7614" s="15" t="s">
        <v>8</v>
      </c>
      <c r="K7614" s="15" t="s">
        <v>8</v>
      </c>
      <c r="L7614" s="15" t="s">
        <v>8</v>
      </c>
      <c r="M7614" s="15" t="s">
        <v>8</v>
      </c>
      <c r="N7614" s="15" t="s">
        <v>8</v>
      </c>
      <c r="Q7614" s="15" t="s">
        <v>8</v>
      </c>
      <c r="R7614" s="15" t="s">
        <v>8</v>
      </c>
      <c r="S7614" s="19" t="str">
        <f>HYPERLINK("http://yeinfo.com/family/I09065622.html", "EDMUND JOHN SMYTHWYN 1500 EN-1520 EN ID:09065750")</f>
        <v>EDMUND JOHN SMYTHWYN 1500 EN-1520 EN ID:09065750</v>
      </c>
      <c r="T7614" s="9"/>
      <c r="U7614" s="9"/>
      <c r="V7614" s="9"/>
      <c r="W7614" s="9"/>
    </row>
    <row r="7615" spans="3:27" x14ac:dyDescent="0.35">
      <c r="C7615" s="15" t="s">
        <v>8</v>
      </c>
      <c r="G7615" s="15" t="s">
        <v>8</v>
      </c>
      <c r="K7615" s="15" t="s">
        <v>8</v>
      </c>
      <c r="L7615" s="15" t="s">
        <v>8</v>
      </c>
      <c r="M7615" s="15" t="s">
        <v>8</v>
      </c>
      <c r="N7615" s="15" t="s">
        <v>8</v>
      </c>
      <c r="Q7615" s="15" t="s">
        <v>8</v>
      </c>
      <c r="R7615" s="8" t="s">
        <v>6</v>
      </c>
      <c r="S7615" s="8" t="s">
        <v>3</v>
      </c>
    </row>
    <row r="7616" spans="3:27" x14ac:dyDescent="0.35">
      <c r="C7616" s="15" t="s">
        <v>8</v>
      </c>
      <c r="G7616" s="15" t="s">
        <v>8</v>
      </c>
      <c r="K7616" s="15" t="s">
        <v>8</v>
      </c>
      <c r="L7616" s="15" t="s">
        <v>8</v>
      </c>
      <c r="M7616" s="15" t="s">
        <v>8</v>
      </c>
      <c r="N7616" s="15" t="s">
        <v>8</v>
      </c>
      <c r="Q7616" s="15" t="s">
        <v>8</v>
      </c>
      <c r="R7616" s="20" t="str">
        <f>HYPERLINK("http://yeinfo.com/family/I09066402.html", "ELIZABETH SMYTHWYN 1520 EN-1553 EN ID:09065622")</f>
        <v>ELIZABETH SMYTHWYN 1520 EN-1553 EN ID:09065622</v>
      </c>
      <c r="S7616" s="17"/>
      <c r="T7616" s="17"/>
      <c r="U7616" s="17"/>
      <c r="V7616" s="17"/>
    </row>
    <row r="7617" spans="3:23" x14ac:dyDescent="0.35">
      <c r="C7617" s="15" t="s">
        <v>8</v>
      </c>
      <c r="G7617" s="15" t="s">
        <v>8</v>
      </c>
      <c r="K7617" s="15" t="s">
        <v>8</v>
      </c>
      <c r="L7617" s="15" t="s">
        <v>8</v>
      </c>
      <c r="M7617" s="15" t="s">
        <v>8</v>
      </c>
      <c r="N7617" s="15" t="s">
        <v>8</v>
      </c>
      <c r="Q7617" s="15" t="s">
        <v>8</v>
      </c>
      <c r="S7617" s="8" t="s">
        <v>6</v>
      </c>
    </row>
    <row r="7618" spans="3:23" x14ac:dyDescent="0.35">
      <c r="C7618" s="15" t="s">
        <v>8</v>
      </c>
      <c r="G7618" s="15" t="s">
        <v>8</v>
      </c>
      <c r="K7618" s="15" t="s">
        <v>8</v>
      </c>
      <c r="L7618" s="15" t="s">
        <v>8</v>
      </c>
      <c r="M7618" s="15" t="s">
        <v>8</v>
      </c>
      <c r="N7618" s="15" t="s">
        <v>8</v>
      </c>
      <c r="Q7618" s="15" t="s">
        <v>8</v>
      </c>
      <c r="S7618" s="20" t="str">
        <f>HYPERLINK("http://yeinfo.com/family/I09065750.html", "Mrs. {_?_} SMYTHWYN 1500 EN-1520 EN ID:09065751")</f>
        <v>Mrs. {_?_} SMYTHWYN 1500 EN-1520 EN ID:09065751</v>
      </c>
      <c r="T7618" s="17"/>
      <c r="U7618" s="17"/>
      <c r="V7618" s="17"/>
      <c r="W7618" s="17"/>
    </row>
    <row r="7619" spans="3:23" x14ac:dyDescent="0.35">
      <c r="C7619" s="15" t="s">
        <v>8</v>
      </c>
      <c r="G7619" s="15" t="s">
        <v>8</v>
      </c>
      <c r="K7619" s="15" t="s">
        <v>8</v>
      </c>
      <c r="L7619" s="15" t="s">
        <v>8</v>
      </c>
      <c r="M7619" s="15" t="s">
        <v>8</v>
      </c>
      <c r="N7619" s="15" t="s">
        <v>8</v>
      </c>
      <c r="Q7619" s="15" t="s">
        <v>8</v>
      </c>
    </row>
    <row r="7620" spans="3:23" x14ac:dyDescent="0.35">
      <c r="C7620" s="15" t="s">
        <v>8</v>
      </c>
      <c r="G7620" s="15" t="s">
        <v>8</v>
      </c>
      <c r="K7620" s="15" t="s">
        <v>8</v>
      </c>
      <c r="L7620" s="15" t="s">
        <v>8</v>
      </c>
      <c r="M7620" s="15" t="s">
        <v>8</v>
      </c>
      <c r="N7620" s="15" t="s">
        <v>8</v>
      </c>
      <c r="P7620" s="19" t="str">
        <f>HYPERLINK("http://yeinfo.com/family/I09012042.html", "ROBERT KEMPE 1567 EN-1612 EN ID:09024084")</f>
        <v>ROBERT KEMPE 1567 EN-1612 EN ID:09024084</v>
      </c>
      <c r="Q7620" s="9"/>
      <c r="R7620" s="9"/>
      <c r="S7620" s="9"/>
      <c r="T7620" s="9"/>
    </row>
    <row r="7621" spans="3:23" x14ac:dyDescent="0.35">
      <c r="C7621" s="15" t="s">
        <v>8</v>
      </c>
      <c r="G7621" s="15" t="s">
        <v>8</v>
      </c>
      <c r="K7621" s="15" t="s">
        <v>8</v>
      </c>
      <c r="L7621" s="15" t="s">
        <v>8</v>
      </c>
      <c r="M7621" s="15" t="s">
        <v>8</v>
      </c>
      <c r="N7621" s="15" t="s">
        <v>8</v>
      </c>
      <c r="P7621" s="8" t="s">
        <v>3</v>
      </c>
      <c r="Q7621" s="15" t="s">
        <v>8</v>
      </c>
    </row>
    <row r="7622" spans="3:23" x14ac:dyDescent="0.35">
      <c r="C7622" s="15" t="s">
        <v>8</v>
      </c>
      <c r="G7622" s="15" t="s">
        <v>8</v>
      </c>
      <c r="K7622" s="15" t="s">
        <v>8</v>
      </c>
      <c r="L7622" s="15" t="s">
        <v>8</v>
      </c>
      <c r="M7622" s="15" t="s">
        <v>8</v>
      </c>
      <c r="N7622" s="15" t="s">
        <v>8</v>
      </c>
      <c r="P7622" s="15" t="s">
        <v>8</v>
      </c>
      <c r="Q7622" s="15" t="s">
        <v>8</v>
      </c>
      <c r="R7622" s="19" t="str">
        <f>HYPERLINK("http://yeinfo.com/family/I09048169.html", "PHILIP COCKERHAM 1519 EN-1545 EN ID:09065623")</f>
        <v>PHILIP COCKERHAM 1519 EN-1545 EN ID:09065623</v>
      </c>
      <c r="S7622" s="9"/>
      <c r="T7622" s="9"/>
      <c r="U7622" s="9"/>
      <c r="V7622" s="9"/>
    </row>
    <row r="7623" spans="3:23" x14ac:dyDescent="0.35">
      <c r="C7623" s="15" t="s">
        <v>8</v>
      </c>
      <c r="G7623" s="15" t="s">
        <v>8</v>
      </c>
      <c r="K7623" s="15" t="s">
        <v>8</v>
      </c>
      <c r="L7623" s="15" t="s">
        <v>8</v>
      </c>
      <c r="M7623" s="15" t="s">
        <v>8</v>
      </c>
      <c r="N7623" s="15" t="s">
        <v>8</v>
      </c>
      <c r="P7623" s="15" t="s">
        <v>8</v>
      </c>
      <c r="Q7623" s="8" t="s">
        <v>6</v>
      </c>
      <c r="R7623" s="8" t="s">
        <v>3</v>
      </c>
    </row>
    <row r="7624" spans="3:23" x14ac:dyDescent="0.35">
      <c r="C7624" s="15" t="s">
        <v>8</v>
      </c>
      <c r="G7624" s="15" t="s">
        <v>8</v>
      </c>
      <c r="K7624" s="15" t="s">
        <v>8</v>
      </c>
      <c r="L7624" s="15" t="s">
        <v>8</v>
      </c>
      <c r="M7624" s="15" t="s">
        <v>8</v>
      </c>
      <c r="N7624" s="15" t="s">
        <v>8</v>
      </c>
      <c r="P7624" s="15" t="s">
        <v>8</v>
      </c>
      <c r="Q7624" s="20" t="str">
        <f>HYPERLINK("http://yeinfo.com/family/I09065751.html", "ALICE COCKERHAM 1545 EN-1645 EN ID:09048169")</f>
        <v>ALICE COCKERHAM 1545 EN-1645 EN ID:09048169</v>
      </c>
      <c r="R7624" s="17"/>
      <c r="S7624" s="17"/>
      <c r="T7624" s="17"/>
      <c r="U7624" s="17"/>
    </row>
    <row r="7625" spans="3:23" x14ac:dyDescent="0.35">
      <c r="C7625" s="15" t="s">
        <v>8</v>
      </c>
      <c r="G7625" s="15" t="s">
        <v>8</v>
      </c>
      <c r="K7625" s="15" t="s">
        <v>8</v>
      </c>
      <c r="L7625" s="15" t="s">
        <v>8</v>
      </c>
      <c r="M7625" s="15" t="s">
        <v>8</v>
      </c>
      <c r="N7625" s="15" t="s">
        <v>8</v>
      </c>
      <c r="P7625" s="15" t="s">
        <v>8</v>
      </c>
      <c r="R7625" s="8" t="s">
        <v>6</v>
      </c>
    </row>
    <row r="7626" spans="3:23" x14ac:dyDescent="0.35">
      <c r="C7626" s="15" t="s">
        <v>8</v>
      </c>
      <c r="G7626" s="15" t="s">
        <v>8</v>
      </c>
      <c r="K7626" s="15" t="s">
        <v>8</v>
      </c>
      <c r="L7626" s="15" t="s">
        <v>8</v>
      </c>
      <c r="M7626" s="15" t="s">
        <v>8</v>
      </c>
      <c r="N7626" s="15" t="s">
        <v>8</v>
      </c>
      <c r="P7626" s="15" t="s">
        <v>8</v>
      </c>
      <c r="R7626" s="20" t="str">
        <f>HYPERLINK("http://yeinfo.com/family/I09065623.html", "ELIZABETH SPENCER 1520 EN-1545 EN ID:09065624")</f>
        <v>ELIZABETH SPENCER 1520 EN-1545 EN ID:09065624</v>
      </c>
      <c r="S7626" s="17"/>
      <c r="T7626" s="17"/>
      <c r="U7626" s="17"/>
      <c r="V7626" s="17"/>
    </row>
    <row r="7627" spans="3:23" x14ac:dyDescent="0.35">
      <c r="C7627" s="15" t="s">
        <v>8</v>
      </c>
      <c r="G7627" s="15" t="s">
        <v>8</v>
      </c>
      <c r="K7627" s="15" t="s">
        <v>8</v>
      </c>
      <c r="L7627" s="15" t="s">
        <v>8</v>
      </c>
      <c r="M7627" s="15" t="s">
        <v>8</v>
      </c>
      <c r="N7627" s="15" t="s">
        <v>8</v>
      </c>
      <c r="P7627" s="15" t="s">
        <v>8</v>
      </c>
    </row>
    <row r="7628" spans="3:23" x14ac:dyDescent="0.35">
      <c r="C7628" s="15" t="s">
        <v>8</v>
      </c>
      <c r="G7628" s="15" t="s">
        <v>8</v>
      </c>
      <c r="K7628" s="15" t="s">
        <v>8</v>
      </c>
      <c r="L7628" s="15" t="s">
        <v>8</v>
      </c>
      <c r="M7628" s="15" t="s">
        <v>8</v>
      </c>
      <c r="N7628" s="15" t="s">
        <v>8</v>
      </c>
      <c r="O7628" s="21" t="str">
        <f>HYPERLINK("http://yeinfo.com/family/I09006021.html", "EDWARD KEMPE 1610 EN-1668 MA ID:09012042")</f>
        <v>EDWARD KEMPE 1610 EN-1668 MA ID:09012042</v>
      </c>
      <c r="P7628" s="6"/>
      <c r="Q7628" s="6"/>
      <c r="R7628" s="6"/>
      <c r="S7628" s="6"/>
    </row>
    <row r="7629" spans="3:23" x14ac:dyDescent="0.35">
      <c r="C7629" s="15" t="s">
        <v>8</v>
      </c>
      <c r="G7629" s="15" t="s">
        <v>8</v>
      </c>
      <c r="K7629" s="15" t="s">
        <v>8</v>
      </c>
      <c r="L7629" s="15" t="s">
        <v>8</v>
      </c>
      <c r="M7629" s="15" t="s">
        <v>8</v>
      </c>
      <c r="N7629" s="15" t="s">
        <v>8</v>
      </c>
      <c r="O7629" s="8" t="s">
        <v>3</v>
      </c>
      <c r="P7629" s="15" t="s">
        <v>8</v>
      </c>
    </row>
    <row r="7630" spans="3:23" x14ac:dyDescent="0.35">
      <c r="C7630" s="15" t="s">
        <v>8</v>
      </c>
      <c r="G7630" s="15" t="s">
        <v>8</v>
      </c>
      <c r="K7630" s="15" t="s">
        <v>8</v>
      </c>
      <c r="L7630" s="15" t="s">
        <v>8</v>
      </c>
      <c r="M7630" s="15" t="s">
        <v>8</v>
      </c>
      <c r="N7630" s="15" t="s">
        <v>8</v>
      </c>
      <c r="O7630" s="15" t="s">
        <v>8</v>
      </c>
      <c r="P7630" s="15" t="s">
        <v>8</v>
      </c>
      <c r="R7630" s="19" t="str">
        <f>HYPERLINK("http://yeinfo.com/family/I09048170.html", "WILLIAM HARRIS I 1505 EN-1527 EN ID:09065625")</f>
        <v>WILLIAM HARRIS I 1505 EN-1527 EN ID:09065625</v>
      </c>
      <c r="S7630" s="9"/>
      <c r="T7630" s="9"/>
      <c r="U7630" s="9"/>
      <c r="V7630" s="9"/>
    </row>
    <row r="7631" spans="3:23" x14ac:dyDescent="0.35">
      <c r="C7631" s="15" t="s">
        <v>8</v>
      </c>
      <c r="G7631" s="15" t="s">
        <v>8</v>
      </c>
      <c r="K7631" s="15" t="s">
        <v>8</v>
      </c>
      <c r="L7631" s="15" t="s">
        <v>8</v>
      </c>
      <c r="M7631" s="15" t="s">
        <v>8</v>
      </c>
      <c r="N7631" s="15" t="s">
        <v>8</v>
      </c>
      <c r="O7631" s="15" t="s">
        <v>8</v>
      </c>
      <c r="P7631" s="15" t="s">
        <v>8</v>
      </c>
      <c r="R7631" s="8" t="s">
        <v>3</v>
      </c>
    </row>
    <row r="7632" spans="3:23" x14ac:dyDescent="0.35">
      <c r="C7632" s="15" t="s">
        <v>8</v>
      </c>
      <c r="G7632" s="15" t="s">
        <v>8</v>
      </c>
      <c r="K7632" s="15" t="s">
        <v>8</v>
      </c>
      <c r="L7632" s="15" t="s">
        <v>8</v>
      </c>
      <c r="M7632" s="15" t="s">
        <v>8</v>
      </c>
      <c r="N7632" s="15" t="s">
        <v>8</v>
      </c>
      <c r="O7632" s="15" t="s">
        <v>8</v>
      </c>
      <c r="P7632" s="15" t="s">
        <v>8</v>
      </c>
      <c r="Q7632" s="19" t="str">
        <f>HYPERLINK("http://yeinfo.com/family/I09024085.html", "ARTHUR HARRIS 1527 EN-1597 EN ID:09048170")</f>
        <v>ARTHUR HARRIS 1527 EN-1597 EN ID:09048170</v>
      </c>
      <c r="R7632" s="9"/>
      <c r="S7632" s="9"/>
      <c r="T7632" s="9"/>
      <c r="U7632" s="9"/>
    </row>
    <row r="7633" spans="3:28" x14ac:dyDescent="0.35">
      <c r="C7633" s="15" t="s">
        <v>8</v>
      </c>
      <c r="G7633" s="15" t="s">
        <v>8</v>
      </c>
      <c r="K7633" s="15" t="s">
        <v>8</v>
      </c>
      <c r="L7633" s="15" t="s">
        <v>8</v>
      </c>
      <c r="M7633" s="15" t="s">
        <v>8</v>
      </c>
      <c r="N7633" s="15" t="s">
        <v>8</v>
      </c>
      <c r="O7633" s="15" t="s">
        <v>8</v>
      </c>
      <c r="P7633" s="15" t="s">
        <v>8</v>
      </c>
      <c r="Q7633" s="8" t="s">
        <v>3</v>
      </c>
      <c r="R7633" s="8" t="s">
        <v>6</v>
      </c>
    </row>
    <row r="7634" spans="3:28" x14ac:dyDescent="0.35">
      <c r="C7634" s="15" t="s">
        <v>8</v>
      </c>
      <c r="G7634" s="15" t="s">
        <v>8</v>
      </c>
      <c r="K7634" s="15" t="s">
        <v>8</v>
      </c>
      <c r="L7634" s="15" t="s">
        <v>8</v>
      </c>
      <c r="M7634" s="15" t="s">
        <v>8</v>
      </c>
      <c r="N7634" s="15" t="s">
        <v>8</v>
      </c>
      <c r="O7634" s="15" t="s">
        <v>8</v>
      </c>
      <c r="P7634" s="15" t="s">
        <v>8</v>
      </c>
      <c r="Q7634" s="15" t="s">
        <v>8</v>
      </c>
      <c r="R7634" s="20" t="str">
        <f>HYPERLINK("http://yeinfo.com/family/I09065625.html", "JOAN COOKE 1500 EN-1527 EN ID:09065626")</f>
        <v>JOAN COOKE 1500 EN-1527 EN ID:09065626</v>
      </c>
      <c r="S7634" s="17"/>
      <c r="T7634" s="17"/>
      <c r="U7634" s="17"/>
      <c r="V7634" s="17"/>
    </row>
    <row r="7635" spans="3:28" x14ac:dyDescent="0.35">
      <c r="C7635" s="15" t="s">
        <v>8</v>
      </c>
      <c r="G7635" s="15" t="s">
        <v>8</v>
      </c>
      <c r="K7635" s="15" t="s">
        <v>8</v>
      </c>
      <c r="L7635" s="15" t="s">
        <v>8</v>
      </c>
      <c r="M7635" s="15" t="s">
        <v>8</v>
      </c>
      <c r="N7635" s="15" t="s">
        <v>8</v>
      </c>
      <c r="O7635" s="15" t="s">
        <v>8</v>
      </c>
      <c r="P7635" s="8" t="s">
        <v>6</v>
      </c>
      <c r="Q7635" s="15" t="s">
        <v>8</v>
      </c>
    </row>
    <row r="7636" spans="3:28" x14ac:dyDescent="0.35">
      <c r="C7636" s="15" t="s">
        <v>8</v>
      </c>
      <c r="G7636" s="15" t="s">
        <v>8</v>
      </c>
      <c r="K7636" s="15" t="s">
        <v>8</v>
      </c>
      <c r="L7636" s="15" t="s">
        <v>8</v>
      </c>
      <c r="M7636" s="15" t="s">
        <v>8</v>
      </c>
      <c r="N7636" s="15" t="s">
        <v>8</v>
      </c>
      <c r="O7636" s="15" t="s">
        <v>8</v>
      </c>
      <c r="P7636" s="20" t="str">
        <f>HYPERLINK("http://yeinfo.com/family/I09065624.html", "DOROTHY HARRIS 1567 EN-1610 EN ID:09024085")</f>
        <v>DOROTHY HARRIS 1567 EN-1610 EN ID:09024085</v>
      </c>
      <c r="Q7636" s="17"/>
      <c r="R7636" s="17"/>
      <c r="S7636" s="17"/>
      <c r="T7636" s="17"/>
    </row>
    <row r="7637" spans="3:28" x14ac:dyDescent="0.35">
      <c r="C7637" s="15" t="s">
        <v>8</v>
      </c>
      <c r="G7637" s="15" t="s">
        <v>8</v>
      </c>
      <c r="K7637" s="15" t="s">
        <v>8</v>
      </c>
      <c r="L7637" s="15" t="s">
        <v>8</v>
      </c>
      <c r="M7637" s="15" t="s">
        <v>8</v>
      </c>
      <c r="N7637" s="15" t="s">
        <v>8</v>
      </c>
      <c r="O7637" s="15" t="s">
        <v>8</v>
      </c>
      <c r="Q7637" s="15" t="s">
        <v>8</v>
      </c>
    </row>
    <row r="7638" spans="3:28" x14ac:dyDescent="0.35">
      <c r="C7638" s="15" t="s">
        <v>8</v>
      </c>
      <c r="G7638" s="15" t="s">
        <v>8</v>
      </c>
      <c r="K7638" s="15" t="s">
        <v>8</v>
      </c>
      <c r="L7638" s="15" t="s">
        <v>8</v>
      </c>
      <c r="M7638" s="15" t="s">
        <v>8</v>
      </c>
      <c r="N7638" s="15" t="s">
        <v>8</v>
      </c>
      <c r="O7638" s="15" t="s">
        <v>8</v>
      </c>
      <c r="Q7638" s="15" t="s">
        <v>8</v>
      </c>
      <c r="W7638" s="19" t="str">
        <f>HYPERLINK("http://yeinfo.com/family/I09066249.html", "RICHARD WALDEGRAVE 1380 EN-1434 EN ID:09066403")</f>
        <v>RICHARD WALDEGRAVE 1380 EN-1434 EN ID:09066403</v>
      </c>
      <c r="X7638" s="9"/>
      <c r="Y7638" s="9"/>
      <c r="Z7638" s="9"/>
      <c r="AA7638" s="9"/>
    </row>
    <row r="7639" spans="3:28" x14ac:dyDescent="0.35">
      <c r="C7639" s="15" t="s">
        <v>8</v>
      </c>
      <c r="G7639" s="15" t="s">
        <v>8</v>
      </c>
      <c r="K7639" s="15" t="s">
        <v>8</v>
      </c>
      <c r="L7639" s="15" t="s">
        <v>8</v>
      </c>
      <c r="M7639" s="15" t="s">
        <v>8</v>
      </c>
      <c r="N7639" s="15" t="s">
        <v>8</v>
      </c>
      <c r="O7639" s="15" t="s">
        <v>8</v>
      </c>
      <c r="Q7639" s="15" t="s">
        <v>8</v>
      </c>
      <c r="W7639" s="8" t="s">
        <v>3</v>
      </c>
    </row>
    <row r="7640" spans="3:28" x14ac:dyDescent="0.35">
      <c r="C7640" s="15" t="s">
        <v>8</v>
      </c>
      <c r="G7640" s="15" t="s">
        <v>8</v>
      </c>
      <c r="K7640" s="15" t="s">
        <v>8</v>
      </c>
      <c r="L7640" s="15" t="s">
        <v>8</v>
      </c>
      <c r="M7640" s="15" t="s">
        <v>8</v>
      </c>
      <c r="N7640" s="15" t="s">
        <v>8</v>
      </c>
      <c r="O7640" s="15" t="s">
        <v>8</v>
      </c>
      <c r="Q7640" s="15" t="s">
        <v>8</v>
      </c>
      <c r="V7640" s="19" t="str">
        <f>HYPERLINK("http://yeinfo.com/family/I09066057.html", "WILLIAM WALDEGRAVE 1400 EN-1454 EN ID:09066249")</f>
        <v>WILLIAM WALDEGRAVE 1400 EN-1454 EN ID:09066249</v>
      </c>
      <c r="W7640" s="9"/>
      <c r="X7640" s="9"/>
      <c r="Y7640" s="9"/>
      <c r="Z7640" s="9"/>
    </row>
    <row r="7641" spans="3:28" x14ac:dyDescent="0.35">
      <c r="C7641" s="15" t="s">
        <v>8</v>
      </c>
      <c r="G7641" s="15" t="s">
        <v>8</v>
      </c>
      <c r="K7641" s="15" t="s">
        <v>8</v>
      </c>
      <c r="L7641" s="15" t="s">
        <v>8</v>
      </c>
      <c r="M7641" s="15" t="s">
        <v>8</v>
      </c>
      <c r="N7641" s="15" t="s">
        <v>8</v>
      </c>
      <c r="O7641" s="15" t="s">
        <v>8</v>
      </c>
      <c r="Q7641" s="15" t="s">
        <v>8</v>
      </c>
      <c r="V7641" s="8" t="s">
        <v>3</v>
      </c>
      <c r="W7641" s="8" t="s">
        <v>6</v>
      </c>
    </row>
    <row r="7642" spans="3:28" x14ac:dyDescent="0.35">
      <c r="C7642" s="15" t="s">
        <v>8</v>
      </c>
      <c r="G7642" s="15" t="s">
        <v>8</v>
      </c>
      <c r="K7642" s="15" t="s">
        <v>8</v>
      </c>
      <c r="L7642" s="15" t="s">
        <v>8</v>
      </c>
      <c r="M7642" s="15" t="s">
        <v>8</v>
      </c>
      <c r="N7642" s="15" t="s">
        <v>8</v>
      </c>
      <c r="O7642" s="15" t="s">
        <v>8</v>
      </c>
      <c r="Q7642" s="15" t="s">
        <v>8</v>
      </c>
      <c r="V7642" s="15" t="s">
        <v>8</v>
      </c>
      <c r="W7642" s="20" t="str">
        <f>HYPERLINK("http://yeinfo.com/family/I09066403.html", "JANE MUNCHENSY 1371 EN-1450 EN ID:09066404")</f>
        <v>JANE MUNCHENSY 1371 EN-1450 EN ID:09066404</v>
      </c>
      <c r="X7642" s="17"/>
      <c r="Y7642" s="17"/>
      <c r="Z7642" s="17"/>
      <c r="AA7642" s="17"/>
    </row>
    <row r="7643" spans="3:28" x14ac:dyDescent="0.35">
      <c r="C7643" s="15" t="s">
        <v>8</v>
      </c>
      <c r="G7643" s="15" t="s">
        <v>8</v>
      </c>
      <c r="K7643" s="15" t="s">
        <v>8</v>
      </c>
      <c r="L7643" s="15" t="s">
        <v>8</v>
      </c>
      <c r="M7643" s="15" t="s">
        <v>8</v>
      </c>
      <c r="N7643" s="15" t="s">
        <v>8</v>
      </c>
      <c r="O7643" s="15" t="s">
        <v>8</v>
      </c>
      <c r="Q7643" s="15" t="s">
        <v>8</v>
      </c>
      <c r="V7643" s="15" t="s">
        <v>8</v>
      </c>
    </row>
    <row r="7644" spans="3:28" x14ac:dyDescent="0.35">
      <c r="C7644" s="15" t="s">
        <v>8</v>
      </c>
      <c r="G7644" s="15" t="s">
        <v>8</v>
      </c>
      <c r="K7644" s="15" t="s">
        <v>8</v>
      </c>
      <c r="L7644" s="15" t="s">
        <v>8</v>
      </c>
      <c r="M7644" s="15" t="s">
        <v>8</v>
      </c>
      <c r="N7644" s="15" t="s">
        <v>8</v>
      </c>
      <c r="O7644" s="15" t="s">
        <v>8</v>
      </c>
      <c r="Q7644" s="15" t="s">
        <v>8</v>
      </c>
      <c r="U7644" s="19" t="str">
        <f>HYPERLINK("http://yeinfo.com/family/I09065901.html", "THOMAS WALDEGRAVE 1437 EN-1472 EN ID:09066057")</f>
        <v>THOMAS WALDEGRAVE 1437 EN-1472 EN ID:09066057</v>
      </c>
      <c r="V7644" s="9"/>
      <c r="W7644" s="9"/>
      <c r="X7644" s="9"/>
      <c r="Y7644" s="9"/>
    </row>
    <row r="7645" spans="3:28" x14ac:dyDescent="0.35">
      <c r="C7645" s="15" t="s">
        <v>8</v>
      </c>
      <c r="G7645" s="15" t="s">
        <v>8</v>
      </c>
      <c r="K7645" s="15" t="s">
        <v>8</v>
      </c>
      <c r="L7645" s="15" t="s">
        <v>8</v>
      </c>
      <c r="M7645" s="15" t="s">
        <v>8</v>
      </c>
      <c r="N7645" s="15" t="s">
        <v>8</v>
      </c>
      <c r="O7645" s="15" t="s">
        <v>8</v>
      </c>
      <c r="Q7645" s="15" t="s">
        <v>8</v>
      </c>
      <c r="U7645" s="8" t="s">
        <v>3</v>
      </c>
      <c r="V7645" s="15" t="s">
        <v>8</v>
      </c>
    </row>
    <row r="7646" spans="3:28" x14ac:dyDescent="0.35">
      <c r="C7646" s="15" t="s">
        <v>8</v>
      </c>
      <c r="G7646" s="15" t="s">
        <v>8</v>
      </c>
      <c r="K7646" s="15" t="s">
        <v>8</v>
      </c>
      <c r="L7646" s="15" t="s">
        <v>8</v>
      </c>
      <c r="M7646" s="15" t="s">
        <v>8</v>
      </c>
      <c r="N7646" s="15" t="s">
        <v>8</v>
      </c>
      <c r="O7646" s="15" t="s">
        <v>8</v>
      </c>
      <c r="Q7646" s="15" t="s">
        <v>8</v>
      </c>
      <c r="U7646" s="15" t="s">
        <v>8</v>
      </c>
      <c r="V7646" s="15" t="s">
        <v>8</v>
      </c>
      <c r="W7646" s="19" t="str">
        <f>HYPERLINK("http://yeinfo.com/family/I09066250.html", "JOHN\WILLIAM DURWARD 1368 EN-1420 EN ID:09066405")</f>
        <v>JOHN\WILLIAM DURWARD 1368 EN-1420 EN ID:09066405</v>
      </c>
      <c r="X7646" s="9"/>
      <c r="Y7646" s="9"/>
      <c r="Z7646" s="9"/>
      <c r="AA7646" s="9"/>
      <c r="AB7646" s="9"/>
    </row>
    <row r="7647" spans="3:28" x14ac:dyDescent="0.35">
      <c r="C7647" s="15" t="s">
        <v>8</v>
      </c>
      <c r="G7647" s="15" t="s">
        <v>8</v>
      </c>
      <c r="K7647" s="15" t="s">
        <v>8</v>
      </c>
      <c r="L7647" s="15" t="s">
        <v>8</v>
      </c>
      <c r="M7647" s="15" t="s">
        <v>8</v>
      </c>
      <c r="N7647" s="15" t="s">
        <v>8</v>
      </c>
      <c r="O7647" s="15" t="s">
        <v>8</v>
      </c>
      <c r="Q7647" s="15" t="s">
        <v>8</v>
      </c>
      <c r="U7647" s="15" t="s">
        <v>8</v>
      </c>
      <c r="V7647" s="8" t="s">
        <v>6</v>
      </c>
      <c r="W7647" s="8" t="s">
        <v>3</v>
      </c>
    </row>
    <row r="7648" spans="3:28" x14ac:dyDescent="0.35">
      <c r="C7648" s="15" t="s">
        <v>8</v>
      </c>
      <c r="G7648" s="15" t="s">
        <v>8</v>
      </c>
      <c r="K7648" s="15" t="s">
        <v>8</v>
      </c>
      <c r="L7648" s="15" t="s">
        <v>8</v>
      </c>
      <c r="M7648" s="15" t="s">
        <v>8</v>
      </c>
      <c r="N7648" s="15" t="s">
        <v>8</v>
      </c>
      <c r="O7648" s="15" t="s">
        <v>8</v>
      </c>
      <c r="Q7648" s="15" t="s">
        <v>8</v>
      </c>
      <c r="U7648" s="15" t="s">
        <v>8</v>
      </c>
      <c r="V7648" s="20" t="str">
        <f>HYPERLINK("http://yeinfo.com/family/I09066404.html", "JOANE DURWARD 1390 EN-1437 EN ID:09066250")</f>
        <v>JOANE DURWARD 1390 EN-1437 EN ID:09066250</v>
      </c>
      <c r="W7648" s="17"/>
      <c r="X7648" s="17"/>
      <c r="Y7648" s="17"/>
      <c r="Z7648" s="17"/>
    </row>
    <row r="7649" spans="3:30" x14ac:dyDescent="0.35">
      <c r="C7649" s="15" t="s">
        <v>8</v>
      </c>
      <c r="G7649" s="15" t="s">
        <v>8</v>
      </c>
      <c r="K7649" s="15" t="s">
        <v>8</v>
      </c>
      <c r="L7649" s="15" t="s">
        <v>8</v>
      </c>
      <c r="M7649" s="15" t="s">
        <v>8</v>
      </c>
      <c r="N7649" s="15" t="s">
        <v>8</v>
      </c>
      <c r="O7649" s="15" t="s">
        <v>8</v>
      </c>
      <c r="Q7649" s="15" t="s">
        <v>8</v>
      </c>
      <c r="U7649" s="15" t="s">
        <v>8</v>
      </c>
      <c r="W7649" s="8" t="s">
        <v>6</v>
      </c>
    </row>
    <row r="7650" spans="3:30" x14ac:dyDescent="0.35">
      <c r="C7650" s="15" t="s">
        <v>8</v>
      </c>
      <c r="G7650" s="15" t="s">
        <v>8</v>
      </c>
      <c r="K7650" s="15" t="s">
        <v>8</v>
      </c>
      <c r="L7650" s="15" t="s">
        <v>8</v>
      </c>
      <c r="M7650" s="15" t="s">
        <v>8</v>
      </c>
      <c r="N7650" s="15" t="s">
        <v>8</v>
      </c>
      <c r="O7650" s="15" t="s">
        <v>8</v>
      </c>
      <c r="Q7650" s="15" t="s">
        <v>8</v>
      </c>
      <c r="U7650" s="15" t="s">
        <v>8</v>
      </c>
      <c r="W7650" s="20" t="str">
        <f>HYPERLINK("http://yeinfo.com/family/I09066405.html", "KATHERINE WALLCOTT 1368 EN-1397 EN ID:09066406")</f>
        <v>KATHERINE WALLCOTT 1368 EN-1397 EN ID:09066406</v>
      </c>
      <c r="X7650" s="17"/>
      <c r="Y7650" s="17"/>
      <c r="Z7650" s="17"/>
      <c r="AA7650" s="17"/>
    </row>
    <row r="7651" spans="3:30" x14ac:dyDescent="0.35">
      <c r="C7651" s="15" t="s">
        <v>8</v>
      </c>
      <c r="G7651" s="15" t="s">
        <v>8</v>
      </c>
      <c r="K7651" s="15" t="s">
        <v>8</v>
      </c>
      <c r="L7651" s="15" t="s">
        <v>8</v>
      </c>
      <c r="M7651" s="15" t="s">
        <v>8</v>
      </c>
      <c r="N7651" s="15" t="s">
        <v>8</v>
      </c>
      <c r="O7651" s="15" t="s">
        <v>8</v>
      </c>
      <c r="Q7651" s="15" t="s">
        <v>8</v>
      </c>
      <c r="U7651" s="15" t="s">
        <v>8</v>
      </c>
    </row>
    <row r="7652" spans="3:30" x14ac:dyDescent="0.35">
      <c r="C7652" s="15" t="s">
        <v>8</v>
      </c>
      <c r="G7652" s="15" t="s">
        <v>8</v>
      </c>
      <c r="K7652" s="15" t="s">
        <v>8</v>
      </c>
      <c r="L7652" s="15" t="s">
        <v>8</v>
      </c>
      <c r="M7652" s="15" t="s">
        <v>8</v>
      </c>
      <c r="N7652" s="15" t="s">
        <v>8</v>
      </c>
      <c r="O7652" s="15" t="s">
        <v>8</v>
      </c>
      <c r="Q7652" s="15" t="s">
        <v>8</v>
      </c>
      <c r="T7652" s="19" t="str">
        <f>HYPERLINK("http://yeinfo.com/family/I09065752.html", "WILLIAM WALDEGRAVE 1455 EN-1527 EN ID:09065901")</f>
        <v>WILLIAM WALDEGRAVE 1455 EN-1527 EN ID:09065901</v>
      </c>
      <c r="U7652" s="9"/>
      <c r="V7652" s="9"/>
      <c r="W7652" s="9"/>
      <c r="X7652" s="9"/>
    </row>
    <row r="7653" spans="3:30" x14ac:dyDescent="0.35">
      <c r="C7653" s="15" t="s">
        <v>8</v>
      </c>
      <c r="G7653" s="15" t="s">
        <v>8</v>
      </c>
      <c r="K7653" s="15" t="s">
        <v>8</v>
      </c>
      <c r="L7653" s="15" t="s">
        <v>8</v>
      </c>
      <c r="M7653" s="15" t="s">
        <v>8</v>
      </c>
      <c r="N7653" s="15" t="s">
        <v>8</v>
      </c>
      <c r="O7653" s="15" t="s">
        <v>8</v>
      </c>
      <c r="Q7653" s="15" t="s">
        <v>8</v>
      </c>
      <c r="T7653" s="8" t="s">
        <v>3</v>
      </c>
      <c r="U7653" s="15" t="s">
        <v>8</v>
      </c>
    </row>
    <row r="7654" spans="3:30" x14ac:dyDescent="0.35">
      <c r="C7654" s="15" t="s">
        <v>8</v>
      </c>
      <c r="G7654" s="15" t="s">
        <v>8</v>
      </c>
      <c r="K7654" s="15" t="s">
        <v>8</v>
      </c>
      <c r="L7654" s="15" t="s">
        <v>8</v>
      </c>
      <c r="M7654" s="15" t="s">
        <v>8</v>
      </c>
      <c r="N7654" s="15" t="s">
        <v>8</v>
      </c>
      <c r="O7654" s="15" t="s">
        <v>8</v>
      </c>
      <c r="Q7654" s="15" t="s">
        <v>8</v>
      </c>
      <c r="T7654" s="15" t="s">
        <v>8</v>
      </c>
      <c r="U7654" s="15" t="s">
        <v>8</v>
      </c>
      <c r="W7654" s="19" t="str">
        <f>HYPERLINK("http://yeinfo.com/family/I09066251.html", "WILLIAM\JOHN FRAY 1383 EN-1419 EN ID:09066407")</f>
        <v>WILLIAM\JOHN FRAY 1383 EN-1419 EN ID:09066407</v>
      </c>
      <c r="X7654" s="9"/>
      <c r="Y7654" s="9"/>
      <c r="Z7654" s="9"/>
      <c r="AA7654" s="9"/>
      <c r="AB7654" s="9"/>
    </row>
    <row r="7655" spans="3:30" x14ac:dyDescent="0.35">
      <c r="C7655" s="15" t="s">
        <v>8</v>
      </c>
      <c r="G7655" s="15" t="s">
        <v>8</v>
      </c>
      <c r="K7655" s="15" t="s">
        <v>8</v>
      </c>
      <c r="L7655" s="15" t="s">
        <v>8</v>
      </c>
      <c r="M7655" s="15" t="s">
        <v>8</v>
      </c>
      <c r="N7655" s="15" t="s">
        <v>8</v>
      </c>
      <c r="O7655" s="15" t="s">
        <v>8</v>
      </c>
      <c r="Q7655" s="15" t="s">
        <v>8</v>
      </c>
      <c r="T7655" s="15" t="s">
        <v>8</v>
      </c>
      <c r="U7655" s="15" t="s">
        <v>8</v>
      </c>
      <c r="W7655" s="8" t="s">
        <v>3</v>
      </c>
    </row>
    <row r="7656" spans="3:30" x14ac:dyDescent="0.35">
      <c r="C7656" s="15" t="s">
        <v>8</v>
      </c>
      <c r="G7656" s="15" t="s">
        <v>8</v>
      </c>
      <c r="K7656" s="15" t="s">
        <v>8</v>
      </c>
      <c r="L7656" s="15" t="s">
        <v>8</v>
      </c>
      <c r="M7656" s="15" t="s">
        <v>8</v>
      </c>
      <c r="N7656" s="15" t="s">
        <v>8</v>
      </c>
      <c r="O7656" s="15" t="s">
        <v>8</v>
      </c>
      <c r="Q7656" s="15" t="s">
        <v>8</v>
      </c>
      <c r="T7656" s="15" t="s">
        <v>8</v>
      </c>
      <c r="U7656" s="15" t="s">
        <v>8</v>
      </c>
      <c r="V7656" s="19" t="str">
        <f>HYPERLINK("http://yeinfo.com/family/I09066058.html", "JOHN FRAY 1419 EN-1466 EN ID:09066251")</f>
        <v>JOHN FRAY 1419 EN-1466 EN ID:09066251</v>
      </c>
      <c r="W7656" s="9"/>
      <c r="X7656" s="9"/>
      <c r="Y7656" s="9"/>
      <c r="Z7656" s="9"/>
    </row>
    <row r="7657" spans="3:30" x14ac:dyDescent="0.35">
      <c r="C7657" s="15" t="s">
        <v>8</v>
      </c>
      <c r="G7657" s="15" t="s">
        <v>8</v>
      </c>
      <c r="K7657" s="15" t="s">
        <v>8</v>
      </c>
      <c r="L7657" s="15" t="s">
        <v>8</v>
      </c>
      <c r="M7657" s="15" t="s">
        <v>8</v>
      </c>
      <c r="N7657" s="15" t="s">
        <v>8</v>
      </c>
      <c r="O7657" s="15" t="s">
        <v>8</v>
      </c>
      <c r="Q7657" s="15" t="s">
        <v>8</v>
      </c>
      <c r="T7657" s="15" t="s">
        <v>8</v>
      </c>
      <c r="U7657" s="15" t="s">
        <v>8</v>
      </c>
      <c r="V7657" s="8" t="s">
        <v>3</v>
      </c>
      <c r="W7657" s="8" t="s">
        <v>6</v>
      </c>
    </row>
    <row r="7658" spans="3:30" x14ac:dyDescent="0.35">
      <c r="C7658" s="15" t="s">
        <v>8</v>
      </c>
      <c r="G7658" s="15" t="s">
        <v>8</v>
      </c>
      <c r="K7658" s="15" t="s">
        <v>8</v>
      </c>
      <c r="L7658" s="15" t="s">
        <v>8</v>
      </c>
      <c r="M7658" s="15" t="s">
        <v>8</v>
      </c>
      <c r="N7658" s="15" t="s">
        <v>8</v>
      </c>
      <c r="O7658" s="15" t="s">
        <v>8</v>
      </c>
      <c r="Q7658" s="15" t="s">
        <v>8</v>
      </c>
      <c r="T7658" s="15" t="s">
        <v>8</v>
      </c>
      <c r="U7658" s="15" t="s">
        <v>8</v>
      </c>
      <c r="V7658" s="15" t="s">
        <v>8</v>
      </c>
      <c r="W7658" s="20" t="str">
        <f>HYPERLINK("http://yeinfo.com/family/I09066407.html", "HARRIET MONTGOMERY 1385 EN-1419 EN ID:09066408")</f>
        <v>HARRIET MONTGOMERY 1385 EN-1419 EN ID:09066408</v>
      </c>
      <c r="X7658" s="17"/>
      <c r="Y7658" s="17"/>
      <c r="Z7658" s="17"/>
      <c r="AA7658" s="17"/>
    </row>
    <row r="7659" spans="3:30" x14ac:dyDescent="0.35">
      <c r="C7659" s="15" t="s">
        <v>8</v>
      </c>
      <c r="G7659" s="15" t="s">
        <v>8</v>
      </c>
      <c r="K7659" s="15" t="s">
        <v>8</v>
      </c>
      <c r="L7659" s="15" t="s">
        <v>8</v>
      </c>
      <c r="M7659" s="15" t="s">
        <v>8</v>
      </c>
      <c r="N7659" s="15" t="s">
        <v>8</v>
      </c>
      <c r="O7659" s="15" t="s">
        <v>8</v>
      </c>
      <c r="Q7659" s="15" t="s">
        <v>8</v>
      </c>
      <c r="T7659" s="15" t="s">
        <v>8</v>
      </c>
      <c r="U7659" s="8" t="s">
        <v>6</v>
      </c>
      <c r="V7659" s="15" t="s">
        <v>8</v>
      </c>
    </row>
    <row r="7660" spans="3:30" x14ac:dyDescent="0.35">
      <c r="C7660" s="15" t="s">
        <v>8</v>
      </c>
      <c r="G7660" s="15" t="s">
        <v>8</v>
      </c>
      <c r="K7660" s="15" t="s">
        <v>8</v>
      </c>
      <c r="L7660" s="15" t="s">
        <v>8</v>
      </c>
      <c r="M7660" s="15" t="s">
        <v>8</v>
      </c>
      <c r="N7660" s="15" t="s">
        <v>8</v>
      </c>
      <c r="O7660" s="15" t="s">
        <v>8</v>
      </c>
      <c r="Q7660" s="15" t="s">
        <v>8</v>
      </c>
      <c r="T7660" s="15" t="s">
        <v>8</v>
      </c>
      <c r="U7660" s="20" t="str">
        <f>HYPERLINK("http://yeinfo.com/family/I09066406.html", "ELIZABETH FRAY 1441 EN-1461 EN ID:09066058")</f>
        <v>ELIZABETH FRAY 1441 EN-1461 EN ID:09066058</v>
      </c>
      <c r="V7660" s="17"/>
      <c r="W7660" s="17"/>
      <c r="X7660" s="17"/>
      <c r="Y7660" s="17"/>
    </row>
    <row r="7661" spans="3:30" x14ac:dyDescent="0.35">
      <c r="C7661" s="15" t="s">
        <v>8</v>
      </c>
      <c r="G7661" s="15" t="s">
        <v>8</v>
      </c>
      <c r="K7661" s="15" t="s">
        <v>8</v>
      </c>
      <c r="L7661" s="15" t="s">
        <v>8</v>
      </c>
      <c r="M7661" s="15" t="s">
        <v>8</v>
      </c>
      <c r="N7661" s="15" t="s">
        <v>8</v>
      </c>
      <c r="O7661" s="15" t="s">
        <v>8</v>
      </c>
      <c r="Q7661" s="15" t="s">
        <v>8</v>
      </c>
      <c r="T7661" s="15" t="s">
        <v>8</v>
      </c>
      <c r="V7661" s="15" t="s">
        <v>8</v>
      </c>
    </row>
    <row r="7662" spans="3:30" x14ac:dyDescent="0.35">
      <c r="C7662" s="15" t="s">
        <v>8</v>
      </c>
      <c r="G7662" s="15" t="s">
        <v>8</v>
      </c>
      <c r="K7662" s="15" t="s">
        <v>8</v>
      </c>
      <c r="L7662" s="15" t="s">
        <v>8</v>
      </c>
      <c r="M7662" s="15" t="s">
        <v>8</v>
      </c>
      <c r="N7662" s="15" t="s">
        <v>8</v>
      </c>
      <c r="O7662" s="15" t="s">
        <v>8</v>
      </c>
      <c r="Q7662" s="15" t="s">
        <v>8</v>
      </c>
      <c r="T7662" s="15" t="s">
        <v>8</v>
      </c>
      <c r="V7662" s="15" t="s">
        <v>8</v>
      </c>
      <c r="Z7662" s="19" t="str">
        <f>HYPERLINK("http://yeinfo.com/family/I09066319.html", "SIMON DANVERS &lt;3&gt; 1256 EN-1331 EN ID:09066319")</f>
        <v>SIMON DANVERS &lt;3&gt; 1256 EN-1331 EN ID:09066319</v>
      </c>
      <c r="AA7662" s="9"/>
      <c r="AB7662" s="9"/>
      <c r="AC7662" s="9"/>
      <c r="AD7662" s="9"/>
    </row>
    <row r="7663" spans="3:30" x14ac:dyDescent="0.35">
      <c r="C7663" s="15" t="s">
        <v>8</v>
      </c>
      <c r="G7663" s="15" t="s">
        <v>8</v>
      </c>
      <c r="K7663" s="15" t="s">
        <v>8</v>
      </c>
      <c r="L7663" s="15" t="s">
        <v>8</v>
      </c>
      <c r="M7663" s="15" t="s">
        <v>8</v>
      </c>
      <c r="N7663" s="15" t="s">
        <v>8</v>
      </c>
      <c r="O7663" s="15" t="s">
        <v>8</v>
      </c>
      <c r="Q7663" s="15" t="s">
        <v>8</v>
      </c>
      <c r="T7663" s="15" t="s">
        <v>8</v>
      </c>
      <c r="V7663" s="15" t="s">
        <v>8</v>
      </c>
      <c r="Z7663" s="8" t="s">
        <v>3</v>
      </c>
    </row>
    <row r="7664" spans="3:30" x14ac:dyDescent="0.35">
      <c r="C7664" s="15" t="s">
        <v>8</v>
      </c>
      <c r="G7664" s="15" t="s">
        <v>8</v>
      </c>
      <c r="K7664" s="15" t="s">
        <v>8</v>
      </c>
      <c r="L7664" s="15" t="s">
        <v>8</v>
      </c>
      <c r="M7664" s="15" t="s">
        <v>8</v>
      </c>
      <c r="N7664" s="15" t="s">
        <v>8</v>
      </c>
      <c r="O7664" s="15" t="s">
        <v>8</v>
      </c>
      <c r="Q7664" s="15" t="s">
        <v>8</v>
      </c>
      <c r="T7664" s="15" t="s">
        <v>8</v>
      </c>
      <c r="V7664" s="15" t="s">
        <v>8</v>
      </c>
      <c r="Y7664" s="19" t="str">
        <f>HYPERLINK("http://yeinfo.com/family/I09066139.html", "JOHN DANVERS &lt;3&gt; 1295 EN-1347 EN ID:09066139")</f>
        <v>JOHN DANVERS &lt;3&gt; 1295 EN-1347 EN ID:09066139</v>
      </c>
      <c r="Z7664" s="9"/>
      <c r="AA7664" s="9"/>
      <c r="AB7664" s="9"/>
      <c r="AC7664" s="9"/>
    </row>
    <row r="7665" spans="3:30" x14ac:dyDescent="0.35">
      <c r="C7665" s="15" t="s">
        <v>8</v>
      </c>
      <c r="G7665" s="15" t="s">
        <v>8</v>
      </c>
      <c r="K7665" s="15" t="s">
        <v>8</v>
      </c>
      <c r="L7665" s="15" t="s">
        <v>8</v>
      </c>
      <c r="M7665" s="15" t="s">
        <v>8</v>
      </c>
      <c r="N7665" s="15" t="s">
        <v>8</v>
      </c>
      <c r="O7665" s="15" t="s">
        <v>8</v>
      </c>
      <c r="Q7665" s="15" t="s">
        <v>8</v>
      </c>
      <c r="T7665" s="15" t="s">
        <v>8</v>
      </c>
      <c r="V7665" s="15" t="s">
        <v>8</v>
      </c>
      <c r="Y7665" s="8" t="s">
        <v>3</v>
      </c>
      <c r="Z7665" s="8" t="s">
        <v>6</v>
      </c>
    </row>
    <row r="7666" spans="3:30" x14ac:dyDescent="0.35">
      <c r="C7666" s="15" t="s">
        <v>8</v>
      </c>
      <c r="G7666" s="15" t="s">
        <v>8</v>
      </c>
      <c r="K7666" s="15" t="s">
        <v>8</v>
      </c>
      <c r="L7666" s="15" t="s">
        <v>8</v>
      </c>
      <c r="M7666" s="15" t="s">
        <v>8</v>
      </c>
      <c r="N7666" s="15" t="s">
        <v>8</v>
      </c>
      <c r="O7666" s="15" t="s">
        <v>8</v>
      </c>
      <c r="Q7666" s="15" t="s">
        <v>8</v>
      </c>
      <c r="T7666" s="15" t="s">
        <v>8</v>
      </c>
      <c r="V7666" s="15" t="s">
        <v>8</v>
      </c>
      <c r="Y7666" s="15" t="s">
        <v>8</v>
      </c>
      <c r="Z7666" s="20" t="str">
        <f>HYPERLINK("http://yeinfo.com/family/I09066320.html", "ALICE COOK &lt;3&gt; 1262 EN-1364 EN ID:09066320")</f>
        <v>ALICE COOK &lt;3&gt; 1262 EN-1364 EN ID:09066320</v>
      </c>
      <c r="AA7666" s="17"/>
      <c r="AB7666" s="17"/>
      <c r="AC7666" s="17"/>
      <c r="AD7666" s="17"/>
    </row>
    <row r="7667" spans="3:30" x14ac:dyDescent="0.35">
      <c r="C7667" s="15" t="s">
        <v>8</v>
      </c>
      <c r="G7667" s="15" t="s">
        <v>8</v>
      </c>
      <c r="K7667" s="15" t="s">
        <v>8</v>
      </c>
      <c r="L7667" s="15" t="s">
        <v>8</v>
      </c>
      <c r="M7667" s="15" t="s">
        <v>8</v>
      </c>
      <c r="N7667" s="15" t="s">
        <v>8</v>
      </c>
      <c r="O7667" s="15" t="s">
        <v>8</v>
      </c>
      <c r="Q7667" s="15" t="s">
        <v>8</v>
      </c>
      <c r="T7667" s="15" t="s">
        <v>8</v>
      </c>
      <c r="V7667" s="15" t="s">
        <v>8</v>
      </c>
      <c r="Y7667" s="15" t="s">
        <v>8</v>
      </c>
    </row>
    <row r="7668" spans="3:30" x14ac:dyDescent="0.35">
      <c r="C7668" s="15" t="s">
        <v>8</v>
      </c>
      <c r="G7668" s="15" t="s">
        <v>8</v>
      </c>
      <c r="K7668" s="15" t="s">
        <v>8</v>
      </c>
      <c r="L7668" s="15" t="s">
        <v>8</v>
      </c>
      <c r="M7668" s="15" t="s">
        <v>8</v>
      </c>
      <c r="N7668" s="15" t="s">
        <v>8</v>
      </c>
      <c r="O7668" s="15" t="s">
        <v>8</v>
      </c>
      <c r="Q7668" s="15" t="s">
        <v>8</v>
      </c>
      <c r="T7668" s="15" t="s">
        <v>8</v>
      </c>
      <c r="V7668" s="15" t="s">
        <v>8</v>
      </c>
      <c r="X7668" s="19" t="str">
        <f>HYPERLINK("http://yeinfo.com/family/I09065963.html", "RICHARD DANVERS &lt;3&gt; 1330 EN-1409 EN ID:09065963")</f>
        <v>RICHARD DANVERS &lt;3&gt; 1330 EN-1409 EN ID:09065963</v>
      </c>
      <c r="Y7668" s="9"/>
      <c r="Z7668" s="9"/>
      <c r="AA7668" s="9"/>
      <c r="AB7668" s="9"/>
    </row>
    <row r="7669" spans="3:30" x14ac:dyDescent="0.35">
      <c r="C7669" s="15" t="s">
        <v>8</v>
      </c>
      <c r="G7669" s="15" t="s">
        <v>8</v>
      </c>
      <c r="K7669" s="15" t="s">
        <v>8</v>
      </c>
      <c r="L7669" s="15" t="s">
        <v>8</v>
      </c>
      <c r="M7669" s="15" t="s">
        <v>8</v>
      </c>
      <c r="N7669" s="15" t="s">
        <v>8</v>
      </c>
      <c r="O7669" s="15" t="s">
        <v>8</v>
      </c>
      <c r="Q7669" s="15" t="s">
        <v>8</v>
      </c>
      <c r="T7669" s="15" t="s">
        <v>8</v>
      </c>
      <c r="V7669" s="15" t="s">
        <v>8</v>
      </c>
      <c r="X7669" s="8" t="s">
        <v>3</v>
      </c>
      <c r="Y7669" s="8" t="s">
        <v>6</v>
      </c>
    </row>
    <row r="7670" spans="3:30" x14ac:dyDescent="0.35">
      <c r="C7670" s="15" t="s">
        <v>8</v>
      </c>
      <c r="G7670" s="15" t="s">
        <v>8</v>
      </c>
      <c r="K7670" s="15" t="s">
        <v>8</v>
      </c>
      <c r="L7670" s="15" t="s">
        <v>8</v>
      </c>
      <c r="M7670" s="15" t="s">
        <v>8</v>
      </c>
      <c r="N7670" s="15" t="s">
        <v>8</v>
      </c>
      <c r="O7670" s="15" t="s">
        <v>8</v>
      </c>
      <c r="Q7670" s="15" t="s">
        <v>8</v>
      </c>
      <c r="T7670" s="15" t="s">
        <v>8</v>
      </c>
      <c r="V7670" s="15" t="s">
        <v>8</v>
      </c>
      <c r="X7670" s="15" t="s">
        <v>8</v>
      </c>
      <c r="Y7670" s="20" t="str">
        <f>HYPERLINK("http://yeinfo.com/family/I09066140.html", "ISABEL LEE &lt;3&gt; 1310 EN-1330 EN ID:09066140")</f>
        <v>ISABEL LEE &lt;3&gt; 1310 EN-1330 EN ID:09066140</v>
      </c>
      <c r="Z7670" s="17"/>
      <c r="AA7670" s="17"/>
      <c r="AB7670" s="17"/>
      <c r="AC7670" s="17"/>
    </row>
    <row r="7671" spans="3:30" x14ac:dyDescent="0.35">
      <c r="C7671" s="15" t="s">
        <v>8</v>
      </c>
      <c r="G7671" s="15" t="s">
        <v>8</v>
      </c>
      <c r="K7671" s="15" t="s">
        <v>8</v>
      </c>
      <c r="L7671" s="15" t="s">
        <v>8</v>
      </c>
      <c r="M7671" s="15" t="s">
        <v>8</v>
      </c>
      <c r="N7671" s="15" t="s">
        <v>8</v>
      </c>
      <c r="O7671" s="15" t="s">
        <v>8</v>
      </c>
      <c r="Q7671" s="15" t="s">
        <v>8</v>
      </c>
      <c r="T7671" s="15" t="s">
        <v>8</v>
      </c>
      <c r="V7671" s="15" t="s">
        <v>8</v>
      </c>
      <c r="X7671" s="15" t="s">
        <v>8</v>
      </c>
    </row>
    <row r="7672" spans="3:30" x14ac:dyDescent="0.35">
      <c r="C7672" s="15" t="s">
        <v>8</v>
      </c>
      <c r="G7672" s="15" t="s">
        <v>8</v>
      </c>
      <c r="K7672" s="15" t="s">
        <v>8</v>
      </c>
      <c r="L7672" s="15" t="s">
        <v>8</v>
      </c>
      <c r="M7672" s="15" t="s">
        <v>8</v>
      </c>
      <c r="N7672" s="15" t="s">
        <v>8</v>
      </c>
      <c r="O7672" s="15" t="s">
        <v>8</v>
      </c>
      <c r="Q7672" s="15" t="s">
        <v>8</v>
      </c>
      <c r="T7672" s="15" t="s">
        <v>8</v>
      </c>
      <c r="V7672" s="15" t="s">
        <v>8</v>
      </c>
      <c r="W7672" s="19" t="str">
        <f>HYPERLINK("http://yeinfo.com/family/I09065809.html", "JOHN DANVERS &lt;3&gt; 1390 EN-1449 EN ID:09065809")</f>
        <v>JOHN DANVERS &lt;3&gt; 1390 EN-1449 EN ID:09065809</v>
      </c>
      <c r="X7672" s="9"/>
      <c r="Y7672" s="9"/>
      <c r="Z7672" s="9"/>
      <c r="AA7672" s="9"/>
    </row>
    <row r="7673" spans="3:30" x14ac:dyDescent="0.35">
      <c r="C7673" s="15" t="s">
        <v>8</v>
      </c>
      <c r="G7673" s="15" t="s">
        <v>8</v>
      </c>
      <c r="K7673" s="15" t="s">
        <v>8</v>
      </c>
      <c r="L7673" s="15" t="s">
        <v>8</v>
      </c>
      <c r="M7673" s="15" t="s">
        <v>8</v>
      </c>
      <c r="N7673" s="15" t="s">
        <v>8</v>
      </c>
      <c r="O7673" s="15" t="s">
        <v>8</v>
      </c>
      <c r="Q7673" s="15" t="s">
        <v>8</v>
      </c>
      <c r="T7673" s="15" t="s">
        <v>8</v>
      </c>
      <c r="V7673" s="15" t="s">
        <v>8</v>
      </c>
      <c r="W7673" s="8" t="s">
        <v>3</v>
      </c>
      <c r="X7673" s="15" t="s">
        <v>8</v>
      </c>
    </row>
    <row r="7674" spans="3:30" x14ac:dyDescent="0.35">
      <c r="C7674" s="15" t="s">
        <v>8</v>
      </c>
      <c r="G7674" s="15" t="s">
        <v>8</v>
      </c>
      <c r="K7674" s="15" t="s">
        <v>8</v>
      </c>
      <c r="L7674" s="15" t="s">
        <v>8</v>
      </c>
      <c r="M7674" s="15" t="s">
        <v>8</v>
      </c>
      <c r="N7674" s="15" t="s">
        <v>8</v>
      </c>
      <c r="O7674" s="15" t="s">
        <v>8</v>
      </c>
      <c r="Q7674" s="15" t="s">
        <v>8</v>
      </c>
      <c r="T7674" s="15" t="s">
        <v>8</v>
      </c>
      <c r="V7674" s="15" t="s">
        <v>8</v>
      </c>
      <c r="W7674" s="15" t="s">
        <v>8</v>
      </c>
      <c r="X7674" s="15" t="s">
        <v>8</v>
      </c>
      <c r="Y7674" s="19" t="str">
        <f>HYPERLINK("http://yeinfo.com/family/I09066141.html", "JOHN\RICHARD BRANCESTRE &lt;3&gt; 1340 EN-1392 EN ID:09066141")</f>
        <v>JOHN\RICHARD BRANCESTRE &lt;3&gt; 1340 EN-1392 EN ID:09066141</v>
      </c>
      <c r="Z7674" s="9"/>
      <c r="AA7674" s="9"/>
      <c r="AB7674" s="9"/>
      <c r="AC7674" s="9"/>
      <c r="AD7674" s="9"/>
    </row>
    <row r="7675" spans="3:30" x14ac:dyDescent="0.35">
      <c r="C7675" s="15" t="s">
        <v>8</v>
      </c>
      <c r="G7675" s="15" t="s">
        <v>8</v>
      </c>
      <c r="K7675" s="15" t="s">
        <v>8</v>
      </c>
      <c r="L7675" s="15" t="s">
        <v>8</v>
      </c>
      <c r="M7675" s="15" t="s">
        <v>8</v>
      </c>
      <c r="N7675" s="15" t="s">
        <v>8</v>
      </c>
      <c r="O7675" s="15" t="s">
        <v>8</v>
      </c>
      <c r="Q7675" s="15" t="s">
        <v>8</v>
      </c>
      <c r="T7675" s="15" t="s">
        <v>8</v>
      </c>
      <c r="V7675" s="15" t="s">
        <v>8</v>
      </c>
      <c r="W7675" s="15" t="s">
        <v>8</v>
      </c>
      <c r="X7675" s="8" t="s">
        <v>6</v>
      </c>
      <c r="Y7675" s="8" t="s">
        <v>3</v>
      </c>
    </row>
    <row r="7676" spans="3:30" x14ac:dyDescent="0.35">
      <c r="C7676" s="15" t="s">
        <v>8</v>
      </c>
      <c r="G7676" s="15" t="s">
        <v>8</v>
      </c>
      <c r="K7676" s="15" t="s">
        <v>8</v>
      </c>
      <c r="L7676" s="15" t="s">
        <v>8</v>
      </c>
      <c r="M7676" s="15" t="s">
        <v>8</v>
      </c>
      <c r="N7676" s="15" t="s">
        <v>8</v>
      </c>
      <c r="O7676" s="15" t="s">
        <v>8</v>
      </c>
      <c r="Q7676" s="15" t="s">
        <v>8</v>
      </c>
      <c r="T7676" s="15" t="s">
        <v>8</v>
      </c>
      <c r="V7676" s="15" t="s">
        <v>8</v>
      </c>
      <c r="W7676" s="15" t="s">
        <v>8</v>
      </c>
      <c r="X7676" s="20" t="str">
        <f>HYPERLINK("http://yeinfo.com/family/I09065964.html", "AGNES BRANCESTRE &lt;3&gt; 1365 EN-1394 EN ID:09065964")</f>
        <v>AGNES BRANCESTRE &lt;3&gt; 1365 EN-1394 EN ID:09065964</v>
      </c>
      <c r="Y7676" s="17"/>
      <c r="Z7676" s="17"/>
      <c r="AA7676" s="17"/>
      <c r="AB7676" s="17"/>
    </row>
    <row r="7677" spans="3:30" x14ac:dyDescent="0.35">
      <c r="C7677" s="15" t="s">
        <v>8</v>
      </c>
      <c r="G7677" s="15" t="s">
        <v>8</v>
      </c>
      <c r="K7677" s="15" t="s">
        <v>8</v>
      </c>
      <c r="L7677" s="15" t="s">
        <v>8</v>
      </c>
      <c r="M7677" s="15" t="s">
        <v>8</v>
      </c>
      <c r="N7677" s="15" t="s">
        <v>8</v>
      </c>
      <c r="O7677" s="15" t="s">
        <v>8</v>
      </c>
      <c r="Q7677" s="15" t="s">
        <v>8</v>
      </c>
      <c r="T7677" s="15" t="s">
        <v>8</v>
      </c>
      <c r="V7677" s="15" t="s">
        <v>8</v>
      </c>
      <c r="W7677" s="15" t="s">
        <v>8</v>
      </c>
      <c r="Y7677" s="8" t="s">
        <v>6</v>
      </c>
    </row>
    <row r="7678" spans="3:30" x14ac:dyDescent="0.35">
      <c r="C7678" s="15" t="s">
        <v>8</v>
      </c>
      <c r="G7678" s="15" t="s">
        <v>8</v>
      </c>
      <c r="K7678" s="15" t="s">
        <v>8</v>
      </c>
      <c r="L7678" s="15" t="s">
        <v>8</v>
      </c>
      <c r="M7678" s="15" t="s">
        <v>8</v>
      </c>
      <c r="N7678" s="15" t="s">
        <v>8</v>
      </c>
      <c r="O7678" s="15" t="s">
        <v>8</v>
      </c>
      <c r="Q7678" s="15" t="s">
        <v>8</v>
      </c>
      <c r="T7678" s="15" t="s">
        <v>8</v>
      </c>
      <c r="V7678" s="15" t="s">
        <v>8</v>
      </c>
      <c r="W7678" s="15" t="s">
        <v>8</v>
      </c>
      <c r="Y7678" s="20" t="str">
        <f>HYPERLINK("http://yeinfo.com/family/I09066142.html", "MARGARET\AGNES MILE &lt;3&gt; 1330 EN-1374 EN ID:09066142")</f>
        <v>MARGARET\AGNES MILE &lt;3&gt; 1330 EN-1374 EN ID:09066142</v>
      </c>
      <c r="Z7678" s="17"/>
      <c r="AA7678" s="17"/>
      <c r="AB7678" s="17"/>
      <c r="AC7678" s="17"/>
      <c r="AD7678" s="17"/>
    </row>
    <row r="7679" spans="3:30" x14ac:dyDescent="0.35">
      <c r="C7679" s="15" t="s">
        <v>8</v>
      </c>
      <c r="G7679" s="15" t="s">
        <v>8</v>
      </c>
      <c r="K7679" s="15" t="s">
        <v>8</v>
      </c>
      <c r="L7679" s="15" t="s">
        <v>8</v>
      </c>
      <c r="M7679" s="15" t="s">
        <v>8</v>
      </c>
      <c r="N7679" s="15" t="s">
        <v>8</v>
      </c>
      <c r="O7679" s="15" t="s">
        <v>8</v>
      </c>
      <c r="Q7679" s="15" t="s">
        <v>8</v>
      </c>
      <c r="T7679" s="15" t="s">
        <v>8</v>
      </c>
      <c r="V7679" s="8" t="s">
        <v>6</v>
      </c>
      <c r="W7679" s="15" t="s">
        <v>8</v>
      </c>
    </row>
    <row r="7680" spans="3:30" x14ac:dyDescent="0.35">
      <c r="C7680" s="15" t="s">
        <v>8</v>
      </c>
      <c r="G7680" s="15" t="s">
        <v>8</v>
      </c>
      <c r="K7680" s="15" t="s">
        <v>8</v>
      </c>
      <c r="L7680" s="15" t="s">
        <v>8</v>
      </c>
      <c r="M7680" s="15" t="s">
        <v>8</v>
      </c>
      <c r="N7680" s="15" t="s">
        <v>8</v>
      </c>
      <c r="O7680" s="15" t="s">
        <v>8</v>
      </c>
      <c r="Q7680" s="15" t="s">
        <v>8</v>
      </c>
      <c r="T7680" s="15" t="s">
        <v>8</v>
      </c>
      <c r="V7680" s="20" t="str">
        <f>HYPERLINK("http://yeinfo.com/family/I09066408.html", "AGNES DANVERS 1408 EN-1478 EN ID:09066252")</f>
        <v>AGNES DANVERS 1408 EN-1478 EN ID:09066252</v>
      </c>
      <c r="W7680" s="17"/>
      <c r="X7680" s="17"/>
      <c r="Y7680" s="17"/>
      <c r="Z7680" s="17"/>
    </row>
    <row r="7681" spans="3:27" x14ac:dyDescent="0.35">
      <c r="C7681" s="15" t="s">
        <v>8</v>
      </c>
      <c r="G7681" s="15" t="s">
        <v>8</v>
      </c>
      <c r="K7681" s="15" t="s">
        <v>8</v>
      </c>
      <c r="L7681" s="15" t="s">
        <v>8</v>
      </c>
      <c r="M7681" s="15" t="s">
        <v>8</v>
      </c>
      <c r="N7681" s="15" t="s">
        <v>8</v>
      </c>
      <c r="O7681" s="15" t="s">
        <v>8</v>
      </c>
      <c r="Q7681" s="15" t="s">
        <v>8</v>
      </c>
      <c r="T7681" s="15" t="s">
        <v>8</v>
      </c>
      <c r="W7681" s="8" t="s">
        <v>6</v>
      </c>
    </row>
    <row r="7682" spans="3:27" x14ac:dyDescent="0.35">
      <c r="C7682" s="15" t="s">
        <v>8</v>
      </c>
      <c r="G7682" s="15" t="s">
        <v>8</v>
      </c>
      <c r="K7682" s="15" t="s">
        <v>8</v>
      </c>
      <c r="L7682" s="15" t="s">
        <v>8</v>
      </c>
      <c r="M7682" s="15" t="s">
        <v>8</v>
      </c>
      <c r="N7682" s="15" t="s">
        <v>8</v>
      </c>
      <c r="O7682" s="15" t="s">
        <v>8</v>
      </c>
      <c r="Q7682" s="15" t="s">
        <v>8</v>
      </c>
      <c r="T7682" s="15" t="s">
        <v>8</v>
      </c>
      <c r="W7682" s="20" t="str">
        <f>HYPERLINK("http://yeinfo.com/family/I09066252.html", "ALICE VERNEY 1380 EN-1429 EN ID:09066409")</f>
        <v>ALICE VERNEY 1380 EN-1429 EN ID:09066409</v>
      </c>
      <c r="X7682" s="17"/>
      <c r="Y7682" s="17"/>
      <c r="Z7682" s="17"/>
      <c r="AA7682" s="17"/>
    </row>
    <row r="7683" spans="3:27" x14ac:dyDescent="0.35">
      <c r="C7683" s="15" t="s">
        <v>8</v>
      </c>
      <c r="G7683" s="15" t="s">
        <v>8</v>
      </c>
      <c r="K7683" s="15" t="s">
        <v>8</v>
      </c>
      <c r="L7683" s="15" t="s">
        <v>8</v>
      </c>
      <c r="M7683" s="15" t="s">
        <v>8</v>
      </c>
      <c r="N7683" s="15" t="s">
        <v>8</v>
      </c>
      <c r="O7683" s="15" t="s">
        <v>8</v>
      </c>
      <c r="Q7683" s="15" t="s">
        <v>8</v>
      </c>
      <c r="T7683" s="15" t="s">
        <v>8</v>
      </c>
    </row>
    <row r="7684" spans="3:27" x14ac:dyDescent="0.35">
      <c r="C7684" s="15" t="s">
        <v>8</v>
      </c>
      <c r="G7684" s="15" t="s">
        <v>8</v>
      </c>
      <c r="K7684" s="15" t="s">
        <v>8</v>
      </c>
      <c r="L7684" s="15" t="s">
        <v>8</v>
      </c>
      <c r="M7684" s="15" t="s">
        <v>8</v>
      </c>
      <c r="N7684" s="15" t="s">
        <v>8</v>
      </c>
      <c r="O7684" s="15" t="s">
        <v>8</v>
      </c>
      <c r="Q7684" s="15" t="s">
        <v>8</v>
      </c>
      <c r="S7684" s="19" t="str">
        <f>HYPERLINK("http://yeinfo.com/family/I09065627.html", "GEORGE WALDEGRAVE 1483 EN-1528 EN ID:09065752")</f>
        <v>GEORGE WALDEGRAVE 1483 EN-1528 EN ID:09065752</v>
      </c>
      <c r="T7684" s="9"/>
      <c r="U7684" s="9"/>
      <c r="V7684" s="9"/>
      <c r="W7684" s="9"/>
    </row>
    <row r="7685" spans="3:27" x14ac:dyDescent="0.35">
      <c r="C7685" s="15" t="s">
        <v>8</v>
      </c>
      <c r="G7685" s="15" t="s">
        <v>8</v>
      </c>
      <c r="K7685" s="15" t="s">
        <v>8</v>
      </c>
      <c r="L7685" s="15" t="s">
        <v>8</v>
      </c>
      <c r="M7685" s="15" t="s">
        <v>8</v>
      </c>
      <c r="N7685" s="15" t="s">
        <v>8</v>
      </c>
      <c r="O7685" s="15" t="s">
        <v>8</v>
      </c>
      <c r="Q7685" s="15" t="s">
        <v>8</v>
      </c>
      <c r="S7685" s="8" t="s">
        <v>3</v>
      </c>
      <c r="T7685" s="15" t="s">
        <v>8</v>
      </c>
    </row>
    <row r="7686" spans="3:27" x14ac:dyDescent="0.35">
      <c r="C7686" s="15" t="s">
        <v>8</v>
      </c>
      <c r="G7686" s="15" t="s">
        <v>8</v>
      </c>
      <c r="K7686" s="15" t="s">
        <v>8</v>
      </c>
      <c r="L7686" s="15" t="s">
        <v>8</v>
      </c>
      <c r="M7686" s="15" t="s">
        <v>8</v>
      </c>
      <c r="N7686" s="15" t="s">
        <v>8</v>
      </c>
      <c r="O7686" s="15" t="s">
        <v>8</v>
      </c>
      <c r="Q7686" s="15" t="s">
        <v>8</v>
      </c>
      <c r="S7686" s="15" t="s">
        <v>8</v>
      </c>
      <c r="T7686" s="15" t="s">
        <v>8</v>
      </c>
      <c r="W7686" s="19" t="str">
        <f>HYPERLINK("http://yeinfo.com/family/I09066253.html", "JOHN WENTWORTH 1370 EN-1400  ID:09066410")</f>
        <v>JOHN WENTWORTH 1370 EN-1400  ID:09066410</v>
      </c>
      <c r="X7686" s="9"/>
      <c r="Y7686" s="9"/>
      <c r="Z7686" s="9"/>
      <c r="AA7686" s="9"/>
    </row>
    <row r="7687" spans="3:27" x14ac:dyDescent="0.35">
      <c r="C7687" s="15" t="s">
        <v>8</v>
      </c>
      <c r="G7687" s="15" t="s">
        <v>8</v>
      </c>
      <c r="K7687" s="15" t="s">
        <v>8</v>
      </c>
      <c r="L7687" s="15" t="s">
        <v>8</v>
      </c>
      <c r="M7687" s="15" t="s">
        <v>8</v>
      </c>
      <c r="N7687" s="15" t="s">
        <v>8</v>
      </c>
      <c r="O7687" s="15" t="s">
        <v>8</v>
      </c>
      <c r="Q7687" s="15" t="s">
        <v>8</v>
      </c>
      <c r="S7687" s="15" t="s">
        <v>8</v>
      </c>
      <c r="T7687" s="15" t="s">
        <v>8</v>
      </c>
      <c r="W7687" s="8" t="s">
        <v>3</v>
      </c>
    </row>
    <row r="7688" spans="3:27" x14ac:dyDescent="0.35">
      <c r="C7688" s="15" t="s">
        <v>8</v>
      </c>
      <c r="G7688" s="15" t="s">
        <v>8</v>
      </c>
      <c r="K7688" s="15" t="s">
        <v>8</v>
      </c>
      <c r="L7688" s="15" t="s">
        <v>8</v>
      </c>
      <c r="M7688" s="15" t="s">
        <v>8</v>
      </c>
      <c r="N7688" s="15" t="s">
        <v>8</v>
      </c>
      <c r="O7688" s="15" t="s">
        <v>8</v>
      </c>
      <c r="Q7688" s="15" t="s">
        <v>8</v>
      </c>
      <c r="S7688" s="15" t="s">
        <v>8</v>
      </c>
      <c r="T7688" s="15" t="s">
        <v>8</v>
      </c>
      <c r="V7688" s="19" t="str">
        <f>HYPERLINK("http://yeinfo.com/family/I09066059.html", "ROGER\RICHARD WENTWORTH 1400 EN-1452 EN ID:09066253")</f>
        <v>ROGER\RICHARD WENTWORTH 1400 EN-1452 EN ID:09066253</v>
      </c>
      <c r="W7688" s="9"/>
      <c r="X7688" s="9"/>
      <c r="Y7688" s="9"/>
      <c r="Z7688" s="9"/>
      <c r="AA7688" s="9"/>
    </row>
    <row r="7689" spans="3:27" x14ac:dyDescent="0.35">
      <c r="C7689" s="15" t="s">
        <v>8</v>
      </c>
      <c r="G7689" s="15" t="s">
        <v>8</v>
      </c>
      <c r="K7689" s="15" t="s">
        <v>8</v>
      </c>
      <c r="L7689" s="15" t="s">
        <v>8</v>
      </c>
      <c r="M7689" s="15" t="s">
        <v>8</v>
      </c>
      <c r="N7689" s="15" t="s">
        <v>8</v>
      </c>
      <c r="O7689" s="15" t="s">
        <v>8</v>
      </c>
      <c r="Q7689" s="15" t="s">
        <v>8</v>
      </c>
      <c r="S7689" s="15" t="s">
        <v>8</v>
      </c>
      <c r="T7689" s="15" t="s">
        <v>8</v>
      </c>
      <c r="V7689" s="8" t="s">
        <v>3</v>
      </c>
      <c r="W7689" s="8" t="s">
        <v>6</v>
      </c>
    </row>
    <row r="7690" spans="3:27" x14ac:dyDescent="0.35">
      <c r="C7690" s="15" t="s">
        <v>8</v>
      </c>
      <c r="G7690" s="15" t="s">
        <v>8</v>
      </c>
      <c r="K7690" s="15" t="s">
        <v>8</v>
      </c>
      <c r="L7690" s="15" t="s">
        <v>8</v>
      </c>
      <c r="M7690" s="15" t="s">
        <v>8</v>
      </c>
      <c r="N7690" s="15" t="s">
        <v>8</v>
      </c>
      <c r="O7690" s="15" t="s">
        <v>8</v>
      </c>
      <c r="Q7690" s="15" t="s">
        <v>8</v>
      </c>
      <c r="S7690" s="15" t="s">
        <v>8</v>
      </c>
      <c r="T7690" s="15" t="s">
        <v>8</v>
      </c>
      <c r="V7690" s="15" t="s">
        <v>8</v>
      </c>
      <c r="W7690" s="20" t="str">
        <f>HYPERLINK("http://yeinfo.com/family/I09066410.html", "AGNES DRONSFIELD 1373 EN-1437 EN ID:09066411")</f>
        <v>AGNES DRONSFIELD 1373 EN-1437 EN ID:09066411</v>
      </c>
      <c r="X7690" s="17"/>
      <c r="Y7690" s="17"/>
      <c r="Z7690" s="17"/>
      <c r="AA7690" s="17"/>
    </row>
    <row r="7691" spans="3:27" x14ac:dyDescent="0.35">
      <c r="C7691" s="15" t="s">
        <v>8</v>
      </c>
      <c r="G7691" s="15" t="s">
        <v>8</v>
      </c>
      <c r="K7691" s="15" t="s">
        <v>8</v>
      </c>
      <c r="L7691" s="15" t="s">
        <v>8</v>
      </c>
      <c r="M7691" s="15" t="s">
        <v>8</v>
      </c>
      <c r="N7691" s="15" t="s">
        <v>8</v>
      </c>
      <c r="O7691" s="15" t="s">
        <v>8</v>
      </c>
      <c r="Q7691" s="15" t="s">
        <v>8</v>
      </c>
      <c r="S7691" s="15" t="s">
        <v>8</v>
      </c>
      <c r="T7691" s="15" t="s">
        <v>8</v>
      </c>
      <c r="V7691" s="15" t="s">
        <v>8</v>
      </c>
    </row>
    <row r="7692" spans="3:27" x14ac:dyDescent="0.35">
      <c r="C7692" s="15" t="s">
        <v>8</v>
      </c>
      <c r="G7692" s="15" t="s">
        <v>8</v>
      </c>
      <c r="K7692" s="15" t="s">
        <v>8</v>
      </c>
      <c r="L7692" s="15" t="s">
        <v>8</v>
      </c>
      <c r="M7692" s="15" t="s">
        <v>8</v>
      </c>
      <c r="N7692" s="15" t="s">
        <v>8</v>
      </c>
      <c r="O7692" s="15" t="s">
        <v>8</v>
      </c>
      <c r="Q7692" s="15" t="s">
        <v>8</v>
      </c>
      <c r="S7692" s="15" t="s">
        <v>8</v>
      </c>
      <c r="T7692" s="15" t="s">
        <v>8</v>
      </c>
      <c r="U7692" s="19" t="str">
        <f>HYPERLINK("http://yeinfo.com/family/I09065902.html", "HENRY WENTWORTH 1426 EN-1483 EN ID:09066059")</f>
        <v>HENRY WENTWORTH 1426 EN-1483 EN ID:09066059</v>
      </c>
      <c r="V7692" s="9"/>
      <c r="W7692" s="9"/>
      <c r="X7692" s="9"/>
      <c r="Y7692" s="9"/>
    </row>
    <row r="7693" spans="3:27" x14ac:dyDescent="0.35">
      <c r="C7693" s="15" t="s">
        <v>8</v>
      </c>
      <c r="G7693" s="15" t="s">
        <v>8</v>
      </c>
      <c r="K7693" s="15" t="s">
        <v>8</v>
      </c>
      <c r="L7693" s="15" t="s">
        <v>8</v>
      </c>
      <c r="M7693" s="15" t="s">
        <v>8</v>
      </c>
      <c r="N7693" s="15" t="s">
        <v>8</v>
      </c>
      <c r="O7693" s="15" t="s">
        <v>8</v>
      </c>
      <c r="Q7693" s="15" t="s">
        <v>8</v>
      </c>
      <c r="S7693" s="15" t="s">
        <v>8</v>
      </c>
      <c r="T7693" s="15" t="s">
        <v>8</v>
      </c>
      <c r="U7693" s="8" t="s">
        <v>3</v>
      </c>
      <c r="V7693" s="15" t="s">
        <v>8</v>
      </c>
    </row>
    <row r="7694" spans="3:27" x14ac:dyDescent="0.35">
      <c r="C7694" s="15" t="s">
        <v>8</v>
      </c>
      <c r="G7694" s="15" t="s">
        <v>8</v>
      </c>
      <c r="K7694" s="15" t="s">
        <v>8</v>
      </c>
      <c r="L7694" s="15" t="s">
        <v>8</v>
      </c>
      <c r="M7694" s="15" t="s">
        <v>8</v>
      </c>
      <c r="N7694" s="15" t="s">
        <v>8</v>
      </c>
      <c r="O7694" s="15" t="s">
        <v>8</v>
      </c>
      <c r="Q7694" s="15" t="s">
        <v>8</v>
      </c>
      <c r="S7694" s="15" t="s">
        <v>8</v>
      </c>
      <c r="T7694" s="15" t="s">
        <v>8</v>
      </c>
      <c r="U7694" s="15" t="s">
        <v>8</v>
      </c>
      <c r="V7694" s="15" t="s">
        <v>8</v>
      </c>
      <c r="W7694" s="19" t="str">
        <f>HYPERLINK("http://yeinfo.com/family/I09066254.html", "PHILIP DESPENSER 1375 EN-1435 EN ID:09066412")</f>
        <v>PHILIP DESPENSER 1375 EN-1435 EN ID:09066412</v>
      </c>
      <c r="X7694" s="9"/>
      <c r="Y7694" s="9"/>
      <c r="Z7694" s="9"/>
      <c r="AA7694" s="9"/>
    </row>
    <row r="7695" spans="3:27" x14ac:dyDescent="0.35">
      <c r="C7695" s="15" t="s">
        <v>8</v>
      </c>
      <c r="G7695" s="15" t="s">
        <v>8</v>
      </c>
      <c r="K7695" s="15" t="s">
        <v>8</v>
      </c>
      <c r="L7695" s="15" t="s">
        <v>8</v>
      </c>
      <c r="M7695" s="15" t="s">
        <v>8</v>
      </c>
      <c r="N7695" s="15" t="s">
        <v>8</v>
      </c>
      <c r="O7695" s="15" t="s">
        <v>8</v>
      </c>
      <c r="Q7695" s="15" t="s">
        <v>8</v>
      </c>
      <c r="S7695" s="15" t="s">
        <v>8</v>
      </c>
      <c r="T7695" s="15" t="s">
        <v>8</v>
      </c>
      <c r="U7695" s="15" t="s">
        <v>8</v>
      </c>
      <c r="V7695" s="8" t="s">
        <v>6</v>
      </c>
      <c r="W7695" s="8" t="s">
        <v>3</v>
      </c>
    </row>
    <row r="7696" spans="3:27" x14ac:dyDescent="0.35">
      <c r="C7696" s="15" t="s">
        <v>8</v>
      </c>
      <c r="G7696" s="15" t="s">
        <v>8</v>
      </c>
      <c r="K7696" s="15" t="s">
        <v>8</v>
      </c>
      <c r="L7696" s="15" t="s">
        <v>8</v>
      </c>
      <c r="M7696" s="15" t="s">
        <v>8</v>
      </c>
      <c r="N7696" s="15" t="s">
        <v>8</v>
      </c>
      <c r="O7696" s="15" t="s">
        <v>8</v>
      </c>
      <c r="Q7696" s="15" t="s">
        <v>8</v>
      </c>
      <c r="S7696" s="15" t="s">
        <v>8</v>
      </c>
      <c r="T7696" s="15" t="s">
        <v>8</v>
      </c>
      <c r="U7696" s="15" t="s">
        <v>8</v>
      </c>
      <c r="V7696" s="20" t="str">
        <f>HYPERLINK("http://yeinfo.com/family/I09066411.html", "MARGERY DESPENSER 1400 EN-1478 EN ID:09066254")</f>
        <v>MARGERY DESPENSER 1400 EN-1478 EN ID:09066254</v>
      </c>
      <c r="W7696" s="17"/>
      <c r="X7696" s="17"/>
      <c r="Y7696" s="17"/>
      <c r="Z7696" s="17"/>
    </row>
    <row r="7697" spans="3:27" x14ac:dyDescent="0.35">
      <c r="C7697" s="15" t="s">
        <v>8</v>
      </c>
      <c r="G7697" s="15" t="s">
        <v>8</v>
      </c>
      <c r="K7697" s="15" t="s">
        <v>8</v>
      </c>
      <c r="L7697" s="15" t="s">
        <v>8</v>
      </c>
      <c r="M7697" s="15" t="s">
        <v>8</v>
      </c>
      <c r="N7697" s="15" t="s">
        <v>8</v>
      </c>
      <c r="O7697" s="15" t="s">
        <v>8</v>
      </c>
      <c r="Q7697" s="15" t="s">
        <v>8</v>
      </c>
      <c r="S7697" s="15" t="s">
        <v>8</v>
      </c>
      <c r="T7697" s="15" t="s">
        <v>8</v>
      </c>
      <c r="U7697" s="15" t="s">
        <v>8</v>
      </c>
      <c r="W7697" s="8" t="s">
        <v>6</v>
      </c>
    </row>
    <row r="7698" spans="3:27" x14ac:dyDescent="0.35">
      <c r="C7698" s="15" t="s">
        <v>8</v>
      </c>
      <c r="G7698" s="15" t="s">
        <v>8</v>
      </c>
      <c r="K7698" s="15" t="s">
        <v>8</v>
      </c>
      <c r="L7698" s="15" t="s">
        <v>8</v>
      </c>
      <c r="M7698" s="15" t="s">
        <v>8</v>
      </c>
      <c r="N7698" s="15" t="s">
        <v>8</v>
      </c>
      <c r="O7698" s="15" t="s">
        <v>8</v>
      </c>
      <c r="Q7698" s="15" t="s">
        <v>8</v>
      </c>
      <c r="S7698" s="15" t="s">
        <v>8</v>
      </c>
      <c r="T7698" s="15" t="s">
        <v>8</v>
      </c>
      <c r="U7698" s="15" t="s">
        <v>8</v>
      </c>
      <c r="W7698" s="20" t="str">
        <f>HYPERLINK("http://yeinfo.com/family/I09066412.html", "ELIZABETH TIPTOFT 1370 EN-1435 EN ID:09066413")</f>
        <v>ELIZABETH TIPTOFT 1370 EN-1435 EN ID:09066413</v>
      </c>
      <c r="X7698" s="17"/>
      <c r="Y7698" s="17"/>
      <c r="Z7698" s="17"/>
      <c r="AA7698" s="17"/>
    </row>
    <row r="7699" spans="3:27" x14ac:dyDescent="0.35">
      <c r="C7699" s="15" t="s">
        <v>8</v>
      </c>
      <c r="G7699" s="15" t="s">
        <v>8</v>
      </c>
      <c r="K7699" s="15" t="s">
        <v>8</v>
      </c>
      <c r="L7699" s="15" t="s">
        <v>8</v>
      </c>
      <c r="M7699" s="15" t="s">
        <v>8</v>
      </c>
      <c r="N7699" s="15" t="s">
        <v>8</v>
      </c>
      <c r="O7699" s="15" t="s">
        <v>8</v>
      </c>
      <c r="Q7699" s="15" t="s">
        <v>8</v>
      </c>
      <c r="S7699" s="15" t="s">
        <v>8</v>
      </c>
      <c r="T7699" s="8" t="s">
        <v>6</v>
      </c>
      <c r="U7699" s="15" t="s">
        <v>8</v>
      </c>
    </row>
    <row r="7700" spans="3:27" x14ac:dyDescent="0.35">
      <c r="C7700" s="15" t="s">
        <v>8</v>
      </c>
      <c r="G7700" s="15" t="s">
        <v>8</v>
      </c>
      <c r="K7700" s="15" t="s">
        <v>8</v>
      </c>
      <c r="L7700" s="15" t="s">
        <v>8</v>
      </c>
      <c r="M7700" s="15" t="s">
        <v>8</v>
      </c>
      <c r="N7700" s="15" t="s">
        <v>8</v>
      </c>
      <c r="O7700" s="15" t="s">
        <v>8</v>
      </c>
      <c r="Q7700" s="15" t="s">
        <v>8</v>
      </c>
      <c r="S7700" s="15" t="s">
        <v>8</v>
      </c>
      <c r="T7700" s="20" t="str">
        <f>HYPERLINK("http://yeinfo.com/family/I09066409.html", "MARGERY WENTWORTH 1453 EN-1540  ID:09065902")</f>
        <v>MARGERY WENTWORTH 1453 EN-1540  ID:09065902</v>
      </c>
      <c r="U7700" s="17"/>
      <c r="V7700" s="17"/>
      <c r="W7700" s="17"/>
      <c r="X7700" s="17"/>
    </row>
    <row r="7701" spans="3:27" x14ac:dyDescent="0.35">
      <c r="C7701" s="15" t="s">
        <v>8</v>
      </c>
      <c r="G7701" s="15" t="s">
        <v>8</v>
      </c>
      <c r="K7701" s="15" t="s">
        <v>8</v>
      </c>
      <c r="L7701" s="15" t="s">
        <v>8</v>
      </c>
      <c r="M7701" s="15" t="s">
        <v>8</v>
      </c>
      <c r="N7701" s="15" t="s">
        <v>8</v>
      </c>
      <c r="O7701" s="15" t="s">
        <v>8</v>
      </c>
      <c r="Q7701" s="15" t="s">
        <v>8</v>
      </c>
      <c r="S7701" s="15" t="s">
        <v>8</v>
      </c>
      <c r="U7701" s="15" t="s">
        <v>8</v>
      </c>
    </row>
    <row r="7702" spans="3:27" x14ac:dyDescent="0.35">
      <c r="C7702" s="15" t="s">
        <v>8</v>
      </c>
      <c r="G7702" s="15" t="s">
        <v>8</v>
      </c>
      <c r="K7702" s="15" t="s">
        <v>8</v>
      </c>
      <c r="L7702" s="15" t="s">
        <v>8</v>
      </c>
      <c r="M7702" s="15" t="s">
        <v>8</v>
      </c>
      <c r="N7702" s="15" t="s">
        <v>8</v>
      </c>
      <c r="O7702" s="15" t="s">
        <v>8</v>
      </c>
      <c r="Q7702" s="15" t="s">
        <v>8</v>
      </c>
      <c r="S7702" s="15" t="s">
        <v>8</v>
      </c>
      <c r="U7702" s="15" t="s">
        <v>8</v>
      </c>
      <c r="W7702" s="19" t="str">
        <f>HYPERLINK("http://yeinfo.com/family/I09066255.html", "JOHN HOWARD 1366 -1437  ID:09066414")</f>
        <v>JOHN HOWARD 1366 -1437  ID:09066414</v>
      </c>
      <c r="X7702" s="9"/>
      <c r="Y7702" s="9"/>
      <c r="Z7702" s="9"/>
      <c r="AA7702" s="9"/>
    </row>
    <row r="7703" spans="3:27" x14ac:dyDescent="0.35">
      <c r="C7703" s="15" t="s">
        <v>8</v>
      </c>
      <c r="G7703" s="15" t="s">
        <v>8</v>
      </c>
      <c r="K7703" s="15" t="s">
        <v>8</v>
      </c>
      <c r="L7703" s="15" t="s">
        <v>8</v>
      </c>
      <c r="M7703" s="15" t="s">
        <v>8</v>
      </c>
      <c r="N7703" s="15" t="s">
        <v>8</v>
      </c>
      <c r="O7703" s="15" t="s">
        <v>8</v>
      </c>
      <c r="Q7703" s="15" t="s">
        <v>8</v>
      </c>
      <c r="S7703" s="15" t="s">
        <v>8</v>
      </c>
      <c r="U7703" s="15" t="s">
        <v>8</v>
      </c>
      <c r="W7703" s="8" t="s">
        <v>3</v>
      </c>
    </row>
    <row r="7704" spans="3:27" x14ac:dyDescent="0.35">
      <c r="C7704" s="15" t="s">
        <v>8</v>
      </c>
      <c r="G7704" s="15" t="s">
        <v>8</v>
      </c>
      <c r="K7704" s="15" t="s">
        <v>8</v>
      </c>
      <c r="L7704" s="15" t="s">
        <v>8</v>
      </c>
      <c r="M7704" s="15" t="s">
        <v>8</v>
      </c>
      <c r="N7704" s="15" t="s">
        <v>8</v>
      </c>
      <c r="O7704" s="15" t="s">
        <v>8</v>
      </c>
      <c r="Q7704" s="15" t="s">
        <v>8</v>
      </c>
      <c r="S7704" s="15" t="s">
        <v>8</v>
      </c>
      <c r="U7704" s="15" t="s">
        <v>8</v>
      </c>
      <c r="V7704" s="19" t="str">
        <f>HYPERLINK("http://yeinfo.com/family/I09066060.html", "HENRY HOWARD 1395 EN-1436 EN ID:09066255")</f>
        <v>HENRY HOWARD 1395 EN-1436 EN ID:09066255</v>
      </c>
      <c r="W7704" s="9"/>
      <c r="X7704" s="9"/>
      <c r="Y7704" s="9"/>
      <c r="Z7704" s="9"/>
    </row>
    <row r="7705" spans="3:27" x14ac:dyDescent="0.35">
      <c r="C7705" s="15" t="s">
        <v>8</v>
      </c>
      <c r="G7705" s="15" t="s">
        <v>8</v>
      </c>
      <c r="K7705" s="15" t="s">
        <v>8</v>
      </c>
      <c r="L7705" s="15" t="s">
        <v>8</v>
      </c>
      <c r="M7705" s="15" t="s">
        <v>8</v>
      </c>
      <c r="N7705" s="15" t="s">
        <v>8</v>
      </c>
      <c r="O7705" s="15" t="s">
        <v>8</v>
      </c>
      <c r="Q7705" s="15" t="s">
        <v>8</v>
      </c>
      <c r="S7705" s="15" t="s">
        <v>8</v>
      </c>
      <c r="U7705" s="15" t="s">
        <v>8</v>
      </c>
      <c r="V7705" s="8" t="s">
        <v>3</v>
      </c>
      <c r="W7705" s="8" t="s">
        <v>6</v>
      </c>
    </row>
    <row r="7706" spans="3:27" x14ac:dyDescent="0.35">
      <c r="C7706" s="15" t="s">
        <v>8</v>
      </c>
      <c r="G7706" s="15" t="s">
        <v>8</v>
      </c>
      <c r="K7706" s="15" t="s">
        <v>8</v>
      </c>
      <c r="L7706" s="15" t="s">
        <v>8</v>
      </c>
      <c r="M7706" s="15" t="s">
        <v>8</v>
      </c>
      <c r="N7706" s="15" t="s">
        <v>8</v>
      </c>
      <c r="O7706" s="15" t="s">
        <v>8</v>
      </c>
      <c r="Q7706" s="15" t="s">
        <v>8</v>
      </c>
      <c r="S7706" s="15" t="s">
        <v>8</v>
      </c>
      <c r="U7706" s="15" t="s">
        <v>8</v>
      </c>
      <c r="V7706" s="15" t="s">
        <v>8</v>
      </c>
      <c r="W7706" s="20" t="str">
        <f>HYPERLINK("http://yeinfo.com/family/I09066414.html", "ALICE TENDRING 1366 EN-1395 EN ID:09066415")</f>
        <v>ALICE TENDRING 1366 EN-1395 EN ID:09066415</v>
      </c>
      <c r="X7706" s="17"/>
      <c r="Y7706" s="17"/>
      <c r="Z7706" s="17"/>
      <c r="AA7706" s="17"/>
    </row>
    <row r="7707" spans="3:27" x14ac:dyDescent="0.35">
      <c r="C7707" s="15" t="s">
        <v>8</v>
      </c>
      <c r="G7707" s="15" t="s">
        <v>8</v>
      </c>
      <c r="K7707" s="15" t="s">
        <v>8</v>
      </c>
      <c r="L7707" s="15" t="s">
        <v>8</v>
      </c>
      <c r="M7707" s="15" t="s">
        <v>8</v>
      </c>
      <c r="N7707" s="15" t="s">
        <v>8</v>
      </c>
      <c r="O7707" s="15" t="s">
        <v>8</v>
      </c>
      <c r="Q7707" s="15" t="s">
        <v>8</v>
      </c>
      <c r="S7707" s="15" t="s">
        <v>8</v>
      </c>
      <c r="U7707" s="8" t="s">
        <v>6</v>
      </c>
      <c r="V7707" s="15" t="s">
        <v>8</v>
      </c>
    </row>
    <row r="7708" spans="3:27" x14ac:dyDescent="0.35">
      <c r="C7708" s="15" t="s">
        <v>8</v>
      </c>
      <c r="G7708" s="15" t="s">
        <v>8</v>
      </c>
      <c r="K7708" s="15" t="s">
        <v>8</v>
      </c>
      <c r="L7708" s="15" t="s">
        <v>8</v>
      </c>
      <c r="M7708" s="15" t="s">
        <v>8</v>
      </c>
      <c r="N7708" s="15" t="s">
        <v>8</v>
      </c>
      <c r="O7708" s="15" t="s">
        <v>8</v>
      </c>
      <c r="Q7708" s="15" t="s">
        <v>8</v>
      </c>
      <c r="S7708" s="15" t="s">
        <v>8</v>
      </c>
      <c r="U7708" s="20" t="str">
        <f>HYPERLINK("http://yeinfo.com/family/I09066413.html", "ELIZABETH HOWARD 1430 EN-1478 EN ID:09066060")</f>
        <v>ELIZABETH HOWARD 1430 EN-1478 EN ID:09066060</v>
      </c>
      <c r="V7708" s="17"/>
      <c r="W7708" s="17"/>
      <c r="X7708" s="17"/>
      <c r="Y7708" s="17"/>
    </row>
    <row r="7709" spans="3:27" x14ac:dyDescent="0.35">
      <c r="C7709" s="15" t="s">
        <v>8</v>
      </c>
      <c r="G7709" s="15" t="s">
        <v>8</v>
      </c>
      <c r="K7709" s="15" t="s">
        <v>8</v>
      </c>
      <c r="L7709" s="15" t="s">
        <v>8</v>
      </c>
      <c r="M7709" s="15" t="s">
        <v>8</v>
      </c>
      <c r="N7709" s="15" t="s">
        <v>8</v>
      </c>
      <c r="O7709" s="15" t="s">
        <v>8</v>
      </c>
      <c r="Q7709" s="15" t="s">
        <v>8</v>
      </c>
      <c r="S7709" s="15" t="s">
        <v>8</v>
      </c>
      <c r="V7709" s="15" t="s">
        <v>8</v>
      </c>
    </row>
    <row r="7710" spans="3:27" x14ac:dyDescent="0.35">
      <c r="C7710" s="15" t="s">
        <v>8</v>
      </c>
      <c r="G7710" s="15" t="s">
        <v>8</v>
      </c>
      <c r="K7710" s="15" t="s">
        <v>8</v>
      </c>
      <c r="L7710" s="15" t="s">
        <v>8</v>
      </c>
      <c r="M7710" s="15" t="s">
        <v>8</v>
      </c>
      <c r="N7710" s="15" t="s">
        <v>8</v>
      </c>
      <c r="O7710" s="15" t="s">
        <v>8</v>
      </c>
      <c r="Q7710" s="15" t="s">
        <v>8</v>
      </c>
      <c r="S7710" s="15" t="s">
        <v>8</v>
      </c>
      <c r="V7710" s="15" t="s">
        <v>8</v>
      </c>
      <c r="W7710" s="19" t="str">
        <f>HYPERLINK("http://yeinfo.com/family/I09066256.html", "HENRY HUSSEY 1343 EN-1389 EN ID:09066416")</f>
        <v>HENRY HUSSEY 1343 EN-1389 EN ID:09066416</v>
      </c>
      <c r="X7710" s="9"/>
      <c r="Y7710" s="9"/>
      <c r="Z7710" s="9"/>
      <c r="AA7710" s="9"/>
    </row>
    <row r="7711" spans="3:27" x14ac:dyDescent="0.35">
      <c r="C7711" s="15" t="s">
        <v>8</v>
      </c>
      <c r="G7711" s="15" t="s">
        <v>8</v>
      </c>
      <c r="K7711" s="15" t="s">
        <v>8</v>
      </c>
      <c r="L7711" s="15" t="s">
        <v>8</v>
      </c>
      <c r="M7711" s="15" t="s">
        <v>8</v>
      </c>
      <c r="N7711" s="15" t="s">
        <v>8</v>
      </c>
      <c r="O7711" s="15" t="s">
        <v>8</v>
      </c>
      <c r="Q7711" s="15" t="s">
        <v>8</v>
      </c>
      <c r="S7711" s="15" t="s">
        <v>8</v>
      </c>
      <c r="V7711" s="8" t="s">
        <v>6</v>
      </c>
      <c r="W7711" s="8" t="s">
        <v>3</v>
      </c>
    </row>
    <row r="7712" spans="3:27" x14ac:dyDescent="0.35">
      <c r="C7712" s="15" t="s">
        <v>8</v>
      </c>
      <c r="G7712" s="15" t="s">
        <v>8</v>
      </c>
      <c r="K7712" s="15" t="s">
        <v>8</v>
      </c>
      <c r="L7712" s="15" t="s">
        <v>8</v>
      </c>
      <c r="M7712" s="15" t="s">
        <v>8</v>
      </c>
      <c r="N7712" s="15" t="s">
        <v>8</v>
      </c>
      <c r="O7712" s="15" t="s">
        <v>8</v>
      </c>
      <c r="Q7712" s="15" t="s">
        <v>8</v>
      </c>
      <c r="S7712" s="15" t="s">
        <v>8</v>
      </c>
      <c r="V7712" s="20" t="str">
        <f>HYPERLINK("http://yeinfo.com/family/I09066415.html", "MARY\MARGARET HUSSEY 1389 EN-1430 EN ID:09066256")</f>
        <v>MARY\MARGARET HUSSEY 1389 EN-1430 EN ID:09066256</v>
      </c>
      <c r="W7712" s="17"/>
      <c r="X7712" s="17"/>
      <c r="Y7712" s="17"/>
      <c r="Z7712" s="17"/>
      <c r="AA7712" s="17"/>
    </row>
    <row r="7713" spans="3:27" x14ac:dyDescent="0.35">
      <c r="C7713" s="15" t="s">
        <v>8</v>
      </c>
      <c r="G7713" s="15" t="s">
        <v>8</v>
      </c>
      <c r="K7713" s="15" t="s">
        <v>8</v>
      </c>
      <c r="L7713" s="15" t="s">
        <v>8</v>
      </c>
      <c r="M7713" s="15" t="s">
        <v>8</v>
      </c>
      <c r="N7713" s="15" t="s">
        <v>8</v>
      </c>
      <c r="O7713" s="15" t="s">
        <v>8</v>
      </c>
      <c r="Q7713" s="15" t="s">
        <v>8</v>
      </c>
      <c r="S7713" s="15" t="s">
        <v>8</v>
      </c>
      <c r="W7713" s="8" t="s">
        <v>6</v>
      </c>
    </row>
    <row r="7714" spans="3:27" x14ac:dyDescent="0.35">
      <c r="C7714" s="15" t="s">
        <v>8</v>
      </c>
      <c r="G7714" s="15" t="s">
        <v>8</v>
      </c>
      <c r="K7714" s="15" t="s">
        <v>8</v>
      </c>
      <c r="L7714" s="15" t="s">
        <v>8</v>
      </c>
      <c r="M7714" s="15" t="s">
        <v>8</v>
      </c>
      <c r="N7714" s="15" t="s">
        <v>8</v>
      </c>
      <c r="O7714" s="15" t="s">
        <v>8</v>
      </c>
      <c r="Q7714" s="15" t="s">
        <v>8</v>
      </c>
      <c r="S7714" s="15" t="s">
        <v>8</v>
      </c>
      <c r="W7714" s="20" t="str">
        <f>HYPERLINK("http://yeinfo.com/family/I09066416.html", "MARGERIA HOWARD 1375 EN-1395 EN ID:09066417")</f>
        <v>MARGERIA HOWARD 1375 EN-1395 EN ID:09066417</v>
      </c>
      <c r="X7714" s="17"/>
      <c r="Y7714" s="17"/>
      <c r="Z7714" s="17"/>
      <c r="AA7714" s="17"/>
    </row>
    <row r="7715" spans="3:27" x14ac:dyDescent="0.35">
      <c r="C7715" s="15" t="s">
        <v>8</v>
      </c>
      <c r="G7715" s="15" t="s">
        <v>8</v>
      </c>
      <c r="K7715" s="15" t="s">
        <v>8</v>
      </c>
      <c r="L7715" s="15" t="s">
        <v>8</v>
      </c>
      <c r="M7715" s="15" t="s">
        <v>8</v>
      </c>
      <c r="N7715" s="15" t="s">
        <v>8</v>
      </c>
      <c r="O7715" s="15" t="s">
        <v>8</v>
      </c>
      <c r="Q7715" s="15" t="s">
        <v>8</v>
      </c>
      <c r="S7715" s="15" t="s">
        <v>8</v>
      </c>
    </row>
    <row r="7716" spans="3:27" x14ac:dyDescent="0.35">
      <c r="C7716" s="15" t="s">
        <v>8</v>
      </c>
      <c r="G7716" s="15" t="s">
        <v>8</v>
      </c>
      <c r="K7716" s="15" t="s">
        <v>8</v>
      </c>
      <c r="L7716" s="15" t="s">
        <v>8</v>
      </c>
      <c r="M7716" s="15" t="s">
        <v>8</v>
      </c>
      <c r="N7716" s="15" t="s">
        <v>8</v>
      </c>
      <c r="O7716" s="15" t="s">
        <v>8</v>
      </c>
      <c r="Q7716" s="15" t="s">
        <v>8</v>
      </c>
      <c r="R7716" s="19" t="str">
        <f>HYPERLINK("http://yeinfo.com/family/I09048171.html", "WILLIAM WALDEGRAVE 1505 EN-1554 FR ID:09065627")</f>
        <v>WILLIAM WALDEGRAVE 1505 EN-1554 FR ID:09065627</v>
      </c>
      <c r="S7716" s="9"/>
      <c r="T7716" s="9"/>
      <c r="U7716" s="9"/>
      <c r="V7716" s="9"/>
    </row>
    <row r="7717" spans="3:27" x14ac:dyDescent="0.35">
      <c r="C7717" s="15" t="s">
        <v>8</v>
      </c>
      <c r="G7717" s="15" t="s">
        <v>8</v>
      </c>
      <c r="K7717" s="15" t="s">
        <v>8</v>
      </c>
      <c r="L7717" s="15" t="s">
        <v>8</v>
      </c>
      <c r="M7717" s="15" t="s">
        <v>8</v>
      </c>
      <c r="N7717" s="15" t="s">
        <v>8</v>
      </c>
      <c r="O7717" s="15" t="s">
        <v>8</v>
      </c>
      <c r="Q7717" s="15" t="s">
        <v>8</v>
      </c>
      <c r="R7717" s="8" t="s">
        <v>3</v>
      </c>
      <c r="S7717" s="15" t="s">
        <v>8</v>
      </c>
    </row>
    <row r="7718" spans="3:27" x14ac:dyDescent="0.35">
      <c r="C7718" s="15" t="s">
        <v>8</v>
      </c>
      <c r="G7718" s="15" t="s">
        <v>8</v>
      </c>
      <c r="K7718" s="15" t="s">
        <v>8</v>
      </c>
      <c r="L7718" s="15" t="s">
        <v>8</v>
      </c>
      <c r="M7718" s="15" t="s">
        <v>8</v>
      </c>
      <c r="N7718" s="15" t="s">
        <v>8</v>
      </c>
      <c r="O7718" s="15" t="s">
        <v>8</v>
      </c>
      <c r="Q7718" s="15" t="s">
        <v>8</v>
      </c>
      <c r="R7718" s="15" t="s">
        <v>8</v>
      </c>
      <c r="S7718" s="15" t="s">
        <v>8</v>
      </c>
      <c r="W7718" s="19" t="str">
        <f>HYPERLINK("http://yeinfo.com/family/I09066257.html", "NICHOLAS DRURY 1310 EN-1385 EN ID:09066418")</f>
        <v>NICHOLAS DRURY 1310 EN-1385 EN ID:09066418</v>
      </c>
      <c r="X7718" s="9"/>
      <c r="Y7718" s="9"/>
      <c r="Z7718" s="9"/>
      <c r="AA7718" s="9"/>
    </row>
    <row r="7719" spans="3:27" x14ac:dyDescent="0.35">
      <c r="C7719" s="15" t="s">
        <v>8</v>
      </c>
      <c r="G7719" s="15" t="s">
        <v>8</v>
      </c>
      <c r="K7719" s="15" t="s">
        <v>8</v>
      </c>
      <c r="L7719" s="15" t="s">
        <v>8</v>
      </c>
      <c r="M7719" s="15" t="s">
        <v>8</v>
      </c>
      <c r="N7719" s="15" t="s">
        <v>8</v>
      </c>
      <c r="O7719" s="15" t="s">
        <v>8</v>
      </c>
      <c r="Q7719" s="15" t="s">
        <v>8</v>
      </c>
      <c r="R7719" s="15" t="s">
        <v>8</v>
      </c>
      <c r="S7719" s="15" t="s">
        <v>8</v>
      </c>
      <c r="W7719" s="8" t="s">
        <v>3</v>
      </c>
    </row>
    <row r="7720" spans="3:27" x14ac:dyDescent="0.35">
      <c r="C7720" s="15" t="s">
        <v>8</v>
      </c>
      <c r="G7720" s="15" t="s">
        <v>8</v>
      </c>
      <c r="K7720" s="15" t="s">
        <v>8</v>
      </c>
      <c r="L7720" s="15" t="s">
        <v>8</v>
      </c>
      <c r="M7720" s="15" t="s">
        <v>8</v>
      </c>
      <c r="N7720" s="15" t="s">
        <v>8</v>
      </c>
      <c r="O7720" s="15" t="s">
        <v>8</v>
      </c>
      <c r="Q7720" s="15" t="s">
        <v>8</v>
      </c>
      <c r="R7720" s="15" t="s">
        <v>8</v>
      </c>
      <c r="S7720" s="15" t="s">
        <v>8</v>
      </c>
      <c r="V7720" s="19" t="str">
        <f>HYPERLINK("http://yeinfo.com/family/I09066061.html", "NICHOLAS DRURY 1365 EN-1456 EN ID:09066257")</f>
        <v>NICHOLAS DRURY 1365 EN-1456 EN ID:09066257</v>
      </c>
      <c r="W7720" s="9"/>
      <c r="X7720" s="9"/>
      <c r="Y7720" s="9"/>
      <c r="Z7720" s="9"/>
    </row>
    <row r="7721" spans="3:27" x14ac:dyDescent="0.35">
      <c r="C7721" s="15" t="s">
        <v>8</v>
      </c>
      <c r="G7721" s="15" t="s">
        <v>8</v>
      </c>
      <c r="K7721" s="15" t="s">
        <v>8</v>
      </c>
      <c r="L7721" s="15" t="s">
        <v>8</v>
      </c>
      <c r="M7721" s="15" t="s">
        <v>8</v>
      </c>
      <c r="N7721" s="15" t="s">
        <v>8</v>
      </c>
      <c r="O7721" s="15" t="s">
        <v>8</v>
      </c>
      <c r="Q7721" s="15" t="s">
        <v>8</v>
      </c>
      <c r="R7721" s="15" t="s">
        <v>8</v>
      </c>
      <c r="S7721" s="15" t="s">
        <v>8</v>
      </c>
      <c r="V7721" s="8" t="s">
        <v>3</v>
      </c>
      <c r="W7721" s="8" t="s">
        <v>6</v>
      </c>
    </row>
    <row r="7722" spans="3:27" x14ac:dyDescent="0.35">
      <c r="C7722" s="15" t="s">
        <v>8</v>
      </c>
      <c r="G7722" s="15" t="s">
        <v>8</v>
      </c>
      <c r="K7722" s="15" t="s">
        <v>8</v>
      </c>
      <c r="L7722" s="15" t="s">
        <v>8</v>
      </c>
      <c r="M7722" s="15" t="s">
        <v>8</v>
      </c>
      <c r="N7722" s="15" t="s">
        <v>8</v>
      </c>
      <c r="O7722" s="15" t="s">
        <v>8</v>
      </c>
      <c r="Q7722" s="15" t="s">
        <v>8</v>
      </c>
      <c r="R7722" s="15" t="s">
        <v>8</v>
      </c>
      <c r="S7722" s="15" t="s">
        <v>8</v>
      </c>
      <c r="V7722" s="15" t="s">
        <v>8</v>
      </c>
      <c r="W7722" s="20" t="str">
        <f>HYPERLINK("http://yeinfo.com/family/I09066418.html", "JOANE SAXHAM 1330 EN-1411 EN ID:09066419")</f>
        <v>JOANE SAXHAM 1330 EN-1411 EN ID:09066419</v>
      </c>
      <c r="X7722" s="17"/>
      <c r="Y7722" s="17"/>
      <c r="Z7722" s="17"/>
      <c r="AA7722" s="17"/>
    </row>
    <row r="7723" spans="3:27" x14ac:dyDescent="0.35">
      <c r="C7723" s="15" t="s">
        <v>8</v>
      </c>
      <c r="G7723" s="15" t="s">
        <v>8</v>
      </c>
      <c r="K7723" s="15" t="s">
        <v>8</v>
      </c>
      <c r="L7723" s="15" t="s">
        <v>8</v>
      </c>
      <c r="M7723" s="15" t="s">
        <v>8</v>
      </c>
      <c r="N7723" s="15" t="s">
        <v>8</v>
      </c>
      <c r="O7723" s="15" t="s">
        <v>8</v>
      </c>
      <c r="Q7723" s="15" t="s">
        <v>8</v>
      </c>
      <c r="R7723" s="15" t="s">
        <v>8</v>
      </c>
      <c r="S7723" s="15" t="s">
        <v>8</v>
      </c>
      <c r="V7723" s="15" t="s">
        <v>8</v>
      </c>
    </row>
    <row r="7724" spans="3:27" x14ac:dyDescent="0.35">
      <c r="C7724" s="15" t="s">
        <v>8</v>
      </c>
      <c r="G7724" s="15" t="s">
        <v>8</v>
      </c>
      <c r="K7724" s="15" t="s">
        <v>8</v>
      </c>
      <c r="L7724" s="15" t="s">
        <v>8</v>
      </c>
      <c r="M7724" s="15" t="s">
        <v>8</v>
      </c>
      <c r="N7724" s="15" t="s">
        <v>8</v>
      </c>
      <c r="O7724" s="15" t="s">
        <v>8</v>
      </c>
      <c r="Q7724" s="15" t="s">
        <v>8</v>
      </c>
      <c r="R7724" s="15" t="s">
        <v>8</v>
      </c>
      <c r="S7724" s="15" t="s">
        <v>8</v>
      </c>
      <c r="U7724" s="19" t="str">
        <f>HYPERLINK("http://yeinfo.com/family/I09065903.html", "ROGER DRURY 1422 EN-1496 EN ID:09066061")</f>
        <v>ROGER DRURY 1422 EN-1496 EN ID:09066061</v>
      </c>
      <c r="V7724" s="9"/>
      <c r="W7724" s="9"/>
      <c r="X7724" s="9"/>
      <c r="Y7724" s="9"/>
    </row>
    <row r="7725" spans="3:27" x14ac:dyDescent="0.35">
      <c r="C7725" s="15" t="s">
        <v>8</v>
      </c>
      <c r="G7725" s="15" t="s">
        <v>8</v>
      </c>
      <c r="K7725" s="15" t="s">
        <v>8</v>
      </c>
      <c r="L7725" s="15" t="s">
        <v>8</v>
      </c>
      <c r="M7725" s="15" t="s">
        <v>8</v>
      </c>
      <c r="N7725" s="15" t="s">
        <v>8</v>
      </c>
      <c r="O7725" s="15" t="s">
        <v>8</v>
      </c>
      <c r="Q7725" s="15" t="s">
        <v>8</v>
      </c>
      <c r="R7725" s="15" t="s">
        <v>8</v>
      </c>
      <c r="S7725" s="15" t="s">
        <v>8</v>
      </c>
      <c r="U7725" s="8" t="s">
        <v>3</v>
      </c>
      <c r="V7725" s="15" t="s">
        <v>8</v>
      </c>
    </row>
    <row r="7726" spans="3:27" x14ac:dyDescent="0.35">
      <c r="C7726" s="15" t="s">
        <v>8</v>
      </c>
      <c r="G7726" s="15" t="s">
        <v>8</v>
      </c>
      <c r="K7726" s="15" t="s">
        <v>8</v>
      </c>
      <c r="L7726" s="15" t="s">
        <v>8</v>
      </c>
      <c r="M7726" s="15" t="s">
        <v>8</v>
      </c>
      <c r="N7726" s="15" t="s">
        <v>8</v>
      </c>
      <c r="O7726" s="15" t="s">
        <v>8</v>
      </c>
      <c r="Q7726" s="15" t="s">
        <v>8</v>
      </c>
      <c r="R7726" s="15" t="s">
        <v>8</v>
      </c>
      <c r="S7726" s="15" t="s">
        <v>8</v>
      </c>
      <c r="U7726" s="15" t="s">
        <v>8</v>
      </c>
      <c r="V7726" s="15" t="s">
        <v>8</v>
      </c>
      <c r="W7726" s="19" t="str">
        <f>HYPERLINK("http://yeinfo.com/family/I09066258.html", "THOMAS HETHE 1360 EN-1440 EN ID:09066420")</f>
        <v>THOMAS HETHE 1360 EN-1440 EN ID:09066420</v>
      </c>
      <c r="X7726" s="9"/>
      <c r="Y7726" s="9"/>
      <c r="Z7726" s="9"/>
      <c r="AA7726" s="9"/>
    </row>
    <row r="7727" spans="3:27" x14ac:dyDescent="0.35">
      <c r="C7727" s="15" t="s">
        <v>8</v>
      </c>
      <c r="G7727" s="15" t="s">
        <v>8</v>
      </c>
      <c r="K7727" s="15" t="s">
        <v>8</v>
      </c>
      <c r="L7727" s="15" t="s">
        <v>8</v>
      </c>
      <c r="M7727" s="15" t="s">
        <v>8</v>
      </c>
      <c r="N7727" s="15" t="s">
        <v>8</v>
      </c>
      <c r="O7727" s="15" t="s">
        <v>8</v>
      </c>
      <c r="Q7727" s="15" t="s">
        <v>8</v>
      </c>
      <c r="R7727" s="15" t="s">
        <v>8</v>
      </c>
      <c r="S7727" s="15" t="s">
        <v>8</v>
      </c>
      <c r="U7727" s="15" t="s">
        <v>8</v>
      </c>
      <c r="V7727" s="8" t="s">
        <v>6</v>
      </c>
      <c r="W7727" s="8" t="s">
        <v>3</v>
      </c>
    </row>
    <row r="7728" spans="3:27" x14ac:dyDescent="0.35">
      <c r="C7728" s="15" t="s">
        <v>8</v>
      </c>
      <c r="G7728" s="15" t="s">
        <v>8</v>
      </c>
      <c r="K7728" s="15" t="s">
        <v>8</v>
      </c>
      <c r="L7728" s="15" t="s">
        <v>8</v>
      </c>
      <c r="M7728" s="15" t="s">
        <v>8</v>
      </c>
      <c r="N7728" s="15" t="s">
        <v>8</v>
      </c>
      <c r="O7728" s="15" t="s">
        <v>8</v>
      </c>
      <c r="Q7728" s="15" t="s">
        <v>8</v>
      </c>
      <c r="R7728" s="15" t="s">
        <v>8</v>
      </c>
      <c r="S7728" s="15" t="s">
        <v>8</v>
      </c>
      <c r="U7728" s="15" t="s">
        <v>8</v>
      </c>
      <c r="V7728" s="20" t="str">
        <f>HYPERLINK("http://yeinfo.com/family/I09066419.html", "JOAN HETHE 1396 EN-1497 EN ID:09066258")</f>
        <v>JOAN HETHE 1396 EN-1497 EN ID:09066258</v>
      </c>
      <c r="W7728" s="17"/>
      <c r="X7728" s="17"/>
      <c r="Y7728" s="17"/>
      <c r="Z7728" s="17"/>
    </row>
    <row r="7729" spans="3:28" x14ac:dyDescent="0.35">
      <c r="C7729" s="15" t="s">
        <v>8</v>
      </c>
      <c r="G7729" s="15" t="s">
        <v>8</v>
      </c>
      <c r="K7729" s="15" t="s">
        <v>8</v>
      </c>
      <c r="L7729" s="15" t="s">
        <v>8</v>
      </c>
      <c r="M7729" s="15" t="s">
        <v>8</v>
      </c>
      <c r="N7729" s="15" t="s">
        <v>8</v>
      </c>
      <c r="O7729" s="15" t="s">
        <v>8</v>
      </c>
      <c r="Q7729" s="15" t="s">
        <v>8</v>
      </c>
      <c r="R7729" s="15" t="s">
        <v>8</v>
      </c>
      <c r="S7729" s="15" t="s">
        <v>8</v>
      </c>
      <c r="U7729" s="15" t="s">
        <v>8</v>
      </c>
      <c r="W7729" s="8" t="s">
        <v>6</v>
      </c>
    </row>
    <row r="7730" spans="3:28" x14ac:dyDescent="0.35">
      <c r="C7730" s="15" t="s">
        <v>8</v>
      </c>
      <c r="G7730" s="15" t="s">
        <v>8</v>
      </c>
      <c r="K7730" s="15" t="s">
        <v>8</v>
      </c>
      <c r="L7730" s="15" t="s">
        <v>8</v>
      </c>
      <c r="M7730" s="15" t="s">
        <v>8</v>
      </c>
      <c r="N7730" s="15" t="s">
        <v>8</v>
      </c>
      <c r="O7730" s="15" t="s">
        <v>8</v>
      </c>
      <c r="Q7730" s="15" t="s">
        <v>8</v>
      </c>
      <c r="R7730" s="15" t="s">
        <v>8</v>
      </c>
      <c r="S7730" s="15" t="s">
        <v>8</v>
      </c>
      <c r="U7730" s="15" t="s">
        <v>8</v>
      </c>
      <c r="W7730" s="20" t="str">
        <f>HYPERLINK("http://yeinfo.com/family/I09066420.html", "ELIZABETH MUNDEFORD 1360 EN-1396 EN ID:09066421")</f>
        <v>ELIZABETH MUNDEFORD 1360 EN-1396 EN ID:09066421</v>
      </c>
      <c r="X7730" s="17"/>
      <c r="Y7730" s="17"/>
      <c r="Z7730" s="17"/>
      <c r="AA7730" s="17"/>
    </row>
    <row r="7731" spans="3:28" x14ac:dyDescent="0.35">
      <c r="C7731" s="15" t="s">
        <v>8</v>
      </c>
      <c r="G7731" s="15" t="s">
        <v>8</v>
      </c>
      <c r="K7731" s="15" t="s">
        <v>8</v>
      </c>
      <c r="L7731" s="15" t="s">
        <v>8</v>
      </c>
      <c r="M7731" s="15" t="s">
        <v>8</v>
      </c>
      <c r="N7731" s="15" t="s">
        <v>8</v>
      </c>
      <c r="O7731" s="15" t="s">
        <v>8</v>
      </c>
      <c r="Q7731" s="15" t="s">
        <v>8</v>
      </c>
      <c r="R7731" s="15" t="s">
        <v>8</v>
      </c>
      <c r="S7731" s="15" t="s">
        <v>8</v>
      </c>
      <c r="U7731" s="15" t="s">
        <v>8</v>
      </c>
    </row>
    <row r="7732" spans="3:28" x14ac:dyDescent="0.35">
      <c r="C7732" s="15" t="s">
        <v>8</v>
      </c>
      <c r="G7732" s="15" t="s">
        <v>8</v>
      </c>
      <c r="K7732" s="15" t="s">
        <v>8</v>
      </c>
      <c r="L7732" s="15" t="s">
        <v>8</v>
      </c>
      <c r="M7732" s="15" t="s">
        <v>8</v>
      </c>
      <c r="N7732" s="15" t="s">
        <v>8</v>
      </c>
      <c r="O7732" s="15" t="s">
        <v>8</v>
      </c>
      <c r="Q7732" s="15" t="s">
        <v>8</v>
      </c>
      <c r="R7732" s="15" t="s">
        <v>8</v>
      </c>
      <c r="S7732" s="15" t="s">
        <v>8</v>
      </c>
      <c r="T7732" s="19" t="str">
        <f>HYPERLINK("http://yeinfo.com/family/I09065753.html", "ROBERT DRURY 1455 EN-1535 EN ID:09065903")</f>
        <v>ROBERT DRURY 1455 EN-1535 EN ID:09065903</v>
      </c>
      <c r="U7732" s="9"/>
      <c r="V7732" s="9"/>
      <c r="W7732" s="9"/>
      <c r="X7732" s="9"/>
    </row>
    <row r="7733" spans="3:28" x14ac:dyDescent="0.35">
      <c r="C7733" s="15" t="s">
        <v>8</v>
      </c>
      <c r="G7733" s="15" t="s">
        <v>8</v>
      </c>
      <c r="K7733" s="15" t="s">
        <v>8</v>
      </c>
      <c r="L7733" s="15" t="s">
        <v>8</v>
      </c>
      <c r="M7733" s="15" t="s">
        <v>8</v>
      </c>
      <c r="N7733" s="15" t="s">
        <v>8</v>
      </c>
      <c r="O7733" s="15" t="s">
        <v>8</v>
      </c>
      <c r="Q7733" s="15" t="s">
        <v>8</v>
      </c>
      <c r="R7733" s="15" t="s">
        <v>8</v>
      </c>
      <c r="S7733" s="15" t="s">
        <v>8</v>
      </c>
      <c r="T7733" s="8" t="s">
        <v>3</v>
      </c>
      <c r="U7733" s="15" t="s">
        <v>8</v>
      </c>
    </row>
    <row r="7734" spans="3:28" x14ac:dyDescent="0.35">
      <c r="C7734" s="15" t="s">
        <v>8</v>
      </c>
      <c r="G7734" s="15" t="s">
        <v>8</v>
      </c>
      <c r="K7734" s="15" t="s">
        <v>8</v>
      </c>
      <c r="L7734" s="15" t="s">
        <v>8</v>
      </c>
      <c r="M7734" s="15" t="s">
        <v>8</v>
      </c>
      <c r="N7734" s="15" t="s">
        <v>8</v>
      </c>
      <c r="O7734" s="15" t="s">
        <v>8</v>
      </c>
      <c r="Q7734" s="15" t="s">
        <v>8</v>
      </c>
      <c r="R7734" s="15" t="s">
        <v>8</v>
      </c>
      <c r="S7734" s="15" t="s">
        <v>8</v>
      </c>
      <c r="T7734" s="15" t="s">
        <v>8</v>
      </c>
      <c r="U7734" s="15" t="s">
        <v>8</v>
      </c>
      <c r="V7734" s="19" t="str">
        <f>HYPERLINK("http://yeinfo.com/family/I09066062.html", "WILLIAM\JOHN DENSTON 1406 -1439  ID:09066259")</f>
        <v>WILLIAM\JOHN DENSTON 1406 -1439  ID:09066259</v>
      </c>
      <c r="W7734" s="9"/>
      <c r="X7734" s="9"/>
      <c r="Y7734" s="9"/>
      <c r="Z7734" s="9"/>
      <c r="AA7734" s="9"/>
    </row>
    <row r="7735" spans="3:28" x14ac:dyDescent="0.35">
      <c r="C7735" s="15" t="s">
        <v>8</v>
      </c>
      <c r="G7735" s="15" t="s">
        <v>8</v>
      </c>
      <c r="K7735" s="15" t="s">
        <v>8</v>
      </c>
      <c r="L7735" s="15" t="s">
        <v>8</v>
      </c>
      <c r="M7735" s="15" t="s">
        <v>8</v>
      </c>
      <c r="N7735" s="15" t="s">
        <v>8</v>
      </c>
      <c r="O7735" s="15" t="s">
        <v>8</v>
      </c>
      <c r="Q7735" s="15" t="s">
        <v>8</v>
      </c>
      <c r="R7735" s="15" t="s">
        <v>8</v>
      </c>
      <c r="S7735" s="15" t="s">
        <v>8</v>
      </c>
      <c r="T7735" s="15" t="s">
        <v>8</v>
      </c>
      <c r="U7735" s="8" t="s">
        <v>6</v>
      </c>
      <c r="V7735" s="8" t="s">
        <v>3</v>
      </c>
    </row>
    <row r="7736" spans="3:28" x14ac:dyDescent="0.35">
      <c r="C7736" s="15" t="s">
        <v>8</v>
      </c>
      <c r="G7736" s="15" t="s">
        <v>8</v>
      </c>
      <c r="K7736" s="15" t="s">
        <v>8</v>
      </c>
      <c r="L7736" s="15" t="s">
        <v>8</v>
      </c>
      <c r="M7736" s="15" t="s">
        <v>8</v>
      </c>
      <c r="N7736" s="15" t="s">
        <v>8</v>
      </c>
      <c r="O7736" s="15" t="s">
        <v>8</v>
      </c>
      <c r="Q7736" s="15" t="s">
        <v>8</v>
      </c>
      <c r="R7736" s="15" t="s">
        <v>8</v>
      </c>
      <c r="S7736" s="15" t="s">
        <v>8</v>
      </c>
      <c r="T7736" s="15" t="s">
        <v>8</v>
      </c>
      <c r="U7736" s="20" t="str">
        <f>HYPERLINK("http://yeinfo.com/family/I09066421.html", "FELICE DENSTON 1433 EN-1523 EN ID:09066062")</f>
        <v>FELICE DENSTON 1433 EN-1523 EN ID:09066062</v>
      </c>
      <c r="V7736" s="17"/>
      <c r="W7736" s="17"/>
      <c r="X7736" s="17"/>
      <c r="Y7736" s="17"/>
    </row>
    <row r="7737" spans="3:28" x14ac:dyDescent="0.35">
      <c r="C7737" s="15" t="s">
        <v>8</v>
      </c>
      <c r="G7737" s="15" t="s">
        <v>8</v>
      </c>
      <c r="K7737" s="15" t="s">
        <v>8</v>
      </c>
      <c r="L7737" s="15" t="s">
        <v>8</v>
      </c>
      <c r="M7737" s="15" t="s">
        <v>8</v>
      </c>
      <c r="N7737" s="15" t="s">
        <v>8</v>
      </c>
      <c r="O7737" s="15" t="s">
        <v>8</v>
      </c>
      <c r="Q7737" s="15" t="s">
        <v>8</v>
      </c>
      <c r="R7737" s="15" t="s">
        <v>8</v>
      </c>
      <c r="S7737" s="15" t="s">
        <v>8</v>
      </c>
      <c r="T7737" s="15" t="s">
        <v>8</v>
      </c>
      <c r="V7737" s="15" t="s">
        <v>8</v>
      </c>
    </row>
    <row r="7738" spans="3:28" x14ac:dyDescent="0.35">
      <c r="C7738" s="15" t="s">
        <v>8</v>
      </c>
      <c r="G7738" s="15" t="s">
        <v>8</v>
      </c>
      <c r="K7738" s="15" t="s">
        <v>8</v>
      </c>
      <c r="L7738" s="15" t="s">
        <v>8</v>
      </c>
      <c r="M7738" s="15" t="s">
        <v>8</v>
      </c>
      <c r="N7738" s="15" t="s">
        <v>8</v>
      </c>
      <c r="O7738" s="15" t="s">
        <v>8</v>
      </c>
      <c r="Q7738" s="15" t="s">
        <v>8</v>
      </c>
      <c r="R7738" s="15" t="s">
        <v>8</v>
      </c>
      <c r="S7738" s="15" t="s">
        <v>8</v>
      </c>
      <c r="T7738" s="15" t="s">
        <v>8</v>
      </c>
      <c r="V7738" s="15" t="s">
        <v>8</v>
      </c>
      <c r="W7738" s="19" t="str">
        <f>HYPERLINK("http://yeinfo.com/family/I09066260.html", "WILLIAM CALTHORPE &lt;2&gt; 1352 EN-1420 EN ID:09066422")</f>
        <v>WILLIAM CALTHORPE &lt;2&gt; 1352 EN-1420 EN ID:09066422</v>
      </c>
      <c r="X7738" s="9"/>
      <c r="Y7738" s="9"/>
      <c r="Z7738" s="9"/>
      <c r="AA7738" s="9"/>
    </row>
    <row r="7739" spans="3:28" x14ac:dyDescent="0.35">
      <c r="C7739" s="15" t="s">
        <v>8</v>
      </c>
      <c r="G7739" s="15" t="s">
        <v>8</v>
      </c>
      <c r="K7739" s="15" t="s">
        <v>8</v>
      </c>
      <c r="L7739" s="15" t="s">
        <v>8</v>
      </c>
      <c r="M7739" s="15" t="s">
        <v>8</v>
      </c>
      <c r="N7739" s="15" t="s">
        <v>8</v>
      </c>
      <c r="O7739" s="15" t="s">
        <v>8</v>
      </c>
      <c r="Q7739" s="15" t="s">
        <v>8</v>
      </c>
      <c r="R7739" s="15" t="s">
        <v>8</v>
      </c>
      <c r="S7739" s="15" t="s">
        <v>8</v>
      </c>
      <c r="T7739" s="15" t="s">
        <v>8</v>
      </c>
      <c r="V7739" s="8" t="s">
        <v>6</v>
      </c>
      <c r="W7739" s="8" t="s">
        <v>3</v>
      </c>
    </row>
    <row r="7740" spans="3:28" x14ac:dyDescent="0.35">
      <c r="C7740" s="15" t="s">
        <v>8</v>
      </c>
      <c r="G7740" s="15" t="s">
        <v>8</v>
      </c>
      <c r="K7740" s="15" t="s">
        <v>8</v>
      </c>
      <c r="L7740" s="15" t="s">
        <v>8</v>
      </c>
      <c r="M7740" s="15" t="s">
        <v>8</v>
      </c>
      <c r="N7740" s="15" t="s">
        <v>8</v>
      </c>
      <c r="O7740" s="15" t="s">
        <v>8</v>
      </c>
      <c r="Q7740" s="15" t="s">
        <v>8</v>
      </c>
      <c r="R7740" s="15" t="s">
        <v>8</v>
      </c>
      <c r="S7740" s="15" t="s">
        <v>8</v>
      </c>
      <c r="T7740" s="15" t="s">
        <v>8</v>
      </c>
      <c r="V7740" s="20" t="str">
        <f>HYPERLINK("http://yeinfo.com/family/I09066259.html", "ANNE CALTHORPE 1398 -1433  ID:09066260")</f>
        <v>ANNE CALTHORPE 1398 -1433  ID:09066260</v>
      </c>
      <c r="W7740" s="17"/>
      <c r="X7740" s="17"/>
      <c r="Y7740" s="17"/>
      <c r="Z7740" s="17"/>
    </row>
    <row r="7741" spans="3:28" x14ac:dyDescent="0.35">
      <c r="C7741" s="15" t="s">
        <v>8</v>
      </c>
      <c r="G7741" s="15" t="s">
        <v>8</v>
      </c>
      <c r="K7741" s="15" t="s">
        <v>8</v>
      </c>
      <c r="L7741" s="15" t="s">
        <v>8</v>
      </c>
      <c r="M7741" s="15" t="s">
        <v>8</v>
      </c>
      <c r="N7741" s="15" t="s">
        <v>8</v>
      </c>
      <c r="O7741" s="15" t="s">
        <v>8</v>
      </c>
      <c r="Q7741" s="15" t="s">
        <v>8</v>
      </c>
      <c r="R7741" s="15" t="s">
        <v>8</v>
      </c>
      <c r="S7741" s="15" t="s">
        <v>8</v>
      </c>
      <c r="T7741" s="15" t="s">
        <v>8</v>
      </c>
      <c r="W7741" s="8" t="s">
        <v>6</v>
      </c>
    </row>
    <row r="7742" spans="3:28" x14ac:dyDescent="0.35">
      <c r="C7742" s="15" t="s">
        <v>8</v>
      </c>
      <c r="G7742" s="15" t="s">
        <v>8</v>
      </c>
      <c r="K7742" s="15" t="s">
        <v>8</v>
      </c>
      <c r="L7742" s="15" t="s">
        <v>8</v>
      </c>
      <c r="M7742" s="15" t="s">
        <v>8</v>
      </c>
      <c r="N7742" s="15" t="s">
        <v>8</v>
      </c>
      <c r="O7742" s="15" t="s">
        <v>8</v>
      </c>
      <c r="Q7742" s="15" t="s">
        <v>8</v>
      </c>
      <c r="R7742" s="15" t="s">
        <v>8</v>
      </c>
      <c r="S7742" s="15" t="s">
        <v>8</v>
      </c>
      <c r="T7742" s="15" t="s">
        <v>8</v>
      </c>
      <c r="W7742" s="20" t="str">
        <f>HYPERLINK("http://yeinfo.com/family/I09066422.html", "ALIANORE\ELEANOR MAUTBY &lt;2&gt; 1355 EN-1398 EN ID:09066423")</f>
        <v>ALIANORE\ELEANOR MAUTBY &lt;2&gt; 1355 EN-1398 EN ID:09066423</v>
      </c>
      <c r="X7742" s="17"/>
      <c r="Y7742" s="17"/>
      <c r="Z7742" s="17"/>
      <c r="AA7742" s="17"/>
      <c r="AB7742" s="17"/>
    </row>
    <row r="7743" spans="3:28" x14ac:dyDescent="0.35">
      <c r="C7743" s="15" t="s">
        <v>8</v>
      </c>
      <c r="G7743" s="15" t="s">
        <v>8</v>
      </c>
      <c r="K7743" s="15" t="s">
        <v>8</v>
      </c>
      <c r="L7743" s="15" t="s">
        <v>8</v>
      </c>
      <c r="M7743" s="15" t="s">
        <v>8</v>
      </c>
      <c r="N7743" s="15" t="s">
        <v>8</v>
      </c>
      <c r="O7743" s="15" t="s">
        <v>8</v>
      </c>
      <c r="Q7743" s="15" t="s">
        <v>8</v>
      </c>
      <c r="R7743" s="15" t="s">
        <v>8</v>
      </c>
      <c r="S7743" s="8" t="s">
        <v>6</v>
      </c>
      <c r="T7743" s="15" t="s">
        <v>8</v>
      </c>
    </row>
    <row r="7744" spans="3:28" x14ac:dyDescent="0.35">
      <c r="C7744" s="15" t="s">
        <v>8</v>
      </c>
      <c r="G7744" s="15" t="s">
        <v>8</v>
      </c>
      <c r="K7744" s="15" t="s">
        <v>8</v>
      </c>
      <c r="L7744" s="15" t="s">
        <v>8</v>
      </c>
      <c r="M7744" s="15" t="s">
        <v>8</v>
      </c>
      <c r="N7744" s="15" t="s">
        <v>8</v>
      </c>
      <c r="O7744" s="15" t="s">
        <v>8</v>
      </c>
      <c r="Q7744" s="15" t="s">
        <v>8</v>
      </c>
      <c r="R7744" s="15" t="s">
        <v>8</v>
      </c>
      <c r="S7744" s="20" t="str">
        <f>HYPERLINK("http://yeinfo.com/family/I09066417.html", "ANNE DRURY 1480 EN-1572 EN ID:09065753")</f>
        <v>ANNE DRURY 1480 EN-1572 EN ID:09065753</v>
      </c>
      <c r="T7744" s="17"/>
      <c r="U7744" s="17"/>
      <c r="V7744" s="17"/>
      <c r="W7744" s="17"/>
    </row>
    <row r="7745" spans="3:28" x14ac:dyDescent="0.35">
      <c r="C7745" s="15" t="s">
        <v>8</v>
      </c>
      <c r="G7745" s="15" t="s">
        <v>8</v>
      </c>
      <c r="K7745" s="15" t="s">
        <v>8</v>
      </c>
      <c r="L7745" s="15" t="s">
        <v>8</v>
      </c>
      <c r="M7745" s="15" t="s">
        <v>8</v>
      </c>
      <c r="N7745" s="15" t="s">
        <v>8</v>
      </c>
      <c r="O7745" s="15" t="s">
        <v>8</v>
      </c>
      <c r="Q7745" s="15" t="s">
        <v>8</v>
      </c>
      <c r="R7745" s="15" t="s">
        <v>8</v>
      </c>
      <c r="T7745" s="15" t="s">
        <v>8</v>
      </c>
    </row>
    <row r="7746" spans="3:28" x14ac:dyDescent="0.35">
      <c r="C7746" s="15" t="s">
        <v>8</v>
      </c>
      <c r="G7746" s="15" t="s">
        <v>8</v>
      </c>
      <c r="K7746" s="15" t="s">
        <v>8</v>
      </c>
      <c r="L7746" s="15" t="s">
        <v>8</v>
      </c>
      <c r="M7746" s="15" t="s">
        <v>8</v>
      </c>
      <c r="N7746" s="15" t="s">
        <v>8</v>
      </c>
      <c r="O7746" s="15" t="s">
        <v>8</v>
      </c>
      <c r="Q7746" s="15" t="s">
        <v>8</v>
      </c>
      <c r="R7746" s="15" t="s">
        <v>8</v>
      </c>
      <c r="T7746" s="15" t="s">
        <v>8</v>
      </c>
      <c r="W7746" s="19" t="str">
        <f>HYPERLINK("http://yeinfo.com/family/I09066422.html", "WILLIAM CALTHORPE &lt;2&gt; 1352 EN-1420 EN ID:09066422")</f>
        <v>WILLIAM CALTHORPE &lt;2&gt; 1352 EN-1420 EN ID:09066422</v>
      </c>
      <c r="X7746" s="9"/>
      <c r="Y7746" s="9"/>
      <c r="Z7746" s="9"/>
      <c r="AA7746" s="9"/>
    </row>
    <row r="7747" spans="3:28" x14ac:dyDescent="0.35">
      <c r="C7747" s="15" t="s">
        <v>8</v>
      </c>
      <c r="G7747" s="15" t="s">
        <v>8</v>
      </c>
      <c r="K7747" s="15" t="s">
        <v>8</v>
      </c>
      <c r="L7747" s="15" t="s">
        <v>8</v>
      </c>
      <c r="M7747" s="15" t="s">
        <v>8</v>
      </c>
      <c r="N7747" s="15" t="s">
        <v>8</v>
      </c>
      <c r="O7747" s="15" t="s">
        <v>8</v>
      </c>
      <c r="Q7747" s="15" t="s">
        <v>8</v>
      </c>
      <c r="R7747" s="15" t="s">
        <v>8</v>
      </c>
      <c r="T7747" s="15" t="s">
        <v>8</v>
      </c>
      <c r="W7747" s="8" t="s">
        <v>3</v>
      </c>
    </row>
    <row r="7748" spans="3:28" x14ac:dyDescent="0.35">
      <c r="C7748" s="15" t="s">
        <v>8</v>
      </c>
      <c r="G7748" s="15" t="s">
        <v>8</v>
      </c>
      <c r="K7748" s="15" t="s">
        <v>8</v>
      </c>
      <c r="L7748" s="15" t="s">
        <v>8</v>
      </c>
      <c r="M7748" s="15" t="s">
        <v>8</v>
      </c>
      <c r="N7748" s="15" t="s">
        <v>8</v>
      </c>
      <c r="O7748" s="15" t="s">
        <v>8</v>
      </c>
      <c r="Q7748" s="15" t="s">
        <v>8</v>
      </c>
      <c r="R7748" s="15" t="s">
        <v>8</v>
      </c>
      <c r="T7748" s="15" t="s">
        <v>8</v>
      </c>
      <c r="V7748" s="19" t="str">
        <f>HYPERLINK("http://yeinfo.com/family/I09066063.html", "JOHN CALTHORPE 1380 EN-1410 EN ID:09066261")</f>
        <v>JOHN CALTHORPE 1380 EN-1410 EN ID:09066261</v>
      </c>
      <c r="W7748" s="9"/>
      <c r="X7748" s="9"/>
      <c r="Y7748" s="9"/>
      <c r="Z7748" s="9"/>
    </row>
    <row r="7749" spans="3:28" x14ac:dyDescent="0.35">
      <c r="C7749" s="15" t="s">
        <v>8</v>
      </c>
      <c r="G7749" s="15" t="s">
        <v>8</v>
      </c>
      <c r="K7749" s="15" t="s">
        <v>8</v>
      </c>
      <c r="L7749" s="15" t="s">
        <v>8</v>
      </c>
      <c r="M7749" s="15" t="s">
        <v>8</v>
      </c>
      <c r="N7749" s="15" t="s">
        <v>8</v>
      </c>
      <c r="O7749" s="15" t="s">
        <v>8</v>
      </c>
      <c r="Q7749" s="15" t="s">
        <v>8</v>
      </c>
      <c r="R7749" s="15" t="s">
        <v>8</v>
      </c>
      <c r="T7749" s="15" t="s">
        <v>8</v>
      </c>
      <c r="V7749" s="8" t="s">
        <v>3</v>
      </c>
      <c r="W7749" s="8" t="s">
        <v>6</v>
      </c>
    </row>
    <row r="7750" spans="3:28" x14ac:dyDescent="0.35">
      <c r="C7750" s="15" t="s">
        <v>8</v>
      </c>
      <c r="G7750" s="15" t="s">
        <v>8</v>
      </c>
      <c r="K7750" s="15" t="s">
        <v>8</v>
      </c>
      <c r="L7750" s="15" t="s">
        <v>8</v>
      </c>
      <c r="M7750" s="15" t="s">
        <v>8</v>
      </c>
      <c r="N7750" s="15" t="s">
        <v>8</v>
      </c>
      <c r="O7750" s="15" t="s">
        <v>8</v>
      </c>
      <c r="Q7750" s="15" t="s">
        <v>8</v>
      </c>
      <c r="R7750" s="15" t="s">
        <v>8</v>
      </c>
      <c r="T7750" s="15" t="s">
        <v>8</v>
      </c>
      <c r="V7750" s="15" t="s">
        <v>8</v>
      </c>
      <c r="W7750" s="20" t="str">
        <f>HYPERLINK("http://yeinfo.com/family/I09066423.html", "ALIANORE\ELEANOR MAUTBY &lt;2&gt; 1355 EN-1398 EN ID:09066423")</f>
        <v>ALIANORE\ELEANOR MAUTBY &lt;2&gt; 1355 EN-1398 EN ID:09066423</v>
      </c>
      <c r="X7750" s="17"/>
      <c r="Y7750" s="17"/>
      <c r="Z7750" s="17"/>
      <c r="AA7750" s="17"/>
      <c r="AB7750" s="17"/>
    </row>
    <row r="7751" spans="3:28" x14ac:dyDescent="0.35">
      <c r="C7751" s="15" t="s">
        <v>8</v>
      </c>
      <c r="G7751" s="15" t="s">
        <v>8</v>
      </c>
      <c r="K7751" s="15" t="s">
        <v>8</v>
      </c>
      <c r="L7751" s="15" t="s">
        <v>8</v>
      </c>
      <c r="M7751" s="15" t="s">
        <v>8</v>
      </c>
      <c r="N7751" s="15" t="s">
        <v>8</v>
      </c>
      <c r="O7751" s="15" t="s">
        <v>8</v>
      </c>
      <c r="Q7751" s="15" t="s">
        <v>8</v>
      </c>
      <c r="R7751" s="15" t="s">
        <v>8</v>
      </c>
      <c r="T7751" s="15" t="s">
        <v>8</v>
      </c>
      <c r="V7751" s="15" t="s">
        <v>8</v>
      </c>
    </row>
    <row r="7752" spans="3:28" x14ac:dyDescent="0.35">
      <c r="C7752" s="15" t="s">
        <v>8</v>
      </c>
      <c r="G7752" s="15" t="s">
        <v>8</v>
      </c>
      <c r="K7752" s="15" t="s">
        <v>8</v>
      </c>
      <c r="L7752" s="15" t="s">
        <v>8</v>
      </c>
      <c r="M7752" s="15" t="s">
        <v>8</v>
      </c>
      <c r="N7752" s="15" t="s">
        <v>8</v>
      </c>
      <c r="O7752" s="15" t="s">
        <v>8</v>
      </c>
      <c r="Q7752" s="15" t="s">
        <v>8</v>
      </c>
      <c r="R7752" s="15" t="s">
        <v>8</v>
      </c>
      <c r="T7752" s="15" t="s">
        <v>8</v>
      </c>
      <c r="U7752" s="19" t="str">
        <f>HYPERLINK("http://yeinfo.com/family/I09065904.html", "WILLIAM CALTHORPE 1410 EN-1494 EN ID:09066063")</f>
        <v>WILLIAM CALTHORPE 1410 EN-1494 EN ID:09066063</v>
      </c>
      <c r="V7752" s="9"/>
      <c r="W7752" s="9"/>
      <c r="X7752" s="9"/>
      <c r="Y7752" s="9"/>
    </row>
    <row r="7753" spans="3:28" x14ac:dyDescent="0.35">
      <c r="C7753" s="15" t="s">
        <v>8</v>
      </c>
      <c r="G7753" s="15" t="s">
        <v>8</v>
      </c>
      <c r="K7753" s="15" t="s">
        <v>8</v>
      </c>
      <c r="L7753" s="15" t="s">
        <v>8</v>
      </c>
      <c r="M7753" s="15" t="s">
        <v>8</v>
      </c>
      <c r="N7753" s="15" t="s">
        <v>8</v>
      </c>
      <c r="O7753" s="15" t="s">
        <v>8</v>
      </c>
      <c r="Q7753" s="15" t="s">
        <v>8</v>
      </c>
      <c r="R7753" s="15" t="s">
        <v>8</v>
      </c>
      <c r="T7753" s="15" t="s">
        <v>8</v>
      </c>
      <c r="U7753" s="8" t="s">
        <v>3</v>
      </c>
      <c r="V7753" s="15" t="s">
        <v>8</v>
      </c>
    </row>
    <row r="7754" spans="3:28" x14ac:dyDescent="0.35">
      <c r="C7754" s="15" t="s">
        <v>8</v>
      </c>
      <c r="G7754" s="15" t="s">
        <v>8</v>
      </c>
      <c r="K7754" s="15" t="s">
        <v>8</v>
      </c>
      <c r="L7754" s="15" t="s">
        <v>8</v>
      </c>
      <c r="M7754" s="15" t="s">
        <v>8</v>
      </c>
      <c r="N7754" s="15" t="s">
        <v>8</v>
      </c>
      <c r="O7754" s="15" t="s">
        <v>8</v>
      </c>
      <c r="Q7754" s="15" t="s">
        <v>8</v>
      </c>
      <c r="R7754" s="15" t="s">
        <v>8</v>
      </c>
      <c r="T7754" s="15" t="s">
        <v>8</v>
      </c>
      <c r="U7754" s="15" t="s">
        <v>8</v>
      </c>
      <c r="V7754" s="15" t="s">
        <v>8</v>
      </c>
      <c r="W7754" s="19" t="str">
        <f>HYPERLINK("http://yeinfo.com/family/I09066262.html", "JOHN WYTHE 1370 EN-1390 EN ID:09066424")</f>
        <v>JOHN WYTHE 1370 EN-1390 EN ID:09066424</v>
      </c>
      <c r="X7754" s="9"/>
      <c r="Y7754" s="9"/>
      <c r="Z7754" s="9"/>
      <c r="AA7754" s="9"/>
    </row>
    <row r="7755" spans="3:28" x14ac:dyDescent="0.35">
      <c r="C7755" s="15" t="s">
        <v>8</v>
      </c>
      <c r="G7755" s="15" t="s">
        <v>8</v>
      </c>
      <c r="K7755" s="15" t="s">
        <v>8</v>
      </c>
      <c r="L7755" s="15" t="s">
        <v>8</v>
      </c>
      <c r="M7755" s="15" t="s">
        <v>8</v>
      </c>
      <c r="N7755" s="15" t="s">
        <v>8</v>
      </c>
      <c r="O7755" s="15" t="s">
        <v>8</v>
      </c>
      <c r="Q7755" s="15" t="s">
        <v>8</v>
      </c>
      <c r="R7755" s="15" t="s">
        <v>8</v>
      </c>
      <c r="T7755" s="15" t="s">
        <v>8</v>
      </c>
      <c r="U7755" s="15" t="s">
        <v>8</v>
      </c>
      <c r="V7755" s="8" t="s">
        <v>6</v>
      </c>
      <c r="W7755" s="8" t="s">
        <v>3</v>
      </c>
    </row>
    <row r="7756" spans="3:28" x14ac:dyDescent="0.35">
      <c r="C7756" s="15" t="s">
        <v>8</v>
      </c>
      <c r="G7756" s="15" t="s">
        <v>8</v>
      </c>
      <c r="K7756" s="15" t="s">
        <v>8</v>
      </c>
      <c r="L7756" s="15" t="s">
        <v>8</v>
      </c>
      <c r="M7756" s="15" t="s">
        <v>8</v>
      </c>
      <c r="N7756" s="15" t="s">
        <v>8</v>
      </c>
      <c r="O7756" s="15" t="s">
        <v>8</v>
      </c>
      <c r="Q7756" s="15" t="s">
        <v>8</v>
      </c>
      <c r="R7756" s="15" t="s">
        <v>8</v>
      </c>
      <c r="T7756" s="15" t="s">
        <v>8</v>
      </c>
      <c r="U7756" s="15" t="s">
        <v>8</v>
      </c>
      <c r="V7756" s="20" t="str">
        <f>HYPERLINK("http://yeinfo.com/family/I09066261.html", "ANNE\ANNA WYTHE 1390 EN-1416 EN ID:09066262")</f>
        <v>ANNE\ANNA WYTHE 1390 EN-1416 EN ID:09066262</v>
      </c>
      <c r="W7756" s="17"/>
      <c r="X7756" s="17"/>
      <c r="Y7756" s="17"/>
      <c r="Z7756" s="17"/>
      <c r="AA7756" s="17"/>
    </row>
    <row r="7757" spans="3:28" x14ac:dyDescent="0.35">
      <c r="C7757" s="15" t="s">
        <v>8</v>
      </c>
      <c r="G7757" s="15" t="s">
        <v>8</v>
      </c>
      <c r="K7757" s="15" t="s">
        <v>8</v>
      </c>
      <c r="L7757" s="15" t="s">
        <v>8</v>
      </c>
      <c r="M7757" s="15" t="s">
        <v>8</v>
      </c>
      <c r="N7757" s="15" t="s">
        <v>8</v>
      </c>
      <c r="O7757" s="15" t="s">
        <v>8</v>
      </c>
      <c r="Q7757" s="15" t="s">
        <v>8</v>
      </c>
      <c r="R7757" s="15" t="s">
        <v>8</v>
      </c>
      <c r="T7757" s="15" t="s">
        <v>8</v>
      </c>
      <c r="U7757" s="15" t="s">
        <v>8</v>
      </c>
      <c r="W7757" s="8" t="s">
        <v>6</v>
      </c>
    </row>
    <row r="7758" spans="3:28" x14ac:dyDescent="0.35">
      <c r="C7758" s="15" t="s">
        <v>8</v>
      </c>
      <c r="G7758" s="15" t="s">
        <v>8</v>
      </c>
      <c r="K7758" s="15" t="s">
        <v>8</v>
      </c>
      <c r="L7758" s="15" t="s">
        <v>8</v>
      </c>
      <c r="M7758" s="15" t="s">
        <v>8</v>
      </c>
      <c r="N7758" s="15" t="s">
        <v>8</v>
      </c>
      <c r="O7758" s="15" t="s">
        <v>8</v>
      </c>
      <c r="Q7758" s="15" t="s">
        <v>8</v>
      </c>
      <c r="R7758" s="15" t="s">
        <v>8</v>
      </c>
      <c r="T7758" s="15" t="s">
        <v>8</v>
      </c>
      <c r="U7758" s="15" t="s">
        <v>8</v>
      </c>
      <c r="W7758" s="20" t="str">
        <f>HYPERLINK("http://yeinfo.com/family/I09066424.html", "SYBIL\SYBILLA ST.OMER 1374 EN-1420 EN ID:09066425")</f>
        <v>SYBIL\SYBILLA ST.OMER 1374 EN-1420 EN ID:09066425</v>
      </c>
      <c r="X7758" s="17"/>
      <c r="Y7758" s="17"/>
      <c r="Z7758" s="17"/>
      <c r="AA7758" s="17"/>
      <c r="AB7758" s="17"/>
    </row>
    <row r="7759" spans="3:28" x14ac:dyDescent="0.35">
      <c r="C7759" s="15" t="s">
        <v>8</v>
      </c>
      <c r="G7759" s="15" t="s">
        <v>8</v>
      </c>
      <c r="K7759" s="15" t="s">
        <v>8</v>
      </c>
      <c r="L7759" s="15" t="s">
        <v>8</v>
      </c>
      <c r="M7759" s="15" t="s">
        <v>8</v>
      </c>
      <c r="N7759" s="15" t="s">
        <v>8</v>
      </c>
      <c r="O7759" s="15" t="s">
        <v>8</v>
      </c>
      <c r="Q7759" s="15" t="s">
        <v>8</v>
      </c>
      <c r="R7759" s="15" t="s">
        <v>8</v>
      </c>
      <c r="T7759" s="8" t="s">
        <v>6</v>
      </c>
      <c r="U7759" s="15" t="s">
        <v>8</v>
      </c>
    </row>
    <row r="7760" spans="3:28" x14ac:dyDescent="0.35">
      <c r="C7760" s="15" t="s">
        <v>8</v>
      </c>
      <c r="G7760" s="15" t="s">
        <v>8</v>
      </c>
      <c r="K7760" s="15" t="s">
        <v>8</v>
      </c>
      <c r="L7760" s="15" t="s">
        <v>8</v>
      </c>
      <c r="M7760" s="15" t="s">
        <v>8</v>
      </c>
      <c r="N7760" s="15" t="s">
        <v>8</v>
      </c>
      <c r="O7760" s="15" t="s">
        <v>8</v>
      </c>
      <c r="Q7760" s="15" t="s">
        <v>8</v>
      </c>
      <c r="R7760" s="15" t="s">
        <v>8</v>
      </c>
      <c r="T7760" s="20" t="str">
        <f>HYPERLINK("http://yeinfo.com/family/I09066423.html", "ANNE CALTHORPE 1460 EN-1480 EN ID:09065904")</f>
        <v>ANNE CALTHORPE 1460 EN-1480 EN ID:09065904</v>
      </c>
      <c r="U7760" s="17"/>
      <c r="V7760" s="17"/>
      <c r="W7760" s="17"/>
      <c r="X7760" s="17"/>
    </row>
    <row r="7761" spans="3:28" x14ac:dyDescent="0.35">
      <c r="C7761" s="15" t="s">
        <v>8</v>
      </c>
      <c r="G7761" s="15" t="s">
        <v>8</v>
      </c>
      <c r="K7761" s="15" t="s">
        <v>8</v>
      </c>
      <c r="L7761" s="15" t="s">
        <v>8</v>
      </c>
      <c r="M7761" s="15" t="s">
        <v>8</v>
      </c>
      <c r="N7761" s="15" t="s">
        <v>8</v>
      </c>
      <c r="O7761" s="15" t="s">
        <v>8</v>
      </c>
      <c r="Q7761" s="15" t="s">
        <v>8</v>
      </c>
      <c r="R7761" s="15" t="s">
        <v>8</v>
      </c>
      <c r="U7761" s="15" t="s">
        <v>8</v>
      </c>
    </row>
    <row r="7762" spans="3:28" x14ac:dyDescent="0.35">
      <c r="C7762" s="15" t="s">
        <v>8</v>
      </c>
      <c r="G7762" s="15" t="s">
        <v>8</v>
      </c>
      <c r="K7762" s="15" t="s">
        <v>8</v>
      </c>
      <c r="L7762" s="15" t="s">
        <v>8</v>
      </c>
      <c r="M7762" s="15" t="s">
        <v>8</v>
      </c>
      <c r="N7762" s="15" t="s">
        <v>8</v>
      </c>
      <c r="O7762" s="15" t="s">
        <v>8</v>
      </c>
      <c r="Q7762" s="15" t="s">
        <v>8</v>
      </c>
      <c r="R7762" s="15" t="s">
        <v>8</v>
      </c>
      <c r="U7762" s="15" t="s">
        <v>8</v>
      </c>
      <c r="W7762" s="19" t="str">
        <f>HYPERLINK("http://yeinfo.com/family/I09066263.html", "BRIAN\BRYAN STAPLETON 1379 EN-1438 EN ID:09066426")</f>
        <v>BRIAN\BRYAN STAPLETON 1379 EN-1438 EN ID:09066426</v>
      </c>
      <c r="X7762" s="9"/>
      <c r="Y7762" s="9"/>
      <c r="Z7762" s="9"/>
      <c r="AA7762" s="9"/>
      <c r="AB7762" s="9"/>
    </row>
    <row r="7763" spans="3:28" x14ac:dyDescent="0.35">
      <c r="C7763" s="15" t="s">
        <v>8</v>
      </c>
      <c r="G7763" s="15" t="s">
        <v>8</v>
      </c>
      <c r="K7763" s="15" t="s">
        <v>8</v>
      </c>
      <c r="L7763" s="15" t="s">
        <v>8</v>
      </c>
      <c r="M7763" s="15" t="s">
        <v>8</v>
      </c>
      <c r="N7763" s="15" t="s">
        <v>8</v>
      </c>
      <c r="O7763" s="15" t="s">
        <v>8</v>
      </c>
      <c r="Q7763" s="15" t="s">
        <v>8</v>
      </c>
      <c r="R7763" s="15" t="s">
        <v>8</v>
      </c>
      <c r="U7763" s="15" t="s">
        <v>8</v>
      </c>
      <c r="W7763" s="8" t="s">
        <v>3</v>
      </c>
    </row>
    <row r="7764" spans="3:28" x14ac:dyDescent="0.35">
      <c r="C7764" s="15" t="s">
        <v>8</v>
      </c>
      <c r="G7764" s="15" t="s">
        <v>8</v>
      </c>
      <c r="K7764" s="15" t="s">
        <v>8</v>
      </c>
      <c r="L7764" s="15" t="s">
        <v>8</v>
      </c>
      <c r="M7764" s="15" t="s">
        <v>8</v>
      </c>
      <c r="N7764" s="15" t="s">
        <v>8</v>
      </c>
      <c r="O7764" s="15" t="s">
        <v>8</v>
      </c>
      <c r="Q7764" s="15" t="s">
        <v>8</v>
      </c>
      <c r="R7764" s="15" t="s">
        <v>8</v>
      </c>
      <c r="U7764" s="15" t="s">
        <v>8</v>
      </c>
      <c r="V7764" s="19" t="str">
        <f>HYPERLINK("http://yeinfo.com/family/I09066064.html", "MILES STAPLETON 1408 EN-1466 EN ID:09066263")</f>
        <v>MILES STAPLETON 1408 EN-1466 EN ID:09066263</v>
      </c>
      <c r="W7764" s="9"/>
      <c r="X7764" s="9"/>
      <c r="Y7764" s="9"/>
      <c r="Z7764" s="9"/>
    </row>
    <row r="7765" spans="3:28" x14ac:dyDescent="0.35">
      <c r="C7765" s="15" t="s">
        <v>8</v>
      </c>
      <c r="G7765" s="15" t="s">
        <v>8</v>
      </c>
      <c r="K7765" s="15" t="s">
        <v>8</v>
      </c>
      <c r="L7765" s="15" t="s">
        <v>8</v>
      </c>
      <c r="M7765" s="15" t="s">
        <v>8</v>
      </c>
      <c r="N7765" s="15" t="s">
        <v>8</v>
      </c>
      <c r="O7765" s="15" t="s">
        <v>8</v>
      </c>
      <c r="Q7765" s="15" t="s">
        <v>8</v>
      </c>
      <c r="R7765" s="15" t="s">
        <v>8</v>
      </c>
      <c r="U7765" s="15" t="s">
        <v>8</v>
      </c>
      <c r="V7765" s="8" t="s">
        <v>3</v>
      </c>
      <c r="W7765" s="15" t="s">
        <v>8</v>
      </c>
    </row>
    <row r="7766" spans="3:28" x14ac:dyDescent="0.35">
      <c r="C7766" s="15" t="s">
        <v>8</v>
      </c>
      <c r="G7766" s="15" t="s">
        <v>8</v>
      </c>
      <c r="K7766" s="15" t="s">
        <v>8</v>
      </c>
      <c r="L7766" s="15" t="s">
        <v>8</v>
      </c>
      <c r="M7766" s="15" t="s">
        <v>8</v>
      </c>
      <c r="N7766" s="15" t="s">
        <v>8</v>
      </c>
      <c r="O7766" s="15" t="s">
        <v>8</v>
      </c>
      <c r="Q7766" s="15" t="s">
        <v>8</v>
      </c>
      <c r="R7766" s="15" t="s">
        <v>8</v>
      </c>
      <c r="U7766" s="15" t="s">
        <v>8</v>
      </c>
      <c r="V7766" s="15" t="s">
        <v>8</v>
      </c>
      <c r="W7766" s="15" t="s">
        <v>8</v>
      </c>
      <c r="X7766" s="19" t="str">
        <f>HYPERLINK("http://yeinfo.com/family/I09066427.html", "WILLIAM BARDOLF 1349 EN-1386 EN ID:09066777")</f>
        <v>WILLIAM BARDOLF 1349 EN-1386 EN ID:09066777</v>
      </c>
      <c r="Y7766" s="9"/>
      <c r="Z7766" s="9"/>
      <c r="AA7766" s="9"/>
      <c r="AB7766" s="9"/>
    </row>
    <row r="7767" spans="3:28" x14ac:dyDescent="0.35">
      <c r="C7767" s="15" t="s">
        <v>8</v>
      </c>
      <c r="G7767" s="15" t="s">
        <v>8</v>
      </c>
      <c r="K7767" s="15" t="s">
        <v>8</v>
      </c>
      <c r="L7767" s="15" t="s">
        <v>8</v>
      </c>
      <c r="M7767" s="15" t="s">
        <v>8</v>
      </c>
      <c r="N7767" s="15" t="s">
        <v>8</v>
      </c>
      <c r="O7767" s="15" t="s">
        <v>8</v>
      </c>
      <c r="Q7767" s="15" t="s">
        <v>8</v>
      </c>
      <c r="R7767" s="15" t="s">
        <v>8</v>
      </c>
      <c r="U7767" s="15" t="s">
        <v>8</v>
      </c>
      <c r="V7767" s="15" t="s">
        <v>8</v>
      </c>
      <c r="W7767" s="8" t="s">
        <v>6</v>
      </c>
      <c r="X7767" s="8" t="s">
        <v>3</v>
      </c>
    </row>
    <row r="7768" spans="3:28" x14ac:dyDescent="0.35">
      <c r="C7768" s="15" t="s">
        <v>8</v>
      </c>
      <c r="G7768" s="15" t="s">
        <v>8</v>
      </c>
      <c r="K7768" s="15" t="s">
        <v>8</v>
      </c>
      <c r="L7768" s="15" t="s">
        <v>8</v>
      </c>
      <c r="M7768" s="15" t="s">
        <v>8</v>
      </c>
      <c r="N7768" s="15" t="s">
        <v>8</v>
      </c>
      <c r="O7768" s="15" t="s">
        <v>8</v>
      </c>
      <c r="Q7768" s="15" t="s">
        <v>8</v>
      </c>
      <c r="R7768" s="15" t="s">
        <v>8</v>
      </c>
      <c r="U7768" s="15" t="s">
        <v>8</v>
      </c>
      <c r="V7768" s="15" t="s">
        <v>8</v>
      </c>
      <c r="W7768" s="20" t="str">
        <f>HYPERLINK("http://yeinfo.com/family/I09066426.html", "CECILY BARDOLF 1375 EN-1432 EN ID:09066427")</f>
        <v>CECILY BARDOLF 1375 EN-1432 EN ID:09066427</v>
      </c>
      <c r="X7768" s="17"/>
      <c r="Y7768" s="17"/>
      <c r="Z7768" s="17"/>
      <c r="AA7768" s="17"/>
    </row>
    <row r="7769" spans="3:28" x14ac:dyDescent="0.35">
      <c r="C7769" s="15" t="s">
        <v>8</v>
      </c>
      <c r="G7769" s="15" t="s">
        <v>8</v>
      </c>
      <c r="K7769" s="15" t="s">
        <v>8</v>
      </c>
      <c r="L7769" s="15" t="s">
        <v>8</v>
      </c>
      <c r="M7769" s="15" t="s">
        <v>8</v>
      </c>
      <c r="N7769" s="15" t="s">
        <v>8</v>
      </c>
      <c r="O7769" s="15" t="s">
        <v>8</v>
      </c>
      <c r="Q7769" s="15" t="s">
        <v>8</v>
      </c>
      <c r="R7769" s="15" t="s">
        <v>8</v>
      </c>
      <c r="U7769" s="15" t="s">
        <v>8</v>
      </c>
      <c r="V7769" s="15" t="s">
        <v>8</v>
      </c>
      <c r="X7769" s="8" t="s">
        <v>6</v>
      </c>
    </row>
    <row r="7770" spans="3:28" x14ac:dyDescent="0.35">
      <c r="C7770" s="15" t="s">
        <v>8</v>
      </c>
      <c r="G7770" s="15" t="s">
        <v>8</v>
      </c>
      <c r="K7770" s="15" t="s">
        <v>8</v>
      </c>
      <c r="L7770" s="15" t="s">
        <v>8</v>
      </c>
      <c r="M7770" s="15" t="s">
        <v>8</v>
      </c>
      <c r="N7770" s="15" t="s">
        <v>8</v>
      </c>
      <c r="O7770" s="15" t="s">
        <v>8</v>
      </c>
      <c r="Q7770" s="15" t="s">
        <v>8</v>
      </c>
      <c r="R7770" s="15" t="s">
        <v>8</v>
      </c>
      <c r="U7770" s="15" t="s">
        <v>8</v>
      </c>
      <c r="V7770" s="15" t="s">
        <v>8</v>
      </c>
      <c r="X7770" s="20" t="str">
        <f>HYPERLINK("http://yeinfo.com/family/I09066777.html", "AGNES POYNINGS 1350 EN-1403 EN ID:09066825")</f>
        <v>AGNES POYNINGS 1350 EN-1403 EN ID:09066825</v>
      </c>
      <c r="Y7770" s="17"/>
      <c r="Z7770" s="17"/>
      <c r="AA7770" s="17"/>
      <c r="AB7770" s="17"/>
    </row>
    <row r="7771" spans="3:28" x14ac:dyDescent="0.35">
      <c r="C7771" s="15" t="s">
        <v>8</v>
      </c>
      <c r="G7771" s="15" t="s">
        <v>8</v>
      </c>
      <c r="K7771" s="15" t="s">
        <v>8</v>
      </c>
      <c r="L7771" s="15" t="s">
        <v>8</v>
      </c>
      <c r="M7771" s="15" t="s">
        <v>8</v>
      </c>
      <c r="N7771" s="15" t="s">
        <v>8</v>
      </c>
      <c r="O7771" s="15" t="s">
        <v>8</v>
      </c>
      <c r="Q7771" s="15" t="s">
        <v>8</v>
      </c>
      <c r="R7771" s="15" t="s">
        <v>8</v>
      </c>
      <c r="U7771" s="8" t="s">
        <v>6</v>
      </c>
      <c r="V7771" s="15" t="s">
        <v>8</v>
      </c>
    </row>
    <row r="7772" spans="3:28" x14ac:dyDescent="0.35">
      <c r="C7772" s="15" t="s">
        <v>8</v>
      </c>
      <c r="G7772" s="15" t="s">
        <v>8</v>
      </c>
      <c r="K7772" s="15" t="s">
        <v>8</v>
      </c>
      <c r="L7772" s="15" t="s">
        <v>8</v>
      </c>
      <c r="M7772" s="15" t="s">
        <v>8</v>
      </c>
      <c r="N7772" s="15" t="s">
        <v>8</v>
      </c>
      <c r="O7772" s="15" t="s">
        <v>8</v>
      </c>
      <c r="Q7772" s="15" t="s">
        <v>8</v>
      </c>
      <c r="R7772" s="15" t="s">
        <v>8</v>
      </c>
      <c r="U7772" s="20" t="str">
        <f>HYPERLINK("http://yeinfo.com/family/I09066425.html", "ELIZABETH STAPLETON 1441 EN-1505 EN ID:09066064")</f>
        <v>ELIZABETH STAPLETON 1441 EN-1505 EN ID:09066064</v>
      </c>
      <c r="V7772" s="17"/>
      <c r="W7772" s="17"/>
      <c r="X7772" s="17"/>
      <c r="Y7772" s="17"/>
    </row>
    <row r="7773" spans="3:28" x14ac:dyDescent="0.35">
      <c r="C7773" s="15" t="s">
        <v>8</v>
      </c>
      <c r="G7773" s="15" t="s">
        <v>8</v>
      </c>
      <c r="K7773" s="15" t="s">
        <v>8</v>
      </c>
      <c r="L7773" s="15" t="s">
        <v>8</v>
      </c>
      <c r="M7773" s="15" t="s">
        <v>8</v>
      </c>
      <c r="N7773" s="15" t="s">
        <v>8</v>
      </c>
      <c r="O7773" s="15" t="s">
        <v>8</v>
      </c>
      <c r="Q7773" s="15" t="s">
        <v>8</v>
      </c>
      <c r="R7773" s="15" t="s">
        <v>8</v>
      </c>
      <c r="V7773" s="15" t="s">
        <v>8</v>
      </c>
    </row>
    <row r="7774" spans="3:28" x14ac:dyDescent="0.35">
      <c r="C7774" s="15" t="s">
        <v>8</v>
      </c>
      <c r="G7774" s="15" t="s">
        <v>8</v>
      </c>
      <c r="K7774" s="15" t="s">
        <v>8</v>
      </c>
      <c r="L7774" s="15" t="s">
        <v>8</v>
      </c>
      <c r="M7774" s="15" t="s">
        <v>8</v>
      </c>
      <c r="N7774" s="15" t="s">
        <v>8</v>
      </c>
      <c r="O7774" s="15" t="s">
        <v>8</v>
      </c>
      <c r="Q7774" s="15" t="s">
        <v>8</v>
      </c>
      <c r="R7774" s="15" t="s">
        <v>8</v>
      </c>
      <c r="V7774" s="15" t="s">
        <v>8</v>
      </c>
      <c r="W7774" s="19" t="str">
        <f>HYPERLINK("http://yeinfo.com/family/I09066264.html", "THOMAS LAPOLE 1396 EN-1416 EN ID:09066428")</f>
        <v>THOMAS LAPOLE 1396 EN-1416 EN ID:09066428</v>
      </c>
      <c r="X7774" s="9"/>
      <c r="Y7774" s="9"/>
      <c r="Z7774" s="9"/>
      <c r="AA7774" s="9"/>
    </row>
    <row r="7775" spans="3:28" x14ac:dyDescent="0.35">
      <c r="C7775" s="15" t="s">
        <v>8</v>
      </c>
      <c r="G7775" s="15" t="s">
        <v>8</v>
      </c>
      <c r="K7775" s="15" t="s">
        <v>8</v>
      </c>
      <c r="L7775" s="15" t="s">
        <v>8</v>
      </c>
      <c r="M7775" s="15" t="s">
        <v>8</v>
      </c>
      <c r="N7775" s="15" t="s">
        <v>8</v>
      </c>
      <c r="O7775" s="15" t="s">
        <v>8</v>
      </c>
      <c r="Q7775" s="15" t="s">
        <v>8</v>
      </c>
      <c r="R7775" s="15" t="s">
        <v>8</v>
      </c>
      <c r="V7775" s="8" t="s">
        <v>6</v>
      </c>
      <c r="W7775" s="8" t="s">
        <v>3</v>
      </c>
    </row>
    <row r="7776" spans="3:28" x14ac:dyDescent="0.35">
      <c r="C7776" s="15" t="s">
        <v>8</v>
      </c>
      <c r="G7776" s="15" t="s">
        <v>8</v>
      </c>
      <c r="K7776" s="15" t="s">
        <v>8</v>
      </c>
      <c r="L7776" s="15" t="s">
        <v>8</v>
      </c>
      <c r="M7776" s="15" t="s">
        <v>8</v>
      </c>
      <c r="N7776" s="15" t="s">
        <v>8</v>
      </c>
      <c r="O7776" s="15" t="s">
        <v>8</v>
      </c>
      <c r="Q7776" s="15" t="s">
        <v>8</v>
      </c>
      <c r="R7776" s="15" t="s">
        <v>8</v>
      </c>
      <c r="V7776" s="20" t="str">
        <f>HYPERLINK("http://yeinfo.com/family/I09066825.html", "KATHERINE LAPOLE 1416 EN-1488 EN ID:09066264")</f>
        <v>KATHERINE LAPOLE 1416 EN-1488 EN ID:09066264</v>
      </c>
      <c r="W7776" s="17"/>
      <c r="X7776" s="17"/>
      <c r="Y7776" s="17"/>
      <c r="Z7776" s="17"/>
    </row>
    <row r="7777" spans="3:27" x14ac:dyDescent="0.35">
      <c r="C7777" s="15" t="s">
        <v>8</v>
      </c>
      <c r="G7777" s="15" t="s">
        <v>8</v>
      </c>
      <c r="K7777" s="15" t="s">
        <v>8</v>
      </c>
      <c r="L7777" s="15" t="s">
        <v>8</v>
      </c>
      <c r="M7777" s="15" t="s">
        <v>8</v>
      </c>
      <c r="N7777" s="15" t="s">
        <v>8</v>
      </c>
      <c r="O7777" s="15" t="s">
        <v>8</v>
      </c>
      <c r="Q7777" s="15" t="s">
        <v>8</v>
      </c>
      <c r="R7777" s="15" t="s">
        <v>8</v>
      </c>
      <c r="W7777" s="8" t="s">
        <v>6</v>
      </c>
    </row>
    <row r="7778" spans="3:27" x14ac:dyDescent="0.35">
      <c r="C7778" s="15" t="s">
        <v>8</v>
      </c>
      <c r="G7778" s="15" t="s">
        <v>8</v>
      </c>
      <c r="K7778" s="15" t="s">
        <v>8</v>
      </c>
      <c r="L7778" s="15" t="s">
        <v>8</v>
      </c>
      <c r="M7778" s="15" t="s">
        <v>8</v>
      </c>
      <c r="N7778" s="15" t="s">
        <v>8</v>
      </c>
      <c r="O7778" s="15" t="s">
        <v>8</v>
      </c>
      <c r="Q7778" s="15" t="s">
        <v>8</v>
      </c>
      <c r="R7778" s="15" t="s">
        <v>8</v>
      </c>
      <c r="W7778" s="20" t="str">
        <f>HYPERLINK("http://yeinfo.com/family/I09066428.html", "ANNE CHENEY 1398 EN-1416 EN ID:09066429")</f>
        <v>ANNE CHENEY 1398 EN-1416 EN ID:09066429</v>
      </c>
      <c r="X7778" s="17"/>
      <c r="Y7778" s="17"/>
      <c r="Z7778" s="17"/>
      <c r="AA7778" s="17"/>
    </row>
    <row r="7779" spans="3:27" x14ac:dyDescent="0.35">
      <c r="C7779" s="15" t="s">
        <v>8</v>
      </c>
      <c r="G7779" s="15" t="s">
        <v>8</v>
      </c>
      <c r="K7779" s="15" t="s">
        <v>8</v>
      </c>
      <c r="L7779" s="15" t="s">
        <v>8</v>
      </c>
      <c r="M7779" s="15" t="s">
        <v>8</v>
      </c>
      <c r="N7779" s="15" t="s">
        <v>8</v>
      </c>
      <c r="O7779" s="15" t="s">
        <v>8</v>
      </c>
      <c r="Q7779" s="8" t="s">
        <v>6</v>
      </c>
      <c r="R7779" s="15" t="s">
        <v>8</v>
      </c>
    </row>
    <row r="7780" spans="3:27" x14ac:dyDescent="0.35">
      <c r="C7780" s="15" t="s">
        <v>8</v>
      </c>
      <c r="G7780" s="15" t="s">
        <v>8</v>
      </c>
      <c r="K7780" s="15" t="s">
        <v>8</v>
      </c>
      <c r="L7780" s="15" t="s">
        <v>8</v>
      </c>
      <c r="M7780" s="15" t="s">
        <v>8</v>
      </c>
      <c r="N7780" s="15" t="s">
        <v>8</v>
      </c>
      <c r="O7780" s="15" t="s">
        <v>8</v>
      </c>
      <c r="Q7780" s="20" t="str">
        <f>HYPERLINK("http://yeinfo.com/family/I09065626.html", "DOROTHY WALDEGRAVE 1530 EN-1597 EN ID:09048171")</f>
        <v>DOROTHY WALDEGRAVE 1530 EN-1597 EN ID:09048171</v>
      </c>
      <c r="R7780" s="17"/>
      <c r="S7780" s="17"/>
      <c r="T7780" s="17"/>
      <c r="U7780" s="17"/>
    </row>
    <row r="7781" spans="3:27" x14ac:dyDescent="0.35">
      <c r="C7781" s="15" t="s">
        <v>8</v>
      </c>
      <c r="G7781" s="15" t="s">
        <v>8</v>
      </c>
      <c r="K7781" s="15" t="s">
        <v>8</v>
      </c>
      <c r="L7781" s="15" t="s">
        <v>8</v>
      </c>
      <c r="M7781" s="15" t="s">
        <v>8</v>
      </c>
      <c r="N7781" s="15" t="s">
        <v>8</v>
      </c>
      <c r="O7781" s="15" t="s">
        <v>8</v>
      </c>
      <c r="R7781" s="15" t="s">
        <v>8</v>
      </c>
    </row>
    <row r="7782" spans="3:27" x14ac:dyDescent="0.35">
      <c r="C7782" s="15" t="s">
        <v>8</v>
      </c>
      <c r="G7782" s="15" t="s">
        <v>8</v>
      </c>
      <c r="K7782" s="15" t="s">
        <v>8</v>
      </c>
      <c r="L7782" s="15" t="s">
        <v>8</v>
      </c>
      <c r="M7782" s="15" t="s">
        <v>8</v>
      </c>
      <c r="N7782" s="15" t="s">
        <v>8</v>
      </c>
      <c r="O7782" s="15" t="s">
        <v>8</v>
      </c>
      <c r="R7782" s="15" t="s">
        <v>8</v>
      </c>
      <c r="U7782" s="19" t="str">
        <f>HYPERLINK("http://yeinfo.com/family/I09065905.html", "WILLIAM RAINSFORD 1395 EN-1419 EN ID:09066065")</f>
        <v>WILLIAM RAINSFORD 1395 EN-1419 EN ID:09066065</v>
      </c>
      <c r="V7782" s="9"/>
      <c r="W7782" s="9"/>
      <c r="X7782" s="9"/>
      <c r="Y7782" s="9"/>
    </row>
    <row r="7783" spans="3:27" x14ac:dyDescent="0.35">
      <c r="C7783" s="15" t="s">
        <v>8</v>
      </c>
      <c r="G7783" s="15" t="s">
        <v>8</v>
      </c>
      <c r="K7783" s="15" t="s">
        <v>8</v>
      </c>
      <c r="L7783" s="15" t="s">
        <v>8</v>
      </c>
      <c r="M7783" s="15" t="s">
        <v>8</v>
      </c>
      <c r="N7783" s="15" t="s">
        <v>8</v>
      </c>
      <c r="O7783" s="15" t="s">
        <v>8</v>
      </c>
      <c r="R7783" s="15" t="s">
        <v>8</v>
      </c>
      <c r="U7783" s="8" t="s">
        <v>3</v>
      </c>
    </row>
    <row r="7784" spans="3:27" x14ac:dyDescent="0.35">
      <c r="C7784" s="15" t="s">
        <v>8</v>
      </c>
      <c r="G7784" s="15" t="s">
        <v>8</v>
      </c>
      <c r="K7784" s="15" t="s">
        <v>8</v>
      </c>
      <c r="L7784" s="15" t="s">
        <v>8</v>
      </c>
      <c r="M7784" s="15" t="s">
        <v>8</v>
      </c>
      <c r="N7784" s="15" t="s">
        <v>8</v>
      </c>
      <c r="O7784" s="15" t="s">
        <v>8</v>
      </c>
      <c r="R7784" s="15" t="s">
        <v>8</v>
      </c>
      <c r="T7784" s="19" t="str">
        <f>HYPERLINK("http://yeinfo.com/family/I09065754.html", "LAWRENCE RAINSFORD 1419 EN-1490 EN ID:09065905")</f>
        <v>LAWRENCE RAINSFORD 1419 EN-1490 EN ID:09065905</v>
      </c>
      <c r="U7784" s="9"/>
      <c r="V7784" s="9"/>
      <c r="W7784" s="9"/>
      <c r="X7784" s="9"/>
    </row>
    <row r="7785" spans="3:27" x14ac:dyDescent="0.35">
      <c r="C7785" s="15" t="s">
        <v>8</v>
      </c>
      <c r="G7785" s="15" t="s">
        <v>8</v>
      </c>
      <c r="K7785" s="15" t="s">
        <v>8</v>
      </c>
      <c r="L7785" s="15" t="s">
        <v>8</v>
      </c>
      <c r="M7785" s="15" t="s">
        <v>8</v>
      </c>
      <c r="N7785" s="15" t="s">
        <v>8</v>
      </c>
      <c r="O7785" s="15" t="s">
        <v>8</v>
      </c>
      <c r="R7785" s="15" t="s">
        <v>8</v>
      </c>
      <c r="T7785" s="8" t="s">
        <v>3</v>
      </c>
      <c r="U7785" s="15" t="s">
        <v>8</v>
      </c>
    </row>
    <row r="7786" spans="3:27" x14ac:dyDescent="0.35">
      <c r="C7786" s="15" t="s">
        <v>8</v>
      </c>
      <c r="G7786" s="15" t="s">
        <v>8</v>
      </c>
      <c r="K7786" s="15" t="s">
        <v>8</v>
      </c>
      <c r="L7786" s="15" t="s">
        <v>8</v>
      </c>
      <c r="M7786" s="15" t="s">
        <v>8</v>
      </c>
      <c r="N7786" s="15" t="s">
        <v>8</v>
      </c>
      <c r="O7786" s="15" t="s">
        <v>8</v>
      </c>
      <c r="R7786" s="15" t="s">
        <v>8</v>
      </c>
      <c r="T7786" s="15" t="s">
        <v>8</v>
      </c>
      <c r="U7786" s="15" t="s">
        <v>8</v>
      </c>
      <c r="V7786" s="19" t="str">
        <f>HYPERLINK("http://yeinfo.com/family/I09066066.html", "EDMUND BROCKSBORNE 1370 EN-1398 EN ID:09066265")</f>
        <v>EDMUND BROCKSBORNE 1370 EN-1398 EN ID:09066265</v>
      </c>
      <c r="W7786" s="9"/>
      <c r="X7786" s="9"/>
      <c r="Y7786" s="9"/>
      <c r="Z7786" s="9"/>
    </row>
    <row r="7787" spans="3:27" x14ac:dyDescent="0.35">
      <c r="C7787" s="15" t="s">
        <v>8</v>
      </c>
      <c r="G7787" s="15" t="s">
        <v>8</v>
      </c>
      <c r="K7787" s="15" t="s">
        <v>8</v>
      </c>
      <c r="L7787" s="15" t="s">
        <v>8</v>
      </c>
      <c r="M7787" s="15" t="s">
        <v>8</v>
      </c>
      <c r="N7787" s="15" t="s">
        <v>8</v>
      </c>
      <c r="O7787" s="15" t="s">
        <v>8</v>
      </c>
      <c r="R7787" s="15" t="s">
        <v>8</v>
      </c>
      <c r="T7787" s="15" t="s">
        <v>8</v>
      </c>
      <c r="U7787" s="8" t="s">
        <v>6</v>
      </c>
      <c r="V7787" s="8" t="s">
        <v>3</v>
      </c>
    </row>
    <row r="7788" spans="3:27" x14ac:dyDescent="0.35">
      <c r="C7788" s="15" t="s">
        <v>8</v>
      </c>
      <c r="G7788" s="15" t="s">
        <v>8</v>
      </c>
      <c r="K7788" s="15" t="s">
        <v>8</v>
      </c>
      <c r="L7788" s="15" t="s">
        <v>8</v>
      </c>
      <c r="M7788" s="15" t="s">
        <v>8</v>
      </c>
      <c r="N7788" s="15" t="s">
        <v>8</v>
      </c>
      <c r="O7788" s="15" t="s">
        <v>8</v>
      </c>
      <c r="R7788" s="15" t="s">
        <v>8</v>
      </c>
      <c r="T7788" s="15" t="s">
        <v>8</v>
      </c>
      <c r="U7788" s="20" t="str">
        <f>HYPERLINK("http://yeinfo.com/family/I09066065.html", "ELEANOR BROCKSBORNE 1398 EN-1419 EN ID:09066066")</f>
        <v>ELEANOR BROCKSBORNE 1398 EN-1419 EN ID:09066066</v>
      </c>
      <c r="V7788" s="17"/>
      <c r="W7788" s="17"/>
      <c r="X7788" s="17"/>
      <c r="Y7788" s="17"/>
    </row>
    <row r="7789" spans="3:27" x14ac:dyDescent="0.35">
      <c r="C7789" s="15" t="s">
        <v>8</v>
      </c>
      <c r="G7789" s="15" t="s">
        <v>8</v>
      </c>
      <c r="K7789" s="15" t="s">
        <v>8</v>
      </c>
      <c r="L7789" s="15" t="s">
        <v>8</v>
      </c>
      <c r="M7789" s="15" t="s">
        <v>8</v>
      </c>
      <c r="N7789" s="15" t="s">
        <v>8</v>
      </c>
      <c r="O7789" s="15" t="s">
        <v>8</v>
      </c>
      <c r="R7789" s="15" t="s">
        <v>8</v>
      </c>
      <c r="T7789" s="15" t="s">
        <v>8</v>
      </c>
      <c r="V7789" s="8" t="s">
        <v>6</v>
      </c>
    </row>
    <row r="7790" spans="3:27" x14ac:dyDescent="0.35">
      <c r="C7790" s="15" t="s">
        <v>8</v>
      </c>
      <c r="G7790" s="15" t="s">
        <v>8</v>
      </c>
      <c r="K7790" s="15" t="s">
        <v>8</v>
      </c>
      <c r="L7790" s="15" t="s">
        <v>8</v>
      </c>
      <c r="M7790" s="15" t="s">
        <v>8</v>
      </c>
      <c r="N7790" s="15" t="s">
        <v>8</v>
      </c>
      <c r="O7790" s="15" t="s">
        <v>8</v>
      </c>
      <c r="R7790" s="15" t="s">
        <v>8</v>
      </c>
      <c r="T7790" s="15" t="s">
        <v>8</v>
      </c>
      <c r="V7790" s="20" t="str">
        <f>HYPERLINK("http://yeinfo.com/family/I09066265.html", "Mrs. {_?_} BROCKSBORNE 1370 EN-1398 EN ID:09066266")</f>
        <v>Mrs. {_?_} BROCKSBORNE 1370 EN-1398 EN ID:09066266</v>
      </c>
      <c r="W7790" s="17"/>
      <c r="X7790" s="17"/>
      <c r="Y7790" s="17"/>
      <c r="Z7790" s="17"/>
    </row>
    <row r="7791" spans="3:27" x14ac:dyDescent="0.35">
      <c r="C7791" s="15" t="s">
        <v>8</v>
      </c>
      <c r="G7791" s="15" t="s">
        <v>8</v>
      </c>
      <c r="K7791" s="15" t="s">
        <v>8</v>
      </c>
      <c r="L7791" s="15" t="s">
        <v>8</v>
      </c>
      <c r="M7791" s="15" t="s">
        <v>8</v>
      </c>
      <c r="N7791" s="15" t="s">
        <v>8</v>
      </c>
      <c r="O7791" s="15" t="s">
        <v>8</v>
      </c>
      <c r="R7791" s="15" t="s">
        <v>8</v>
      </c>
      <c r="T7791" s="15" t="s">
        <v>8</v>
      </c>
    </row>
    <row r="7792" spans="3:27" x14ac:dyDescent="0.35">
      <c r="C7792" s="15" t="s">
        <v>8</v>
      </c>
      <c r="G7792" s="15" t="s">
        <v>8</v>
      </c>
      <c r="K7792" s="15" t="s">
        <v>8</v>
      </c>
      <c r="L7792" s="15" t="s">
        <v>8</v>
      </c>
      <c r="M7792" s="15" t="s">
        <v>8</v>
      </c>
      <c r="N7792" s="15" t="s">
        <v>8</v>
      </c>
      <c r="O7792" s="15" t="s">
        <v>8</v>
      </c>
      <c r="R7792" s="15" t="s">
        <v>8</v>
      </c>
      <c r="S7792" s="19" t="str">
        <f>HYPERLINK("http://yeinfo.com/family/I09065628.html", "JOHN RAINSFORD 1461 EN-1505 EN ID:09065754")</f>
        <v>JOHN RAINSFORD 1461 EN-1505 EN ID:09065754</v>
      </c>
      <c r="T7792" s="9"/>
      <c r="U7792" s="9"/>
      <c r="V7792" s="9"/>
      <c r="W7792" s="9"/>
    </row>
    <row r="7793" spans="3:26" x14ac:dyDescent="0.35">
      <c r="C7793" s="15" t="s">
        <v>8</v>
      </c>
      <c r="G7793" s="15" t="s">
        <v>8</v>
      </c>
      <c r="K7793" s="15" t="s">
        <v>8</v>
      </c>
      <c r="L7793" s="15" t="s">
        <v>8</v>
      </c>
      <c r="M7793" s="15" t="s">
        <v>8</v>
      </c>
      <c r="N7793" s="15" t="s">
        <v>8</v>
      </c>
      <c r="O7793" s="15" t="s">
        <v>8</v>
      </c>
      <c r="R7793" s="15" t="s">
        <v>8</v>
      </c>
      <c r="S7793" s="8" t="s">
        <v>3</v>
      </c>
      <c r="T7793" s="15" t="s">
        <v>8</v>
      </c>
    </row>
    <row r="7794" spans="3:26" x14ac:dyDescent="0.35">
      <c r="C7794" s="15" t="s">
        <v>8</v>
      </c>
      <c r="G7794" s="15" t="s">
        <v>8</v>
      </c>
      <c r="K7794" s="15" t="s">
        <v>8</v>
      </c>
      <c r="L7794" s="15" t="s">
        <v>8</v>
      </c>
      <c r="M7794" s="15" t="s">
        <v>8</v>
      </c>
      <c r="N7794" s="15" t="s">
        <v>8</v>
      </c>
      <c r="O7794" s="15" t="s">
        <v>8</v>
      </c>
      <c r="R7794" s="15" t="s">
        <v>8</v>
      </c>
      <c r="S7794" s="15" t="s">
        <v>8</v>
      </c>
      <c r="T7794" s="15" t="s">
        <v>8</v>
      </c>
      <c r="V7794" s="19" t="str">
        <f>HYPERLINK("http://yeinfo.com/family/I09066067.html", "WILLIAM FIENNES 1357 EN-1402 EN ID:09066267")</f>
        <v>WILLIAM FIENNES 1357 EN-1402 EN ID:09066267</v>
      </c>
      <c r="W7794" s="9"/>
      <c r="X7794" s="9"/>
      <c r="Y7794" s="9"/>
      <c r="Z7794" s="9"/>
    </row>
    <row r="7795" spans="3:26" x14ac:dyDescent="0.35">
      <c r="C7795" s="15" t="s">
        <v>8</v>
      </c>
      <c r="G7795" s="15" t="s">
        <v>8</v>
      </c>
      <c r="K7795" s="15" t="s">
        <v>8</v>
      </c>
      <c r="L7795" s="15" t="s">
        <v>8</v>
      </c>
      <c r="M7795" s="15" t="s">
        <v>8</v>
      </c>
      <c r="N7795" s="15" t="s">
        <v>8</v>
      </c>
      <c r="O7795" s="15" t="s">
        <v>8</v>
      </c>
      <c r="R7795" s="15" t="s">
        <v>8</v>
      </c>
      <c r="S7795" s="15" t="s">
        <v>8</v>
      </c>
      <c r="T7795" s="15" t="s">
        <v>8</v>
      </c>
      <c r="V7795" s="8" t="s">
        <v>3</v>
      </c>
    </row>
    <row r="7796" spans="3:26" x14ac:dyDescent="0.35">
      <c r="C7796" s="15" t="s">
        <v>8</v>
      </c>
      <c r="G7796" s="15" t="s">
        <v>8</v>
      </c>
      <c r="K7796" s="15" t="s">
        <v>8</v>
      </c>
      <c r="L7796" s="15" t="s">
        <v>8</v>
      </c>
      <c r="M7796" s="15" t="s">
        <v>8</v>
      </c>
      <c r="N7796" s="15" t="s">
        <v>8</v>
      </c>
      <c r="O7796" s="15" t="s">
        <v>8</v>
      </c>
      <c r="R7796" s="15" t="s">
        <v>8</v>
      </c>
      <c r="S7796" s="15" t="s">
        <v>8</v>
      </c>
      <c r="T7796" s="15" t="s">
        <v>8</v>
      </c>
      <c r="U7796" s="19" t="str">
        <f>HYPERLINK("http://yeinfo.com/family/I09065906.html", "JAMES FIENNES 1384 EN-1450 EN ID:09066067")</f>
        <v>JAMES FIENNES 1384 EN-1450 EN ID:09066067</v>
      </c>
      <c r="V7796" s="9"/>
      <c r="W7796" s="9"/>
      <c r="X7796" s="9"/>
      <c r="Y7796" s="9"/>
    </row>
    <row r="7797" spans="3:26" x14ac:dyDescent="0.35">
      <c r="C7797" s="15" t="s">
        <v>8</v>
      </c>
      <c r="G7797" s="15" t="s">
        <v>8</v>
      </c>
      <c r="K7797" s="15" t="s">
        <v>8</v>
      </c>
      <c r="L7797" s="15" t="s">
        <v>8</v>
      </c>
      <c r="M7797" s="15" t="s">
        <v>8</v>
      </c>
      <c r="N7797" s="15" t="s">
        <v>8</v>
      </c>
      <c r="O7797" s="15" t="s">
        <v>8</v>
      </c>
      <c r="R7797" s="15" t="s">
        <v>8</v>
      </c>
      <c r="S7797" s="15" t="s">
        <v>8</v>
      </c>
      <c r="T7797" s="15" t="s">
        <v>8</v>
      </c>
      <c r="U7797" s="8" t="s">
        <v>3</v>
      </c>
      <c r="V7797" s="8" t="s">
        <v>6</v>
      </c>
    </row>
    <row r="7798" spans="3:26" x14ac:dyDescent="0.35">
      <c r="C7798" s="15" t="s">
        <v>8</v>
      </c>
      <c r="G7798" s="15" t="s">
        <v>8</v>
      </c>
      <c r="K7798" s="15" t="s">
        <v>8</v>
      </c>
      <c r="L7798" s="15" t="s">
        <v>8</v>
      </c>
      <c r="M7798" s="15" t="s">
        <v>8</v>
      </c>
      <c r="N7798" s="15" t="s">
        <v>8</v>
      </c>
      <c r="O7798" s="15" t="s">
        <v>8</v>
      </c>
      <c r="R7798" s="15" t="s">
        <v>8</v>
      </c>
      <c r="S7798" s="15" t="s">
        <v>8</v>
      </c>
      <c r="T7798" s="15" t="s">
        <v>8</v>
      </c>
      <c r="U7798" s="15" t="s">
        <v>8</v>
      </c>
      <c r="V7798" s="20" t="str">
        <f>HYPERLINK("http://yeinfo.com/family/I09066267.html", "ELIZABETH BATTISFORD 1357 EN-1384 EN ID:09066268")</f>
        <v>ELIZABETH BATTISFORD 1357 EN-1384 EN ID:09066268</v>
      </c>
      <c r="W7798" s="17"/>
      <c r="X7798" s="17"/>
      <c r="Y7798" s="17"/>
      <c r="Z7798" s="17"/>
    </row>
    <row r="7799" spans="3:26" x14ac:dyDescent="0.35">
      <c r="C7799" s="15" t="s">
        <v>8</v>
      </c>
      <c r="G7799" s="15" t="s">
        <v>8</v>
      </c>
      <c r="K7799" s="15" t="s">
        <v>8</v>
      </c>
      <c r="L7799" s="15" t="s">
        <v>8</v>
      </c>
      <c r="M7799" s="15" t="s">
        <v>8</v>
      </c>
      <c r="N7799" s="15" t="s">
        <v>8</v>
      </c>
      <c r="O7799" s="15" t="s">
        <v>8</v>
      </c>
      <c r="R7799" s="15" t="s">
        <v>8</v>
      </c>
      <c r="S7799" s="15" t="s">
        <v>8</v>
      </c>
      <c r="T7799" s="8" t="s">
        <v>6</v>
      </c>
      <c r="U7799" s="15" t="s">
        <v>8</v>
      </c>
    </row>
    <row r="7800" spans="3:26" x14ac:dyDescent="0.35">
      <c r="C7800" s="15" t="s">
        <v>8</v>
      </c>
      <c r="G7800" s="15" t="s">
        <v>8</v>
      </c>
      <c r="K7800" s="15" t="s">
        <v>8</v>
      </c>
      <c r="L7800" s="15" t="s">
        <v>8</v>
      </c>
      <c r="M7800" s="15" t="s">
        <v>8</v>
      </c>
      <c r="N7800" s="15" t="s">
        <v>8</v>
      </c>
      <c r="O7800" s="15" t="s">
        <v>8</v>
      </c>
      <c r="R7800" s="15" t="s">
        <v>8</v>
      </c>
      <c r="S7800" s="15" t="s">
        <v>8</v>
      </c>
      <c r="T7800" s="20" t="str">
        <f>HYPERLINK("http://yeinfo.com/family/I09066266.html", "ELIZABETH FIENNES 1408 EN-1461 EN ID:09065906")</f>
        <v>ELIZABETH FIENNES 1408 EN-1461 EN ID:09065906</v>
      </c>
      <c r="U7800" s="17"/>
      <c r="V7800" s="17"/>
      <c r="W7800" s="17"/>
      <c r="X7800" s="17"/>
    </row>
    <row r="7801" spans="3:26" x14ac:dyDescent="0.35">
      <c r="C7801" s="15" t="s">
        <v>8</v>
      </c>
      <c r="G7801" s="15" t="s">
        <v>8</v>
      </c>
      <c r="K7801" s="15" t="s">
        <v>8</v>
      </c>
      <c r="L7801" s="15" t="s">
        <v>8</v>
      </c>
      <c r="M7801" s="15" t="s">
        <v>8</v>
      </c>
      <c r="N7801" s="15" t="s">
        <v>8</v>
      </c>
      <c r="O7801" s="15" t="s">
        <v>8</v>
      </c>
      <c r="R7801" s="15" t="s">
        <v>8</v>
      </c>
      <c r="S7801" s="15" t="s">
        <v>8</v>
      </c>
      <c r="U7801" s="15" t="s">
        <v>8</v>
      </c>
    </row>
    <row r="7802" spans="3:26" x14ac:dyDescent="0.35">
      <c r="C7802" s="15" t="s">
        <v>8</v>
      </c>
      <c r="G7802" s="15" t="s">
        <v>8</v>
      </c>
      <c r="K7802" s="15" t="s">
        <v>8</v>
      </c>
      <c r="L7802" s="15" t="s">
        <v>8</v>
      </c>
      <c r="M7802" s="15" t="s">
        <v>8</v>
      </c>
      <c r="N7802" s="15" t="s">
        <v>8</v>
      </c>
      <c r="O7802" s="15" t="s">
        <v>8</v>
      </c>
      <c r="R7802" s="15" t="s">
        <v>8</v>
      </c>
      <c r="S7802" s="15" t="s">
        <v>8</v>
      </c>
      <c r="U7802" s="15" t="s">
        <v>8</v>
      </c>
      <c r="V7802" s="19" t="str">
        <f>HYPERLINK("http://yeinfo.com/family/I09066068.html", "WILLIAM CROWMER 1375 EN-1433 EN ID:09066269")</f>
        <v>WILLIAM CROWMER 1375 EN-1433 EN ID:09066269</v>
      </c>
      <c r="W7802" s="9"/>
      <c r="X7802" s="9"/>
      <c r="Y7802" s="9"/>
      <c r="Z7802" s="9"/>
    </row>
    <row r="7803" spans="3:26" x14ac:dyDescent="0.35">
      <c r="C7803" s="15" t="s">
        <v>8</v>
      </c>
      <c r="G7803" s="15" t="s">
        <v>8</v>
      </c>
      <c r="K7803" s="15" t="s">
        <v>8</v>
      </c>
      <c r="L7803" s="15" t="s">
        <v>8</v>
      </c>
      <c r="M7803" s="15" t="s">
        <v>8</v>
      </c>
      <c r="N7803" s="15" t="s">
        <v>8</v>
      </c>
      <c r="O7803" s="15" t="s">
        <v>8</v>
      </c>
      <c r="R7803" s="15" t="s">
        <v>8</v>
      </c>
      <c r="S7803" s="15" t="s">
        <v>8</v>
      </c>
      <c r="U7803" s="8" t="s">
        <v>6</v>
      </c>
      <c r="V7803" s="8" t="s">
        <v>3</v>
      </c>
    </row>
    <row r="7804" spans="3:26" x14ac:dyDescent="0.35">
      <c r="C7804" s="15" t="s">
        <v>8</v>
      </c>
      <c r="G7804" s="15" t="s">
        <v>8</v>
      </c>
      <c r="K7804" s="15" t="s">
        <v>8</v>
      </c>
      <c r="L7804" s="15" t="s">
        <v>8</v>
      </c>
      <c r="M7804" s="15" t="s">
        <v>8</v>
      </c>
      <c r="N7804" s="15" t="s">
        <v>8</v>
      </c>
      <c r="O7804" s="15" t="s">
        <v>8</v>
      </c>
      <c r="R7804" s="15" t="s">
        <v>8</v>
      </c>
      <c r="S7804" s="15" t="s">
        <v>8</v>
      </c>
      <c r="U7804" s="20" t="str">
        <f>HYPERLINK("http://yeinfo.com/family/I09066268.html", "EMMELINE CROWMER 1398 -1418  ID:09066068")</f>
        <v>EMMELINE CROWMER 1398 -1418  ID:09066068</v>
      </c>
      <c r="V7804" s="17"/>
      <c r="W7804" s="17"/>
      <c r="X7804" s="17"/>
      <c r="Y7804" s="17"/>
    </row>
    <row r="7805" spans="3:26" x14ac:dyDescent="0.35">
      <c r="C7805" s="15" t="s">
        <v>8</v>
      </c>
      <c r="G7805" s="15" t="s">
        <v>8</v>
      </c>
      <c r="K7805" s="15" t="s">
        <v>8</v>
      </c>
      <c r="L7805" s="15" t="s">
        <v>8</v>
      </c>
      <c r="M7805" s="15" t="s">
        <v>8</v>
      </c>
      <c r="N7805" s="15" t="s">
        <v>8</v>
      </c>
      <c r="O7805" s="15" t="s">
        <v>8</v>
      </c>
      <c r="R7805" s="15" t="s">
        <v>8</v>
      </c>
      <c r="S7805" s="15" t="s">
        <v>8</v>
      </c>
      <c r="V7805" s="8" t="s">
        <v>6</v>
      </c>
    </row>
    <row r="7806" spans="3:26" x14ac:dyDescent="0.35">
      <c r="C7806" s="15" t="s">
        <v>8</v>
      </c>
      <c r="G7806" s="15" t="s">
        <v>8</v>
      </c>
      <c r="K7806" s="15" t="s">
        <v>8</v>
      </c>
      <c r="L7806" s="15" t="s">
        <v>8</v>
      </c>
      <c r="M7806" s="15" t="s">
        <v>8</v>
      </c>
      <c r="N7806" s="15" t="s">
        <v>8</v>
      </c>
      <c r="O7806" s="15" t="s">
        <v>8</v>
      </c>
      <c r="R7806" s="15" t="s">
        <v>8</v>
      </c>
      <c r="S7806" s="15" t="s">
        <v>8</v>
      </c>
      <c r="V7806" s="20" t="str">
        <f>HYPERLINK("http://yeinfo.com/family/I09066269.html", "MARGARET SQUERY 1375 EN-1446 EN ID:09066270")</f>
        <v>MARGARET SQUERY 1375 EN-1446 EN ID:09066270</v>
      </c>
      <c r="W7806" s="17"/>
      <c r="X7806" s="17"/>
      <c r="Y7806" s="17"/>
      <c r="Z7806" s="17"/>
    </row>
    <row r="7807" spans="3:26" x14ac:dyDescent="0.35">
      <c r="C7807" s="15" t="s">
        <v>8</v>
      </c>
      <c r="G7807" s="15" t="s">
        <v>8</v>
      </c>
      <c r="K7807" s="15" t="s">
        <v>8</v>
      </c>
      <c r="L7807" s="15" t="s">
        <v>8</v>
      </c>
      <c r="M7807" s="15" t="s">
        <v>8</v>
      </c>
      <c r="N7807" s="15" t="s">
        <v>8</v>
      </c>
      <c r="O7807" s="15" t="s">
        <v>8</v>
      </c>
      <c r="R7807" s="8" t="s">
        <v>6</v>
      </c>
      <c r="S7807" s="15" t="s">
        <v>8</v>
      </c>
    </row>
    <row r="7808" spans="3:26" x14ac:dyDescent="0.35">
      <c r="C7808" s="15" t="s">
        <v>8</v>
      </c>
      <c r="G7808" s="15" t="s">
        <v>8</v>
      </c>
      <c r="K7808" s="15" t="s">
        <v>8</v>
      </c>
      <c r="L7808" s="15" t="s">
        <v>8</v>
      </c>
      <c r="M7808" s="15" t="s">
        <v>8</v>
      </c>
      <c r="N7808" s="15" t="s">
        <v>8</v>
      </c>
      <c r="O7808" s="15" t="s">
        <v>8</v>
      </c>
      <c r="R7808" s="20" t="str">
        <f>HYPERLINK("http://yeinfo.com/family/I09066429.html", "JULIAN RAINSFORD 1505 EN-1559 EN ID:09065628")</f>
        <v>JULIAN RAINSFORD 1505 EN-1559 EN ID:09065628</v>
      </c>
      <c r="S7808" s="17"/>
      <c r="T7808" s="17"/>
      <c r="U7808" s="17"/>
      <c r="V7808" s="17"/>
    </row>
    <row r="7809" spans="3:23" x14ac:dyDescent="0.35">
      <c r="C7809" s="15" t="s">
        <v>8</v>
      </c>
      <c r="G7809" s="15" t="s">
        <v>8</v>
      </c>
      <c r="K7809" s="15" t="s">
        <v>8</v>
      </c>
      <c r="L7809" s="15" t="s">
        <v>8</v>
      </c>
      <c r="M7809" s="15" t="s">
        <v>8</v>
      </c>
      <c r="N7809" s="15" t="s">
        <v>8</v>
      </c>
      <c r="O7809" s="15" t="s">
        <v>8</v>
      </c>
      <c r="S7809" s="8" t="s">
        <v>6</v>
      </c>
    </row>
    <row r="7810" spans="3:23" x14ac:dyDescent="0.35">
      <c r="C7810" s="15" t="s">
        <v>8</v>
      </c>
      <c r="G7810" s="15" t="s">
        <v>8</v>
      </c>
      <c r="K7810" s="15" t="s">
        <v>8</v>
      </c>
      <c r="L7810" s="15" t="s">
        <v>8</v>
      </c>
      <c r="M7810" s="15" t="s">
        <v>8</v>
      </c>
      <c r="N7810" s="15" t="s">
        <v>8</v>
      </c>
      <c r="O7810" s="15" t="s">
        <v>8</v>
      </c>
      <c r="S7810" s="20" t="str">
        <f>HYPERLINK("http://yeinfo.com/family/I09066270.html", "ALICE DANVERS 1470 EN-1505 EN ID:09065755")</f>
        <v>ALICE DANVERS 1470 EN-1505 EN ID:09065755</v>
      </c>
      <c r="T7810" s="17"/>
      <c r="U7810" s="17"/>
      <c r="V7810" s="17"/>
      <c r="W7810" s="17"/>
    </row>
    <row r="7811" spans="3:23" x14ac:dyDescent="0.35">
      <c r="C7811" s="15" t="s">
        <v>8</v>
      </c>
      <c r="G7811" s="15" t="s">
        <v>8</v>
      </c>
      <c r="K7811" s="15" t="s">
        <v>8</v>
      </c>
      <c r="L7811" s="15" t="s">
        <v>8</v>
      </c>
      <c r="M7811" s="15" t="s">
        <v>8</v>
      </c>
      <c r="N7811" s="8" t="s">
        <v>6</v>
      </c>
      <c r="O7811" s="15" t="s">
        <v>8</v>
      </c>
    </row>
    <row r="7812" spans="3:23" x14ac:dyDescent="0.35">
      <c r="C7812" s="15" t="s">
        <v>8</v>
      </c>
      <c r="G7812" s="15" t="s">
        <v>8</v>
      </c>
      <c r="K7812" s="15" t="s">
        <v>8</v>
      </c>
      <c r="L7812" s="15" t="s">
        <v>8</v>
      </c>
      <c r="M7812" s="15" t="s">
        <v>8</v>
      </c>
      <c r="N7812" s="16" t="str">
        <f>HYPERLINK("http://yeinfo.com/family/I09012041.html", "ESTHER KEMPE 1632 MA-1702 MA ID:09006021")</f>
        <v>ESTHER KEMPE 1632 MA-1702 MA ID:09006021</v>
      </c>
      <c r="O7812" s="11"/>
      <c r="P7812" s="11"/>
      <c r="Q7812" s="11"/>
      <c r="R7812" s="11"/>
    </row>
    <row r="7813" spans="3:23" x14ac:dyDescent="0.35">
      <c r="C7813" s="15" t="s">
        <v>8</v>
      </c>
      <c r="G7813" s="15" t="s">
        <v>8</v>
      </c>
      <c r="K7813" s="15" t="s">
        <v>8</v>
      </c>
      <c r="L7813" s="15" t="s">
        <v>8</v>
      </c>
      <c r="M7813" s="15" t="s">
        <v>8</v>
      </c>
      <c r="O7813" s="8" t="s">
        <v>6</v>
      </c>
    </row>
    <row r="7814" spans="3:23" x14ac:dyDescent="0.35">
      <c r="C7814" s="15" t="s">
        <v>8</v>
      </c>
      <c r="G7814" s="15" t="s">
        <v>8</v>
      </c>
      <c r="K7814" s="15" t="s">
        <v>8</v>
      </c>
      <c r="L7814" s="15" t="s">
        <v>8</v>
      </c>
      <c r="M7814" s="15" t="s">
        <v>8</v>
      </c>
      <c r="O7814" s="22" t="str">
        <f>HYPERLINK("http://yeinfo.com/family/I09065755.html", "ANNE\ESTHER BECKENHAM 1598 EN-1666 MA ID:09012043")</f>
        <v>ANNE\ESTHER BECKENHAM 1598 EN-1666 MA ID:09012043</v>
      </c>
      <c r="P7814" s="13"/>
      <c r="Q7814" s="13"/>
      <c r="R7814" s="13"/>
      <c r="S7814" s="13"/>
      <c r="T7814" s="13"/>
    </row>
    <row r="7815" spans="3:23" x14ac:dyDescent="0.35">
      <c r="C7815" s="15" t="s">
        <v>8</v>
      </c>
      <c r="G7815" s="15" t="s">
        <v>8</v>
      </c>
      <c r="K7815" s="15" t="s">
        <v>8</v>
      </c>
      <c r="L7815" s="8" t="s">
        <v>6</v>
      </c>
      <c r="M7815" s="15" t="s">
        <v>8</v>
      </c>
    </row>
    <row r="7816" spans="3:23" x14ac:dyDescent="0.35">
      <c r="C7816" s="15" t="s">
        <v>8</v>
      </c>
      <c r="G7816" s="15" t="s">
        <v>8</v>
      </c>
      <c r="K7816" s="15" t="s">
        <v>8</v>
      </c>
      <c r="L7816" s="16" t="str">
        <f>HYPERLINK("http://yeinfo.com/family/I09024079.html", "HANNAH\ANNA FOSTER 1684 MA-1749 MA ID:09001505")</f>
        <v>HANNAH\ANNA FOSTER 1684 MA-1749 MA ID:09001505</v>
      </c>
      <c r="M7816" s="11"/>
      <c r="N7816" s="11"/>
      <c r="O7816" s="11"/>
      <c r="P7816" s="11"/>
      <c r="Q7816" s="11"/>
    </row>
    <row r="7817" spans="3:23" x14ac:dyDescent="0.35">
      <c r="C7817" s="15" t="s">
        <v>8</v>
      </c>
      <c r="G7817" s="15" t="s">
        <v>8</v>
      </c>
      <c r="K7817" s="15" t="s">
        <v>8</v>
      </c>
      <c r="M7817" s="15" t="s">
        <v>8</v>
      </c>
    </row>
    <row r="7818" spans="3:23" x14ac:dyDescent="0.35">
      <c r="C7818" s="15" t="s">
        <v>8</v>
      </c>
      <c r="G7818" s="15" t="s">
        <v>8</v>
      </c>
      <c r="K7818" s="15" t="s">
        <v>8</v>
      </c>
      <c r="M7818" s="15" t="s">
        <v>8</v>
      </c>
      <c r="P7818" s="5" t="str">
        <f>HYPERLINK("http://yeinfo.com/family/I09012044.html", "JOHN KEYES 1580 EN-1602  ID:09024088")</f>
        <v>JOHN KEYES 1580 EN-1602  ID:09024088</v>
      </c>
      <c r="Q7818" s="3"/>
      <c r="R7818" s="3"/>
      <c r="S7818" s="3"/>
      <c r="T7818" s="3"/>
    </row>
    <row r="7819" spans="3:23" x14ac:dyDescent="0.35">
      <c r="C7819" s="15" t="s">
        <v>8</v>
      </c>
      <c r="G7819" s="15" t="s">
        <v>8</v>
      </c>
      <c r="K7819" s="15" t="s">
        <v>8</v>
      </c>
      <c r="M7819" s="15" t="s">
        <v>8</v>
      </c>
      <c r="P7819" s="8" t="s">
        <v>3</v>
      </c>
    </row>
    <row r="7820" spans="3:23" x14ac:dyDescent="0.35">
      <c r="C7820" s="15" t="s">
        <v>8</v>
      </c>
      <c r="G7820" s="15" t="s">
        <v>8</v>
      </c>
      <c r="K7820" s="15" t="s">
        <v>8</v>
      </c>
      <c r="M7820" s="15" t="s">
        <v>8</v>
      </c>
      <c r="O7820" s="19" t="str">
        <f>HYPERLINK("http://yeinfo.com/family/I09006022.html", "ROBERT KEYES 1602 EN-1647 EN ID:09012044")</f>
        <v>ROBERT KEYES 1602 EN-1647 EN ID:09012044</v>
      </c>
      <c r="P7820" s="9"/>
      <c r="Q7820" s="9"/>
      <c r="R7820" s="9"/>
      <c r="S7820" s="9"/>
    </row>
    <row r="7821" spans="3:23" x14ac:dyDescent="0.35">
      <c r="C7821" s="15" t="s">
        <v>8</v>
      </c>
      <c r="G7821" s="15" t="s">
        <v>8</v>
      </c>
      <c r="K7821" s="15" t="s">
        <v>8</v>
      </c>
      <c r="M7821" s="15" t="s">
        <v>8</v>
      </c>
      <c r="O7821" s="8" t="s">
        <v>3</v>
      </c>
      <c r="P7821" s="8" t="s">
        <v>6</v>
      </c>
    </row>
    <row r="7822" spans="3:23" x14ac:dyDescent="0.35">
      <c r="C7822" s="15" t="s">
        <v>8</v>
      </c>
      <c r="G7822" s="15" t="s">
        <v>8</v>
      </c>
      <c r="K7822" s="15" t="s">
        <v>8</v>
      </c>
      <c r="M7822" s="15" t="s">
        <v>8</v>
      </c>
      <c r="O7822" s="15" t="s">
        <v>8</v>
      </c>
      <c r="P7822" s="16" t="str">
        <f>HYPERLINK("http://yeinfo.com/family/I09024088.html", "SUSAN NAWES 1580 EN-1602  ID:09024089")</f>
        <v>SUSAN NAWES 1580 EN-1602  ID:09024089</v>
      </c>
      <c r="Q7822" s="11"/>
      <c r="R7822" s="11"/>
      <c r="S7822" s="11"/>
      <c r="T7822" s="11"/>
    </row>
    <row r="7823" spans="3:23" x14ac:dyDescent="0.35">
      <c r="C7823" s="15" t="s">
        <v>8</v>
      </c>
      <c r="G7823" s="15" t="s">
        <v>8</v>
      </c>
      <c r="K7823" s="15" t="s">
        <v>8</v>
      </c>
      <c r="M7823" s="15" t="s">
        <v>8</v>
      </c>
      <c r="O7823" s="15" t="s">
        <v>8</v>
      </c>
    </row>
    <row r="7824" spans="3:23" x14ac:dyDescent="0.35">
      <c r="C7824" s="15" t="s">
        <v>8</v>
      </c>
      <c r="G7824" s="15" t="s">
        <v>8</v>
      </c>
      <c r="K7824" s="15" t="s">
        <v>8</v>
      </c>
      <c r="M7824" s="15" t="s">
        <v>8</v>
      </c>
      <c r="N7824" s="21" t="str">
        <f>HYPERLINK("http://yeinfo.com/family/I09003011.html", "SOLOMON KEYES 1630 EN-1702 MA ID:09006022")</f>
        <v>SOLOMON KEYES 1630 EN-1702 MA ID:09006022</v>
      </c>
      <c r="O7824" s="6"/>
      <c r="P7824" s="6"/>
      <c r="Q7824" s="6"/>
      <c r="R7824" s="6"/>
    </row>
    <row r="7825" spans="3:25" x14ac:dyDescent="0.35">
      <c r="C7825" s="15" t="s">
        <v>8</v>
      </c>
      <c r="G7825" s="15" t="s">
        <v>8</v>
      </c>
      <c r="K7825" s="15" t="s">
        <v>8</v>
      </c>
      <c r="M7825" s="15" t="s">
        <v>8</v>
      </c>
      <c r="N7825" s="8" t="s">
        <v>3</v>
      </c>
      <c r="O7825" s="8" t="s">
        <v>6</v>
      </c>
    </row>
    <row r="7826" spans="3:25" x14ac:dyDescent="0.35">
      <c r="C7826" s="15" t="s">
        <v>8</v>
      </c>
      <c r="G7826" s="15" t="s">
        <v>8</v>
      </c>
      <c r="K7826" s="15" t="s">
        <v>8</v>
      </c>
      <c r="M7826" s="15" t="s">
        <v>8</v>
      </c>
      <c r="N7826" s="15" t="s">
        <v>8</v>
      </c>
      <c r="O7826" s="22" t="str">
        <f>HYPERLINK("http://yeinfo.com/family/I09024089.html", "SARAH ALLEN 1611 EN-1681 MA ID:09012045")</f>
        <v>SARAH ALLEN 1611 EN-1681 MA ID:09012045</v>
      </c>
      <c r="P7826" s="13"/>
      <c r="Q7826" s="13"/>
      <c r="R7826" s="13"/>
      <c r="S7826" s="13"/>
    </row>
    <row r="7827" spans="3:25" x14ac:dyDescent="0.35">
      <c r="C7827" s="15" t="s">
        <v>8</v>
      </c>
      <c r="G7827" s="15" t="s">
        <v>8</v>
      </c>
      <c r="K7827" s="15" t="s">
        <v>8</v>
      </c>
      <c r="M7827" s="8" t="s">
        <v>6</v>
      </c>
      <c r="N7827" s="15" t="s">
        <v>8</v>
      </c>
    </row>
    <row r="7828" spans="3:25" x14ac:dyDescent="0.35">
      <c r="C7828" s="15" t="s">
        <v>8</v>
      </c>
      <c r="G7828" s="15" t="s">
        <v>8</v>
      </c>
      <c r="K7828" s="15" t="s">
        <v>8</v>
      </c>
      <c r="M7828" s="16" t="str">
        <f>HYPERLINK("http://yeinfo.com/family/I09012043.html", "SARAH KEYES 1656 MA-1718 MA ID:09003011")</f>
        <v>SARAH KEYES 1656 MA-1718 MA ID:09003011</v>
      </c>
      <c r="N7828" s="11"/>
      <c r="O7828" s="11"/>
      <c r="P7828" s="11"/>
      <c r="Q7828" s="11"/>
    </row>
    <row r="7829" spans="3:25" x14ac:dyDescent="0.35">
      <c r="C7829" s="15" t="s">
        <v>8</v>
      </c>
      <c r="G7829" s="15" t="s">
        <v>8</v>
      </c>
      <c r="K7829" s="15" t="s">
        <v>8</v>
      </c>
      <c r="N7829" s="15" t="s">
        <v>8</v>
      </c>
    </row>
    <row r="7830" spans="3:25" x14ac:dyDescent="0.35">
      <c r="C7830" s="15" t="s">
        <v>8</v>
      </c>
      <c r="G7830" s="15" t="s">
        <v>8</v>
      </c>
      <c r="K7830" s="15" t="s">
        <v>8</v>
      </c>
      <c r="N7830" s="15" t="s">
        <v>8</v>
      </c>
      <c r="U7830" s="19" t="str">
        <f>HYPERLINK("http://yeinfo.com/family/I09065746.html", "ADAM GRANT &lt;2&gt; 1401 WL-1439 EN ID:09065746")</f>
        <v>ADAM GRANT &lt;2&gt; 1401 WL-1439 EN ID:09065746</v>
      </c>
      <c r="V7830" s="9"/>
      <c r="W7830" s="9"/>
      <c r="X7830" s="9"/>
      <c r="Y7830" s="9"/>
    </row>
    <row r="7831" spans="3:25" x14ac:dyDescent="0.35">
      <c r="C7831" s="15" t="s">
        <v>8</v>
      </c>
      <c r="G7831" s="15" t="s">
        <v>8</v>
      </c>
      <c r="K7831" s="15" t="s">
        <v>8</v>
      </c>
      <c r="N7831" s="15" t="s">
        <v>8</v>
      </c>
      <c r="U7831" s="8" t="s">
        <v>3</v>
      </c>
    </row>
    <row r="7832" spans="3:25" x14ac:dyDescent="0.35">
      <c r="C7832" s="15" t="s">
        <v>8</v>
      </c>
      <c r="G7832" s="15" t="s">
        <v>8</v>
      </c>
      <c r="K7832" s="15" t="s">
        <v>8</v>
      </c>
      <c r="N7832" s="15" t="s">
        <v>8</v>
      </c>
      <c r="T7832" s="19" t="str">
        <f>HYPERLINK("http://yeinfo.com/family/I09065615.html", "WILLIAM GRANT &lt;2&gt; 1439 EN-1479 EN ID:09065615")</f>
        <v>WILLIAM GRANT &lt;2&gt; 1439 EN-1479 EN ID:09065615</v>
      </c>
      <c r="U7832" s="9"/>
      <c r="V7832" s="9"/>
      <c r="W7832" s="9"/>
      <c r="X7832" s="9"/>
    </row>
    <row r="7833" spans="3:25" x14ac:dyDescent="0.35">
      <c r="C7833" s="15" t="s">
        <v>8</v>
      </c>
      <c r="G7833" s="15" t="s">
        <v>8</v>
      </c>
      <c r="K7833" s="15" t="s">
        <v>8</v>
      </c>
      <c r="N7833" s="15" t="s">
        <v>8</v>
      </c>
      <c r="T7833" s="8" t="s">
        <v>3</v>
      </c>
      <c r="U7833" s="8" t="s">
        <v>6</v>
      </c>
    </row>
    <row r="7834" spans="3:25" x14ac:dyDescent="0.35">
      <c r="C7834" s="15" t="s">
        <v>8</v>
      </c>
      <c r="G7834" s="15" t="s">
        <v>8</v>
      </c>
      <c r="K7834" s="15" t="s">
        <v>8</v>
      </c>
      <c r="N7834" s="15" t="s">
        <v>8</v>
      </c>
      <c r="T7834" s="15" t="s">
        <v>8</v>
      </c>
      <c r="U7834" s="20" t="str">
        <f>HYPERLINK("http://yeinfo.com/family/I09065747.html", "MAUD CHENOW &lt;2&gt; 1425 EN-1445 EN ID:09065747")</f>
        <v>MAUD CHENOW &lt;2&gt; 1425 EN-1445 EN ID:09065747</v>
      </c>
      <c r="V7834" s="17"/>
      <c r="W7834" s="17"/>
      <c r="X7834" s="17"/>
      <c r="Y7834" s="17"/>
    </row>
    <row r="7835" spans="3:25" x14ac:dyDescent="0.35">
      <c r="C7835" s="15" t="s">
        <v>8</v>
      </c>
      <c r="G7835" s="15" t="s">
        <v>8</v>
      </c>
      <c r="K7835" s="15" t="s">
        <v>8</v>
      </c>
      <c r="N7835" s="15" t="s">
        <v>8</v>
      </c>
      <c r="T7835" s="15" t="s">
        <v>8</v>
      </c>
    </row>
    <row r="7836" spans="3:25" x14ac:dyDescent="0.35">
      <c r="C7836" s="15" t="s">
        <v>8</v>
      </c>
      <c r="G7836" s="15" t="s">
        <v>8</v>
      </c>
      <c r="K7836" s="15" t="s">
        <v>8</v>
      </c>
      <c r="N7836" s="15" t="s">
        <v>8</v>
      </c>
      <c r="S7836" s="19" t="str">
        <f>HYPERLINK("http://yeinfo.com/family/I09048064.html", "WILLIAM GRANT &lt;2&gt; 1479 -1550  ID:09048064")</f>
        <v>WILLIAM GRANT &lt;2&gt; 1479 -1550  ID:09048064</v>
      </c>
      <c r="T7836" s="9"/>
      <c r="U7836" s="9"/>
      <c r="V7836" s="9"/>
      <c r="W7836" s="9"/>
    </row>
    <row r="7837" spans="3:25" x14ac:dyDescent="0.35">
      <c r="C7837" s="15" t="s">
        <v>8</v>
      </c>
      <c r="G7837" s="15" t="s">
        <v>8</v>
      </c>
      <c r="K7837" s="15" t="s">
        <v>8</v>
      </c>
      <c r="N7837" s="15" t="s">
        <v>8</v>
      </c>
      <c r="S7837" s="8" t="s">
        <v>3</v>
      </c>
      <c r="T7837" s="8" t="s">
        <v>6</v>
      </c>
    </row>
    <row r="7838" spans="3:25" x14ac:dyDescent="0.35">
      <c r="C7838" s="15" t="s">
        <v>8</v>
      </c>
      <c r="G7838" s="15" t="s">
        <v>8</v>
      </c>
      <c r="K7838" s="15" t="s">
        <v>8</v>
      </c>
      <c r="N7838" s="15" t="s">
        <v>8</v>
      </c>
      <c r="S7838" s="15" t="s">
        <v>8</v>
      </c>
      <c r="T7838" s="20" t="str">
        <f>HYPERLINK("http://yeinfo.com/family/I09065616.html", "JANE GRANTLAND &lt;2&gt; 1422 EN-1509 EN ID:09065616")</f>
        <v>JANE GRANTLAND &lt;2&gt; 1422 EN-1509 EN ID:09065616</v>
      </c>
      <c r="U7838" s="17"/>
      <c r="V7838" s="17"/>
      <c r="W7838" s="17"/>
      <c r="X7838" s="17"/>
    </row>
    <row r="7839" spans="3:25" x14ac:dyDescent="0.35">
      <c r="C7839" s="15" t="s">
        <v>8</v>
      </c>
      <c r="G7839" s="15" t="s">
        <v>8</v>
      </c>
      <c r="K7839" s="15" t="s">
        <v>8</v>
      </c>
      <c r="N7839" s="15" t="s">
        <v>8</v>
      </c>
      <c r="S7839" s="15" t="s">
        <v>8</v>
      </c>
    </row>
    <row r="7840" spans="3:25" x14ac:dyDescent="0.35">
      <c r="C7840" s="15" t="s">
        <v>8</v>
      </c>
      <c r="G7840" s="15" t="s">
        <v>8</v>
      </c>
      <c r="K7840" s="15" t="s">
        <v>8</v>
      </c>
      <c r="N7840" s="15" t="s">
        <v>8</v>
      </c>
      <c r="R7840" s="19" t="str">
        <f>HYPERLINK("http://yeinfo.com/family/I09024032.html", "JOHN GRANT &lt;2&gt; 1505 EN-1593 EN ID:09024032")</f>
        <v>JOHN GRANT &lt;2&gt; 1505 EN-1593 EN ID:09024032</v>
      </c>
      <c r="S7840" s="9"/>
      <c r="T7840" s="9"/>
      <c r="U7840" s="9"/>
      <c r="V7840" s="9"/>
    </row>
    <row r="7841" spans="3:25" x14ac:dyDescent="0.35">
      <c r="C7841" s="15" t="s">
        <v>8</v>
      </c>
      <c r="G7841" s="15" t="s">
        <v>8</v>
      </c>
      <c r="K7841" s="15" t="s">
        <v>8</v>
      </c>
      <c r="N7841" s="15" t="s">
        <v>8</v>
      </c>
      <c r="R7841" s="8" t="s">
        <v>3</v>
      </c>
      <c r="S7841" s="15" t="s">
        <v>8</v>
      </c>
    </row>
    <row r="7842" spans="3:25" x14ac:dyDescent="0.35">
      <c r="C7842" s="15" t="s">
        <v>8</v>
      </c>
      <c r="G7842" s="15" t="s">
        <v>8</v>
      </c>
      <c r="K7842" s="15" t="s">
        <v>8</v>
      </c>
      <c r="N7842" s="15" t="s">
        <v>8</v>
      </c>
      <c r="R7842" s="15" t="s">
        <v>8</v>
      </c>
      <c r="S7842" s="15" t="s">
        <v>8</v>
      </c>
      <c r="U7842" s="19" t="str">
        <f>HYPERLINK("http://yeinfo.com/family/I09065766.html", "WILLIAM BURTON &lt;2&gt; 1432 EN-1500  ID:09065766")</f>
        <v>WILLIAM BURTON &lt;2&gt; 1432 EN-1500  ID:09065766</v>
      </c>
      <c r="V7842" s="9"/>
      <c r="W7842" s="9"/>
      <c r="X7842" s="9"/>
      <c r="Y7842" s="9"/>
    </row>
    <row r="7843" spans="3:25" x14ac:dyDescent="0.35">
      <c r="C7843" s="15" t="s">
        <v>8</v>
      </c>
      <c r="G7843" s="15" t="s">
        <v>8</v>
      </c>
      <c r="K7843" s="15" t="s">
        <v>8</v>
      </c>
      <c r="N7843" s="15" t="s">
        <v>8</v>
      </c>
      <c r="R7843" s="15" t="s">
        <v>8</v>
      </c>
      <c r="S7843" s="15" t="s">
        <v>8</v>
      </c>
      <c r="U7843" s="8" t="s">
        <v>3</v>
      </c>
    </row>
    <row r="7844" spans="3:25" x14ac:dyDescent="0.35">
      <c r="C7844" s="15" t="s">
        <v>8</v>
      </c>
      <c r="G7844" s="15" t="s">
        <v>8</v>
      </c>
      <c r="K7844" s="15" t="s">
        <v>8</v>
      </c>
      <c r="N7844" s="15" t="s">
        <v>8</v>
      </c>
      <c r="R7844" s="15" t="s">
        <v>8</v>
      </c>
      <c r="S7844" s="15" t="s">
        <v>8</v>
      </c>
      <c r="T7844" s="19" t="str">
        <f>HYPERLINK("http://yeinfo.com/family/I09065617.html", "WILLIAM BURTON &lt;2&gt; 1456 EN-1483 EN ID:09065617")</f>
        <v>WILLIAM BURTON &lt;2&gt; 1456 EN-1483 EN ID:09065617</v>
      </c>
      <c r="U7844" s="9"/>
      <c r="V7844" s="9"/>
      <c r="W7844" s="9"/>
      <c r="X7844" s="9"/>
    </row>
    <row r="7845" spans="3:25" x14ac:dyDescent="0.35">
      <c r="C7845" s="15" t="s">
        <v>8</v>
      </c>
      <c r="G7845" s="15" t="s">
        <v>8</v>
      </c>
      <c r="K7845" s="15" t="s">
        <v>8</v>
      </c>
      <c r="N7845" s="15" t="s">
        <v>8</v>
      </c>
      <c r="R7845" s="15" t="s">
        <v>8</v>
      </c>
      <c r="S7845" s="15" t="s">
        <v>8</v>
      </c>
      <c r="T7845" s="8" t="s">
        <v>3</v>
      </c>
      <c r="U7845" s="8" t="s">
        <v>6</v>
      </c>
    </row>
    <row r="7846" spans="3:25" x14ac:dyDescent="0.35">
      <c r="C7846" s="15" t="s">
        <v>8</v>
      </c>
      <c r="G7846" s="15" t="s">
        <v>8</v>
      </c>
      <c r="K7846" s="15" t="s">
        <v>8</v>
      </c>
      <c r="N7846" s="15" t="s">
        <v>8</v>
      </c>
      <c r="R7846" s="15" t="s">
        <v>8</v>
      </c>
      <c r="S7846" s="15" t="s">
        <v>8</v>
      </c>
      <c r="T7846" s="15" t="s">
        <v>8</v>
      </c>
      <c r="U7846" s="20" t="str">
        <f>HYPERLINK("http://yeinfo.com/family/I09065681.html", "Mrs. {_?_} BURTON &lt;2&gt; 1435 EN-1456  ID:09065681")</f>
        <v>Mrs. {_?_} BURTON &lt;2&gt; 1435 EN-1456  ID:09065681</v>
      </c>
      <c r="V7846" s="17"/>
      <c r="W7846" s="17"/>
      <c r="X7846" s="17"/>
      <c r="Y7846" s="17"/>
    </row>
    <row r="7847" spans="3:25" x14ac:dyDescent="0.35">
      <c r="C7847" s="15" t="s">
        <v>8</v>
      </c>
      <c r="G7847" s="15" t="s">
        <v>8</v>
      </c>
      <c r="K7847" s="15" t="s">
        <v>8</v>
      </c>
      <c r="N7847" s="15" t="s">
        <v>8</v>
      </c>
      <c r="R7847" s="15" t="s">
        <v>8</v>
      </c>
      <c r="S7847" s="8" t="s">
        <v>6</v>
      </c>
      <c r="T7847" s="15" t="s">
        <v>8</v>
      </c>
    </row>
    <row r="7848" spans="3:25" x14ac:dyDescent="0.35">
      <c r="C7848" s="15" t="s">
        <v>8</v>
      </c>
      <c r="G7848" s="15" t="s">
        <v>8</v>
      </c>
      <c r="K7848" s="15" t="s">
        <v>8</v>
      </c>
      <c r="N7848" s="15" t="s">
        <v>8</v>
      </c>
      <c r="R7848" s="15" t="s">
        <v>8</v>
      </c>
      <c r="S7848" s="20" t="str">
        <f>HYPERLINK("http://yeinfo.com/family/I09048065.html", "JANE BURTON &lt;2&gt; 1483 -1507  ID:09048065")</f>
        <v>JANE BURTON &lt;2&gt; 1483 -1507  ID:09048065</v>
      </c>
      <c r="T7848" s="17"/>
      <c r="U7848" s="17"/>
      <c r="V7848" s="17"/>
      <c r="W7848" s="17"/>
    </row>
    <row r="7849" spans="3:25" x14ac:dyDescent="0.35">
      <c r="C7849" s="15" t="s">
        <v>8</v>
      </c>
      <c r="G7849" s="15" t="s">
        <v>8</v>
      </c>
      <c r="K7849" s="15" t="s">
        <v>8</v>
      </c>
      <c r="N7849" s="15" t="s">
        <v>8</v>
      </c>
      <c r="R7849" s="15" t="s">
        <v>8</v>
      </c>
      <c r="T7849" s="8" t="s">
        <v>6</v>
      </c>
    </row>
    <row r="7850" spans="3:25" x14ac:dyDescent="0.35">
      <c r="C7850" s="15" t="s">
        <v>8</v>
      </c>
      <c r="G7850" s="15" t="s">
        <v>8</v>
      </c>
      <c r="K7850" s="15" t="s">
        <v>8</v>
      </c>
      <c r="N7850" s="15" t="s">
        <v>8</v>
      </c>
      <c r="R7850" s="15" t="s">
        <v>8</v>
      </c>
      <c r="T7850" s="20" t="str">
        <f>HYPERLINK("http://yeinfo.com/family/I09065618.html", "Mrs. {_?_} BURTON &lt;2&gt; 1479 -1510  ID:09065618")</f>
        <v>Mrs. {_?_} BURTON &lt;2&gt; 1479 -1510  ID:09065618</v>
      </c>
      <c r="U7850" s="17"/>
      <c r="V7850" s="17"/>
      <c r="W7850" s="17"/>
      <c r="X7850" s="17"/>
    </row>
    <row r="7851" spans="3:25" x14ac:dyDescent="0.35">
      <c r="C7851" s="15" t="s">
        <v>8</v>
      </c>
      <c r="G7851" s="15" t="s">
        <v>8</v>
      </c>
      <c r="K7851" s="15" t="s">
        <v>8</v>
      </c>
      <c r="N7851" s="15" t="s">
        <v>8</v>
      </c>
      <c r="R7851" s="15" t="s">
        <v>8</v>
      </c>
    </row>
    <row r="7852" spans="3:25" x14ac:dyDescent="0.35">
      <c r="C7852" s="15" t="s">
        <v>8</v>
      </c>
      <c r="G7852" s="15" t="s">
        <v>8</v>
      </c>
      <c r="K7852" s="15" t="s">
        <v>8</v>
      </c>
      <c r="N7852" s="15" t="s">
        <v>8</v>
      </c>
      <c r="Q7852" s="19" t="str">
        <f>HYPERLINK("http://yeinfo.com/family/I09012016.html", "GEORGE GRANT &lt;2&gt; 1542 EN-1596 EN ID:09012016")</f>
        <v>GEORGE GRANT &lt;2&gt; 1542 EN-1596 EN ID:09012016</v>
      </c>
      <c r="R7852" s="9"/>
      <c r="S7852" s="9"/>
      <c r="T7852" s="9"/>
      <c r="U7852" s="9"/>
    </row>
    <row r="7853" spans="3:25" x14ac:dyDescent="0.35">
      <c r="C7853" s="15" t="s">
        <v>8</v>
      </c>
      <c r="G7853" s="15" t="s">
        <v>8</v>
      </c>
      <c r="K7853" s="15" t="s">
        <v>8</v>
      </c>
      <c r="N7853" s="15" t="s">
        <v>8</v>
      </c>
      <c r="Q7853" s="8" t="s">
        <v>3</v>
      </c>
      <c r="R7853" s="15" t="s">
        <v>8</v>
      </c>
    </row>
    <row r="7854" spans="3:25" x14ac:dyDescent="0.35">
      <c r="C7854" s="15" t="s">
        <v>8</v>
      </c>
      <c r="G7854" s="15" t="s">
        <v>8</v>
      </c>
      <c r="K7854" s="15" t="s">
        <v>8</v>
      </c>
      <c r="N7854" s="15" t="s">
        <v>8</v>
      </c>
      <c r="Q7854" s="15" t="s">
        <v>8</v>
      </c>
      <c r="R7854" s="15" t="s">
        <v>8</v>
      </c>
      <c r="T7854" s="19" t="str">
        <f>HYPERLINK("http://yeinfo.com/family/I09065619.html", "NICHOLAS BELFORD &lt;2&gt; 1420 EN-1450 EN ID:09065619")</f>
        <v>NICHOLAS BELFORD &lt;2&gt; 1420 EN-1450 EN ID:09065619</v>
      </c>
      <c r="U7854" s="9"/>
      <c r="V7854" s="9"/>
      <c r="W7854" s="9"/>
      <c r="X7854" s="9"/>
    </row>
    <row r="7855" spans="3:25" x14ac:dyDescent="0.35">
      <c r="C7855" s="15" t="s">
        <v>8</v>
      </c>
      <c r="G7855" s="15" t="s">
        <v>8</v>
      </c>
      <c r="K7855" s="15" t="s">
        <v>8</v>
      </c>
      <c r="N7855" s="15" t="s">
        <v>8</v>
      </c>
      <c r="Q7855" s="15" t="s">
        <v>8</v>
      </c>
      <c r="R7855" s="15" t="s">
        <v>8</v>
      </c>
      <c r="T7855" s="8" t="s">
        <v>3</v>
      </c>
    </row>
    <row r="7856" spans="3:25" x14ac:dyDescent="0.35">
      <c r="C7856" s="15" t="s">
        <v>8</v>
      </c>
      <c r="G7856" s="15" t="s">
        <v>8</v>
      </c>
      <c r="K7856" s="15" t="s">
        <v>8</v>
      </c>
      <c r="N7856" s="15" t="s">
        <v>8</v>
      </c>
      <c r="Q7856" s="15" t="s">
        <v>8</v>
      </c>
      <c r="R7856" s="15" t="s">
        <v>8</v>
      </c>
      <c r="S7856" s="19" t="str">
        <f>HYPERLINK("http://yeinfo.com/family/I09048066.html", "EDWARD BELFORD &lt;2&gt; 1450 EN-1509 EN ID:09048066")</f>
        <v>EDWARD BELFORD &lt;2&gt; 1450 EN-1509 EN ID:09048066</v>
      </c>
      <c r="T7856" s="9"/>
      <c r="U7856" s="9"/>
      <c r="V7856" s="9"/>
      <c r="W7856" s="9"/>
    </row>
    <row r="7857" spans="3:24" x14ac:dyDescent="0.35">
      <c r="C7857" s="15" t="s">
        <v>8</v>
      </c>
      <c r="G7857" s="15" t="s">
        <v>8</v>
      </c>
      <c r="K7857" s="15" t="s">
        <v>8</v>
      </c>
      <c r="N7857" s="15" t="s">
        <v>8</v>
      </c>
      <c r="Q7857" s="15" t="s">
        <v>8</v>
      </c>
      <c r="R7857" s="15" t="s">
        <v>8</v>
      </c>
      <c r="S7857" s="8" t="s">
        <v>3</v>
      </c>
      <c r="T7857" s="8" t="s">
        <v>6</v>
      </c>
    </row>
    <row r="7858" spans="3:24" x14ac:dyDescent="0.35">
      <c r="C7858" s="15" t="s">
        <v>8</v>
      </c>
      <c r="G7858" s="15" t="s">
        <v>8</v>
      </c>
      <c r="K7858" s="15" t="s">
        <v>8</v>
      </c>
      <c r="N7858" s="15" t="s">
        <v>8</v>
      </c>
      <c r="Q7858" s="15" t="s">
        <v>8</v>
      </c>
      <c r="R7858" s="15" t="s">
        <v>8</v>
      </c>
      <c r="S7858" s="15" t="s">
        <v>8</v>
      </c>
      <c r="T7858" s="20" t="str">
        <f>HYPERLINK("http://yeinfo.com/family/I09065620.html", "MARJORY CHOKE &lt;2&gt; 1420 EN-1450 EN ID:09065620")</f>
        <v>MARJORY CHOKE &lt;2&gt; 1420 EN-1450 EN ID:09065620</v>
      </c>
      <c r="U7858" s="17"/>
      <c r="V7858" s="17"/>
      <c r="W7858" s="17"/>
      <c r="X7858" s="17"/>
    </row>
    <row r="7859" spans="3:24" x14ac:dyDescent="0.35">
      <c r="C7859" s="15" t="s">
        <v>8</v>
      </c>
      <c r="G7859" s="15" t="s">
        <v>8</v>
      </c>
      <c r="K7859" s="15" t="s">
        <v>8</v>
      </c>
      <c r="N7859" s="15" t="s">
        <v>8</v>
      </c>
      <c r="Q7859" s="15" t="s">
        <v>8</v>
      </c>
      <c r="R7859" s="8" t="s">
        <v>6</v>
      </c>
      <c r="S7859" s="15" t="s">
        <v>8</v>
      </c>
    </row>
    <row r="7860" spans="3:24" x14ac:dyDescent="0.35">
      <c r="C7860" s="15" t="s">
        <v>8</v>
      </c>
      <c r="G7860" s="15" t="s">
        <v>8</v>
      </c>
      <c r="K7860" s="15" t="s">
        <v>8</v>
      </c>
      <c r="N7860" s="15" t="s">
        <v>8</v>
      </c>
      <c r="Q7860" s="15" t="s">
        <v>8</v>
      </c>
      <c r="R7860" s="20" t="str">
        <f>HYPERLINK("http://yeinfo.com/family/I09024033.html", "JANE BELFORD &lt;2&gt; 1509 EN-1593 EN ID:09024033")</f>
        <v>JANE BELFORD &lt;2&gt; 1509 EN-1593 EN ID:09024033</v>
      </c>
      <c r="S7860" s="17"/>
      <c r="T7860" s="17"/>
      <c r="U7860" s="17"/>
      <c r="V7860" s="17"/>
    </row>
    <row r="7861" spans="3:24" x14ac:dyDescent="0.35">
      <c r="C7861" s="15" t="s">
        <v>8</v>
      </c>
      <c r="G7861" s="15" t="s">
        <v>8</v>
      </c>
      <c r="K7861" s="15" t="s">
        <v>8</v>
      </c>
      <c r="N7861" s="15" t="s">
        <v>8</v>
      </c>
      <c r="Q7861" s="15" t="s">
        <v>8</v>
      </c>
      <c r="S7861" s="8" t="s">
        <v>6</v>
      </c>
    </row>
    <row r="7862" spans="3:24" x14ac:dyDescent="0.35">
      <c r="C7862" s="15" t="s">
        <v>8</v>
      </c>
      <c r="G7862" s="15" t="s">
        <v>8</v>
      </c>
      <c r="K7862" s="15" t="s">
        <v>8</v>
      </c>
      <c r="N7862" s="15" t="s">
        <v>8</v>
      </c>
      <c r="Q7862" s="15" t="s">
        <v>8</v>
      </c>
      <c r="S7862" s="20" t="str">
        <f>HYPERLINK("http://yeinfo.com/family/I09048067.html", "SARAH CECILY BRANTINGHAM &lt;2&gt; 1470 EN-1509 EN ID:09048067")</f>
        <v>SARAH CECILY BRANTINGHAM &lt;2&gt; 1470 EN-1509 EN ID:09048067</v>
      </c>
      <c r="T7862" s="17"/>
      <c r="U7862" s="17"/>
      <c r="V7862" s="17"/>
      <c r="W7862" s="17"/>
    </row>
    <row r="7863" spans="3:24" x14ac:dyDescent="0.35">
      <c r="C7863" s="15" t="s">
        <v>8</v>
      </c>
      <c r="G7863" s="15" t="s">
        <v>8</v>
      </c>
      <c r="K7863" s="15" t="s">
        <v>8</v>
      </c>
      <c r="N7863" s="15" t="s">
        <v>8</v>
      </c>
      <c r="Q7863" s="15" t="s">
        <v>8</v>
      </c>
    </row>
    <row r="7864" spans="3:24" x14ac:dyDescent="0.35">
      <c r="C7864" s="15" t="s">
        <v>8</v>
      </c>
      <c r="G7864" s="15" t="s">
        <v>8</v>
      </c>
      <c r="K7864" s="15" t="s">
        <v>8</v>
      </c>
      <c r="N7864" s="15" t="s">
        <v>8</v>
      </c>
      <c r="P7864" s="5" t="str">
        <f>HYPERLINK("http://yeinfo.com/family/I09006008.html", "JOHN GRANT &lt;2&gt; 1573 EN-1640  ID:09006008")</f>
        <v>JOHN GRANT &lt;2&gt; 1573 EN-1640  ID:09006008</v>
      </c>
      <c r="Q7864" s="3"/>
      <c r="R7864" s="3"/>
      <c r="S7864" s="3"/>
      <c r="T7864" s="3"/>
    </row>
    <row r="7865" spans="3:24" x14ac:dyDescent="0.35">
      <c r="C7865" s="15" t="s">
        <v>8</v>
      </c>
      <c r="G7865" s="15" t="s">
        <v>8</v>
      </c>
      <c r="K7865" s="15" t="s">
        <v>8</v>
      </c>
      <c r="N7865" s="15" t="s">
        <v>8</v>
      </c>
      <c r="P7865" s="8" t="s">
        <v>3</v>
      </c>
      <c r="Q7865" s="15" t="s">
        <v>8</v>
      </c>
    </row>
    <row r="7866" spans="3:24" x14ac:dyDescent="0.35">
      <c r="C7866" s="15" t="s">
        <v>8</v>
      </c>
      <c r="G7866" s="15" t="s">
        <v>8</v>
      </c>
      <c r="K7866" s="15" t="s">
        <v>8</v>
      </c>
      <c r="N7866" s="15" t="s">
        <v>8</v>
      </c>
      <c r="P7866" s="15" t="s">
        <v>8</v>
      </c>
      <c r="Q7866" s="15" t="s">
        <v>8</v>
      </c>
      <c r="R7866" s="19" t="str">
        <f>HYPERLINK("http://yeinfo.com/family/I09024034.html", "MARMANDUKE\MARMADUKE CLARGENNET &lt;2&gt; 1503 EN-1538  ID:09024034")</f>
        <v>MARMANDUKE\MARMADUKE CLARGENNET &lt;2&gt; 1503 EN-1538  ID:09024034</v>
      </c>
      <c r="S7866" s="9"/>
      <c r="T7866" s="9"/>
      <c r="U7866" s="9"/>
      <c r="V7866" s="9"/>
      <c r="W7866" s="9"/>
    </row>
    <row r="7867" spans="3:24" x14ac:dyDescent="0.35">
      <c r="C7867" s="15" t="s">
        <v>8</v>
      </c>
      <c r="G7867" s="15" t="s">
        <v>8</v>
      </c>
      <c r="K7867" s="15" t="s">
        <v>8</v>
      </c>
      <c r="N7867" s="15" t="s">
        <v>8</v>
      </c>
      <c r="P7867" s="15" t="s">
        <v>8</v>
      </c>
      <c r="Q7867" s="8" t="s">
        <v>6</v>
      </c>
      <c r="R7867" s="8" t="s">
        <v>3</v>
      </c>
    </row>
    <row r="7868" spans="3:24" x14ac:dyDescent="0.35">
      <c r="C7868" s="15" t="s">
        <v>8</v>
      </c>
      <c r="G7868" s="15" t="s">
        <v>8</v>
      </c>
      <c r="K7868" s="15" t="s">
        <v>8</v>
      </c>
      <c r="N7868" s="15" t="s">
        <v>8</v>
      </c>
      <c r="P7868" s="15" t="s">
        <v>8</v>
      </c>
      <c r="Q7868" s="20" t="str">
        <f>HYPERLINK("http://yeinfo.com/family/I09012017.html", "JULIAN CLARGENNET &lt;2&gt; 1538 EN-1577 EN ID:09012017")</f>
        <v>JULIAN CLARGENNET &lt;2&gt; 1538 EN-1577 EN ID:09012017</v>
      </c>
      <c r="R7868" s="17"/>
      <c r="S7868" s="17"/>
      <c r="T7868" s="17"/>
      <c r="U7868" s="17"/>
    </row>
    <row r="7869" spans="3:24" x14ac:dyDescent="0.35">
      <c r="C7869" s="15" t="s">
        <v>8</v>
      </c>
      <c r="G7869" s="15" t="s">
        <v>8</v>
      </c>
      <c r="K7869" s="15" t="s">
        <v>8</v>
      </c>
      <c r="N7869" s="15" t="s">
        <v>8</v>
      </c>
      <c r="P7869" s="15" t="s">
        <v>8</v>
      </c>
      <c r="R7869" s="8" t="s">
        <v>6</v>
      </c>
    </row>
    <row r="7870" spans="3:24" x14ac:dyDescent="0.35">
      <c r="C7870" s="15" t="s">
        <v>8</v>
      </c>
      <c r="G7870" s="15" t="s">
        <v>8</v>
      </c>
      <c r="K7870" s="15" t="s">
        <v>8</v>
      </c>
      <c r="N7870" s="15" t="s">
        <v>8</v>
      </c>
      <c r="P7870" s="15" t="s">
        <v>8</v>
      </c>
      <c r="R7870" s="20" t="str">
        <f>HYPERLINK("http://yeinfo.com/family/I09024035.html", "Mrs. {_?_} CLARGENNET &lt;2&gt; 1505 EN-1538 EN ID:09024035")</f>
        <v>Mrs. {_?_} CLARGENNET &lt;2&gt; 1505 EN-1538 EN ID:09024035</v>
      </c>
      <c r="S7870" s="17"/>
      <c r="T7870" s="17"/>
      <c r="U7870" s="17"/>
      <c r="V7870" s="17"/>
    </row>
    <row r="7871" spans="3:24" x14ac:dyDescent="0.35">
      <c r="C7871" s="15" t="s">
        <v>8</v>
      </c>
      <c r="G7871" s="15" t="s">
        <v>8</v>
      </c>
      <c r="K7871" s="15" t="s">
        <v>8</v>
      </c>
      <c r="N7871" s="15" t="s">
        <v>8</v>
      </c>
      <c r="P7871" s="15" t="s">
        <v>8</v>
      </c>
    </row>
    <row r="7872" spans="3:24" x14ac:dyDescent="0.35">
      <c r="C7872" s="15" t="s">
        <v>8</v>
      </c>
      <c r="G7872" s="15" t="s">
        <v>8</v>
      </c>
      <c r="K7872" s="15" t="s">
        <v>8</v>
      </c>
      <c r="N7872" s="15" t="s">
        <v>8</v>
      </c>
      <c r="O7872" s="21" t="str">
        <f>HYPERLINK("http://yeinfo.com/family/I09006023.html", "THOMAS GRANT 1600 EN-1643 MA ID:09012046")</f>
        <v>THOMAS GRANT 1600 EN-1643 MA ID:09012046</v>
      </c>
      <c r="P7872" s="6"/>
      <c r="Q7872" s="6"/>
      <c r="R7872" s="6"/>
      <c r="S7872" s="6"/>
    </row>
    <row r="7873" spans="3:21" x14ac:dyDescent="0.35">
      <c r="C7873" s="15" t="s">
        <v>8</v>
      </c>
      <c r="G7873" s="15" t="s">
        <v>8</v>
      </c>
      <c r="K7873" s="15" t="s">
        <v>8</v>
      </c>
      <c r="N7873" s="15" t="s">
        <v>8</v>
      </c>
      <c r="O7873" s="8" t="s">
        <v>3</v>
      </c>
      <c r="P7873" s="8" t="s">
        <v>6</v>
      </c>
    </row>
    <row r="7874" spans="3:21" x14ac:dyDescent="0.35">
      <c r="C7874" s="15" t="s">
        <v>8</v>
      </c>
      <c r="G7874" s="15" t="s">
        <v>8</v>
      </c>
      <c r="K7874" s="15" t="s">
        <v>8</v>
      </c>
      <c r="N7874" s="15" t="s">
        <v>8</v>
      </c>
      <c r="O7874" s="15" t="s">
        <v>8</v>
      </c>
      <c r="P7874" s="20" t="str">
        <f>HYPERLINK("http://yeinfo.com/family/I09012046.html", "JANE WATSON 1567 EN-1606 EN ID:09024093")</f>
        <v>JANE WATSON 1567 EN-1606 EN ID:09024093</v>
      </c>
      <c r="Q7874" s="17"/>
      <c r="R7874" s="17"/>
      <c r="S7874" s="17"/>
      <c r="T7874" s="17"/>
    </row>
    <row r="7875" spans="3:21" x14ac:dyDescent="0.35">
      <c r="C7875" s="15" t="s">
        <v>8</v>
      </c>
      <c r="G7875" s="15" t="s">
        <v>8</v>
      </c>
      <c r="K7875" s="15" t="s">
        <v>8</v>
      </c>
      <c r="N7875" s="8" t="s">
        <v>6</v>
      </c>
      <c r="O7875" s="15" t="s">
        <v>8</v>
      </c>
    </row>
    <row r="7876" spans="3:21" x14ac:dyDescent="0.35">
      <c r="C7876" s="15" t="s">
        <v>8</v>
      </c>
      <c r="G7876" s="15" t="s">
        <v>8</v>
      </c>
      <c r="K7876" s="15" t="s">
        <v>8</v>
      </c>
      <c r="N7876" s="16" t="str">
        <f>HYPERLINK("http://yeinfo.com/family/I09012045.html", "FRANCES\SARAH GRANT 1634 EN-1708  ID:09006023")</f>
        <v>FRANCES\SARAH GRANT 1634 EN-1708  ID:09006023</v>
      </c>
      <c r="O7876" s="11"/>
      <c r="P7876" s="11"/>
      <c r="Q7876" s="11"/>
      <c r="R7876" s="11"/>
      <c r="S7876" s="11"/>
    </row>
    <row r="7877" spans="3:21" x14ac:dyDescent="0.35">
      <c r="C7877" s="15" t="s">
        <v>8</v>
      </c>
      <c r="G7877" s="15" t="s">
        <v>8</v>
      </c>
      <c r="K7877" s="15" t="s">
        <v>8</v>
      </c>
      <c r="O7877" s="15" t="s">
        <v>8</v>
      </c>
    </row>
    <row r="7878" spans="3:21" x14ac:dyDescent="0.35">
      <c r="C7878" s="15" t="s">
        <v>8</v>
      </c>
      <c r="G7878" s="15" t="s">
        <v>8</v>
      </c>
      <c r="K7878" s="15" t="s">
        <v>8</v>
      </c>
      <c r="O7878" s="15" t="s">
        <v>8</v>
      </c>
      <c r="Q7878" s="19" t="str">
        <f>HYPERLINK("http://yeinfo.com/family/I09024094.html", "JOHN HABURNE 1518 EN-1579 EN ID:09048188")</f>
        <v>JOHN HABURNE 1518 EN-1579 EN ID:09048188</v>
      </c>
      <c r="R7878" s="9"/>
      <c r="S7878" s="9"/>
      <c r="T7878" s="9"/>
      <c r="U7878" s="9"/>
    </row>
    <row r="7879" spans="3:21" x14ac:dyDescent="0.35">
      <c r="C7879" s="15" t="s">
        <v>8</v>
      </c>
      <c r="G7879" s="15" t="s">
        <v>8</v>
      </c>
      <c r="K7879" s="15" t="s">
        <v>8</v>
      </c>
      <c r="O7879" s="15" t="s">
        <v>8</v>
      </c>
      <c r="Q7879" s="8" t="s">
        <v>3</v>
      </c>
    </row>
    <row r="7880" spans="3:21" x14ac:dyDescent="0.35">
      <c r="C7880" s="15" t="s">
        <v>8</v>
      </c>
      <c r="G7880" s="15" t="s">
        <v>8</v>
      </c>
      <c r="K7880" s="15" t="s">
        <v>8</v>
      </c>
      <c r="O7880" s="15" t="s">
        <v>8</v>
      </c>
      <c r="P7880" s="19" t="str">
        <f>HYPERLINK("http://yeinfo.com/family/I09012047.html", "RALPH HABURNE 1567 EN-1630 EN ID:09024094")</f>
        <v>RALPH HABURNE 1567 EN-1630 EN ID:09024094</v>
      </c>
      <c r="Q7880" s="9"/>
      <c r="R7880" s="9"/>
      <c r="S7880" s="9"/>
      <c r="T7880" s="9"/>
    </row>
    <row r="7881" spans="3:21" x14ac:dyDescent="0.35">
      <c r="C7881" s="15" t="s">
        <v>8</v>
      </c>
      <c r="G7881" s="15" t="s">
        <v>8</v>
      </c>
      <c r="K7881" s="15" t="s">
        <v>8</v>
      </c>
      <c r="O7881" s="15" t="s">
        <v>8</v>
      </c>
      <c r="P7881" s="8" t="s">
        <v>3</v>
      </c>
      <c r="Q7881" s="8" t="s">
        <v>6</v>
      </c>
    </row>
    <row r="7882" spans="3:21" x14ac:dyDescent="0.35">
      <c r="C7882" s="15" t="s">
        <v>8</v>
      </c>
      <c r="G7882" s="15" t="s">
        <v>8</v>
      </c>
      <c r="K7882" s="15" t="s">
        <v>8</v>
      </c>
      <c r="O7882" s="15" t="s">
        <v>8</v>
      </c>
      <c r="P7882" s="15" t="s">
        <v>8</v>
      </c>
      <c r="Q7882" s="20" t="str">
        <f>HYPERLINK("http://yeinfo.com/family/I09048188.html", "Mrs. ANNA HABURNE 1525 EN-1623 EN ID:09048189")</f>
        <v>Mrs. ANNA HABURNE 1525 EN-1623 EN ID:09048189</v>
      </c>
      <c r="R7882" s="17"/>
      <c r="S7882" s="17"/>
      <c r="T7882" s="17"/>
      <c r="U7882" s="17"/>
    </row>
    <row r="7883" spans="3:21" x14ac:dyDescent="0.35">
      <c r="C7883" s="15" t="s">
        <v>8</v>
      </c>
      <c r="G7883" s="15" t="s">
        <v>8</v>
      </c>
      <c r="K7883" s="15" t="s">
        <v>8</v>
      </c>
      <c r="O7883" s="8" t="s">
        <v>6</v>
      </c>
      <c r="P7883" s="15" t="s">
        <v>8</v>
      </c>
    </row>
    <row r="7884" spans="3:21" x14ac:dyDescent="0.35">
      <c r="C7884" s="15" t="s">
        <v>8</v>
      </c>
      <c r="G7884" s="15" t="s">
        <v>8</v>
      </c>
      <c r="K7884" s="15" t="s">
        <v>8</v>
      </c>
      <c r="O7884" s="22" t="str">
        <f>HYPERLINK("http://yeinfo.com/family/I09024093.html", "JANE\HANNAH HABURNE 1602 EN-1696 MA ID:09012047")</f>
        <v>JANE\HANNAH HABURNE 1602 EN-1696 MA ID:09012047</v>
      </c>
      <c r="P7884" s="13"/>
      <c r="Q7884" s="13"/>
      <c r="R7884" s="13"/>
      <c r="S7884" s="13"/>
      <c r="T7884" s="13"/>
    </row>
    <row r="7885" spans="3:21" x14ac:dyDescent="0.35">
      <c r="C7885" s="15" t="s">
        <v>8</v>
      </c>
      <c r="G7885" s="15" t="s">
        <v>8</v>
      </c>
      <c r="K7885" s="15" t="s">
        <v>8</v>
      </c>
      <c r="P7885" s="8" t="s">
        <v>6</v>
      </c>
    </row>
    <row r="7886" spans="3:21" x14ac:dyDescent="0.35">
      <c r="C7886" s="15" t="s">
        <v>8</v>
      </c>
      <c r="G7886" s="15" t="s">
        <v>8</v>
      </c>
      <c r="K7886" s="15" t="s">
        <v>8</v>
      </c>
      <c r="P7886" s="20" t="str">
        <f>HYPERLINK("http://yeinfo.com/family/I09048189.html", "MAUD\MAGDALENA MATILDA JECKLES 1571 EN-1623 EN ID:09024095")</f>
        <v>MAUD\MAGDALENA MATILDA JECKLES 1571 EN-1623 EN ID:09024095</v>
      </c>
      <c r="Q7886" s="17"/>
      <c r="R7886" s="17"/>
      <c r="S7886" s="17"/>
      <c r="T7886" s="17"/>
      <c r="U7886" s="17"/>
    </row>
    <row r="7887" spans="3:21" x14ac:dyDescent="0.35">
      <c r="C7887" s="15" t="s">
        <v>8</v>
      </c>
      <c r="G7887" s="15" t="s">
        <v>8</v>
      </c>
      <c r="K7887" s="15" t="s">
        <v>8</v>
      </c>
    </row>
    <row r="7888" spans="3:21" x14ac:dyDescent="0.35">
      <c r="C7888" s="15" t="s">
        <v>8</v>
      </c>
      <c r="G7888" s="15" t="s">
        <v>8</v>
      </c>
      <c r="J7888" s="5" t="str">
        <f>HYPERLINK("http://yeinfo.com/family/I09000188.html", "ISAAC BARRETT 1744 MA-1830 VT ID:09000376")</f>
        <v>ISAAC BARRETT 1744 MA-1830 VT ID:09000376</v>
      </c>
      <c r="K7888" s="3"/>
      <c r="L7888" s="3"/>
      <c r="M7888" s="3"/>
      <c r="N7888" s="3"/>
    </row>
    <row r="7889" spans="3:21" x14ac:dyDescent="0.35">
      <c r="C7889" s="15" t="s">
        <v>8</v>
      </c>
      <c r="G7889" s="15" t="s">
        <v>8</v>
      </c>
      <c r="J7889" s="8" t="s">
        <v>3</v>
      </c>
      <c r="K7889" s="15" t="s">
        <v>8</v>
      </c>
    </row>
    <row r="7890" spans="3:21" x14ac:dyDescent="0.35">
      <c r="C7890" s="15" t="s">
        <v>8</v>
      </c>
      <c r="G7890" s="15" t="s">
        <v>8</v>
      </c>
      <c r="J7890" s="15" t="s">
        <v>8</v>
      </c>
      <c r="K7890" s="15" t="s">
        <v>8</v>
      </c>
      <c r="N7890" s="21" t="str">
        <f>HYPERLINK("http://yeinfo.com/family/I09003012.html", "RICHARD NEWTON &lt;2&gt; 1601 EN-1701 MA ID:09006024")</f>
        <v>RICHARD NEWTON &lt;2&gt; 1601 EN-1701 MA ID:09006024</v>
      </c>
      <c r="O7890" s="6"/>
      <c r="P7890" s="6"/>
      <c r="Q7890" s="6"/>
      <c r="R7890" s="6"/>
    </row>
    <row r="7891" spans="3:21" x14ac:dyDescent="0.35">
      <c r="C7891" s="15" t="s">
        <v>8</v>
      </c>
      <c r="G7891" s="15" t="s">
        <v>8</v>
      </c>
      <c r="J7891" s="15" t="s">
        <v>8</v>
      </c>
      <c r="K7891" s="15" t="s">
        <v>8</v>
      </c>
      <c r="N7891" s="8" t="s">
        <v>3</v>
      </c>
    </row>
    <row r="7892" spans="3:21" x14ac:dyDescent="0.35">
      <c r="C7892" s="15" t="s">
        <v>8</v>
      </c>
      <c r="G7892" s="15" t="s">
        <v>8</v>
      </c>
      <c r="J7892" s="15" t="s">
        <v>8</v>
      </c>
      <c r="K7892" s="15" t="s">
        <v>8</v>
      </c>
      <c r="M7892" s="5" t="str">
        <f>HYPERLINK("http://yeinfo.com/family/I09001506.html", "DANIEL NEWTON 1655 MA-1702 MA ID:09003012")</f>
        <v>DANIEL NEWTON 1655 MA-1702 MA ID:09003012</v>
      </c>
      <c r="N7892" s="3"/>
      <c r="O7892" s="3"/>
      <c r="P7892" s="3"/>
      <c r="Q7892" s="3"/>
    </row>
    <row r="7893" spans="3:21" x14ac:dyDescent="0.35">
      <c r="C7893" s="15" t="s">
        <v>8</v>
      </c>
      <c r="G7893" s="15" t="s">
        <v>8</v>
      </c>
      <c r="J7893" s="15" t="s">
        <v>8</v>
      </c>
      <c r="K7893" s="15" t="s">
        <v>8</v>
      </c>
      <c r="M7893" s="8" t="s">
        <v>3</v>
      </c>
      <c r="N7893" s="15" t="s">
        <v>8</v>
      </c>
    </row>
    <row r="7894" spans="3:21" x14ac:dyDescent="0.35">
      <c r="C7894" s="15" t="s">
        <v>8</v>
      </c>
      <c r="G7894" s="15" t="s">
        <v>8</v>
      </c>
      <c r="J7894" s="15" t="s">
        <v>8</v>
      </c>
      <c r="K7894" s="15" t="s">
        <v>8</v>
      </c>
      <c r="M7894" s="15" t="s">
        <v>8</v>
      </c>
      <c r="N7894" s="15" t="s">
        <v>8</v>
      </c>
      <c r="Q7894" s="19" t="str">
        <f>HYPERLINK("http://yeinfo.com/family/I09024100.html", "JOHN LOKER &lt;3&gt; 1508 -1552 EN ID:09048200")</f>
        <v>JOHN LOKER &lt;3&gt; 1508 -1552 EN ID:09048200</v>
      </c>
      <c r="R7894" s="9"/>
      <c r="S7894" s="9"/>
      <c r="T7894" s="9"/>
      <c r="U7894" s="9"/>
    </row>
    <row r="7895" spans="3:21" x14ac:dyDescent="0.35">
      <c r="C7895" s="15" t="s">
        <v>8</v>
      </c>
      <c r="G7895" s="15" t="s">
        <v>8</v>
      </c>
      <c r="J7895" s="15" t="s">
        <v>8</v>
      </c>
      <c r="K7895" s="15" t="s">
        <v>8</v>
      </c>
      <c r="M7895" s="15" t="s">
        <v>8</v>
      </c>
      <c r="N7895" s="15" t="s">
        <v>8</v>
      </c>
      <c r="Q7895" s="8" t="s">
        <v>3</v>
      </c>
    </row>
    <row r="7896" spans="3:21" x14ac:dyDescent="0.35">
      <c r="C7896" s="15" t="s">
        <v>8</v>
      </c>
      <c r="G7896" s="15" t="s">
        <v>8</v>
      </c>
      <c r="J7896" s="15" t="s">
        <v>8</v>
      </c>
      <c r="K7896" s="15" t="s">
        <v>8</v>
      </c>
      <c r="M7896" s="15" t="s">
        <v>8</v>
      </c>
      <c r="N7896" s="15" t="s">
        <v>8</v>
      </c>
      <c r="P7896" s="19" t="str">
        <f>HYPERLINK("http://yeinfo.com/family/I09012050.html", "ROBERT LOKER &lt;3&gt; 1534 EN-1592 EN ID:09024100")</f>
        <v>ROBERT LOKER &lt;3&gt; 1534 EN-1592 EN ID:09024100</v>
      </c>
      <c r="Q7896" s="9"/>
      <c r="R7896" s="9"/>
      <c r="S7896" s="9"/>
      <c r="T7896" s="9"/>
    </row>
    <row r="7897" spans="3:21" x14ac:dyDescent="0.35">
      <c r="C7897" s="15" t="s">
        <v>8</v>
      </c>
      <c r="G7897" s="15" t="s">
        <v>8</v>
      </c>
      <c r="J7897" s="15" t="s">
        <v>8</v>
      </c>
      <c r="K7897" s="15" t="s">
        <v>8</v>
      </c>
      <c r="M7897" s="15" t="s">
        <v>8</v>
      </c>
      <c r="N7897" s="15" t="s">
        <v>8</v>
      </c>
      <c r="P7897" s="8" t="s">
        <v>3</v>
      </c>
      <c r="Q7897" s="8" t="s">
        <v>6</v>
      </c>
    </row>
    <row r="7898" spans="3:21" x14ac:dyDescent="0.35">
      <c r="C7898" s="15" t="s">
        <v>8</v>
      </c>
      <c r="G7898" s="15" t="s">
        <v>8</v>
      </c>
      <c r="J7898" s="15" t="s">
        <v>8</v>
      </c>
      <c r="K7898" s="15" t="s">
        <v>8</v>
      </c>
      <c r="M7898" s="15" t="s">
        <v>8</v>
      </c>
      <c r="N7898" s="15" t="s">
        <v>8</v>
      </c>
      <c r="P7898" s="15" t="s">
        <v>8</v>
      </c>
      <c r="Q7898" s="20" t="str">
        <f>HYPERLINK("http://yeinfo.com/family/I09048200.html", "JOAN RIDDLESDALE &lt;3&gt; 1512 EN-1561 EN ID:09048201")</f>
        <v>JOAN RIDDLESDALE &lt;3&gt; 1512 EN-1561 EN ID:09048201</v>
      </c>
      <c r="R7898" s="17"/>
      <c r="S7898" s="17"/>
      <c r="T7898" s="17"/>
      <c r="U7898" s="17"/>
    </row>
    <row r="7899" spans="3:21" x14ac:dyDescent="0.35">
      <c r="C7899" s="15" t="s">
        <v>8</v>
      </c>
      <c r="G7899" s="15" t="s">
        <v>8</v>
      </c>
      <c r="J7899" s="15" t="s">
        <v>8</v>
      </c>
      <c r="K7899" s="15" t="s">
        <v>8</v>
      </c>
      <c r="M7899" s="15" t="s">
        <v>8</v>
      </c>
      <c r="N7899" s="15" t="s">
        <v>8</v>
      </c>
      <c r="P7899" s="15" t="s">
        <v>8</v>
      </c>
    </row>
    <row r="7900" spans="3:21" x14ac:dyDescent="0.35">
      <c r="C7900" s="15" t="s">
        <v>8</v>
      </c>
      <c r="G7900" s="15" t="s">
        <v>8</v>
      </c>
      <c r="J7900" s="15" t="s">
        <v>8</v>
      </c>
      <c r="K7900" s="15" t="s">
        <v>8</v>
      </c>
      <c r="M7900" s="15" t="s">
        <v>8</v>
      </c>
      <c r="N7900" s="15" t="s">
        <v>8</v>
      </c>
      <c r="O7900" s="19" t="str">
        <f>HYPERLINK("http://yeinfo.com/family/I09006025.html", "HENRY LOKER Jr. &lt;3&gt; 1577 EN-1631 EN ID:09012050")</f>
        <v>HENRY LOKER Jr. &lt;3&gt; 1577 EN-1631 EN ID:09012050</v>
      </c>
      <c r="P7900" s="9"/>
      <c r="Q7900" s="9"/>
      <c r="R7900" s="9"/>
      <c r="S7900" s="9"/>
    </row>
    <row r="7901" spans="3:21" x14ac:dyDescent="0.35">
      <c r="C7901" s="15" t="s">
        <v>8</v>
      </c>
      <c r="G7901" s="15" t="s">
        <v>8</v>
      </c>
      <c r="J7901" s="15" t="s">
        <v>8</v>
      </c>
      <c r="K7901" s="15" t="s">
        <v>8</v>
      </c>
      <c r="M7901" s="15" t="s">
        <v>8</v>
      </c>
      <c r="N7901" s="15" t="s">
        <v>8</v>
      </c>
      <c r="O7901" s="8" t="s">
        <v>3</v>
      </c>
      <c r="P7901" s="15" t="s">
        <v>8</v>
      </c>
    </row>
    <row r="7902" spans="3:21" x14ac:dyDescent="0.35">
      <c r="C7902" s="15" t="s">
        <v>8</v>
      </c>
      <c r="G7902" s="15" t="s">
        <v>8</v>
      </c>
      <c r="J7902" s="15" t="s">
        <v>8</v>
      </c>
      <c r="K7902" s="15" t="s">
        <v>8</v>
      </c>
      <c r="M7902" s="15" t="s">
        <v>8</v>
      </c>
      <c r="N7902" s="15" t="s">
        <v>8</v>
      </c>
      <c r="O7902" s="15" t="s">
        <v>8</v>
      </c>
      <c r="P7902" s="15" t="s">
        <v>8</v>
      </c>
      <c r="Q7902" s="19" t="str">
        <f>HYPERLINK("http://yeinfo.com/family/I09024101.html", "JOHN RIDDLESDALE &lt;3&gt; 1510 EN-1552 EN ID:09048202")</f>
        <v>JOHN RIDDLESDALE &lt;3&gt; 1510 EN-1552 EN ID:09048202</v>
      </c>
      <c r="R7902" s="9"/>
      <c r="S7902" s="9"/>
      <c r="T7902" s="9"/>
      <c r="U7902" s="9"/>
    </row>
    <row r="7903" spans="3:21" x14ac:dyDescent="0.35">
      <c r="C7903" s="15" t="s">
        <v>8</v>
      </c>
      <c r="G7903" s="15" t="s">
        <v>8</v>
      </c>
      <c r="J7903" s="15" t="s">
        <v>8</v>
      </c>
      <c r="K7903" s="15" t="s">
        <v>8</v>
      </c>
      <c r="M7903" s="15" t="s">
        <v>8</v>
      </c>
      <c r="N7903" s="15" t="s">
        <v>8</v>
      </c>
      <c r="O7903" s="15" t="s">
        <v>8</v>
      </c>
      <c r="P7903" s="8" t="s">
        <v>6</v>
      </c>
      <c r="Q7903" s="8" t="s">
        <v>3</v>
      </c>
    </row>
    <row r="7904" spans="3:21" x14ac:dyDescent="0.35">
      <c r="C7904" s="15" t="s">
        <v>8</v>
      </c>
      <c r="G7904" s="15" t="s">
        <v>8</v>
      </c>
      <c r="J7904" s="15" t="s">
        <v>8</v>
      </c>
      <c r="K7904" s="15" t="s">
        <v>8</v>
      </c>
      <c r="M7904" s="15" t="s">
        <v>8</v>
      </c>
      <c r="N7904" s="15" t="s">
        <v>8</v>
      </c>
      <c r="O7904" s="15" t="s">
        <v>8</v>
      </c>
      <c r="P7904" s="20" t="str">
        <f>HYPERLINK("http://yeinfo.com/family/I09048201.html", "LUCY RIDDLESDALE &lt;3&gt; 1536 EN-1592 EN ID:09024101")</f>
        <v>LUCY RIDDLESDALE &lt;3&gt; 1536 EN-1592 EN ID:09024101</v>
      </c>
      <c r="Q7904" s="17"/>
      <c r="R7904" s="17"/>
      <c r="S7904" s="17"/>
      <c r="T7904" s="17"/>
    </row>
    <row r="7905" spans="3:23" x14ac:dyDescent="0.35">
      <c r="C7905" s="15" t="s">
        <v>8</v>
      </c>
      <c r="G7905" s="15" t="s">
        <v>8</v>
      </c>
      <c r="J7905" s="15" t="s">
        <v>8</v>
      </c>
      <c r="K7905" s="15" t="s">
        <v>8</v>
      </c>
      <c r="M7905" s="15" t="s">
        <v>8</v>
      </c>
      <c r="N7905" s="15" t="s">
        <v>8</v>
      </c>
      <c r="O7905" s="15" t="s">
        <v>8</v>
      </c>
      <c r="Q7905" s="8" t="s">
        <v>6</v>
      </c>
    </row>
    <row r="7906" spans="3:23" x14ac:dyDescent="0.35">
      <c r="C7906" s="15" t="s">
        <v>8</v>
      </c>
      <c r="G7906" s="15" t="s">
        <v>8</v>
      </c>
      <c r="J7906" s="15" t="s">
        <v>8</v>
      </c>
      <c r="K7906" s="15" t="s">
        <v>8</v>
      </c>
      <c r="M7906" s="15" t="s">
        <v>8</v>
      </c>
      <c r="N7906" s="15" t="s">
        <v>8</v>
      </c>
      <c r="O7906" s="15" t="s">
        <v>8</v>
      </c>
      <c r="Q7906" s="20" t="str">
        <f>HYPERLINK("http://yeinfo.com/family/I09048202.html", "Mrs. LUCY\JOAN RIDDLESDALE &lt;3&gt; 1512 EN-1536 EN ID:09048203")</f>
        <v>Mrs. LUCY\JOAN RIDDLESDALE &lt;3&gt; 1512 EN-1536 EN ID:09048203</v>
      </c>
      <c r="R7906" s="17"/>
      <c r="S7906" s="17"/>
      <c r="T7906" s="17"/>
      <c r="U7906" s="17"/>
      <c r="V7906" s="17"/>
      <c r="W7906" s="17"/>
    </row>
    <row r="7907" spans="3:23" x14ac:dyDescent="0.35">
      <c r="C7907" s="15" t="s">
        <v>8</v>
      </c>
      <c r="G7907" s="15" t="s">
        <v>8</v>
      </c>
      <c r="J7907" s="15" t="s">
        <v>8</v>
      </c>
      <c r="K7907" s="15" t="s">
        <v>8</v>
      </c>
      <c r="M7907" s="15" t="s">
        <v>8</v>
      </c>
      <c r="N7907" s="8" t="s">
        <v>6</v>
      </c>
      <c r="O7907" s="15" t="s">
        <v>8</v>
      </c>
    </row>
    <row r="7908" spans="3:23" x14ac:dyDescent="0.35">
      <c r="C7908" s="15" t="s">
        <v>8</v>
      </c>
      <c r="G7908" s="15" t="s">
        <v>8</v>
      </c>
      <c r="J7908" s="15" t="s">
        <v>8</v>
      </c>
      <c r="K7908" s="15" t="s">
        <v>8</v>
      </c>
      <c r="M7908" s="15" t="s">
        <v>8</v>
      </c>
      <c r="N7908" s="16" t="str">
        <f>HYPERLINK("http://yeinfo.com/family/I09006024.html", "ANNE\ANNA HANNAH LOKER &lt;2&gt; 1606 EN-1697  ID:09006025")</f>
        <v>ANNE\ANNA HANNAH LOKER &lt;2&gt; 1606 EN-1697  ID:09006025</v>
      </c>
      <c r="O7908" s="11"/>
      <c r="P7908" s="11"/>
      <c r="Q7908" s="11"/>
      <c r="R7908" s="11"/>
      <c r="S7908" s="11"/>
    </row>
    <row r="7909" spans="3:23" x14ac:dyDescent="0.35">
      <c r="C7909" s="15" t="s">
        <v>8</v>
      </c>
      <c r="G7909" s="15" t="s">
        <v>8</v>
      </c>
      <c r="J7909" s="15" t="s">
        <v>8</v>
      </c>
      <c r="K7909" s="15" t="s">
        <v>8</v>
      </c>
      <c r="M7909" s="15" t="s">
        <v>8</v>
      </c>
      <c r="O7909" s="8" t="s">
        <v>6</v>
      </c>
    </row>
    <row r="7910" spans="3:23" x14ac:dyDescent="0.35">
      <c r="C7910" s="15" t="s">
        <v>8</v>
      </c>
      <c r="G7910" s="15" t="s">
        <v>8</v>
      </c>
      <c r="J7910" s="15" t="s">
        <v>8</v>
      </c>
      <c r="K7910" s="15" t="s">
        <v>8</v>
      </c>
      <c r="M7910" s="15" t="s">
        <v>8</v>
      </c>
      <c r="O7910" s="22" t="str">
        <f>HYPERLINK("http://yeinfo.com/family/I09048203.html", "ELIZABETH FRENCH &lt;3&gt; 1580 EN-1648 MA ID:09012051")</f>
        <v>ELIZABETH FRENCH &lt;3&gt; 1580 EN-1648 MA ID:09012051</v>
      </c>
      <c r="P7910" s="13"/>
      <c r="Q7910" s="13"/>
      <c r="R7910" s="13"/>
      <c r="S7910" s="13"/>
    </row>
    <row r="7911" spans="3:23" x14ac:dyDescent="0.35">
      <c r="C7911" s="15" t="s">
        <v>8</v>
      </c>
      <c r="G7911" s="15" t="s">
        <v>8</v>
      </c>
      <c r="J7911" s="15" t="s">
        <v>8</v>
      </c>
      <c r="K7911" s="15" t="s">
        <v>8</v>
      </c>
      <c r="M7911" s="15" t="s">
        <v>8</v>
      </c>
    </row>
    <row r="7912" spans="3:23" x14ac:dyDescent="0.35">
      <c r="C7912" s="15" t="s">
        <v>8</v>
      </c>
      <c r="G7912" s="15" t="s">
        <v>8</v>
      </c>
      <c r="J7912" s="15" t="s">
        <v>8</v>
      </c>
      <c r="K7912" s="15" t="s">
        <v>8</v>
      </c>
      <c r="L7912" s="5" t="str">
        <f>HYPERLINK("http://yeinfo.com/family/I09000753.html", "EPHRAIM NEWTON 1689 MA-1761 EN ID:09001506")</f>
        <v>EPHRAIM NEWTON 1689 MA-1761 EN ID:09001506</v>
      </c>
      <c r="M7912" s="3"/>
      <c r="N7912" s="3"/>
      <c r="O7912" s="3"/>
      <c r="P7912" s="3"/>
    </row>
    <row r="7913" spans="3:23" x14ac:dyDescent="0.35">
      <c r="C7913" s="15" t="s">
        <v>8</v>
      </c>
      <c r="G7913" s="15" t="s">
        <v>8</v>
      </c>
      <c r="J7913" s="15" t="s">
        <v>8</v>
      </c>
      <c r="K7913" s="15" t="s">
        <v>8</v>
      </c>
      <c r="L7913" s="8" t="s">
        <v>3</v>
      </c>
      <c r="M7913" s="15" t="s">
        <v>8</v>
      </c>
    </row>
    <row r="7914" spans="3:23" x14ac:dyDescent="0.35">
      <c r="C7914" s="15" t="s">
        <v>8</v>
      </c>
      <c r="G7914" s="15" t="s">
        <v>8</v>
      </c>
      <c r="J7914" s="15" t="s">
        <v>8</v>
      </c>
      <c r="K7914" s="15" t="s">
        <v>8</v>
      </c>
      <c r="L7914" s="15" t="s">
        <v>8</v>
      </c>
      <c r="M7914" s="15" t="s">
        <v>8</v>
      </c>
      <c r="Q7914" s="19" t="str">
        <f>HYPERLINK("http://yeinfo.com/family/I09024104.html", "THOMAS RICHARD MORSE 1553 EN-1603 EN ID:09048208")</f>
        <v>THOMAS RICHARD MORSE 1553 EN-1603 EN ID:09048208</v>
      </c>
      <c r="R7914" s="9"/>
      <c r="S7914" s="9"/>
      <c r="T7914" s="9"/>
      <c r="U7914" s="9"/>
    </row>
    <row r="7915" spans="3:23" x14ac:dyDescent="0.35">
      <c r="C7915" s="15" t="s">
        <v>8</v>
      </c>
      <c r="G7915" s="15" t="s">
        <v>8</v>
      </c>
      <c r="J7915" s="15" t="s">
        <v>8</v>
      </c>
      <c r="K7915" s="15" t="s">
        <v>8</v>
      </c>
      <c r="L7915" s="15" t="s">
        <v>8</v>
      </c>
      <c r="M7915" s="15" t="s">
        <v>8</v>
      </c>
      <c r="Q7915" s="8" t="s">
        <v>3</v>
      </c>
    </row>
    <row r="7916" spans="3:23" x14ac:dyDescent="0.35">
      <c r="C7916" s="15" t="s">
        <v>8</v>
      </c>
      <c r="G7916" s="15" t="s">
        <v>8</v>
      </c>
      <c r="J7916" s="15" t="s">
        <v>8</v>
      </c>
      <c r="K7916" s="15" t="s">
        <v>8</v>
      </c>
      <c r="L7916" s="15" t="s">
        <v>8</v>
      </c>
      <c r="M7916" s="15" t="s">
        <v>8</v>
      </c>
      <c r="P7916" s="21" t="str">
        <f>HYPERLINK("http://yeinfo.com/family/I09012052.html", "JOSEPH MORSE 1580 EN-1646 MA ID:09024104")</f>
        <v>JOSEPH MORSE 1580 EN-1646 MA ID:09024104</v>
      </c>
      <c r="Q7916" s="6"/>
      <c r="R7916" s="6"/>
      <c r="S7916" s="6"/>
      <c r="T7916" s="6"/>
    </row>
    <row r="7917" spans="3:23" x14ac:dyDescent="0.35">
      <c r="C7917" s="15" t="s">
        <v>8</v>
      </c>
      <c r="G7917" s="15" t="s">
        <v>8</v>
      </c>
      <c r="J7917" s="15" t="s">
        <v>8</v>
      </c>
      <c r="K7917" s="15" t="s">
        <v>8</v>
      </c>
      <c r="L7917" s="15" t="s">
        <v>8</v>
      </c>
      <c r="M7917" s="15" t="s">
        <v>8</v>
      </c>
      <c r="P7917" s="8" t="s">
        <v>3</v>
      </c>
      <c r="Q7917" s="8" t="s">
        <v>6</v>
      </c>
    </row>
    <row r="7918" spans="3:23" x14ac:dyDescent="0.35">
      <c r="C7918" s="15" t="s">
        <v>8</v>
      </c>
      <c r="G7918" s="15" t="s">
        <v>8</v>
      </c>
      <c r="J7918" s="15" t="s">
        <v>8</v>
      </c>
      <c r="K7918" s="15" t="s">
        <v>8</v>
      </c>
      <c r="L7918" s="15" t="s">
        <v>8</v>
      </c>
      <c r="M7918" s="15" t="s">
        <v>8</v>
      </c>
      <c r="P7918" s="15" t="s">
        <v>8</v>
      </c>
      <c r="Q7918" s="20" t="str">
        <f>HYPERLINK("http://yeinfo.com/family/I09048208.html", "JOAN DOWNES 1553 EN-1580 EN ID:09048209")</f>
        <v>JOAN DOWNES 1553 EN-1580 EN ID:09048209</v>
      </c>
      <c r="R7918" s="17"/>
      <c r="S7918" s="17"/>
      <c r="T7918" s="17"/>
      <c r="U7918" s="17"/>
    </row>
    <row r="7919" spans="3:23" x14ac:dyDescent="0.35">
      <c r="C7919" s="15" t="s">
        <v>8</v>
      </c>
      <c r="G7919" s="15" t="s">
        <v>8</v>
      </c>
      <c r="J7919" s="15" t="s">
        <v>8</v>
      </c>
      <c r="K7919" s="15" t="s">
        <v>8</v>
      </c>
      <c r="L7919" s="15" t="s">
        <v>8</v>
      </c>
      <c r="M7919" s="15" t="s">
        <v>8</v>
      </c>
      <c r="P7919" s="15" t="s">
        <v>8</v>
      </c>
    </row>
    <row r="7920" spans="3:23" x14ac:dyDescent="0.35">
      <c r="C7920" s="15" t="s">
        <v>8</v>
      </c>
      <c r="G7920" s="15" t="s">
        <v>8</v>
      </c>
      <c r="J7920" s="15" t="s">
        <v>8</v>
      </c>
      <c r="K7920" s="15" t="s">
        <v>8</v>
      </c>
      <c r="L7920" s="15" t="s">
        <v>8</v>
      </c>
      <c r="M7920" s="15" t="s">
        <v>8</v>
      </c>
      <c r="O7920" s="5" t="str">
        <f>HYPERLINK("http://yeinfo.com/family/I09006026.html", "JOSEPH MORSE Jr. 1613 EN-1691  ID:09012052")</f>
        <v>JOSEPH MORSE Jr. 1613 EN-1691  ID:09012052</v>
      </c>
      <c r="P7920" s="3"/>
      <c r="Q7920" s="3"/>
      <c r="R7920" s="3"/>
      <c r="S7920" s="3"/>
    </row>
    <row r="7921" spans="3:21" x14ac:dyDescent="0.35">
      <c r="C7921" s="15" t="s">
        <v>8</v>
      </c>
      <c r="G7921" s="15" t="s">
        <v>8</v>
      </c>
      <c r="J7921" s="15" t="s">
        <v>8</v>
      </c>
      <c r="K7921" s="15" t="s">
        <v>8</v>
      </c>
      <c r="L7921" s="15" t="s">
        <v>8</v>
      </c>
      <c r="M7921" s="15" t="s">
        <v>8</v>
      </c>
      <c r="O7921" s="8" t="s">
        <v>3</v>
      </c>
      <c r="P7921" s="15" t="s">
        <v>8</v>
      </c>
    </row>
    <row r="7922" spans="3:21" x14ac:dyDescent="0.35">
      <c r="C7922" s="15" t="s">
        <v>8</v>
      </c>
      <c r="G7922" s="15" t="s">
        <v>8</v>
      </c>
      <c r="J7922" s="15" t="s">
        <v>8</v>
      </c>
      <c r="K7922" s="15" t="s">
        <v>8</v>
      </c>
      <c r="L7922" s="15" t="s">
        <v>8</v>
      </c>
      <c r="M7922" s="15" t="s">
        <v>8</v>
      </c>
      <c r="O7922" s="15" t="s">
        <v>8</v>
      </c>
      <c r="P7922" s="15" t="s">
        <v>8</v>
      </c>
      <c r="Q7922" s="19" t="str">
        <f>HYPERLINK("http://yeinfo.com/family/I09024105.html", "THOMAS BARBER 1552 EN-1592  ID:09048210")</f>
        <v>THOMAS BARBER 1552 EN-1592  ID:09048210</v>
      </c>
      <c r="R7922" s="9"/>
      <c r="S7922" s="9"/>
      <c r="T7922" s="9"/>
      <c r="U7922" s="9"/>
    </row>
    <row r="7923" spans="3:21" x14ac:dyDescent="0.35">
      <c r="C7923" s="15" t="s">
        <v>8</v>
      </c>
      <c r="G7923" s="15" t="s">
        <v>8</v>
      </c>
      <c r="J7923" s="15" t="s">
        <v>8</v>
      </c>
      <c r="K7923" s="15" t="s">
        <v>8</v>
      </c>
      <c r="L7923" s="15" t="s">
        <v>8</v>
      </c>
      <c r="M7923" s="15" t="s">
        <v>8</v>
      </c>
      <c r="O7923" s="15" t="s">
        <v>8</v>
      </c>
      <c r="P7923" s="8" t="s">
        <v>6</v>
      </c>
      <c r="Q7923" s="8" t="s">
        <v>3</v>
      </c>
    </row>
    <row r="7924" spans="3:21" x14ac:dyDescent="0.35">
      <c r="C7924" s="15" t="s">
        <v>8</v>
      </c>
      <c r="G7924" s="15" t="s">
        <v>8</v>
      </c>
      <c r="J7924" s="15" t="s">
        <v>8</v>
      </c>
      <c r="K7924" s="15" t="s">
        <v>8</v>
      </c>
      <c r="L7924" s="15" t="s">
        <v>8</v>
      </c>
      <c r="M7924" s="15" t="s">
        <v>8</v>
      </c>
      <c r="O7924" s="15" t="s">
        <v>8</v>
      </c>
      <c r="P7924" s="22" t="str">
        <f>HYPERLINK("http://yeinfo.com/family/I09048209.html", "DOROTHY BARBER 1592 EN-1613 MA ID:09024105")</f>
        <v>DOROTHY BARBER 1592 EN-1613 MA ID:09024105</v>
      </c>
      <c r="Q7924" s="13"/>
      <c r="R7924" s="13"/>
      <c r="S7924" s="13"/>
      <c r="T7924" s="13"/>
    </row>
    <row r="7925" spans="3:21" x14ac:dyDescent="0.35">
      <c r="C7925" s="15" t="s">
        <v>8</v>
      </c>
      <c r="G7925" s="15" t="s">
        <v>8</v>
      </c>
      <c r="J7925" s="15" t="s">
        <v>8</v>
      </c>
      <c r="K7925" s="15" t="s">
        <v>8</v>
      </c>
      <c r="L7925" s="15" t="s">
        <v>8</v>
      </c>
      <c r="M7925" s="15" t="s">
        <v>8</v>
      </c>
      <c r="O7925" s="15" t="s">
        <v>8</v>
      </c>
      <c r="Q7925" s="8" t="s">
        <v>6</v>
      </c>
    </row>
    <row r="7926" spans="3:21" x14ac:dyDescent="0.35">
      <c r="C7926" s="15" t="s">
        <v>8</v>
      </c>
      <c r="G7926" s="15" t="s">
        <v>8</v>
      </c>
      <c r="J7926" s="15" t="s">
        <v>8</v>
      </c>
      <c r="K7926" s="15" t="s">
        <v>8</v>
      </c>
      <c r="L7926" s="15" t="s">
        <v>8</v>
      </c>
      <c r="M7926" s="15" t="s">
        <v>8</v>
      </c>
      <c r="O7926" s="15" t="s">
        <v>8</v>
      </c>
      <c r="Q7926" s="20" t="str">
        <f>HYPERLINK("http://yeinfo.com/family/I09048210.html", "Mrs. {_?_} BARBER 1555 EN-1592  ID:09048211")</f>
        <v>Mrs. {_?_} BARBER 1555 EN-1592  ID:09048211</v>
      </c>
      <c r="R7926" s="17"/>
      <c r="S7926" s="17"/>
      <c r="T7926" s="17"/>
      <c r="U7926" s="17"/>
    </row>
    <row r="7927" spans="3:21" x14ac:dyDescent="0.35">
      <c r="C7927" s="15" t="s">
        <v>8</v>
      </c>
      <c r="G7927" s="15" t="s">
        <v>8</v>
      </c>
      <c r="J7927" s="15" t="s">
        <v>8</v>
      </c>
      <c r="K7927" s="15" t="s">
        <v>8</v>
      </c>
      <c r="L7927" s="15" t="s">
        <v>8</v>
      </c>
      <c r="M7927" s="15" t="s">
        <v>8</v>
      </c>
      <c r="O7927" s="15" t="s">
        <v>8</v>
      </c>
    </row>
    <row r="7928" spans="3:21" x14ac:dyDescent="0.35">
      <c r="C7928" s="15" t="s">
        <v>8</v>
      </c>
      <c r="G7928" s="15" t="s">
        <v>8</v>
      </c>
      <c r="J7928" s="15" t="s">
        <v>8</v>
      </c>
      <c r="K7928" s="15" t="s">
        <v>8</v>
      </c>
      <c r="L7928" s="15" t="s">
        <v>8</v>
      </c>
      <c r="M7928" s="15" t="s">
        <v>8</v>
      </c>
      <c r="N7928" s="5" t="str">
        <f>HYPERLINK("http://yeinfo.com/family/I09003013.html", "JOSEPH MORSE 1637 MA-1677  ID:09006026")</f>
        <v>JOSEPH MORSE 1637 MA-1677  ID:09006026</v>
      </c>
      <c r="O7928" s="3"/>
      <c r="P7928" s="3"/>
      <c r="Q7928" s="3"/>
      <c r="R7928" s="3"/>
    </row>
    <row r="7929" spans="3:21" x14ac:dyDescent="0.35">
      <c r="C7929" s="15" t="s">
        <v>8</v>
      </c>
      <c r="G7929" s="15" t="s">
        <v>8</v>
      </c>
      <c r="J7929" s="15" t="s">
        <v>8</v>
      </c>
      <c r="K7929" s="15" t="s">
        <v>8</v>
      </c>
      <c r="L7929" s="15" t="s">
        <v>8</v>
      </c>
      <c r="M7929" s="15" t="s">
        <v>8</v>
      </c>
      <c r="N7929" s="8" t="s">
        <v>3</v>
      </c>
      <c r="O7929" s="15" t="s">
        <v>8</v>
      </c>
    </row>
    <row r="7930" spans="3:21" x14ac:dyDescent="0.35">
      <c r="C7930" s="15" t="s">
        <v>8</v>
      </c>
      <c r="G7930" s="15" t="s">
        <v>8</v>
      </c>
      <c r="J7930" s="15" t="s">
        <v>8</v>
      </c>
      <c r="K7930" s="15" t="s">
        <v>8</v>
      </c>
      <c r="L7930" s="15" t="s">
        <v>8</v>
      </c>
      <c r="M7930" s="15" t="s">
        <v>8</v>
      </c>
      <c r="N7930" s="15" t="s">
        <v>8</v>
      </c>
      <c r="O7930" s="15" t="s">
        <v>8</v>
      </c>
      <c r="P7930" s="21" t="str">
        <f>HYPERLINK("http://yeinfo.com/family/I09011890.html", "JOHN PIERCE &lt;2&gt; 1585 EN-1661 MA ID:09011890")</f>
        <v>JOHN PIERCE &lt;2&gt; 1585 EN-1661 MA ID:09011890</v>
      </c>
      <c r="Q7930" s="6"/>
      <c r="R7930" s="6"/>
      <c r="S7930" s="6"/>
      <c r="T7930" s="6"/>
    </row>
    <row r="7931" spans="3:21" x14ac:dyDescent="0.35">
      <c r="C7931" s="15" t="s">
        <v>8</v>
      </c>
      <c r="G7931" s="15" t="s">
        <v>8</v>
      </c>
      <c r="J7931" s="15" t="s">
        <v>8</v>
      </c>
      <c r="K7931" s="15" t="s">
        <v>8</v>
      </c>
      <c r="L7931" s="15" t="s">
        <v>8</v>
      </c>
      <c r="M7931" s="15" t="s">
        <v>8</v>
      </c>
      <c r="N7931" s="15" t="s">
        <v>8</v>
      </c>
      <c r="O7931" s="8" t="s">
        <v>6</v>
      </c>
      <c r="P7931" s="8" t="s">
        <v>3</v>
      </c>
    </row>
    <row r="7932" spans="3:21" x14ac:dyDescent="0.35">
      <c r="C7932" s="15" t="s">
        <v>8</v>
      </c>
      <c r="G7932" s="15" t="s">
        <v>8</v>
      </c>
      <c r="J7932" s="15" t="s">
        <v>8</v>
      </c>
      <c r="K7932" s="15" t="s">
        <v>8</v>
      </c>
      <c r="L7932" s="15" t="s">
        <v>8</v>
      </c>
      <c r="M7932" s="15" t="s">
        <v>8</v>
      </c>
      <c r="N7932" s="15" t="s">
        <v>8</v>
      </c>
      <c r="O7932" s="22" t="str">
        <f>HYPERLINK("http://yeinfo.com/family/I09048211.html", "ESTHER\HESTER PIERCE 1612 EN-1637 MA ID:09012053")</f>
        <v>ESTHER\HESTER PIERCE 1612 EN-1637 MA ID:09012053</v>
      </c>
      <c r="P7932" s="13"/>
      <c r="Q7932" s="13"/>
      <c r="R7932" s="13"/>
      <c r="S7932" s="13"/>
      <c r="T7932" s="13"/>
    </row>
    <row r="7933" spans="3:21" x14ac:dyDescent="0.35">
      <c r="C7933" s="15" t="s">
        <v>8</v>
      </c>
      <c r="G7933" s="15" t="s">
        <v>8</v>
      </c>
      <c r="J7933" s="15" t="s">
        <v>8</v>
      </c>
      <c r="K7933" s="15" t="s">
        <v>8</v>
      </c>
      <c r="L7933" s="15" t="s">
        <v>8</v>
      </c>
      <c r="M7933" s="15" t="s">
        <v>8</v>
      </c>
      <c r="N7933" s="15" t="s">
        <v>8</v>
      </c>
      <c r="P7933" s="15" t="s">
        <v>8</v>
      </c>
    </row>
    <row r="7934" spans="3:21" x14ac:dyDescent="0.35">
      <c r="C7934" s="15" t="s">
        <v>8</v>
      </c>
      <c r="G7934" s="15" t="s">
        <v>8</v>
      </c>
      <c r="J7934" s="15" t="s">
        <v>8</v>
      </c>
      <c r="K7934" s="15" t="s">
        <v>8</v>
      </c>
      <c r="L7934" s="15" t="s">
        <v>8</v>
      </c>
      <c r="M7934" s="15" t="s">
        <v>8</v>
      </c>
      <c r="N7934" s="15" t="s">
        <v>8</v>
      </c>
      <c r="P7934" s="15" t="s">
        <v>8</v>
      </c>
      <c r="Q7934" s="19" t="str">
        <f>HYPERLINK("http://yeinfo.com/family/I09023782.html", "ROBERT TRULL &lt;2&gt; 1535 EN-1590 EN ID:09023782")</f>
        <v>ROBERT TRULL &lt;2&gt; 1535 EN-1590 EN ID:09023782</v>
      </c>
      <c r="R7934" s="9"/>
      <c r="S7934" s="9"/>
      <c r="T7934" s="9"/>
      <c r="U7934" s="9"/>
    </row>
    <row r="7935" spans="3:21" x14ac:dyDescent="0.35">
      <c r="C7935" s="15" t="s">
        <v>8</v>
      </c>
      <c r="G7935" s="15" t="s">
        <v>8</v>
      </c>
      <c r="J7935" s="15" t="s">
        <v>8</v>
      </c>
      <c r="K7935" s="15" t="s">
        <v>8</v>
      </c>
      <c r="L7935" s="15" t="s">
        <v>8</v>
      </c>
      <c r="M7935" s="15" t="s">
        <v>8</v>
      </c>
      <c r="N7935" s="15" t="s">
        <v>8</v>
      </c>
      <c r="P7935" s="8" t="s">
        <v>6</v>
      </c>
      <c r="Q7935" s="8" t="s">
        <v>3</v>
      </c>
    </row>
    <row r="7936" spans="3:21" x14ac:dyDescent="0.35">
      <c r="C7936" s="15" t="s">
        <v>8</v>
      </c>
      <c r="G7936" s="15" t="s">
        <v>8</v>
      </c>
      <c r="J7936" s="15" t="s">
        <v>8</v>
      </c>
      <c r="K7936" s="15" t="s">
        <v>8</v>
      </c>
      <c r="L7936" s="15" t="s">
        <v>8</v>
      </c>
      <c r="M7936" s="15" t="s">
        <v>8</v>
      </c>
      <c r="N7936" s="15" t="s">
        <v>8</v>
      </c>
      <c r="P7936" s="22" t="str">
        <f>HYPERLINK("http://yeinfo.com/family/I09011891.html", "ELIZABETH TRULL &lt;2&gt; 1590 EN-1667 MA ID:09011891")</f>
        <v>ELIZABETH TRULL &lt;2&gt; 1590 EN-1667 MA ID:09011891</v>
      </c>
      <c r="Q7936" s="13"/>
      <c r="R7936" s="13"/>
      <c r="S7936" s="13"/>
      <c r="T7936" s="13"/>
    </row>
    <row r="7937" spans="3:21" x14ac:dyDescent="0.35">
      <c r="C7937" s="15" t="s">
        <v>8</v>
      </c>
      <c r="G7937" s="15" t="s">
        <v>8</v>
      </c>
      <c r="J7937" s="15" t="s">
        <v>8</v>
      </c>
      <c r="K7937" s="15" t="s">
        <v>8</v>
      </c>
      <c r="L7937" s="15" t="s">
        <v>8</v>
      </c>
      <c r="M7937" s="15" t="s">
        <v>8</v>
      </c>
      <c r="N7937" s="15" t="s">
        <v>8</v>
      </c>
      <c r="Q7937" s="8" t="s">
        <v>6</v>
      </c>
    </row>
    <row r="7938" spans="3:21" x14ac:dyDescent="0.35">
      <c r="C7938" s="15" t="s">
        <v>8</v>
      </c>
      <c r="G7938" s="15" t="s">
        <v>8</v>
      </c>
      <c r="J7938" s="15" t="s">
        <v>8</v>
      </c>
      <c r="K7938" s="15" t="s">
        <v>8</v>
      </c>
      <c r="L7938" s="15" t="s">
        <v>8</v>
      </c>
      <c r="M7938" s="15" t="s">
        <v>8</v>
      </c>
      <c r="N7938" s="15" t="s">
        <v>8</v>
      </c>
      <c r="Q7938" s="20" t="str">
        <f>HYPERLINK("http://yeinfo.com/family/I09023783.html", "MARY LADYMAN &lt;2&gt; 1556 EN-1590 EN ID:09023783")</f>
        <v>MARY LADYMAN &lt;2&gt; 1556 EN-1590 EN ID:09023783</v>
      </c>
      <c r="R7938" s="17"/>
      <c r="S7938" s="17"/>
      <c r="T7938" s="17"/>
      <c r="U7938" s="17"/>
    </row>
    <row r="7939" spans="3:21" x14ac:dyDescent="0.35">
      <c r="C7939" s="15" t="s">
        <v>8</v>
      </c>
      <c r="G7939" s="15" t="s">
        <v>8</v>
      </c>
      <c r="J7939" s="15" t="s">
        <v>8</v>
      </c>
      <c r="K7939" s="15" t="s">
        <v>8</v>
      </c>
      <c r="L7939" s="15" t="s">
        <v>8</v>
      </c>
      <c r="M7939" s="8" t="s">
        <v>6</v>
      </c>
      <c r="N7939" s="15" t="s">
        <v>8</v>
      </c>
    </row>
    <row r="7940" spans="3:21" x14ac:dyDescent="0.35">
      <c r="C7940" s="15" t="s">
        <v>8</v>
      </c>
      <c r="G7940" s="15" t="s">
        <v>8</v>
      </c>
      <c r="J7940" s="15" t="s">
        <v>8</v>
      </c>
      <c r="K7940" s="15" t="s">
        <v>8</v>
      </c>
      <c r="L7940" s="15" t="s">
        <v>8</v>
      </c>
      <c r="M7940" s="16" t="str">
        <f>HYPERLINK("http://yeinfo.com/family/I09012051.html", "SUSANNAH MORSE 1662 MA-1729  ID:09003013")</f>
        <v>SUSANNAH MORSE 1662 MA-1729  ID:09003013</v>
      </c>
      <c r="N7940" s="11"/>
      <c r="O7940" s="11"/>
      <c r="P7940" s="11"/>
      <c r="Q7940" s="11"/>
    </row>
    <row r="7941" spans="3:21" x14ac:dyDescent="0.35">
      <c r="C7941" s="15" t="s">
        <v>8</v>
      </c>
      <c r="G7941" s="15" t="s">
        <v>8</v>
      </c>
      <c r="J7941" s="15" t="s">
        <v>8</v>
      </c>
      <c r="K7941" s="15" t="s">
        <v>8</v>
      </c>
      <c r="L7941" s="15" t="s">
        <v>8</v>
      </c>
      <c r="N7941" s="15" t="s">
        <v>8</v>
      </c>
    </row>
    <row r="7942" spans="3:21" x14ac:dyDescent="0.35">
      <c r="C7942" s="15" t="s">
        <v>8</v>
      </c>
      <c r="G7942" s="15" t="s">
        <v>8</v>
      </c>
      <c r="J7942" s="15" t="s">
        <v>8</v>
      </c>
      <c r="K7942" s="15" t="s">
        <v>8</v>
      </c>
      <c r="L7942" s="15" t="s">
        <v>8</v>
      </c>
      <c r="N7942" s="15" t="s">
        <v>8</v>
      </c>
      <c r="O7942" s="5" t="str">
        <f>HYPERLINK("http://yeinfo.com/family/I09006027.html", "WILLIAM SHATTUCK 1621 EN-1672  ID:09012054")</f>
        <v>WILLIAM SHATTUCK 1621 EN-1672  ID:09012054</v>
      </c>
      <c r="P7942" s="3"/>
      <c r="Q7942" s="3"/>
      <c r="R7942" s="3"/>
      <c r="S7942" s="3"/>
    </row>
    <row r="7943" spans="3:21" x14ac:dyDescent="0.35">
      <c r="C7943" s="15" t="s">
        <v>8</v>
      </c>
      <c r="G7943" s="15" t="s">
        <v>8</v>
      </c>
      <c r="J7943" s="15" t="s">
        <v>8</v>
      </c>
      <c r="K7943" s="15" t="s">
        <v>8</v>
      </c>
      <c r="L7943" s="15" t="s">
        <v>8</v>
      </c>
      <c r="N7943" s="8" t="s">
        <v>6</v>
      </c>
      <c r="O7943" s="8" t="s">
        <v>3</v>
      </c>
    </row>
    <row r="7944" spans="3:21" x14ac:dyDescent="0.35">
      <c r="C7944" s="15" t="s">
        <v>8</v>
      </c>
      <c r="G7944" s="15" t="s">
        <v>8</v>
      </c>
      <c r="J7944" s="15" t="s">
        <v>8</v>
      </c>
      <c r="K7944" s="15" t="s">
        <v>8</v>
      </c>
      <c r="L7944" s="15" t="s">
        <v>8</v>
      </c>
      <c r="N7944" s="16" t="str">
        <f>HYPERLINK("http://yeinfo.com/family/I09012053.html", "SUSANNA SHATTUCK 1643 -1716  ID:09006027")</f>
        <v>SUSANNA SHATTUCK 1643 -1716  ID:09006027</v>
      </c>
      <c r="O7944" s="11"/>
      <c r="P7944" s="11"/>
      <c r="Q7944" s="11"/>
      <c r="R7944" s="11"/>
    </row>
    <row r="7945" spans="3:21" x14ac:dyDescent="0.35">
      <c r="C7945" s="15" t="s">
        <v>8</v>
      </c>
      <c r="G7945" s="15" t="s">
        <v>8</v>
      </c>
      <c r="J7945" s="15" t="s">
        <v>8</v>
      </c>
      <c r="K7945" s="15" t="s">
        <v>8</v>
      </c>
      <c r="L7945" s="15" t="s">
        <v>8</v>
      </c>
      <c r="O7945" s="8" t="s">
        <v>6</v>
      </c>
    </row>
    <row r="7946" spans="3:21" x14ac:dyDescent="0.35">
      <c r="C7946" s="15" t="s">
        <v>8</v>
      </c>
      <c r="G7946" s="15" t="s">
        <v>8</v>
      </c>
      <c r="J7946" s="15" t="s">
        <v>8</v>
      </c>
      <c r="K7946" s="15" t="s">
        <v>8</v>
      </c>
      <c r="L7946" s="15" t="s">
        <v>8</v>
      </c>
      <c r="O7946" s="22" t="str">
        <f>HYPERLINK("http://yeinfo.com/family/I09012054.html", "SUSANNA\ABIGAIL HAYDEN 1615 EN-1686 MA ID:09012055")</f>
        <v>SUSANNA\ABIGAIL HAYDEN 1615 EN-1686 MA ID:09012055</v>
      </c>
      <c r="P7946" s="13"/>
      <c r="Q7946" s="13"/>
      <c r="R7946" s="13"/>
      <c r="S7946" s="13"/>
      <c r="T7946" s="13"/>
    </row>
    <row r="7947" spans="3:21" x14ac:dyDescent="0.35">
      <c r="C7947" s="15" t="s">
        <v>8</v>
      </c>
      <c r="G7947" s="15" t="s">
        <v>8</v>
      </c>
      <c r="J7947" s="15" t="s">
        <v>8</v>
      </c>
      <c r="K7947" s="8" t="s">
        <v>6</v>
      </c>
      <c r="L7947" s="15" t="s">
        <v>8</v>
      </c>
    </row>
    <row r="7948" spans="3:21" x14ac:dyDescent="0.35">
      <c r="C7948" s="15" t="s">
        <v>8</v>
      </c>
      <c r="G7948" s="15" t="s">
        <v>8</v>
      </c>
      <c r="J7948" s="15" t="s">
        <v>8</v>
      </c>
      <c r="K7948" s="16" t="str">
        <f>HYPERLINK("http://yeinfo.com/family/I09024095.html", "SUSANNAH NEWTON 1720 MA-1764 NH ID:09000753")</f>
        <v>SUSANNAH NEWTON 1720 MA-1764 NH ID:09000753</v>
      </c>
      <c r="L7948" s="11"/>
      <c r="M7948" s="11"/>
      <c r="N7948" s="11"/>
      <c r="O7948" s="11"/>
    </row>
    <row r="7949" spans="3:21" x14ac:dyDescent="0.35">
      <c r="C7949" s="15" t="s">
        <v>8</v>
      </c>
      <c r="G7949" s="15" t="s">
        <v>8</v>
      </c>
      <c r="J7949" s="15" t="s">
        <v>8</v>
      </c>
      <c r="L7949" s="15" t="s">
        <v>8</v>
      </c>
    </row>
    <row r="7950" spans="3:21" x14ac:dyDescent="0.35">
      <c r="C7950" s="15" t="s">
        <v>8</v>
      </c>
      <c r="G7950" s="15" t="s">
        <v>8</v>
      </c>
      <c r="J7950" s="15" t="s">
        <v>8</v>
      </c>
      <c r="L7950" s="15" t="s">
        <v>8</v>
      </c>
      <c r="M7950" s="5" t="str">
        <f>HYPERLINK("http://yeinfo.com/family/I09001507.html", "GEORGE RIPLEY 1663 MA-1719 MA ID:09003014")</f>
        <v>GEORGE RIPLEY 1663 MA-1719 MA ID:09003014</v>
      </c>
      <c r="N7950" s="3"/>
      <c r="O7950" s="3"/>
      <c r="P7950" s="3"/>
      <c r="Q7950" s="3"/>
    </row>
    <row r="7951" spans="3:21" x14ac:dyDescent="0.35">
      <c r="C7951" s="15" t="s">
        <v>8</v>
      </c>
      <c r="G7951" s="15" t="s">
        <v>8</v>
      </c>
      <c r="J7951" s="15" t="s">
        <v>8</v>
      </c>
      <c r="L7951" s="8" t="s">
        <v>6</v>
      </c>
      <c r="M7951" s="8" t="s">
        <v>3</v>
      </c>
    </row>
    <row r="7952" spans="3:21" x14ac:dyDescent="0.35">
      <c r="C7952" s="15" t="s">
        <v>8</v>
      </c>
      <c r="G7952" s="15" t="s">
        <v>8</v>
      </c>
      <c r="J7952" s="15" t="s">
        <v>8</v>
      </c>
      <c r="L7952" s="16" t="str">
        <f>HYPERLINK("http://yeinfo.com/family/I09012055.html", "CHRISTIAN RIPLEY 1689 MA-1780 MA ID:09001507")</f>
        <v>CHRISTIAN RIPLEY 1689 MA-1780 MA ID:09001507</v>
      </c>
      <c r="M7952" s="11"/>
      <c r="N7952" s="11"/>
      <c r="O7952" s="11"/>
      <c r="P7952" s="11"/>
    </row>
    <row r="7953" spans="3:19" x14ac:dyDescent="0.35">
      <c r="C7953" s="15" t="s">
        <v>8</v>
      </c>
      <c r="G7953" s="15" t="s">
        <v>8</v>
      </c>
      <c r="J7953" s="15" t="s">
        <v>8</v>
      </c>
      <c r="M7953" s="8" t="s">
        <v>6</v>
      </c>
    </row>
    <row r="7954" spans="3:19" x14ac:dyDescent="0.35">
      <c r="C7954" s="15" t="s">
        <v>8</v>
      </c>
      <c r="G7954" s="15" t="s">
        <v>8</v>
      </c>
      <c r="J7954" s="15" t="s">
        <v>8</v>
      </c>
      <c r="M7954" s="16" t="str">
        <f>HYPERLINK("http://yeinfo.com/family/I09003014.html", "SARAH METCALF 1665 NY-1689 NY ID:09003015")</f>
        <v>SARAH METCALF 1665 NY-1689 NY ID:09003015</v>
      </c>
      <c r="N7954" s="11"/>
      <c r="O7954" s="11"/>
      <c r="P7954" s="11"/>
      <c r="Q7954" s="11"/>
    </row>
    <row r="7955" spans="3:19" x14ac:dyDescent="0.35">
      <c r="C7955" s="15" t="s">
        <v>8</v>
      </c>
      <c r="G7955" s="15" t="s">
        <v>8</v>
      </c>
      <c r="J7955" s="15" t="s">
        <v>8</v>
      </c>
    </row>
    <row r="7956" spans="3:19" x14ac:dyDescent="0.35">
      <c r="C7956" s="15" t="s">
        <v>8</v>
      </c>
      <c r="G7956" s="15" t="s">
        <v>8</v>
      </c>
      <c r="I7956" s="5" t="str">
        <f>HYPERLINK("http://yeinfo.com/family/I09000094.html", "WHITMORE BARRETT 1775 VT-1835 VT ID:09000188")</f>
        <v>WHITMORE BARRETT 1775 VT-1835 VT ID:09000188</v>
      </c>
      <c r="J7956" s="3"/>
      <c r="K7956" s="3"/>
      <c r="L7956" s="3"/>
      <c r="M7956" s="3"/>
    </row>
    <row r="7957" spans="3:19" x14ac:dyDescent="0.35">
      <c r="C7957" s="15" t="s">
        <v>8</v>
      </c>
      <c r="G7957" s="15" t="s">
        <v>8</v>
      </c>
      <c r="I7957" s="8" t="s">
        <v>3</v>
      </c>
      <c r="J7957" s="15" t="s">
        <v>8</v>
      </c>
    </row>
    <row r="7958" spans="3:19" x14ac:dyDescent="0.35">
      <c r="C7958" s="15" t="s">
        <v>8</v>
      </c>
      <c r="G7958" s="15" t="s">
        <v>8</v>
      </c>
      <c r="I7958" s="15" t="s">
        <v>8</v>
      </c>
      <c r="J7958" s="15" t="s">
        <v>8</v>
      </c>
      <c r="O7958" s="5" t="str">
        <f>HYPERLINK("http://yeinfo.com/family/I09006032.html", "NICHOLAS WHITMORE 1600 EN-1625  ID:09012064")</f>
        <v>NICHOLAS WHITMORE 1600 EN-1625  ID:09012064</v>
      </c>
      <c r="P7958" s="3"/>
      <c r="Q7958" s="3"/>
      <c r="R7958" s="3"/>
      <c r="S7958" s="3"/>
    </row>
    <row r="7959" spans="3:19" x14ac:dyDescent="0.35">
      <c r="C7959" s="15" t="s">
        <v>8</v>
      </c>
      <c r="G7959" s="15" t="s">
        <v>8</v>
      </c>
      <c r="I7959" s="15" t="s">
        <v>8</v>
      </c>
      <c r="J7959" s="15" t="s">
        <v>8</v>
      </c>
      <c r="O7959" s="8" t="s">
        <v>3</v>
      </c>
    </row>
    <row r="7960" spans="3:19" x14ac:dyDescent="0.35">
      <c r="C7960" s="15" t="s">
        <v>8</v>
      </c>
      <c r="G7960" s="15" t="s">
        <v>8</v>
      </c>
      <c r="I7960" s="15" t="s">
        <v>8</v>
      </c>
      <c r="J7960" s="15" t="s">
        <v>8</v>
      </c>
      <c r="N7960" s="21" t="str">
        <f>HYPERLINK("http://yeinfo.com/family/I09003016.html", "FRANCIS WHITMORE 1625 EN-1685 MA ID:09006032")</f>
        <v>FRANCIS WHITMORE 1625 EN-1685 MA ID:09006032</v>
      </c>
      <c r="O7960" s="6"/>
      <c r="P7960" s="6"/>
      <c r="Q7960" s="6"/>
      <c r="R7960" s="6"/>
    </row>
    <row r="7961" spans="3:19" x14ac:dyDescent="0.35">
      <c r="C7961" s="15" t="s">
        <v>8</v>
      </c>
      <c r="G7961" s="15" t="s">
        <v>8</v>
      </c>
      <c r="I7961" s="15" t="s">
        <v>8</v>
      </c>
      <c r="J7961" s="15" t="s">
        <v>8</v>
      </c>
      <c r="N7961" s="8" t="s">
        <v>3</v>
      </c>
      <c r="O7961" s="8" t="s">
        <v>6</v>
      </c>
    </row>
    <row r="7962" spans="3:19" x14ac:dyDescent="0.35">
      <c r="C7962" s="15" t="s">
        <v>8</v>
      </c>
      <c r="G7962" s="15" t="s">
        <v>8</v>
      </c>
      <c r="I7962" s="15" t="s">
        <v>8</v>
      </c>
      <c r="J7962" s="15" t="s">
        <v>8</v>
      </c>
      <c r="N7962" s="15" t="s">
        <v>8</v>
      </c>
      <c r="O7962" s="16" t="str">
        <f>HYPERLINK("http://yeinfo.com/family/I09012064.html", "Mrs. {_?_} WHITMORE 1600 EN-1625  ID:09012065")</f>
        <v>Mrs. {_?_} WHITMORE 1600 EN-1625  ID:09012065</v>
      </c>
      <c r="P7962" s="11"/>
      <c r="Q7962" s="11"/>
      <c r="R7962" s="11"/>
      <c r="S7962" s="11"/>
    </row>
    <row r="7963" spans="3:19" x14ac:dyDescent="0.35">
      <c r="C7963" s="15" t="s">
        <v>8</v>
      </c>
      <c r="G7963" s="15" t="s">
        <v>8</v>
      </c>
      <c r="I7963" s="15" t="s">
        <v>8</v>
      </c>
      <c r="J7963" s="15" t="s">
        <v>8</v>
      </c>
      <c r="N7963" s="15" t="s">
        <v>8</v>
      </c>
    </row>
    <row r="7964" spans="3:19" x14ac:dyDescent="0.35">
      <c r="C7964" s="15" t="s">
        <v>8</v>
      </c>
      <c r="G7964" s="15" t="s">
        <v>8</v>
      </c>
      <c r="I7964" s="15" t="s">
        <v>8</v>
      </c>
      <c r="J7964" s="15" t="s">
        <v>8</v>
      </c>
      <c r="M7964" s="5" t="str">
        <f>HYPERLINK("http://yeinfo.com/family/I09001508.html", "FRANCIS WHITMORE 1650 MA-1700 CT ID:09003016")</f>
        <v>FRANCIS WHITMORE 1650 MA-1700 CT ID:09003016</v>
      </c>
      <c r="N7964" s="3"/>
      <c r="O7964" s="3"/>
      <c r="P7964" s="3"/>
      <c r="Q7964" s="3"/>
    </row>
    <row r="7965" spans="3:19" x14ac:dyDescent="0.35">
      <c r="C7965" s="15" t="s">
        <v>8</v>
      </c>
      <c r="G7965" s="15" t="s">
        <v>8</v>
      </c>
      <c r="I7965" s="15" t="s">
        <v>8</v>
      </c>
      <c r="J7965" s="15" t="s">
        <v>8</v>
      </c>
      <c r="M7965" s="8" t="s">
        <v>3</v>
      </c>
      <c r="N7965" s="15" t="s">
        <v>8</v>
      </c>
    </row>
    <row r="7966" spans="3:19" x14ac:dyDescent="0.35">
      <c r="C7966" s="15" t="s">
        <v>8</v>
      </c>
      <c r="G7966" s="15" t="s">
        <v>8</v>
      </c>
      <c r="I7966" s="15" t="s">
        <v>8</v>
      </c>
      <c r="J7966" s="15" t="s">
        <v>8</v>
      </c>
      <c r="M7966" s="15" t="s">
        <v>8</v>
      </c>
      <c r="N7966" s="15" t="s">
        <v>8</v>
      </c>
      <c r="O7966" s="21" t="str">
        <f>HYPERLINK("http://yeinfo.com/family/I09006033.html", "RICHARD PARKE 1602 EN-1665 MA ID:09012066")</f>
        <v>RICHARD PARKE 1602 EN-1665 MA ID:09012066</v>
      </c>
      <c r="P7966" s="6"/>
      <c r="Q7966" s="6"/>
      <c r="R7966" s="6"/>
      <c r="S7966" s="6"/>
    </row>
    <row r="7967" spans="3:19" x14ac:dyDescent="0.35">
      <c r="C7967" s="15" t="s">
        <v>8</v>
      </c>
      <c r="G7967" s="15" t="s">
        <v>8</v>
      </c>
      <c r="I7967" s="15" t="s">
        <v>8</v>
      </c>
      <c r="J7967" s="15" t="s">
        <v>8</v>
      </c>
      <c r="M7967" s="15" t="s">
        <v>8</v>
      </c>
      <c r="N7967" s="8" t="s">
        <v>6</v>
      </c>
      <c r="O7967" s="8" t="s">
        <v>3</v>
      </c>
    </row>
    <row r="7968" spans="3:19" x14ac:dyDescent="0.35">
      <c r="C7968" s="15" t="s">
        <v>8</v>
      </c>
      <c r="G7968" s="15" t="s">
        <v>8</v>
      </c>
      <c r="I7968" s="15" t="s">
        <v>8</v>
      </c>
      <c r="J7968" s="15" t="s">
        <v>8</v>
      </c>
      <c r="M7968" s="15" t="s">
        <v>8</v>
      </c>
      <c r="N7968" s="22" t="str">
        <f>HYPERLINK("http://yeinfo.com/family/I09012065.html", "ISABEL PARKE 1627 EN-1665 MA ID:09006033")</f>
        <v>ISABEL PARKE 1627 EN-1665 MA ID:09006033</v>
      </c>
      <c r="O7968" s="13"/>
      <c r="P7968" s="13"/>
      <c r="Q7968" s="13"/>
      <c r="R7968" s="13"/>
    </row>
    <row r="7969" spans="3:20" x14ac:dyDescent="0.35">
      <c r="C7969" s="15" t="s">
        <v>8</v>
      </c>
      <c r="G7969" s="15" t="s">
        <v>8</v>
      </c>
      <c r="I7969" s="15" t="s">
        <v>8</v>
      </c>
      <c r="J7969" s="15" t="s">
        <v>8</v>
      </c>
      <c r="M7969" s="15" t="s">
        <v>8</v>
      </c>
      <c r="O7969" s="8" t="s">
        <v>6</v>
      </c>
    </row>
    <row r="7970" spans="3:20" x14ac:dyDescent="0.35">
      <c r="C7970" s="15" t="s">
        <v>8</v>
      </c>
      <c r="G7970" s="15" t="s">
        <v>8</v>
      </c>
      <c r="I7970" s="15" t="s">
        <v>8</v>
      </c>
      <c r="J7970" s="15" t="s">
        <v>8</v>
      </c>
      <c r="M7970" s="15" t="s">
        <v>8</v>
      </c>
      <c r="O7970" s="22" t="str">
        <f>HYPERLINK("http://yeinfo.com/family/I09012066.html", "MARGERY CRANE 1595 EN-1650 MA ID:09012067")</f>
        <v>MARGERY CRANE 1595 EN-1650 MA ID:09012067</v>
      </c>
      <c r="P7970" s="13"/>
      <c r="Q7970" s="13"/>
      <c r="R7970" s="13"/>
      <c r="S7970" s="13"/>
    </row>
    <row r="7971" spans="3:20" x14ac:dyDescent="0.35">
      <c r="C7971" s="15" t="s">
        <v>8</v>
      </c>
      <c r="G7971" s="15" t="s">
        <v>8</v>
      </c>
      <c r="I7971" s="15" t="s">
        <v>8</v>
      </c>
      <c r="J7971" s="15" t="s">
        <v>8</v>
      </c>
      <c r="M7971" s="15" t="s">
        <v>8</v>
      </c>
    </row>
    <row r="7972" spans="3:20" x14ac:dyDescent="0.35">
      <c r="C7972" s="15" t="s">
        <v>8</v>
      </c>
      <c r="G7972" s="15" t="s">
        <v>8</v>
      </c>
      <c r="I7972" s="15" t="s">
        <v>8</v>
      </c>
      <c r="J7972" s="15" t="s">
        <v>8</v>
      </c>
      <c r="L7972" s="5" t="str">
        <f>HYPERLINK("http://yeinfo.com/family/I09000754.html", "JOSEPH WHITMORE 1687 CT-1725 CT ID:09001508")</f>
        <v>JOSEPH WHITMORE 1687 CT-1725 CT ID:09001508</v>
      </c>
      <c r="M7972" s="3"/>
      <c r="N7972" s="3"/>
      <c r="O7972" s="3"/>
      <c r="P7972" s="3"/>
    </row>
    <row r="7973" spans="3:20" x14ac:dyDescent="0.35">
      <c r="C7973" s="15" t="s">
        <v>8</v>
      </c>
      <c r="G7973" s="15" t="s">
        <v>8</v>
      </c>
      <c r="I7973" s="15" t="s">
        <v>8</v>
      </c>
      <c r="J7973" s="15" t="s">
        <v>8</v>
      </c>
      <c r="L7973" s="8" t="s">
        <v>3</v>
      </c>
      <c r="M7973" s="15" t="s">
        <v>8</v>
      </c>
    </row>
    <row r="7974" spans="3:20" x14ac:dyDescent="0.35">
      <c r="C7974" s="15" t="s">
        <v>8</v>
      </c>
      <c r="G7974" s="15" t="s">
        <v>8</v>
      </c>
      <c r="I7974" s="15" t="s">
        <v>8</v>
      </c>
      <c r="J7974" s="15" t="s">
        <v>8</v>
      </c>
      <c r="L7974" s="15" t="s">
        <v>8</v>
      </c>
      <c r="M7974" s="15" t="s">
        <v>8</v>
      </c>
      <c r="P7974" s="19" t="str">
        <f>HYPERLINK("http://yeinfo.com/family/I09012068.html", "WILLIAM HARRIS 1545 EN-1590 EN ID:09024136")</f>
        <v>WILLIAM HARRIS 1545 EN-1590 EN ID:09024136</v>
      </c>
      <c r="Q7974" s="9"/>
      <c r="R7974" s="9"/>
      <c r="S7974" s="9"/>
      <c r="T7974" s="9"/>
    </row>
    <row r="7975" spans="3:20" x14ac:dyDescent="0.35">
      <c r="C7975" s="15" t="s">
        <v>8</v>
      </c>
      <c r="G7975" s="15" t="s">
        <v>8</v>
      </c>
      <c r="I7975" s="15" t="s">
        <v>8</v>
      </c>
      <c r="J7975" s="15" t="s">
        <v>8</v>
      </c>
      <c r="L7975" s="15" t="s">
        <v>8</v>
      </c>
      <c r="M7975" s="15" t="s">
        <v>8</v>
      </c>
      <c r="P7975" s="8" t="s">
        <v>3</v>
      </c>
    </row>
    <row r="7976" spans="3:20" x14ac:dyDescent="0.35">
      <c r="C7976" s="15" t="s">
        <v>8</v>
      </c>
      <c r="G7976" s="15" t="s">
        <v>8</v>
      </c>
      <c r="I7976" s="15" t="s">
        <v>8</v>
      </c>
      <c r="J7976" s="15" t="s">
        <v>8</v>
      </c>
      <c r="L7976" s="15" t="s">
        <v>8</v>
      </c>
      <c r="M7976" s="15" t="s">
        <v>8</v>
      </c>
      <c r="O7976" s="21" t="str">
        <f>HYPERLINK("http://yeinfo.com/family/I09006034.html", "THOMAS HARRIS 1590 EN-1635 MA ID:09012068")</f>
        <v>THOMAS HARRIS 1590 EN-1635 MA ID:09012068</v>
      </c>
      <c r="P7976" s="6"/>
      <c r="Q7976" s="6"/>
      <c r="R7976" s="6"/>
      <c r="S7976" s="6"/>
    </row>
    <row r="7977" spans="3:20" x14ac:dyDescent="0.35">
      <c r="C7977" s="15" t="s">
        <v>8</v>
      </c>
      <c r="G7977" s="15" t="s">
        <v>8</v>
      </c>
      <c r="I7977" s="15" t="s">
        <v>8</v>
      </c>
      <c r="J7977" s="15" t="s">
        <v>8</v>
      </c>
      <c r="L7977" s="15" t="s">
        <v>8</v>
      </c>
      <c r="M7977" s="15" t="s">
        <v>8</v>
      </c>
      <c r="O7977" s="8" t="s">
        <v>3</v>
      </c>
      <c r="P7977" s="8" t="s">
        <v>6</v>
      </c>
    </row>
    <row r="7978" spans="3:20" x14ac:dyDescent="0.35">
      <c r="C7978" s="15" t="s">
        <v>8</v>
      </c>
      <c r="G7978" s="15" t="s">
        <v>8</v>
      </c>
      <c r="I7978" s="15" t="s">
        <v>8</v>
      </c>
      <c r="J7978" s="15" t="s">
        <v>8</v>
      </c>
      <c r="L7978" s="15" t="s">
        <v>8</v>
      </c>
      <c r="M7978" s="15" t="s">
        <v>8</v>
      </c>
      <c r="O7978" s="15" t="s">
        <v>8</v>
      </c>
      <c r="P7978" s="20" t="str">
        <f>HYPERLINK("http://yeinfo.com/family/I09024136.html", "AGNES MASON 1545 EN-1590 EN ID:09024137")</f>
        <v>AGNES MASON 1545 EN-1590 EN ID:09024137</v>
      </c>
      <c r="Q7978" s="17"/>
      <c r="R7978" s="17"/>
      <c r="S7978" s="17"/>
      <c r="T7978" s="17"/>
    </row>
    <row r="7979" spans="3:20" x14ac:dyDescent="0.35">
      <c r="C7979" s="15" t="s">
        <v>8</v>
      </c>
      <c r="G7979" s="15" t="s">
        <v>8</v>
      </c>
      <c r="I7979" s="15" t="s">
        <v>8</v>
      </c>
      <c r="J7979" s="15" t="s">
        <v>8</v>
      </c>
      <c r="L7979" s="15" t="s">
        <v>8</v>
      </c>
      <c r="M7979" s="15" t="s">
        <v>8</v>
      </c>
      <c r="O7979" s="15" t="s">
        <v>8</v>
      </c>
    </row>
    <row r="7980" spans="3:20" x14ac:dyDescent="0.35">
      <c r="C7980" s="15" t="s">
        <v>8</v>
      </c>
      <c r="G7980" s="15" t="s">
        <v>8</v>
      </c>
      <c r="I7980" s="15" t="s">
        <v>8</v>
      </c>
      <c r="J7980" s="15" t="s">
        <v>8</v>
      </c>
      <c r="L7980" s="15" t="s">
        <v>8</v>
      </c>
      <c r="M7980" s="15" t="s">
        <v>8</v>
      </c>
      <c r="N7980" s="21" t="str">
        <f>HYPERLINK("http://yeinfo.com/family/I09003017.html", "WILLIAM HARRIS 1620 EN-1717 CT ID:09006034")</f>
        <v>WILLIAM HARRIS 1620 EN-1717 CT ID:09006034</v>
      </c>
      <c r="O7980" s="6"/>
      <c r="P7980" s="6"/>
      <c r="Q7980" s="6"/>
      <c r="R7980" s="6"/>
    </row>
    <row r="7981" spans="3:20" x14ac:dyDescent="0.35">
      <c r="C7981" s="15" t="s">
        <v>8</v>
      </c>
      <c r="G7981" s="15" t="s">
        <v>8</v>
      </c>
      <c r="I7981" s="15" t="s">
        <v>8</v>
      </c>
      <c r="J7981" s="15" t="s">
        <v>8</v>
      </c>
      <c r="L7981" s="15" t="s">
        <v>8</v>
      </c>
      <c r="M7981" s="15" t="s">
        <v>8</v>
      </c>
      <c r="N7981" s="8" t="s">
        <v>3</v>
      </c>
      <c r="O7981" s="8" t="s">
        <v>6</v>
      </c>
    </row>
    <row r="7982" spans="3:20" x14ac:dyDescent="0.35">
      <c r="C7982" s="15" t="s">
        <v>8</v>
      </c>
      <c r="G7982" s="15" t="s">
        <v>8</v>
      </c>
      <c r="I7982" s="15" t="s">
        <v>8</v>
      </c>
      <c r="J7982" s="15" t="s">
        <v>8</v>
      </c>
      <c r="L7982" s="15" t="s">
        <v>8</v>
      </c>
      <c r="M7982" s="15" t="s">
        <v>8</v>
      </c>
      <c r="N7982" s="15" t="s">
        <v>8</v>
      </c>
      <c r="O7982" s="22" t="str">
        <f>HYPERLINK("http://yeinfo.com/family/I09024137.html", "ELIZABETH HILL 1590 EN-1670 MA ID:09012069")</f>
        <v>ELIZABETH HILL 1590 EN-1670 MA ID:09012069</v>
      </c>
      <c r="P7982" s="13"/>
      <c r="Q7982" s="13"/>
      <c r="R7982" s="13"/>
      <c r="S7982" s="13"/>
    </row>
    <row r="7983" spans="3:20" x14ac:dyDescent="0.35">
      <c r="C7983" s="15" t="s">
        <v>8</v>
      </c>
      <c r="G7983" s="15" t="s">
        <v>8</v>
      </c>
      <c r="I7983" s="15" t="s">
        <v>8</v>
      </c>
      <c r="J7983" s="15" t="s">
        <v>8</v>
      </c>
      <c r="L7983" s="15" t="s">
        <v>8</v>
      </c>
      <c r="M7983" s="8" t="s">
        <v>6</v>
      </c>
      <c r="N7983" s="15" t="s">
        <v>8</v>
      </c>
    </row>
    <row r="7984" spans="3:20" x14ac:dyDescent="0.35">
      <c r="C7984" s="15" t="s">
        <v>8</v>
      </c>
      <c r="G7984" s="15" t="s">
        <v>8</v>
      </c>
      <c r="I7984" s="15" t="s">
        <v>8</v>
      </c>
      <c r="J7984" s="15" t="s">
        <v>8</v>
      </c>
      <c r="L7984" s="15" t="s">
        <v>8</v>
      </c>
      <c r="M7984" s="16" t="str">
        <f>HYPERLINK("http://yeinfo.com/family/I09012067.html", "HANNAH HARRIS 1652 MA-1698 CT ID:09003017")</f>
        <v>HANNAH HARRIS 1652 MA-1698 CT ID:09003017</v>
      </c>
      <c r="N7984" s="11"/>
      <c r="O7984" s="11"/>
      <c r="P7984" s="11"/>
      <c r="Q7984" s="11"/>
    </row>
    <row r="7985" spans="3:21" x14ac:dyDescent="0.35">
      <c r="C7985" s="15" t="s">
        <v>8</v>
      </c>
      <c r="G7985" s="15" t="s">
        <v>8</v>
      </c>
      <c r="I7985" s="15" t="s">
        <v>8</v>
      </c>
      <c r="J7985" s="15" t="s">
        <v>8</v>
      </c>
      <c r="L7985" s="15" t="s">
        <v>8</v>
      </c>
      <c r="N7985" s="8" t="s">
        <v>6</v>
      </c>
    </row>
    <row r="7986" spans="3:21" x14ac:dyDescent="0.35">
      <c r="C7986" s="15" t="s">
        <v>8</v>
      </c>
      <c r="G7986" s="15" t="s">
        <v>8</v>
      </c>
      <c r="I7986" s="15" t="s">
        <v>8</v>
      </c>
      <c r="J7986" s="15" t="s">
        <v>8</v>
      </c>
      <c r="L7986" s="15" t="s">
        <v>8</v>
      </c>
      <c r="N7986" s="22" t="str">
        <f>HYPERLINK("http://yeinfo.com/family/I09012069.html", "EDITH BLIGH 1620 EN-1685 CT ID:09006035")</f>
        <v>EDITH BLIGH 1620 EN-1685 CT ID:09006035</v>
      </c>
      <c r="O7986" s="13"/>
      <c r="P7986" s="13"/>
      <c r="Q7986" s="13"/>
      <c r="R7986" s="13"/>
    </row>
    <row r="7987" spans="3:21" x14ac:dyDescent="0.35">
      <c r="C7987" s="15" t="s">
        <v>8</v>
      </c>
      <c r="G7987" s="15" t="s">
        <v>8</v>
      </c>
      <c r="I7987" s="15" t="s">
        <v>8</v>
      </c>
      <c r="J7987" s="15" t="s">
        <v>8</v>
      </c>
      <c r="L7987" s="15" t="s">
        <v>8</v>
      </c>
    </row>
    <row r="7988" spans="3:21" x14ac:dyDescent="0.35">
      <c r="C7988" s="15" t="s">
        <v>8</v>
      </c>
      <c r="G7988" s="15" t="s">
        <v>8</v>
      </c>
      <c r="I7988" s="15" t="s">
        <v>8</v>
      </c>
      <c r="J7988" s="15" t="s">
        <v>8</v>
      </c>
      <c r="K7988" s="5" t="str">
        <f>HYPERLINK("http://yeinfo.com/family/I09000377.html", "FRANCIS WHITMORE 1725 CT-1755 VT ID:09000754")</f>
        <v>FRANCIS WHITMORE 1725 CT-1755 VT ID:09000754</v>
      </c>
      <c r="L7988" s="3"/>
      <c r="M7988" s="3"/>
      <c r="N7988" s="3"/>
      <c r="O7988" s="3"/>
    </row>
    <row r="7989" spans="3:21" x14ac:dyDescent="0.35">
      <c r="C7989" s="15" t="s">
        <v>8</v>
      </c>
      <c r="G7989" s="15" t="s">
        <v>8</v>
      </c>
      <c r="I7989" s="15" t="s">
        <v>8</v>
      </c>
      <c r="J7989" s="15" t="s">
        <v>8</v>
      </c>
      <c r="K7989" s="8" t="s">
        <v>3</v>
      </c>
      <c r="L7989" s="15" t="s">
        <v>8</v>
      </c>
    </row>
    <row r="7990" spans="3:21" x14ac:dyDescent="0.35">
      <c r="C7990" s="15" t="s">
        <v>8</v>
      </c>
      <c r="G7990" s="15" t="s">
        <v>8</v>
      </c>
      <c r="I7990" s="15" t="s">
        <v>8</v>
      </c>
      <c r="J7990" s="15" t="s">
        <v>8</v>
      </c>
      <c r="K7990" s="15" t="s">
        <v>8</v>
      </c>
      <c r="L7990" s="15" t="s">
        <v>8</v>
      </c>
      <c r="Q7990" s="19" t="str">
        <f>HYPERLINK("http://yeinfo.com/family/I09041460.html", "JOHN WARNER &lt;4&gt; 1545 EN-1584 EN ID:09041460")</f>
        <v>JOHN WARNER &lt;4&gt; 1545 EN-1584 EN ID:09041460</v>
      </c>
      <c r="R7990" s="9"/>
      <c r="S7990" s="9"/>
      <c r="T7990" s="9"/>
      <c r="U7990" s="9"/>
    </row>
    <row r="7991" spans="3:21" x14ac:dyDescent="0.35">
      <c r="C7991" s="15" t="s">
        <v>8</v>
      </c>
      <c r="G7991" s="15" t="s">
        <v>8</v>
      </c>
      <c r="I7991" s="15" t="s">
        <v>8</v>
      </c>
      <c r="J7991" s="15" t="s">
        <v>8</v>
      </c>
      <c r="K7991" s="15" t="s">
        <v>8</v>
      </c>
      <c r="L7991" s="15" t="s">
        <v>8</v>
      </c>
      <c r="Q7991" s="8" t="s">
        <v>3</v>
      </c>
    </row>
    <row r="7992" spans="3:21" x14ac:dyDescent="0.35">
      <c r="C7992" s="15" t="s">
        <v>8</v>
      </c>
      <c r="G7992" s="15" t="s">
        <v>8</v>
      </c>
      <c r="I7992" s="15" t="s">
        <v>8</v>
      </c>
      <c r="J7992" s="15" t="s">
        <v>8</v>
      </c>
      <c r="K7992" s="15" t="s">
        <v>8</v>
      </c>
      <c r="L7992" s="15" t="s">
        <v>8</v>
      </c>
      <c r="P7992" s="19" t="str">
        <f>HYPERLINK("http://yeinfo.com/family/I09020730.html", "JOHN WARNER &lt;4&gt; 1570 EN-1614 EN ID:09020730")</f>
        <v>JOHN WARNER &lt;4&gt; 1570 EN-1614 EN ID:09020730</v>
      </c>
      <c r="Q7992" s="9"/>
      <c r="R7992" s="9"/>
      <c r="S7992" s="9"/>
      <c r="T7992" s="9"/>
    </row>
    <row r="7993" spans="3:21" x14ac:dyDescent="0.35">
      <c r="C7993" s="15" t="s">
        <v>8</v>
      </c>
      <c r="G7993" s="15" t="s">
        <v>8</v>
      </c>
      <c r="I7993" s="15" t="s">
        <v>8</v>
      </c>
      <c r="J7993" s="15" t="s">
        <v>8</v>
      </c>
      <c r="K7993" s="15" t="s">
        <v>8</v>
      </c>
      <c r="L7993" s="15" t="s">
        <v>8</v>
      </c>
      <c r="P7993" s="8" t="s">
        <v>3</v>
      </c>
      <c r="Q7993" s="8" t="s">
        <v>6</v>
      </c>
    </row>
    <row r="7994" spans="3:21" x14ac:dyDescent="0.35">
      <c r="C7994" s="15" t="s">
        <v>8</v>
      </c>
      <c r="G7994" s="15" t="s">
        <v>8</v>
      </c>
      <c r="I7994" s="15" t="s">
        <v>8</v>
      </c>
      <c r="J7994" s="15" t="s">
        <v>8</v>
      </c>
      <c r="K7994" s="15" t="s">
        <v>8</v>
      </c>
      <c r="L7994" s="15" t="s">
        <v>8</v>
      </c>
      <c r="P7994" s="15" t="s">
        <v>8</v>
      </c>
      <c r="Q7994" s="20" t="str">
        <f>HYPERLINK("http://yeinfo.com/family/I09041461.html", "Mrs. MARGARET WARNER &lt;4&gt; 1545 EN-1570  ID:09041461")</f>
        <v>Mrs. MARGARET WARNER &lt;4&gt; 1545 EN-1570  ID:09041461</v>
      </c>
      <c r="R7994" s="17"/>
      <c r="S7994" s="17"/>
      <c r="T7994" s="17"/>
      <c r="U7994" s="17"/>
    </row>
    <row r="7995" spans="3:21" x14ac:dyDescent="0.35">
      <c r="C7995" s="15" t="s">
        <v>8</v>
      </c>
      <c r="G7995" s="15" t="s">
        <v>8</v>
      </c>
      <c r="I7995" s="15" t="s">
        <v>8</v>
      </c>
      <c r="J7995" s="15" t="s">
        <v>8</v>
      </c>
      <c r="K7995" s="15" t="s">
        <v>8</v>
      </c>
      <c r="L7995" s="15" t="s">
        <v>8</v>
      </c>
      <c r="P7995" s="15" t="s">
        <v>8</v>
      </c>
    </row>
    <row r="7996" spans="3:21" x14ac:dyDescent="0.35">
      <c r="C7996" s="15" t="s">
        <v>8</v>
      </c>
      <c r="G7996" s="15" t="s">
        <v>8</v>
      </c>
      <c r="I7996" s="15" t="s">
        <v>8</v>
      </c>
      <c r="J7996" s="15" t="s">
        <v>8</v>
      </c>
      <c r="K7996" s="15" t="s">
        <v>8</v>
      </c>
      <c r="L7996" s="15" t="s">
        <v>8</v>
      </c>
      <c r="O7996" s="21" t="str">
        <f>HYPERLINK("http://yeinfo.com/family/I09002696.html", "ANDREW WARNER &lt;2&gt; 1595 EN-1684 MA ID:09002696")</f>
        <v>ANDREW WARNER &lt;2&gt; 1595 EN-1684 MA ID:09002696</v>
      </c>
      <c r="P7996" s="6"/>
      <c r="Q7996" s="6"/>
      <c r="R7996" s="6"/>
      <c r="S7996" s="6"/>
    </row>
    <row r="7997" spans="3:21" x14ac:dyDescent="0.35">
      <c r="C7997" s="15" t="s">
        <v>8</v>
      </c>
      <c r="G7997" s="15" t="s">
        <v>8</v>
      </c>
      <c r="I7997" s="15" t="s">
        <v>8</v>
      </c>
      <c r="J7997" s="15" t="s">
        <v>8</v>
      </c>
      <c r="K7997" s="15" t="s">
        <v>8</v>
      </c>
      <c r="L7997" s="15" t="s">
        <v>8</v>
      </c>
      <c r="O7997" s="8" t="s">
        <v>3</v>
      </c>
      <c r="P7997" s="15" t="s">
        <v>8</v>
      </c>
    </row>
    <row r="7998" spans="3:21" x14ac:dyDescent="0.35">
      <c r="C7998" s="15" t="s">
        <v>8</v>
      </c>
      <c r="G7998" s="15" t="s">
        <v>8</v>
      </c>
      <c r="I7998" s="15" t="s">
        <v>8</v>
      </c>
      <c r="J7998" s="15" t="s">
        <v>8</v>
      </c>
      <c r="K7998" s="15" t="s">
        <v>8</v>
      </c>
      <c r="L7998" s="15" t="s">
        <v>8</v>
      </c>
      <c r="O7998" s="15" t="s">
        <v>8</v>
      </c>
      <c r="P7998" s="15" t="s">
        <v>8</v>
      </c>
      <c r="Q7998" s="19" t="str">
        <f>HYPERLINK("http://yeinfo.com/family/I09041462.html", "JOHN PURCHAS &lt;4&gt; 1550 EN-1585 EN ID:09041462")</f>
        <v>JOHN PURCHAS &lt;4&gt; 1550 EN-1585 EN ID:09041462</v>
      </c>
      <c r="R7998" s="9"/>
      <c r="S7998" s="9"/>
      <c r="T7998" s="9"/>
      <c r="U7998" s="9"/>
    </row>
    <row r="7999" spans="3:21" x14ac:dyDescent="0.35">
      <c r="C7999" s="15" t="s">
        <v>8</v>
      </c>
      <c r="G7999" s="15" t="s">
        <v>8</v>
      </c>
      <c r="I7999" s="15" t="s">
        <v>8</v>
      </c>
      <c r="J7999" s="15" t="s">
        <v>8</v>
      </c>
      <c r="K7999" s="15" t="s">
        <v>8</v>
      </c>
      <c r="L7999" s="15" t="s">
        <v>8</v>
      </c>
      <c r="O7999" s="15" t="s">
        <v>8</v>
      </c>
      <c r="P7999" s="8" t="s">
        <v>6</v>
      </c>
      <c r="Q7999" s="8" t="s">
        <v>3</v>
      </c>
    </row>
    <row r="8000" spans="3:21" x14ac:dyDescent="0.35">
      <c r="C8000" s="15" t="s">
        <v>8</v>
      </c>
      <c r="G8000" s="15" t="s">
        <v>8</v>
      </c>
      <c r="I8000" s="15" t="s">
        <v>8</v>
      </c>
      <c r="J8000" s="15" t="s">
        <v>8</v>
      </c>
      <c r="K8000" s="15" t="s">
        <v>8</v>
      </c>
      <c r="L8000" s="15" t="s">
        <v>8</v>
      </c>
      <c r="O8000" s="15" t="s">
        <v>8</v>
      </c>
      <c r="P8000" s="20" t="str">
        <f>HYPERLINK("http://yeinfo.com/family/I09020731.html", "MARY PURCHAS &lt;4&gt; 1570 EN-1627 EN ID:09020731")</f>
        <v>MARY PURCHAS &lt;4&gt; 1570 EN-1627 EN ID:09020731</v>
      </c>
      <c r="Q8000" s="17"/>
      <c r="R8000" s="17"/>
      <c r="S8000" s="17"/>
      <c r="T8000" s="17"/>
    </row>
    <row r="8001" spans="3:21" x14ac:dyDescent="0.35">
      <c r="C8001" s="15" t="s">
        <v>8</v>
      </c>
      <c r="G8001" s="15" t="s">
        <v>8</v>
      </c>
      <c r="I8001" s="15" t="s">
        <v>8</v>
      </c>
      <c r="J8001" s="15" t="s">
        <v>8</v>
      </c>
      <c r="K8001" s="15" t="s">
        <v>8</v>
      </c>
      <c r="L8001" s="15" t="s">
        <v>8</v>
      </c>
      <c r="O8001" s="15" t="s">
        <v>8</v>
      </c>
      <c r="Q8001" s="8" t="s">
        <v>6</v>
      </c>
    </row>
    <row r="8002" spans="3:21" x14ac:dyDescent="0.35">
      <c r="C8002" s="15" t="s">
        <v>8</v>
      </c>
      <c r="G8002" s="15" t="s">
        <v>8</v>
      </c>
      <c r="I8002" s="15" t="s">
        <v>8</v>
      </c>
      <c r="J8002" s="15" t="s">
        <v>8</v>
      </c>
      <c r="K8002" s="15" t="s">
        <v>8</v>
      </c>
      <c r="L8002" s="15" t="s">
        <v>8</v>
      </c>
      <c r="O8002" s="15" t="s">
        <v>8</v>
      </c>
      <c r="Q8002" s="20" t="str">
        <f>HYPERLINK("http://yeinfo.com/family/I09041463.html", "MARGARET KREABLES &lt;4&gt; 1550 EN-1570  ID:09041463")</f>
        <v>MARGARET KREABLES &lt;4&gt; 1550 EN-1570  ID:09041463</v>
      </c>
      <c r="R8002" s="17"/>
      <c r="S8002" s="17"/>
      <c r="T8002" s="17"/>
      <c r="U8002" s="17"/>
    </row>
    <row r="8003" spans="3:21" x14ac:dyDescent="0.35">
      <c r="C8003" s="15" t="s">
        <v>8</v>
      </c>
      <c r="G8003" s="15" t="s">
        <v>8</v>
      </c>
      <c r="I8003" s="15" t="s">
        <v>8</v>
      </c>
      <c r="J8003" s="15" t="s">
        <v>8</v>
      </c>
      <c r="K8003" s="15" t="s">
        <v>8</v>
      </c>
      <c r="L8003" s="15" t="s">
        <v>8</v>
      </c>
      <c r="O8003" s="15" t="s">
        <v>8</v>
      </c>
    </row>
    <row r="8004" spans="3:21" x14ac:dyDescent="0.35">
      <c r="C8004" s="15" t="s">
        <v>8</v>
      </c>
      <c r="G8004" s="15" t="s">
        <v>8</v>
      </c>
      <c r="I8004" s="15" t="s">
        <v>8</v>
      </c>
      <c r="J8004" s="15" t="s">
        <v>8</v>
      </c>
      <c r="K8004" s="15" t="s">
        <v>8</v>
      </c>
      <c r="L8004" s="15" t="s">
        <v>8</v>
      </c>
      <c r="N8004" s="21" t="str">
        <f>HYPERLINK("http://yeinfo.com/family/I09003018.html", "ROBERT WARNER 1629 EN-1690 CT ID:09006036")</f>
        <v>ROBERT WARNER 1629 EN-1690 CT ID:09006036</v>
      </c>
      <c r="O8004" s="6"/>
      <c r="P8004" s="6"/>
      <c r="Q8004" s="6"/>
      <c r="R8004" s="6"/>
    </row>
    <row r="8005" spans="3:21" x14ac:dyDescent="0.35">
      <c r="C8005" s="15" t="s">
        <v>8</v>
      </c>
      <c r="G8005" s="15" t="s">
        <v>8</v>
      </c>
      <c r="I8005" s="15" t="s">
        <v>8</v>
      </c>
      <c r="J8005" s="15" t="s">
        <v>8</v>
      </c>
      <c r="K8005" s="15" t="s">
        <v>8</v>
      </c>
      <c r="L8005" s="15" t="s">
        <v>8</v>
      </c>
      <c r="N8005" s="8" t="s">
        <v>3</v>
      </c>
      <c r="O8005" s="15" t="s">
        <v>8</v>
      </c>
    </row>
    <row r="8006" spans="3:21" x14ac:dyDescent="0.35">
      <c r="C8006" s="15" t="s">
        <v>8</v>
      </c>
      <c r="G8006" s="15" t="s">
        <v>8</v>
      </c>
      <c r="I8006" s="15" t="s">
        <v>8</v>
      </c>
      <c r="J8006" s="15" t="s">
        <v>8</v>
      </c>
      <c r="K8006" s="15" t="s">
        <v>8</v>
      </c>
      <c r="L8006" s="15" t="s">
        <v>8</v>
      </c>
      <c r="N8006" s="15" t="s">
        <v>8</v>
      </c>
      <c r="O8006" s="15" t="s">
        <v>8</v>
      </c>
      <c r="P8006" s="5" t="str">
        <f>HYPERLINK("http://yeinfo.com/family/I09012073.html", "ROBERT HUMPHREY 1573 -1637  ID:09024146")</f>
        <v>ROBERT HUMPHREY 1573 -1637  ID:09024146</v>
      </c>
      <c r="Q8006" s="3"/>
      <c r="R8006" s="3"/>
      <c r="S8006" s="3"/>
      <c r="T8006" s="3"/>
    </row>
    <row r="8007" spans="3:21" x14ac:dyDescent="0.35">
      <c r="C8007" s="15" t="s">
        <v>8</v>
      </c>
      <c r="G8007" s="15" t="s">
        <v>8</v>
      </c>
      <c r="I8007" s="15" t="s">
        <v>8</v>
      </c>
      <c r="J8007" s="15" t="s">
        <v>8</v>
      </c>
      <c r="K8007" s="15" t="s">
        <v>8</v>
      </c>
      <c r="L8007" s="15" t="s">
        <v>8</v>
      </c>
      <c r="N8007" s="15" t="s">
        <v>8</v>
      </c>
      <c r="O8007" s="8" t="s">
        <v>6</v>
      </c>
      <c r="P8007" s="8" t="s">
        <v>3</v>
      </c>
    </row>
    <row r="8008" spans="3:21" x14ac:dyDescent="0.35">
      <c r="C8008" s="15" t="s">
        <v>8</v>
      </c>
      <c r="G8008" s="15" t="s">
        <v>8</v>
      </c>
      <c r="I8008" s="15" t="s">
        <v>8</v>
      </c>
      <c r="J8008" s="15" t="s">
        <v>8</v>
      </c>
      <c r="K8008" s="15" t="s">
        <v>8</v>
      </c>
      <c r="L8008" s="15" t="s">
        <v>8</v>
      </c>
      <c r="N8008" s="15" t="s">
        <v>8</v>
      </c>
      <c r="O8008" s="22" t="str">
        <f>HYPERLINK("http://yeinfo.com/family/I09006036.html", "MARY HUMPHREY 1602 EN-1660 MA ID:09012073")</f>
        <v>MARY HUMPHREY 1602 EN-1660 MA ID:09012073</v>
      </c>
      <c r="P8008" s="13"/>
      <c r="Q8008" s="13"/>
      <c r="R8008" s="13"/>
      <c r="S8008" s="13"/>
    </row>
    <row r="8009" spans="3:21" x14ac:dyDescent="0.35">
      <c r="C8009" s="15" t="s">
        <v>8</v>
      </c>
      <c r="G8009" s="15" t="s">
        <v>8</v>
      </c>
      <c r="I8009" s="15" t="s">
        <v>8</v>
      </c>
      <c r="J8009" s="15" t="s">
        <v>8</v>
      </c>
      <c r="K8009" s="15" t="s">
        <v>8</v>
      </c>
      <c r="L8009" s="15" t="s">
        <v>8</v>
      </c>
      <c r="N8009" s="15" t="s">
        <v>8</v>
      </c>
      <c r="P8009" s="8" t="s">
        <v>6</v>
      </c>
    </row>
    <row r="8010" spans="3:21" x14ac:dyDescent="0.35">
      <c r="C8010" s="15" t="s">
        <v>8</v>
      </c>
      <c r="G8010" s="15" t="s">
        <v>8</v>
      </c>
      <c r="I8010" s="15" t="s">
        <v>8</v>
      </c>
      <c r="J8010" s="15" t="s">
        <v>8</v>
      </c>
      <c r="K8010" s="15" t="s">
        <v>8</v>
      </c>
      <c r="L8010" s="15" t="s">
        <v>8</v>
      </c>
      <c r="N8010" s="15" t="s">
        <v>8</v>
      </c>
      <c r="P8010" s="16" t="str">
        <f>HYPERLINK("http://yeinfo.com/family/I09024146.html", "ANN HOLLAND 1575 -1603 EN ID:09024147")</f>
        <v>ANN HOLLAND 1575 -1603 EN ID:09024147</v>
      </c>
      <c r="Q8010" s="11"/>
      <c r="R8010" s="11"/>
      <c r="S8010" s="11"/>
      <c r="T8010" s="11"/>
    </row>
    <row r="8011" spans="3:21" x14ac:dyDescent="0.35">
      <c r="C8011" s="15" t="s">
        <v>8</v>
      </c>
      <c r="G8011" s="15" t="s">
        <v>8</v>
      </c>
      <c r="I8011" s="15" t="s">
        <v>8</v>
      </c>
      <c r="J8011" s="15" t="s">
        <v>8</v>
      </c>
      <c r="K8011" s="15" t="s">
        <v>8</v>
      </c>
      <c r="L8011" s="15" t="s">
        <v>8</v>
      </c>
      <c r="N8011" s="15" t="s">
        <v>8</v>
      </c>
    </row>
    <row r="8012" spans="3:21" x14ac:dyDescent="0.35">
      <c r="C8012" s="15" t="s">
        <v>8</v>
      </c>
      <c r="G8012" s="15" t="s">
        <v>8</v>
      </c>
      <c r="I8012" s="15" t="s">
        <v>8</v>
      </c>
      <c r="J8012" s="15" t="s">
        <v>8</v>
      </c>
      <c r="K8012" s="15" t="s">
        <v>8</v>
      </c>
      <c r="L8012" s="15" t="s">
        <v>8</v>
      </c>
      <c r="M8012" s="5" t="str">
        <f>HYPERLINK("http://yeinfo.com/family/I09001509.html", "SETH WARNER 1658 CT-1713 CT ID:09003018")</f>
        <v>SETH WARNER 1658 CT-1713 CT ID:09003018</v>
      </c>
      <c r="N8012" s="3"/>
      <c r="O8012" s="3"/>
      <c r="P8012" s="3"/>
      <c r="Q8012" s="3"/>
    </row>
    <row r="8013" spans="3:21" x14ac:dyDescent="0.35">
      <c r="C8013" s="15" t="s">
        <v>8</v>
      </c>
      <c r="G8013" s="15" t="s">
        <v>8</v>
      </c>
      <c r="I8013" s="15" t="s">
        <v>8</v>
      </c>
      <c r="J8013" s="15" t="s">
        <v>8</v>
      </c>
      <c r="K8013" s="15" t="s">
        <v>8</v>
      </c>
      <c r="L8013" s="15" t="s">
        <v>8</v>
      </c>
      <c r="M8013" s="8" t="s">
        <v>3</v>
      </c>
      <c r="N8013" s="15" t="s">
        <v>8</v>
      </c>
    </row>
    <row r="8014" spans="3:21" x14ac:dyDescent="0.35">
      <c r="C8014" s="15" t="s">
        <v>8</v>
      </c>
      <c r="G8014" s="15" t="s">
        <v>8</v>
      </c>
      <c r="I8014" s="15" t="s">
        <v>8</v>
      </c>
      <c r="J8014" s="15" t="s">
        <v>8</v>
      </c>
      <c r="K8014" s="15" t="s">
        <v>8</v>
      </c>
      <c r="L8014" s="15" t="s">
        <v>8</v>
      </c>
      <c r="M8014" s="15" t="s">
        <v>8</v>
      </c>
      <c r="N8014" s="15" t="s">
        <v>8</v>
      </c>
      <c r="O8014" s="5" t="str">
        <f>HYPERLINK("http://yeinfo.com/family/I09006037.html", "SETH GRANT 1610 EN-1636  ID:09012074")</f>
        <v>SETH GRANT 1610 EN-1636  ID:09012074</v>
      </c>
      <c r="P8014" s="3"/>
      <c r="Q8014" s="3"/>
      <c r="R8014" s="3"/>
      <c r="S8014" s="3"/>
    </row>
    <row r="8015" spans="3:21" x14ac:dyDescent="0.35">
      <c r="C8015" s="15" t="s">
        <v>8</v>
      </c>
      <c r="G8015" s="15" t="s">
        <v>8</v>
      </c>
      <c r="I8015" s="15" t="s">
        <v>8</v>
      </c>
      <c r="J8015" s="15" t="s">
        <v>8</v>
      </c>
      <c r="K8015" s="15" t="s">
        <v>8</v>
      </c>
      <c r="L8015" s="15" t="s">
        <v>8</v>
      </c>
      <c r="M8015" s="15" t="s">
        <v>8</v>
      </c>
      <c r="N8015" s="8" t="s">
        <v>6</v>
      </c>
      <c r="O8015" s="8" t="s">
        <v>3</v>
      </c>
    </row>
    <row r="8016" spans="3:21" x14ac:dyDescent="0.35">
      <c r="C8016" s="15" t="s">
        <v>8</v>
      </c>
      <c r="G8016" s="15" t="s">
        <v>8</v>
      </c>
      <c r="I8016" s="15" t="s">
        <v>8</v>
      </c>
      <c r="J8016" s="15" t="s">
        <v>8</v>
      </c>
      <c r="K8016" s="15" t="s">
        <v>8</v>
      </c>
      <c r="L8016" s="15" t="s">
        <v>8</v>
      </c>
      <c r="M8016" s="15" t="s">
        <v>8</v>
      </c>
      <c r="N8016" s="22" t="str">
        <f>HYPERLINK("http://yeinfo.com/family/I09024147.html", "ELIZABETH GRANT 1630 EN-1673 CT ID:09006037")</f>
        <v>ELIZABETH GRANT 1630 EN-1673 CT ID:09006037</v>
      </c>
      <c r="O8016" s="13"/>
      <c r="P8016" s="13"/>
      <c r="Q8016" s="13"/>
      <c r="R8016" s="13"/>
    </row>
    <row r="8017" spans="3:20" x14ac:dyDescent="0.35">
      <c r="C8017" s="15" t="s">
        <v>8</v>
      </c>
      <c r="G8017" s="15" t="s">
        <v>8</v>
      </c>
      <c r="I8017" s="15" t="s">
        <v>8</v>
      </c>
      <c r="J8017" s="15" t="s">
        <v>8</v>
      </c>
      <c r="K8017" s="15" t="s">
        <v>8</v>
      </c>
      <c r="L8017" s="15" t="s">
        <v>8</v>
      </c>
      <c r="M8017" s="15" t="s">
        <v>8</v>
      </c>
      <c r="O8017" s="8" t="s">
        <v>6</v>
      </c>
    </row>
    <row r="8018" spans="3:20" x14ac:dyDescent="0.35">
      <c r="C8018" s="15" t="s">
        <v>8</v>
      </c>
      <c r="G8018" s="15" t="s">
        <v>8</v>
      </c>
      <c r="I8018" s="15" t="s">
        <v>8</v>
      </c>
      <c r="J8018" s="15" t="s">
        <v>8</v>
      </c>
      <c r="K8018" s="15" t="s">
        <v>8</v>
      </c>
      <c r="L8018" s="15" t="s">
        <v>8</v>
      </c>
      <c r="M8018" s="15" t="s">
        <v>8</v>
      </c>
      <c r="O8018" s="22" t="str">
        <f>HYPERLINK("http://yeinfo.com/family/I09012074.html", "ELIZABETH\MARGERY GREGORY 1612 EN-1681 CT ID:09012075")</f>
        <v>ELIZABETH\MARGERY GREGORY 1612 EN-1681 CT ID:09012075</v>
      </c>
      <c r="P8018" s="13"/>
      <c r="Q8018" s="13"/>
      <c r="R8018" s="13"/>
      <c r="S8018" s="13"/>
      <c r="T8018" s="13"/>
    </row>
    <row r="8019" spans="3:20" x14ac:dyDescent="0.35">
      <c r="C8019" s="15" t="s">
        <v>8</v>
      </c>
      <c r="G8019" s="15" t="s">
        <v>8</v>
      </c>
      <c r="I8019" s="15" t="s">
        <v>8</v>
      </c>
      <c r="J8019" s="15" t="s">
        <v>8</v>
      </c>
      <c r="K8019" s="15" t="s">
        <v>8</v>
      </c>
      <c r="L8019" s="8" t="s">
        <v>6</v>
      </c>
      <c r="M8019" s="15" t="s">
        <v>8</v>
      </c>
    </row>
    <row r="8020" spans="3:20" x14ac:dyDescent="0.35">
      <c r="C8020" s="15" t="s">
        <v>8</v>
      </c>
      <c r="G8020" s="15" t="s">
        <v>8</v>
      </c>
      <c r="I8020" s="15" t="s">
        <v>8</v>
      </c>
      <c r="J8020" s="15" t="s">
        <v>8</v>
      </c>
      <c r="K8020" s="15" t="s">
        <v>8</v>
      </c>
      <c r="L8020" s="16" t="str">
        <f>HYPERLINK("http://yeinfo.com/family/I09006035.html", "MARY WARNER 1687 CT-1732 CT ID:09001509")</f>
        <v>MARY WARNER 1687 CT-1732 CT ID:09001509</v>
      </c>
      <c r="M8020" s="11"/>
      <c r="N8020" s="11"/>
      <c r="O8020" s="11"/>
      <c r="P8020" s="11"/>
    </row>
    <row r="8021" spans="3:20" x14ac:dyDescent="0.35">
      <c r="C8021" s="15" t="s">
        <v>8</v>
      </c>
      <c r="G8021" s="15" t="s">
        <v>8</v>
      </c>
      <c r="I8021" s="15" t="s">
        <v>8</v>
      </c>
      <c r="J8021" s="15" t="s">
        <v>8</v>
      </c>
      <c r="K8021" s="15" t="s">
        <v>8</v>
      </c>
      <c r="M8021" s="15" t="s">
        <v>8</v>
      </c>
    </row>
    <row r="8022" spans="3:20" x14ac:dyDescent="0.35">
      <c r="C8022" s="15" t="s">
        <v>8</v>
      </c>
      <c r="G8022" s="15" t="s">
        <v>8</v>
      </c>
      <c r="I8022" s="15" t="s">
        <v>8</v>
      </c>
      <c r="J8022" s="15" t="s">
        <v>8</v>
      </c>
      <c r="K8022" s="15" t="s">
        <v>8</v>
      </c>
      <c r="M8022" s="15" t="s">
        <v>8</v>
      </c>
      <c r="N8022" s="5" t="str">
        <f>HYPERLINK("http://yeinfo.com/family/I09003019.html", "SAMUEL WARD 1635 EN-1669  ID:09006038")</f>
        <v>SAMUEL WARD 1635 EN-1669  ID:09006038</v>
      </c>
      <c r="O8022" s="3"/>
      <c r="P8022" s="3"/>
      <c r="Q8022" s="3"/>
      <c r="R8022" s="3"/>
    </row>
    <row r="8023" spans="3:20" x14ac:dyDescent="0.35">
      <c r="C8023" s="15" t="s">
        <v>8</v>
      </c>
      <c r="G8023" s="15" t="s">
        <v>8</v>
      </c>
      <c r="I8023" s="15" t="s">
        <v>8</v>
      </c>
      <c r="J8023" s="15" t="s">
        <v>8</v>
      </c>
      <c r="K8023" s="15" t="s">
        <v>8</v>
      </c>
      <c r="M8023" s="8" t="s">
        <v>6</v>
      </c>
      <c r="N8023" s="8" t="s">
        <v>3</v>
      </c>
    </row>
    <row r="8024" spans="3:20" x14ac:dyDescent="0.35">
      <c r="C8024" s="15" t="s">
        <v>8</v>
      </c>
      <c r="G8024" s="15" t="s">
        <v>8</v>
      </c>
      <c r="I8024" s="15" t="s">
        <v>8</v>
      </c>
      <c r="J8024" s="15" t="s">
        <v>8</v>
      </c>
      <c r="K8024" s="15" t="s">
        <v>8</v>
      </c>
      <c r="M8024" s="16" t="str">
        <f>HYPERLINK("http://yeinfo.com/family/I09012075.html", "MARY WARD 1662 CT-1729 CT ID:09003019")</f>
        <v>MARY WARD 1662 CT-1729 CT ID:09003019</v>
      </c>
      <c r="N8024" s="11"/>
      <c r="O8024" s="11"/>
      <c r="P8024" s="11"/>
      <c r="Q8024" s="11"/>
    </row>
    <row r="8025" spans="3:20" x14ac:dyDescent="0.35">
      <c r="C8025" s="15" t="s">
        <v>8</v>
      </c>
      <c r="G8025" s="15" t="s">
        <v>8</v>
      </c>
      <c r="I8025" s="15" t="s">
        <v>8</v>
      </c>
      <c r="J8025" s="15" t="s">
        <v>8</v>
      </c>
      <c r="K8025" s="15" t="s">
        <v>8</v>
      </c>
      <c r="N8025" s="8" t="s">
        <v>6</v>
      </c>
    </row>
    <row r="8026" spans="3:20" x14ac:dyDescent="0.35">
      <c r="C8026" s="15" t="s">
        <v>8</v>
      </c>
      <c r="G8026" s="15" t="s">
        <v>8</v>
      </c>
      <c r="I8026" s="15" t="s">
        <v>8</v>
      </c>
      <c r="J8026" s="15" t="s">
        <v>8</v>
      </c>
      <c r="K8026" s="15" t="s">
        <v>8</v>
      </c>
      <c r="N8026" s="16" t="str">
        <f>HYPERLINK("http://yeinfo.com/family/I09006038.html", "Mrs. EDITH WARD 1635 EN-1662  ID:09006039")</f>
        <v>Mrs. EDITH WARD 1635 EN-1662  ID:09006039</v>
      </c>
      <c r="O8026" s="11"/>
      <c r="P8026" s="11"/>
      <c r="Q8026" s="11"/>
      <c r="R8026" s="11"/>
    </row>
    <row r="8027" spans="3:20" x14ac:dyDescent="0.35">
      <c r="C8027" s="15" t="s">
        <v>8</v>
      </c>
      <c r="G8027" s="15" t="s">
        <v>8</v>
      </c>
      <c r="I8027" s="15" t="s">
        <v>8</v>
      </c>
      <c r="J8027" s="8" t="s">
        <v>6</v>
      </c>
      <c r="K8027" s="15" t="s">
        <v>8</v>
      </c>
    </row>
    <row r="8028" spans="3:20" x14ac:dyDescent="0.35">
      <c r="C8028" s="15" t="s">
        <v>8</v>
      </c>
      <c r="G8028" s="15" t="s">
        <v>8</v>
      </c>
      <c r="I8028" s="15" t="s">
        <v>8</v>
      </c>
      <c r="J8028" s="16" t="str">
        <f>HYPERLINK("http://yeinfo.com/family/I09003015.html", "PHILINDA WHITMORE 1755 CT-1817 VT ID:09000377")</f>
        <v>PHILINDA WHITMORE 1755 CT-1817 VT ID:09000377</v>
      </c>
      <c r="K8028" s="11"/>
      <c r="L8028" s="11"/>
      <c r="M8028" s="11"/>
      <c r="N8028" s="11"/>
    </row>
    <row r="8029" spans="3:20" x14ac:dyDescent="0.35">
      <c r="C8029" s="15" t="s">
        <v>8</v>
      </c>
      <c r="G8029" s="15" t="s">
        <v>8</v>
      </c>
      <c r="I8029" s="15" t="s">
        <v>8</v>
      </c>
      <c r="K8029" s="15" t="s">
        <v>8</v>
      </c>
    </row>
    <row r="8030" spans="3:20" x14ac:dyDescent="0.35">
      <c r="C8030" s="15" t="s">
        <v>8</v>
      </c>
      <c r="G8030" s="15" t="s">
        <v>8</v>
      </c>
      <c r="I8030" s="15" t="s">
        <v>8</v>
      </c>
      <c r="K8030" s="15" t="s">
        <v>8</v>
      </c>
      <c r="N8030" s="21" t="str">
        <f>HYPERLINK("http://yeinfo.com/family/I09003020.html", "SAMUEL HALE 1610 EN-1693 CT ID:09006040")</f>
        <v>SAMUEL HALE 1610 EN-1693 CT ID:09006040</v>
      </c>
      <c r="O8030" s="6"/>
      <c r="P8030" s="6"/>
      <c r="Q8030" s="6"/>
      <c r="R8030" s="6"/>
    </row>
    <row r="8031" spans="3:20" x14ac:dyDescent="0.35">
      <c r="C8031" s="15" t="s">
        <v>8</v>
      </c>
      <c r="G8031" s="15" t="s">
        <v>8</v>
      </c>
      <c r="I8031" s="15" t="s">
        <v>8</v>
      </c>
      <c r="K8031" s="15" t="s">
        <v>8</v>
      </c>
      <c r="N8031" s="8" t="s">
        <v>3</v>
      </c>
    </row>
    <row r="8032" spans="3:20" x14ac:dyDescent="0.35">
      <c r="C8032" s="15" t="s">
        <v>8</v>
      </c>
      <c r="G8032" s="15" t="s">
        <v>8</v>
      </c>
      <c r="I8032" s="15" t="s">
        <v>8</v>
      </c>
      <c r="K8032" s="15" t="s">
        <v>8</v>
      </c>
      <c r="M8032" s="5" t="str">
        <f>HYPERLINK("http://yeinfo.com/family/I09001510.html", "JOHN HALE 1647 CT-1709 CT ID:09003020")</f>
        <v>JOHN HALE 1647 CT-1709 CT ID:09003020</v>
      </c>
      <c r="N8032" s="3"/>
      <c r="O8032" s="3"/>
      <c r="P8032" s="3"/>
      <c r="Q8032" s="3"/>
    </row>
    <row r="8033" spans="3:19" x14ac:dyDescent="0.35">
      <c r="C8033" s="15" t="s">
        <v>8</v>
      </c>
      <c r="G8033" s="15" t="s">
        <v>8</v>
      </c>
      <c r="I8033" s="15" t="s">
        <v>8</v>
      </c>
      <c r="K8033" s="15" t="s">
        <v>8</v>
      </c>
      <c r="M8033" s="8" t="s">
        <v>3</v>
      </c>
      <c r="N8033" s="15" t="s">
        <v>8</v>
      </c>
    </row>
    <row r="8034" spans="3:19" x14ac:dyDescent="0.35">
      <c r="C8034" s="15" t="s">
        <v>8</v>
      </c>
      <c r="G8034" s="15" t="s">
        <v>8</v>
      </c>
      <c r="I8034" s="15" t="s">
        <v>8</v>
      </c>
      <c r="K8034" s="15" t="s">
        <v>8</v>
      </c>
      <c r="M8034" s="15" t="s">
        <v>8</v>
      </c>
      <c r="N8034" s="15" t="s">
        <v>8</v>
      </c>
      <c r="O8034" s="21" t="str">
        <f>HYPERLINK("http://yeinfo.com/family/I09006041.html", "HENRY SMITH 1588 EN-1648 CT ID:09012082")</f>
        <v>HENRY SMITH 1588 EN-1648 CT ID:09012082</v>
      </c>
      <c r="P8034" s="6"/>
      <c r="Q8034" s="6"/>
      <c r="R8034" s="6"/>
      <c r="S8034" s="6"/>
    </row>
    <row r="8035" spans="3:19" x14ac:dyDescent="0.35">
      <c r="C8035" s="15" t="s">
        <v>8</v>
      </c>
      <c r="G8035" s="15" t="s">
        <v>8</v>
      </c>
      <c r="I8035" s="15" t="s">
        <v>8</v>
      </c>
      <c r="K8035" s="15" t="s">
        <v>8</v>
      </c>
      <c r="M8035" s="15" t="s">
        <v>8</v>
      </c>
      <c r="N8035" s="8" t="s">
        <v>6</v>
      </c>
      <c r="O8035" s="8" t="s">
        <v>3</v>
      </c>
    </row>
    <row r="8036" spans="3:19" x14ac:dyDescent="0.35">
      <c r="C8036" s="15" t="s">
        <v>8</v>
      </c>
      <c r="G8036" s="15" t="s">
        <v>8</v>
      </c>
      <c r="I8036" s="15" t="s">
        <v>8</v>
      </c>
      <c r="K8036" s="15" t="s">
        <v>8</v>
      </c>
      <c r="M8036" s="15" t="s">
        <v>8</v>
      </c>
      <c r="N8036" s="16" t="str">
        <f>HYPERLINK("http://yeinfo.com/family/I09006040.html", "MARY SMITH 1624 -1650  ID:09006041")</f>
        <v>MARY SMITH 1624 -1650  ID:09006041</v>
      </c>
      <c r="O8036" s="11"/>
      <c r="P8036" s="11"/>
      <c r="Q8036" s="11"/>
      <c r="R8036" s="11"/>
    </row>
    <row r="8037" spans="3:19" x14ac:dyDescent="0.35">
      <c r="C8037" s="15" t="s">
        <v>8</v>
      </c>
      <c r="G8037" s="15" t="s">
        <v>8</v>
      </c>
      <c r="I8037" s="15" t="s">
        <v>8</v>
      </c>
      <c r="K8037" s="15" t="s">
        <v>8</v>
      </c>
      <c r="M8037" s="15" t="s">
        <v>8</v>
      </c>
      <c r="O8037" s="8" t="s">
        <v>6</v>
      </c>
    </row>
    <row r="8038" spans="3:19" x14ac:dyDescent="0.35">
      <c r="C8038" s="15" t="s">
        <v>8</v>
      </c>
      <c r="G8038" s="15" t="s">
        <v>8</v>
      </c>
      <c r="I8038" s="15" t="s">
        <v>8</v>
      </c>
      <c r="K8038" s="15" t="s">
        <v>8</v>
      </c>
      <c r="M8038" s="15" t="s">
        <v>8</v>
      </c>
      <c r="O8038" s="22" t="str">
        <f>HYPERLINK("http://yeinfo.com/family/I09012082.html", "Mrs. {_?_} SMITH 1605 EN-1625 CT ID:09012083")</f>
        <v>Mrs. {_?_} SMITH 1605 EN-1625 CT ID:09012083</v>
      </c>
      <c r="P8038" s="13"/>
      <c r="Q8038" s="13"/>
      <c r="R8038" s="13"/>
      <c r="S8038" s="13"/>
    </row>
    <row r="8039" spans="3:19" x14ac:dyDescent="0.35">
      <c r="C8039" s="15" t="s">
        <v>8</v>
      </c>
      <c r="G8039" s="15" t="s">
        <v>8</v>
      </c>
      <c r="I8039" s="15" t="s">
        <v>8</v>
      </c>
      <c r="K8039" s="15" t="s">
        <v>8</v>
      </c>
      <c r="M8039" s="15" t="s">
        <v>8</v>
      </c>
    </row>
    <row r="8040" spans="3:19" x14ac:dyDescent="0.35">
      <c r="C8040" s="15" t="s">
        <v>8</v>
      </c>
      <c r="G8040" s="15" t="s">
        <v>8</v>
      </c>
      <c r="I8040" s="15" t="s">
        <v>8</v>
      </c>
      <c r="K8040" s="15" t="s">
        <v>8</v>
      </c>
      <c r="L8040" s="5" t="str">
        <f>HYPERLINK("http://yeinfo.com/family/I09000755.html", "EBENEZER HALE 1682 CT-1760 CT ID:09001510")</f>
        <v>EBENEZER HALE 1682 CT-1760 CT ID:09001510</v>
      </c>
      <c r="M8040" s="3"/>
      <c r="N8040" s="3"/>
      <c r="O8040" s="3"/>
      <c r="P8040" s="3"/>
    </row>
    <row r="8041" spans="3:19" x14ac:dyDescent="0.35">
      <c r="C8041" s="15" t="s">
        <v>8</v>
      </c>
      <c r="G8041" s="15" t="s">
        <v>8</v>
      </c>
      <c r="I8041" s="15" t="s">
        <v>8</v>
      </c>
      <c r="K8041" s="15" t="s">
        <v>8</v>
      </c>
      <c r="L8041" s="8" t="s">
        <v>3</v>
      </c>
      <c r="M8041" s="15" t="s">
        <v>8</v>
      </c>
    </row>
    <row r="8042" spans="3:19" x14ac:dyDescent="0.35">
      <c r="C8042" s="15" t="s">
        <v>8</v>
      </c>
      <c r="G8042" s="15" t="s">
        <v>8</v>
      </c>
      <c r="I8042" s="15" t="s">
        <v>8</v>
      </c>
      <c r="K8042" s="15" t="s">
        <v>8</v>
      </c>
      <c r="L8042" s="15" t="s">
        <v>8</v>
      </c>
      <c r="M8042" s="15" t="s">
        <v>8</v>
      </c>
      <c r="N8042" s="21" t="str">
        <f>HYPERLINK("http://yeinfo.com/family/I09003021.html", "JOHN NOTT 1620 EN-1682 CT ID:09006042")</f>
        <v>JOHN NOTT 1620 EN-1682 CT ID:09006042</v>
      </c>
      <c r="O8042" s="6"/>
      <c r="P8042" s="6"/>
      <c r="Q8042" s="6"/>
      <c r="R8042" s="6"/>
    </row>
    <row r="8043" spans="3:19" x14ac:dyDescent="0.35">
      <c r="C8043" s="15" t="s">
        <v>8</v>
      </c>
      <c r="G8043" s="15" t="s">
        <v>8</v>
      </c>
      <c r="I8043" s="15" t="s">
        <v>8</v>
      </c>
      <c r="K8043" s="15" t="s">
        <v>8</v>
      </c>
      <c r="L8043" s="15" t="s">
        <v>8</v>
      </c>
      <c r="M8043" s="8" t="s">
        <v>6</v>
      </c>
      <c r="N8043" s="8" t="s">
        <v>3</v>
      </c>
    </row>
    <row r="8044" spans="3:19" x14ac:dyDescent="0.35">
      <c r="C8044" s="15" t="s">
        <v>8</v>
      </c>
      <c r="G8044" s="15" t="s">
        <v>8</v>
      </c>
      <c r="I8044" s="15" t="s">
        <v>8</v>
      </c>
      <c r="K8044" s="15" t="s">
        <v>8</v>
      </c>
      <c r="L8044" s="15" t="s">
        <v>8</v>
      </c>
      <c r="M8044" s="16" t="str">
        <f>HYPERLINK("http://yeinfo.com/family/I09012083.html", "HANNAH NOTT 1649 CT-1732 CT ID:09003021")</f>
        <v>HANNAH NOTT 1649 CT-1732 CT ID:09003021</v>
      </c>
      <c r="N8044" s="11"/>
      <c r="O8044" s="11"/>
      <c r="P8044" s="11"/>
      <c r="Q8044" s="11"/>
    </row>
    <row r="8045" spans="3:19" x14ac:dyDescent="0.35">
      <c r="C8045" s="15" t="s">
        <v>8</v>
      </c>
      <c r="G8045" s="15" t="s">
        <v>8</v>
      </c>
      <c r="I8045" s="15" t="s">
        <v>8</v>
      </c>
      <c r="K8045" s="15" t="s">
        <v>8</v>
      </c>
      <c r="L8045" s="15" t="s">
        <v>8</v>
      </c>
      <c r="N8045" s="8" t="s">
        <v>6</v>
      </c>
    </row>
    <row r="8046" spans="3:19" x14ac:dyDescent="0.35">
      <c r="C8046" s="15" t="s">
        <v>8</v>
      </c>
      <c r="G8046" s="15" t="s">
        <v>8</v>
      </c>
      <c r="I8046" s="15" t="s">
        <v>8</v>
      </c>
      <c r="K8046" s="15" t="s">
        <v>8</v>
      </c>
      <c r="L8046" s="15" t="s">
        <v>8</v>
      </c>
      <c r="N8046" s="22" t="str">
        <f>HYPERLINK("http://yeinfo.com/family/I09006042.html", "ANN BELLOWS 1620 EN-1651 CT ID:09006043")</f>
        <v>ANN BELLOWS 1620 EN-1651 CT ID:09006043</v>
      </c>
      <c r="O8046" s="13"/>
      <c r="P8046" s="13"/>
      <c r="Q8046" s="13"/>
      <c r="R8046" s="13"/>
    </row>
    <row r="8047" spans="3:19" x14ac:dyDescent="0.35">
      <c r="C8047" s="15" t="s">
        <v>8</v>
      </c>
      <c r="G8047" s="15" t="s">
        <v>8</v>
      </c>
      <c r="I8047" s="15" t="s">
        <v>8</v>
      </c>
      <c r="K8047" s="8" t="s">
        <v>6</v>
      </c>
      <c r="L8047" s="15" t="s">
        <v>8</v>
      </c>
    </row>
    <row r="8048" spans="3:19" x14ac:dyDescent="0.35">
      <c r="C8048" s="15" t="s">
        <v>8</v>
      </c>
      <c r="G8048" s="15" t="s">
        <v>8</v>
      </c>
      <c r="I8048" s="15" t="s">
        <v>8</v>
      </c>
      <c r="K8048" s="16" t="str">
        <f>HYPERLINK("http://yeinfo.com/family/I09006039.html", "ELIZABETH HALE 1729 CT-1814 VT ID:09000755")</f>
        <v>ELIZABETH HALE 1729 CT-1814 VT ID:09000755</v>
      </c>
      <c r="L8048" s="11"/>
      <c r="M8048" s="11"/>
      <c r="N8048" s="11"/>
      <c r="O8048" s="11"/>
    </row>
    <row r="8049" spans="3:22" x14ac:dyDescent="0.35">
      <c r="C8049" s="15" t="s">
        <v>8</v>
      </c>
      <c r="G8049" s="15" t="s">
        <v>8</v>
      </c>
      <c r="I8049" s="15" t="s">
        <v>8</v>
      </c>
      <c r="L8049" s="15" t="s">
        <v>8</v>
      </c>
    </row>
    <row r="8050" spans="3:22" x14ac:dyDescent="0.35">
      <c r="C8050" s="15" t="s">
        <v>8</v>
      </c>
      <c r="G8050" s="15" t="s">
        <v>8</v>
      </c>
      <c r="I8050" s="15" t="s">
        <v>8</v>
      </c>
      <c r="L8050" s="15" t="s">
        <v>8</v>
      </c>
      <c r="O8050" s="19" t="str">
        <f>HYPERLINK("http://yeinfo.com/family/I09006044.html", "JOHN MILLER 1560 EN-1633 EN ID:09012088")</f>
        <v>JOHN MILLER 1560 EN-1633 EN ID:09012088</v>
      </c>
      <c r="P8050" s="9"/>
      <c r="Q8050" s="9"/>
      <c r="R8050" s="9"/>
      <c r="S8050" s="9"/>
    </row>
    <row r="8051" spans="3:22" x14ac:dyDescent="0.35">
      <c r="C8051" s="15" t="s">
        <v>8</v>
      </c>
      <c r="G8051" s="15" t="s">
        <v>8</v>
      </c>
      <c r="I8051" s="15" t="s">
        <v>8</v>
      </c>
      <c r="L8051" s="15" t="s">
        <v>8</v>
      </c>
      <c r="O8051" s="8" t="s">
        <v>3</v>
      </c>
    </row>
    <row r="8052" spans="3:22" x14ac:dyDescent="0.35">
      <c r="C8052" s="15" t="s">
        <v>8</v>
      </c>
      <c r="G8052" s="15" t="s">
        <v>8</v>
      </c>
      <c r="I8052" s="15" t="s">
        <v>8</v>
      </c>
      <c r="L8052" s="15" t="s">
        <v>8</v>
      </c>
      <c r="N8052" s="21" t="str">
        <f>HYPERLINK("http://yeinfo.com/family/I09003022.html", "THOMAS MILLER 1609 EN-1680 CT ID:09006044")</f>
        <v>THOMAS MILLER 1609 EN-1680 CT ID:09006044</v>
      </c>
      <c r="O8052" s="6"/>
      <c r="P8052" s="6"/>
      <c r="Q8052" s="6"/>
      <c r="R8052" s="6"/>
    </row>
    <row r="8053" spans="3:22" x14ac:dyDescent="0.35">
      <c r="C8053" s="15" t="s">
        <v>8</v>
      </c>
      <c r="G8053" s="15" t="s">
        <v>8</v>
      </c>
      <c r="I8053" s="15" t="s">
        <v>8</v>
      </c>
      <c r="L8053" s="15" t="s">
        <v>8</v>
      </c>
      <c r="N8053" s="8" t="s">
        <v>3</v>
      </c>
      <c r="O8053" s="8" t="s">
        <v>6</v>
      </c>
    </row>
    <row r="8054" spans="3:22" x14ac:dyDescent="0.35">
      <c r="C8054" s="15" t="s">
        <v>8</v>
      </c>
      <c r="G8054" s="15" t="s">
        <v>8</v>
      </c>
      <c r="I8054" s="15" t="s">
        <v>8</v>
      </c>
      <c r="L8054" s="15" t="s">
        <v>8</v>
      </c>
      <c r="N8054" s="15" t="s">
        <v>8</v>
      </c>
      <c r="O8054" s="20" t="str">
        <f>HYPERLINK("http://yeinfo.com/family/I09012088.html", "MARY PYLSTON 1564 EN-1621 EN ID:09012089")</f>
        <v>MARY PYLSTON 1564 EN-1621 EN ID:09012089</v>
      </c>
      <c r="P8054" s="17"/>
      <c r="Q8054" s="17"/>
      <c r="R8054" s="17"/>
      <c r="S8054" s="17"/>
    </row>
    <row r="8055" spans="3:22" x14ac:dyDescent="0.35">
      <c r="C8055" s="15" t="s">
        <v>8</v>
      </c>
      <c r="G8055" s="15" t="s">
        <v>8</v>
      </c>
      <c r="I8055" s="15" t="s">
        <v>8</v>
      </c>
      <c r="L8055" s="15" t="s">
        <v>8</v>
      </c>
      <c r="N8055" s="15" t="s">
        <v>8</v>
      </c>
    </row>
    <row r="8056" spans="3:22" x14ac:dyDescent="0.35">
      <c r="C8056" s="15" t="s">
        <v>8</v>
      </c>
      <c r="G8056" s="15" t="s">
        <v>8</v>
      </c>
      <c r="I8056" s="15" t="s">
        <v>8</v>
      </c>
      <c r="L8056" s="15" t="s">
        <v>8</v>
      </c>
      <c r="M8056" s="5" t="str">
        <f>HYPERLINK("http://yeinfo.com/family/I09001511.html", "THOMAS\SAMUEL MILLER 1666 -1727 CT ID:09003022")</f>
        <v>THOMAS\SAMUEL MILLER 1666 -1727 CT ID:09003022</v>
      </c>
      <c r="N8056" s="3"/>
      <c r="O8056" s="3"/>
      <c r="P8056" s="3"/>
      <c r="Q8056" s="3"/>
      <c r="R8056" s="3"/>
    </row>
    <row r="8057" spans="3:22" x14ac:dyDescent="0.35">
      <c r="C8057" s="15" t="s">
        <v>8</v>
      </c>
      <c r="G8057" s="15" t="s">
        <v>8</v>
      </c>
      <c r="I8057" s="15" t="s">
        <v>8</v>
      </c>
      <c r="L8057" s="15" t="s">
        <v>8</v>
      </c>
      <c r="M8057" s="8" t="s">
        <v>3</v>
      </c>
      <c r="N8057" s="15" t="s">
        <v>8</v>
      </c>
    </row>
    <row r="8058" spans="3:22" x14ac:dyDescent="0.35">
      <c r="C8058" s="15" t="s">
        <v>8</v>
      </c>
      <c r="G8058" s="15" t="s">
        <v>8</v>
      </c>
      <c r="I8058" s="15" t="s">
        <v>8</v>
      </c>
      <c r="L8058" s="15" t="s">
        <v>8</v>
      </c>
      <c r="M8058" s="15" t="s">
        <v>8</v>
      </c>
      <c r="N8058" s="15" t="s">
        <v>8</v>
      </c>
      <c r="P8058" s="21" t="str">
        <f>HYPERLINK("http://yeinfo.com/family/I09012090.html", "ROBERT NETTLETON 1579 EN-1605 CT ID:09024180")</f>
        <v>ROBERT NETTLETON 1579 EN-1605 CT ID:09024180</v>
      </c>
      <c r="Q8058" s="6"/>
      <c r="R8058" s="6"/>
      <c r="S8058" s="6"/>
      <c r="T8058" s="6"/>
    </row>
    <row r="8059" spans="3:22" x14ac:dyDescent="0.35">
      <c r="C8059" s="15" t="s">
        <v>8</v>
      </c>
      <c r="G8059" s="15" t="s">
        <v>8</v>
      </c>
      <c r="I8059" s="15" t="s">
        <v>8</v>
      </c>
      <c r="L8059" s="15" t="s">
        <v>8</v>
      </c>
      <c r="M8059" s="15" t="s">
        <v>8</v>
      </c>
      <c r="N8059" s="15" t="s">
        <v>8</v>
      </c>
      <c r="P8059" s="8" t="s">
        <v>3</v>
      </c>
    </row>
    <row r="8060" spans="3:22" x14ac:dyDescent="0.35">
      <c r="C8060" s="15" t="s">
        <v>8</v>
      </c>
      <c r="G8060" s="15" t="s">
        <v>8</v>
      </c>
      <c r="I8060" s="15" t="s">
        <v>8</v>
      </c>
      <c r="L8060" s="15" t="s">
        <v>8</v>
      </c>
      <c r="M8060" s="15" t="s">
        <v>8</v>
      </c>
      <c r="N8060" s="15" t="s">
        <v>8</v>
      </c>
      <c r="O8060" s="21" t="str">
        <f>HYPERLINK("http://yeinfo.com/family/I09006045.html", "SAMUEL NETTLETON 1605 EN-1656 CT ID:09012090")</f>
        <v>SAMUEL NETTLETON 1605 EN-1656 CT ID:09012090</v>
      </c>
      <c r="P8060" s="6"/>
      <c r="Q8060" s="6"/>
      <c r="R8060" s="6"/>
      <c r="S8060" s="6"/>
    </row>
    <row r="8061" spans="3:22" x14ac:dyDescent="0.35">
      <c r="C8061" s="15" t="s">
        <v>8</v>
      </c>
      <c r="G8061" s="15" t="s">
        <v>8</v>
      </c>
      <c r="I8061" s="15" t="s">
        <v>8</v>
      </c>
      <c r="L8061" s="15" t="s">
        <v>8</v>
      </c>
      <c r="M8061" s="15" t="s">
        <v>8</v>
      </c>
      <c r="N8061" s="15" t="s">
        <v>8</v>
      </c>
      <c r="O8061" s="8" t="s">
        <v>3</v>
      </c>
      <c r="P8061" s="8" t="s">
        <v>6</v>
      </c>
    </row>
    <row r="8062" spans="3:22" x14ac:dyDescent="0.35">
      <c r="C8062" s="15" t="s">
        <v>8</v>
      </c>
      <c r="G8062" s="15" t="s">
        <v>8</v>
      </c>
      <c r="I8062" s="15" t="s">
        <v>8</v>
      </c>
      <c r="L8062" s="15" t="s">
        <v>8</v>
      </c>
      <c r="M8062" s="15" t="s">
        <v>8</v>
      </c>
      <c r="N8062" s="15" t="s">
        <v>8</v>
      </c>
      <c r="O8062" s="15" t="s">
        <v>8</v>
      </c>
      <c r="P8062" s="22" t="str">
        <f>HYPERLINK("http://yeinfo.com/family/I09024180.html", "Mrs. HANNAH\MARIA NETTLETON 1583 EN-1605 CT ID:09024181")</f>
        <v>Mrs. HANNAH\MARIA NETTLETON 1583 EN-1605 CT ID:09024181</v>
      </c>
      <c r="Q8062" s="13"/>
      <c r="R8062" s="13"/>
      <c r="S8062" s="13"/>
      <c r="T8062" s="13"/>
      <c r="U8062" s="13"/>
      <c r="V8062" s="13"/>
    </row>
    <row r="8063" spans="3:22" x14ac:dyDescent="0.35">
      <c r="C8063" s="15" t="s">
        <v>8</v>
      </c>
      <c r="G8063" s="15" t="s">
        <v>8</v>
      </c>
      <c r="I8063" s="15" t="s">
        <v>8</v>
      </c>
      <c r="L8063" s="15" t="s">
        <v>8</v>
      </c>
      <c r="M8063" s="15" t="s">
        <v>8</v>
      </c>
      <c r="N8063" s="8" t="s">
        <v>6</v>
      </c>
      <c r="O8063" s="15" t="s">
        <v>8</v>
      </c>
    </row>
    <row r="8064" spans="3:22" x14ac:dyDescent="0.35">
      <c r="C8064" s="15" t="s">
        <v>8</v>
      </c>
      <c r="G8064" s="15" t="s">
        <v>8</v>
      </c>
      <c r="I8064" s="15" t="s">
        <v>8</v>
      </c>
      <c r="L8064" s="15" t="s">
        <v>8</v>
      </c>
      <c r="M8064" s="15" t="s">
        <v>8</v>
      </c>
      <c r="N8064" s="16" t="str">
        <f>HYPERLINK("http://yeinfo.com/family/I09012089.html", "SARAH NETTLETON 1642 EN-1728  ID:09006045")</f>
        <v>SARAH NETTLETON 1642 EN-1728  ID:09006045</v>
      </c>
      <c r="O8064" s="11"/>
      <c r="P8064" s="11"/>
      <c r="Q8064" s="11"/>
      <c r="R8064" s="11"/>
    </row>
    <row r="8065" spans="3:20" x14ac:dyDescent="0.35">
      <c r="C8065" s="15" t="s">
        <v>8</v>
      </c>
      <c r="G8065" s="15" t="s">
        <v>8</v>
      </c>
      <c r="I8065" s="15" t="s">
        <v>8</v>
      </c>
      <c r="L8065" s="15" t="s">
        <v>8</v>
      </c>
      <c r="M8065" s="15" t="s">
        <v>8</v>
      </c>
      <c r="O8065" s="8" t="s">
        <v>6</v>
      </c>
    </row>
    <row r="8066" spans="3:20" x14ac:dyDescent="0.35">
      <c r="C8066" s="15" t="s">
        <v>8</v>
      </c>
      <c r="G8066" s="15" t="s">
        <v>8</v>
      </c>
      <c r="I8066" s="15" t="s">
        <v>8</v>
      </c>
      <c r="L8066" s="15" t="s">
        <v>8</v>
      </c>
      <c r="M8066" s="15" t="s">
        <v>8</v>
      </c>
      <c r="O8066" s="22" t="str">
        <f>HYPERLINK("http://yeinfo.com/family/I09024181.html", "MARIA MARY MERRILL 1610 EN-1656 CT ID:09012091")</f>
        <v>MARIA MARY MERRILL 1610 EN-1656 CT ID:09012091</v>
      </c>
      <c r="P8066" s="13"/>
      <c r="Q8066" s="13"/>
      <c r="R8066" s="13"/>
      <c r="S8066" s="13"/>
    </row>
    <row r="8067" spans="3:20" x14ac:dyDescent="0.35">
      <c r="C8067" s="15" t="s">
        <v>8</v>
      </c>
      <c r="G8067" s="15" t="s">
        <v>8</v>
      </c>
      <c r="I8067" s="15" t="s">
        <v>8</v>
      </c>
      <c r="L8067" s="8" t="s">
        <v>6</v>
      </c>
      <c r="M8067" s="15" t="s">
        <v>8</v>
      </c>
    </row>
    <row r="8068" spans="3:20" x14ac:dyDescent="0.35">
      <c r="C8068" s="15" t="s">
        <v>8</v>
      </c>
      <c r="G8068" s="15" t="s">
        <v>8</v>
      </c>
      <c r="I8068" s="15" t="s">
        <v>8</v>
      </c>
      <c r="L8068" s="16" t="str">
        <f>HYPERLINK("http://yeinfo.com/family/I09006043.html", "ABIGAIL MILLER 1694 CT-1730 CT ID:09001511")</f>
        <v>ABIGAIL MILLER 1694 CT-1730 CT ID:09001511</v>
      </c>
      <c r="M8068" s="11"/>
      <c r="N8068" s="11"/>
      <c r="O8068" s="11"/>
      <c r="P8068" s="11"/>
    </row>
    <row r="8069" spans="3:20" x14ac:dyDescent="0.35">
      <c r="C8069" s="15" t="s">
        <v>8</v>
      </c>
      <c r="G8069" s="15" t="s">
        <v>8</v>
      </c>
      <c r="I8069" s="15" t="s">
        <v>8</v>
      </c>
      <c r="M8069" s="15" t="s">
        <v>8</v>
      </c>
    </row>
    <row r="8070" spans="3:20" x14ac:dyDescent="0.35">
      <c r="C8070" s="15" t="s">
        <v>8</v>
      </c>
      <c r="G8070" s="15" t="s">
        <v>8</v>
      </c>
      <c r="I8070" s="15" t="s">
        <v>8</v>
      </c>
      <c r="M8070" s="15" t="s">
        <v>8</v>
      </c>
      <c r="P8070" s="21" t="str">
        <f>HYPERLINK("http://yeinfo.com/family/I09012092.html", "JOHN TURNER 1564 EN-1621 MA ID:09024184")</f>
        <v>JOHN TURNER 1564 EN-1621 MA ID:09024184</v>
      </c>
      <c r="Q8070" s="6"/>
      <c r="R8070" s="6"/>
      <c r="S8070" s="6"/>
      <c r="T8070" s="6"/>
    </row>
    <row r="8071" spans="3:20" x14ac:dyDescent="0.35">
      <c r="C8071" s="15" t="s">
        <v>8</v>
      </c>
      <c r="G8071" s="15" t="s">
        <v>8</v>
      </c>
      <c r="I8071" s="15" t="s">
        <v>8</v>
      </c>
      <c r="M8071" s="15" t="s">
        <v>8</v>
      </c>
      <c r="P8071" s="8" t="s">
        <v>3</v>
      </c>
    </row>
    <row r="8072" spans="3:20" x14ac:dyDescent="0.35">
      <c r="C8072" s="15" t="s">
        <v>8</v>
      </c>
      <c r="G8072" s="15" t="s">
        <v>8</v>
      </c>
      <c r="I8072" s="15" t="s">
        <v>8</v>
      </c>
      <c r="M8072" s="15" t="s">
        <v>8</v>
      </c>
      <c r="O8072" s="21" t="str">
        <f>HYPERLINK("http://yeinfo.com/family/I09006046.html", "ARNOLD TURNER 1608 EN-1660 CT ID:09012092")</f>
        <v>ARNOLD TURNER 1608 EN-1660 CT ID:09012092</v>
      </c>
      <c r="P8072" s="6"/>
      <c r="Q8072" s="6"/>
      <c r="R8072" s="6"/>
      <c r="S8072" s="6"/>
    </row>
    <row r="8073" spans="3:20" x14ac:dyDescent="0.35">
      <c r="C8073" s="15" t="s">
        <v>8</v>
      </c>
      <c r="G8073" s="15" t="s">
        <v>8</v>
      </c>
      <c r="I8073" s="15" t="s">
        <v>8</v>
      </c>
      <c r="M8073" s="15" t="s">
        <v>8</v>
      </c>
      <c r="O8073" s="8" t="s">
        <v>3</v>
      </c>
      <c r="P8073" s="8" t="s">
        <v>6</v>
      </c>
    </row>
    <row r="8074" spans="3:20" x14ac:dyDescent="0.35">
      <c r="C8074" s="15" t="s">
        <v>8</v>
      </c>
      <c r="G8074" s="15" t="s">
        <v>8</v>
      </c>
      <c r="I8074" s="15" t="s">
        <v>8</v>
      </c>
      <c r="M8074" s="15" t="s">
        <v>8</v>
      </c>
      <c r="O8074" s="15" t="s">
        <v>8</v>
      </c>
      <c r="P8074" s="22" t="str">
        <f>HYPERLINK("http://yeinfo.com/family/I09024184.html", "JOAN LILY 1568 EN-1620 MA ID:09024185")</f>
        <v>JOAN LILY 1568 EN-1620 MA ID:09024185</v>
      </c>
      <c r="Q8074" s="13"/>
      <c r="R8074" s="13"/>
      <c r="S8074" s="13"/>
      <c r="T8074" s="13"/>
    </row>
    <row r="8075" spans="3:20" x14ac:dyDescent="0.35">
      <c r="C8075" s="15" t="s">
        <v>8</v>
      </c>
      <c r="G8075" s="15" t="s">
        <v>8</v>
      </c>
      <c r="I8075" s="15" t="s">
        <v>8</v>
      </c>
      <c r="M8075" s="15" t="s">
        <v>8</v>
      </c>
      <c r="O8075" s="15" t="s">
        <v>8</v>
      </c>
    </row>
    <row r="8076" spans="3:20" x14ac:dyDescent="0.35">
      <c r="C8076" s="15" t="s">
        <v>8</v>
      </c>
      <c r="G8076" s="15" t="s">
        <v>8</v>
      </c>
      <c r="I8076" s="15" t="s">
        <v>8</v>
      </c>
      <c r="M8076" s="15" t="s">
        <v>8</v>
      </c>
      <c r="N8076" s="5" t="str">
        <f>HYPERLINK("http://yeinfo.com/family/I09003023.html", "EDWARD LEVI TURNER 1633 CT-1717 CT ID:09006046")</f>
        <v>EDWARD LEVI TURNER 1633 CT-1717 CT ID:09006046</v>
      </c>
      <c r="O8076" s="3"/>
      <c r="P8076" s="3"/>
      <c r="Q8076" s="3"/>
      <c r="R8076" s="3"/>
    </row>
    <row r="8077" spans="3:20" x14ac:dyDescent="0.35">
      <c r="C8077" s="15" t="s">
        <v>8</v>
      </c>
      <c r="G8077" s="15" t="s">
        <v>8</v>
      </c>
      <c r="I8077" s="15" t="s">
        <v>8</v>
      </c>
      <c r="M8077" s="15" t="s">
        <v>8</v>
      </c>
      <c r="N8077" s="8" t="s">
        <v>3</v>
      </c>
      <c r="O8077" s="8" t="s">
        <v>6</v>
      </c>
    </row>
    <row r="8078" spans="3:20" x14ac:dyDescent="0.35">
      <c r="C8078" s="15" t="s">
        <v>8</v>
      </c>
      <c r="G8078" s="15" t="s">
        <v>8</v>
      </c>
      <c r="I8078" s="15" t="s">
        <v>8</v>
      </c>
      <c r="M8078" s="15" t="s">
        <v>8</v>
      </c>
      <c r="N8078" s="15" t="s">
        <v>8</v>
      </c>
      <c r="O8078" s="22" t="str">
        <f>HYPERLINK("http://yeinfo.com/family/I09024185.html", "MARY SMITH 1610 EN-1680 CT ID:09012093")</f>
        <v>MARY SMITH 1610 EN-1680 CT ID:09012093</v>
      </c>
      <c r="P8078" s="13"/>
      <c r="Q8078" s="13"/>
      <c r="R8078" s="13"/>
      <c r="S8078" s="13"/>
    </row>
    <row r="8079" spans="3:20" x14ac:dyDescent="0.35">
      <c r="C8079" s="15" t="s">
        <v>8</v>
      </c>
      <c r="G8079" s="15" t="s">
        <v>8</v>
      </c>
      <c r="I8079" s="15" t="s">
        <v>8</v>
      </c>
      <c r="M8079" s="8" t="s">
        <v>6</v>
      </c>
      <c r="N8079" s="15" t="s">
        <v>8</v>
      </c>
    </row>
    <row r="8080" spans="3:20" x14ac:dyDescent="0.35">
      <c r="C8080" s="15" t="s">
        <v>8</v>
      </c>
      <c r="G8080" s="15" t="s">
        <v>8</v>
      </c>
      <c r="I8080" s="15" t="s">
        <v>8</v>
      </c>
      <c r="M8080" s="16" t="str">
        <f>HYPERLINK("http://yeinfo.com/family/I09012091.html", "ELIZABETH TURNER 1668 CT-1694 CT ID:09003023")</f>
        <v>ELIZABETH TURNER 1668 CT-1694 CT ID:09003023</v>
      </c>
      <c r="N8080" s="11"/>
      <c r="O8080" s="11"/>
      <c r="P8080" s="11"/>
      <c r="Q8080" s="11"/>
    </row>
    <row r="8081" spans="3:19" x14ac:dyDescent="0.35">
      <c r="C8081" s="15" t="s">
        <v>8</v>
      </c>
      <c r="G8081" s="15" t="s">
        <v>8</v>
      </c>
      <c r="I8081" s="15" t="s">
        <v>8</v>
      </c>
      <c r="N8081" s="15" t="s">
        <v>8</v>
      </c>
    </row>
    <row r="8082" spans="3:19" x14ac:dyDescent="0.35">
      <c r="C8082" s="15" t="s">
        <v>8</v>
      </c>
      <c r="G8082" s="15" t="s">
        <v>8</v>
      </c>
      <c r="I8082" s="15" t="s">
        <v>8</v>
      </c>
      <c r="N8082" s="15" t="s">
        <v>8</v>
      </c>
      <c r="O8082" s="21" t="str">
        <f>HYPERLINK("http://yeinfo.com/family/I09006047.html", "RICHARD SANFORD 1594 EN-1676 MA ID:09012094")</f>
        <v>RICHARD SANFORD 1594 EN-1676 MA ID:09012094</v>
      </c>
      <c r="P8082" s="6"/>
      <c r="Q8082" s="6"/>
      <c r="R8082" s="6"/>
      <c r="S8082" s="6"/>
    </row>
    <row r="8083" spans="3:19" x14ac:dyDescent="0.35">
      <c r="C8083" s="15" t="s">
        <v>8</v>
      </c>
      <c r="G8083" s="15" t="s">
        <v>8</v>
      </c>
      <c r="I8083" s="15" t="s">
        <v>8</v>
      </c>
      <c r="N8083" s="8" t="s">
        <v>6</v>
      </c>
      <c r="O8083" s="8" t="s">
        <v>3</v>
      </c>
    </row>
    <row r="8084" spans="3:19" x14ac:dyDescent="0.35">
      <c r="C8084" s="15" t="s">
        <v>8</v>
      </c>
      <c r="G8084" s="15" t="s">
        <v>8</v>
      </c>
      <c r="I8084" s="15" t="s">
        <v>8</v>
      </c>
      <c r="N8084" s="22" t="str">
        <f>HYPERLINK("http://yeinfo.com/family/I09012093.html", "MARY SANFORD 1635 EN-1668 MA ID:09006047")</f>
        <v>MARY SANFORD 1635 EN-1668 MA ID:09006047</v>
      </c>
      <c r="O8084" s="13"/>
      <c r="P8084" s="13"/>
      <c r="Q8084" s="13"/>
      <c r="R8084" s="13"/>
    </row>
    <row r="8085" spans="3:19" x14ac:dyDescent="0.35">
      <c r="C8085" s="15" t="s">
        <v>8</v>
      </c>
      <c r="G8085" s="15" t="s">
        <v>8</v>
      </c>
      <c r="I8085" s="15" t="s">
        <v>8</v>
      </c>
      <c r="O8085" s="8" t="s">
        <v>6</v>
      </c>
    </row>
    <row r="8086" spans="3:19" x14ac:dyDescent="0.35">
      <c r="C8086" s="15" t="s">
        <v>8</v>
      </c>
      <c r="G8086" s="15" t="s">
        <v>8</v>
      </c>
      <c r="I8086" s="15" t="s">
        <v>8</v>
      </c>
      <c r="O8086" s="22" t="str">
        <f>HYPERLINK("http://yeinfo.com/family/I09012094.html", "MARGERY COX 1600 EN-1640 MA ID:09012095")</f>
        <v>MARGERY COX 1600 EN-1640 MA ID:09012095</v>
      </c>
      <c r="P8086" s="13"/>
      <c r="Q8086" s="13"/>
      <c r="R8086" s="13"/>
      <c r="S8086" s="13"/>
    </row>
    <row r="8087" spans="3:19" x14ac:dyDescent="0.35">
      <c r="C8087" s="15" t="s">
        <v>8</v>
      </c>
      <c r="G8087" s="15" t="s">
        <v>8</v>
      </c>
      <c r="I8087" s="15" t="s">
        <v>8</v>
      </c>
    </row>
    <row r="8088" spans="3:19" x14ac:dyDescent="0.35">
      <c r="C8088" s="15" t="s">
        <v>8</v>
      </c>
      <c r="G8088" s="15" t="s">
        <v>8</v>
      </c>
      <c r="H8088" s="5" t="str">
        <f>HYPERLINK("http://yeinfo.com/family/I09000047.html", "RANSEL BARRETT 1797 VT-1881 VT ID:09000094")</f>
        <v>RANSEL BARRETT 1797 VT-1881 VT ID:09000094</v>
      </c>
      <c r="I8088" s="3"/>
      <c r="J8088" s="3"/>
      <c r="K8088" s="3"/>
      <c r="L8088" s="3"/>
    </row>
    <row r="8089" spans="3:19" x14ac:dyDescent="0.35">
      <c r="C8089" s="15" t="s">
        <v>8</v>
      </c>
      <c r="G8089" s="15" t="s">
        <v>8</v>
      </c>
      <c r="H8089" s="8" t="s">
        <v>3</v>
      </c>
      <c r="I8089" s="15" t="s">
        <v>8</v>
      </c>
    </row>
    <row r="8090" spans="3:19" x14ac:dyDescent="0.35">
      <c r="C8090" s="15" t="s">
        <v>8</v>
      </c>
      <c r="G8090" s="15" t="s">
        <v>8</v>
      </c>
      <c r="H8090" s="15" t="s">
        <v>8</v>
      </c>
      <c r="I8090" s="15" t="s">
        <v>8</v>
      </c>
      <c r="O8090" s="21" t="str">
        <f>HYPERLINK("http://yeinfo.com/family/I09005888.html", "ROBERT MILLER &lt;2&gt; 1600 EN-1624 MA ID:09005888")</f>
        <v>ROBERT MILLER &lt;2&gt; 1600 EN-1624 MA ID:09005888</v>
      </c>
      <c r="P8090" s="6"/>
      <c r="Q8090" s="6"/>
      <c r="R8090" s="6"/>
      <c r="S8090" s="6"/>
    </row>
    <row r="8091" spans="3:19" x14ac:dyDescent="0.35">
      <c r="C8091" s="15" t="s">
        <v>8</v>
      </c>
      <c r="G8091" s="15" t="s">
        <v>8</v>
      </c>
      <c r="H8091" s="15" t="s">
        <v>8</v>
      </c>
      <c r="I8091" s="15" t="s">
        <v>8</v>
      </c>
      <c r="O8091" s="8" t="s">
        <v>3</v>
      </c>
    </row>
    <row r="8092" spans="3:19" x14ac:dyDescent="0.35">
      <c r="C8092" s="15" t="s">
        <v>8</v>
      </c>
      <c r="G8092" s="15" t="s">
        <v>8</v>
      </c>
      <c r="H8092" s="15" t="s">
        <v>8</v>
      </c>
      <c r="I8092" s="15" t="s">
        <v>8</v>
      </c>
      <c r="N8092" s="21" t="str">
        <f>HYPERLINK("http://yeinfo.com/family/I09002944.html", "THOMAS MILLER &lt;2&gt; 1624 EN-1675 MA ID:09002944")</f>
        <v>THOMAS MILLER &lt;2&gt; 1624 EN-1675 MA ID:09002944</v>
      </c>
      <c r="O8092" s="6"/>
      <c r="P8092" s="6"/>
      <c r="Q8092" s="6"/>
      <c r="R8092" s="6"/>
    </row>
    <row r="8093" spans="3:19" x14ac:dyDescent="0.35">
      <c r="C8093" s="15" t="s">
        <v>8</v>
      </c>
      <c r="G8093" s="15" t="s">
        <v>8</v>
      </c>
      <c r="H8093" s="15" t="s">
        <v>8</v>
      </c>
      <c r="I8093" s="15" t="s">
        <v>8</v>
      </c>
      <c r="N8093" s="8" t="s">
        <v>3</v>
      </c>
      <c r="O8093" s="8" t="s">
        <v>6</v>
      </c>
    </row>
    <row r="8094" spans="3:19" x14ac:dyDescent="0.35">
      <c r="C8094" s="15" t="s">
        <v>8</v>
      </c>
      <c r="G8094" s="15" t="s">
        <v>8</v>
      </c>
      <c r="H8094" s="15" t="s">
        <v>8</v>
      </c>
      <c r="I8094" s="15" t="s">
        <v>8</v>
      </c>
      <c r="N8094" s="15" t="s">
        <v>8</v>
      </c>
      <c r="O8094" s="22" t="str">
        <f>HYPERLINK("http://yeinfo.com/family/I09005889.html", "ELIZABETH ETHEL NICHOLSON &lt;2&gt; 1600 EN-1624 MA ID:09005889")</f>
        <v>ELIZABETH ETHEL NICHOLSON &lt;2&gt; 1600 EN-1624 MA ID:09005889</v>
      </c>
      <c r="P8094" s="13"/>
      <c r="Q8094" s="13"/>
      <c r="R8094" s="13"/>
      <c r="S8094" s="13"/>
    </row>
    <row r="8095" spans="3:19" x14ac:dyDescent="0.35">
      <c r="C8095" s="15" t="s">
        <v>8</v>
      </c>
      <c r="G8095" s="15" t="s">
        <v>8</v>
      </c>
      <c r="H8095" s="15" t="s">
        <v>8</v>
      </c>
      <c r="I8095" s="15" t="s">
        <v>8</v>
      </c>
      <c r="N8095" s="15" t="s">
        <v>8</v>
      </c>
    </row>
    <row r="8096" spans="3:19" x14ac:dyDescent="0.35">
      <c r="C8096" s="15" t="s">
        <v>8</v>
      </c>
      <c r="G8096" s="15" t="s">
        <v>8</v>
      </c>
      <c r="H8096" s="15" t="s">
        <v>8</v>
      </c>
      <c r="I8096" s="15" t="s">
        <v>8</v>
      </c>
      <c r="M8096" s="5" t="str">
        <f>HYPERLINK("http://yeinfo.com/family/I09001472.html", "SAMUEL MILLER Sr. &lt;2&gt; 1655 MA-1727 MA ID:09001472")</f>
        <v>SAMUEL MILLER Sr. &lt;2&gt; 1655 MA-1727 MA ID:09001472</v>
      </c>
      <c r="N8096" s="3"/>
      <c r="O8096" s="3"/>
      <c r="P8096" s="3"/>
      <c r="Q8096" s="3"/>
    </row>
    <row r="8097" spans="3:23" x14ac:dyDescent="0.35">
      <c r="C8097" s="15" t="s">
        <v>8</v>
      </c>
      <c r="G8097" s="15" t="s">
        <v>8</v>
      </c>
      <c r="H8097" s="15" t="s">
        <v>8</v>
      </c>
      <c r="I8097" s="15" t="s">
        <v>8</v>
      </c>
      <c r="M8097" s="8" t="s">
        <v>3</v>
      </c>
      <c r="N8097" s="15" t="s">
        <v>8</v>
      </c>
    </row>
    <row r="8098" spans="3:23" x14ac:dyDescent="0.35">
      <c r="C8098" s="15" t="s">
        <v>8</v>
      </c>
      <c r="G8098" s="15" t="s">
        <v>8</v>
      </c>
      <c r="H8098" s="15" t="s">
        <v>8</v>
      </c>
      <c r="I8098" s="15" t="s">
        <v>8</v>
      </c>
      <c r="M8098" s="15" t="s">
        <v>8</v>
      </c>
      <c r="N8098" s="15" t="s">
        <v>8</v>
      </c>
      <c r="O8098" s="5" t="str">
        <f>HYPERLINK("http://yeinfo.com/family/I09005890.html", "THOMAS MARSHFIELD &lt;2&gt; 1600 EN-1641  ID:09005890")</f>
        <v>THOMAS MARSHFIELD &lt;2&gt; 1600 EN-1641  ID:09005890</v>
      </c>
      <c r="P8098" s="3"/>
      <c r="Q8098" s="3"/>
      <c r="R8098" s="3"/>
      <c r="S8098" s="3"/>
    </row>
    <row r="8099" spans="3:23" x14ac:dyDescent="0.35">
      <c r="C8099" s="15" t="s">
        <v>8</v>
      </c>
      <c r="G8099" s="15" t="s">
        <v>8</v>
      </c>
      <c r="H8099" s="15" t="s">
        <v>8</v>
      </c>
      <c r="I8099" s="15" t="s">
        <v>8</v>
      </c>
      <c r="M8099" s="15" t="s">
        <v>8</v>
      </c>
      <c r="N8099" s="8" t="s">
        <v>6</v>
      </c>
      <c r="O8099" s="8" t="s">
        <v>3</v>
      </c>
    </row>
    <row r="8100" spans="3:23" x14ac:dyDescent="0.35">
      <c r="C8100" s="15" t="s">
        <v>8</v>
      </c>
      <c r="G8100" s="15" t="s">
        <v>8</v>
      </c>
      <c r="H8100" s="15" t="s">
        <v>8</v>
      </c>
      <c r="I8100" s="15" t="s">
        <v>8</v>
      </c>
      <c r="M8100" s="15" t="s">
        <v>8</v>
      </c>
      <c r="N8100" s="22" t="str">
        <f>HYPERLINK("http://yeinfo.com/family/I09002945.html", "SARAH MARSHFIELD &lt;2&gt; 1621 EN-1709 MA ID:09002945")</f>
        <v>SARAH MARSHFIELD &lt;2&gt; 1621 EN-1709 MA ID:09002945</v>
      </c>
      <c r="O8100" s="13"/>
      <c r="P8100" s="13"/>
      <c r="Q8100" s="13"/>
      <c r="R8100" s="13"/>
    </row>
    <row r="8101" spans="3:23" x14ac:dyDescent="0.35">
      <c r="C8101" s="15" t="s">
        <v>8</v>
      </c>
      <c r="G8101" s="15" t="s">
        <v>8</v>
      </c>
      <c r="H8101" s="15" t="s">
        <v>8</v>
      </c>
      <c r="I8101" s="15" t="s">
        <v>8</v>
      </c>
      <c r="M8101" s="15" t="s">
        <v>8</v>
      </c>
      <c r="O8101" s="15" t="s">
        <v>8</v>
      </c>
    </row>
    <row r="8102" spans="3:23" x14ac:dyDescent="0.35">
      <c r="C8102" s="15" t="s">
        <v>8</v>
      </c>
      <c r="G8102" s="15" t="s">
        <v>8</v>
      </c>
      <c r="H8102" s="15" t="s">
        <v>8</v>
      </c>
      <c r="I8102" s="15" t="s">
        <v>8</v>
      </c>
      <c r="M8102" s="15" t="s">
        <v>8</v>
      </c>
      <c r="O8102" s="15" t="s">
        <v>8</v>
      </c>
      <c r="Q8102" s="19" t="str">
        <f>HYPERLINK("http://yeinfo.com/family/I09023564.html", "ANDREW GOODY &lt;2&gt; 1543 EN-1617 EN ID:09023564")</f>
        <v>ANDREW GOODY &lt;2&gt; 1543 EN-1617 EN ID:09023564</v>
      </c>
      <c r="R8102" s="9"/>
      <c r="S8102" s="9"/>
      <c r="T8102" s="9"/>
      <c r="U8102" s="9"/>
    </row>
    <row r="8103" spans="3:23" x14ac:dyDescent="0.35">
      <c r="C8103" s="15" t="s">
        <v>8</v>
      </c>
      <c r="G8103" s="15" t="s">
        <v>8</v>
      </c>
      <c r="H8103" s="15" t="s">
        <v>8</v>
      </c>
      <c r="I8103" s="15" t="s">
        <v>8</v>
      </c>
      <c r="M8103" s="15" t="s">
        <v>8</v>
      </c>
      <c r="O8103" s="15" t="s">
        <v>8</v>
      </c>
      <c r="Q8103" s="8" t="s">
        <v>3</v>
      </c>
    </row>
    <row r="8104" spans="3:23" x14ac:dyDescent="0.35">
      <c r="C8104" s="15" t="s">
        <v>8</v>
      </c>
      <c r="G8104" s="15" t="s">
        <v>8</v>
      </c>
      <c r="H8104" s="15" t="s">
        <v>8</v>
      </c>
      <c r="I8104" s="15" t="s">
        <v>8</v>
      </c>
      <c r="M8104" s="15" t="s">
        <v>8</v>
      </c>
      <c r="O8104" s="15" t="s">
        <v>8</v>
      </c>
      <c r="P8104" s="21" t="str">
        <f>HYPERLINK("http://yeinfo.com/family/I09011782.html", "GEORGE GOODY &lt;2&gt; 1577 EN-1641 CT ID:09011782")</f>
        <v>GEORGE GOODY &lt;2&gt; 1577 EN-1641 CT ID:09011782</v>
      </c>
      <c r="Q8104" s="6"/>
      <c r="R8104" s="6"/>
      <c r="S8104" s="6"/>
      <c r="T8104" s="6"/>
    </row>
    <row r="8105" spans="3:23" x14ac:dyDescent="0.35">
      <c r="C8105" s="15" t="s">
        <v>8</v>
      </c>
      <c r="G8105" s="15" t="s">
        <v>8</v>
      </c>
      <c r="H8105" s="15" t="s">
        <v>8</v>
      </c>
      <c r="I8105" s="15" t="s">
        <v>8</v>
      </c>
      <c r="M8105" s="15" t="s">
        <v>8</v>
      </c>
      <c r="O8105" s="15" t="s">
        <v>8</v>
      </c>
      <c r="P8105" s="8" t="s">
        <v>3</v>
      </c>
      <c r="Q8105" s="8" t="s">
        <v>6</v>
      </c>
    </row>
    <row r="8106" spans="3:23" x14ac:dyDescent="0.35">
      <c r="C8106" s="15" t="s">
        <v>8</v>
      </c>
      <c r="G8106" s="15" t="s">
        <v>8</v>
      </c>
      <c r="H8106" s="15" t="s">
        <v>8</v>
      </c>
      <c r="I8106" s="15" t="s">
        <v>8</v>
      </c>
      <c r="M8106" s="15" t="s">
        <v>8</v>
      </c>
      <c r="O8106" s="15" t="s">
        <v>8</v>
      </c>
      <c r="P8106" s="15" t="s">
        <v>8</v>
      </c>
      <c r="Q8106" s="20" t="str">
        <f>HYPERLINK("http://yeinfo.com/family/I09023565.html", "JONE DOWKE &lt;2&gt; 1549 EN-1595 EN ID:09023565")</f>
        <v>JONE DOWKE &lt;2&gt; 1549 EN-1595 EN ID:09023565</v>
      </c>
      <c r="R8106" s="17"/>
      <c r="S8106" s="17"/>
      <c r="T8106" s="17"/>
      <c r="U8106" s="17"/>
    </row>
    <row r="8107" spans="3:23" x14ac:dyDescent="0.35">
      <c r="C8107" s="15" t="s">
        <v>8</v>
      </c>
      <c r="G8107" s="15" t="s">
        <v>8</v>
      </c>
      <c r="H8107" s="15" t="s">
        <v>8</v>
      </c>
      <c r="I8107" s="15" t="s">
        <v>8</v>
      </c>
      <c r="M8107" s="15" t="s">
        <v>8</v>
      </c>
      <c r="O8107" s="8" t="s">
        <v>6</v>
      </c>
      <c r="P8107" s="15" t="s">
        <v>8</v>
      </c>
    </row>
    <row r="8108" spans="3:23" x14ac:dyDescent="0.35">
      <c r="C8108" s="15" t="s">
        <v>8</v>
      </c>
      <c r="G8108" s="15" t="s">
        <v>8</v>
      </c>
      <c r="H8108" s="15" t="s">
        <v>8</v>
      </c>
      <c r="I8108" s="15" t="s">
        <v>8</v>
      </c>
      <c r="M8108" s="15" t="s">
        <v>8</v>
      </c>
      <c r="O8108" s="22" t="str">
        <f>HYPERLINK("http://yeinfo.com/family/I09005891.html", "MERCY PRISCILLA GOODY &lt;2&gt; 1604 EN-1654 MA ID:09005891")</f>
        <v>MERCY PRISCILLA GOODY &lt;2&gt; 1604 EN-1654 MA ID:09005891</v>
      </c>
      <c r="P8108" s="13"/>
      <c r="Q8108" s="13"/>
      <c r="R8108" s="13"/>
      <c r="S8108" s="13"/>
    </row>
    <row r="8109" spans="3:23" x14ac:dyDescent="0.35">
      <c r="C8109" s="15" t="s">
        <v>8</v>
      </c>
      <c r="G8109" s="15" t="s">
        <v>8</v>
      </c>
      <c r="H8109" s="15" t="s">
        <v>8</v>
      </c>
      <c r="I8109" s="15" t="s">
        <v>8</v>
      </c>
      <c r="M8109" s="15" t="s">
        <v>8</v>
      </c>
      <c r="P8109" s="15" t="s">
        <v>8</v>
      </c>
    </row>
    <row r="8110" spans="3:23" x14ac:dyDescent="0.35">
      <c r="C8110" s="15" t="s">
        <v>8</v>
      </c>
      <c r="G8110" s="15" t="s">
        <v>8</v>
      </c>
      <c r="H8110" s="15" t="s">
        <v>8</v>
      </c>
      <c r="I8110" s="15" t="s">
        <v>8</v>
      </c>
      <c r="M8110" s="15" t="s">
        <v>8</v>
      </c>
      <c r="P8110" s="15" t="s">
        <v>8</v>
      </c>
      <c r="S8110" s="19" t="str">
        <f>HYPERLINK("http://yeinfo.com/family/I09065658.html", "THOMAS LOCKE &lt;2&gt; 1434 EN-1507 EN ID:09065658")</f>
        <v>THOMAS LOCKE &lt;2&gt; 1434 EN-1507 EN ID:09065658</v>
      </c>
      <c r="T8110" s="9"/>
      <c r="U8110" s="9"/>
      <c r="V8110" s="9"/>
      <c r="W8110" s="9"/>
    </row>
    <row r="8111" spans="3:23" x14ac:dyDescent="0.35">
      <c r="C8111" s="15" t="s">
        <v>8</v>
      </c>
      <c r="G8111" s="15" t="s">
        <v>8</v>
      </c>
      <c r="H8111" s="15" t="s">
        <v>8</v>
      </c>
      <c r="I8111" s="15" t="s">
        <v>8</v>
      </c>
      <c r="M8111" s="15" t="s">
        <v>8</v>
      </c>
      <c r="P8111" s="15" t="s">
        <v>8</v>
      </c>
      <c r="S8111" s="8" t="s">
        <v>3</v>
      </c>
    </row>
    <row r="8112" spans="3:23" x14ac:dyDescent="0.35">
      <c r="C8112" s="15" t="s">
        <v>8</v>
      </c>
      <c r="G8112" s="15" t="s">
        <v>8</v>
      </c>
      <c r="H8112" s="15" t="s">
        <v>8</v>
      </c>
      <c r="I8112" s="15" t="s">
        <v>8</v>
      </c>
      <c r="M8112" s="15" t="s">
        <v>8</v>
      </c>
      <c r="P8112" s="15" t="s">
        <v>8</v>
      </c>
      <c r="R8112" s="19" t="str">
        <f>HYPERLINK("http://yeinfo.com/family/I09047132.html", "WILLIAM LOCKE &lt;2&gt; 1480 EN-1550 EN ID:09047132")</f>
        <v>WILLIAM LOCKE &lt;2&gt; 1480 EN-1550 EN ID:09047132</v>
      </c>
      <c r="S8112" s="9"/>
      <c r="T8112" s="9"/>
      <c r="U8112" s="9"/>
      <c r="V8112" s="9"/>
    </row>
    <row r="8113" spans="3:26" x14ac:dyDescent="0.35">
      <c r="C8113" s="15" t="s">
        <v>8</v>
      </c>
      <c r="G8113" s="15" t="s">
        <v>8</v>
      </c>
      <c r="H8113" s="15" t="s">
        <v>8</v>
      </c>
      <c r="I8113" s="15" t="s">
        <v>8</v>
      </c>
      <c r="M8113" s="15" t="s">
        <v>8</v>
      </c>
      <c r="P8113" s="15" t="s">
        <v>8</v>
      </c>
      <c r="R8113" s="8" t="s">
        <v>3</v>
      </c>
      <c r="S8113" s="8" t="s">
        <v>6</v>
      </c>
    </row>
    <row r="8114" spans="3:26" x14ac:dyDescent="0.35">
      <c r="C8114" s="15" t="s">
        <v>8</v>
      </c>
      <c r="G8114" s="15" t="s">
        <v>8</v>
      </c>
      <c r="H8114" s="15" t="s">
        <v>8</v>
      </c>
      <c r="I8114" s="15" t="s">
        <v>8</v>
      </c>
      <c r="M8114" s="15" t="s">
        <v>8</v>
      </c>
      <c r="P8114" s="15" t="s">
        <v>8</v>
      </c>
      <c r="R8114" s="15" t="s">
        <v>8</v>
      </c>
      <c r="S8114" s="20" t="str">
        <f>HYPERLINK("http://yeinfo.com/family/I09065673.html", "JOAN WILCOCKS &lt;2&gt; 1440 EN-1512 EN ID:09065673")</f>
        <v>JOAN WILCOCKS &lt;2&gt; 1440 EN-1512 EN ID:09065673</v>
      </c>
      <c r="T8114" s="17"/>
      <c r="U8114" s="17"/>
      <c r="V8114" s="17"/>
      <c r="W8114" s="17"/>
    </row>
    <row r="8115" spans="3:26" x14ac:dyDescent="0.35">
      <c r="C8115" s="15" t="s">
        <v>8</v>
      </c>
      <c r="G8115" s="15" t="s">
        <v>8</v>
      </c>
      <c r="H8115" s="15" t="s">
        <v>8</v>
      </c>
      <c r="I8115" s="15" t="s">
        <v>8</v>
      </c>
      <c r="M8115" s="15" t="s">
        <v>8</v>
      </c>
      <c r="P8115" s="15" t="s">
        <v>8</v>
      </c>
      <c r="R8115" s="15" t="s">
        <v>8</v>
      </c>
    </row>
    <row r="8116" spans="3:26" x14ac:dyDescent="0.35">
      <c r="C8116" s="15" t="s">
        <v>8</v>
      </c>
      <c r="G8116" s="15" t="s">
        <v>8</v>
      </c>
      <c r="H8116" s="15" t="s">
        <v>8</v>
      </c>
      <c r="I8116" s="15" t="s">
        <v>8</v>
      </c>
      <c r="M8116" s="15" t="s">
        <v>8</v>
      </c>
      <c r="P8116" s="15" t="s">
        <v>8</v>
      </c>
      <c r="Q8116" s="19" t="str">
        <f>HYPERLINK("http://yeinfo.com/family/I09023566.html", "MICHAEL WILLIAM LOCKE &lt;2&gt; 1532 EN-1621 EN ID:09023566")</f>
        <v>MICHAEL WILLIAM LOCKE &lt;2&gt; 1532 EN-1621 EN ID:09023566</v>
      </c>
      <c r="R8116" s="9"/>
      <c r="S8116" s="9"/>
      <c r="T8116" s="9"/>
      <c r="U8116" s="9"/>
    </row>
    <row r="8117" spans="3:26" x14ac:dyDescent="0.35">
      <c r="C8117" s="15" t="s">
        <v>8</v>
      </c>
      <c r="G8117" s="15" t="s">
        <v>8</v>
      </c>
      <c r="H8117" s="15" t="s">
        <v>8</v>
      </c>
      <c r="I8117" s="15" t="s">
        <v>8</v>
      </c>
      <c r="M8117" s="15" t="s">
        <v>8</v>
      </c>
      <c r="P8117" s="15" t="s">
        <v>8</v>
      </c>
      <c r="Q8117" s="8" t="s">
        <v>3</v>
      </c>
      <c r="R8117" s="15" t="s">
        <v>8</v>
      </c>
    </row>
    <row r="8118" spans="3:26" x14ac:dyDescent="0.35">
      <c r="C8118" s="15" t="s">
        <v>8</v>
      </c>
      <c r="G8118" s="15" t="s">
        <v>8</v>
      </c>
      <c r="H8118" s="15" t="s">
        <v>8</v>
      </c>
      <c r="I8118" s="15" t="s">
        <v>8</v>
      </c>
      <c r="M8118" s="15" t="s">
        <v>8</v>
      </c>
      <c r="P8118" s="15" t="s">
        <v>8</v>
      </c>
      <c r="Q8118" s="15" t="s">
        <v>8</v>
      </c>
      <c r="R8118" s="15" t="s">
        <v>8</v>
      </c>
      <c r="S8118" s="19" t="str">
        <f>HYPERLINK("http://yeinfo.com/family/I09065669.html", "WILLIAM SPENCER III &lt;2&gt; 1470 EN-1532 EN ID:09065669")</f>
        <v>WILLIAM SPENCER III &lt;2&gt; 1470 EN-1532 EN ID:09065669</v>
      </c>
      <c r="T8118" s="9"/>
      <c r="U8118" s="9"/>
      <c r="V8118" s="9"/>
      <c r="W8118" s="9"/>
    </row>
    <row r="8119" spans="3:26" x14ac:dyDescent="0.35">
      <c r="C8119" s="15" t="s">
        <v>8</v>
      </c>
      <c r="G8119" s="15" t="s">
        <v>8</v>
      </c>
      <c r="H8119" s="15" t="s">
        <v>8</v>
      </c>
      <c r="I8119" s="15" t="s">
        <v>8</v>
      </c>
      <c r="M8119" s="15" t="s">
        <v>8</v>
      </c>
      <c r="P8119" s="15" t="s">
        <v>8</v>
      </c>
      <c r="Q8119" s="15" t="s">
        <v>8</v>
      </c>
      <c r="R8119" s="8" t="s">
        <v>6</v>
      </c>
      <c r="S8119" s="8" t="s">
        <v>3</v>
      </c>
    </row>
    <row r="8120" spans="3:26" x14ac:dyDescent="0.35">
      <c r="C8120" s="15" t="s">
        <v>8</v>
      </c>
      <c r="G8120" s="15" t="s">
        <v>8</v>
      </c>
      <c r="H8120" s="15" t="s">
        <v>8</v>
      </c>
      <c r="I8120" s="15" t="s">
        <v>8</v>
      </c>
      <c r="M8120" s="15" t="s">
        <v>8</v>
      </c>
      <c r="P8120" s="15" t="s">
        <v>8</v>
      </c>
      <c r="Q8120" s="15" t="s">
        <v>8</v>
      </c>
      <c r="R8120" s="20" t="str">
        <f>HYPERLINK("http://yeinfo.com/family/I09047133.html", "ELIZABETH ALICE SPENCER &lt;2&gt; 1490 EN-1522 EN ID:09047133")</f>
        <v>ELIZABETH ALICE SPENCER &lt;2&gt; 1490 EN-1522 EN ID:09047133</v>
      </c>
      <c r="S8120" s="17"/>
      <c r="T8120" s="17"/>
      <c r="U8120" s="17"/>
      <c r="V8120" s="17"/>
    </row>
    <row r="8121" spans="3:26" x14ac:dyDescent="0.35">
      <c r="C8121" s="15" t="s">
        <v>8</v>
      </c>
      <c r="G8121" s="15" t="s">
        <v>8</v>
      </c>
      <c r="H8121" s="15" t="s">
        <v>8</v>
      </c>
      <c r="I8121" s="15" t="s">
        <v>8</v>
      </c>
      <c r="M8121" s="15" t="s">
        <v>8</v>
      </c>
      <c r="P8121" s="15" t="s">
        <v>8</v>
      </c>
      <c r="Q8121" s="15" t="s">
        <v>8</v>
      </c>
      <c r="S8121" s="15" t="s">
        <v>8</v>
      </c>
    </row>
    <row r="8122" spans="3:26" x14ac:dyDescent="0.35">
      <c r="C8122" s="15" t="s">
        <v>8</v>
      </c>
      <c r="G8122" s="15" t="s">
        <v>8</v>
      </c>
      <c r="H8122" s="15" t="s">
        <v>8</v>
      </c>
      <c r="I8122" s="15" t="s">
        <v>8</v>
      </c>
      <c r="M8122" s="15" t="s">
        <v>8</v>
      </c>
      <c r="P8122" s="15" t="s">
        <v>8</v>
      </c>
      <c r="Q8122" s="15" t="s">
        <v>8</v>
      </c>
      <c r="S8122" s="15" t="s">
        <v>8</v>
      </c>
      <c r="V8122" s="19" t="str">
        <f>HYPERLINK("http://yeinfo.com/family/I09066096.html", "JOHN HERITAGE &lt;2&gt; 1378 EN-1443 EN ID:09066096")</f>
        <v>JOHN HERITAGE &lt;2&gt; 1378 EN-1443 EN ID:09066096</v>
      </c>
      <c r="W8122" s="9"/>
      <c r="X8122" s="9"/>
      <c r="Y8122" s="9"/>
      <c r="Z8122" s="9"/>
    </row>
    <row r="8123" spans="3:26" x14ac:dyDescent="0.35">
      <c r="C8123" s="15" t="s">
        <v>8</v>
      </c>
      <c r="G8123" s="15" t="s">
        <v>8</v>
      </c>
      <c r="H8123" s="15" t="s">
        <v>8</v>
      </c>
      <c r="I8123" s="15" t="s">
        <v>8</v>
      </c>
      <c r="M8123" s="15" t="s">
        <v>8</v>
      </c>
      <c r="P8123" s="15" t="s">
        <v>8</v>
      </c>
      <c r="Q8123" s="15" t="s">
        <v>8</v>
      </c>
      <c r="S8123" s="15" t="s">
        <v>8</v>
      </c>
      <c r="V8123" s="8" t="s">
        <v>3</v>
      </c>
    </row>
    <row r="8124" spans="3:26" x14ac:dyDescent="0.35">
      <c r="C8124" s="15" t="s">
        <v>8</v>
      </c>
      <c r="G8124" s="15" t="s">
        <v>8</v>
      </c>
      <c r="H8124" s="15" t="s">
        <v>8</v>
      </c>
      <c r="I8124" s="15" t="s">
        <v>8</v>
      </c>
      <c r="M8124" s="15" t="s">
        <v>8</v>
      </c>
      <c r="P8124" s="15" t="s">
        <v>8</v>
      </c>
      <c r="Q8124" s="15" t="s">
        <v>8</v>
      </c>
      <c r="S8124" s="15" t="s">
        <v>8</v>
      </c>
      <c r="U8124" s="19" t="str">
        <f>HYPERLINK("http://yeinfo.com/family/I09065928.html", "THOMAS HERITAGE &lt;2&gt; 1400 EN-1482 EN ID:09065928")</f>
        <v>THOMAS HERITAGE &lt;2&gt; 1400 EN-1482 EN ID:09065928</v>
      </c>
      <c r="V8124" s="9"/>
      <c r="W8124" s="9"/>
      <c r="X8124" s="9"/>
      <c r="Y8124" s="9"/>
    </row>
    <row r="8125" spans="3:26" x14ac:dyDescent="0.35">
      <c r="C8125" s="15" t="s">
        <v>8</v>
      </c>
      <c r="G8125" s="15" t="s">
        <v>8</v>
      </c>
      <c r="H8125" s="15" t="s">
        <v>8</v>
      </c>
      <c r="I8125" s="15" t="s">
        <v>8</v>
      </c>
      <c r="M8125" s="15" t="s">
        <v>8</v>
      </c>
      <c r="P8125" s="15" t="s">
        <v>8</v>
      </c>
      <c r="Q8125" s="15" t="s">
        <v>8</v>
      </c>
      <c r="S8125" s="15" t="s">
        <v>8</v>
      </c>
      <c r="U8125" s="8" t="s">
        <v>3</v>
      </c>
      <c r="V8125" s="8" t="s">
        <v>6</v>
      </c>
    </row>
    <row r="8126" spans="3:26" x14ac:dyDescent="0.35">
      <c r="C8126" s="15" t="s">
        <v>8</v>
      </c>
      <c r="G8126" s="15" t="s">
        <v>8</v>
      </c>
      <c r="H8126" s="15" t="s">
        <v>8</v>
      </c>
      <c r="I8126" s="15" t="s">
        <v>8</v>
      </c>
      <c r="M8126" s="15" t="s">
        <v>8</v>
      </c>
      <c r="P8126" s="15" t="s">
        <v>8</v>
      </c>
      <c r="Q8126" s="15" t="s">
        <v>8</v>
      </c>
      <c r="S8126" s="15" t="s">
        <v>8</v>
      </c>
      <c r="U8126" s="15" t="s">
        <v>8</v>
      </c>
      <c r="V8126" s="20" t="str">
        <f>HYPERLINK("http://yeinfo.com/family/I09066095.html", "Mrs. {_?_} HERITAGE &lt;2&gt; 1380 EN-1400 EN ID:09066095")</f>
        <v>Mrs. {_?_} HERITAGE &lt;2&gt; 1380 EN-1400 EN ID:09066095</v>
      </c>
      <c r="W8126" s="17"/>
      <c r="X8126" s="17"/>
      <c r="Y8126" s="17"/>
      <c r="Z8126" s="17"/>
    </row>
    <row r="8127" spans="3:26" x14ac:dyDescent="0.35">
      <c r="C8127" s="15" t="s">
        <v>8</v>
      </c>
      <c r="G8127" s="15" t="s">
        <v>8</v>
      </c>
      <c r="H8127" s="15" t="s">
        <v>8</v>
      </c>
      <c r="I8127" s="15" t="s">
        <v>8</v>
      </c>
      <c r="M8127" s="15" t="s">
        <v>8</v>
      </c>
      <c r="P8127" s="15" t="s">
        <v>8</v>
      </c>
      <c r="Q8127" s="15" t="s">
        <v>8</v>
      </c>
      <c r="S8127" s="15" t="s">
        <v>8</v>
      </c>
      <c r="U8127" s="15" t="s">
        <v>8</v>
      </c>
    </row>
    <row r="8128" spans="3:26" x14ac:dyDescent="0.35">
      <c r="C8128" s="15" t="s">
        <v>8</v>
      </c>
      <c r="G8128" s="15" t="s">
        <v>8</v>
      </c>
      <c r="H8128" s="15" t="s">
        <v>8</v>
      </c>
      <c r="I8128" s="15" t="s">
        <v>8</v>
      </c>
      <c r="M8128" s="15" t="s">
        <v>8</v>
      </c>
      <c r="P8128" s="15" t="s">
        <v>8</v>
      </c>
      <c r="Q8128" s="15" t="s">
        <v>8</v>
      </c>
      <c r="S8128" s="15" t="s">
        <v>8</v>
      </c>
      <c r="T8128" s="19" t="str">
        <f>HYPERLINK("http://yeinfo.com/family/I09065781.html", "THOMAS HERITAGE &lt;2&gt; 1452 EN-1495 EN ID:09065781")</f>
        <v>THOMAS HERITAGE &lt;2&gt; 1452 EN-1495 EN ID:09065781</v>
      </c>
      <c r="U8128" s="9"/>
      <c r="V8128" s="9"/>
      <c r="W8128" s="9"/>
      <c r="X8128" s="9"/>
    </row>
    <row r="8129" spans="3:28" x14ac:dyDescent="0.35">
      <c r="C8129" s="15" t="s">
        <v>8</v>
      </c>
      <c r="G8129" s="15" t="s">
        <v>8</v>
      </c>
      <c r="H8129" s="15" t="s">
        <v>8</v>
      </c>
      <c r="I8129" s="15" t="s">
        <v>8</v>
      </c>
      <c r="M8129" s="15" t="s">
        <v>8</v>
      </c>
      <c r="P8129" s="15" t="s">
        <v>8</v>
      </c>
      <c r="Q8129" s="15" t="s">
        <v>8</v>
      </c>
      <c r="S8129" s="15" t="s">
        <v>8</v>
      </c>
      <c r="T8129" s="8" t="s">
        <v>3</v>
      </c>
      <c r="U8129" s="8" t="s">
        <v>6</v>
      </c>
    </row>
    <row r="8130" spans="3:28" x14ac:dyDescent="0.35">
      <c r="C8130" s="15" t="s">
        <v>8</v>
      </c>
      <c r="G8130" s="15" t="s">
        <v>8</v>
      </c>
      <c r="H8130" s="15" t="s">
        <v>8</v>
      </c>
      <c r="I8130" s="15" t="s">
        <v>8</v>
      </c>
      <c r="M8130" s="15" t="s">
        <v>8</v>
      </c>
      <c r="P8130" s="15" t="s">
        <v>8</v>
      </c>
      <c r="Q8130" s="15" t="s">
        <v>8</v>
      </c>
      <c r="S8130" s="15" t="s">
        <v>8</v>
      </c>
      <c r="T8130" s="15" t="s">
        <v>8</v>
      </c>
      <c r="U8130" s="20" t="str">
        <f>HYPERLINK("http://yeinfo.com/family/I09065948.html", "MARY TIMMS &lt;2&gt; 1410 EN-1505 EN ID:09065948")</f>
        <v>MARY TIMMS &lt;2&gt; 1410 EN-1505 EN ID:09065948</v>
      </c>
      <c r="V8130" s="17"/>
      <c r="W8130" s="17"/>
      <c r="X8130" s="17"/>
      <c r="Y8130" s="17"/>
    </row>
    <row r="8131" spans="3:28" x14ac:dyDescent="0.35">
      <c r="C8131" s="15" t="s">
        <v>8</v>
      </c>
      <c r="G8131" s="15" t="s">
        <v>8</v>
      </c>
      <c r="H8131" s="15" t="s">
        <v>8</v>
      </c>
      <c r="I8131" s="15" t="s">
        <v>8</v>
      </c>
      <c r="M8131" s="15" t="s">
        <v>8</v>
      </c>
      <c r="P8131" s="15" t="s">
        <v>8</v>
      </c>
      <c r="Q8131" s="15" t="s">
        <v>8</v>
      </c>
      <c r="S8131" s="8" t="s">
        <v>6</v>
      </c>
      <c r="T8131" s="15" t="s">
        <v>8</v>
      </c>
    </row>
    <row r="8132" spans="3:28" x14ac:dyDescent="0.35">
      <c r="C8132" s="15" t="s">
        <v>8</v>
      </c>
      <c r="G8132" s="15" t="s">
        <v>8</v>
      </c>
      <c r="H8132" s="15" t="s">
        <v>8</v>
      </c>
      <c r="I8132" s="15" t="s">
        <v>8</v>
      </c>
      <c r="M8132" s="15" t="s">
        <v>8</v>
      </c>
      <c r="P8132" s="15" t="s">
        <v>8</v>
      </c>
      <c r="Q8132" s="15" t="s">
        <v>8</v>
      </c>
      <c r="S8132" s="20" t="str">
        <f>HYPERLINK("http://yeinfo.com/family/I09065651.html", "AGNES HERITAGE &lt;2&gt; 1478 EN-1510 EN ID:09065651")</f>
        <v>AGNES HERITAGE &lt;2&gt; 1478 EN-1510 EN ID:09065651</v>
      </c>
      <c r="T8132" s="17"/>
      <c r="U8132" s="17"/>
      <c r="V8132" s="17"/>
      <c r="W8132" s="17"/>
    </row>
    <row r="8133" spans="3:28" x14ac:dyDescent="0.35">
      <c r="C8133" s="15" t="s">
        <v>8</v>
      </c>
      <c r="G8133" s="15" t="s">
        <v>8</v>
      </c>
      <c r="H8133" s="15" t="s">
        <v>8</v>
      </c>
      <c r="I8133" s="15" t="s">
        <v>8</v>
      </c>
      <c r="M8133" s="15" t="s">
        <v>8</v>
      </c>
      <c r="P8133" s="15" t="s">
        <v>8</v>
      </c>
      <c r="Q8133" s="15" t="s">
        <v>8</v>
      </c>
      <c r="T8133" s="15" t="s">
        <v>8</v>
      </c>
    </row>
    <row r="8134" spans="3:28" x14ac:dyDescent="0.35">
      <c r="C8134" s="15" t="s">
        <v>8</v>
      </c>
      <c r="G8134" s="15" t="s">
        <v>8</v>
      </c>
      <c r="H8134" s="15" t="s">
        <v>8</v>
      </c>
      <c r="I8134" s="15" t="s">
        <v>8</v>
      </c>
      <c r="M8134" s="15" t="s">
        <v>8</v>
      </c>
      <c r="P8134" s="15" t="s">
        <v>8</v>
      </c>
      <c r="Q8134" s="15" t="s">
        <v>8</v>
      </c>
      <c r="T8134" s="15" t="s">
        <v>8</v>
      </c>
      <c r="W8134" s="19" t="str">
        <f>HYPERLINK("http://yeinfo.com/family/I09066308.html", "JOHN SPENCER &lt;2&gt; 1370 EN-1406 EN ID:09066308")</f>
        <v>JOHN SPENCER &lt;2&gt; 1370 EN-1406 EN ID:09066308</v>
      </c>
      <c r="X8134" s="9"/>
      <c r="Y8134" s="9"/>
      <c r="Z8134" s="9"/>
      <c r="AA8134" s="9"/>
    </row>
    <row r="8135" spans="3:28" x14ac:dyDescent="0.35">
      <c r="C8135" s="15" t="s">
        <v>8</v>
      </c>
      <c r="G8135" s="15" t="s">
        <v>8</v>
      </c>
      <c r="H8135" s="15" t="s">
        <v>8</v>
      </c>
      <c r="I8135" s="15" t="s">
        <v>8</v>
      </c>
      <c r="M8135" s="15" t="s">
        <v>8</v>
      </c>
      <c r="P8135" s="15" t="s">
        <v>8</v>
      </c>
      <c r="Q8135" s="15" t="s">
        <v>8</v>
      </c>
      <c r="T8135" s="15" t="s">
        <v>8</v>
      </c>
      <c r="W8135" s="8" t="s">
        <v>3</v>
      </c>
    </row>
    <row r="8136" spans="3:28" x14ac:dyDescent="0.35">
      <c r="C8136" s="15" t="s">
        <v>8</v>
      </c>
      <c r="G8136" s="15" t="s">
        <v>8</v>
      </c>
      <c r="H8136" s="15" t="s">
        <v>8</v>
      </c>
      <c r="I8136" s="15" t="s">
        <v>8</v>
      </c>
      <c r="M8136" s="15" t="s">
        <v>8</v>
      </c>
      <c r="P8136" s="15" t="s">
        <v>8</v>
      </c>
      <c r="Q8136" s="15" t="s">
        <v>8</v>
      </c>
      <c r="T8136" s="15" t="s">
        <v>8</v>
      </c>
      <c r="V8136" s="19" t="str">
        <f>HYPERLINK("http://yeinfo.com/family/I09066113.html", "ROBERT SPENCER &lt;2&gt; 1406 EN-1477 EN ID:09066113")</f>
        <v>ROBERT SPENCER &lt;2&gt; 1406 EN-1477 EN ID:09066113</v>
      </c>
      <c r="W8136" s="9"/>
      <c r="X8136" s="9"/>
      <c r="Y8136" s="9"/>
      <c r="Z8136" s="9"/>
    </row>
    <row r="8137" spans="3:28" x14ac:dyDescent="0.35">
      <c r="C8137" s="15" t="s">
        <v>8</v>
      </c>
      <c r="G8137" s="15" t="s">
        <v>8</v>
      </c>
      <c r="H8137" s="15" t="s">
        <v>8</v>
      </c>
      <c r="I8137" s="15" t="s">
        <v>8</v>
      </c>
      <c r="M8137" s="15" t="s">
        <v>8</v>
      </c>
      <c r="P8137" s="15" t="s">
        <v>8</v>
      </c>
      <c r="Q8137" s="15" t="s">
        <v>8</v>
      </c>
      <c r="T8137" s="15" t="s">
        <v>8</v>
      </c>
      <c r="V8137" s="8" t="s">
        <v>3</v>
      </c>
      <c r="W8137" s="8" t="s">
        <v>6</v>
      </c>
    </row>
    <row r="8138" spans="3:28" x14ac:dyDescent="0.35">
      <c r="C8138" s="15" t="s">
        <v>8</v>
      </c>
      <c r="G8138" s="15" t="s">
        <v>8</v>
      </c>
      <c r="H8138" s="15" t="s">
        <v>8</v>
      </c>
      <c r="I8138" s="15" t="s">
        <v>8</v>
      </c>
      <c r="M8138" s="15" t="s">
        <v>8</v>
      </c>
      <c r="P8138" s="15" t="s">
        <v>8</v>
      </c>
      <c r="Q8138" s="15" t="s">
        <v>8</v>
      </c>
      <c r="T8138" s="15" t="s">
        <v>8</v>
      </c>
      <c r="V8138" s="15" t="s">
        <v>8</v>
      </c>
      <c r="W8138" s="20" t="str">
        <f>HYPERLINK("http://yeinfo.com/family/I09066307.html", "Mrs. JONE SPENCER &lt;2&gt; 1370 EN-1406 EN ID:09066307")</f>
        <v>Mrs. JONE SPENCER &lt;2&gt; 1370 EN-1406 EN ID:09066307</v>
      </c>
      <c r="X8138" s="17"/>
      <c r="Y8138" s="17"/>
      <c r="Z8138" s="17"/>
      <c r="AA8138" s="17"/>
    </row>
    <row r="8139" spans="3:28" x14ac:dyDescent="0.35">
      <c r="C8139" s="15" t="s">
        <v>8</v>
      </c>
      <c r="G8139" s="15" t="s">
        <v>8</v>
      </c>
      <c r="H8139" s="15" t="s">
        <v>8</v>
      </c>
      <c r="I8139" s="15" t="s">
        <v>8</v>
      </c>
      <c r="M8139" s="15" t="s">
        <v>8</v>
      </c>
      <c r="P8139" s="15" t="s">
        <v>8</v>
      </c>
      <c r="Q8139" s="15" t="s">
        <v>8</v>
      </c>
      <c r="T8139" s="15" t="s">
        <v>8</v>
      </c>
      <c r="V8139" s="15" t="s">
        <v>8</v>
      </c>
    </row>
    <row r="8140" spans="3:28" x14ac:dyDescent="0.35">
      <c r="C8140" s="15" t="s">
        <v>8</v>
      </c>
      <c r="G8140" s="15" t="s">
        <v>8</v>
      </c>
      <c r="H8140" s="15" t="s">
        <v>8</v>
      </c>
      <c r="I8140" s="15" t="s">
        <v>8</v>
      </c>
      <c r="M8140" s="15" t="s">
        <v>8</v>
      </c>
      <c r="P8140" s="15" t="s">
        <v>8</v>
      </c>
      <c r="Q8140" s="15" t="s">
        <v>8</v>
      </c>
      <c r="T8140" s="15" t="s">
        <v>8</v>
      </c>
      <c r="U8140" s="19" t="str">
        <f>HYPERLINK("http://yeinfo.com/family/I09065944.html", "JOHN SPENCER &lt;2&gt; 1434 EN-1475 EN ID:09065944")</f>
        <v>JOHN SPENCER &lt;2&gt; 1434 EN-1475 EN ID:09065944</v>
      </c>
      <c r="V8140" s="9"/>
      <c r="W8140" s="9"/>
      <c r="X8140" s="9"/>
      <c r="Y8140" s="9"/>
    </row>
    <row r="8141" spans="3:28" x14ac:dyDescent="0.35">
      <c r="C8141" s="15" t="s">
        <v>8</v>
      </c>
      <c r="G8141" s="15" t="s">
        <v>8</v>
      </c>
      <c r="H8141" s="15" t="s">
        <v>8</v>
      </c>
      <c r="I8141" s="15" t="s">
        <v>8</v>
      </c>
      <c r="M8141" s="15" t="s">
        <v>8</v>
      </c>
      <c r="P8141" s="15" t="s">
        <v>8</v>
      </c>
      <c r="Q8141" s="15" t="s">
        <v>8</v>
      </c>
      <c r="T8141" s="15" t="s">
        <v>8</v>
      </c>
      <c r="U8141" s="8" t="s">
        <v>3</v>
      </c>
      <c r="V8141" s="15" t="s">
        <v>8</v>
      </c>
    </row>
    <row r="8142" spans="3:28" x14ac:dyDescent="0.35">
      <c r="C8142" s="15" t="s">
        <v>8</v>
      </c>
      <c r="G8142" s="15" t="s">
        <v>8</v>
      </c>
      <c r="H8142" s="15" t="s">
        <v>8</v>
      </c>
      <c r="I8142" s="15" t="s">
        <v>8</v>
      </c>
      <c r="M8142" s="15" t="s">
        <v>8</v>
      </c>
      <c r="P8142" s="15" t="s">
        <v>8</v>
      </c>
      <c r="Q8142" s="15" t="s">
        <v>8</v>
      </c>
      <c r="T8142" s="15" t="s">
        <v>8</v>
      </c>
      <c r="U8142" s="15" t="s">
        <v>8</v>
      </c>
      <c r="V8142" s="15" t="s">
        <v>8</v>
      </c>
      <c r="X8142" s="19" t="str">
        <f>HYPERLINK("http://yeinfo.com/family/I09066477.html", "JOHN JARVIS SMYTHE &lt;2&gt; 1350 EN-1387 EN ID:09066477")</f>
        <v>JOHN JARVIS SMYTHE &lt;2&gt; 1350 EN-1387 EN ID:09066477</v>
      </c>
      <c r="Y8142" s="9"/>
      <c r="Z8142" s="9"/>
      <c r="AA8142" s="9"/>
      <c r="AB8142" s="9"/>
    </row>
    <row r="8143" spans="3:28" x14ac:dyDescent="0.35">
      <c r="C8143" s="15" t="s">
        <v>8</v>
      </c>
      <c r="G8143" s="15" t="s">
        <v>8</v>
      </c>
      <c r="H8143" s="15" t="s">
        <v>8</v>
      </c>
      <c r="I8143" s="15" t="s">
        <v>8</v>
      </c>
      <c r="M8143" s="15" t="s">
        <v>8</v>
      </c>
      <c r="P8143" s="15" t="s">
        <v>8</v>
      </c>
      <c r="Q8143" s="15" t="s">
        <v>8</v>
      </c>
      <c r="T8143" s="15" t="s">
        <v>8</v>
      </c>
      <c r="U8143" s="15" t="s">
        <v>8</v>
      </c>
      <c r="V8143" s="15" t="s">
        <v>8</v>
      </c>
      <c r="X8143" s="8" t="s">
        <v>3</v>
      </c>
    </row>
    <row r="8144" spans="3:28" x14ac:dyDescent="0.35">
      <c r="C8144" s="15" t="s">
        <v>8</v>
      </c>
      <c r="G8144" s="15" t="s">
        <v>8</v>
      </c>
      <c r="H8144" s="15" t="s">
        <v>8</v>
      </c>
      <c r="I8144" s="15" t="s">
        <v>8</v>
      </c>
      <c r="M8144" s="15" t="s">
        <v>8</v>
      </c>
      <c r="P8144" s="15" t="s">
        <v>8</v>
      </c>
      <c r="Q8144" s="15" t="s">
        <v>8</v>
      </c>
      <c r="T8144" s="15" t="s">
        <v>8</v>
      </c>
      <c r="U8144" s="15" t="s">
        <v>8</v>
      </c>
      <c r="V8144" s="15" t="s">
        <v>8</v>
      </c>
      <c r="W8144" s="19" t="str">
        <f>HYPERLINK("http://yeinfo.com/family/I09066306.html", "JOHN SMYTHE &lt;2&gt; 1387 EN-1423 EN ID:09066306")</f>
        <v>JOHN SMYTHE &lt;2&gt; 1387 EN-1423 EN ID:09066306</v>
      </c>
      <c r="X8144" s="9"/>
      <c r="Y8144" s="9"/>
      <c r="Z8144" s="9"/>
      <c r="AA8144" s="9"/>
    </row>
    <row r="8145" spans="3:28" x14ac:dyDescent="0.35">
      <c r="C8145" s="15" t="s">
        <v>8</v>
      </c>
      <c r="G8145" s="15" t="s">
        <v>8</v>
      </c>
      <c r="H8145" s="15" t="s">
        <v>8</v>
      </c>
      <c r="I8145" s="15" t="s">
        <v>8</v>
      </c>
      <c r="M8145" s="15" t="s">
        <v>8</v>
      </c>
      <c r="P8145" s="15" t="s">
        <v>8</v>
      </c>
      <c r="Q8145" s="15" t="s">
        <v>8</v>
      </c>
      <c r="T8145" s="15" t="s">
        <v>8</v>
      </c>
      <c r="U8145" s="15" t="s">
        <v>8</v>
      </c>
      <c r="V8145" s="15" t="s">
        <v>8</v>
      </c>
      <c r="W8145" s="8" t="s">
        <v>3</v>
      </c>
      <c r="X8145" s="8" t="s">
        <v>6</v>
      </c>
    </row>
    <row r="8146" spans="3:28" x14ac:dyDescent="0.35">
      <c r="C8146" s="15" t="s">
        <v>8</v>
      </c>
      <c r="G8146" s="15" t="s">
        <v>8</v>
      </c>
      <c r="H8146" s="15" t="s">
        <v>8</v>
      </c>
      <c r="I8146" s="15" t="s">
        <v>8</v>
      </c>
      <c r="M8146" s="15" t="s">
        <v>8</v>
      </c>
      <c r="P8146" s="15" t="s">
        <v>8</v>
      </c>
      <c r="Q8146" s="15" t="s">
        <v>8</v>
      </c>
      <c r="T8146" s="15" t="s">
        <v>8</v>
      </c>
      <c r="U8146" s="15" t="s">
        <v>8</v>
      </c>
      <c r="V8146" s="15" t="s">
        <v>8</v>
      </c>
      <c r="W8146" s="15" t="s">
        <v>8</v>
      </c>
      <c r="X8146" s="20" t="str">
        <f>HYPERLINK("http://yeinfo.com/family/I09066462.html", "ANNE GARVAYS &lt;2&gt; 1350 EN-1387 EN ID:09066462")</f>
        <v>ANNE GARVAYS &lt;2&gt; 1350 EN-1387 EN ID:09066462</v>
      </c>
      <c r="Y8146" s="17"/>
      <c r="Z8146" s="17"/>
      <c r="AA8146" s="17"/>
      <c r="AB8146" s="17"/>
    </row>
    <row r="8147" spans="3:28" x14ac:dyDescent="0.35">
      <c r="C8147" s="15" t="s">
        <v>8</v>
      </c>
      <c r="G8147" s="15" t="s">
        <v>8</v>
      </c>
      <c r="H8147" s="15" t="s">
        <v>8</v>
      </c>
      <c r="I8147" s="15" t="s">
        <v>8</v>
      </c>
      <c r="M8147" s="15" t="s">
        <v>8</v>
      </c>
      <c r="P8147" s="15" t="s">
        <v>8</v>
      </c>
      <c r="Q8147" s="15" t="s">
        <v>8</v>
      </c>
      <c r="T8147" s="15" t="s">
        <v>8</v>
      </c>
      <c r="U8147" s="15" t="s">
        <v>8</v>
      </c>
      <c r="V8147" s="8" t="s">
        <v>6</v>
      </c>
      <c r="W8147" s="15" t="s">
        <v>8</v>
      </c>
    </row>
    <row r="8148" spans="3:28" x14ac:dyDescent="0.35">
      <c r="C8148" s="15" t="s">
        <v>8</v>
      </c>
      <c r="G8148" s="15" t="s">
        <v>8</v>
      </c>
      <c r="H8148" s="15" t="s">
        <v>8</v>
      </c>
      <c r="I8148" s="15" t="s">
        <v>8</v>
      </c>
      <c r="M8148" s="15" t="s">
        <v>8</v>
      </c>
      <c r="P8148" s="15" t="s">
        <v>8</v>
      </c>
      <c r="Q8148" s="15" t="s">
        <v>8</v>
      </c>
      <c r="T8148" s="15" t="s">
        <v>8</v>
      </c>
      <c r="U8148" s="15" t="s">
        <v>8</v>
      </c>
      <c r="V8148" s="20" t="str">
        <f>HYPERLINK("http://yeinfo.com/family/I09066112.html", "ANNE FOCKE SMYTHE &lt;2&gt; 1410 EN-1504 EN ID:09066112")</f>
        <v>ANNE FOCKE SMYTHE &lt;2&gt; 1410 EN-1504 EN ID:09066112</v>
      </c>
      <c r="W8148" s="17"/>
      <c r="X8148" s="17"/>
      <c r="Y8148" s="17"/>
      <c r="Z8148" s="17"/>
    </row>
    <row r="8149" spans="3:28" x14ac:dyDescent="0.35">
      <c r="C8149" s="15" t="s">
        <v>8</v>
      </c>
      <c r="G8149" s="15" t="s">
        <v>8</v>
      </c>
      <c r="H8149" s="15" t="s">
        <v>8</v>
      </c>
      <c r="I8149" s="15" t="s">
        <v>8</v>
      </c>
      <c r="M8149" s="15" t="s">
        <v>8</v>
      </c>
      <c r="P8149" s="15" t="s">
        <v>8</v>
      </c>
      <c r="Q8149" s="15" t="s">
        <v>8</v>
      </c>
      <c r="T8149" s="15" t="s">
        <v>8</v>
      </c>
      <c r="U8149" s="15" t="s">
        <v>8</v>
      </c>
      <c r="W8149" s="15" t="s">
        <v>8</v>
      </c>
    </row>
    <row r="8150" spans="3:28" x14ac:dyDescent="0.35">
      <c r="C8150" s="15" t="s">
        <v>8</v>
      </c>
      <c r="G8150" s="15" t="s">
        <v>8</v>
      </c>
      <c r="H8150" s="15" t="s">
        <v>8</v>
      </c>
      <c r="I8150" s="15" t="s">
        <v>8</v>
      </c>
      <c r="M8150" s="15" t="s">
        <v>8</v>
      </c>
      <c r="P8150" s="15" t="s">
        <v>8</v>
      </c>
      <c r="Q8150" s="15" t="s">
        <v>8</v>
      </c>
      <c r="T8150" s="15" t="s">
        <v>8</v>
      </c>
      <c r="U8150" s="15" t="s">
        <v>8</v>
      </c>
      <c r="W8150" s="15" t="s">
        <v>8</v>
      </c>
      <c r="X8150" s="19" t="str">
        <f>HYPERLINK("http://yeinfo.com/family/I09066443.html", "JOHN BINN &lt;2&gt; 1370 EN-1433 EN ID:09066443")</f>
        <v>JOHN BINN &lt;2&gt; 1370 EN-1433 EN ID:09066443</v>
      </c>
      <c r="Y8150" s="9"/>
      <c r="Z8150" s="9"/>
      <c r="AA8150" s="9"/>
      <c r="AB8150" s="9"/>
    </row>
    <row r="8151" spans="3:28" x14ac:dyDescent="0.35">
      <c r="C8151" s="15" t="s">
        <v>8</v>
      </c>
      <c r="G8151" s="15" t="s">
        <v>8</v>
      </c>
      <c r="H8151" s="15" t="s">
        <v>8</v>
      </c>
      <c r="I8151" s="15" t="s">
        <v>8</v>
      </c>
      <c r="M8151" s="15" t="s">
        <v>8</v>
      </c>
      <c r="P8151" s="15" t="s">
        <v>8</v>
      </c>
      <c r="Q8151" s="15" t="s">
        <v>8</v>
      </c>
      <c r="T8151" s="15" t="s">
        <v>8</v>
      </c>
      <c r="U8151" s="15" t="s">
        <v>8</v>
      </c>
      <c r="W8151" s="8" t="s">
        <v>6</v>
      </c>
      <c r="X8151" s="8" t="s">
        <v>3</v>
      </c>
    </row>
    <row r="8152" spans="3:28" x14ac:dyDescent="0.35">
      <c r="C8152" s="15" t="s">
        <v>8</v>
      </c>
      <c r="G8152" s="15" t="s">
        <v>8</v>
      </c>
      <c r="H8152" s="15" t="s">
        <v>8</v>
      </c>
      <c r="I8152" s="15" t="s">
        <v>8</v>
      </c>
      <c r="M8152" s="15" t="s">
        <v>8</v>
      </c>
      <c r="P8152" s="15" t="s">
        <v>8</v>
      </c>
      <c r="Q8152" s="15" t="s">
        <v>8</v>
      </c>
      <c r="T8152" s="15" t="s">
        <v>8</v>
      </c>
      <c r="U8152" s="15" t="s">
        <v>8</v>
      </c>
      <c r="W8152" s="20" t="str">
        <f>HYPERLINK("http://yeinfo.com/family/I09066280.html", "JOAN BINN &lt;2&gt; 1390 EN-1421 EN ID:09066280")</f>
        <v>JOAN BINN &lt;2&gt; 1390 EN-1421 EN ID:09066280</v>
      </c>
      <c r="X8152" s="17"/>
      <c r="Y8152" s="17"/>
      <c r="Z8152" s="17"/>
      <c r="AA8152" s="17"/>
    </row>
    <row r="8153" spans="3:28" x14ac:dyDescent="0.35">
      <c r="C8153" s="15" t="s">
        <v>8</v>
      </c>
      <c r="G8153" s="15" t="s">
        <v>8</v>
      </c>
      <c r="H8153" s="15" t="s">
        <v>8</v>
      </c>
      <c r="I8153" s="15" t="s">
        <v>8</v>
      </c>
      <c r="M8153" s="15" t="s">
        <v>8</v>
      </c>
      <c r="P8153" s="15" t="s">
        <v>8</v>
      </c>
      <c r="Q8153" s="15" t="s">
        <v>8</v>
      </c>
      <c r="T8153" s="15" t="s">
        <v>8</v>
      </c>
      <c r="U8153" s="15" t="s">
        <v>8</v>
      </c>
      <c r="X8153" s="8" t="s">
        <v>6</v>
      </c>
    </row>
    <row r="8154" spans="3:28" x14ac:dyDescent="0.35">
      <c r="C8154" s="15" t="s">
        <v>8</v>
      </c>
      <c r="G8154" s="15" t="s">
        <v>8</v>
      </c>
      <c r="H8154" s="15" t="s">
        <v>8</v>
      </c>
      <c r="I8154" s="15" t="s">
        <v>8</v>
      </c>
      <c r="M8154" s="15" t="s">
        <v>8</v>
      </c>
      <c r="P8154" s="15" t="s">
        <v>8</v>
      </c>
      <c r="Q8154" s="15" t="s">
        <v>8</v>
      </c>
      <c r="T8154" s="15" t="s">
        <v>8</v>
      </c>
      <c r="U8154" s="15" t="s">
        <v>8</v>
      </c>
      <c r="X8154" s="20" t="str">
        <f>HYPERLINK("http://yeinfo.com/family/I09066484.html", "JOELEAN WALTHERS &lt;2&gt; 1372 EN-1421 EN ID:09066484")</f>
        <v>JOELEAN WALTHERS &lt;2&gt; 1372 EN-1421 EN ID:09066484</v>
      </c>
      <c r="Y8154" s="17"/>
      <c r="Z8154" s="17"/>
      <c r="AA8154" s="17"/>
      <c r="AB8154" s="17"/>
    </row>
    <row r="8155" spans="3:28" x14ac:dyDescent="0.35">
      <c r="C8155" s="15" t="s">
        <v>8</v>
      </c>
      <c r="G8155" s="15" t="s">
        <v>8</v>
      </c>
      <c r="H8155" s="15" t="s">
        <v>8</v>
      </c>
      <c r="I8155" s="15" t="s">
        <v>8</v>
      </c>
      <c r="M8155" s="15" t="s">
        <v>8</v>
      </c>
      <c r="P8155" s="15" t="s">
        <v>8</v>
      </c>
      <c r="Q8155" s="15" t="s">
        <v>8</v>
      </c>
      <c r="T8155" s="8" t="s">
        <v>6</v>
      </c>
      <c r="U8155" s="15" t="s">
        <v>8</v>
      </c>
    </row>
    <row r="8156" spans="3:28" x14ac:dyDescent="0.35">
      <c r="C8156" s="15" t="s">
        <v>8</v>
      </c>
      <c r="G8156" s="15" t="s">
        <v>8</v>
      </c>
      <c r="H8156" s="15" t="s">
        <v>8</v>
      </c>
      <c r="I8156" s="15" t="s">
        <v>8</v>
      </c>
      <c r="M8156" s="15" t="s">
        <v>8</v>
      </c>
      <c r="P8156" s="15" t="s">
        <v>8</v>
      </c>
      <c r="Q8156" s="15" t="s">
        <v>8</v>
      </c>
      <c r="T8156" s="20" t="str">
        <f>HYPERLINK("http://yeinfo.com/family/I09065799.html", "DOROTHY SPENCER &lt;2&gt; 1455 EN-1505 EN ID:09065799")</f>
        <v>DOROTHY SPENCER &lt;2&gt; 1455 EN-1505 EN ID:09065799</v>
      </c>
      <c r="U8156" s="17"/>
      <c r="V8156" s="17"/>
      <c r="W8156" s="17"/>
      <c r="X8156" s="17"/>
    </row>
    <row r="8157" spans="3:28" x14ac:dyDescent="0.35">
      <c r="C8157" s="15" t="s">
        <v>8</v>
      </c>
      <c r="G8157" s="15" t="s">
        <v>8</v>
      </c>
      <c r="H8157" s="15" t="s">
        <v>8</v>
      </c>
      <c r="I8157" s="15" t="s">
        <v>8</v>
      </c>
      <c r="M8157" s="15" t="s">
        <v>8</v>
      </c>
      <c r="P8157" s="15" t="s">
        <v>8</v>
      </c>
      <c r="Q8157" s="15" t="s">
        <v>8</v>
      </c>
      <c r="U8157" s="8" t="s">
        <v>6</v>
      </c>
    </row>
    <row r="8158" spans="3:28" x14ac:dyDescent="0.35">
      <c r="C8158" s="15" t="s">
        <v>8</v>
      </c>
      <c r="G8158" s="15" t="s">
        <v>8</v>
      </c>
      <c r="H8158" s="15" t="s">
        <v>8</v>
      </c>
      <c r="I8158" s="15" t="s">
        <v>8</v>
      </c>
      <c r="M8158" s="15" t="s">
        <v>8</v>
      </c>
      <c r="P8158" s="15" t="s">
        <v>8</v>
      </c>
      <c r="Q8158" s="15" t="s">
        <v>8</v>
      </c>
      <c r="U8158" s="20" t="str">
        <f>HYPERLINK("http://yeinfo.com/family/I09065930.html", "ISABEL LINCOLN &lt;2&gt; 1434 EN-1455 EN ID:09065930")</f>
        <v>ISABEL LINCOLN &lt;2&gt; 1434 EN-1455 EN ID:09065930</v>
      </c>
      <c r="V8158" s="17"/>
      <c r="W8158" s="17"/>
      <c r="X8158" s="17"/>
      <c r="Y8158" s="17"/>
    </row>
    <row r="8159" spans="3:28" x14ac:dyDescent="0.35">
      <c r="C8159" s="15" t="s">
        <v>8</v>
      </c>
      <c r="G8159" s="15" t="s">
        <v>8</v>
      </c>
      <c r="H8159" s="15" t="s">
        <v>8</v>
      </c>
      <c r="I8159" s="15" t="s">
        <v>8</v>
      </c>
      <c r="M8159" s="15" t="s">
        <v>8</v>
      </c>
      <c r="P8159" s="8" t="s">
        <v>6</v>
      </c>
      <c r="Q8159" s="15" t="s">
        <v>8</v>
      </c>
    </row>
    <row r="8160" spans="3:28" x14ac:dyDescent="0.35">
      <c r="C8160" s="15" t="s">
        <v>8</v>
      </c>
      <c r="G8160" s="15" t="s">
        <v>8</v>
      </c>
      <c r="H8160" s="15" t="s">
        <v>8</v>
      </c>
      <c r="I8160" s="15" t="s">
        <v>8</v>
      </c>
      <c r="M8160" s="15" t="s">
        <v>8</v>
      </c>
      <c r="P8160" s="20" t="str">
        <f>HYPERLINK("http://yeinfo.com/family/I09011783.html", "SARAH CUTTER LOCKE &lt;2&gt; 1574 EN-1625 EN ID:09011783")</f>
        <v>SARAH CUTTER LOCKE &lt;2&gt; 1574 EN-1625 EN ID:09011783</v>
      </c>
      <c r="Q8160" s="17"/>
      <c r="R8160" s="17"/>
      <c r="S8160" s="17"/>
      <c r="T8160" s="17"/>
    </row>
    <row r="8161" spans="3:22" x14ac:dyDescent="0.35">
      <c r="C8161" s="15" t="s">
        <v>8</v>
      </c>
      <c r="G8161" s="15" t="s">
        <v>8</v>
      </c>
      <c r="H8161" s="15" t="s">
        <v>8</v>
      </c>
      <c r="I8161" s="15" t="s">
        <v>8</v>
      </c>
      <c r="M8161" s="15" t="s">
        <v>8</v>
      </c>
      <c r="Q8161" s="15" t="s">
        <v>8</v>
      </c>
    </row>
    <row r="8162" spans="3:22" x14ac:dyDescent="0.35">
      <c r="C8162" s="15" t="s">
        <v>8</v>
      </c>
      <c r="G8162" s="15" t="s">
        <v>8</v>
      </c>
      <c r="H8162" s="15" t="s">
        <v>8</v>
      </c>
      <c r="I8162" s="15" t="s">
        <v>8</v>
      </c>
      <c r="M8162" s="15" t="s">
        <v>8</v>
      </c>
      <c r="Q8162" s="15" t="s">
        <v>8</v>
      </c>
      <c r="R8162" s="19" t="str">
        <f>HYPERLINK("http://yeinfo.com/family/I09047134.html", "WILLIAM WILKINSON &lt;2&gt; 1481 EN-1530 EN ID:09047134")</f>
        <v>WILLIAM WILKINSON &lt;2&gt; 1481 EN-1530 EN ID:09047134</v>
      </c>
      <c r="S8162" s="9"/>
      <c r="T8162" s="9"/>
      <c r="U8162" s="9"/>
      <c r="V8162" s="9"/>
    </row>
    <row r="8163" spans="3:22" x14ac:dyDescent="0.35">
      <c r="C8163" s="15" t="s">
        <v>8</v>
      </c>
      <c r="G8163" s="15" t="s">
        <v>8</v>
      </c>
      <c r="H8163" s="15" t="s">
        <v>8</v>
      </c>
      <c r="I8163" s="15" t="s">
        <v>8</v>
      </c>
      <c r="M8163" s="15" t="s">
        <v>8</v>
      </c>
      <c r="Q8163" s="8" t="s">
        <v>6</v>
      </c>
      <c r="R8163" s="8" t="s">
        <v>3</v>
      </c>
    </row>
    <row r="8164" spans="3:22" x14ac:dyDescent="0.35">
      <c r="C8164" s="15" t="s">
        <v>8</v>
      </c>
      <c r="G8164" s="15" t="s">
        <v>8</v>
      </c>
      <c r="H8164" s="15" t="s">
        <v>8</v>
      </c>
      <c r="I8164" s="15" t="s">
        <v>8</v>
      </c>
      <c r="M8164" s="15" t="s">
        <v>8</v>
      </c>
      <c r="Q8164" s="20" t="str">
        <f>HYPERLINK("http://yeinfo.com/family/I09023567.html", "JANE WILKINSON &lt;2&gt; 1520 EN-1577 EN ID:09023567")</f>
        <v>JANE WILKINSON &lt;2&gt; 1520 EN-1577 EN ID:09023567</v>
      </c>
      <c r="R8164" s="17"/>
      <c r="S8164" s="17"/>
      <c r="T8164" s="17"/>
      <c r="U8164" s="17"/>
    </row>
    <row r="8165" spans="3:22" x14ac:dyDescent="0.35">
      <c r="C8165" s="15" t="s">
        <v>8</v>
      </c>
      <c r="G8165" s="15" t="s">
        <v>8</v>
      </c>
      <c r="H8165" s="15" t="s">
        <v>8</v>
      </c>
      <c r="I8165" s="15" t="s">
        <v>8</v>
      </c>
      <c r="M8165" s="15" t="s">
        <v>8</v>
      </c>
      <c r="R8165" s="8" t="s">
        <v>6</v>
      </c>
    </row>
    <row r="8166" spans="3:22" x14ac:dyDescent="0.35">
      <c r="C8166" s="15" t="s">
        <v>8</v>
      </c>
      <c r="G8166" s="15" t="s">
        <v>8</v>
      </c>
      <c r="H8166" s="15" t="s">
        <v>8</v>
      </c>
      <c r="I8166" s="15" t="s">
        <v>8</v>
      </c>
      <c r="M8166" s="15" t="s">
        <v>8</v>
      </c>
      <c r="R8166" s="20" t="str">
        <f>HYPERLINK("http://yeinfo.com/family/I09047135.html", "JANE MERCER &lt;2&gt; 1505 EN-1539 EN ID:09047135")</f>
        <v>JANE MERCER &lt;2&gt; 1505 EN-1539 EN ID:09047135</v>
      </c>
      <c r="S8166" s="17"/>
      <c r="T8166" s="17"/>
      <c r="U8166" s="17"/>
      <c r="V8166" s="17"/>
    </row>
    <row r="8167" spans="3:22" x14ac:dyDescent="0.35">
      <c r="C8167" s="15" t="s">
        <v>8</v>
      </c>
      <c r="G8167" s="15" t="s">
        <v>8</v>
      </c>
      <c r="H8167" s="15" t="s">
        <v>8</v>
      </c>
      <c r="I8167" s="15" t="s">
        <v>8</v>
      </c>
      <c r="M8167" s="15" t="s">
        <v>8</v>
      </c>
    </row>
    <row r="8168" spans="3:22" x14ac:dyDescent="0.35">
      <c r="C8168" s="15" t="s">
        <v>8</v>
      </c>
      <c r="G8168" s="15" t="s">
        <v>8</v>
      </c>
      <c r="H8168" s="15" t="s">
        <v>8</v>
      </c>
      <c r="I8168" s="15" t="s">
        <v>8</v>
      </c>
      <c r="L8168" s="5" t="str">
        <f>HYPERLINK("http://yeinfo.com/family/I09000736.html", "THOMAS MILLER Jr. &lt;2&gt; 1693 MA-1759 MA ID:09000736")</f>
        <v>THOMAS MILLER Jr. &lt;2&gt; 1693 MA-1759 MA ID:09000736</v>
      </c>
      <c r="M8168" s="3"/>
      <c r="N8168" s="3"/>
      <c r="O8168" s="3"/>
      <c r="P8168" s="3"/>
    </row>
    <row r="8169" spans="3:22" x14ac:dyDescent="0.35">
      <c r="C8169" s="15" t="s">
        <v>8</v>
      </c>
      <c r="G8169" s="15" t="s">
        <v>8</v>
      </c>
      <c r="H8169" s="15" t="s">
        <v>8</v>
      </c>
      <c r="I8169" s="15" t="s">
        <v>8</v>
      </c>
      <c r="L8169" s="8" t="s">
        <v>3</v>
      </c>
      <c r="M8169" s="15" t="s">
        <v>8</v>
      </c>
    </row>
    <row r="8170" spans="3:22" x14ac:dyDescent="0.35">
      <c r="C8170" s="15" t="s">
        <v>8</v>
      </c>
      <c r="G8170" s="15" t="s">
        <v>8</v>
      </c>
      <c r="H8170" s="15" t="s">
        <v>8</v>
      </c>
      <c r="I8170" s="15" t="s">
        <v>8</v>
      </c>
      <c r="L8170" s="15" t="s">
        <v>8</v>
      </c>
      <c r="M8170" s="15" t="s">
        <v>8</v>
      </c>
      <c r="Q8170" s="19" t="str">
        <f>HYPERLINK("http://yeinfo.com/family/I09023568.html", "JOHN BEAMOND II &lt;2&gt; 1520 EN-1584 EN ID:09023568")</f>
        <v>JOHN BEAMOND II &lt;2&gt; 1520 EN-1584 EN ID:09023568</v>
      </c>
      <c r="R8170" s="9"/>
      <c r="S8170" s="9"/>
      <c r="T8170" s="9"/>
      <c r="U8170" s="9"/>
    </row>
    <row r="8171" spans="3:22" x14ac:dyDescent="0.35">
      <c r="C8171" s="15" t="s">
        <v>8</v>
      </c>
      <c r="G8171" s="15" t="s">
        <v>8</v>
      </c>
      <c r="H8171" s="15" t="s">
        <v>8</v>
      </c>
      <c r="I8171" s="15" t="s">
        <v>8</v>
      </c>
      <c r="L8171" s="15" t="s">
        <v>8</v>
      </c>
      <c r="M8171" s="15" t="s">
        <v>8</v>
      </c>
      <c r="Q8171" s="8" t="s">
        <v>3</v>
      </c>
    </row>
    <row r="8172" spans="3:22" x14ac:dyDescent="0.35">
      <c r="C8172" s="15" t="s">
        <v>8</v>
      </c>
      <c r="G8172" s="15" t="s">
        <v>8</v>
      </c>
      <c r="H8172" s="15" t="s">
        <v>8</v>
      </c>
      <c r="I8172" s="15" t="s">
        <v>8</v>
      </c>
      <c r="L8172" s="15" t="s">
        <v>8</v>
      </c>
      <c r="M8172" s="15" t="s">
        <v>8</v>
      </c>
      <c r="P8172" s="19" t="str">
        <f>HYPERLINK("http://yeinfo.com/family/I09011784.html", "WILLIAM BEAMOND &lt;2&gt; 1550 EN-1589 EN ID:09011784")</f>
        <v>WILLIAM BEAMOND &lt;2&gt; 1550 EN-1589 EN ID:09011784</v>
      </c>
      <c r="Q8172" s="9"/>
      <c r="R8172" s="9"/>
      <c r="S8172" s="9"/>
      <c r="T8172" s="9"/>
    </row>
    <row r="8173" spans="3:22" x14ac:dyDescent="0.35">
      <c r="C8173" s="15" t="s">
        <v>8</v>
      </c>
      <c r="G8173" s="15" t="s">
        <v>8</v>
      </c>
      <c r="H8173" s="15" t="s">
        <v>8</v>
      </c>
      <c r="I8173" s="15" t="s">
        <v>8</v>
      </c>
      <c r="L8173" s="15" t="s">
        <v>8</v>
      </c>
      <c r="M8173" s="15" t="s">
        <v>8</v>
      </c>
      <c r="P8173" s="8" t="s">
        <v>3</v>
      </c>
      <c r="Q8173" s="8" t="s">
        <v>6</v>
      </c>
    </row>
    <row r="8174" spans="3:22" x14ac:dyDescent="0.35">
      <c r="C8174" s="15" t="s">
        <v>8</v>
      </c>
      <c r="G8174" s="15" t="s">
        <v>8</v>
      </c>
      <c r="H8174" s="15" t="s">
        <v>8</v>
      </c>
      <c r="I8174" s="15" t="s">
        <v>8</v>
      </c>
      <c r="L8174" s="15" t="s">
        <v>8</v>
      </c>
      <c r="M8174" s="15" t="s">
        <v>8</v>
      </c>
      <c r="P8174" s="15" t="s">
        <v>8</v>
      </c>
      <c r="Q8174" s="20" t="str">
        <f>HYPERLINK("http://yeinfo.com/family/I09023569.html", "MARGARET WHITE &lt;2&gt; 1524 EN-1550 EN ID:09023569")</f>
        <v>MARGARET WHITE &lt;2&gt; 1524 EN-1550 EN ID:09023569</v>
      </c>
      <c r="R8174" s="17"/>
      <c r="S8174" s="17"/>
      <c r="T8174" s="17"/>
      <c r="U8174" s="17"/>
    </row>
    <row r="8175" spans="3:22" x14ac:dyDescent="0.35">
      <c r="C8175" s="15" t="s">
        <v>8</v>
      </c>
      <c r="G8175" s="15" t="s">
        <v>8</v>
      </c>
      <c r="H8175" s="15" t="s">
        <v>8</v>
      </c>
      <c r="I8175" s="15" t="s">
        <v>8</v>
      </c>
      <c r="L8175" s="15" t="s">
        <v>8</v>
      </c>
      <c r="M8175" s="15" t="s">
        <v>8</v>
      </c>
      <c r="P8175" s="15" t="s">
        <v>8</v>
      </c>
    </row>
    <row r="8176" spans="3:22" x14ac:dyDescent="0.35">
      <c r="C8176" s="15" t="s">
        <v>8</v>
      </c>
      <c r="G8176" s="15" t="s">
        <v>8</v>
      </c>
      <c r="H8176" s="15" t="s">
        <v>8</v>
      </c>
      <c r="I8176" s="15" t="s">
        <v>8</v>
      </c>
      <c r="L8176" s="15" t="s">
        <v>8</v>
      </c>
      <c r="M8176" s="15" t="s">
        <v>8</v>
      </c>
      <c r="O8176" s="19" t="str">
        <f>HYPERLINK("http://yeinfo.com/family/I09005892.html", "ADAM BEAMOND &lt;2&gt; 1570 EN-1656 EN ID:09005892")</f>
        <v>ADAM BEAMOND &lt;2&gt; 1570 EN-1656 EN ID:09005892</v>
      </c>
      <c r="P8176" s="9"/>
      <c r="Q8176" s="9"/>
      <c r="R8176" s="9"/>
      <c r="S8176" s="9"/>
    </row>
    <row r="8177" spans="3:20" x14ac:dyDescent="0.35">
      <c r="C8177" s="15" t="s">
        <v>8</v>
      </c>
      <c r="G8177" s="15" t="s">
        <v>8</v>
      </c>
      <c r="H8177" s="15" t="s">
        <v>8</v>
      </c>
      <c r="I8177" s="15" t="s">
        <v>8</v>
      </c>
      <c r="L8177" s="15" t="s">
        <v>8</v>
      </c>
      <c r="M8177" s="15" t="s">
        <v>8</v>
      </c>
      <c r="O8177" s="8" t="s">
        <v>3</v>
      </c>
      <c r="P8177" s="8" t="s">
        <v>6</v>
      </c>
    </row>
    <row r="8178" spans="3:20" x14ac:dyDescent="0.35">
      <c r="C8178" s="15" t="s">
        <v>8</v>
      </c>
      <c r="G8178" s="15" t="s">
        <v>8</v>
      </c>
      <c r="H8178" s="15" t="s">
        <v>8</v>
      </c>
      <c r="I8178" s="15" t="s">
        <v>8</v>
      </c>
      <c r="L8178" s="15" t="s">
        <v>8</v>
      </c>
      <c r="M8178" s="15" t="s">
        <v>8</v>
      </c>
      <c r="O8178" s="15" t="s">
        <v>8</v>
      </c>
      <c r="P8178" s="20" t="str">
        <f>HYPERLINK("http://yeinfo.com/family/I09011785.html", "ISABEL WILINGTON &lt;2&gt; 1550 EN-1570 EN ID:09011785")</f>
        <v>ISABEL WILINGTON &lt;2&gt; 1550 EN-1570 EN ID:09011785</v>
      </c>
      <c r="Q8178" s="17"/>
      <c r="R8178" s="17"/>
      <c r="S8178" s="17"/>
      <c r="T8178" s="17"/>
    </row>
    <row r="8179" spans="3:20" x14ac:dyDescent="0.35">
      <c r="C8179" s="15" t="s">
        <v>8</v>
      </c>
      <c r="G8179" s="15" t="s">
        <v>8</v>
      </c>
      <c r="H8179" s="15" t="s">
        <v>8</v>
      </c>
      <c r="I8179" s="15" t="s">
        <v>8</v>
      </c>
      <c r="L8179" s="15" t="s">
        <v>8</v>
      </c>
      <c r="M8179" s="15" t="s">
        <v>8</v>
      </c>
      <c r="O8179" s="15" t="s">
        <v>8</v>
      </c>
    </row>
    <row r="8180" spans="3:20" x14ac:dyDescent="0.35">
      <c r="C8180" s="15" t="s">
        <v>8</v>
      </c>
      <c r="G8180" s="15" t="s">
        <v>8</v>
      </c>
      <c r="H8180" s="15" t="s">
        <v>8</v>
      </c>
      <c r="I8180" s="15" t="s">
        <v>8</v>
      </c>
      <c r="L8180" s="15" t="s">
        <v>8</v>
      </c>
      <c r="M8180" s="15" t="s">
        <v>8</v>
      </c>
      <c r="N8180" s="21" t="str">
        <f>HYPERLINK("http://yeinfo.com/family/I09002946.html", "SIMON BEAMOND &lt;2&gt; 1627 EN-1676 MA ID:09002946")</f>
        <v>SIMON BEAMOND &lt;2&gt; 1627 EN-1676 MA ID:09002946</v>
      </c>
      <c r="O8180" s="6"/>
      <c r="P8180" s="6"/>
      <c r="Q8180" s="6"/>
      <c r="R8180" s="6"/>
    </row>
    <row r="8181" spans="3:20" x14ac:dyDescent="0.35">
      <c r="C8181" s="15" t="s">
        <v>8</v>
      </c>
      <c r="G8181" s="15" t="s">
        <v>8</v>
      </c>
      <c r="H8181" s="15" t="s">
        <v>8</v>
      </c>
      <c r="I8181" s="15" t="s">
        <v>8</v>
      </c>
      <c r="L8181" s="15" t="s">
        <v>8</v>
      </c>
      <c r="M8181" s="15" t="s">
        <v>8</v>
      </c>
      <c r="N8181" s="8" t="s">
        <v>3</v>
      </c>
      <c r="O8181" s="8" t="s">
        <v>6</v>
      </c>
    </row>
    <row r="8182" spans="3:20" x14ac:dyDescent="0.35">
      <c r="C8182" s="15" t="s">
        <v>8</v>
      </c>
      <c r="G8182" s="15" t="s">
        <v>8</v>
      </c>
      <c r="H8182" s="15" t="s">
        <v>8</v>
      </c>
      <c r="I8182" s="15" t="s">
        <v>8</v>
      </c>
      <c r="L8182" s="15" t="s">
        <v>8</v>
      </c>
      <c r="M8182" s="15" t="s">
        <v>8</v>
      </c>
      <c r="N8182" s="15" t="s">
        <v>8</v>
      </c>
      <c r="O8182" s="20" t="str">
        <f>HYPERLINK("http://yeinfo.com/family/I09005893.html", "HELENA KNIGHTSFORD &lt;2&gt; 1575 EN-1629 EN ID:09005893")</f>
        <v>HELENA KNIGHTSFORD &lt;2&gt; 1575 EN-1629 EN ID:09005893</v>
      </c>
      <c r="P8182" s="17"/>
      <c r="Q8182" s="17"/>
      <c r="R8182" s="17"/>
      <c r="S8182" s="17"/>
    </row>
    <row r="8183" spans="3:20" x14ac:dyDescent="0.35">
      <c r="C8183" s="15" t="s">
        <v>8</v>
      </c>
      <c r="G8183" s="15" t="s">
        <v>8</v>
      </c>
      <c r="H8183" s="15" t="s">
        <v>8</v>
      </c>
      <c r="I8183" s="15" t="s">
        <v>8</v>
      </c>
      <c r="L8183" s="15" t="s">
        <v>8</v>
      </c>
      <c r="M8183" s="8" t="s">
        <v>6</v>
      </c>
      <c r="N8183" s="15" t="s">
        <v>8</v>
      </c>
    </row>
    <row r="8184" spans="3:20" x14ac:dyDescent="0.35">
      <c r="C8184" s="15" t="s">
        <v>8</v>
      </c>
      <c r="G8184" s="15" t="s">
        <v>8</v>
      </c>
      <c r="H8184" s="15" t="s">
        <v>8</v>
      </c>
      <c r="I8184" s="15" t="s">
        <v>8</v>
      </c>
      <c r="L8184" s="15" t="s">
        <v>8</v>
      </c>
      <c r="M8184" s="16" t="str">
        <f>HYPERLINK("http://yeinfo.com/family/I09001473.html", "RUTH BEAMOND &lt;2&gt; 1660 MA-1704 MA ID:09001473")</f>
        <v>RUTH BEAMOND &lt;2&gt; 1660 MA-1704 MA ID:09001473</v>
      </c>
      <c r="N8184" s="11"/>
      <c r="O8184" s="11"/>
      <c r="P8184" s="11"/>
      <c r="Q8184" s="11"/>
    </row>
    <row r="8185" spans="3:20" x14ac:dyDescent="0.35">
      <c r="C8185" s="15" t="s">
        <v>8</v>
      </c>
      <c r="G8185" s="15" t="s">
        <v>8</v>
      </c>
      <c r="H8185" s="15" t="s">
        <v>8</v>
      </c>
      <c r="I8185" s="15" t="s">
        <v>8</v>
      </c>
      <c r="L8185" s="15" t="s">
        <v>8</v>
      </c>
      <c r="N8185" s="15" t="s">
        <v>8</v>
      </c>
    </row>
    <row r="8186" spans="3:20" x14ac:dyDescent="0.35">
      <c r="C8186" s="15" t="s">
        <v>8</v>
      </c>
      <c r="G8186" s="15" t="s">
        <v>8</v>
      </c>
      <c r="H8186" s="15" t="s">
        <v>8</v>
      </c>
      <c r="I8186" s="15" t="s">
        <v>8</v>
      </c>
      <c r="L8186" s="15" t="s">
        <v>8</v>
      </c>
      <c r="N8186" s="15" t="s">
        <v>8</v>
      </c>
      <c r="O8186" s="21" t="str">
        <f>HYPERLINK("http://yeinfo.com/family/I09005894.html", "JOHN YOUNG &lt;2&gt; 1600 EN-1661 CT ID:09005894")</f>
        <v>JOHN YOUNG &lt;2&gt; 1600 EN-1661 CT ID:09005894</v>
      </c>
      <c r="P8186" s="6"/>
      <c r="Q8186" s="6"/>
      <c r="R8186" s="6"/>
      <c r="S8186" s="6"/>
    </row>
    <row r="8187" spans="3:20" x14ac:dyDescent="0.35">
      <c r="C8187" s="15" t="s">
        <v>8</v>
      </c>
      <c r="G8187" s="15" t="s">
        <v>8</v>
      </c>
      <c r="H8187" s="15" t="s">
        <v>8</v>
      </c>
      <c r="I8187" s="15" t="s">
        <v>8</v>
      </c>
      <c r="L8187" s="15" t="s">
        <v>8</v>
      </c>
      <c r="N8187" s="8" t="s">
        <v>6</v>
      </c>
      <c r="O8187" s="8" t="s">
        <v>3</v>
      </c>
    </row>
    <row r="8188" spans="3:20" x14ac:dyDescent="0.35">
      <c r="C8188" s="15" t="s">
        <v>8</v>
      </c>
      <c r="G8188" s="15" t="s">
        <v>8</v>
      </c>
      <c r="H8188" s="15" t="s">
        <v>8</v>
      </c>
      <c r="I8188" s="15" t="s">
        <v>8</v>
      </c>
      <c r="L8188" s="15" t="s">
        <v>8</v>
      </c>
      <c r="N8188" s="16" t="str">
        <f>HYPERLINK("http://yeinfo.com/family/I09002947.html", "ALICE YOUNG &lt;2&gt; 1634 CT-1708 MA ID:09002947")</f>
        <v>ALICE YOUNG &lt;2&gt; 1634 CT-1708 MA ID:09002947</v>
      </c>
      <c r="O8188" s="11"/>
      <c r="P8188" s="11"/>
      <c r="Q8188" s="11"/>
      <c r="R8188" s="11"/>
    </row>
    <row r="8189" spans="3:20" x14ac:dyDescent="0.35">
      <c r="C8189" s="15" t="s">
        <v>8</v>
      </c>
      <c r="G8189" s="15" t="s">
        <v>8</v>
      </c>
      <c r="H8189" s="15" t="s">
        <v>8</v>
      </c>
      <c r="I8189" s="15" t="s">
        <v>8</v>
      </c>
      <c r="L8189" s="15" t="s">
        <v>8</v>
      </c>
      <c r="O8189" s="8" t="s">
        <v>6</v>
      </c>
    </row>
    <row r="8190" spans="3:20" x14ac:dyDescent="0.35">
      <c r="C8190" s="15" t="s">
        <v>8</v>
      </c>
      <c r="G8190" s="15" t="s">
        <v>8</v>
      </c>
      <c r="H8190" s="15" t="s">
        <v>8</v>
      </c>
      <c r="I8190" s="15" t="s">
        <v>8</v>
      </c>
      <c r="L8190" s="15" t="s">
        <v>8</v>
      </c>
      <c r="O8190" s="22" t="str">
        <f>HYPERLINK("http://yeinfo.com/family/I09005895.html", "Mrs. ALICE YOUNG &lt;2&gt; 1600 EN-1647 CT ID:09005895")</f>
        <v>Mrs. ALICE YOUNG &lt;2&gt; 1600 EN-1647 CT ID:09005895</v>
      </c>
      <c r="P8190" s="13"/>
      <c r="Q8190" s="13"/>
      <c r="R8190" s="13"/>
      <c r="S8190" s="13"/>
    </row>
    <row r="8191" spans="3:20" x14ac:dyDescent="0.35">
      <c r="C8191" s="15" t="s">
        <v>8</v>
      </c>
      <c r="G8191" s="15" t="s">
        <v>8</v>
      </c>
      <c r="H8191" s="15" t="s">
        <v>8</v>
      </c>
      <c r="I8191" s="15" t="s">
        <v>8</v>
      </c>
      <c r="L8191" s="15" t="s">
        <v>8</v>
      </c>
    </row>
    <row r="8192" spans="3:20" x14ac:dyDescent="0.35">
      <c r="C8192" s="15" t="s">
        <v>8</v>
      </c>
      <c r="G8192" s="15" t="s">
        <v>8</v>
      </c>
      <c r="H8192" s="15" t="s">
        <v>8</v>
      </c>
      <c r="I8192" s="15" t="s">
        <v>8</v>
      </c>
      <c r="K8192" s="5" t="str">
        <f>HYPERLINK("http://yeinfo.com/family/I09000368.html", "DAVID MILLER Sr. &lt;2&gt; 1736 MA-1808 VT ID:09000368")</f>
        <v>DAVID MILLER Sr. &lt;2&gt; 1736 MA-1808 VT ID:09000368</v>
      </c>
      <c r="L8192" s="3"/>
      <c r="M8192" s="3"/>
      <c r="N8192" s="3"/>
      <c r="O8192" s="3"/>
    </row>
    <row r="8193" spans="3:21" x14ac:dyDescent="0.35">
      <c r="C8193" s="15" t="s">
        <v>8</v>
      </c>
      <c r="G8193" s="15" t="s">
        <v>8</v>
      </c>
      <c r="H8193" s="15" t="s">
        <v>8</v>
      </c>
      <c r="I8193" s="15" t="s">
        <v>8</v>
      </c>
      <c r="K8193" s="8" t="s">
        <v>3</v>
      </c>
      <c r="L8193" s="15" t="s">
        <v>8</v>
      </c>
    </row>
    <row r="8194" spans="3:21" x14ac:dyDescent="0.35">
      <c r="C8194" s="15" t="s">
        <v>8</v>
      </c>
      <c r="G8194" s="15" t="s">
        <v>8</v>
      </c>
      <c r="H8194" s="15" t="s">
        <v>8</v>
      </c>
      <c r="I8194" s="15" t="s">
        <v>8</v>
      </c>
      <c r="K8194" s="15" t="s">
        <v>8</v>
      </c>
      <c r="L8194" s="15" t="s">
        <v>8</v>
      </c>
      <c r="Q8194" s="19" t="str">
        <f>HYPERLINK("http://yeinfo.com/family/I09023584.html", "THOMAS MEEKINS &lt;4&gt; 1550 EN-1646 EN ID:09023584")</f>
        <v>THOMAS MEEKINS &lt;4&gt; 1550 EN-1646 EN ID:09023584</v>
      </c>
      <c r="R8194" s="9"/>
      <c r="S8194" s="9"/>
      <c r="T8194" s="9"/>
      <c r="U8194" s="9"/>
    </row>
    <row r="8195" spans="3:21" x14ac:dyDescent="0.35">
      <c r="C8195" s="15" t="s">
        <v>8</v>
      </c>
      <c r="G8195" s="15" t="s">
        <v>8</v>
      </c>
      <c r="H8195" s="15" t="s">
        <v>8</v>
      </c>
      <c r="I8195" s="15" t="s">
        <v>8</v>
      </c>
      <c r="K8195" s="15" t="s">
        <v>8</v>
      </c>
      <c r="L8195" s="15" t="s">
        <v>8</v>
      </c>
      <c r="Q8195" s="8" t="s">
        <v>3</v>
      </c>
    </row>
    <row r="8196" spans="3:21" x14ac:dyDescent="0.35">
      <c r="C8196" s="15" t="s">
        <v>8</v>
      </c>
      <c r="G8196" s="15" t="s">
        <v>8</v>
      </c>
      <c r="H8196" s="15" t="s">
        <v>8</v>
      </c>
      <c r="I8196" s="15" t="s">
        <v>8</v>
      </c>
      <c r="K8196" s="15" t="s">
        <v>8</v>
      </c>
      <c r="L8196" s="15" t="s">
        <v>8</v>
      </c>
      <c r="P8196" s="21" t="str">
        <f>HYPERLINK("http://yeinfo.com/family/I09011792.html", "THOMAS MEEKINS &lt;4&gt; 1585 EN-1656 MA ID:09011792")</f>
        <v>THOMAS MEEKINS &lt;4&gt; 1585 EN-1656 MA ID:09011792</v>
      </c>
      <c r="Q8196" s="6"/>
      <c r="R8196" s="6"/>
      <c r="S8196" s="6"/>
      <c r="T8196" s="6"/>
    </row>
    <row r="8197" spans="3:21" x14ac:dyDescent="0.35">
      <c r="C8197" s="15" t="s">
        <v>8</v>
      </c>
      <c r="G8197" s="15" t="s">
        <v>8</v>
      </c>
      <c r="H8197" s="15" t="s">
        <v>8</v>
      </c>
      <c r="I8197" s="15" t="s">
        <v>8</v>
      </c>
      <c r="K8197" s="15" t="s">
        <v>8</v>
      </c>
      <c r="L8197" s="15" t="s">
        <v>8</v>
      </c>
      <c r="P8197" s="8" t="s">
        <v>3</v>
      </c>
      <c r="Q8197" s="8" t="s">
        <v>6</v>
      </c>
    </row>
    <row r="8198" spans="3:21" x14ac:dyDescent="0.35">
      <c r="C8198" s="15" t="s">
        <v>8</v>
      </c>
      <c r="G8198" s="15" t="s">
        <v>8</v>
      </c>
      <c r="H8198" s="15" t="s">
        <v>8</v>
      </c>
      <c r="I8198" s="15" t="s">
        <v>8</v>
      </c>
      <c r="K8198" s="15" t="s">
        <v>8</v>
      </c>
      <c r="L8198" s="15" t="s">
        <v>8</v>
      </c>
      <c r="P8198" s="15" t="s">
        <v>8</v>
      </c>
      <c r="Q8198" s="22" t="str">
        <f>HYPERLINK("http://yeinfo.com/family/I09023585.html", "HELLEN GREENE &lt;4&gt; 1553 EN-1636 MA ID:09023585")</f>
        <v>HELLEN GREENE &lt;4&gt; 1553 EN-1636 MA ID:09023585</v>
      </c>
      <c r="R8198" s="13"/>
      <c r="S8198" s="13"/>
      <c r="T8198" s="13"/>
      <c r="U8198" s="13"/>
    </row>
    <row r="8199" spans="3:21" x14ac:dyDescent="0.35">
      <c r="C8199" s="15" t="s">
        <v>8</v>
      </c>
      <c r="G8199" s="15" t="s">
        <v>8</v>
      </c>
      <c r="H8199" s="15" t="s">
        <v>8</v>
      </c>
      <c r="I8199" s="15" t="s">
        <v>8</v>
      </c>
      <c r="K8199" s="15" t="s">
        <v>8</v>
      </c>
      <c r="L8199" s="15" t="s">
        <v>8</v>
      </c>
      <c r="P8199" s="15" t="s">
        <v>8</v>
      </c>
    </row>
    <row r="8200" spans="3:21" x14ac:dyDescent="0.35">
      <c r="C8200" s="15" t="s">
        <v>8</v>
      </c>
      <c r="G8200" s="15" t="s">
        <v>8</v>
      </c>
      <c r="H8200" s="15" t="s">
        <v>8</v>
      </c>
      <c r="I8200" s="15" t="s">
        <v>8</v>
      </c>
      <c r="K8200" s="15" t="s">
        <v>8</v>
      </c>
      <c r="L8200" s="15" t="s">
        <v>8</v>
      </c>
      <c r="O8200" s="21" t="str">
        <f>HYPERLINK("http://yeinfo.com/family/I09005896.html", "THOMAS MEEKINS &lt;4&gt; 1609 EN-1687 MA ID:09005896")</f>
        <v>THOMAS MEEKINS &lt;4&gt; 1609 EN-1687 MA ID:09005896</v>
      </c>
      <c r="P8200" s="6"/>
      <c r="Q8200" s="6"/>
      <c r="R8200" s="6"/>
      <c r="S8200" s="6"/>
    </row>
    <row r="8201" spans="3:21" x14ac:dyDescent="0.35">
      <c r="C8201" s="15" t="s">
        <v>8</v>
      </c>
      <c r="G8201" s="15" t="s">
        <v>8</v>
      </c>
      <c r="H8201" s="15" t="s">
        <v>8</v>
      </c>
      <c r="I8201" s="15" t="s">
        <v>8</v>
      </c>
      <c r="K8201" s="15" t="s">
        <v>8</v>
      </c>
      <c r="L8201" s="15" t="s">
        <v>8</v>
      </c>
      <c r="O8201" s="8" t="s">
        <v>3</v>
      </c>
      <c r="P8201" s="8" t="s">
        <v>6</v>
      </c>
    </row>
    <row r="8202" spans="3:21" x14ac:dyDescent="0.35">
      <c r="C8202" s="15" t="s">
        <v>8</v>
      </c>
      <c r="G8202" s="15" t="s">
        <v>8</v>
      </c>
      <c r="H8202" s="15" t="s">
        <v>8</v>
      </c>
      <c r="I8202" s="15" t="s">
        <v>8</v>
      </c>
      <c r="K8202" s="15" t="s">
        <v>8</v>
      </c>
      <c r="L8202" s="15" t="s">
        <v>8</v>
      </c>
      <c r="O8202" s="15" t="s">
        <v>8</v>
      </c>
      <c r="P8202" s="22" t="str">
        <f>HYPERLINK("http://yeinfo.com/family/I09011793.html", "KATHERINE GREENE &lt;4&gt; 1584 EN-1651 MA ID:09011793")</f>
        <v>KATHERINE GREENE &lt;4&gt; 1584 EN-1651 MA ID:09011793</v>
      </c>
      <c r="Q8202" s="13"/>
      <c r="R8202" s="13"/>
      <c r="S8202" s="13"/>
      <c r="T8202" s="13"/>
    </row>
    <row r="8203" spans="3:21" x14ac:dyDescent="0.35">
      <c r="C8203" s="15" t="s">
        <v>8</v>
      </c>
      <c r="G8203" s="15" t="s">
        <v>8</v>
      </c>
      <c r="H8203" s="15" t="s">
        <v>8</v>
      </c>
      <c r="I8203" s="15" t="s">
        <v>8</v>
      </c>
      <c r="K8203" s="15" t="s">
        <v>8</v>
      </c>
      <c r="L8203" s="15" t="s">
        <v>8</v>
      </c>
      <c r="O8203" s="15" t="s">
        <v>8</v>
      </c>
    </row>
    <row r="8204" spans="3:21" x14ac:dyDescent="0.35">
      <c r="C8204" s="15" t="s">
        <v>8</v>
      </c>
      <c r="G8204" s="15" t="s">
        <v>8</v>
      </c>
      <c r="H8204" s="15" t="s">
        <v>8</v>
      </c>
      <c r="I8204" s="15" t="s">
        <v>8</v>
      </c>
      <c r="K8204" s="15" t="s">
        <v>8</v>
      </c>
      <c r="L8204" s="15" t="s">
        <v>8</v>
      </c>
      <c r="N8204" s="5" t="str">
        <f>HYPERLINK("http://yeinfo.com/family/I09002948.html", "THOMAS MEEKINGS &lt;2&gt; 1643 MA-1675 MA ID:09002948")</f>
        <v>THOMAS MEEKINGS &lt;2&gt; 1643 MA-1675 MA ID:09002948</v>
      </c>
      <c r="O8204" s="3"/>
      <c r="P8204" s="3"/>
      <c r="Q8204" s="3"/>
      <c r="R8204" s="3"/>
    </row>
    <row r="8205" spans="3:21" x14ac:dyDescent="0.35">
      <c r="C8205" s="15" t="s">
        <v>8</v>
      </c>
      <c r="G8205" s="15" t="s">
        <v>8</v>
      </c>
      <c r="H8205" s="15" t="s">
        <v>8</v>
      </c>
      <c r="I8205" s="15" t="s">
        <v>8</v>
      </c>
      <c r="K8205" s="15" t="s">
        <v>8</v>
      </c>
      <c r="L8205" s="15" t="s">
        <v>8</v>
      </c>
      <c r="N8205" s="8" t="s">
        <v>3</v>
      </c>
      <c r="O8205" s="8" t="s">
        <v>6</v>
      </c>
    </row>
    <row r="8206" spans="3:21" x14ac:dyDescent="0.35">
      <c r="C8206" s="15" t="s">
        <v>8</v>
      </c>
      <c r="G8206" s="15" t="s">
        <v>8</v>
      </c>
      <c r="H8206" s="15" t="s">
        <v>8</v>
      </c>
      <c r="I8206" s="15" t="s">
        <v>8</v>
      </c>
      <c r="K8206" s="15" t="s">
        <v>8</v>
      </c>
      <c r="L8206" s="15" t="s">
        <v>8</v>
      </c>
      <c r="N8206" s="15" t="s">
        <v>8</v>
      </c>
      <c r="O8206" s="22" t="str">
        <f>HYPERLINK("http://yeinfo.com/family/I09005897.html", "SARAH CATHERINE BEARDSLEY &lt;4&gt; 1613 EN-1651 MA ID:09005897")</f>
        <v>SARAH CATHERINE BEARDSLEY &lt;4&gt; 1613 EN-1651 MA ID:09005897</v>
      </c>
      <c r="P8206" s="13"/>
      <c r="Q8206" s="13"/>
      <c r="R8206" s="13"/>
      <c r="S8206" s="13"/>
    </row>
    <row r="8207" spans="3:21" x14ac:dyDescent="0.35">
      <c r="C8207" s="15" t="s">
        <v>8</v>
      </c>
      <c r="G8207" s="15" t="s">
        <v>8</v>
      </c>
      <c r="H8207" s="15" t="s">
        <v>8</v>
      </c>
      <c r="I8207" s="15" t="s">
        <v>8</v>
      </c>
      <c r="K8207" s="15" t="s">
        <v>8</v>
      </c>
      <c r="L8207" s="15" t="s">
        <v>8</v>
      </c>
      <c r="N8207" s="15" t="s">
        <v>8</v>
      </c>
    </row>
    <row r="8208" spans="3:21" x14ac:dyDescent="0.35">
      <c r="C8208" s="15" t="s">
        <v>8</v>
      </c>
      <c r="G8208" s="15" t="s">
        <v>8</v>
      </c>
      <c r="H8208" s="15" t="s">
        <v>8</v>
      </c>
      <c r="I8208" s="15" t="s">
        <v>8</v>
      </c>
      <c r="K8208" s="15" t="s">
        <v>8</v>
      </c>
      <c r="L8208" s="15" t="s">
        <v>8</v>
      </c>
      <c r="M8208" s="5" t="str">
        <f>HYPERLINK("http://yeinfo.com/family/I09001474.html", "JOHN MEEKINGS &lt;2&gt; 1672 MA-1754 MA ID:09001474")</f>
        <v>JOHN MEEKINGS &lt;2&gt; 1672 MA-1754 MA ID:09001474</v>
      </c>
      <c r="N8208" s="3"/>
      <c r="O8208" s="3"/>
      <c r="P8208" s="3"/>
      <c r="Q8208" s="3"/>
    </row>
    <row r="8209" spans="3:21" x14ac:dyDescent="0.35">
      <c r="C8209" s="15" t="s">
        <v>8</v>
      </c>
      <c r="G8209" s="15" t="s">
        <v>8</v>
      </c>
      <c r="H8209" s="15" t="s">
        <v>8</v>
      </c>
      <c r="I8209" s="15" t="s">
        <v>8</v>
      </c>
      <c r="K8209" s="15" t="s">
        <v>8</v>
      </c>
      <c r="L8209" s="15" t="s">
        <v>8</v>
      </c>
      <c r="M8209" s="8" t="s">
        <v>3</v>
      </c>
      <c r="N8209" s="15" t="s">
        <v>8</v>
      </c>
    </row>
    <row r="8210" spans="3:21" x14ac:dyDescent="0.35">
      <c r="C8210" s="15" t="s">
        <v>8</v>
      </c>
      <c r="G8210" s="15" t="s">
        <v>8</v>
      </c>
      <c r="H8210" s="15" t="s">
        <v>8</v>
      </c>
      <c r="I8210" s="15" t="s">
        <v>8</v>
      </c>
      <c r="K8210" s="15" t="s">
        <v>8</v>
      </c>
      <c r="L8210" s="15" t="s">
        <v>8</v>
      </c>
      <c r="M8210" s="15" t="s">
        <v>8</v>
      </c>
      <c r="N8210" s="15" t="s">
        <v>8</v>
      </c>
      <c r="O8210" s="21" t="str">
        <f>HYPERLINK("http://yeinfo.com/family/I09005898.html", "THOMAS BUNCE &lt;2&gt; 1612 EN-1683 CT ID:09005898")</f>
        <v>THOMAS BUNCE &lt;2&gt; 1612 EN-1683 CT ID:09005898</v>
      </c>
      <c r="P8210" s="6"/>
      <c r="Q8210" s="6"/>
      <c r="R8210" s="6"/>
      <c r="S8210" s="6"/>
    </row>
    <row r="8211" spans="3:21" x14ac:dyDescent="0.35">
      <c r="C8211" s="15" t="s">
        <v>8</v>
      </c>
      <c r="G8211" s="15" t="s">
        <v>8</v>
      </c>
      <c r="H8211" s="15" t="s">
        <v>8</v>
      </c>
      <c r="I8211" s="15" t="s">
        <v>8</v>
      </c>
      <c r="K8211" s="15" t="s">
        <v>8</v>
      </c>
      <c r="L8211" s="15" t="s">
        <v>8</v>
      </c>
      <c r="M8211" s="15" t="s">
        <v>8</v>
      </c>
      <c r="N8211" s="8" t="s">
        <v>6</v>
      </c>
      <c r="O8211" s="8" t="s">
        <v>3</v>
      </c>
    </row>
    <row r="8212" spans="3:21" x14ac:dyDescent="0.35">
      <c r="C8212" s="15" t="s">
        <v>8</v>
      </c>
      <c r="G8212" s="15" t="s">
        <v>8</v>
      </c>
      <c r="H8212" s="15" t="s">
        <v>8</v>
      </c>
      <c r="I8212" s="15" t="s">
        <v>8</v>
      </c>
      <c r="K8212" s="15" t="s">
        <v>8</v>
      </c>
      <c r="L8212" s="15" t="s">
        <v>8</v>
      </c>
      <c r="M8212" s="15" t="s">
        <v>8</v>
      </c>
      <c r="N8212" s="16" t="str">
        <f>HYPERLINK("http://yeinfo.com/family/I09002949.html", "MARY BUNCE &lt;2&gt; 1645 CT-1672 CT ID:09002949")</f>
        <v>MARY BUNCE &lt;2&gt; 1645 CT-1672 CT ID:09002949</v>
      </c>
      <c r="O8212" s="11"/>
      <c r="P8212" s="11"/>
      <c r="Q8212" s="11"/>
      <c r="R8212" s="11"/>
    </row>
    <row r="8213" spans="3:21" x14ac:dyDescent="0.35">
      <c r="C8213" s="15" t="s">
        <v>8</v>
      </c>
      <c r="G8213" s="15" t="s">
        <v>8</v>
      </c>
      <c r="H8213" s="15" t="s">
        <v>8</v>
      </c>
      <c r="I8213" s="15" t="s">
        <v>8</v>
      </c>
      <c r="K8213" s="15" t="s">
        <v>8</v>
      </c>
      <c r="L8213" s="15" t="s">
        <v>8</v>
      </c>
      <c r="M8213" s="15" t="s">
        <v>8</v>
      </c>
      <c r="O8213" s="8" t="s">
        <v>6</v>
      </c>
    </row>
    <row r="8214" spans="3:21" x14ac:dyDescent="0.35">
      <c r="C8214" s="15" t="s">
        <v>8</v>
      </c>
      <c r="G8214" s="15" t="s">
        <v>8</v>
      </c>
      <c r="H8214" s="15" t="s">
        <v>8</v>
      </c>
      <c r="I8214" s="15" t="s">
        <v>8</v>
      </c>
      <c r="K8214" s="15" t="s">
        <v>8</v>
      </c>
      <c r="L8214" s="15" t="s">
        <v>8</v>
      </c>
      <c r="M8214" s="15" t="s">
        <v>8</v>
      </c>
      <c r="O8214" s="22" t="str">
        <f>HYPERLINK("http://yeinfo.com/family/I09005899.html", "Mrs. SARAH BUNCE &lt;2&gt; 1612 EN-1692 CT ID:09005899")</f>
        <v>Mrs. SARAH BUNCE &lt;2&gt; 1612 EN-1692 CT ID:09005899</v>
      </c>
      <c r="P8214" s="13"/>
      <c r="Q8214" s="13"/>
      <c r="R8214" s="13"/>
      <c r="S8214" s="13"/>
    </row>
    <row r="8215" spans="3:21" x14ac:dyDescent="0.35">
      <c r="C8215" s="15" t="s">
        <v>8</v>
      </c>
      <c r="G8215" s="15" t="s">
        <v>8</v>
      </c>
      <c r="H8215" s="15" t="s">
        <v>8</v>
      </c>
      <c r="I8215" s="15" t="s">
        <v>8</v>
      </c>
      <c r="K8215" s="15" t="s">
        <v>8</v>
      </c>
      <c r="L8215" s="8" t="s">
        <v>6</v>
      </c>
      <c r="M8215" s="15" t="s">
        <v>8</v>
      </c>
    </row>
    <row r="8216" spans="3:21" x14ac:dyDescent="0.35">
      <c r="C8216" s="15" t="s">
        <v>8</v>
      </c>
      <c r="G8216" s="15" t="s">
        <v>8</v>
      </c>
      <c r="H8216" s="15" t="s">
        <v>8</v>
      </c>
      <c r="I8216" s="15" t="s">
        <v>8</v>
      </c>
      <c r="K8216" s="15" t="s">
        <v>8</v>
      </c>
      <c r="L8216" s="16" t="str">
        <f>HYPERLINK("http://yeinfo.com/family/I09000737.html", "SARAH MARY MEEKINS &lt;2&gt; 1693 MA-1777 MA ID:09000737")</f>
        <v>SARAH MARY MEEKINS &lt;2&gt; 1693 MA-1777 MA ID:09000737</v>
      </c>
      <c r="M8216" s="11"/>
      <c r="N8216" s="11"/>
      <c r="O8216" s="11"/>
      <c r="P8216" s="11"/>
    </row>
    <row r="8217" spans="3:21" x14ac:dyDescent="0.35">
      <c r="C8217" s="15" t="s">
        <v>8</v>
      </c>
      <c r="G8217" s="15" t="s">
        <v>8</v>
      </c>
      <c r="H8217" s="15" t="s">
        <v>8</v>
      </c>
      <c r="I8217" s="15" t="s">
        <v>8</v>
      </c>
      <c r="K8217" s="15" t="s">
        <v>8</v>
      </c>
      <c r="M8217" s="15" t="s">
        <v>8</v>
      </c>
    </row>
    <row r="8218" spans="3:21" x14ac:dyDescent="0.35">
      <c r="C8218" s="15" t="s">
        <v>8</v>
      </c>
      <c r="G8218" s="15" t="s">
        <v>8</v>
      </c>
      <c r="H8218" s="15" t="s">
        <v>8</v>
      </c>
      <c r="I8218" s="15" t="s">
        <v>8</v>
      </c>
      <c r="K8218" s="15" t="s">
        <v>8</v>
      </c>
      <c r="M8218" s="15" t="s">
        <v>8</v>
      </c>
      <c r="N8218" s="21" t="str">
        <f>HYPERLINK("http://yeinfo.com/family/I09002950.html", "JOSEPH BELKNAP Sr. &lt;2&gt; 1633 EN-1712 MA ID:09002950")</f>
        <v>JOSEPH BELKNAP Sr. &lt;2&gt; 1633 EN-1712 MA ID:09002950</v>
      </c>
      <c r="O8218" s="6"/>
      <c r="P8218" s="6"/>
      <c r="Q8218" s="6"/>
      <c r="R8218" s="6"/>
    </row>
    <row r="8219" spans="3:21" x14ac:dyDescent="0.35">
      <c r="C8219" s="15" t="s">
        <v>8</v>
      </c>
      <c r="G8219" s="15" t="s">
        <v>8</v>
      </c>
      <c r="H8219" s="15" t="s">
        <v>8</v>
      </c>
      <c r="I8219" s="15" t="s">
        <v>8</v>
      </c>
      <c r="K8219" s="15" t="s">
        <v>8</v>
      </c>
      <c r="M8219" s="8" t="s">
        <v>6</v>
      </c>
      <c r="N8219" s="8" t="s">
        <v>3</v>
      </c>
    </row>
    <row r="8220" spans="3:21" x14ac:dyDescent="0.35">
      <c r="C8220" s="15" t="s">
        <v>8</v>
      </c>
      <c r="G8220" s="15" t="s">
        <v>8</v>
      </c>
      <c r="H8220" s="15" t="s">
        <v>8</v>
      </c>
      <c r="I8220" s="15" t="s">
        <v>8</v>
      </c>
      <c r="K8220" s="15" t="s">
        <v>8</v>
      </c>
      <c r="M8220" s="16" t="str">
        <f>HYPERLINK("http://yeinfo.com/family/I09001475.html", "RUTH BELKNAP &lt;2&gt; 1672 MA-1767 MA ID:09001475")</f>
        <v>RUTH BELKNAP &lt;2&gt; 1672 MA-1767 MA ID:09001475</v>
      </c>
      <c r="N8220" s="11"/>
      <c r="O8220" s="11"/>
      <c r="P8220" s="11"/>
      <c r="Q8220" s="11"/>
    </row>
    <row r="8221" spans="3:21" x14ac:dyDescent="0.35">
      <c r="C8221" s="15" t="s">
        <v>8</v>
      </c>
      <c r="G8221" s="15" t="s">
        <v>8</v>
      </c>
      <c r="H8221" s="15" t="s">
        <v>8</v>
      </c>
      <c r="I8221" s="15" t="s">
        <v>8</v>
      </c>
      <c r="K8221" s="15" t="s">
        <v>8</v>
      </c>
      <c r="N8221" s="15" t="s">
        <v>8</v>
      </c>
    </row>
    <row r="8222" spans="3:21" x14ac:dyDescent="0.35">
      <c r="C8222" s="15" t="s">
        <v>8</v>
      </c>
      <c r="G8222" s="15" t="s">
        <v>8</v>
      </c>
      <c r="H8222" s="15" t="s">
        <v>8</v>
      </c>
      <c r="I8222" s="15" t="s">
        <v>8</v>
      </c>
      <c r="K8222" s="15" t="s">
        <v>8</v>
      </c>
      <c r="N8222" s="15" t="s">
        <v>8</v>
      </c>
      <c r="Q8222" s="19" t="str">
        <f>HYPERLINK("http://yeinfo.com/family/I09023584.html", "THOMAS MEEKINS &lt;4&gt; 1550 EN-1646 EN ID:09023584")</f>
        <v>THOMAS MEEKINS &lt;4&gt; 1550 EN-1646 EN ID:09023584</v>
      </c>
      <c r="R8222" s="9"/>
      <c r="S8222" s="9"/>
      <c r="T8222" s="9"/>
      <c r="U8222" s="9"/>
    </row>
    <row r="8223" spans="3:21" x14ac:dyDescent="0.35">
      <c r="C8223" s="15" t="s">
        <v>8</v>
      </c>
      <c r="G8223" s="15" t="s">
        <v>8</v>
      </c>
      <c r="H8223" s="15" t="s">
        <v>8</v>
      </c>
      <c r="I8223" s="15" t="s">
        <v>8</v>
      </c>
      <c r="K8223" s="15" t="s">
        <v>8</v>
      </c>
      <c r="N8223" s="15" t="s">
        <v>8</v>
      </c>
      <c r="Q8223" s="8" t="s">
        <v>3</v>
      </c>
    </row>
    <row r="8224" spans="3:21" x14ac:dyDescent="0.35">
      <c r="C8224" s="15" t="s">
        <v>8</v>
      </c>
      <c r="G8224" s="15" t="s">
        <v>8</v>
      </c>
      <c r="H8224" s="15" t="s">
        <v>8</v>
      </c>
      <c r="I8224" s="15" t="s">
        <v>8</v>
      </c>
      <c r="K8224" s="15" t="s">
        <v>8</v>
      </c>
      <c r="N8224" s="15" t="s">
        <v>8</v>
      </c>
      <c r="P8224" s="21" t="str">
        <f>HYPERLINK("http://yeinfo.com/family/I09011792.html", "THOMAS MEEKINS &lt;4&gt; 1585 EN-1656 MA ID:09011792")</f>
        <v>THOMAS MEEKINS &lt;4&gt; 1585 EN-1656 MA ID:09011792</v>
      </c>
      <c r="Q8224" s="6"/>
      <c r="R8224" s="6"/>
      <c r="S8224" s="6"/>
      <c r="T8224" s="6"/>
    </row>
    <row r="8225" spans="3:21" x14ac:dyDescent="0.35">
      <c r="C8225" s="15" t="s">
        <v>8</v>
      </c>
      <c r="G8225" s="15" t="s">
        <v>8</v>
      </c>
      <c r="H8225" s="15" t="s">
        <v>8</v>
      </c>
      <c r="I8225" s="15" t="s">
        <v>8</v>
      </c>
      <c r="K8225" s="15" t="s">
        <v>8</v>
      </c>
      <c r="N8225" s="15" t="s">
        <v>8</v>
      </c>
      <c r="P8225" s="8" t="s">
        <v>3</v>
      </c>
      <c r="Q8225" s="8" t="s">
        <v>6</v>
      </c>
    </row>
    <row r="8226" spans="3:21" x14ac:dyDescent="0.35">
      <c r="C8226" s="15" t="s">
        <v>8</v>
      </c>
      <c r="G8226" s="15" t="s">
        <v>8</v>
      </c>
      <c r="H8226" s="15" t="s">
        <v>8</v>
      </c>
      <c r="I8226" s="15" t="s">
        <v>8</v>
      </c>
      <c r="K8226" s="15" t="s">
        <v>8</v>
      </c>
      <c r="N8226" s="15" t="s">
        <v>8</v>
      </c>
      <c r="P8226" s="15" t="s">
        <v>8</v>
      </c>
      <c r="Q8226" s="22" t="str">
        <f>HYPERLINK("http://yeinfo.com/family/I09023585.html", "HELLEN GREENE &lt;4&gt; 1553 EN-1636 MA ID:09023585")</f>
        <v>HELLEN GREENE &lt;4&gt; 1553 EN-1636 MA ID:09023585</v>
      </c>
      <c r="R8226" s="13"/>
      <c r="S8226" s="13"/>
      <c r="T8226" s="13"/>
      <c r="U8226" s="13"/>
    </row>
    <row r="8227" spans="3:21" x14ac:dyDescent="0.35">
      <c r="C8227" s="15" t="s">
        <v>8</v>
      </c>
      <c r="G8227" s="15" t="s">
        <v>8</v>
      </c>
      <c r="H8227" s="15" t="s">
        <v>8</v>
      </c>
      <c r="I8227" s="15" t="s">
        <v>8</v>
      </c>
      <c r="K8227" s="15" t="s">
        <v>8</v>
      </c>
      <c r="N8227" s="15" t="s">
        <v>8</v>
      </c>
      <c r="P8227" s="15" t="s">
        <v>8</v>
      </c>
    </row>
    <row r="8228" spans="3:21" x14ac:dyDescent="0.35">
      <c r="C8228" s="15" t="s">
        <v>8</v>
      </c>
      <c r="G8228" s="15" t="s">
        <v>8</v>
      </c>
      <c r="H8228" s="15" t="s">
        <v>8</v>
      </c>
      <c r="I8228" s="15" t="s">
        <v>8</v>
      </c>
      <c r="K8228" s="15" t="s">
        <v>8</v>
      </c>
      <c r="N8228" s="15" t="s">
        <v>8</v>
      </c>
      <c r="O8228" s="21" t="str">
        <f>HYPERLINK("http://yeinfo.com/family/I09005896.html", "THOMAS MEEKINS &lt;4&gt; 1609 EN-1687 MA ID:09005896")</f>
        <v>THOMAS MEEKINS &lt;4&gt; 1609 EN-1687 MA ID:09005896</v>
      </c>
      <c r="P8228" s="6"/>
      <c r="Q8228" s="6"/>
      <c r="R8228" s="6"/>
      <c r="S8228" s="6"/>
    </row>
    <row r="8229" spans="3:21" x14ac:dyDescent="0.35">
      <c r="C8229" s="15" t="s">
        <v>8</v>
      </c>
      <c r="G8229" s="15" t="s">
        <v>8</v>
      </c>
      <c r="H8229" s="15" t="s">
        <v>8</v>
      </c>
      <c r="I8229" s="15" t="s">
        <v>8</v>
      </c>
      <c r="K8229" s="15" t="s">
        <v>8</v>
      </c>
      <c r="N8229" s="15" t="s">
        <v>8</v>
      </c>
      <c r="O8229" s="8" t="s">
        <v>3</v>
      </c>
      <c r="P8229" s="8" t="s">
        <v>6</v>
      </c>
    </row>
    <row r="8230" spans="3:21" x14ac:dyDescent="0.35">
      <c r="C8230" s="15" t="s">
        <v>8</v>
      </c>
      <c r="G8230" s="15" t="s">
        <v>8</v>
      </c>
      <c r="H8230" s="15" t="s">
        <v>8</v>
      </c>
      <c r="I8230" s="15" t="s">
        <v>8</v>
      </c>
      <c r="K8230" s="15" t="s">
        <v>8</v>
      </c>
      <c r="N8230" s="15" t="s">
        <v>8</v>
      </c>
      <c r="O8230" s="15" t="s">
        <v>8</v>
      </c>
      <c r="P8230" s="22" t="str">
        <f>HYPERLINK("http://yeinfo.com/family/I09011793.html", "KATHERINE GREENE &lt;4&gt; 1584 EN-1651 MA ID:09011793")</f>
        <v>KATHERINE GREENE &lt;4&gt; 1584 EN-1651 MA ID:09011793</v>
      </c>
      <c r="Q8230" s="13"/>
      <c r="R8230" s="13"/>
      <c r="S8230" s="13"/>
      <c r="T8230" s="13"/>
    </row>
    <row r="8231" spans="3:21" x14ac:dyDescent="0.35">
      <c r="C8231" s="15" t="s">
        <v>8</v>
      </c>
      <c r="G8231" s="15" t="s">
        <v>8</v>
      </c>
      <c r="H8231" s="15" t="s">
        <v>8</v>
      </c>
      <c r="I8231" s="15" t="s">
        <v>8</v>
      </c>
      <c r="K8231" s="15" t="s">
        <v>8</v>
      </c>
      <c r="N8231" s="8" t="s">
        <v>6</v>
      </c>
      <c r="O8231" s="15" t="s">
        <v>8</v>
      </c>
    </row>
    <row r="8232" spans="3:21" x14ac:dyDescent="0.35">
      <c r="C8232" s="15" t="s">
        <v>8</v>
      </c>
      <c r="G8232" s="15" t="s">
        <v>8</v>
      </c>
      <c r="H8232" s="15" t="s">
        <v>8</v>
      </c>
      <c r="I8232" s="15" t="s">
        <v>8</v>
      </c>
      <c r="K8232" s="15" t="s">
        <v>8</v>
      </c>
      <c r="N8232" s="16" t="str">
        <f>HYPERLINK("http://yeinfo.com/family/I09002951.html", "HANNAH MEEKINS &lt;2&gt; 1647 MA-1688 MA ID:09002951")</f>
        <v>HANNAH MEEKINS &lt;2&gt; 1647 MA-1688 MA ID:09002951</v>
      </c>
      <c r="O8232" s="11"/>
      <c r="P8232" s="11"/>
      <c r="Q8232" s="11"/>
      <c r="R8232" s="11"/>
    </row>
    <row r="8233" spans="3:21" x14ac:dyDescent="0.35">
      <c r="C8233" s="15" t="s">
        <v>8</v>
      </c>
      <c r="G8233" s="15" t="s">
        <v>8</v>
      </c>
      <c r="H8233" s="15" t="s">
        <v>8</v>
      </c>
      <c r="I8233" s="15" t="s">
        <v>8</v>
      </c>
      <c r="K8233" s="15" t="s">
        <v>8</v>
      </c>
      <c r="O8233" s="8" t="s">
        <v>6</v>
      </c>
    </row>
    <row r="8234" spans="3:21" x14ac:dyDescent="0.35">
      <c r="C8234" s="15" t="s">
        <v>8</v>
      </c>
      <c r="G8234" s="15" t="s">
        <v>8</v>
      </c>
      <c r="H8234" s="15" t="s">
        <v>8</v>
      </c>
      <c r="I8234" s="15" t="s">
        <v>8</v>
      </c>
      <c r="K8234" s="15" t="s">
        <v>8</v>
      </c>
      <c r="O8234" s="22" t="str">
        <f>HYPERLINK("http://yeinfo.com/family/I09005897.html", "SARAH CATHERINE BEARDSLEY &lt;4&gt; 1613 EN-1651 MA ID:09005897")</f>
        <v>SARAH CATHERINE BEARDSLEY &lt;4&gt; 1613 EN-1651 MA ID:09005897</v>
      </c>
      <c r="P8234" s="13"/>
      <c r="Q8234" s="13"/>
      <c r="R8234" s="13"/>
      <c r="S8234" s="13"/>
    </row>
    <row r="8235" spans="3:21" x14ac:dyDescent="0.35">
      <c r="C8235" s="15" t="s">
        <v>8</v>
      </c>
      <c r="G8235" s="15" t="s">
        <v>8</v>
      </c>
      <c r="H8235" s="15" t="s">
        <v>8</v>
      </c>
      <c r="I8235" s="15" t="s">
        <v>8</v>
      </c>
      <c r="K8235" s="15" t="s">
        <v>8</v>
      </c>
    </row>
    <row r="8236" spans="3:21" x14ac:dyDescent="0.35">
      <c r="C8236" s="15" t="s">
        <v>8</v>
      </c>
      <c r="G8236" s="15" t="s">
        <v>8</v>
      </c>
      <c r="H8236" s="15" t="s">
        <v>8</v>
      </c>
      <c r="I8236" s="15" t="s">
        <v>8</v>
      </c>
      <c r="J8236" s="5" t="str">
        <f>HYPERLINK("http://yeinfo.com/family/I09000189.html", "DAVID MILLER Jr. 1757 MA-1813 VT ID:09000378")</f>
        <v>DAVID MILLER Jr. 1757 MA-1813 VT ID:09000378</v>
      </c>
      <c r="K8236" s="3"/>
      <c r="L8236" s="3"/>
      <c r="M8236" s="3"/>
      <c r="N8236" s="3"/>
    </row>
    <row r="8237" spans="3:21" x14ac:dyDescent="0.35">
      <c r="C8237" s="15" t="s">
        <v>8</v>
      </c>
      <c r="G8237" s="15" t="s">
        <v>8</v>
      </c>
      <c r="H8237" s="15" t="s">
        <v>8</v>
      </c>
      <c r="I8237" s="15" t="s">
        <v>8</v>
      </c>
      <c r="J8237" s="8" t="s">
        <v>3</v>
      </c>
      <c r="K8237" s="8" t="s">
        <v>6</v>
      </c>
    </row>
    <row r="8238" spans="3:21" x14ac:dyDescent="0.35">
      <c r="C8238" s="15" t="s">
        <v>8</v>
      </c>
      <c r="G8238" s="15" t="s">
        <v>8</v>
      </c>
      <c r="H8238" s="15" t="s">
        <v>8</v>
      </c>
      <c r="I8238" s="15" t="s">
        <v>8</v>
      </c>
      <c r="J8238" s="15" t="s">
        <v>8</v>
      </c>
      <c r="K8238" s="16" t="str">
        <f>HYPERLINK("http://yeinfo.com/family/I09000369.html", "Mrs. ANNAH MILLER &lt;2&gt; 1733 MA-1807 VT ID:09000369")</f>
        <v>Mrs. ANNAH MILLER &lt;2&gt; 1733 MA-1807 VT ID:09000369</v>
      </c>
      <c r="L8238" s="11"/>
      <c r="M8238" s="11"/>
      <c r="N8238" s="11"/>
      <c r="O8238" s="11"/>
    </row>
    <row r="8239" spans="3:21" x14ac:dyDescent="0.35">
      <c r="C8239" s="15" t="s">
        <v>8</v>
      </c>
      <c r="G8239" s="15" t="s">
        <v>8</v>
      </c>
      <c r="H8239" s="15" t="s">
        <v>8</v>
      </c>
      <c r="I8239" s="8" t="s">
        <v>6</v>
      </c>
      <c r="J8239" s="15" t="s">
        <v>8</v>
      </c>
    </row>
    <row r="8240" spans="3:21" x14ac:dyDescent="0.35">
      <c r="C8240" s="15" t="s">
        <v>8</v>
      </c>
      <c r="G8240" s="15" t="s">
        <v>8</v>
      </c>
      <c r="H8240" s="15" t="s">
        <v>8</v>
      </c>
      <c r="I8240" s="16" t="str">
        <f>HYPERLINK("http://yeinfo.com/family/I09012095.html", "LOVISA MILLER 1777 MA-1846 VT ID:09000189")</f>
        <v>LOVISA MILLER 1777 MA-1846 VT ID:09000189</v>
      </c>
      <c r="J8240" s="11"/>
      <c r="K8240" s="11"/>
      <c r="L8240" s="11"/>
      <c r="M8240" s="11"/>
    </row>
    <row r="8241" spans="3:20" x14ac:dyDescent="0.35">
      <c r="C8241" s="15" t="s">
        <v>8</v>
      </c>
      <c r="G8241" s="15" t="s">
        <v>8</v>
      </c>
      <c r="H8241" s="15" t="s">
        <v>8</v>
      </c>
      <c r="J8241" s="15" t="s">
        <v>8</v>
      </c>
    </row>
    <row r="8242" spans="3:20" x14ac:dyDescent="0.35">
      <c r="C8242" s="15" t="s">
        <v>8</v>
      </c>
      <c r="G8242" s="15" t="s">
        <v>8</v>
      </c>
      <c r="H8242" s="15" t="s">
        <v>8</v>
      </c>
      <c r="J8242" s="15" t="s">
        <v>8</v>
      </c>
      <c r="O8242" s="19" t="str">
        <f>HYPERLINK("http://yeinfo.com/family/I09006064.html", "THOMAS MIGHILL 1575 EN-1654 EN ID:09012128")</f>
        <v>THOMAS MIGHILL 1575 EN-1654 EN ID:09012128</v>
      </c>
      <c r="P8242" s="9"/>
      <c r="Q8242" s="9"/>
      <c r="R8242" s="9"/>
      <c r="S8242" s="9"/>
    </row>
    <row r="8243" spans="3:20" x14ac:dyDescent="0.35">
      <c r="C8243" s="15" t="s">
        <v>8</v>
      </c>
      <c r="G8243" s="15" t="s">
        <v>8</v>
      </c>
      <c r="H8243" s="15" t="s">
        <v>8</v>
      </c>
      <c r="J8243" s="15" t="s">
        <v>8</v>
      </c>
      <c r="O8243" s="8" t="s">
        <v>3</v>
      </c>
    </row>
    <row r="8244" spans="3:20" x14ac:dyDescent="0.35">
      <c r="C8244" s="15" t="s">
        <v>8</v>
      </c>
      <c r="G8244" s="15" t="s">
        <v>8</v>
      </c>
      <c r="H8244" s="15" t="s">
        <v>8</v>
      </c>
      <c r="J8244" s="15" t="s">
        <v>8</v>
      </c>
      <c r="N8244" s="21" t="str">
        <f>HYPERLINK("http://yeinfo.com/family/I09003032.html", "THOMAS MIGHILL 1606 EN-1654 MA ID:09006064")</f>
        <v>THOMAS MIGHILL 1606 EN-1654 MA ID:09006064</v>
      </c>
      <c r="O8244" s="6"/>
      <c r="P8244" s="6"/>
      <c r="Q8244" s="6"/>
      <c r="R8244" s="6"/>
    </row>
    <row r="8245" spans="3:20" x14ac:dyDescent="0.35">
      <c r="C8245" s="15" t="s">
        <v>8</v>
      </c>
      <c r="G8245" s="15" t="s">
        <v>8</v>
      </c>
      <c r="H8245" s="15" t="s">
        <v>8</v>
      </c>
      <c r="J8245" s="15" t="s">
        <v>8</v>
      </c>
      <c r="N8245" s="8" t="s">
        <v>3</v>
      </c>
      <c r="O8245" s="8" t="s">
        <v>6</v>
      </c>
    </row>
    <row r="8246" spans="3:20" x14ac:dyDescent="0.35">
      <c r="C8246" s="15" t="s">
        <v>8</v>
      </c>
      <c r="G8246" s="15" t="s">
        <v>8</v>
      </c>
      <c r="H8246" s="15" t="s">
        <v>8</v>
      </c>
      <c r="J8246" s="15" t="s">
        <v>8</v>
      </c>
      <c r="N8246" s="15" t="s">
        <v>8</v>
      </c>
      <c r="O8246" s="20" t="str">
        <f>HYPERLINK("http://yeinfo.com/family/I09012128.html", "ELLEN THOMAS 1578 EN-1640 EN ID:09012129")</f>
        <v>ELLEN THOMAS 1578 EN-1640 EN ID:09012129</v>
      </c>
      <c r="P8246" s="17"/>
      <c r="Q8246" s="17"/>
      <c r="R8246" s="17"/>
      <c r="S8246" s="17"/>
    </row>
    <row r="8247" spans="3:20" x14ac:dyDescent="0.35">
      <c r="C8247" s="15" t="s">
        <v>8</v>
      </c>
      <c r="G8247" s="15" t="s">
        <v>8</v>
      </c>
      <c r="H8247" s="15" t="s">
        <v>8</v>
      </c>
      <c r="J8247" s="15" t="s">
        <v>8</v>
      </c>
      <c r="N8247" s="15" t="s">
        <v>8</v>
      </c>
    </row>
    <row r="8248" spans="3:20" x14ac:dyDescent="0.35">
      <c r="C8248" s="15" t="s">
        <v>8</v>
      </c>
      <c r="G8248" s="15" t="s">
        <v>8</v>
      </c>
      <c r="H8248" s="15" t="s">
        <v>8</v>
      </c>
      <c r="J8248" s="15" t="s">
        <v>8</v>
      </c>
      <c r="M8248" s="5" t="str">
        <f>HYPERLINK("http://yeinfo.com/family/I09001516.html", "JOHN MIGHILL 1634 -1702  ID:09003032")</f>
        <v>JOHN MIGHILL 1634 -1702  ID:09003032</v>
      </c>
      <c r="N8248" s="3"/>
      <c r="O8248" s="3"/>
      <c r="P8248" s="3"/>
      <c r="Q8248" s="3"/>
    </row>
    <row r="8249" spans="3:20" x14ac:dyDescent="0.35">
      <c r="C8249" s="15" t="s">
        <v>8</v>
      </c>
      <c r="G8249" s="15" t="s">
        <v>8</v>
      </c>
      <c r="H8249" s="15" t="s">
        <v>8</v>
      </c>
      <c r="J8249" s="15" t="s">
        <v>8</v>
      </c>
      <c r="M8249" s="8" t="s">
        <v>3</v>
      </c>
      <c r="N8249" s="8" t="s">
        <v>6</v>
      </c>
    </row>
    <row r="8250" spans="3:20" x14ac:dyDescent="0.35">
      <c r="C8250" s="15" t="s">
        <v>8</v>
      </c>
      <c r="G8250" s="15" t="s">
        <v>8</v>
      </c>
      <c r="H8250" s="15" t="s">
        <v>8</v>
      </c>
      <c r="J8250" s="15" t="s">
        <v>8</v>
      </c>
      <c r="M8250" s="15" t="s">
        <v>8</v>
      </c>
      <c r="N8250" s="16" t="str">
        <f>HYPERLINK("http://yeinfo.com/family/I09012129.html", "ELLEN\BETHUIA\ELLIN WARD 1588 EN-1640  ID:09006065")</f>
        <v>ELLEN\BETHUIA\ELLIN WARD 1588 EN-1640  ID:09006065</v>
      </c>
      <c r="O8250" s="11"/>
      <c r="P8250" s="11"/>
      <c r="Q8250" s="11"/>
      <c r="R8250" s="11"/>
      <c r="S8250" s="11"/>
    </row>
    <row r="8251" spans="3:20" x14ac:dyDescent="0.35">
      <c r="C8251" s="15" t="s">
        <v>8</v>
      </c>
      <c r="G8251" s="15" t="s">
        <v>8</v>
      </c>
      <c r="H8251" s="15" t="s">
        <v>8</v>
      </c>
      <c r="J8251" s="15" t="s">
        <v>8</v>
      </c>
      <c r="M8251" s="15" t="s">
        <v>8</v>
      </c>
    </row>
    <row r="8252" spans="3:20" x14ac:dyDescent="0.35">
      <c r="C8252" s="15" t="s">
        <v>8</v>
      </c>
      <c r="G8252" s="15" t="s">
        <v>8</v>
      </c>
      <c r="H8252" s="15" t="s">
        <v>8</v>
      </c>
      <c r="J8252" s="15" t="s">
        <v>8</v>
      </c>
      <c r="L8252" s="5" t="str">
        <f>HYPERLINK("http://yeinfo.com/family/I09000758.html", "NATHANIEL\JOHN MIGHILL 1672 MA-1709 MA ID:09001516")</f>
        <v>NATHANIEL\JOHN MIGHILL 1672 MA-1709 MA ID:09001516</v>
      </c>
      <c r="M8252" s="3"/>
      <c r="N8252" s="3"/>
      <c r="O8252" s="3"/>
      <c r="P8252" s="3"/>
      <c r="Q8252" s="3"/>
    </row>
    <row r="8253" spans="3:20" x14ac:dyDescent="0.35">
      <c r="C8253" s="15" t="s">
        <v>8</v>
      </c>
      <c r="G8253" s="15" t="s">
        <v>8</v>
      </c>
      <c r="H8253" s="15" t="s">
        <v>8</v>
      </c>
      <c r="J8253" s="15" t="s">
        <v>8</v>
      </c>
      <c r="L8253" s="8" t="s">
        <v>3</v>
      </c>
      <c r="M8253" s="15" t="s">
        <v>8</v>
      </c>
    </row>
    <row r="8254" spans="3:20" x14ac:dyDescent="0.35">
      <c r="C8254" s="15" t="s">
        <v>8</v>
      </c>
      <c r="G8254" s="15" t="s">
        <v>8</v>
      </c>
      <c r="H8254" s="15" t="s">
        <v>8</v>
      </c>
      <c r="J8254" s="15" t="s">
        <v>8</v>
      </c>
      <c r="L8254" s="15" t="s">
        <v>8</v>
      </c>
      <c r="M8254" s="15" t="s">
        <v>8</v>
      </c>
      <c r="P8254" s="19" t="str">
        <f>HYPERLINK("http://yeinfo.com/family/I09012132.html", "JOHN BATT 1541 EN-1600 EN ID:09024264")</f>
        <v>JOHN BATT 1541 EN-1600 EN ID:09024264</v>
      </c>
      <c r="Q8254" s="9"/>
      <c r="R8254" s="9"/>
      <c r="S8254" s="9"/>
      <c r="T8254" s="9"/>
    </row>
    <row r="8255" spans="3:20" x14ac:dyDescent="0.35">
      <c r="C8255" s="15" t="s">
        <v>8</v>
      </c>
      <c r="G8255" s="15" t="s">
        <v>8</v>
      </c>
      <c r="H8255" s="15" t="s">
        <v>8</v>
      </c>
      <c r="J8255" s="15" t="s">
        <v>8</v>
      </c>
      <c r="L8255" s="15" t="s">
        <v>8</v>
      </c>
      <c r="M8255" s="15" t="s">
        <v>8</v>
      </c>
      <c r="P8255" s="8" t="s">
        <v>3</v>
      </c>
    </row>
    <row r="8256" spans="3:20" x14ac:dyDescent="0.35">
      <c r="C8256" s="15" t="s">
        <v>8</v>
      </c>
      <c r="G8256" s="15" t="s">
        <v>8</v>
      </c>
      <c r="H8256" s="15" t="s">
        <v>8</v>
      </c>
      <c r="J8256" s="15" t="s">
        <v>8</v>
      </c>
      <c r="L8256" s="15" t="s">
        <v>8</v>
      </c>
      <c r="M8256" s="15" t="s">
        <v>8</v>
      </c>
      <c r="O8256" s="19" t="str">
        <f>HYPERLINK("http://yeinfo.com/family/I09006066.html", "RICHARD BATT II 1571 EN-1612 EN ID:09012132")</f>
        <v>RICHARD BATT II 1571 EN-1612 EN ID:09012132</v>
      </c>
      <c r="P8256" s="9"/>
      <c r="Q8256" s="9"/>
      <c r="R8256" s="9"/>
      <c r="S8256" s="9"/>
    </row>
    <row r="8257" spans="3:20" x14ac:dyDescent="0.35">
      <c r="C8257" s="15" t="s">
        <v>8</v>
      </c>
      <c r="G8257" s="15" t="s">
        <v>8</v>
      </c>
      <c r="H8257" s="15" t="s">
        <v>8</v>
      </c>
      <c r="J8257" s="15" t="s">
        <v>8</v>
      </c>
      <c r="L8257" s="15" t="s">
        <v>8</v>
      </c>
      <c r="M8257" s="15" t="s">
        <v>8</v>
      </c>
      <c r="O8257" s="8" t="s">
        <v>3</v>
      </c>
      <c r="P8257" s="8" t="s">
        <v>6</v>
      </c>
    </row>
    <row r="8258" spans="3:20" x14ac:dyDescent="0.35">
      <c r="C8258" s="15" t="s">
        <v>8</v>
      </c>
      <c r="G8258" s="15" t="s">
        <v>8</v>
      </c>
      <c r="H8258" s="15" t="s">
        <v>8</v>
      </c>
      <c r="J8258" s="15" t="s">
        <v>8</v>
      </c>
      <c r="L8258" s="15" t="s">
        <v>8</v>
      </c>
      <c r="M8258" s="15" t="s">
        <v>8</v>
      </c>
      <c r="O8258" s="15" t="s">
        <v>8</v>
      </c>
      <c r="P8258" s="16" t="str">
        <f>HYPERLINK("http://yeinfo.com/family/I09024264.html", "ELIZABETH TUCKER 1545 EN-1612  ID:09024265")</f>
        <v>ELIZABETH TUCKER 1545 EN-1612  ID:09024265</v>
      </c>
      <c r="Q8258" s="11"/>
      <c r="R8258" s="11"/>
      <c r="S8258" s="11"/>
      <c r="T8258" s="11"/>
    </row>
    <row r="8259" spans="3:20" x14ac:dyDescent="0.35">
      <c r="C8259" s="15" t="s">
        <v>8</v>
      </c>
      <c r="G8259" s="15" t="s">
        <v>8</v>
      </c>
      <c r="H8259" s="15" t="s">
        <v>8</v>
      </c>
      <c r="J8259" s="15" t="s">
        <v>8</v>
      </c>
      <c r="L8259" s="15" t="s">
        <v>8</v>
      </c>
      <c r="M8259" s="15" t="s">
        <v>8</v>
      </c>
      <c r="O8259" s="15" t="s">
        <v>8</v>
      </c>
    </row>
    <row r="8260" spans="3:20" x14ac:dyDescent="0.35">
      <c r="C8260" s="15" t="s">
        <v>8</v>
      </c>
      <c r="G8260" s="15" t="s">
        <v>8</v>
      </c>
      <c r="H8260" s="15" t="s">
        <v>8</v>
      </c>
      <c r="J8260" s="15" t="s">
        <v>8</v>
      </c>
      <c r="L8260" s="15" t="s">
        <v>8</v>
      </c>
      <c r="M8260" s="15" t="s">
        <v>8</v>
      </c>
      <c r="N8260" s="21" t="str">
        <f>HYPERLINK("http://yeinfo.com/family/I09003033.html", "NICHOLAS BATT 1612 EN-1677 MA ID:09006066")</f>
        <v>NICHOLAS BATT 1612 EN-1677 MA ID:09006066</v>
      </c>
      <c r="O8260" s="6"/>
      <c r="P8260" s="6"/>
      <c r="Q8260" s="6"/>
      <c r="R8260" s="6"/>
    </row>
    <row r="8261" spans="3:20" x14ac:dyDescent="0.35">
      <c r="C8261" s="15" t="s">
        <v>8</v>
      </c>
      <c r="G8261" s="15" t="s">
        <v>8</v>
      </c>
      <c r="H8261" s="15" t="s">
        <v>8</v>
      </c>
      <c r="J8261" s="15" t="s">
        <v>8</v>
      </c>
      <c r="L8261" s="15" t="s">
        <v>8</v>
      </c>
      <c r="M8261" s="15" t="s">
        <v>8</v>
      </c>
      <c r="N8261" s="8" t="s">
        <v>3</v>
      </c>
      <c r="O8261" s="8" t="s">
        <v>6</v>
      </c>
    </row>
    <row r="8262" spans="3:20" x14ac:dyDescent="0.35">
      <c r="C8262" s="15" t="s">
        <v>8</v>
      </c>
      <c r="G8262" s="15" t="s">
        <v>8</v>
      </c>
      <c r="H8262" s="15" t="s">
        <v>8</v>
      </c>
      <c r="J8262" s="15" t="s">
        <v>8</v>
      </c>
      <c r="L8262" s="15" t="s">
        <v>8</v>
      </c>
      <c r="M8262" s="15" t="s">
        <v>8</v>
      </c>
      <c r="N8262" s="15" t="s">
        <v>8</v>
      </c>
      <c r="O8262" s="16" t="str">
        <f>HYPERLINK("http://yeinfo.com/family/I09024265.html", "AGNES DANIELL 1570 EN-1612  ID:09012133")</f>
        <v>AGNES DANIELL 1570 EN-1612  ID:09012133</v>
      </c>
      <c r="P8262" s="11"/>
      <c r="Q8262" s="11"/>
      <c r="R8262" s="11"/>
      <c r="S8262" s="11"/>
    </row>
    <row r="8263" spans="3:20" x14ac:dyDescent="0.35">
      <c r="C8263" s="15" t="s">
        <v>8</v>
      </c>
      <c r="G8263" s="15" t="s">
        <v>8</v>
      </c>
      <c r="H8263" s="15" t="s">
        <v>8</v>
      </c>
      <c r="J8263" s="15" t="s">
        <v>8</v>
      </c>
      <c r="L8263" s="15" t="s">
        <v>8</v>
      </c>
      <c r="M8263" s="8" t="s">
        <v>6</v>
      </c>
      <c r="N8263" s="15" t="s">
        <v>8</v>
      </c>
    </row>
    <row r="8264" spans="3:20" x14ac:dyDescent="0.35">
      <c r="C8264" s="15" t="s">
        <v>8</v>
      </c>
      <c r="G8264" s="15" t="s">
        <v>8</v>
      </c>
      <c r="H8264" s="15" t="s">
        <v>8</v>
      </c>
      <c r="J8264" s="15" t="s">
        <v>8</v>
      </c>
      <c r="L8264" s="15" t="s">
        <v>8</v>
      </c>
      <c r="M8264" s="16" t="str">
        <f>HYPERLINK("http://yeinfo.com/family/I09006065.html", "SARAH BATT 1640 MA-1714 CT ID:09003033")</f>
        <v>SARAH BATT 1640 MA-1714 CT ID:09003033</v>
      </c>
      <c r="N8264" s="11"/>
      <c r="O8264" s="11"/>
      <c r="P8264" s="11"/>
      <c r="Q8264" s="11"/>
    </row>
    <row r="8265" spans="3:20" x14ac:dyDescent="0.35">
      <c r="C8265" s="15" t="s">
        <v>8</v>
      </c>
      <c r="G8265" s="15" t="s">
        <v>8</v>
      </c>
      <c r="H8265" s="15" t="s">
        <v>8</v>
      </c>
      <c r="J8265" s="15" t="s">
        <v>8</v>
      </c>
      <c r="L8265" s="15" t="s">
        <v>8</v>
      </c>
      <c r="N8265" s="8" t="s">
        <v>6</v>
      </c>
    </row>
    <row r="8266" spans="3:20" x14ac:dyDescent="0.35">
      <c r="C8266" s="15" t="s">
        <v>8</v>
      </c>
      <c r="G8266" s="15" t="s">
        <v>8</v>
      </c>
      <c r="H8266" s="15" t="s">
        <v>8</v>
      </c>
      <c r="J8266" s="15" t="s">
        <v>8</v>
      </c>
      <c r="L8266" s="15" t="s">
        <v>8</v>
      </c>
      <c r="N8266" s="16" t="str">
        <f>HYPERLINK("http://yeinfo.com/family/I09012133.html", "LUCY NEWBURG 1614 EN-1640  ID:09006067")</f>
        <v>LUCY NEWBURG 1614 EN-1640  ID:09006067</v>
      </c>
      <c r="O8266" s="11"/>
      <c r="P8266" s="11"/>
      <c r="Q8266" s="11"/>
      <c r="R8266" s="11"/>
    </row>
    <row r="8267" spans="3:20" x14ac:dyDescent="0.35">
      <c r="C8267" s="15" t="s">
        <v>8</v>
      </c>
      <c r="G8267" s="15" t="s">
        <v>8</v>
      </c>
      <c r="H8267" s="15" t="s">
        <v>8</v>
      </c>
      <c r="J8267" s="15" t="s">
        <v>8</v>
      </c>
      <c r="L8267" s="15" t="s">
        <v>8</v>
      </c>
    </row>
    <row r="8268" spans="3:20" x14ac:dyDescent="0.35">
      <c r="C8268" s="15" t="s">
        <v>8</v>
      </c>
      <c r="G8268" s="15" t="s">
        <v>8</v>
      </c>
      <c r="H8268" s="15" t="s">
        <v>8</v>
      </c>
      <c r="J8268" s="15" t="s">
        <v>8</v>
      </c>
      <c r="K8268" s="5" t="str">
        <f>HYPERLINK("http://yeinfo.com/family/I09000379.html", "NATHANIEL BLISS MIGHILL 1709 -1788 CT ID:09000758")</f>
        <v>NATHANIEL BLISS MIGHILL 1709 -1788 CT ID:09000758</v>
      </c>
      <c r="L8268" s="3"/>
      <c r="M8268" s="3"/>
      <c r="N8268" s="3"/>
      <c r="O8268" s="3"/>
    </row>
    <row r="8269" spans="3:20" x14ac:dyDescent="0.35">
      <c r="C8269" s="15" t="s">
        <v>8</v>
      </c>
      <c r="G8269" s="15" t="s">
        <v>8</v>
      </c>
      <c r="H8269" s="15" t="s">
        <v>8</v>
      </c>
      <c r="J8269" s="15" t="s">
        <v>8</v>
      </c>
      <c r="K8269" s="8" t="s">
        <v>3</v>
      </c>
      <c r="L8269" s="15" t="s">
        <v>8</v>
      </c>
    </row>
    <row r="8270" spans="3:20" x14ac:dyDescent="0.35">
      <c r="C8270" s="15" t="s">
        <v>8</v>
      </c>
      <c r="G8270" s="15" t="s">
        <v>8</v>
      </c>
      <c r="H8270" s="15" t="s">
        <v>8</v>
      </c>
      <c r="J8270" s="15" t="s">
        <v>8</v>
      </c>
      <c r="K8270" s="15" t="s">
        <v>8</v>
      </c>
      <c r="L8270" s="15" t="s">
        <v>8</v>
      </c>
      <c r="O8270" s="5" t="str">
        <f>HYPERLINK("http://yeinfo.com/family/I09006068.html", "THOMAS BLISS Jr. 1583 EN-1644  ID:09012136")</f>
        <v>THOMAS BLISS Jr. 1583 EN-1644  ID:09012136</v>
      </c>
      <c r="P8270" s="3"/>
      <c r="Q8270" s="3"/>
      <c r="R8270" s="3"/>
      <c r="S8270" s="3"/>
    </row>
    <row r="8271" spans="3:20" x14ac:dyDescent="0.35">
      <c r="C8271" s="15" t="s">
        <v>8</v>
      </c>
      <c r="G8271" s="15" t="s">
        <v>8</v>
      </c>
      <c r="H8271" s="15" t="s">
        <v>8</v>
      </c>
      <c r="J8271" s="15" t="s">
        <v>8</v>
      </c>
      <c r="K8271" s="15" t="s">
        <v>8</v>
      </c>
      <c r="L8271" s="15" t="s">
        <v>8</v>
      </c>
      <c r="O8271" s="8" t="s">
        <v>3</v>
      </c>
    </row>
    <row r="8272" spans="3:20" x14ac:dyDescent="0.35">
      <c r="C8272" s="15" t="s">
        <v>8</v>
      </c>
      <c r="G8272" s="15" t="s">
        <v>8</v>
      </c>
      <c r="H8272" s="15" t="s">
        <v>8</v>
      </c>
      <c r="J8272" s="15" t="s">
        <v>8</v>
      </c>
      <c r="K8272" s="15" t="s">
        <v>8</v>
      </c>
      <c r="L8272" s="15" t="s">
        <v>8</v>
      </c>
      <c r="N8272" s="5" t="str">
        <f>HYPERLINK("http://yeinfo.com/family/I09003034.html", "NATHANIEL BLISS 1622 -1647 MA ID:09006068")</f>
        <v>NATHANIEL BLISS 1622 -1647 MA ID:09006068</v>
      </c>
      <c r="O8272" s="3"/>
      <c r="P8272" s="3"/>
      <c r="Q8272" s="3"/>
      <c r="R8272" s="3"/>
    </row>
    <row r="8273" spans="3:20" x14ac:dyDescent="0.35">
      <c r="C8273" s="15" t="s">
        <v>8</v>
      </c>
      <c r="G8273" s="15" t="s">
        <v>8</v>
      </c>
      <c r="H8273" s="15" t="s">
        <v>8</v>
      </c>
      <c r="J8273" s="15" t="s">
        <v>8</v>
      </c>
      <c r="K8273" s="15" t="s">
        <v>8</v>
      </c>
      <c r="L8273" s="15" t="s">
        <v>8</v>
      </c>
      <c r="N8273" s="8" t="s">
        <v>3</v>
      </c>
      <c r="O8273" s="15" t="s">
        <v>8</v>
      </c>
    </row>
    <row r="8274" spans="3:20" x14ac:dyDescent="0.35">
      <c r="C8274" s="15" t="s">
        <v>8</v>
      </c>
      <c r="G8274" s="15" t="s">
        <v>8</v>
      </c>
      <c r="H8274" s="15" t="s">
        <v>8</v>
      </c>
      <c r="J8274" s="15" t="s">
        <v>8</v>
      </c>
      <c r="K8274" s="15" t="s">
        <v>8</v>
      </c>
      <c r="L8274" s="15" t="s">
        <v>8</v>
      </c>
      <c r="N8274" s="15" t="s">
        <v>8</v>
      </c>
      <c r="O8274" s="15" t="s">
        <v>8</v>
      </c>
      <c r="P8274" s="19" t="str">
        <f>HYPERLINK("http://yeinfo.com/family/I09012137.html", "JOHN HULINS 1565 EN-1595 EN ID:09024274")</f>
        <v>JOHN HULINS 1565 EN-1595 EN ID:09024274</v>
      </c>
      <c r="Q8274" s="9"/>
      <c r="R8274" s="9"/>
      <c r="S8274" s="9"/>
      <c r="T8274" s="9"/>
    </row>
    <row r="8275" spans="3:20" x14ac:dyDescent="0.35">
      <c r="C8275" s="15" t="s">
        <v>8</v>
      </c>
      <c r="G8275" s="15" t="s">
        <v>8</v>
      </c>
      <c r="H8275" s="15" t="s">
        <v>8</v>
      </c>
      <c r="J8275" s="15" t="s">
        <v>8</v>
      </c>
      <c r="K8275" s="15" t="s">
        <v>8</v>
      </c>
      <c r="L8275" s="15" t="s">
        <v>8</v>
      </c>
      <c r="N8275" s="15" t="s">
        <v>8</v>
      </c>
      <c r="O8275" s="8" t="s">
        <v>6</v>
      </c>
      <c r="P8275" s="8" t="s">
        <v>3</v>
      </c>
    </row>
    <row r="8276" spans="3:20" x14ac:dyDescent="0.35">
      <c r="C8276" s="15" t="s">
        <v>8</v>
      </c>
      <c r="G8276" s="15" t="s">
        <v>8</v>
      </c>
      <c r="H8276" s="15" t="s">
        <v>8</v>
      </c>
      <c r="J8276" s="15" t="s">
        <v>8</v>
      </c>
      <c r="K8276" s="15" t="s">
        <v>8</v>
      </c>
      <c r="L8276" s="15" t="s">
        <v>8</v>
      </c>
      <c r="N8276" s="15" t="s">
        <v>8</v>
      </c>
      <c r="O8276" s="16" t="str">
        <f>HYPERLINK("http://yeinfo.com/family/I09012136.html", "MARGARET HULINS 1595 EN-1684  ID:09012137")</f>
        <v>MARGARET HULINS 1595 EN-1684  ID:09012137</v>
      </c>
      <c r="P8276" s="11"/>
      <c r="Q8276" s="11"/>
      <c r="R8276" s="11"/>
      <c r="S8276" s="11"/>
    </row>
    <row r="8277" spans="3:20" x14ac:dyDescent="0.35">
      <c r="C8277" s="15" t="s">
        <v>8</v>
      </c>
      <c r="G8277" s="15" t="s">
        <v>8</v>
      </c>
      <c r="H8277" s="15" t="s">
        <v>8</v>
      </c>
      <c r="J8277" s="15" t="s">
        <v>8</v>
      </c>
      <c r="K8277" s="15" t="s">
        <v>8</v>
      </c>
      <c r="L8277" s="15" t="s">
        <v>8</v>
      </c>
      <c r="N8277" s="15" t="s">
        <v>8</v>
      </c>
      <c r="P8277" s="8" t="s">
        <v>6</v>
      </c>
    </row>
    <row r="8278" spans="3:20" x14ac:dyDescent="0.35">
      <c r="C8278" s="15" t="s">
        <v>8</v>
      </c>
      <c r="G8278" s="15" t="s">
        <v>8</v>
      </c>
      <c r="H8278" s="15" t="s">
        <v>8</v>
      </c>
      <c r="J8278" s="15" t="s">
        <v>8</v>
      </c>
      <c r="K8278" s="15" t="s">
        <v>8</v>
      </c>
      <c r="L8278" s="15" t="s">
        <v>8</v>
      </c>
      <c r="N8278" s="15" t="s">
        <v>8</v>
      </c>
      <c r="P8278" s="20" t="str">
        <f>HYPERLINK("http://yeinfo.com/family/I09024274.html", "MARGARET LAWRENCE 1575 EN-1595  ID:09024275")</f>
        <v>MARGARET LAWRENCE 1575 EN-1595  ID:09024275</v>
      </c>
      <c r="Q8278" s="17"/>
      <c r="R8278" s="17"/>
      <c r="S8278" s="17"/>
      <c r="T8278" s="17"/>
    </row>
    <row r="8279" spans="3:20" x14ac:dyDescent="0.35">
      <c r="C8279" s="15" t="s">
        <v>8</v>
      </c>
      <c r="G8279" s="15" t="s">
        <v>8</v>
      </c>
      <c r="H8279" s="15" t="s">
        <v>8</v>
      </c>
      <c r="J8279" s="15" t="s">
        <v>8</v>
      </c>
      <c r="K8279" s="15" t="s">
        <v>8</v>
      </c>
      <c r="L8279" s="15" t="s">
        <v>8</v>
      </c>
      <c r="N8279" s="15" t="s">
        <v>8</v>
      </c>
    </row>
    <row r="8280" spans="3:20" x14ac:dyDescent="0.35">
      <c r="C8280" s="15" t="s">
        <v>8</v>
      </c>
      <c r="G8280" s="15" t="s">
        <v>8</v>
      </c>
      <c r="H8280" s="15" t="s">
        <v>8</v>
      </c>
      <c r="J8280" s="15" t="s">
        <v>8</v>
      </c>
      <c r="K8280" s="15" t="s">
        <v>8</v>
      </c>
      <c r="L8280" s="15" t="s">
        <v>8</v>
      </c>
      <c r="M8280" s="5" t="str">
        <f>HYPERLINK("http://yeinfo.com/family/I09001517.html", "SAMUEL BLISS 1647 MA-1749 MA ID:09003034")</f>
        <v>SAMUEL BLISS 1647 MA-1749 MA ID:09003034</v>
      </c>
      <c r="N8280" s="3"/>
      <c r="O8280" s="3"/>
      <c r="P8280" s="3"/>
      <c r="Q8280" s="3"/>
    </row>
    <row r="8281" spans="3:20" x14ac:dyDescent="0.35">
      <c r="C8281" s="15" t="s">
        <v>8</v>
      </c>
      <c r="G8281" s="15" t="s">
        <v>8</v>
      </c>
      <c r="H8281" s="15" t="s">
        <v>8</v>
      </c>
      <c r="J8281" s="15" t="s">
        <v>8</v>
      </c>
      <c r="K8281" s="15" t="s">
        <v>8</v>
      </c>
      <c r="L8281" s="15" t="s">
        <v>8</v>
      </c>
      <c r="M8281" s="8" t="s">
        <v>3</v>
      </c>
      <c r="N8281" s="15" t="s">
        <v>8</v>
      </c>
    </row>
    <row r="8282" spans="3:20" x14ac:dyDescent="0.35">
      <c r="C8282" s="15" t="s">
        <v>8</v>
      </c>
      <c r="G8282" s="15" t="s">
        <v>8</v>
      </c>
      <c r="H8282" s="15" t="s">
        <v>8</v>
      </c>
      <c r="J8282" s="15" t="s">
        <v>8</v>
      </c>
      <c r="K8282" s="15" t="s">
        <v>8</v>
      </c>
      <c r="L8282" s="15" t="s">
        <v>8</v>
      </c>
      <c r="M8282" s="15" t="s">
        <v>8</v>
      </c>
      <c r="N8282" s="15" t="s">
        <v>8</v>
      </c>
      <c r="O8282" s="5" t="str">
        <f>HYPERLINK("http://yeinfo.com/family/I09006069.html", "SAMUEL CHAPIN 1598 -1675 MA ID:09012138")</f>
        <v>SAMUEL CHAPIN 1598 -1675 MA ID:09012138</v>
      </c>
      <c r="P8282" s="3"/>
      <c r="Q8282" s="3"/>
      <c r="R8282" s="3"/>
      <c r="S8282" s="3"/>
    </row>
    <row r="8283" spans="3:20" x14ac:dyDescent="0.35">
      <c r="C8283" s="15" t="s">
        <v>8</v>
      </c>
      <c r="G8283" s="15" t="s">
        <v>8</v>
      </c>
      <c r="H8283" s="15" t="s">
        <v>8</v>
      </c>
      <c r="J8283" s="15" t="s">
        <v>8</v>
      </c>
      <c r="K8283" s="15" t="s">
        <v>8</v>
      </c>
      <c r="L8283" s="15" t="s">
        <v>8</v>
      </c>
      <c r="M8283" s="15" t="s">
        <v>8</v>
      </c>
      <c r="N8283" s="8" t="s">
        <v>6</v>
      </c>
      <c r="O8283" s="8" t="s">
        <v>3</v>
      </c>
    </row>
    <row r="8284" spans="3:20" x14ac:dyDescent="0.35">
      <c r="C8284" s="15" t="s">
        <v>8</v>
      </c>
      <c r="G8284" s="15" t="s">
        <v>8</v>
      </c>
      <c r="H8284" s="15" t="s">
        <v>8</v>
      </c>
      <c r="J8284" s="15" t="s">
        <v>8</v>
      </c>
      <c r="K8284" s="15" t="s">
        <v>8</v>
      </c>
      <c r="L8284" s="15" t="s">
        <v>8</v>
      </c>
      <c r="M8284" s="15" t="s">
        <v>8</v>
      </c>
      <c r="N8284" s="22" t="str">
        <f>HYPERLINK("http://yeinfo.com/family/I09024275.html", "CATHERINE\HANNAH CHAPIN 1626 EN-1711 MA ID:09006069")</f>
        <v>CATHERINE\HANNAH CHAPIN 1626 EN-1711 MA ID:09006069</v>
      </c>
      <c r="O8284" s="13"/>
      <c r="P8284" s="13"/>
      <c r="Q8284" s="13"/>
      <c r="R8284" s="13"/>
      <c r="S8284" s="13"/>
    </row>
    <row r="8285" spans="3:20" x14ac:dyDescent="0.35">
      <c r="C8285" s="15" t="s">
        <v>8</v>
      </c>
      <c r="G8285" s="15" t="s">
        <v>8</v>
      </c>
      <c r="H8285" s="15" t="s">
        <v>8</v>
      </c>
      <c r="J8285" s="15" t="s">
        <v>8</v>
      </c>
      <c r="K8285" s="15" t="s">
        <v>8</v>
      </c>
      <c r="L8285" s="15" t="s">
        <v>8</v>
      </c>
      <c r="M8285" s="15" t="s">
        <v>8</v>
      </c>
      <c r="O8285" s="8" t="s">
        <v>6</v>
      </c>
    </row>
    <row r="8286" spans="3:20" x14ac:dyDescent="0.35">
      <c r="C8286" s="15" t="s">
        <v>8</v>
      </c>
      <c r="G8286" s="15" t="s">
        <v>8</v>
      </c>
      <c r="H8286" s="15" t="s">
        <v>8</v>
      </c>
      <c r="J8286" s="15" t="s">
        <v>8</v>
      </c>
      <c r="K8286" s="15" t="s">
        <v>8</v>
      </c>
      <c r="L8286" s="15" t="s">
        <v>8</v>
      </c>
      <c r="M8286" s="15" t="s">
        <v>8</v>
      </c>
      <c r="O8286" s="22" t="str">
        <f>HYPERLINK("http://yeinfo.com/family/I09012138.html", "CICELY PENNY 1601 EN-1683 MA ID:09012139")</f>
        <v>CICELY PENNY 1601 EN-1683 MA ID:09012139</v>
      </c>
      <c r="P8286" s="13"/>
      <c r="Q8286" s="13"/>
      <c r="R8286" s="13"/>
      <c r="S8286" s="13"/>
    </row>
    <row r="8287" spans="3:20" x14ac:dyDescent="0.35">
      <c r="C8287" s="15" t="s">
        <v>8</v>
      </c>
      <c r="G8287" s="15" t="s">
        <v>8</v>
      </c>
      <c r="H8287" s="15" t="s">
        <v>8</v>
      </c>
      <c r="J8287" s="15" t="s">
        <v>8</v>
      </c>
      <c r="K8287" s="15" t="s">
        <v>8</v>
      </c>
      <c r="L8287" s="8" t="s">
        <v>6</v>
      </c>
      <c r="M8287" s="15" t="s">
        <v>8</v>
      </c>
    </row>
    <row r="8288" spans="3:20" x14ac:dyDescent="0.35">
      <c r="C8288" s="15" t="s">
        <v>8</v>
      </c>
      <c r="G8288" s="15" t="s">
        <v>8</v>
      </c>
      <c r="H8288" s="15" t="s">
        <v>8</v>
      </c>
      <c r="J8288" s="15" t="s">
        <v>8</v>
      </c>
      <c r="K8288" s="15" t="s">
        <v>8</v>
      </c>
      <c r="L8288" s="16" t="str">
        <f>HYPERLINK("http://yeinfo.com/family/I09006067.html", "SARAH BLISS 1684 MA-1751 CT ID:09001517")</f>
        <v>SARAH BLISS 1684 MA-1751 CT ID:09001517</v>
      </c>
      <c r="M8288" s="11"/>
      <c r="N8288" s="11"/>
      <c r="O8288" s="11"/>
      <c r="P8288" s="11"/>
    </row>
    <row r="8289" spans="3:19" x14ac:dyDescent="0.35">
      <c r="C8289" s="15" t="s">
        <v>8</v>
      </c>
      <c r="G8289" s="15" t="s">
        <v>8</v>
      </c>
      <c r="H8289" s="15" t="s">
        <v>8</v>
      </c>
      <c r="J8289" s="15" t="s">
        <v>8</v>
      </c>
      <c r="K8289" s="15" t="s">
        <v>8</v>
      </c>
      <c r="M8289" s="15" t="s">
        <v>8</v>
      </c>
    </row>
    <row r="8290" spans="3:19" x14ac:dyDescent="0.35">
      <c r="C8290" s="15" t="s">
        <v>8</v>
      </c>
      <c r="G8290" s="15" t="s">
        <v>8</v>
      </c>
      <c r="H8290" s="15" t="s">
        <v>8</v>
      </c>
      <c r="J8290" s="15" t="s">
        <v>8</v>
      </c>
      <c r="K8290" s="15" t="s">
        <v>8</v>
      </c>
      <c r="M8290" s="15" t="s">
        <v>8</v>
      </c>
      <c r="O8290" s="19" t="str">
        <f>HYPERLINK("http://yeinfo.com/family/I09006070.html", "ROWLAND STEBBINS 1592 EN-1671 EN ID:09012140")</f>
        <v>ROWLAND STEBBINS 1592 EN-1671 EN ID:09012140</v>
      </c>
      <c r="P8290" s="9"/>
      <c r="Q8290" s="9"/>
      <c r="R8290" s="9"/>
      <c r="S8290" s="9"/>
    </row>
    <row r="8291" spans="3:19" x14ac:dyDescent="0.35">
      <c r="C8291" s="15" t="s">
        <v>8</v>
      </c>
      <c r="G8291" s="15" t="s">
        <v>8</v>
      </c>
      <c r="H8291" s="15" t="s">
        <v>8</v>
      </c>
      <c r="J8291" s="15" t="s">
        <v>8</v>
      </c>
      <c r="K8291" s="15" t="s">
        <v>8</v>
      </c>
      <c r="M8291" s="15" t="s">
        <v>8</v>
      </c>
      <c r="O8291" s="8" t="s">
        <v>3</v>
      </c>
    </row>
    <row r="8292" spans="3:19" x14ac:dyDescent="0.35">
      <c r="C8292" s="15" t="s">
        <v>8</v>
      </c>
      <c r="G8292" s="15" t="s">
        <v>8</v>
      </c>
      <c r="H8292" s="15" t="s">
        <v>8</v>
      </c>
      <c r="J8292" s="15" t="s">
        <v>8</v>
      </c>
      <c r="K8292" s="15" t="s">
        <v>8</v>
      </c>
      <c r="M8292" s="15" t="s">
        <v>8</v>
      </c>
      <c r="N8292" s="21" t="str">
        <f>HYPERLINK("http://yeinfo.com/family/I09003035.html", "THOMAS STEBBINS 1619 EN-1683 MA ID:09006070")</f>
        <v>THOMAS STEBBINS 1619 EN-1683 MA ID:09006070</v>
      </c>
      <c r="O8292" s="6"/>
      <c r="P8292" s="6"/>
      <c r="Q8292" s="6"/>
      <c r="R8292" s="6"/>
    </row>
    <row r="8293" spans="3:19" x14ac:dyDescent="0.35">
      <c r="C8293" s="15" t="s">
        <v>8</v>
      </c>
      <c r="G8293" s="15" t="s">
        <v>8</v>
      </c>
      <c r="H8293" s="15" t="s">
        <v>8</v>
      </c>
      <c r="J8293" s="15" t="s">
        <v>8</v>
      </c>
      <c r="K8293" s="15" t="s">
        <v>8</v>
      </c>
      <c r="M8293" s="15" t="s">
        <v>8</v>
      </c>
      <c r="N8293" s="8" t="s">
        <v>3</v>
      </c>
      <c r="O8293" s="8" t="s">
        <v>6</v>
      </c>
    </row>
    <row r="8294" spans="3:19" x14ac:dyDescent="0.35">
      <c r="C8294" s="15" t="s">
        <v>8</v>
      </c>
      <c r="G8294" s="15" t="s">
        <v>8</v>
      </c>
      <c r="H8294" s="15" t="s">
        <v>8</v>
      </c>
      <c r="J8294" s="15" t="s">
        <v>8</v>
      </c>
      <c r="K8294" s="15" t="s">
        <v>8</v>
      </c>
      <c r="M8294" s="15" t="s">
        <v>8</v>
      </c>
      <c r="N8294" s="15" t="s">
        <v>8</v>
      </c>
      <c r="O8294" s="22" t="str">
        <f>HYPERLINK("http://yeinfo.com/family/I09012140.html", "SARAH WHITING 1591 EN-1649 MA ID:09012141")</f>
        <v>SARAH WHITING 1591 EN-1649 MA ID:09012141</v>
      </c>
      <c r="P8294" s="13"/>
      <c r="Q8294" s="13"/>
      <c r="R8294" s="13"/>
      <c r="S8294" s="13"/>
    </row>
    <row r="8295" spans="3:19" x14ac:dyDescent="0.35">
      <c r="C8295" s="15" t="s">
        <v>8</v>
      </c>
      <c r="G8295" s="15" t="s">
        <v>8</v>
      </c>
      <c r="H8295" s="15" t="s">
        <v>8</v>
      </c>
      <c r="J8295" s="15" t="s">
        <v>8</v>
      </c>
      <c r="K8295" s="15" t="s">
        <v>8</v>
      </c>
      <c r="M8295" s="8" t="s">
        <v>6</v>
      </c>
      <c r="N8295" s="15" t="s">
        <v>8</v>
      </c>
    </row>
    <row r="8296" spans="3:19" x14ac:dyDescent="0.35">
      <c r="C8296" s="15" t="s">
        <v>8</v>
      </c>
      <c r="G8296" s="15" t="s">
        <v>8</v>
      </c>
      <c r="H8296" s="15" t="s">
        <v>8</v>
      </c>
      <c r="J8296" s="15" t="s">
        <v>8</v>
      </c>
      <c r="K8296" s="15" t="s">
        <v>8</v>
      </c>
      <c r="M8296" s="16" t="str">
        <f>HYPERLINK("http://yeinfo.com/family/I09012139.html", "SARAH STEBBINS 1654 MA-1721 MA ID:09003035")</f>
        <v>SARAH STEBBINS 1654 MA-1721 MA ID:09003035</v>
      </c>
      <c r="N8296" s="11"/>
      <c r="O8296" s="11"/>
      <c r="P8296" s="11"/>
      <c r="Q8296" s="11"/>
    </row>
    <row r="8297" spans="3:19" x14ac:dyDescent="0.35">
      <c r="C8297" s="15" t="s">
        <v>8</v>
      </c>
      <c r="G8297" s="15" t="s">
        <v>8</v>
      </c>
      <c r="H8297" s="15" t="s">
        <v>8</v>
      </c>
      <c r="J8297" s="15" t="s">
        <v>8</v>
      </c>
      <c r="K8297" s="15" t="s">
        <v>8</v>
      </c>
      <c r="N8297" s="8" t="s">
        <v>6</v>
      </c>
    </row>
    <row r="8298" spans="3:19" x14ac:dyDescent="0.35">
      <c r="C8298" s="15" t="s">
        <v>8</v>
      </c>
      <c r="G8298" s="15" t="s">
        <v>8</v>
      </c>
      <c r="H8298" s="15" t="s">
        <v>8</v>
      </c>
      <c r="J8298" s="15" t="s">
        <v>8</v>
      </c>
      <c r="K8298" s="15" t="s">
        <v>8</v>
      </c>
      <c r="N8298" s="22" t="str">
        <f>HYPERLINK("http://yeinfo.com/family/I09012141.html", "HANNAH WRIGHT 1626 EN-1660 MA ID:09006071")</f>
        <v>HANNAH WRIGHT 1626 EN-1660 MA ID:09006071</v>
      </c>
      <c r="O8298" s="13"/>
      <c r="P8298" s="13"/>
      <c r="Q8298" s="13"/>
      <c r="R8298" s="13"/>
    </row>
    <row r="8299" spans="3:19" x14ac:dyDescent="0.35">
      <c r="C8299" s="15" t="s">
        <v>8</v>
      </c>
      <c r="G8299" s="15" t="s">
        <v>8</v>
      </c>
      <c r="H8299" s="15" t="s">
        <v>8</v>
      </c>
      <c r="J8299" s="8" t="s">
        <v>6</v>
      </c>
      <c r="K8299" s="15" t="s">
        <v>8</v>
      </c>
    </row>
    <row r="8300" spans="3:19" x14ac:dyDescent="0.35">
      <c r="C8300" s="15" t="s">
        <v>8</v>
      </c>
      <c r="G8300" s="15" t="s">
        <v>8</v>
      </c>
      <c r="H8300" s="15" t="s">
        <v>8</v>
      </c>
      <c r="J8300" s="16" t="str">
        <f>HYPERLINK("http://yeinfo.com/family/I09000378.html", "MARGARET MIGHILL 1752 MA-1816 VT ID:09000379")</f>
        <v>MARGARET MIGHILL 1752 MA-1816 VT ID:09000379</v>
      </c>
      <c r="K8300" s="11"/>
      <c r="L8300" s="11"/>
      <c r="M8300" s="11"/>
      <c r="N8300" s="11"/>
    </row>
    <row r="8301" spans="3:19" x14ac:dyDescent="0.35">
      <c r="C8301" s="15" t="s">
        <v>8</v>
      </c>
      <c r="G8301" s="15" t="s">
        <v>8</v>
      </c>
      <c r="H8301" s="15" t="s">
        <v>8</v>
      </c>
      <c r="K8301" s="8" t="s">
        <v>6</v>
      </c>
    </row>
    <row r="8302" spans="3:19" x14ac:dyDescent="0.35">
      <c r="C8302" s="15" t="s">
        <v>8</v>
      </c>
      <c r="G8302" s="15" t="s">
        <v>8</v>
      </c>
      <c r="H8302" s="15" t="s">
        <v>8</v>
      </c>
      <c r="K8302" s="16" t="str">
        <f>HYPERLINK("http://yeinfo.com/family/I09006071.html", "Mrs. ANNA\SARAH MIGHILL 1752 MA-1816 MA ID:09000759")</f>
        <v>Mrs. ANNA\SARAH MIGHILL 1752 MA-1816 MA ID:09000759</v>
      </c>
      <c r="L8302" s="11"/>
      <c r="M8302" s="11"/>
      <c r="N8302" s="11"/>
      <c r="O8302" s="11"/>
      <c r="P8302" s="11"/>
      <c r="Q8302" s="11"/>
    </row>
    <row r="8303" spans="3:19" x14ac:dyDescent="0.35">
      <c r="C8303" s="15" t="s">
        <v>8</v>
      </c>
      <c r="G8303" s="8" t="s">
        <v>6</v>
      </c>
      <c r="H8303" s="15" t="s">
        <v>8</v>
      </c>
    </row>
    <row r="8304" spans="3:19" x14ac:dyDescent="0.35">
      <c r="C8304" s="15" t="s">
        <v>8</v>
      </c>
      <c r="G8304" s="16" t="str">
        <f>HYPERLINK("http://yeinfo.com/family/I09001503.html", "JANE ANN BARRETT 1828 VT-1918 VT ID:09000047")</f>
        <v>JANE ANN BARRETT 1828 VT-1918 VT ID:09000047</v>
      </c>
      <c r="H8304" s="11"/>
      <c r="I8304" s="11"/>
      <c r="J8304" s="11"/>
      <c r="K8304" s="11"/>
    </row>
    <row r="8305" spans="3:18" x14ac:dyDescent="0.35">
      <c r="C8305" s="15" t="s">
        <v>8</v>
      </c>
      <c r="H8305" s="15" t="s">
        <v>8</v>
      </c>
    </row>
    <row r="8306" spans="3:18" x14ac:dyDescent="0.35">
      <c r="C8306" s="15" t="s">
        <v>8</v>
      </c>
      <c r="H8306" s="15" t="s">
        <v>8</v>
      </c>
      <c r="N8306" s="21" t="str">
        <f>HYPERLINK("http://yeinfo.com/family/I09003040.html", "WILLIAM PERRY 1606 EN-1683 MA ID:09006080")</f>
        <v>WILLIAM PERRY 1606 EN-1683 MA ID:09006080</v>
      </c>
      <c r="O8306" s="6"/>
      <c r="P8306" s="6"/>
      <c r="Q8306" s="6"/>
      <c r="R8306" s="6"/>
    </row>
    <row r="8307" spans="3:18" x14ac:dyDescent="0.35">
      <c r="C8307" s="15" t="s">
        <v>8</v>
      </c>
      <c r="H8307" s="15" t="s">
        <v>8</v>
      </c>
      <c r="N8307" s="8" t="s">
        <v>3</v>
      </c>
    </row>
    <row r="8308" spans="3:18" x14ac:dyDescent="0.35">
      <c r="C8308" s="15" t="s">
        <v>8</v>
      </c>
      <c r="H8308" s="15" t="s">
        <v>8</v>
      </c>
      <c r="M8308" s="5" t="str">
        <f>HYPERLINK("http://yeinfo.com/family/I09001520.html", "OBIDIAH PERRY 1640 MA-1691 MA ID:09003040")</f>
        <v>OBIDIAH PERRY 1640 MA-1691 MA ID:09003040</v>
      </c>
      <c r="N8308" s="3"/>
      <c r="O8308" s="3"/>
      <c r="P8308" s="3"/>
      <c r="Q8308" s="3"/>
    </row>
    <row r="8309" spans="3:18" x14ac:dyDescent="0.35">
      <c r="C8309" s="15" t="s">
        <v>8</v>
      </c>
      <c r="H8309" s="15" t="s">
        <v>8</v>
      </c>
      <c r="M8309" s="8" t="s">
        <v>3</v>
      </c>
      <c r="N8309" s="8" t="s">
        <v>6</v>
      </c>
    </row>
    <row r="8310" spans="3:18" x14ac:dyDescent="0.35">
      <c r="C8310" s="15" t="s">
        <v>8</v>
      </c>
      <c r="H8310" s="15" t="s">
        <v>8</v>
      </c>
      <c r="M8310" s="15" t="s">
        <v>8</v>
      </c>
      <c r="N8310" s="22" t="str">
        <f>HYPERLINK("http://yeinfo.com/family/I09006080.html", "SUSANNA JOHANNA HOLLAND 1614 EN-1667 MA ID:09006081")</f>
        <v>SUSANNA JOHANNA HOLLAND 1614 EN-1667 MA ID:09006081</v>
      </c>
      <c r="O8310" s="13"/>
      <c r="P8310" s="13"/>
      <c r="Q8310" s="13"/>
      <c r="R8310" s="13"/>
    </row>
    <row r="8311" spans="3:18" x14ac:dyDescent="0.35">
      <c r="C8311" s="15" t="s">
        <v>8</v>
      </c>
      <c r="H8311" s="15" t="s">
        <v>8</v>
      </c>
      <c r="M8311" s="15" t="s">
        <v>8</v>
      </c>
    </row>
    <row r="8312" spans="3:18" x14ac:dyDescent="0.35">
      <c r="C8312" s="15" t="s">
        <v>8</v>
      </c>
      <c r="H8312" s="15" t="s">
        <v>8</v>
      </c>
      <c r="L8312" s="5" t="str">
        <f>HYPERLINK("http://yeinfo.com/family/I09000760.html", "EBENEZER PERRY 1671 MA-1732 MA ID:09001520")</f>
        <v>EBENEZER PERRY 1671 MA-1732 MA ID:09001520</v>
      </c>
      <c r="M8312" s="3"/>
      <c r="N8312" s="3"/>
      <c r="O8312" s="3"/>
      <c r="P8312" s="3"/>
    </row>
    <row r="8313" spans="3:18" x14ac:dyDescent="0.35">
      <c r="C8313" s="15" t="s">
        <v>8</v>
      </c>
      <c r="H8313" s="15" t="s">
        <v>8</v>
      </c>
      <c r="L8313" s="8" t="s">
        <v>3</v>
      </c>
      <c r="M8313" s="15" t="s">
        <v>8</v>
      </c>
    </row>
    <row r="8314" spans="3:18" x14ac:dyDescent="0.35">
      <c r="C8314" s="15" t="s">
        <v>8</v>
      </c>
      <c r="H8314" s="15" t="s">
        <v>8</v>
      </c>
      <c r="L8314" s="15" t="s">
        <v>8</v>
      </c>
      <c r="M8314" s="15" t="s">
        <v>8</v>
      </c>
      <c r="N8314" s="21" t="str">
        <f>HYPERLINK("http://yeinfo.com/family/I09003041.html", "RICHARD HASSELL 1622 EN-1691 MA ID:09006082")</f>
        <v>RICHARD HASSELL 1622 EN-1691 MA ID:09006082</v>
      </c>
      <c r="O8314" s="6"/>
      <c r="P8314" s="6"/>
      <c r="Q8314" s="6"/>
      <c r="R8314" s="6"/>
    </row>
    <row r="8315" spans="3:18" x14ac:dyDescent="0.35">
      <c r="C8315" s="15" t="s">
        <v>8</v>
      </c>
      <c r="H8315" s="15" t="s">
        <v>8</v>
      </c>
      <c r="L8315" s="15" t="s">
        <v>8</v>
      </c>
      <c r="M8315" s="8" t="s">
        <v>6</v>
      </c>
      <c r="N8315" s="8" t="s">
        <v>3</v>
      </c>
    </row>
    <row r="8316" spans="3:18" x14ac:dyDescent="0.35">
      <c r="C8316" s="15" t="s">
        <v>8</v>
      </c>
      <c r="H8316" s="15" t="s">
        <v>8</v>
      </c>
      <c r="L8316" s="15" t="s">
        <v>8</v>
      </c>
      <c r="M8316" s="16" t="str">
        <f>HYPERLINK("http://yeinfo.com/family/I09006081.html", "ESTHER HASSELL 1648 MA-1692 MA ID:09003041")</f>
        <v>ESTHER HASSELL 1648 MA-1692 MA ID:09003041</v>
      </c>
      <c r="N8316" s="11"/>
      <c r="O8316" s="11"/>
      <c r="P8316" s="11"/>
      <c r="Q8316" s="11"/>
    </row>
    <row r="8317" spans="3:18" x14ac:dyDescent="0.35">
      <c r="C8317" s="15" t="s">
        <v>8</v>
      </c>
      <c r="H8317" s="15" t="s">
        <v>8</v>
      </c>
      <c r="L8317" s="15" t="s">
        <v>8</v>
      </c>
      <c r="N8317" s="8" t="s">
        <v>6</v>
      </c>
    </row>
    <row r="8318" spans="3:18" x14ac:dyDescent="0.35">
      <c r="C8318" s="15" t="s">
        <v>8</v>
      </c>
      <c r="H8318" s="15" t="s">
        <v>8</v>
      </c>
      <c r="L8318" s="15" t="s">
        <v>8</v>
      </c>
      <c r="N8318" s="22" t="str">
        <f>HYPERLINK("http://yeinfo.com/family/I09006082.html", "JOANNA BATEMAN 1625 EN-1691 MA ID:09006083")</f>
        <v>JOANNA BATEMAN 1625 EN-1691 MA ID:09006083</v>
      </c>
      <c r="O8318" s="13"/>
      <c r="P8318" s="13"/>
      <c r="Q8318" s="13"/>
      <c r="R8318" s="13"/>
    </row>
    <row r="8319" spans="3:18" x14ac:dyDescent="0.35">
      <c r="C8319" s="15" t="s">
        <v>8</v>
      </c>
      <c r="H8319" s="15" t="s">
        <v>8</v>
      </c>
      <c r="L8319" s="15" t="s">
        <v>8</v>
      </c>
    </row>
    <row r="8320" spans="3:18" x14ac:dyDescent="0.35">
      <c r="C8320" s="15" t="s">
        <v>8</v>
      </c>
      <c r="H8320" s="15" t="s">
        <v>8</v>
      </c>
      <c r="K8320" s="5" t="str">
        <f>HYPERLINK("http://yeinfo.com/family/I09000380.html", "JAPHET\JAFIT PERRY 1702 MA-1756 MA ID:09000760")</f>
        <v>JAPHET\JAFIT PERRY 1702 MA-1756 MA ID:09000760</v>
      </c>
      <c r="L8320" s="3"/>
      <c r="M8320" s="3"/>
      <c r="N8320" s="3"/>
      <c r="O8320" s="3"/>
      <c r="P8320" s="3"/>
    </row>
    <row r="8321" spans="3:21" x14ac:dyDescent="0.35">
      <c r="C8321" s="15" t="s">
        <v>8</v>
      </c>
      <c r="H8321" s="15" t="s">
        <v>8</v>
      </c>
      <c r="K8321" s="8" t="s">
        <v>3</v>
      </c>
      <c r="L8321" s="15" t="s">
        <v>8</v>
      </c>
    </row>
    <row r="8322" spans="3:21" x14ac:dyDescent="0.35">
      <c r="C8322" s="15" t="s">
        <v>8</v>
      </c>
      <c r="H8322" s="15" t="s">
        <v>8</v>
      </c>
      <c r="K8322" s="15" t="s">
        <v>8</v>
      </c>
      <c r="L8322" s="15" t="s">
        <v>8</v>
      </c>
      <c r="N8322" s="21" t="str">
        <f>HYPERLINK("http://yeinfo.com/family/I09003042.html", "THOMAS BRIGHAM 1603 EN-1653 MA ID:09006084")</f>
        <v>THOMAS BRIGHAM 1603 EN-1653 MA ID:09006084</v>
      </c>
      <c r="O8322" s="6"/>
      <c r="P8322" s="6"/>
      <c r="Q8322" s="6"/>
      <c r="R8322" s="6"/>
    </row>
    <row r="8323" spans="3:21" x14ac:dyDescent="0.35">
      <c r="C8323" s="15" t="s">
        <v>8</v>
      </c>
      <c r="H8323" s="15" t="s">
        <v>8</v>
      </c>
      <c r="K8323" s="15" t="s">
        <v>8</v>
      </c>
      <c r="L8323" s="15" t="s">
        <v>8</v>
      </c>
      <c r="N8323" s="8" t="s">
        <v>3</v>
      </c>
    </row>
    <row r="8324" spans="3:21" x14ac:dyDescent="0.35">
      <c r="C8324" s="15" t="s">
        <v>8</v>
      </c>
      <c r="H8324" s="15" t="s">
        <v>8</v>
      </c>
      <c r="K8324" s="15" t="s">
        <v>8</v>
      </c>
      <c r="L8324" s="15" t="s">
        <v>8</v>
      </c>
      <c r="M8324" s="5" t="str">
        <f>HYPERLINK("http://yeinfo.com/family/I09001521.html", "JOHN BRIGHAM 1643 MA-1728 MA ID:09003042")</f>
        <v>JOHN BRIGHAM 1643 MA-1728 MA ID:09003042</v>
      </c>
      <c r="N8324" s="3"/>
      <c r="O8324" s="3"/>
      <c r="P8324" s="3"/>
      <c r="Q8324" s="3"/>
    </row>
    <row r="8325" spans="3:21" x14ac:dyDescent="0.35">
      <c r="C8325" s="15" t="s">
        <v>8</v>
      </c>
      <c r="H8325" s="15" t="s">
        <v>8</v>
      </c>
      <c r="K8325" s="15" t="s">
        <v>8</v>
      </c>
      <c r="L8325" s="15" t="s">
        <v>8</v>
      </c>
      <c r="M8325" s="8" t="s">
        <v>3</v>
      </c>
      <c r="N8325" s="8" t="s">
        <v>6</v>
      </c>
    </row>
    <row r="8326" spans="3:21" x14ac:dyDescent="0.35">
      <c r="C8326" s="15" t="s">
        <v>8</v>
      </c>
      <c r="H8326" s="15" t="s">
        <v>8</v>
      </c>
      <c r="K8326" s="15" t="s">
        <v>8</v>
      </c>
      <c r="L8326" s="15" t="s">
        <v>8</v>
      </c>
      <c r="M8326" s="15" t="s">
        <v>8</v>
      </c>
      <c r="N8326" s="16" t="str">
        <f>HYPERLINK("http://yeinfo.com/family/I09006084.html", "MERCY\MARY HURD 1613 MA-1693 MA ID:09006085")</f>
        <v>MERCY\MARY HURD 1613 MA-1693 MA ID:09006085</v>
      </c>
      <c r="O8326" s="11"/>
      <c r="P8326" s="11"/>
      <c r="Q8326" s="11"/>
      <c r="R8326" s="11"/>
      <c r="S8326" s="11"/>
    </row>
    <row r="8327" spans="3:21" x14ac:dyDescent="0.35">
      <c r="C8327" s="15" t="s">
        <v>8</v>
      </c>
      <c r="H8327" s="15" t="s">
        <v>8</v>
      </c>
      <c r="K8327" s="15" t="s">
        <v>8</v>
      </c>
      <c r="L8327" s="8" t="s">
        <v>6</v>
      </c>
      <c r="M8327" s="15" t="s">
        <v>8</v>
      </c>
    </row>
    <row r="8328" spans="3:21" x14ac:dyDescent="0.35">
      <c r="C8328" s="15" t="s">
        <v>8</v>
      </c>
      <c r="H8328" s="15" t="s">
        <v>8</v>
      </c>
      <c r="K8328" s="15" t="s">
        <v>8</v>
      </c>
      <c r="L8328" s="16" t="str">
        <f>HYPERLINK("http://yeinfo.com/family/I09006083.html", "MERCY\MARY BRIGHAM 1689 MA-1751 MA ID:09001521")</f>
        <v>MERCY\MARY BRIGHAM 1689 MA-1751 MA ID:09001521</v>
      </c>
      <c r="M8328" s="11"/>
      <c r="N8328" s="11"/>
      <c r="O8328" s="11"/>
      <c r="P8328" s="11"/>
      <c r="Q8328" s="11"/>
    </row>
    <row r="8329" spans="3:21" x14ac:dyDescent="0.35">
      <c r="C8329" s="15" t="s">
        <v>8</v>
      </c>
      <c r="H8329" s="15" t="s">
        <v>8</v>
      </c>
      <c r="K8329" s="15" t="s">
        <v>8</v>
      </c>
      <c r="M8329" s="15" t="s">
        <v>8</v>
      </c>
    </row>
    <row r="8330" spans="3:21" x14ac:dyDescent="0.35">
      <c r="C8330" s="15" t="s">
        <v>8</v>
      </c>
      <c r="H8330" s="15" t="s">
        <v>8</v>
      </c>
      <c r="K8330" s="15" t="s">
        <v>8</v>
      </c>
      <c r="M8330" s="15" t="s">
        <v>8</v>
      </c>
      <c r="N8330" s="21" t="str">
        <f>HYPERLINK("http://yeinfo.com/family/I09003043.html", "ROBERT DAVIS 1608 EN-1655 MA ID:09006086")</f>
        <v>ROBERT DAVIS 1608 EN-1655 MA ID:09006086</v>
      </c>
      <c r="O8330" s="6"/>
      <c r="P8330" s="6"/>
      <c r="Q8330" s="6"/>
      <c r="R8330" s="6"/>
    </row>
    <row r="8331" spans="3:21" x14ac:dyDescent="0.35">
      <c r="C8331" s="15" t="s">
        <v>8</v>
      </c>
      <c r="H8331" s="15" t="s">
        <v>8</v>
      </c>
      <c r="K8331" s="15" t="s">
        <v>8</v>
      </c>
      <c r="M8331" s="8" t="s">
        <v>6</v>
      </c>
      <c r="N8331" s="8" t="s">
        <v>3</v>
      </c>
    </row>
    <row r="8332" spans="3:21" x14ac:dyDescent="0.35">
      <c r="C8332" s="15" t="s">
        <v>8</v>
      </c>
      <c r="H8332" s="15" t="s">
        <v>8</v>
      </c>
      <c r="K8332" s="15" t="s">
        <v>8</v>
      </c>
      <c r="M8332" s="16" t="str">
        <f>HYPERLINK("http://yeinfo.com/family/I09006085.html", "SARAH DAVIS 1646 MA-1698 MA ID:09003043")</f>
        <v>SARAH DAVIS 1646 MA-1698 MA ID:09003043</v>
      </c>
      <c r="N8332" s="11"/>
      <c r="O8332" s="11"/>
      <c r="P8332" s="11"/>
      <c r="Q8332" s="11"/>
    </row>
    <row r="8333" spans="3:21" x14ac:dyDescent="0.35">
      <c r="C8333" s="15" t="s">
        <v>8</v>
      </c>
      <c r="H8333" s="15" t="s">
        <v>8</v>
      </c>
      <c r="K8333" s="15" t="s">
        <v>8</v>
      </c>
      <c r="N8333" s="15" t="s">
        <v>8</v>
      </c>
    </row>
    <row r="8334" spans="3:21" x14ac:dyDescent="0.35">
      <c r="C8334" s="15" t="s">
        <v>8</v>
      </c>
      <c r="H8334" s="15" t="s">
        <v>8</v>
      </c>
      <c r="K8334" s="15" t="s">
        <v>8</v>
      </c>
      <c r="N8334" s="15" t="s">
        <v>8</v>
      </c>
      <c r="Q8334" s="19" t="str">
        <f>HYPERLINK("http://yeinfo.com/family/I09048200.html", "JOHN LOKER &lt;3&gt; 1508 -1552 EN ID:09048200")</f>
        <v>JOHN LOKER &lt;3&gt; 1508 -1552 EN ID:09048200</v>
      </c>
      <c r="R8334" s="9"/>
      <c r="S8334" s="9"/>
      <c r="T8334" s="9"/>
      <c r="U8334" s="9"/>
    </row>
    <row r="8335" spans="3:21" x14ac:dyDescent="0.35">
      <c r="C8335" s="15" t="s">
        <v>8</v>
      </c>
      <c r="H8335" s="15" t="s">
        <v>8</v>
      </c>
      <c r="K8335" s="15" t="s">
        <v>8</v>
      </c>
      <c r="N8335" s="15" t="s">
        <v>8</v>
      </c>
      <c r="Q8335" s="8" t="s">
        <v>3</v>
      </c>
    </row>
    <row r="8336" spans="3:21" x14ac:dyDescent="0.35">
      <c r="C8336" s="15" t="s">
        <v>8</v>
      </c>
      <c r="H8336" s="15" t="s">
        <v>8</v>
      </c>
      <c r="K8336" s="15" t="s">
        <v>8</v>
      </c>
      <c r="N8336" s="15" t="s">
        <v>8</v>
      </c>
      <c r="P8336" s="19" t="str">
        <f>HYPERLINK("http://yeinfo.com/family/I09024100.html", "ROBERT LOKER &lt;3&gt; 1534 EN-1592 EN ID:09024100")</f>
        <v>ROBERT LOKER &lt;3&gt; 1534 EN-1592 EN ID:09024100</v>
      </c>
      <c r="Q8336" s="9"/>
      <c r="R8336" s="9"/>
      <c r="S8336" s="9"/>
      <c r="T8336" s="9"/>
    </row>
    <row r="8337" spans="3:23" x14ac:dyDescent="0.35">
      <c r="C8337" s="15" t="s">
        <v>8</v>
      </c>
      <c r="H8337" s="15" t="s">
        <v>8</v>
      </c>
      <c r="K8337" s="15" t="s">
        <v>8</v>
      </c>
      <c r="N8337" s="15" t="s">
        <v>8</v>
      </c>
      <c r="P8337" s="8" t="s">
        <v>3</v>
      </c>
      <c r="Q8337" s="8" t="s">
        <v>6</v>
      </c>
    </row>
    <row r="8338" spans="3:23" x14ac:dyDescent="0.35">
      <c r="C8338" s="15" t="s">
        <v>8</v>
      </c>
      <c r="H8338" s="15" t="s">
        <v>8</v>
      </c>
      <c r="K8338" s="15" t="s">
        <v>8</v>
      </c>
      <c r="N8338" s="15" t="s">
        <v>8</v>
      </c>
      <c r="P8338" s="15" t="s">
        <v>8</v>
      </c>
      <c r="Q8338" s="20" t="str">
        <f>HYPERLINK("http://yeinfo.com/family/I09048201.html", "JOAN RIDDLESDALE &lt;3&gt; 1512 EN-1561 EN ID:09048201")</f>
        <v>JOAN RIDDLESDALE &lt;3&gt; 1512 EN-1561 EN ID:09048201</v>
      </c>
      <c r="R8338" s="17"/>
      <c r="S8338" s="17"/>
      <c r="T8338" s="17"/>
      <c r="U8338" s="17"/>
    </row>
    <row r="8339" spans="3:23" x14ac:dyDescent="0.35">
      <c r="C8339" s="15" t="s">
        <v>8</v>
      </c>
      <c r="H8339" s="15" t="s">
        <v>8</v>
      </c>
      <c r="K8339" s="15" t="s">
        <v>8</v>
      </c>
      <c r="N8339" s="15" t="s">
        <v>8</v>
      </c>
      <c r="P8339" s="15" t="s">
        <v>8</v>
      </c>
    </row>
    <row r="8340" spans="3:23" x14ac:dyDescent="0.35">
      <c r="C8340" s="15" t="s">
        <v>8</v>
      </c>
      <c r="H8340" s="15" t="s">
        <v>8</v>
      </c>
      <c r="K8340" s="15" t="s">
        <v>8</v>
      </c>
      <c r="N8340" s="15" t="s">
        <v>8</v>
      </c>
      <c r="O8340" s="19" t="str">
        <f>HYPERLINK("http://yeinfo.com/family/I09012050.html", "HENRY LOKER Jr. &lt;3&gt; 1577 EN-1631 EN ID:09012050")</f>
        <v>HENRY LOKER Jr. &lt;3&gt; 1577 EN-1631 EN ID:09012050</v>
      </c>
      <c r="P8340" s="9"/>
      <c r="Q8340" s="9"/>
      <c r="R8340" s="9"/>
      <c r="S8340" s="9"/>
    </row>
    <row r="8341" spans="3:23" x14ac:dyDescent="0.35">
      <c r="C8341" s="15" t="s">
        <v>8</v>
      </c>
      <c r="H8341" s="15" t="s">
        <v>8</v>
      </c>
      <c r="K8341" s="15" t="s">
        <v>8</v>
      </c>
      <c r="N8341" s="15" t="s">
        <v>8</v>
      </c>
      <c r="O8341" s="8" t="s">
        <v>3</v>
      </c>
      <c r="P8341" s="15" t="s">
        <v>8</v>
      </c>
    </row>
    <row r="8342" spans="3:23" x14ac:dyDescent="0.35">
      <c r="C8342" s="15" t="s">
        <v>8</v>
      </c>
      <c r="H8342" s="15" t="s">
        <v>8</v>
      </c>
      <c r="K8342" s="15" t="s">
        <v>8</v>
      </c>
      <c r="N8342" s="15" t="s">
        <v>8</v>
      </c>
      <c r="O8342" s="15" t="s">
        <v>8</v>
      </c>
      <c r="P8342" s="15" t="s">
        <v>8</v>
      </c>
      <c r="Q8342" s="19" t="str">
        <f>HYPERLINK("http://yeinfo.com/family/I09048202.html", "JOHN RIDDLESDALE &lt;3&gt; 1510 EN-1552 EN ID:09048202")</f>
        <v>JOHN RIDDLESDALE &lt;3&gt; 1510 EN-1552 EN ID:09048202</v>
      </c>
      <c r="R8342" s="9"/>
      <c r="S8342" s="9"/>
      <c r="T8342" s="9"/>
      <c r="U8342" s="9"/>
    </row>
    <row r="8343" spans="3:23" x14ac:dyDescent="0.35">
      <c r="C8343" s="15" t="s">
        <v>8</v>
      </c>
      <c r="H8343" s="15" t="s">
        <v>8</v>
      </c>
      <c r="K8343" s="15" t="s">
        <v>8</v>
      </c>
      <c r="N8343" s="15" t="s">
        <v>8</v>
      </c>
      <c r="O8343" s="15" t="s">
        <v>8</v>
      </c>
      <c r="P8343" s="8" t="s">
        <v>6</v>
      </c>
      <c r="Q8343" s="8" t="s">
        <v>3</v>
      </c>
    </row>
    <row r="8344" spans="3:23" x14ac:dyDescent="0.35">
      <c r="C8344" s="15" t="s">
        <v>8</v>
      </c>
      <c r="H8344" s="15" t="s">
        <v>8</v>
      </c>
      <c r="K8344" s="15" t="s">
        <v>8</v>
      </c>
      <c r="N8344" s="15" t="s">
        <v>8</v>
      </c>
      <c r="O8344" s="15" t="s">
        <v>8</v>
      </c>
      <c r="P8344" s="20" t="str">
        <f>HYPERLINK("http://yeinfo.com/family/I09024101.html", "LUCY RIDDLESDALE &lt;3&gt; 1536 EN-1592 EN ID:09024101")</f>
        <v>LUCY RIDDLESDALE &lt;3&gt; 1536 EN-1592 EN ID:09024101</v>
      </c>
      <c r="Q8344" s="17"/>
      <c r="R8344" s="17"/>
      <c r="S8344" s="17"/>
      <c r="T8344" s="17"/>
    </row>
    <row r="8345" spans="3:23" x14ac:dyDescent="0.35">
      <c r="C8345" s="15" t="s">
        <v>8</v>
      </c>
      <c r="H8345" s="15" t="s">
        <v>8</v>
      </c>
      <c r="K8345" s="15" t="s">
        <v>8</v>
      </c>
      <c r="N8345" s="15" t="s">
        <v>8</v>
      </c>
      <c r="O8345" s="15" t="s">
        <v>8</v>
      </c>
      <c r="Q8345" s="8" t="s">
        <v>6</v>
      </c>
    </row>
    <row r="8346" spans="3:23" x14ac:dyDescent="0.35">
      <c r="C8346" s="15" t="s">
        <v>8</v>
      </c>
      <c r="H8346" s="15" t="s">
        <v>8</v>
      </c>
      <c r="K8346" s="15" t="s">
        <v>8</v>
      </c>
      <c r="N8346" s="15" t="s">
        <v>8</v>
      </c>
      <c r="O8346" s="15" t="s">
        <v>8</v>
      </c>
      <c r="Q8346" s="20" t="str">
        <f>HYPERLINK("http://yeinfo.com/family/I09048203.html", "Mrs. LUCY\JOAN RIDDLESDALE &lt;3&gt; 1512 EN-1536 EN ID:09048203")</f>
        <v>Mrs. LUCY\JOAN RIDDLESDALE &lt;3&gt; 1512 EN-1536 EN ID:09048203</v>
      </c>
      <c r="R8346" s="17"/>
      <c r="S8346" s="17"/>
      <c r="T8346" s="17"/>
      <c r="U8346" s="17"/>
      <c r="V8346" s="17"/>
      <c r="W8346" s="17"/>
    </row>
    <row r="8347" spans="3:23" x14ac:dyDescent="0.35">
      <c r="C8347" s="15" t="s">
        <v>8</v>
      </c>
      <c r="H8347" s="15" t="s">
        <v>8</v>
      </c>
      <c r="K8347" s="15" t="s">
        <v>8</v>
      </c>
      <c r="N8347" s="8" t="s">
        <v>6</v>
      </c>
      <c r="O8347" s="15" t="s">
        <v>8</v>
      </c>
    </row>
    <row r="8348" spans="3:23" x14ac:dyDescent="0.35">
      <c r="C8348" s="15" t="s">
        <v>8</v>
      </c>
      <c r="H8348" s="15" t="s">
        <v>8</v>
      </c>
      <c r="K8348" s="15" t="s">
        <v>8</v>
      </c>
      <c r="N8348" s="22" t="str">
        <f>HYPERLINK("http://yeinfo.com/family/I09006086.html", "BRIDGETT LOKER 1613 EN-1685 MA ID:09006087")</f>
        <v>BRIDGETT LOKER 1613 EN-1685 MA ID:09006087</v>
      </c>
      <c r="O8348" s="13"/>
      <c r="P8348" s="13"/>
      <c r="Q8348" s="13"/>
      <c r="R8348" s="13"/>
    </row>
    <row r="8349" spans="3:23" x14ac:dyDescent="0.35">
      <c r="C8349" s="15" t="s">
        <v>8</v>
      </c>
      <c r="H8349" s="15" t="s">
        <v>8</v>
      </c>
      <c r="K8349" s="15" t="s">
        <v>8</v>
      </c>
      <c r="O8349" s="8" t="s">
        <v>6</v>
      </c>
    </row>
    <row r="8350" spans="3:23" x14ac:dyDescent="0.35">
      <c r="C8350" s="15" t="s">
        <v>8</v>
      </c>
      <c r="H8350" s="15" t="s">
        <v>8</v>
      </c>
      <c r="K8350" s="15" t="s">
        <v>8</v>
      </c>
      <c r="O8350" s="22" t="str">
        <f>HYPERLINK("http://yeinfo.com/family/I09012051.html", "ELIZABETH FRENCH &lt;3&gt; 1580 EN-1648 MA ID:09012051")</f>
        <v>ELIZABETH FRENCH &lt;3&gt; 1580 EN-1648 MA ID:09012051</v>
      </c>
      <c r="P8350" s="13"/>
      <c r="Q8350" s="13"/>
      <c r="R8350" s="13"/>
      <c r="S8350" s="13"/>
    </row>
    <row r="8351" spans="3:23" x14ac:dyDescent="0.35">
      <c r="C8351" s="15" t="s">
        <v>8</v>
      </c>
      <c r="H8351" s="15" t="s">
        <v>8</v>
      </c>
      <c r="K8351" s="15" t="s">
        <v>8</v>
      </c>
    </row>
    <row r="8352" spans="3:23" x14ac:dyDescent="0.35">
      <c r="C8352" s="15" t="s">
        <v>8</v>
      </c>
      <c r="H8352" s="15" t="s">
        <v>8</v>
      </c>
      <c r="J8352" s="5" t="str">
        <f>HYPERLINK("http://yeinfo.com/family/I09000190.html", "DANIEL PERRY 1742 MA-1829 VT ID:09000380")</f>
        <v>DANIEL PERRY 1742 MA-1829 VT ID:09000380</v>
      </c>
      <c r="K8352" s="3"/>
      <c r="L8352" s="3"/>
      <c r="M8352" s="3"/>
      <c r="N8352" s="3"/>
    </row>
    <row r="8353" spans="3:22" x14ac:dyDescent="0.35">
      <c r="C8353" s="15" t="s">
        <v>8</v>
      </c>
      <c r="H8353" s="15" t="s">
        <v>8</v>
      </c>
      <c r="J8353" s="8" t="s">
        <v>3</v>
      </c>
      <c r="K8353" s="15" t="s">
        <v>8</v>
      </c>
    </row>
    <row r="8354" spans="3:22" x14ac:dyDescent="0.35">
      <c r="C8354" s="15" t="s">
        <v>8</v>
      </c>
      <c r="H8354" s="15" t="s">
        <v>8</v>
      </c>
      <c r="J8354" s="15" t="s">
        <v>8</v>
      </c>
      <c r="K8354" s="15" t="s">
        <v>8</v>
      </c>
      <c r="R8354" s="19" t="str">
        <f>HYPERLINK("http://yeinfo.com/family/I09048704.html", "WILLIAM HOWE &lt;2&gt; 1501 EN-1558 EN ID:09066695")</f>
        <v>WILLIAM HOWE &lt;2&gt; 1501 EN-1558 EN ID:09066695</v>
      </c>
      <c r="S8354" s="9"/>
      <c r="T8354" s="9"/>
      <c r="U8354" s="9"/>
      <c r="V8354" s="9"/>
    </row>
    <row r="8355" spans="3:22" x14ac:dyDescent="0.35">
      <c r="C8355" s="15" t="s">
        <v>8</v>
      </c>
      <c r="H8355" s="15" t="s">
        <v>8</v>
      </c>
      <c r="J8355" s="15" t="s">
        <v>8</v>
      </c>
      <c r="K8355" s="15" t="s">
        <v>8</v>
      </c>
      <c r="R8355" s="8" t="s">
        <v>3</v>
      </c>
    </row>
    <row r="8356" spans="3:22" x14ac:dyDescent="0.35">
      <c r="C8356" s="15" t="s">
        <v>8</v>
      </c>
      <c r="H8356" s="15" t="s">
        <v>8</v>
      </c>
      <c r="J8356" s="15" t="s">
        <v>8</v>
      </c>
      <c r="K8356" s="15" t="s">
        <v>8</v>
      </c>
      <c r="Q8356" s="19" t="str">
        <f>HYPERLINK("http://yeinfo.com/family/I09024352.html", "JOHN HOWE &lt;2&gt; 1530 EN-1591 EN ID:09048704")</f>
        <v>JOHN HOWE &lt;2&gt; 1530 EN-1591 EN ID:09048704</v>
      </c>
      <c r="R8356" s="9"/>
      <c r="S8356" s="9"/>
      <c r="T8356" s="9"/>
      <c r="U8356" s="9"/>
    </row>
    <row r="8357" spans="3:22" x14ac:dyDescent="0.35">
      <c r="C8357" s="15" t="s">
        <v>8</v>
      </c>
      <c r="H8357" s="15" t="s">
        <v>8</v>
      </c>
      <c r="J8357" s="15" t="s">
        <v>8</v>
      </c>
      <c r="K8357" s="15" t="s">
        <v>8</v>
      </c>
      <c r="Q8357" s="8" t="s">
        <v>3</v>
      </c>
      <c r="R8357" s="8" t="s">
        <v>6</v>
      </c>
    </row>
    <row r="8358" spans="3:22" x14ac:dyDescent="0.35">
      <c r="C8358" s="15" t="s">
        <v>8</v>
      </c>
      <c r="H8358" s="15" t="s">
        <v>8</v>
      </c>
      <c r="J8358" s="15" t="s">
        <v>8</v>
      </c>
      <c r="K8358" s="15" t="s">
        <v>8</v>
      </c>
      <c r="Q8358" s="15" t="s">
        <v>8</v>
      </c>
      <c r="R8358" s="20" t="str">
        <f>HYPERLINK("http://yeinfo.com/family/I09066695.html", "Mrs. {_?_} HOWE &lt;2&gt; 1501 EN-1530 EN ID:09066694")</f>
        <v>Mrs. {_?_} HOWE &lt;2&gt; 1501 EN-1530 EN ID:09066694</v>
      </c>
      <c r="S8358" s="17"/>
      <c r="T8358" s="17"/>
      <c r="U8358" s="17"/>
      <c r="V8358" s="17"/>
    </row>
    <row r="8359" spans="3:22" x14ac:dyDescent="0.35">
      <c r="C8359" s="15" t="s">
        <v>8</v>
      </c>
      <c r="H8359" s="15" t="s">
        <v>8</v>
      </c>
      <c r="J8359" s="15" t="s">
        <v>8</v>
      </c>
      <c r="K8359" s="15" t="s">
        <v>8</v>
      </c>
      <c r="Q8359" s="15" t="s">
        <v>8</v>
      </c>
    </row>
    <row r="8360" spans="3:22" x14ac:dyDescent="0.35">
      <c r="C8360" s="15" t="s">
        <v>8</v>
      </c>
      <c r="H8360" s="15" t="s">
        <v>8</v>
      </c>
      <c r="J8360" s="15" t="s">
        <v>8</v>
      </c>
      <c r="K8360" s="15" t="s">
        <v>8</v>
      </c>
      <c r="P8360" s="19" t="str">
        <f>HYPERLINK("http://yeinfo.com/family/I09012176.html", "ROBERT HOWE &lt;2&gt; 1570 EN-1632 EN ID:09024352")</f>
        <v>ROBERT HOWE &lt;2&gt; 1570 EN-1632 EN ID:09024352</v>
      </c>
      <c r="Q8360" s="9"/>
      <c r="R8360" s="9"/>
      <c r="S8360" s="9"/>
      <c r="T8360" s="9"/>
    </row>
    <row r="8361" spans="3:22" x14ac:dyDescent="0.35">
      <c r="C8361" s="15" t="s">
        <v>8</v>
      </c>
      <c r="H8361" s="15" t="s">
        <v>8</v>
      </c>
      <c r="J8361" s="15" t="s">
        <v>8</v>
      </c>
      <c r="K8361" s="15" t="s">
        <v>8</v>
      </c>
      <c r="P8361" s="8" t="s">
        <v>3</v>
      </c>
      <c r="Q8361" s="8" t="s">
        <v>6</v>
      </c>
    </row>
    <row r="8362" spans="3:22" x14ac:dyDescent="0.35">
      <c r="C8362" s="15" t="s">
        <v>8</v>
      </c>
      <c r="H8362" s="15" t="s">
        <v>8</v>
      </c>
      <c r="J8362" s="15" t="s">
        <v>8</v>
      </c>
      <c r="K8362" s="15" t="s">
        <v>8</v>
      </c>
      <c r="P8362" s="15" t="s">
        <v>8</v>
      </c>
      <c r="Q8362" s="20" t="str">
        <f>HYPERLINK("http://yeinfo.com/family/I09066694.html", "JOAN WELLES &lt;2&gt; 1542 EN-1591 EN ID:09048705")</f>
        <v>JOAN WELLES &lt;2&gt; 1542 EN-1591 EN ID:09048705</v>
      </c>
      <c r="R8362" s="17"/>
      <c r="S8362" s="17"/>
      <c r="T8362" s="17"/>
      <c r="U8362" s="17"/>
    </row>
    <row r="8363" spans="3:22" x14ac:dyDescent="0.35">
      <c r="C8363" s="15" t="s">
        <v>8</v>
      </c>
      <c r="H8363" s="15" t="s">
        <v>8</v>
      </c>
      <c r="J8363" s="15" t="s">
        <v>8</v>
      </c>
      <c r="K8363" s="15" t="s">
        <v>8</v>
      </c>
      <c r="P8363" s="15" t="s">
        <v>8</v>
      </c>
    </row>
    <row r="8364" spans="3:22" x14ac:dyDescent="0.35">
      <c r="C8364" s="15" t="s">
        <v>8</v>
      </c>
      <c r="H8364" s="15" t="s">
        <v>8</v>
      </c>
      <c r="J8364" s="15" t="s">
        <v>8</v>
      </c>
      <c r="K8364" s="15" t="s">
        <v>8</v>
      </c>
      <c r="O8364" s="21" t="str">
        <f>HYPERLINK("http://yeinfo.com/family/I09006088.html", "ABRAHAM HOWE Sr. 1600 EN-1676 MA ID:09012176")</f>
        <v>ABRAHAM HOWE Sr. 1600 EN-1676 MA ID:09012176</v>
      </c>
      <c r="P8364" s="6"/>
      <c r="Q8364" s="6"/>
      <c r="R8364" s="6"/>
      <c r="S8364" s="6"/>
    </row>
    <row r="8365" spans="3:22" x14ac:dyDescent="0.35">
      <c r="C8365" s="15" t="s">
        <v>8</v>
      </c>
      <c r="H8365" s="15" t="s">
        <v>8</v>
      </c>
      <c r="J8365" s="15" t="s">
        <v>8</v>
      </c>
      <c r="K8365" s="15" t="s">
        <v>8</v>
      </c>
      <c r="O8365" s="8" t="s">
        <v>3</v>
      </c>
      <c r="P8365" s="8" t="s">
        <v>6</v>
      </c>
    </row>
    <row r="8366" spans="3:22" x14ac:dyDescent="0.35">
      <c r="C8366" s="15" t="s">
        <v>8</v>
      </c>
      <c r="H8366" s="15" t="s">
        <v>8</v>
      </c>
      <c r="J8366" s="15" t="s">
        <v>8</v>
      </c>
      <c r="K8366" s="15" t="s">
        <v>8</v>
      </c>
      <c r="O8366" s="15" t="s">
        <v>8</v>
      </c>
      <c r="P8366" s="22" t="str">
        <f>HYPERLINK("http://yeinfo.com/family/I09048705.html", "EME INGOLD &lt;2&gt; 1577 EN-1634 MA ID:09024353")</f>
        <v>EME INGOLD &lt;2&gt; 1577 EN-1634 MA ID:09024353</v>
      </c>
      <c r="Q8366" s="13"/>
      <c r="R8366" s="13"/>
      <c r="S8366" s="13"/>
      <c r="T8366" s="13"/>
    </row>
    <row r="8367" spans="3:22" x14ac:dyDescent="0.35">
      <c r="C8367" s="15" t="s">
        <v>8</v>
      </c>
      <c r="H8367" s="15" t="s">
        <v>8</v>
      </c>
      <c r="J8367" s="15" t="s">
        <v>8</v>
      </c>
      <c r="K8367" s="15" t="s">
        <v>8</v>
      </c>
      <c r="O8367" s="15" t="s">
        <v>8</v>
      </c>
    </row>
    <row r="8368" spans="3:22" x14ac:dyDescent="0.35">
      <c r="C8368" s="15" t="s">
        <v>8</v>
      </c>
      <c r="H8368" s="15" t="s">
        <v>8</v>
      </c>
      <c r="J8368" s="15" t="s">
        <v>8</v>
      </c>
      <c r="K8368" s="15" t="s">
        <v>8</v>
      </c>
      <c r="N8368" s="21" t="str">
        <f>HYPERLINK("http://yeinfo.com/family/I09003044.html", "ABRAHAM HOWE Jr. 1633 EN-1683 MA ID:09006088")</f>
        <v>ABRAHAM HOWE Jr. 1633 EN-1683 MA ID:09006088</v>
      </c>
      <c r="O8368" s="6"/>
      <c r="P8368" s="6"/>
      <c r="Q8368" s="6"/>
      <c r="R8368" s="6"/>
    </row>
    <row r="8369" spans="3:24" x14ac:dyDescent="0.35">
      <c r="C8369" s="15" t="s">
        <v>8</v>
      </c>
      <c r="H8369" s="15" t="s">
        <v>8</v>
      </c>
      <c r="J8369" s="15" t="s">
        <v>8</v>
      </c>
      <c r="K8369" s="15" t="s">
        <v>8</v>
      </c>
      <c r="N8369" s="8" t="s">
        <v>3</v>
      </c>
      <c r="O8369" s="8" t="s">
        <v>6</v>
      </c>
    </row>
    <row r="8370" spans="3:24" x14ac:dyDescent="0.35">
      <c r="C8370" s="15" t="s">
        <v>8</v>
      </c>
      <c r="H8370" s="15" t="s">
        <v>8</v>
      </c>
      <c r="J8370" s="15" t="s">
        <v>8</v>
      </c>
      <c r="K8370" s="15" t="s">
        <v>8</v>
      </c>
      <c r="N8370" s="15" t="s">
        <v>8</v>
      </c>
      <c r="O8370" s="22" t="str">
        <f>HYPERLINK("http://yeinfo.com/family/I09024353.html", "Mrs. ELIZABETH HOWE 1605 EN-1645 MA ID:09012177")</f>
        <v>Mrs. ELIZABETH HOWE 1605 EN-1645 MA ID:09012177</v>
      </c>
      <c r="P8370" s="13"/>
      <c r="Q8370" s="13"/>
      <c r="R8370" s="13"/>
      <c r="S8370" s="13"/>
    </row>
    <row r="8371" spans="3:24" x14ac:dyDescent="0.35">
      <c r="C8371" s="15" t="s">
        <v>8</v>
      </c>
      <c r="H8371" s="15" t="s">
        <v>8</v>
      </c>
      <c r="J8371" s="15" t="s">
        <v>8</v>
      </c>
      <c r="K8371" s="15" t="s">
        <v>8</v>
      </c>
      <c r="N8371" s="15" t="s">
        <v>8</v>
      </c>
    </row>
    <row r="8372" spans="3:24" x14ac:dyDescent="0.35">
      <c r="C8372" s="15" t="s">
        <v>8</v>
      </c>
      <c r="H8372" s="15" t="s">
        <v>8</v>
      </c>
      <c r="J8372" s="15" t="s">
        <v>8</v>
      </c>
      <c r="K8372" s="15" t="s">
        <v>8</v>
      </c>
      <c r="M8372" s="5" t="str">
        <f>HYPERLINK("http://yeinfo.com/family/I09001522.html", "ISAAC HOWE 1656 MA-1718 MA ID:09003044")</f>
        <v>ISAAC HOWE 1656 MA-1718 MA ID:09003044</v>
      </c>
      <c r="N8372" s="3"/>
      <c r="O8372" s="3"/>
      <c r="P8372" s="3"/>
      <c r="Q8372" s="3"/>
    </row>
    <row r="8373" spans="3:24" x14ac:dyDescent="0.35">
      <c r="C8373" s="15" t="s">
        <v>8</v>
      </c>
      <c r="H8373" s="15" t="s">
        <v>8</v>
      </c>
      <c r="J8373" s="15" t="s">
        <v>8</v>
      </c>
      <c r="K8373" s="15" t="s">
        <v>8</v>
      </c>
      <c r="M8373" s="8" t="s">
        <v>3</v>
      </c>
      <c r="N8373" s="15" t="s">
        <v>8</v>
      </c>
    </row>
    <row r="8374" spans="3:24" x14ac:dyDescent="0.35">
      <c r="C8374" s="15" t="s">
        <v>8</v>
      </c>
      <c r="H8374" s="15" t="s">
        <v>8</v>
      </c>
      <c r="J8374" s="15" t="s">
        <v>8</v>
      </c>
      <c r="K8374" s="15" t="s">
        <v>8</v>
      </c>
      <c r="M8374" s="15" t="s">
        <v>8</v>
      </c>
      <c r="N8374" s="15" t="s">
        <v>8</v>
      </c>
      <c r="Q8374" s="19" t="str">
        <f>HYPERLINK("http://yeinfo.com/family/I09024356.html", "JOHN THOMAS MATTOCKS 1563 EN-1626 EN ID:09048712")</f>
        <v>JOHN THOMAS MATTOCKS 1563 EN-1626 EN ID:09048712</v>
      </c>
      <c r="R8374" s="9"/>
      <c r="S8374" s="9"/>
      <c r="T8374" s="9"/>
      <c r="U8374" s="9"/>
    </row>
    <row r="8375" spans="3:24" x14ac:dyDescent="0.35">
      <c r="C8375" s="15" t="s">
        <v>8</v>
      </c>
      <c r="H8375" s="15" t="s">
        <v>8</v>
      </c>
      <c r="J8375" s="15" t="s">
        <v>8</v>
      </c>
      <c r="K8375" s="15" t="s">
        <v>8</v>
      </c>
      <c r="M8375" s="15" t="s">
        <v>8</v>
      </c>
      <c r="N8375" s="15" t="s">
        <v>8</v>
      </c>
      <c r="Q8375" s="8" t="s">
        <v>3</v>
      </c>
    </row>
    <row r="8376" spans="3:24" x14ac:dyDescent="0.35">
      <c r="C8376" s="15" t="s">
        <v>8</v>
      </c>
      <c r="H8376" s="15" t="s">
        <v>8</v>
      </c>
      <c r="J8376" s="15" t="s">
        <v>8</v>
      </c>
      <c r="K8376" s="15" t="s">
        <v>8</v>
      </c>
      <c r="M8376" s="15" t="s">
        <v>8</v>
      </c>
      <c r="N8376" s="15" t="s">
        <v>8</v>
      </c>
      <c r="P8376" s="21" t="str">
        <f>HYPERLINK("http://yeinfo.com/family/I09012178.html", "JAMES MATTOCKS Sr. 1583 EN-1667 MA ID:09024356")</f>
        <v>JAMES MATTOCKS Sr. 1583 EN-1667 MA ID:09024356</v>
      </c>
      <c r="Q8376" s="6"/>
      <c r="R8376" s="6"/>
      <c r="S8376" s="6"/>
      <c r="T8376" s="6"/>
    </row>
    <row r="8377" spans="3:24" x14ac:dyDescent="0.35">
      <c r="C8377" s="15" t="s">
        <v>8</v>
      </c>
      <c r="H8377" s="15" t="s">
        <v>8</v>
      </c>
      <c r="J8377" s="15" t="s">
        <v>8</v>
      </c>
      <c r="K8377" s="15" t="s">
        <v>8</v>
      </c>
      <c r="M8377" s="15" t="s">
        <v>8</v>
      </c>
      <c r="N8377" s="15" t="s">
        <v>8</v>
      </c>
      <c r="P8377" s="8" t="s">
        <v>3</v>
      </c>
      <c r="Q8377" s="8" t="s">
        <v>6</v>
      </c>
    </row>
    <row r="8378" spans="3:24" x14ac:dyDescent="0.35">
      <c r="C8378" s="15" t="s">
        <v>8</v>
      </c>
      <c r="H8378" s="15" t="s">
        <v>8</v>
      </c>
      <c r="J8378" s="15" t="s">
        <v>8</v>
      </c>
      <c r="K8378" s="15" t="s">
        <v>8</v>
      </c>
      <c r="M8378" s="15" t="s">
        <v>8</v>
      </c>
      <c r="N8378" s="15" t="s">
        <v>8</v>
      </c>
      <c r="P8378" s="15" t="s">
        <v>8</v>
      </c>
      <c r="Q8378" s="20" t="str">
        <f>HYPERLINK("http://yeinfo.com/family/I09048712.html", "MARGARET ASSEKENNE 1565 EN-1614 EN ID:09048713")</f>
        <v>MARGARET ASSEKENNE 1565 EN-1614 EN ID:09048713</v>
      </c>
      <c r="R8378" s="17"/>
      <c r="S8378" s="17"/>
      <c r="T8378" s="17"/>
      <c r="U8378" s="17"/>
    </row>
    <row r="8379" spans="3:24" x14ac:dyDescent="0.35">
      <c r="C8379" s="15" t="s">
        <v>8</v>
      </c>
      <c r="H8379" s="15" t="s">
        <v>8</v>
      </c>
      <c r="J8379" s="15" t="s">
        <v>8</v>
      </c>
      <c r="K8379" s="15" t="s">
        <v>8</v>
      </c>
      <c r="M8379" s="15" t="s">
        <v>8</v>
      </c>
      <c r="N8379" s="15" t="s">
        <v>8</v>
      </c>
      <c r="P8379" s="15" t="s">
        <v>8</v>
      </c>
    </row>
    <row r="8380" spans="3:24" x14ac:dyDescent="0.35">
      <c r="C8380" s="15" t="s">
        <v>8</v>
      </c>
      <c r="H8380" s="15" t="s">
        <v>8</v>
      </c>
      <c r="J8380" s="15" t="s">
        <v>8</v>
      </c>
      <c r="K8380" s="15" t="s">
        <v>8</v>
      </c>
      <c r="M8380" s="15" t="s">
        <v>8</v>
      </c>
      <c r="N8380" s="15" t="s">
        <v>8</v>
      </c>
      <c r="O8380" s="21" t="str">
        <f>HYPERLINK("http://yeinfo.com/family/I09006089.html", "JAMES MATTOCKS Jr. 1600 EN-1667 MA ID:09012178")</f>
        <v>JAMES MATTOCKS Jr. 1600 EN-1667 MA ID:09012178</v>
      </c>
      <c r="P8380" s="6"/>
      <c r="Q8380" s="6"/>
      <c r="R8380" s="6"/>
      <c r="S8380" s="6"/>
    </row>
    <row r="8381" spans="3:24" x14ac:dyDescent="0.35">
      <c r="C8381" s="15" t="s">
        <v>8</v>
      </c>
      <c r="H8381" s="15" t="s">
        <v>8</v>
      </c>
      <c r="J8381" s="15" t="s">
        <v>8</v>
      </c>
      <c r="K8381" s="15" t="s">
        <v>8</v>
      </c>
      <c r="M8381" s="15" t="s">
        <v>8</v>
      </c>
      <c r="N8381" s="15" t="s">
        <v>8</v>
      </c>
      <c r="O8381" s="8" t="s">
        <v>3</v>
      </c>
      <c r="P8381" s="15" t="s">
        <v>8</v>
      </c>
    </row>
    <row r="8382" spans="3:24" x14ac:dyDescent="0.35">
      <c r="C8382" s="15" t="s">
        <v>8</v>
      </c>
      <c r="H8382" s="15" t="s">
        <v>8</v>
      </c>
      <c r="J8382" s="15" t="s">
        <v>8</v>
      </c>
      <c r="K8382" s="15" t="s">
        <v>8</v>
      </c>
      <c r="M8382" s="15" t="s">
        <v>8</v>
      </c>
      <c r="N8382" s="15" t="s">
        <v>8</v>
      </c>
      <c r="O8382" s="15" t="s">
        <v>8</v>
      </c>
      <c r="P8382" s="15" t="s">
        <v>8</v>
      </c>
      <c r="T8382" s="21" t="str">
        <f>HYPERLINK("http://yeinfo.com/family/I09066699.html", "THOMAS PIERCE Sr. 1583 EN-1666 MA ID:09066700")</f>
        <v>THOMAS PIERCE Sr. 1583 EN-1666 MA ID:09066700</v>
      </c>
      <c r="U8382" s="6"/>
      <c r="V8382" s="6"/>
      <c r="W8382" s="6"/>
      <c r="X8382" s="6"/>
    </row>
    <row r="8383" spans="3:24" x14ac:dyDescent="0.35">
      <c r="C8383" s="15" t="s">
        <v>8</v>
      </c>
      <c r="H8383" s="15" t="s">
        <v>8</v>
      </c>
      <c r="J8383" s="15" t="s">
        <v>8</v>
      </c>
      <c r="K8383" s="15" t="s">
        <v>8</v>
      </c>
      <c r="M8383" s="15" t="s">
        <v>8</v>
      </c>
      <c r="N8383" s="15" t="s">
        <v>8</v>
      </c>
      <c r="O8383" s="15" t="s">
        <v>8</v>
      </c>
      <c r="P8383" s="15" t="s">
        <v>8</v>
      </c>
      <c r="T8383" s="8" t="s">
        <v>3</v>
      </c>
    </row>
    <row r="8384" spans="3:24" x14ac:dyDescent="0.35">
      <c r="C8384" s="15" t="s">
        <v>8</v>
      </c>
      <c r="H8384" s="15" t="s">
        <v>8</v>
      </c>
      <c r="J8384" s="15" t="s">
        <v>8</v>
      </c>
      <c r="K8384" s="15" t="s">
        <v>8</v>
      </c>
      <c r="M8384" s="15" t="s">
        <v>8</v>
      </c>
      <c r="N8384" s="15" t="s">
        <v>8</v>
      </c>
      <c r="O8384" s="15" t="s">
        <v>8</v>
      </c>
      <c r="P8384" s="15" t="s">
        <v>8</v>
      </c>
      <c r="S8384" s="21" t="str">
        <f>HYPERLINK("http://yeinfo.com/family/I09066698.html", "THOMAS PIERCE Jr. 1612 EN-1683 MA ID:09066699")</f>
        <v>THOMAS PIERCE Jr. 1612 EN-1683 MA ID:09066699</v>
      </c>
      <c r="T8384" s="6"/>
      <c r="U8384" s="6"/>
      <c r="V8384" s="6"/>
      <c r="W8384" s="6"/>
    </row>
    <row r="8385" spans="3:28" x14ac:dyDescent="0.35">
      <c r="C8385" s="15" t="s">
        <v>8</v>
      </c>
      <c r="H8385" s="15" t="s">
        <v>8</v>
      </c>
      <c r="J8385" s="15" t="s">
        <v>8</v>
      </c>
      <c r="K8385" s="15" t="s">
        <v>8</v>
      </c>
      <c r="M8385" s="15" t="s">
        <v>8</v>
      </c>
      <c r="N8385" s="15" t="s">
        <v>8</v>
      </c>
      <c r="O8385" s="15" t="s">
        <v>8</v>
      </c>
      <c r="P8385" s="15" t="s">
        <v>8</v>
      </c>
      <c r="S8385" s="8" t="s">
        <v>3</v>
      </c>
      <c r="T8385" s="8" t="s">
        <v>6</v>
      </c>
    </row>
    <row r="8386" spans="3:28" x14ac:dyDescent="0.35">
      <c r="C8386" s="15" t="s">
        <v>8</v>
      </c>
      <c r="H8386" s="15" t="s">
        <v>8</v>
      </c>
      <c r="J8386" s="15" t="s">
        <v>8</v>
      </c>
      <c r="K8386" s="15" t="s">
        <v>8</v>
      </c>
      <c r="M8386" s="15" t="s">
        <v>8</v>
      </c>
      <c r="N8386" s="15" t="s">
        <v>8</v>
      </c>
      <c r="O8386" s="15" t="s">
        <v>8</v>
      </c>
      <c r="P8386" s="15" t="s">
        <v>8</v>
      </c>
      <c r="S8386" s="15" t="s">
        <v>8</v>
      </c>
      <c r="T8386" s="22" t="str">
        <f>HYPERLINK("http://yeinfo.com/family/I09066700.html", "ELIZABETH CAREW 1596 EN-1667 MA ID:09066687")</f>
        <v>ELIZABETH CAREW 1596 EN-1667 MA ID:09066687</v>
      </c>
      <c r="U8386" s="13"/>
      <c r="V8386" s="13"/>
      <c r="W8386" s="13"/>
      <c r="X8386" s="13"/>
    </row>
    <row r="8387" spans="3:28" x14ac:dyDescent="0.35">
      <c r="C8387" s="15" t="s">
        <v>8</v>
      </c>
      <c r="H8387" s="15" t="s">
        <v>8</v>
      </c>
      <c r="J8387" s="15" t="s">
        <v>8</v>
      </c>
      <c r="K8387" s="15" t="s">
        <v>8</v>
      </c>
      <c r="M8387" s="15" t="s">
        <v>8</v>
      </c>
      <c r="N8387" s="15" t="s">
        <v>8</v>
      </c>
      <c r="O8387" s="15" t="s">
        <v>8</v>
      </c>
      <c r="P8387" s="15" t="s">
        <v>8</v>
      </c>
      <c r="S8387" s="15" t="s">
        <v>8</v>
      </c>
    </row>
    <row r="8388" spans="3:28" x14ac:dyDescent="0.35">
      <c r="C8388" s="15" t="s">
        <v>8</v>
      </c>
      <c r="H8388" s="15" t="s">
        <v>8</v>
      </c>
      <c r="J8388" s="15" t="s">
        <v>8</v>
      </c>
      <c r="K8388" s="15" t="s">
        <v>8</v>
      </c>
      <c r="M8388" s="15" t="s">
        <v>8</v>
      </c>
      <c r="N8388" s="15" t="s">
        <v>8</v>
      </c>
      <c r="O8388" s="15" t="s">
        <v>8</v>
      </c>
      <c r="P8388" s="15" t="s">
        <v>8</v>
      </c>
      <c r="R8388" s="5" t="str">
        <f>HYPERLINK("http://yeinfo.com/family/I09048714.html", "SAMUEL THOMAS PIERCE 1656 MA-1721 MA ID:09066698")</f>
        <v>SAMUEL THOMAS PIERCE 1656 MA-1721 MA ID:09066698</v>
      </c>
      <c r="S8388" s="3"/>
      <c r="T8388" s="3"/>
      <c r="U8388" s="3"/>
      <c r="V8388" s="3"/>
    </row>
    <row r="8389" spans="3:28" x14ac:dyDescent="0.35">
      <c r="C8389" s="15" t="s">
        <v>8</v>
      </c>
      <c r="H8389" s="15" t="s">
        <v>8</v>
      </c>
      <c r="J8389" s="15" t="s">
        <v>8</v>
      </c>
      <c r="K8389" s="15" t="s">
        <v>8</v>
      </c>
      <c r="M8389" s="15" t="s">
        <v>8</v>
      </c>
      <c r="N8389" s="15" t="s">
        <v>8</v>
      </c>
      <c r="O8389" s="15" t="s">
        <v>8</v>
      </c>
      <c r="P8389" s="15" t="s">
        <v>8</v>
      </c>
      <c r="R8389" s="8" t="s">
        <v>3</v>
      </c>
      <c r="S8389" s="15" t="s">
        <v>8</v>
      </c>
    </row>
    <row r="8390" spans="3:28" x14ac:dyDescent="0.35">
      <c r="C8390" s="15" t="s">
        <v>8</v>
      </c>
      <c r="H8390" s="15" t="s">
        <v>8</v>
      </c>
      <c r="J8390" s="15" t="s">
        <v>8</v>
      </c>
      <c r="K8390" s="15" t="s">
        <v>8</v>
      </c>
      <c r="M8390" s="15" t="s">
        <v>8</v>
      </c>
      <c r="N8390" s="15" t="s">
        <v>8</v>
      </c>
      <c r="O8390" s="15" t="s">
        <v>8</v>
      </c>
      <c r="P8390" s="15" t="s">
        <v>8</v>
      </c>
      <c r="R8390" s="15" t="s">
        <v>8</v>
      </c>
      <c r="S8390" s="15" t="s">
        <v>8</v>
      </c>
      <c r="T8390" s="21" t="str">
        <f>HYPERLINK("http://yeinfo.com/family/I09066688.html", "RICE COLE 1587 EN-1646 MA ID:09066689")</f>
        <v>RICE COLE 1587 EN-1646 MA ID:09066689</v>
      </c>
      <c r="U8390" s="6"/>
      <c r="V8390" s="6"/>
      <c r="W8390" s="6"/>
      <c r="X8390" s="6"/>
    </row>
    <row r="8391" spans="3:28" x14ac:dyDescent="0.35">
      <c r="C8391" s="15" t="s">
        <v>8</v>
      </c>
      <c r="H8391" s="15" t="s">
        <v>8</v>
      </c>
      <c r="J8391" s="15" t="s">
        <v>8</v>
      </c>
      <c r="K8391" s="15" t="s">
        <v>8</v>
      </c>
      <c r="M8391" s="15" t="s">
        <v>8</v>
      </c>
      <c r="N8391" s="15" t="s">
        <v>8</v>
      </c>
      <c r="O8391" s="15" t="s">
        <v>8</v>
      </c>
      <c r="P8391" s="15" t="s">
        <v>8</v>
      </c>
      <c r="R8391" s="15" t="s">
        <v>8</v>
      </c>
      <c r="S8391" s="8" t="s">
        <v>6</v>
      </c>
      <c r="T8391" s="8" t="s">
        <v>3</v>
      </c>
    </row>
    <row r="8392" spans="3:28" x14ac:dyDescent="0.35">
      <c r="C8392" s="15" t="s">
        <v>8</v>
      </c>
      <c r="H8392" s="15" t="s">
        <v>8</v>
      </c>
      <c r="J8392" s="15" t="s">
        <v>8</v>
      </c>
      <c r="K8392" s="15" t="s">
        <v>8</v>
      </c>
      <c r="M8392" s="15" t="s">
        <v>8</v>
      </c>
      <c r="N8392" s="15" t="s">
        <v>8</v>
      </c>
      <c r="O8392" s="15" t="s">
        <v>8</v>
      </c>
      <c r="P8392" s="15" t="s">
        <v>8</v>
      </c>
      <c r="R8392" s="15" t="s">
        <v>8</v>
      </c>
      <c r="S8392" s="22" t="str">
        <f>HYPERLINK("http://yeinfo.com/family/I09066687.html", "ELIZABETH COLE 1619 EN-1688 MA ID:09066688")</f>
        <v>ELIZABETH COLE 1619 EN-1688 MA ID:09066688</v>
      </c>
      <c r="T8392" s="13"/>
      <c r="U8392" s="13"/>
      <c r="V8392" s="13"/>
      <c r="W8392" s="13"/>
    </row>
    <row r="8393" spans="3:28" x14ac:dyDescent="0.35">
      <c r="C8393" s="15" t="s">
        <v>8</v>
      </c>
      <c r="H8393" s="15" t="s">
        <v>8</v>
      </c>
      <c r="J8393" s="15" t="s">
        <v>8</v>
      </c>
      <c r="K8393" s="15" t="s">
        <v>8</v>
      </c>
      <c r="M8393" s="15" t="s">
        <v>8</v>
      </c>
      <c r="N8393" s="15" t="s">
        <v>8</v>
      </c>
      <c r="O8393" s="15" t="s">
        <v>8</v>
      </c>
      <c r="P8393" s="15" t="s">
        <v>8</v>
      </c>
      <c r="R8393" s="15" t="s">
        <v>8</v>
      </c>
      <c r="T8393" s="8" t="s">
        <v>6</v>
      </c>
    </row>
    <row r="8394" spans="3:28" x14ac:dyDescent="0.35">
      <c r="C8394" s="15" t="s">
        <v>8</v>
      </c>
      <c r="H8394" s="15" t="s">
        <v>8</v>
      </c>
      <c r="J8394" s="15" t="s">
        <v>8</v>
      </c>
      <c r="K8394" s="15" t="s">
        <v>8</v>
      </c>
      <c r="M8394" s="15" t="s">
        <v>8</v>
      </c>
      <c r="N8394" s="15" t="s">
        <v>8</v>
      </c>
      <c r="O8394" s="15" t="s">
        <v>8</v>
      </c>
      <c r="P8394" s="15" t="s">
        <v>8</v>
      </c>
      <c r="R8394" s="15" t="s">
        <v>8</v>
      </c>
      <c r="T8394" s="22" t="str">
        <f>HYPERLINK("http://yeinfo.com/family/I09066689.html", "ARRALD DUNNINGTON 1587 EN-1661 MA ID:09066690")</f>
        <v>ARRALD DUNNINGTON 1587 EN-1661 MA ID:09066690</v>
      </c>
      <c r="U8394" s="13"/>
      <c r="V8394" s="13"/>
      <c r="W8394" s="13"/>
      <c r="X8394" s="13"/>
    </row>
    <row r="8395" spans="3:28" x14ac:dyDescent="0.35">
      <c r="C8395" s="15" t="s">
        <v>8</v>
      </c>
      <c r="H8395" s="15" t="s">
        <v>8</v>
      </c>
      <c r="J8395" s="15" t="s">
        <v>8</v>
      </c>
      <c r="K8395" s="15" t="s">
        <v>8</v>
      </c>
      <c r="M8395" s="15" t="s">
        <v>8</v>
      </c>
      <c r="N8395" s="15" t="s">
        <v>8</v>
      </c>
      <c r="O8395" s="15" t="s">
        <v>8</v>
      </c>
      <c r="P8395" s="15" t="s">
        <v>8</v>
      </c>
      <c r="R8395" s="15" t="s">
        <v>8</v>
      </c>
    </row>
    <row r="8396" spans="3:28" x14ac:dyDescent="0.35">
      <c r="C8396" s="15" t="s">
        <v>8</v>
      </c>
      <c r="H8396" s="15" t="s">
        <v>8</v>
      </c>
      <c r="J8396" s="15" t="s">
        <v>8</v>
      </c>
      <c r="K8396" s="15" t="s">
        <v>8</v>
      </c>
      <c r="M8396" s="15" t="s">
        <v>8</v>
      </c>
      <c r="N8396" s="15" t="s">
        <v>8</v>
      </c>
      <c r="O8396" s="15" t="s">
        <v>8</v>
      </c>
      <c r="P8396" s="15" t="s">
        <v>8</v>
      </c>
      <c r="Q8396" s="5" t="str">
        <f>HYPERLINK("http://yeinfo.com/family/I09024357.html", "ISAAC PIERCE Sr. 1687 MA-1722 MA ID:09048714")</f>
        <v>ISAAC PIERCE Sr. 1687 MA-1722 MA ID:09048714</v>
      </c>
      <c r="R8396" s="3"/>
      <c r="S8396" s="3"/>
      <c r="T8396" s="3"/>
      <c r="U8396" s="3"/>
    </row>
    <row r="8397" spans="3:28" x14ac:dyDescent="0.35">
      <c r="C8397" s="15" t="s">
        <v>8</v>
      </c>
      <c r="H8397" s="15" t="s">
        <v>8</v>
      </c>
      <c r="J8397" s="15" t="s">
        <v>8</v>
      </c>
      <c r="K8397" s="15" t="s">
        <v>8</v>
      </c>
      <c r="M8397" s="15" t="s">
        <v>8</v>
      </c>
      <c r="N8397" s="15" t="s">
        <v>8</v>
      </c>
      <c r="O8397" s="15" t="s">
        <v>8</v>
      </c>
      <c r="P8397" s="15" t="s">
        <v>8</v>
      </c>
      <c r="Q8397" s="8" t="s">
        <v>3</v>
      </c>
      <c r="R8397" s="15" t="s">
        <v>8</v>
      </c>
    </row>
    <row r="8398" spans="3:28" x14ac:dyDescent="0.35">
      <c r="C8398" s="15" t="s">
        <v>8</v>
      </c>
      <c r="H8398" s="15" t="s">
        <v>8</v>
      </c>
      <c r="J8398" s="15" t="s">
        <v>8</v>
      </c>
      <c r="K8398" s="15" t="s">
        <v>8</v>
      </c>
      <c r="M8398" s="15" t="s">
        <v>8</v>
      </c>
      <c r="N8398" s="15" t="s">
        <v>8</v>
      </c>
      <c r="O8398" s="15" t="s">
        <v>8</v>
      </c>
      <c r="P8398" s="15" t="s">
        <v>8</v>
      </c>
      <c r="Q8398" s="15" t="s">
        <v>8</v>
      </c>
      <c r="R8398" s="15" t="s">
        <v>8</v>
      </c>
      <c r="X8398" s="19" t="str">
        <f>HYPERLINK("http://yeinfo.com/family/I09066747.html", "JOHN BACON 1454 EN-1535 EN ID:09066749")</f>
        <v>JOHN BACON 1454 EN-1535 EN ID:09066749</v>
      </c>
      <c r="Y8398" s="9"/>
      <c r="Z8398" s="9"/>
      <c r="AA8398" s="9"/>
      <c r="AB8398" s="9"/>
    </row>
    <row r="8399" spans="3:28" x14ac:dyDescent="0.35">
      <c r="C8399" s="15" t="s">
        <v>8</v>
      </c>
      <c r="H8399" s="15" t="s">
        <v>8</v>
      </c>
      <c r="J8399" s="15" t="s">
        <v>8</v>
      </c>
      <c r="K8399" s="15" t="s">
        <v>8</v>
      </c>
      <c r="M8399" s="15" t="s">
        <v>8</v>
      </c>
      <c r="N8399" s="15" t="s">
        <v>8</v>
      </c>
      <c r="O8399" s="15" t="s">
        <v>8</v>
      </c>
      <c r="P8399" s="15" t="s">
        <v>8</v>
      </c>
      <c r="Q8399" s="15" t="s">
        <v>8</v>
      </c>
      <c r="R8399" s="15" t="s">
        <v>8</v>
      </c>
      <c r="X8399" s="8" t="s">
        <v>3</v>
      </c>
    </row>
    <row r="8400" spans="3:28" x14ac:dyDescent="0.35">
      <c r="C8400" s="15" t="s">
        <v>8</v>
      </c>
      <c r="H8400" s="15" t="s">
        <v>8</v>
      </c>
      <c r="J8400" s="15" t="s">
        <v>8</v>
      </c>
      <c r="K8400" s="15" t="s">
        <v>8</v>
      </c>
      <c r="M8400" s="15" t="s">
        <v>8</v>
      </c>
      <c r="N8400" s="15" t="s">
        <v>8</v>
      </c>
      <c r="O8400" s="15" t="s">
        <v>8</v>
      </c>
      <c r="P8400" s="15" t="s">
        <v>8</v>
      </c>
      <c r="Q8400" s="15" t="s">
        <v>8</v>
      </c>
      <c r="R8400" s="15" t="s">
        <v>8</v>
      </c>
      <c r="W8400" s="19" t="str">
        <f>HYPERLINK("http://yeinfo.com/family/I09066745.html", "THOMAS BACON 1480 EN-1535 EN ID:09066747")</f>
        <v>THOMAS BACON 1480 EN-1535 EN ID:09066747</v>
      </c>
      <c r="X8400" s="9"/>
      <c r="Y8400" s="9"/>
      <c r="Z8400" s="9"/>
      <c r="AA8400" s="9"/>
    </row>
    <row r="8401" spans="3:28" x14ac:dyDescent="0.35">
      <c r="C8401" s="15" t="s">
        <v>8</v>
      </c>
      <c r="H8401" s="15" t="s">
        <v>8</v>
      </c>
      <c r="J8401" s="15" t="s">
        <v>8</v>
      </c>
      <c r="K8401" s="15" t="s">
        <v>8</v>
      </c>
      <c r="M8401" s="15" t="s">
        <v>8</v>
      </c>
      <c r="N8401" s="15" t="s">
        <v>8</v>
      </c>
      <c r="O8401" s="15" t="s">
        <v>8</v>
      </c>
      <c r="P8401" s="15" t="s">
        <v>8</v>
      </c>
      <c r="Q8401" s="15" t="s">
        <v>8</v>
      </c>
      <c r="R8401" s="15" t="s">
        <v>8</v>
      </c>
      <c r="W8401" s="8" t="s">
        <v>3</v>
      </c>
      <c r="X8401" s="8" t="s">
        <v>6</v>
      </c>
    </row>
    <row r="8402" spans="3:28" x14ac:dyDescent="0.35">
      <c r="C8402" s="15" t="s">
        <v>8</v>
      </c>
      <c r="H8402" s="15" t="s">
        <v>8</v>
      </c>
      <c r="J8402" s="15" t="s">
        <v>8</v>
      </c>
      <c r="K8402" s="15" t="s">
        <v>8</v>
      </c>
      <c r="M8402" s="15" t="s">
        <v>8</v>
      </c>
      <c r="N8402" s="15" t="s">
        <v>8</v>
      </c>
      <c r="O8402" s="15" t="s">
        <v>8</v>
      </c>
      <c r="P8402" s="15" t="s">
        <v>8</v>
      </c>
      <c r="Q8402" s="15" t="s">
        <v>8</v>
      </c>
      <c r="R8402" s="15" t="s">
        <v>8</v>
      </c>
      <c r="W8402" s="15" t="s">
        <v>8</v>
      </c>
      <c r="X8402" s="20" t="str">
        <f>HYPERLINK("http://yeinfo.com/family/I09066749.html", "AGNES COKESFIELD 1457 EN-1503 EN ID:09066750")</f>
        <v>AGNES COKESFIELD 1457 EN-1503 EN ID:09066750</v>
      </c>
      <c r="Y8402" s="17"/>
      <c r="Z8402" s="17"/>
      <c r="AA8402" s="17"/>
      <c r="AB8402" s="17"/>
    </row>
    <row r="8403" spans="3:28" x14ac:dyDescent="0.35">
      <c r="C8403" s="15" t="s">
        <v>8</v>
      </c>
      <c r="H8403" s="15" t="s">
        <v>8</v>
      </c>
      <c r="J8403" s="15" t="s">
        <v>8</v>
      </c>
      <c r="K8403" s="15" t="s">
        <v>8</v>
      </c>
      <c r="M8403" s="15" t="s">
        <v>8</v>
      </c>
      <c r="N8403" s="15" t="s">
        <v>8</v>
      </c>
      <c r="O8403" s="15" t="s">
        <v>8</v>
      </c>
      <c r="P8403" s="15" t="s">
        <v>8</v>
      </c>
      <c r="Q8403" s="15" t="s">
        <v>8</v>
      </c>
      <c r="R8403" s="15" t="s">
        <v>8</v>
      </c>
      <c r="W8403" s="15" t="s">
        <v>8</v>
      </c>
    </row>
    <row r="8404" spans="3:28" x14ac:dyDescent="0.35">
      <c r="C8404" s="15" t="s">
        <v>8</v>
      </c>
      <c r="H8404" s="15" t="s">
        <v>8</v>
      </c>
      <c r="J8404" s="15" t="s">
        <v>8</v>
      </c>
      <c r="K8404" s="15" t="s">
        <v>8</v>
      </c>
      <c r="M8404" s="15" t="s">
        <v>8</v>
      </c>
      <c r="N8404" s="15" t="s">
        <v>8</v>
      </c>
      <c r="O8404" s="15" t="s">
        <v>8</v>
      </c>
      <c r="P8404" s="15" t="s">
        <v>8</v>
      </c>
      <c r="Q8404" s="15" t="s">
        <v>8</v>
      </c>
      <c r="R8404" s="15" t="s">
        <v>8</v>
      </c>
      <c r="V8404" s="19" t="str">
        <f>HYPERLINK("http://yeinfo.com/family/I09066686.html", "JOHN BACON 1507 EN-1557 EN ID:09066745")</f>
        <v>JOHN BACON 1507 EN-1557 EN ID:09066745</v>
      </c>
      <c r="W8404" s="9"/>
      <c r="X8404" s="9"/>
      <c r="Y8404" s="9"/>
      <c r="Z8404" s="9"/>
    </row>
    <row r="8405" spans="3:28" x14ac:dyDescent="0.35">
      <c r="C8405" s="15" t="s">
        <v>8</v>
      </c>
      <c r="H8405" s="15" t="s">
        <v>8</v>
      </c>
      <c r="J8405" s="15" t="s">
        <v>8</v>
      </c>
      <c r="K8405" s="15" t="s">
        <v>8</v>
      </c>
      <c r="M8405" s="15" t="s">
        <v>8</v>
      </c>
      <c r="N8405" s="15" t="s">
        <v>8</v>
      </c>
      <c r="O8405" s="15" t="s">
        <v>8</v>
      </c>
      <c r="P8405" s="15" t="s">
        <v>8</v>
      </c>
      <c r="Q8405" s="15" t="s">
        <v>8</v>
      </c>
      <c r="R8405" s="15" t="s">
        <v>8</v>
      </c>
      <c r="V8405" s="8" t="s">
        <v>3</v>
      </c>
      <c r="W8405" s="8" t="s">
        <v>6</v>
      </c>
    </row>
    <row r="8406" spans="3:28" x14ac:dyDescent="0.35">
      <c r="C8406" s="15" t="s">
        <v>8</v>
      </c>
      <c r="H8406" s="15" t="s">
        <v>8</v>
      </c>
      <c r="J8406" s="15" t="s">
        <v>8</v>
      </c>
      <c r="K8406" s="15" t="s">
        <v>8</v>
      </c>
      <c r="M8406" s="15" t="s">
        <v>8</v>
      </c>
      <c r="N8406" s="15" t="s">
        <v>8</v>
      </c>
      <c r="O8406" s="15" t="s">
        <v>8</v>
      </c>
      <c r="P8406" s="15" t="s">
        <v>8</v>
      </c>
      <c r="Q8406" s="15" t="s">
        <v>8</v>
      </c>
      <c r="R8406" s="15" t="s">
        <v>8</v>
      </c>
      <c r="V8406" s="15" t="s">
        <v>8</v>
      </c>
      <c r="W8406" s="20" t="str">
        <f>HYPERLINK("http://yeinfo.com/family/I09066750.html", "JOHANNA WADE 1484 EN-1540 EN ID:09066748")</f>
        <v>JOHANNA WADE 1484 EN-1540 EN ID:09066748</v>
      </c>
      <c r="X8406" s="17"/>
      <c r="Y8406" s="17"/>
      <c r="Z8406" s="17"/>
      <c r="AA8406" s="17"/>
    </row>
    <row r="8407" spans="3:28" x14ac:dyDescent="0.35">
      <c r="C8407" s="15" t="s">
        <v>8</v>
      </c>
      <c r="H8407" s="15" t="s">
        <v>8</v>
      </c>
      <c r="J8407" s="15" t="s">
        <v>8</v>
      </c>
      <c r="K8407" s="15" t="s">
        <v>8</v>
      </c>
      <c r="M8407" s="15" t="s">
        <v>8</v>
      </c>
      <c r="N8407" s="15" t="s">
        <v>8</v>
      </c>
      <c r="O8407" s="15" t="s">
        <v>8</v>
      </c>
      <c r="P8407" s="15" t="s">
        <v>8</v>
      </c>
      <c r="Q8407" s="15" t="s">
        <v>8</v>
      </c>
      <c r="R8407" s="15" t="s">
        <v>8</v>
      </c>
      <c r="V8407" s="15" t="s">
        <v>8</v>
      </c>
    </row>
    <row r="8408" spans="3:28" x14ac:dyDescent="0.35">
      <c r="C8408" s="15" t="s">
        <v>8</v>
      </c>
      <c r="H8408" s="15" t="s">
        <v>8</v>
      </c>
      <c r="J8408" s="15" t="s">
        <v>8</v>
      </c>
      <c r="K8408" s="15" t="s">
        <v>8</v>
      </c>
      <c r="M8408" s="15" t="s">
        <v>8</v>
      </c>
      <c r="N8408" s="15" t="s">
        <v>8</v>
      </c>
      <c r="O8408" s="15" t="s">
        <v>8</v>
      </c>
      <c r="P8408" s="15" t="s">
        <v>8</v>
      </c>
      <c r="Q8408" s="15" t="s">
        <v>8</v>
      </c>
      <c r="R8408" s="15" t="s">
        <v>8</v>
      </c>
      <c r="U8408" s="19" t="str">
        <f>HYPERLINK("http://yeinfo.com/family/I09066685.html", "MICHAEL BACON Sr. 1535 EN-1615 EN ID:09066686")</f>
        <v>MICHAEL BACON Sr. 1535 EN-1615 EN ID:09066686</v>
      </c>
      <c r="V8408" s="9"/>
      <c r="W8408" s="9"/>
      <c r="X8408" s="9"/>
      <c r="Y8408" s="9"/>
    </row>
    <row r="8409" spans="3:28" x14ac:dyDescent="0.35">
      <c r="C8409" s="15" t="s">
        <v>8</v>
      </c>
      <c r="H8409" s="15" t="s">
        <v>8</v>
      </c>
      <c r="J8409" s="15" t="s">
        <v>8</v>
      </c>
      <c r="K8409" s="15" t="s">
        <v>8</v>
      </c>
      <c r="M8409" s="15" t="s">
        <v>8</v>
      </c>
      <c r="N8409" s="15" t="s">
        <v>8</v>
      </c>
      <c r="O8409" s="15" t="s">
        <v>8</v>
      </c>
      <c r="P8409" s="15" t="s">
        <v>8</v>
      </c>
      <c r="Q8409" s="15" t="s">
        <v>8</v>
      </c>
      <c r="R8409" s="15" t="s">
        <v>8</v>
      </c>
      <c r="U8409" s="8" t="s">
        <v>3</v>
      </c>
      <c r="V8409" s="15" t="s">
        <v>8</v>
      </c>
    </row>
    <row r="8410" spans="3:28" x14ac:dyDescent="0.35">
      <c r="C8410" s="15" t="s">
        <v>8</v>
      </c>
      <c r="H8410" s="15" t="s">
        <v>8</v>
      </c>
      <c r="J8410" s="15" t="s">
        <v>8</v>
      </c>
      <c r="K8410" s="15" t="s">
        <v>8</v>
      </c>
      <c r="M8410" s="15" t="s">
        <v>8</v>
      </c>
      <c r="N8410" s="15" t="s">
        <v>8</v>
      </c>
      <c r="O8410" s="15" t="s">
        <v>8</v>
      </c>
      <c r="P8410" s="15" t="s">
        <v>8</v>
      </c>
      <c r="Q8410" s="15" t="s">
        <v>8</v>
      </c>
      <c r="R8410" s="15" t="s">
        <v>8</v>
      </c>
      <c r="U8410" s="15" t="s">
        <v>8</v>
      </c>
      <c r="V8410" s="15" t="s">
        <v>8</v>
      </c>
      <c r="X8410" s="19" t="str">
        <f>HYPERLINK("http://yeinfo.com/family/I09066751.html", "ROBERT THOMAS HALL VII 1445 EN-1515 EN ID:09066753")</f>
        <v>ROBERT THOMAS HALL VII 1445 EN-1515 EN ID:09066753</v>
      </c>
      <c r="Y8410" s="9"/>
      <c r="Z8410" s="9"/>
      <c r="AA8410" s="9"/>
      <c r="AB8410" s="9"/>
    </row>
    <row r="8411" spans="3:28" x14ac:dyDescent="0.35">
      <c r="C8411" s="15" t="s">
        <v>8</v>
      </c>
      <c r="H8411" s="15" t="s">
        <v>8</v>
      </c>
      <c r="J8411" s="15" t="s">
        <v>8</v>
      </c>
      <c r="K8411" s="15" t="s">
        <v>8</v>
      </c>
      <c r="M8411" s="15" t="s">
        <v>8</v>
      </c>
      <c r="N8411" s="15" t="s">
        <v>8</v>
      </c>
      <c r="O8411" s="15" t="s">
        <v>8</v>
      </c>
      <c r="P8411" s="15" t="s">
        <v>8</v>
      </c>
      <c r="Q8411" s="15" t="s">
        <v>8</v>
      </c>
      <c r="R8411" s="15" t="s">
        <v>8</v>
      </c>
      <c r="U8411" s="15" t="s">
        <v>8</v>
      </c>
      <c r="V8411" s="15" t="s">
        <v>8</v>
      </c>
      <c r="X8411" s="8" t="s">
        <v>3</v>
      </c>
    </row>
    <row r="8412" spans="3:28" x14ac:dyDescent="0.35">
      <c r="C8412" s="15" t="s">
        <v>8</v>
      </c>
      <c r="H8412" s="15" t="s">
        <v>8</v>
      </c>
      <c r="J8412" s="15" t="s">
        <v>8</v>
      </c>
      <c r="K8412" s="15" t="s">
        <v>8</v>
      </c>
      <c r="M8412" s="15" t="s">
        <v>8</v>
      </c>
      <c r="N8412" s="15" t="s">
        <v>8</v>
      </c>
      <c r="O8412" s="15" t="s">
        <v>8</v>
      </c>
      <c r="P8412" s="15" t="s">
        <v>8</v>
      </c>
      <c r="Q8412" s="15" t="s">
        <v>8</v>
      </c>
      <c r="R8412" s="15" t="s">
        <v>8</v>
      </c>
      <c r="U8412" s="15" t="s">
        <v>8</v>
      </c>
      <c r="V8412" s="15" t="s">
        <v>8</v>
      </c>
      <c r="W8412" s="19" t="str">
        <f>HYPERLINK("http://yeinfo.com/family/I09066746.html", "WILLIAM HALL 1495 EN-1550 EN ID:09066751")</f>
        <v>WILLIAM HALL 1495 EN-1550 EN ID:09066751</v>
      </c>
      <c r="X8412" s="9"/>
      <c r="Y8412" s="9"/>
      <c r="Z8412" s="9"/>
      <c r="AA8412" s="9"/>
    </row>
    <row r="8413" spans="3:28" x14ac:dyDescent="0.35">
      <c r="C8413" s="15" t="s">
        <v>8</v>
      </c>
      <c r="H8413" s="15" t="s">
        <v>8</v>
      </c>
      <c r="J8413" s="15" t="s">
        <v>8</v>
      </c>
      <c r="K8413" s="15" t="s">
        <v>8</v>
      </c>
      <c r="M8413" s="15" t="s">
        <v>8</v>
      </c>
      <c r="N8413" s="15" t="s">
        <v>8</v>
      </c>
      <c r="O8413" s="15" t="s">
        <v>8</v>
      </c>
      <c r="P8413" s="15" t="s">
        <v>8</v>
      </c>
      <c r="Q8413" s="15" t="s">
        <v>8</v>
      </c>
      <c r="R8413" s="15" t="s">
        <v>8</v>
      </c>
      <c r="U8413" s="15" t="s">
        <v>8</v>
      </c>
      <c r="V8413" s="15" t="s">
        <v>8</v>
      </c>
      <c r="W8413" s="8" t="s">
        <v>3</v>
      </c>
      <c r="X8413" s="8" t="s">
        <v>6</v>
      </c>
    </row>
    <row r="8414" spans="3:28" x14ac:dyDescent="0.35">
      <c r="C8414" s="15" t="s">
        <v>8</v>
      </c>
      <c r="H8414" s="15" t="s">
        <v>8</v>
      </c>
      <c r="J8414" s="15" t="s">
        <v>8</v>
      </c>
      <c r="K8414" s="15" t="s">
        <v>8</v>
      </c>
      <c r="M8414" s="15" t="s">
        <v>8</v>
      </c>
      <c r="N8414" s="15" t="s">
        <v>8</v>
      </c>
      <c r="O8414" s="15" t="s">
        <v>8</v>
      </c>
      <c r="P8414" s="15" t="s">
        <v>8</v>
      </c>
      <c r="Q8414" s="15" t="s">
        <v>8</v>
      </c>
      <c r="R8414" s="15" t="s">
        <v>8</v>
      </c>
      <c r="U8414" s="15" t="s">
        <v>8</v>
      </c>
      <c r="V8414" s="15" t="s">
        <v>8</v>
      </c>
      <c r="W8414" s="15" t="s">
        <v>8</v>
      </c>
      <c r="X8414" s="20" t="str">
        <f>HYPERLINK("http://yeinfo.com/family/I09066753.html", "FLORENCE CAROLINE BYESTONE 1470 EN-1527 EN ID:09066754")</f>
        <v>FLORENCE CAROLINE BYESTONE 1470 EN-1527 EN ID:09066754</v>
      </c>
      <c r="Y8414" s="17"/>
      <c r="Z8414" s="17"/>
      <c r="AA8414" s="17"/>
      <c r="AB8414" s="17"/>
    </row>
    <row r="8415" spans="3:28" x14ac:dyDescent="0.35">
      <c r="C8415" s="15" t="s">
        <v>8</v>
      </c>
      <c r="H8415" s="15" t="s">
        <v>8</v>
      </c>
      <c r="J8415" s="15" t="s">
        <v>8</v>
      </c>
      <c r="K8415" s="15" t="s">
        <v>8</v>
      </c>
      <c r="M8415" s="15" t="s">
        <v>8</v>
      </c>
      <c r="N8415" s="15" t="s">
        <v>8</v>
      </c>
      <c r="O8415" s="15" t="s">
        <v>8</v>
      </c>
      <c r="P8415" s="15" t="s">
        <v>8</v>
      </c>
      <c r="Q8415" s="15" t="s">
        <v>8</v>
      </c>
      <c r="R8415" s="15" t="s">
        <v>8</v>
      </c>
      <c r="U8415" s="15" t="s">
        <v>8</v>
      </c>
      <c r="V8415" s="8" t="s">
        <v>6</v>
      </c>
      <c r="W8415" s="15" t="s">
        <v>8</v>
      </c>
    </row>
    <row r="8416" spans="3:28" x14ac:dyDescent="0.35">
      <c r="C8416" s="15" t="s">
        <v>8</v>
      </c>
      <c r="H8416" s="15" t="s">
        <v>8</v>
      </c>
      <c r="J8416" s="15" t="s">
        <v>8</v>
      </c>
      <c r="K8416" s="15" t="s">
        <v>8</v>
      </c>
      <c r="M8416" s="15" t="s">
        <v>8</v>
      </c>
      <c r="N8416" s="15" t="s">
        <v>8</v>
      </c>
      <c r="O8416" s="15" t="s">
        <v>8</v>
      </c>
      <c r="P8416" s="15" t="s">
        <v>8</v>
      </c>
      <c r="Q8416" s="15" t="s">
        <v>8</v>
      </c>
      <c r="R8416" s="15" t="s">
        <v>8</v>
      </c>
      <c r="U8416" s="15" t="s">
        <v>8</v>
      </c>
      <c r="V8416" s="20" t="str">
        <f>HYPERLINK("http://yeinfo.com/family/I09066748.html", "MARGARET HALL 1512 EN-1557 EN ID:09066746")</f>
        <v>MARGARET HALL 1512 EN-1557 EN ID:09066746</v>
      </c>
      <c r="W8416" s="17"/>
      <c r="X8416" s="17"/>
      <c r="Y8416" s="17"/>
      <c r="Z8416" s="17"/>
    </row>
    <row r="8417" spans="3:28" x14ac:dyDescent="0.35">
      <c r="C8417" s="15" t="s">
        <v>8</v>
      </c>
      <c r="H8417" s="15" t="s">
        <v>8</v>
      </c>
      <c r="J8417" s="15" t="s">
        <v>8</v>
      </c>
      <c r="K8417" s="15" t="s">
        <v>8</v>
      </c>
      <c r="M8417" s="15" t="s">
        <v>8</v>
      </c>
      <c r="N8417" s="15" t="s">
        <v>8</v>
      </c>
      <c r="O8417" s="15" t="s">
        <v>8</v>
      </c>
      <c r="P8417" s="15" t="s">
        <v>8</v>
      </c>
      <c r="Q8417" s="15" t="s">
        <v>8</v>
      </c>
      <c r="R8417" s="15" t="s">
        <v>8</v>
      </c>
      <c r="U8417" s="15" t="s">
        <v>8</v>
      </c>
      <c r="W8417" s="15" t="s">
        <v>8</v>
      </c>
    </row>
    <row r="8418" spans="3:28" x14ac:dyDescent="0.35">
      <c r="C8418" s="15" t="s">
        <v>8</v>
      </c>
      <c r="H8418" s="15" t="s">
        <v>8</v>
      </c>
      <c r="J8418" s="15" t="s">
        <v>8</v>
      </c>
      <c r="K8418" s="15" t="s">
        <v>8</v>
      </c>
      <c r="M8418" s="15" t="s">
        <v>8</v>
      </c>
      <c r="N8418" s="15" t="s">
        <v>8</v>
      </c>
      <c r="O8418" s="15" t="s">
        <v>8</v>
      </c>
      <c r="P8418" s="15" t="s">
        <v>8</v>
      </c>
      <c r="Q8418" s="15" t="s">
        <v>8</v>
      </c>
      <c r="R8418" s="15" t="s">
        <v>8</v>
      </c>
      <c r="U8418" s="15" t="s">
        <v>8</v>
      </c>
      <c r="W8418" s="15" t="s">
        <v>8</v>
      </c>
      <c r="X8418" s="19" t="str">
        <f>HYPERLINK("http://yeinfo.com/family/I09066752.html", "CHRISTOPHER TROPENELL 1450 EN-1503 EN ID:09066755")</f>
        <v>CHRISTOPHER TROPENELL 1450 EN-1503 EN ID:09066755</v>
      </c>
      <c r="Y8418" s="9"/>
      <c r="Z8418" s="9"/>
      <c r="AA8418" s="9"/>
      <c r="AB8418" s="9"/>
    </row>
    <row r="8419" spans="3:28" x14ac:dyDescent="0.35">
      <c r="C8419" s="15" t="s">
        <v>8</v>
      </c>
      <c r="H8419" s="15" t="s">
        <v>8</v>
      </c>
      <c r="J8419" s="15" t="s">
        <v>8</v>
      </c>
      <c r="K8419" s="15" t="s">
        <v>8</v>
      </c>
      <c r="M8419" s="15" t="s">
        <v>8</v>
      </c>
      <c r="N8419" s="15" t="s">
        <v>8</v>
      </c>
      <c r="O8419" s="15" t="s">
        <v>8</v>
      </c>
      <c r="P8419" s="15" t="s">
        <v>8</v>
      </c>
      <c r="Q8419" s="15" t="s">
        <v>8</v>
      </c>
      <c r="R8419" s="15" t="s">
        <v>8</v>
      </c>
      <c r="U8419" s="15" t="s">
        <v>8</v>
      </c>
      <c r="W8419" s="8" t="s">
        <v>6</v>
      </c>
      <c r="X8419" s="8" t="s">
        <v>3</v>
      </c>
    </row>
    <row r="8420" spans="3:28" x14ac:dyDescent="0.35">
      <c r="C8420" s="15" t="s">
        <v>8</v>
      </c>
      <c r="H8420" s="15" t="s">
        <v>8</v>
      </c>
      <c r="J8420" s="15" t="s">
        <v>8</v>
      </c>
      <c r="K8420" s="15" t="s">
        <v>8</v>
      </c>
      <c r="M8420" s="15" t="s">
        <v>8</v>
      </c>
      <c r="N8420" s="15" t="s">
        <v>8</v>
      </c>
      <c r="O8420" s="15" t="s">
        <v>8</v>
      </c>
      <c r="P8420" s="15" t="s">
        <v>8</v>
      </c>
      <c r="Q8420" s="15" t="s">
        <v>8</v>
      </c>
      <c r="R8420" s="15" t="s">
        <v>8</v>
      </c>
      <c r="U8420" s="15" t="s">
        <v>8</v>
      </c>
      <c r="W8420" s="20" t="str">
        <f>HYPERLINK("http://yeinfo.com/family/I09066754.html", "ELIZABETH TROPENELL 1491 EN-1520 EN ID:09066752")</f>
        <v>ELIZABETH TROPENELL 1491 EN-1520 EN ID:09066752</v>
      </c>
      <c r="X8420" s="17"/>
      <c r="Y8420" s="17"/>
      <c r="Z8420" s="17"/>
      <c r="AA8420" s="17"/>
    </row>
    <row r="8421" spans="3:28" x14ac:dyDescent="0.35">
      <c r="C8421" s="15" t="s">
        <v>8</v>
      </c>
      <c r="H8421" s="15" t="s">
        <v>8</v>
      </c>
      <c r="J8421" s="15" t="s">
        <v>8</v>
      </c>
      <c r="K8421" s="15" t="s">
        <v>8</v>
      </c>
      <c r="M8421" s="15" t="s">
        <v>8</v>
      </c>
      <c r="N8421" s="15" t="s">
        <v>8</v>
      </c>
      <c r="O8421" s="15" t="s">
        <v>8</v>
      </c>
      <c r="P8421" s="15" t="s">
        <v>8</v>
      </c>
      <c r="Q8421" s="15" t="s">
        <v>8</v>
      </c>
      <c r="R8421" s="15" t="s">
        <v>8</v>
      </c>
      <c r="U8421" s="15" t="s">
        <v>8</v>
      </c>
      <c r="X8421" s="8" t="s">
        <v>6</v>
      </c>
    </row>
    <row r="8422" spans="3:28" x14ac:dyDescent="0.35">
      <c r="C8422" s="15" t="s">
        <v>8</v>
      </c>
      <c r="H8422" s="15" t="s">
        <v>8</v>
      </c>
      <c r="J8422" s="15" t="s">
        <v>8</v>
      </c>
      <c r="K8422" s="15" t="s">
        <v>8</v>
      </c>
      <c r="M8422" s="15" t="s">
        <v>8</v>
      </c>
      <c r="N8422" s="15" t="s">
        <v>8</v>
      </c>
      <c r="O8422" s="15" t="s">
        <v>8</v>
      </c>
      <c r="P8422" s="15" t="s">
        <v>8</v>
      </c>
      <c r="Q8422" s="15" t="s">
        <v>8</v>
      </c>
      <c r="R8422" s="15" t="s">
        <v>8</v>
      </c>
      <c r="U8422" s="15" t="s">
        <v>8</v>
      </c>
      <c r="X8422" s="20" t="str">
        <f>HYPERLINK("http://yeinfo.com/family/I09066755.html", "AGNES KEIGHLEY 1460 EN-1511 EN ID:09066756")</f>
        <v>AGNES KEIGHLEY 1460 EN-1511 EN ID:09066756</v>
      </c>
      <c r="Y8422" s="17"/>
      <c r="Z8422" s="17"/>
      <c r="AA8422" s="17"/>
      <c r="AB8422" s="17"/>
    </row>
    <row r="8423" spans="3:28" x14ac:dyDescent="0.35">
      <c r="C8423" s="15" t="s">
        <v>8</v>
      </c>
      <c r="H8423" s="15" t="s">
        <v>8</v>
      </c>
      <c r="J8423" s="15" t="s">
        <v>8</v>
      </c>
      <c r="K8423" s="15" t="s">
        <v>8</v>
      </c>
      <c r="M8423" s="15" t="s">
        <v>8</v>
      </c>
      <c r="N8423" s="15" t="s">
        <v>8</v>
      </c>
      <c r="O8423" s="15" t="s">
        <v>8</v>
      </c>
      <c r="P8423" s="15" t="s">
        <v>8</v>
      </c>
      <c r="Q8423" s="15" t="s">
        <v>8</v>
      </c>
      <c r="R8423" s="15" t="s">
        <v>8</v>
      </c>
      <c r="U8423" s="15" t="s">
        <v>8</v>
      </c>
    </row>
    <row r="8424" spans="3:28" x14ac:dyDescent="0.35">
      <c r="C8424" s="15" t="s">
        <v>8</v>
      </c>
      <c r="H8424" s="15" t="s">
        <v>8</v>
      </c>
      <c r="J8424" s="15" t="s">
        <v>8</v>
      </c>
      <c r="K8424" s="15" t="s">
        <v>8</v>
      </c>
      <c r="M8424" s="15" t="s">
        <v>8</v>
      </c>
      <c r="N8424" s="15" t="s">
        <v>8</v>
      </c>
      <c r="O8424" s="15" t="s">
        <v>8</v>
      </c>
      <c r="P8424" s="15" t="s">
        <v>8</v>
      </c>
      <c r="Q8424" s="15" t="s">
        <v>8</v>
      </c>
      <c r="R8424" s="15" t="s">
        <v>8</v>
      </c>
      <c r="T8424" s="21" t="str">
        <f>HYPERLINK("http://yeinfo.com/family/I09066683.html", "MICHAEL BACON Jr. 1579 EN-1648 MA ID:09066685")</f>
        <v>MICHAEL BACON Jr. 1579 EN-1648 MA ID:09066685</v>
      </c>
      <c r="U8424" s="6"/>
      <c r="V8424" s="6"/>
      <c r="W8424" s="6"/>
      <c r="X8424" s="6"/>
    </row>
    <row r="8425" spans="3:28" x14ac:dyDescent="0.35">
      <c r="C8425" s="15" t="s">
        <v>8</v>
      </c>
      <c r="H8425" s="15" t="s">
        <v>8</v>
      </c>
      <c r="J8425" s="15" t="s">
        <v>8</v>
      </c>
      <c r="K8425" s="15" t="s">
        <v>8</v>
      </c>
      <c r="M8425" s="15" t="s">
        <v>8</v>
      </c>
      <c r="N8425" s="15" t="s">
        <v>8</v>
      </c>
      <c r="O8425" s="15" t="s">
        <v>8</v>
      </c>
      <c r="P8425" s="15" t="s">
        <v>8</v>
      </c>
      <c r="Q8425" s="15" t="s">
        <v>8</v>
      </c>
      <c r="R8425" s="15" t="s">
        <v>8</v>
      </c>
      <c r="T8425" s="8" t="s">
        <v>3</v>
      </c>
      <c r="U8425" s="8" t="s">
        <v>6</v>
      </c>
    </row>
    <row r="8426" spans="3:28" x14ac:dyDescent="0.35">
      <c r="C8426" s="15" t="s">
        <v>8</v>
      </c>
      <c r="H8426" s="15" t="s">
        <v>8</v>
      </c>
      <c r="J8426" s="15" t="s">
        <v>8</v>
      </c>
      <c r="K8426" s="15" t="s">
        <v>8</v>
      </c>
      <c r="M8426" s="15" t="s">
        <v>8</v>
      </c>
      <c r="N8426" s="15" t="s">
        <v>8</v>
      </c>
      <c r="O8426" s="15" t="s">
        <v>8</v>
      </c>
      <c r="P8426" s="15" t="s">
        <v>8</v>
      </c>
      <c r="Q8426" s="15" t="s">
        <v>8</v>
      </c>
      <c r="R8426" s="15" t="s">
        <v>8</v>
      </c>
      <c r="T8426" s="15" t="s">
        <v>8</v>
      </c>
      <c r="U8426" s="20" t="str">
        <f>HYPERLINK("http://yeinfo.com/family/I09066756.html", "ELIZABETH WYLIE 1542 EN-1607 EN ID:09066707")</f>
        <v>ELIZABETH WYLIE 1542 EN-1607 EN ID:09066707</v>
      </c>
      <c r="V8426" s="17"/>
      <c r="W8426" s="17"/>
      <c r="X8426" s="17"/>
      <c r="Y8426" s="17"/>
    </row>
    <row r="8427" spans="3:28" x14ac:dyDescent="0.35">
      <c r="C8427" s="15" t="s">
        <v>8</v>
      </c>
      <c r="H8427" s="15" t="s">
        <v>8</v>
      </c>
      <c r="J8427" s="15" t="s">
        <v>8</v>
      </c>
      <c r="K8427" s="15" t="s">
        <v>8</v>
      </c>
      <c r="M8427" s="15" t="s">
        <v>8</v>
      </c>
      <c r="N8427" s="15" t="s">
        <v>8</v>
      </c>
      <c r="O8427" s="15" t="s">
        <v>8</v>
      </c>
      <c r="P8427" s="15" t="s">
        <v>8</v>
      </c>
      <c r="Q8427" s="15" t="s">
        <v>8</v>
      </c>
      <c r="R8427" s="15" t="s">
        <v>8</v>
      </c>
      <c r="T8427" s="15" t="s">
        <v>8</v>
      </c>
    </row>
    <row r="8428" spans="3:28" x14ac:dyDescent="0.35">
      <c r="C8428" s="15" t="s">
        <v>8</v>
      </c>
      <c r="H8428" s="15" t="s">
        <v>8</v>
      </c>
      <c r="J8428" s="15" t="s">
        <v>8</v>
      </c>
      <c r="K8428" s="15" t="s">
        <v>8</v>
      </c>
      <c r="M8428" s="15" t="s">
        <v>8</v>
      </c>
      <c r="N8428" s="15" t="s">
        <v>8</v>
      </c>
      <c r="O8428" s="15" t="s">
        <v>8</v>
      </c>
      <c r="P8428" s="15" t="s">
        <v>8</v>
      </c>
      <c r="Q8428" s="15" t="s">
        <v>8</v>
      </c>
      <c r="R8428" s="15" t="s">
        <v>8</v>
      </c>
      <c r="S8428" s="21" t="str">
        <f>HYPERLINK("http://yeinfo.com/family/I09066682.html", "DANIEL BACON 1615 EN-1691 MA ID:09066683")</f>
        <v>DANIEL BACON 1615 EN-1691 MA ID:09066683</v>
      </c>
      <c r="T8428" s="6"/>
      <c r="U8428" s="6"/>
      <c r="V8428" s="6"/>
      <c r="W8428" s="6"/>
    </row>
    <row r="8429" spans="3:28" x14ac:dyDescent="0.35">
      <c r="C8429" s="15" t="s">
        <v>8</v>
      </c>
      <c r="H8429" s="15" t="s">
        <v>8</v>
      </c>
      <c r="J8429" s="15" t="s">
        <v>8</v>
      </c>
      <c r="K8429" s="15" t="s">
        <v>8</v>
      </c>
      <c r="M8429" s="15" t="s">
        <v>8</v>
      </c>
      <c r="N8429" s="15" t="s">
        <v>8</v>
      </c>
      <c r="O8429" s="15" t="s">
        <v>8</v>
      </c>
      <c r="P8429" s="15" t="s">
        <v>8</v>
      </c>
      <c r="Q8429" s="15" t="s">
        <v>8</v>
      </c>
      <c r="R8429" s="15" t="s">
        <v>8</v>
      </c>
      <c r="S8429" s="8" t="s">
        <v>3</v>
      </c>
      <c r="T8429" s="8" t="s">
        <v>6</v>
      </c>
    </row>
    <row r="8430" spans="3:28" x14ac:dyDescent="0.35">
      <c r="C8430" s="15" t="s">
        <v>8</v>
      </c>
      <c r="H8430" s="15" t="s">
        <v>8</v>
      </c>
      <c r="J8430" s="15" t="s">
        <v>8</v>
      </c>
      <c r="K8430" s="15" t="s">
        <v>8</v>
      </c>
      <c r="M8430" s="15" t="s">
        <v>8</v>
      </c>
      <c r="N8430" s="15" t="s">
        <v>8</v>
      </c>
      <c r="O8430" s="15" t="s">
        <v>8</v>
      </c>
      <c r="P8430" s="15" t="s">
        <v>8</v>
      </c>
      <c r="Q8430" s="15" t="s">
        <v>8</v>
      </c>
      <c r="R8430" s="15" t="s">
        <v>8</v>
      </c>
      <c r="S8430" s="15" t="s">
        <v>8</v>
      </c>
      <c r="T8430" s="22" t="str">
        <f>HYPERLINK("http://yeinfo.com/family/I09066707.html", "Mrs. ALICE BACON 1581 EN-1648 MA ID:09066684")</f>
        <v>Mrs. ALICE BACON 1581 EN-1648 MA ID:09066684</v>
      </c>
      <c r="U8430" s="13"/>
      <c r="V8430" s="13"/>
      <c r="W8430" s="13"/>
      <c r="X8430" s="13"/>
    </row>
    <row r="8431" spans="3:28" x14ac:dyDescent="0.35">
      <c r="C8431" s="15" t="s">
        <v>8</v>
      </c>
      <c r="H8431" s="15" t="s">
        <v>8</v>
      </c>
      <c r="J8431" s="15" t="s">
        <v>8</v>
      </c>
      <c r="K8431" s="15" t="s">
        <v>8</v>
      </c>
      <c r="M8431" s="15" t="s">
        <v>8</v>
      </c>
      <c r="N8431" s="15" t="s">
        <v>8</v>
      </c>
      <c r="O8431" s="15" t="s">
        <v>8</v>
      </c>
      <c r="P8431" s="15" t="s">
        <v>8</v>
      </c>
      <c r="Q8431" s="15" t="s">
        <v>8</v>
      </c>
      <c r="R8431" s="8" t="s">
        <v>6</v>
      </c>
      <c r="S8431" s="15" t="s">
        <v>8</v>
      </c>
    </row>
    <row r="8432" spans="3:28" x14ac:dyDescent="0.35">
      <c r="C8432" s="15" t="s">
        <v>8</v>
      </c>
      <c r="H8432" s="15" t="s">
        <v>8</v>
      </c>
      <c r="J8432" s="15" t="s">
        <v>8</v>
      </c>
      <c r="K8432" s="15" t="s">
        <v>8</v>
      </c>
      <c r="M8432" s="15" t="s">
        <v>8</v>
      </c>
      <c r="N8432" s="15" t="s">
        <v>8</v>
      </c>
      <c r="O8432" s="15" t="s">
        <v>8</v>
      </c>
      <c r="P8432" s="15" t="s">
        <v>8</v>
      </c>
      <c r="Q8432" s="15" t="s">
        <v>8</v>
      </c>
      <c r="R8432" s="16" t="str">
        <f>HYPERLINK("http://yeinfo.com/family/I09066690.html", "LYDIA READ BACON 1656 MA-1717 MA ID:09066682")</f>
        <v>LYDIA READ BACON 1656 MA-1717 MA ID:09066682</v>
      </c>
      <c r="S8432" s="11"/>
      <c r="T8432" s="11"/>
      <c r="U8432" s="11"/>
      <c r="V8432" s="11"/>
    </row>
    <row r="8433" spans="3:24" x14ac:dyDescent="0.35">
      <c r="C8433" s="15" t="s">
        <v>8</v>
      </c>
      <c r="H8433" s="15" t="s">
        <v>8</v>
      </c>
      <c r="J8433" s="15" t="s">
        <v>8</v>
      </c>
      <c r="K8433" s="15" t="s">
        <v>8</v>
      </c>
      <c r="M8433" s="15" t="s">
        <v>8</v>
      </c>
      <c r="N8433" s="15" t="s">
        <v>8</v>
      </c>
      <c r="O8433" s="15" t="s">
        <v>8</v>
      </c>
      <c r="P8433" s="15" t="s">
        <v>8</v>
      </c>
      <c r="Q8433" s="15" t="s">
        <v>8</v>
      </c>
      <c r="S8433" s="15" t="s">
        <v>8</v>
      </c>
    </row>
    <row r="8434" spans="3:24" x14ac:dyDescent="0.35">
      <c r="C8434" s="15" t="s">
        <v>8</v>
      </c>
      <c r="H8434" s="15" t="s">
        <v>8</v>
      </c>
      <c r="J8434" s="15" t="s">
        <v>8</v>
      </c>
      <c r="K8434" s="15" t="s">
        <v>8</v>
      </c>
      <c r="M8434" s="15" t="s">
        <v>8</v>
      </c>
      <c r="N8434" s="15" t="s">
        <v>8</v>
      </c>
      <c r="O8434" s="15" t="s">
        <v>8</v>
      </c>
      <c r="P8434" s="15" t="s">
        <v>8</v>
      </c>
      <c r="Q8434" s="15" t="s">
        <v>8</v>
      </c>
      <c r="S8434" s="15" t="s">
        <v>8</v>
      </c>
      <c r="T8434" s="19" t="str">
        <f>HYPERLINK("http://yeinfo.com/family/I09066702.html", "THOMAS READE 1598 EN-1659 EN ID:09066703")</f>
        <v>THOMAS READE 1598 EN-1659 EN ID:09066703</v>
      </c>
      <c r="U8434" s="9"/>
      <c r="V8434" s="9"/>
      <c r="W8434" s="9"/>
      <c r="X8434" s="9"/>
    </row>
    <row r="8435" spans="3:24" x14ac:dyDescent="0.35">
      <c r="C8435" s="15" t="s">
        <v>8</v>
      </c>
      <c r="H8435" s="15" t="s">
        <v>8</v>
      </c>
      <c r="J8435" s="15" t="s">
        <v>8</v>
      </c>
      <c r="K8435" s="15" t="s">
        <v>8</v>
      </c>
      <c r="M8435" s="15" t="s">
        <v>8</v>
      </c>
      <c r="N8435" s="15" t="s">
        <v>8</v>
      </c>
      <c r="O8435" s="15" t="s">
        <v>8</v>
      </c>
      <c r="P8435" s="15" t="s">
        <v>8</v>
      </c>
      <c r="Q8435" s="15" t="s">
        <v>8</v>
      </c>
      <c r="S8435" s="8" t="s">
        <v>6</v>
      </c>
      <c r="T8435" s="8" t="s">
        <v>3</v>
      </c>
    </row>
    <row r="8436" spans="3:24" x14ac:dyDescent="0.35">
      <c r="C8436" s="15" t="s">
        <v>8</v>
      </c>
      <c r="H8436" s="15" t="s">
        <v>8</v>
      </c>
      <c r="J8436" s="15" t="s">
        <v>8</v>
      </c>
      <c r="K8436" s="15" t="s">
        <v>8</v>
      </c>
      <c r="M8436" s="15" t="s">
        <v>8</v>
      </c>
      <c r="N8436" s="15" t="s">
        <v>8</v>
      </c>
      <c r="O8436" s="15" t="s">
        <v>8</v>
      </c>
      <c r="P8436" s="15" t="s">
        <v>8</v>
      </c>
      <c r="Q8436" s="15" t="s">
        <v>8</v>
      </c>
      <c r="S8436" s="22" t="str">
        <f>HYPERLINK("http://yeinfo.com/family/I09066684.html", "MARY READE 1620 EN-1691 MA ID:09066702")</f>
        <v>MARY READE 1620 EN-1691 MA ID:09066702</v>
      </c>
      <c r="T8436" s="13"/>
      <c r="U8436" s="13"/>
      <c r="V8436" s="13"/>
      <c r="W8436" s="13"/>
    </row>
    <row r="8437" spans="3:24" x14ac:dyDescent="0.35">
      <c r="C8437" s="15" t="s">
        <v>8</v>
      </c>
      <c r="H8437" s="15" t="s">
        <v>8</v>
      </c>
      <c r="J8437" s="15" t="s">
        <v>8</v>
      </c>
      <c r="K8437" s="15" t="s">
        <v>8</v>
      </c>
      <c r="M8437" s="15" t="s">
        <v>8</v>
      </c>
      <c r="N8437" s="15" t="s">
        <v>8</v>
      </c>
      <c r="O8437" s="15" t="s">
        <v>8</v>
      </c>
      <c r="P8437" s="15" t="s">
        <v>8</v>
      </c>
      <c r="Q8437" s="15" t="s">
        <v>8</v>
      </c>
      <c r="T8437" s="8" t="s">
        <v>6</v>
      </c>
    </row>
    <row r="8438" spans="3:24" x14ac:dyDescent="0.35">
      <c r="C8438" s="15" t="s">
        <v>8</v>
      </c>
      <c r="H8438" s="15" t="s">
        <v>8</v>
      </c>
      <c r="J8438" s="15" t="s">
        <v>8</v>
      </c>
      <c r="K8438" s="15" t="s">
        <v>8</v>
      </c>
      <c r="M8438" s="15" t="s">
        <v>8</v>
      </c>
      <c r="N8438" s="15" t="s">
        <v>8</v>
      </c>
      <c r="O8438" s="15" t="s">
        <v>8</v>
      </c>
      <c r="P8438" s="15" t="s">
        <v>8</v>
      </c>
      <c r="Q8438" s="15" t="s">
        <v>8</v>
      </c>
      <c r="T8438" s="20" t="str">
        <f>HYPERLINK("http://yeinfo.com/family/I09066703.html", "RACHEL OLMSTEAD 1603 EN-1677 EN ID:09066697")</f>
        <v>RACHEL OLMSTEAD 1603 EN-1677 EN ID:09066697</v>
      </c>
      <c r="U8438" s="17"/>
      <c r="V8438" s="17"/>
      <c r="W8438" s="17"/>
      <c r="X8438" s="17"/>
    </row>
    <row r="8439" spans="3:24" x14ac:dyDescent="0.35">
      <c r="C8439" s="15" t="s">
        <v>8</v>
      </c>
      <c r="H8439" s="15" t="s">
        <v>8</v>
      </c>
      <c r="J8439" s="15" t="s">
        <v>8</v>
      </c>
      <c r="K8439" s="15" t="s">
        <v>8</v>
      </c>
      <c r="M8439" s="15" t="s">
        <v>8</v>
      </c>
      <c r="N8439" s="15" t="s">
        <v>8</v>
      </c>
      <c r="O8439" s="15" t="s">
        <v>8</v>
      </c>
      <c r="P8439" s="8" t="s">
        <v>6</v>
      </c>
      <c r="Q8439" s="15" t="s">
        <v>8</v>
      </c>
    </row>
    <row r="8440" spans="3:24" x14ac:dyDescent="0.35">
      <c r="C8440" s="15" t="s">
        <v>8</v>
      </c>
      <c r="H8440" s="15" t="s">
        <v>8</v>
      </c>
      <c r="J8440" s="15" t="s">
        <v>8</v>
      </c>
      <c r="K8440" s="15" t="s">
        <v>8</v>
      </c>
      <c r="M8440" s="15" t="s">
        <v>8</v>
      </c>
      <c r="N8440" s="15" t="s">
        <v>8</v>
      </c>
      <c r="O8440" s="15" t="s">
        <v>8</v>
      </c>
      <c r="P8440" s="16" t="str">
        <f>HYPERLINK("http://yeinfo.com/family/I09048713.html", "SARAH PIERCE 1710 MA-1751 MA ID:09024357")</f>
        <v>SARAH PIERCE 1710 MA-1751 MA ID:09024357</v>
      </c>
      <c r="Q8440" s="11"/>
      <c r="R8440" s="11"/>
      <c r="S8440" s="11"/>
      <c r="T8440" s="11"/>
    </row>
    <row r="8441" spans="3:24" x14ac:dyDescent="0.35">
      <c r="C8441" s="15" t="s">
        <v>8</v>
      </c>
      <c r="H8441" s="15" t="s">
        <v>8</v>
      </c>
      <c r="J8441" s="15" t="s">
        <v>8</v>
      </c>
      <c r="K8441" s="15" t="s">
        <v>8</v>
      </c>
      <c r="M8441" s="15" t="s">
        <v>8</v>
      </c>
      <c r="N8441" s="15" t="s">
        <v>8</v>
      </c>
      <c r="O8441" s="15" t="s">
        <v>8</v>
      </c>
      <c r="Q8441" s="15" t="s">
        <v>8</v>
      </c>
    </row>
    <row r="8442" spans="3:24" x14ac:dyDescent="0.35">
      <c r="C8442" s="15" t="s">
        <v>8</v>
      </c>
      <c r="H8442" s="15" t="s">
        <v>8</v>
      </c>
      <c r="J8442" s="15" t="s">
        <v>8</v>
      </c>
      <c r="K8442" s="15" t="s">
        <v>8</v>
      </c>
      <c r="M8442" s="15" t="s">
        <v>8</v>
      </c>
      <c r="N8442" s="15" t="s">
        <v>8</v>
      </c>
      <c r="O8442" s="15" t="s">
        <v>8</v>
      </c>
      <c r="Q8442" s="15" t="s">
        <v>8</v>
      </c>
      <c r="T8442" s="21" t="str">
        <f>HYPERLINK("http://yeinfo.com/family/I09066705.html", "RICHARD TUCKER 1594 EN-1679 NH ID:09066706")</f>
        <v>RICHARD TUCKER 1594 EN-1679 NH ID:09066706</v>
      </c>
      <c r="U8442" s="6"/>
      <c r="V8442" s="6"/>
      <c r="W8442" s="6"/>
      <c r="X8442" s="6"/>
    </row>
    <row r="8443" spans="3:24" x14ac:dyDescent="0.35">
      <c r="C8443" s="15" t="s">
        <v>8</v>
      </c>
      <c r="H8443" s="15" t="s">
        <v>8</v>
      </c>
      <c r="J8443" s="15" t="s">
        <v>8</v>
      </c>
      <c r="K8443" s="15" t="s">
        <v>8</v>
      </c>
      <c r="M8443" s="15" t="s">
        <v>8</v>
      </c>
      <c r="N8443" s="15" t="s">
        <v>8</v>
      </c>
      <c r="O8443" s="15" t="s">
        <v>8</v>
      </c>
      <c r="Q8443" s="15" t="s">
        <v>8</v>
      </c>
      <c r="T8443" s="8" t="s">
        <v>3</v>
      </c>
    </row>
    <row r="8444" spans="3:24" x14ac:dyDescent="0.35">
      <c r="C8444" s="15" t="s">
        <v>8</v>
      </c>
      <c r="H8444" s="15" t="s">
        <v>8</v>
      </c>
      <c r="J8444" s="15" t="s">
        <v>8</v>
      </c>
      <c r="K8444" s="15" t="s">
        <v>8</v>
      </c>
      <c r="M8444" s="15" t="s">
        <v>8</v>
      </c>
      <c r="N8444" s="15" t="s">
        <v>8</v>
      </c>
      <c r="O8444" s="15" t="s">
        <v>8</v>
      </c>
      <c r="Q8444" s="15" t="s">
        <v>8</v>
      </c>
      <c r="S8444" s="5" t="str">
        <f>HYPERLINK("http://yeinfo.com/family/I09066704.html", "WILLIAM J. TUCKER 1623 ME-1666 ME ID:09066705")</f>
        <v>WILLIAM J. TUCKER 1623 ME-1666 ME ID:09066705</v>
      </c>
      <c r="T8444" s="3"/>
      <c r="U8444" s="3"/>
      <c r="V8444" s="3"/>
      <c r="W8444" s="3"/>
    </row>
    <row r="8445" spans="3:24" x14ac:dyDescent="0.35">
      <c r="C8445" s="15" t="s">
        <v>8</v>
      </c>
      <c r="H8445" s="15" t="s">
        <v>8</v>
      </c>
      <c r="J8445" s="15" t="s">
        <v>8</v>
      </c>
      <c r="K8445" s="15" t="s">
        <v>8</v>
      </c>
      <c r="M8445" s="15" t="s">
        <v>8</v>
      </c>
      <c r="N8445" s="15" t="s">
        <v>8</v>
      </c>
      <c r="O8445" s="15" t="s">
        <v>8</v>
      </c>
      <c r="Q8445" s="15" t="s">
        <v>8</v>
      </c>
      <c r="S8445" s="8" t="s">
        <v>3</v>
      </c>
      <c r="T8445" s="8" t="s">
        <v>6</v>
      </c>
    </row>
    <row r="8446" spans="3:24" x14ac:dyDescent="0.35">
      <c r="C8446" s="15" t="s">
        <v>8</v>
      </c>
      <c r="H8446" s="15" t="s">
        <v>8</v>
      </c>
      <c r="J8446" s="15" t="s">
        <v>8</v>
      </c>
      <c r="K8446" s="15" t="s">
        <v>8</v>
      </c>
      <c r="M8446" s="15" t="s">
        <v>8</v>
      </c>
      <c r="N8446" s="15" t="s">
        <v>8</v>
      </c>
      <c r="O8446" s="15" t="s">
        <v>8</v>
      </c>
      <c r="Q8446" s="15" t="s">
        <v>8</v>
      </c>
      <c r="S8446" s="15" t="s">
        <v>8</v>
      </c>
      <c r="T8446" s="22" t="str">
        <f>HYPERLINK("http://yeinfo.com/family/I09066706.html", "MARGARET RAYNELL 1594 EN-1673 ME ID:09066701")</f>
        <v>MARGARET RAYNELL 1594 EN-1673 ME ID:09066701</v>
      </c>
      <c r="U8446" s="13"/>
      <c r="V8446" s="13"/>
      <c r="W8446" s="13"/>
      <c r="X8446" s="13"/>
    </row>
    <row r="8447" spans="3:24" x14ac:dyDescent="0.35">
      <c r="C8447" s="15" t="s">
        <v>8</v>
      </c>
      <c r="H8447" s="15" t="s">
        <v>8</v>
      </c>
      <c r="J8447" s="15" t="s">
        <v>8</v>
      </c>
      <c r="K8447" s="15" t="s">
        <v>8</v>
      </c>
      <c r="M8447" s="15" t="s">
        <v>8</v>
      </c>
      <c r="N8447" s="15" t="s">
        <v>8</v>
      </c>
      <c r="O8447" s="15" t="s">
        <v>8</v>
      </c>
      <c r="Q8447" s="15" t="s">
        <v>8</v>
      </c>
      <c r="S8447" s="15" t="s">
        <v>8</v>
      </c>
    </row>
    <row r="8448" spans="3:24" x14ac:dyDescent="0.35">
      <c r="C8448" s="15" t="s">
        <v>8</v>
      </c>
      <c r="H8448" s="15" t="s">
        <v>8</v>
      </c>
      <c r="J8448" s="15" t="s">
        <v>8</v>
      </c>
      <c r="K8448" s="15" t="s">
        <v>8</v>
      </c>
      <c r="M8448" s="15" t="s">
        <v>8</v>
      </c>
      <c r="N8448" s="15" t="s">
        <v>8</v>
      </c>
      <c r="O8448" s="15" t="s">
        <v>8</v>
      </c>
      <c r="Q8448" s="15" t="s">
        <v>8</v>
      </c>
      <c r="R8448" s="5" t="str">
        <f>HYPERLINK("http://yeinfo.com/family/I09048715.html", "LEWIS TUCKER 1648 ME-1734 ME ID:09066704")</f>
        <v>LEWIS TUCKER 1648 ME-1734 ME ID:09066704</v>
      </c>
      <c r="S8448" s="3"/>
      <c r="T8448" s="3"/>
      <c r="U8448" s="3"/>
      <c r="V8448" s="3"/>
    </row>
    <row r="8449" spans="3:23" x14ac:dyDescent="0.35">
      <c r="C8449" s="15" t="s">
        <v>8</v>
      </c>
      <c r="H8449" s="15" t="s">
        <v>8</v>
      </c>
      <c r="J8449" s="15" t="s">
        <v>8</v>
      </c>
      <c r="K8449" s="15" t="s">
        <v>8</v>
      </c>
      <c r="M8449" s="15" t="s">
        <v>8</v>
      </c>
      <c r="N8449" s="15" t="s">
        <v>8</v>
      </c>
      <c r="O8449" s="15" t="s">
        <v>8</v>
      </c>
      <c r="Q8449" s="15" t="s">
        <v>8</v>
      </c>
      <c r="R8449" s="8" t="s">
        <v>3</v>
      </c>
      <c r="S8449" s="8" t="s">
        <v>6</v>
      </c>
    </row>
    <row r="8450" spans="3:23" x14ac:dyDescent="0.35">
      <c r="C8450" s="15" t="s">
        <v>8</v>
      </c>
      <c r="H8450" s="15" t="s">
        <v>8</v>
      </c>
      <c r="J8450" s="15" t="s">
        <v>8</v>
      </c>
      <c r="K8450" s="15" t="s">
        <v>8</v>
      </c>
      <c r="M8450" s="15" t="s">
        <v>8</v>
      </c>
      <c r="N8450" s="15" t="s">
        <v>8</v>
      </c>
      <c r="O8450" s="15" t="s">
        <v>8</v>
      </c>
      <c r="Q8450" s="15" t="s">
        <v>8</v>
      </c>
      <c r="R8450" s="15" t="s">
        <v>8</v>
      </c>
      <c r="S8450" s="16" t="str">
        <f>HYPERLINK("http://yeinfo.com/family/I09066701.html", "Mrs. GRACE TUCKER 1627 NH-1674 ME ID:09066691")</f>
        <v>Mrs. GRACE TUCKER 1627 NH-1674 ME ID:09066691</v>
      </c>
      <c r="T8450" s="11"/>
      <c r="U8450" s="11"/>
      <c r="V8450" s="11"/>
      <c r="W8450" s="11"/>
    </row>
    <row r="8451" spans="3:23" x14ac:dyDescent="0.35">
      <c r="C8451" s="15" t="s">
        <v>8</v>
      </c>
      <c r="H8451" s="15" t="s">
        <v>8</v>
      </c>
      <c r="J8451" s="15" t="s">
        <v>8</v>
      </c>
      <c r="K8451" s="15" t="s">
        <v>8</v>
      </c>
      <c r="M8451" s="15" t="s">
        <v>8</v>
      </c>
      <c r="N8451" s="15" t="s">
        <v>8</v>
      </c>
      <c r="O8451" s="15" t="s">
        <v>8</v>
      </c>
      <c r="Q8451" s="8" t="s">
        <v>6</v>
      </c>
      <c r="R8451" s="15" t="s">
        <v>8</v>
      </c>
    </row>
    <row r="8452" spans="3:23" x14ac:dyDescent="0.35">
      <c r="C8452" s="15" t="s">
        <v>8</v>
      </c>
      <c r="H8452" s="15" t="s">
        <v>8</v>
      </c>
      <c r="J8452" s="15" t="s">
        <v>8</v>
      </c>
      <c r="K8452" s="15" t="s">
        <v>8</v>
      </c>
      <c r="M8452" s="15" t="s">
        <v>8</v>
      </c>
      <c r="N8452" s="15" t="s">
        <v>8</v>
      </c>
      <c r="O8452" s="15" t="s">
        <v>8</v>
      </c>
      <c r="Q8452" s="16" t="str">
        <f>HYPERLINK("http://yeinfo.com/family/I09066697.html", "GRACE TUCKER 1685 ME-1722  ID:09048715")</f>
        <v>GRACE TUCKER 1685 ME-1722  ID:09048715</v>
      </c>
      <c r="R8452" s="11"/>
      <c r="S8452" s="11"/>
      <c r="T8452" s="11"/>
      <c r="U8452" s="11"/>
    </row>
    <row r="8453" spans="3:23" x14ac:dyDescent="0.35">
      <c r="C8453" s="15" t="s">
        <v>8</v>
      </c>
      <c r="H8453" s="15" t="s">
        <v>8</v>
      </c>
      <c r="J8453" s="15" t="s">
        <v>8</v>
      </c>
      <c r="K8453" s="15" t="s">
        <v>8</v>
      </c>
      <c r="M8453" s="15" t="s">
        <v>8</v>
      </c>
      <c r="N8453" s="15" t="s">
        <v>8</v>
      </c>
      <c r="O8453" s="15" t="s">
        <v>8</v>
      </c>
      <c r="R8453" s="15" t="s">
        <v>8</v>
      </c>
    </row>
    <row r="8454" spans="3:23" x14ac:dyDescent="0.35">
      <c r="C8454" s="15" t="s">
        <v>8</v>
      </c>
      <c r="H8454" s="15" t="s">
        <v>8</v>
      </c>
      <c r="J8454" s="15" t="s">
        <v>8</v>
      </c>
      <c r="K8454" s="15" t="s">
        <v>8</v>
      </c>
      <c r="M8454" s="15" t="s">
        <v>8</v>
      </c>
      <c r="N8454" s="15" t="s">
        <v>8</v>
      </c>
      <c r="O8454" s="15" t="s">
        <v>8</v>
      </c>
      <c r="R8454" s="15" t="s">
        <v>8</v>
      </c>
      <c r="S8454" s="21" t="str">
        <f>HYPERLINK("http://yeinfo.com/family/I09066692.html", "HUGH GUNNISON 1610 EN-1658 ME ID:09066693")</f>
        <v>HUGH GUNNISON 1610 EN-1658 ME ID:09066693</v>
      </c>
      <c r="T8454" s="6"/>
      <c r="U8454" s="6"/>
      <c r="V8454" s="6"/>
      <c r="W8454" s="6"/>
    </row>
    <row r="8455" spans="3:23" x14ac:dyDescent="0.35">
      <c r="C8455" s="15" t="s">
        <v>8</v>
      </c>
      <c r="H8455" s="15" t="s">
        <v>8</v>
      </c>
      <c r="J8455" s="15" t="s">
        <v>8</v>
      </c>
      <c r="K8455" s="15" t="s">
        <v>8</v>
      </c>
      <c r="M8455" s="15" t="s">
        <v>8</v>
      </c>
      <c r="N8455" s="15" t="s">
        <v>8</v>
      </c>
      <c r="O8455" s="15" t="s">
        <v>8</v>
      </c>
      <c r="R8455" s="8" t="s">
        <v>6</v>
      </c>
      <c r="S8455" s="8" t="s">
        <v>3</v>
      </c>
    </row>
    <row r="8456" spans="3:23" x14ac:dyDescent="0.35">
      <c r="C8456" s="15" t="s">
        <v>8</v>
      </c>
      <c r="H8456" s="15" t="s">
        <v>8</v>
      </c>
      <c r="J8456" s="15" t="s">
        <v>8</v>
      </c>
      <c r="K8456" s="15" t="s">
        <v>8</v>
      </c>
      <c r="M8456" s="15" t="s">
        <v>8</v>
      </c>
      <c r="N8456" s="15" t="s">
        <v>8</v>
      </c>
      <c r="O8456" s="15" t="s">
        <v>8</v>
      </c>
      <c r="R8456" s="16" t="str">
        <f>HYPERLINK("http://yeinfo.com/family/I09066691.html", "SARAH GUNNISON 1637 MA-1703 ME ID:09066692")</f>
        <v>SARAH GUNNISON 1637 MA-1703 ME ID:09066692</v>
      </c>
      <c r="S8456" s="11"/>
      <c r="T8456" s="11"/>
      <c r="U8456" s="11"/>
      <c r="V8456" s="11"/>
    </row>
    <row r="8457" spans="3:23" x14ac:dyDescent="0.35">
      <c r="C8457" s="15" t="s">
        <v>8</v>
      </c>
      <c r="H8457" s="15" t="s">
        <v>8</v>
      </c>
      <c r="J8457" s="15" t="s">
        <v>8</v>
      </c>
      <c r="K8457" s="15" t="s">
        <v>8</v>
      </c>
      <c r="M8457" s="15" t="s">
        <v>8</v>
      </c>
      <c r="N8457" s="15" t="s">
        <v>8</v>
      </c>
      <c r="O8457" s="15" t="s">
        <v>8</v>
      </c>
      <c r="S8457" s="8" t="s">
        <v>6</v>
      </c>
    </row>
    <row r="8458" spans="3:23" x14ac:dyDescent="0.35">
      <c r="C8458" s="15" t="s">
        <v>8</v>
      </c>
      <c r="H8458" s="15" t="s">
        <v>8</v>
      </c>
      <c r="J8458" s="15" t="s">
        <v>8</v>
      </c>
      <c r="K8458" s="15" t="s">
        <v>8</v>
      </c>
      <c r="M8458" s="15" t="s">
        <v>8</v>
      </c>
      <c r="N8458" s="15" t="s">
        <v>8</v>
      </c>
      <c r="O8458" s="15" t="s">
        <v>8</v>
      </c>
      <c r="S8458" s="22" t="str">
        <f>HYPERLINK("http://yeinfo.com/family/I09066693.html", "ELIZABETH KILBOURNE 1618 EN-1645 MA ID:09066696")</f>
        <v>ELIZABETH KILBOURNE 1618 EN-1645 MA ID:09066696</v>
      </c>
      <c r="T8458" s="13"/>
      <c r="U8458" s="13"/>
      <c r="V8458" s="13"/>
      <c r="W8458" s="13"/>
    </row>
    <row r="8459" spans="3:23" x14ac:dyDescent="0.35">
      <c r="C8459" s="15" t="s">
        <v>8</v>
      </c>
      <c r="H8459" s="15" t="s">
        <v>8</v>
      </c>
      <c r="J8459" s="15" t="s">
        <v>8</v>
      </c>
      <c r="K8459" s="15" t="s">
        <v>8</v>
      </c>
      <c r="M8459" s="15" t="s">
        <v>8</v>
      </c>
      <c r="N8459" s="8" t="s">
        <v>6</v>
      </c>
      <c r="O8459" s="15" t="s">
        <v>8</v>
      </c>
    </row>
    <row r="8460" spans="3:23" x14ac:dyDescent="0.35">
      <c r="C8460" s="15" t="s">
        <v>8</v>
      </c>
      <c r="H8460" s="15" t="s">
        <v>8</v>
      </c>
      <c r="J8460" s="15" t="s">
        <v>8</v>
      </c>
      <c r="K8460" s="15" t="s">
        <v>8</v>
      </c>
      <c r="M8460" s="15" t="s">
        <v>8</v>
      </c>
      <c r="N8460" s="22" t="str">
        <f>HYPERLINK("http://yeinfo.com/family/I09012177.html", "ALICE MATTOCKS 1627 EN-1704 MA ID:09006089")</f>
        <v>ALICE MATTOCKS 1627 EN-1704 MA ID:09006089</v>
      </c>
      <c r="O8460" s="13"/>
      <c r="P8460" s="13"/>
      <c r="Q8460" s="13"/>
      <c r="R8460" s="13"/>
    </row>
    <row r="8461" spans="3:23" x14ac:dyDescent="0.35">
      <c r="C8461" s="15" t="s">
        <v>8</v>
      </c>
      <c r="H8461" s="15" t="s">
        <v>8</v>
      </c>
      <c r="J8461" s="15" t="s">
        <v>8</v>
      </c>
      <c r="K8461" s="15" t="s">
        <v>8</v>
      </c>
      <c r="M8461" s="15" t="s">
        <v>8</v>
      </c>
      <c r="O8461" s="15" t="s">
        <v>8</v>
      </c>
    </row>
    <row r="8462" spans="3:23" x14ac:dyDescent="0.35">
      <c r="C8462" s="15" t="s">
        <v>8</v>
      </c>
      <c r="H8462" s="15" t="s">
        <v>8</v>
      </c>
      <c r="J8462" s="15" t="s">
        <v>8</v>
      </c>
      <c r="K8462" s="15" t="s">
        <v>8</v>
      </c>
      <c r="M8462" s="15" t="s">
        <v>8</v>
      </c>
      <c r="O8462" s="15" t="s">
        <v>8</v>
      </c>
      <c r="P8462" s="19" t="str">
        <f>HYPERLINK("http://yeinfo.com/family/I09012179.html", "CHRISTOPHER SPOORE 1580 EN-1600 EN ID:09024358")</f>
        <v>CHRISTOPHER SPOORE 1580 EN-1600 EN ID:09024358</v>
      </c>
      <c r="Q8462" s="9"/>
      <c r="R8462" s="9"/>
      <c r="S8462" s="9"/>
      <c r="T8462" s="9"/>
    </row>
    <row r="8463" spans="3:23" x14ac:dyDescent="0.35">
      <c r="C8463" s="15" t="s">
        <v>8</v>
      </c>
      <c r="H8463" s="15" t="s">
        <v>8</v>
      </c>
      <c r="J8463" s="15" t="s">
        <v>8</v>
      </c>
      <c r="K8463" s="15" t="s">
        <v>8</v>
      </c>
      <c r="M8463" s="15" t="s">
        <v>8</v>
      </c>
      <c r="O8463" s="8" t="s">
        <v>6</v>
      </c>
      <c r="P8463" s="8" t="s">
        <v>3</v>
      </c>
    </row>
    <row r="8464" spans="3:23" x14ac:dyDescent="0.35">
      <c r="C8464" s="15" t="s">
        <v>8</v>
      </c>
      <c r="H8464" s="15" t="s">
        <v>8</v>
      </c>
      <c r="J8464" s="15" t="s">
        <v>8</v>
      </c>
      <c r="K8464" s="15" t="s">
        <v>8</v>
      </c>
      <c r="M8464" s="15" t="s">
        <v>8</v>
      </c>
      <c r="O8464" s="22" t="str">
        <f>HYPERLINK("http://yeinfo.com/family/I09066696.html", "MARY SPOORE 1600 EN-1682 MA ID:09012179")</f>
        <v>MARY SPOORE 1600 EN-1682 MA ID:09012179</v>
      </c>
      <c r="P8464" s="13"/>
      <c r="Q8464" s="13"/>
      <c r="R8464" s="13"/>
      <c r="S8464" s="13"/>
    </row>
    <row r="8465" spans="3:22" x14ac:dyDescent="0.35">
      <c r="C8465" s="15" t="s">
        <v>8</v>
      </c>
      <c r="H8465" s="15" t="s">
        <v>8</v>
      </c>
      <c r="J8465" s="15" t="s">
        <v>8</v>
      </c>
      <c r="K8465" s="15" t="s">
        <v>8</v>
      </c>
      <c r="M8465" s="15" t="s">
        <v>8</v>
      </c>
      <c r="P8465" s="8" t="s">
        <v>6</v>
      </c>
    </row>
    <row r="8466" spans="3:22" x14ac:dyDescent="0.35">
      <c r="C8466" s="15" t="s">
        <v>8</v>
      </c>
      <c r="H8466" s="15" t="s">
        <v>8</v>
      </c>
      <c r="J8466" s="15" t="s">
        <v>8</v>
      </c>
      <c r="K8466" s="15" t="s">
        <v>8</v>
      </c>
      <c r="M8466" s="15" t="s">
        <v>8</v>
      </c>
      <c r="P8466" s="20" t="str">
        <f>HYPERLINK("http://yeinfo.com/family/I09024358.html", "Mrs. {_?_} SPOORE 1580 EN-1600 EN ID:09024359")</f>
        <v>Mrs. {_?_} SPOORE 1580 EN-1600 EN ID:09024359</v>
      </c>
      <c r="Q8466" s="17"/>
      <c r="R8466" s="17"/>
      <c r="S8466" s="17"/>
      <c r="T8466" s="17"/>
    </row>
    <row r="8467" spans="3:22" x14ac:dyDescent="0.35">
      <c r="C8467" s="15" t="s">
        <v>8</v>
      </c>
      <c r="H8467" s="15" t="s">
        <v>8</v>
      </c>
      <c r="J8467" s="15" t="s">
        <v>8</v>
      </c>
      <c r="K8467" s="15" t="s">
        <v>8</v>
      </c>
      <c r="M8467" s="15" t="s">
        <v>8</v>
      </c>
    </row>
    <row r="8468" spans="3:22" x14ac:dyDescent="0.35">
      <c r="C8468" s="15" t="s">
        <v>8</v>
      </c>
      <c r="H8468" s="15" t="s">
        <v>8</v>
      </c>
      <c r="J8468" s="15" t="s">
        <v>8</v>
      </c>
      <c r="K8468" s="15" t="s">
        <v>8</v>
      </c>
      <c r="L8468" s="5" t="str">
        <f>HYPERLINK("http://yeinfo.com/family/I09000761.html", "ISAAC HOWE 1686 MA-1758 MA ID:09001522")</f>
        <v>ISAAC HOWE 1686 MA-1758 MA ID:09001522</v>
      </c>
      <c r="M8468" s="3"/>
      <c r="N8468" s="3"/>
      <c r="O8468" s="3"/>
      <c r="P8468" s="3"/>
    </row>
    <row r="8469" spans="3:22" x14ac:dyDescent="0.35">
      <c r="C8469" s="15" t="s">
        <v>8</v>
      </c>
      <c r="H8469" s="15" t="s">
        <v>8</v>
      </c>
      <c r="J8469" s="15" t="s">
        <v>8</v>
      </c>
      <c r="K8469" s="15" t="s">
        <v>8</v>
      </c>
      <c r="L8469" s="8" t="s">
        <v>3</v>
      </c>
      <c r="M8469" s="15" t="s">
        <v>8</v>
      </c>
    </row>
    <row r="8470" spans="3:22" x14ac:dyDescent="0.35">
      <c r="C8470" s="15" t="s">
        <v>8</v>
      </c>
      <c r="H8470" s="15" t="s">
        <v>8</v>
      </c>
      <c r="J8470" s="15" t="s">
        <v>8</v>
      </c>
      <c r="K8470" s="15" t="s">
        <v>8</v>
      </c>
      <c r="L8470" s="15" t="s">
        <v>8</v>
      </c>
      <c r="M8470" s="15" t="s">
        <v>8</v>
      </c>
      <c r="R8470" s="19" t="str">
        <f>HYPERLINK("http://yeinfo.com/family/I09066695.html", "WILLIAM HOWE &lt;2&gt; 1501 EN-1558 EN ID:09066695")</f>
        <v>WILLIAM HOWE &lt;2&gt; 1501 EN-1558 EN ID:09066695</v>
      </c>
      <c r="S8470" s="9"/>
      <c r="T8470" s="9"/>
      <c r="U8470" s="9"/>
      <c r="V8470" s="9"/>
    </row>
    <row r="8471" spans="3:22" x14ac:dyDescent="0.35">
      <c r="C8471" s="15" t="s">
        <v>8</v>
      </c>
      <c r="H8471" s="15" t="s">
        <v>8</v>
      </c>
      <c r="J8471" s="15" t="s">
        <v>8</v>
      </c>
      <c r="K8471" s="15" t="s">
        <v>8</v>
      </c>
      <c r="L8471" s="15" t="s">
        <v>8</v>
      </c>
      <c r="M8471" s="15" t="s">
        <v>8</v>
      </c>
      <c r="R8471" s="8" t="s">
        <v>3</v>
      </c>
    </row>
    <row r="8472" spans="3:22" x14ac:dyDescent="0.35">
      <c r="C8472" s="15" t="s">
        <v>8</v>
      </c>
      <c r="H8472" s="15" t="s">
        <v>8</v>
      </c>
      <c r="J8472" s="15" t="s">
        <v>8</v>
      </c>
      <c r="K8472" s="15" t="s">
        <v>8</v>
      </c>
      <c r="L8472" s="15" t="s">
        <v>8</v>
      </c>
      <c r="M8472" s="15" t="s">
        <v>8</v>
      </c>
      <c r="Q8472" s="19" t="str">
        <f>HYPERLINK("http://yeinfo.com/family/I09048704.html", "JOHN HOWE &lt;2&gt; 1530 EN-1591 EN ID:09048704")</f>
        <v>JOHN HOWE &lt;2&gt; 1530 EN-1591 EN ID:09048704</v>
      </c>
      <c r="R8472" s="9"/>
      <c r="S8472" s="9"/>
      <c r="T8472" s="9"/>
      <c r="U8472" s="9"/>
    </row>
    <row r="8473" spans="3:22" x14ac:dyDescent="0.35">
      <c r="C8473" s="15" t="s">
        <v>8</v>
      </c>
      <c r="H8473" s="15" t="s">
        <v>8</v>
      </c>
      <c r="J8473" s="15" t="s">
        <v>8</v>
      </c>
      <c r="K8473" s="15" t="s">
        <v>8</v>
      </c>
      <c r="L8473" s="15" t="s">
        <v>8</v>
      </c>
      <c r="M8473" s="15" t="s">
        <v>8</v>
      </c>
      <c r="Q8473" s="8" t="s">
        <v>3</v>
      </c>
      <c r="R8473" s="8" t="s">
        <v>6</v>
      </c>
    </row>
    <row r="8474" spans="3:22" x14ac:dyDescent="0.35">
      <c r="C8474" s="15" t="s">
        <v>8</v>
      </c>
      <c r="H8474" s="15" t="s">
        <v>8</v>
      </c>
      <c r="J8474" s="15" t="s">
        <v>8</v>
      </c>
      <c r="K8474" s="15" t="s">
        <v>8</v>
      </c>
      <c r="L8474" s="15" t="s">
        <v>8</v>
      </c>
      <c r="M8474" s="15" t="s">
        <v>8</v>
      </c>
      <c r="Q8474" s="15" t="s">
        <v>8</v>
      </c>
      <c r="R8474" s="20" t="str">
        <f>HYPERLINK("http://yeinfo.com/family/I09066694.html", "Mrs. {_?_} HOWE &lt;2&gt; 1501 EN-1530 EN ID:09066694")</f>
        <v>Mrs. {_?_} HOWE &lt;2&gt; 1501 EN-1530 EN ID:09066694</v>
      </c>
      <c r="S8474" s="17"/>
      <c r="T8474" s="17"/>
      <c r="U8474" s="17"/>
      <c r="V8474" s="17"/>
    </row>
    <row r="8475" spans="3:22" x14ac:dyDescent="0.35">
      <c r="C8475" s="15" t="s">
        <v>8</v>
      </c>
      <c r="H8475" s="15" t="s">
        <v>8</v>
      </c>
      <c r="J8475" s="15" t="s">
        <v>8</v>
      </c>
      <c r="K8475" s="15" t="s">
        <v>8</v>
      </c>
      <c r="L8475" s="15" t="s">
        <v>8</v>
      </c>
      <c r="M8475" s="15" t="s">
        <v>8</v>
      </c>
      <c r="Q8475" s="15" t="s">
        <v>8</v>
      </c>
    </row>
    <row r="8476" spans="3:22" x14ac:dyDescent="0.35">
      <c r="C8476" s="15" t="s">
        <v>8</v>
      </c>
      <c r="H8476" s="15" t="s">
        <v>8</v>
      </c>
      <c r="J8476" s="15" t="s">
        <v>8</v>
      </c>
      <c r="K8476" s="15" t="s">
        <v>8</v>
      </c>
      <c r="L8476" s="15" t="s">
        <v>8</v>
      </c>
      <c r="M8476" s="15" t="s">
        <v>8</v>
      </c>
      <c r="P8476" s="19" t="str">
        <f>HYPERLINK("http://yeinfo.com/family/I09024352.html", "ROBERT HOWE &lt;2&gt; 1570 EN-1632 EN ID:09024352")</f>
        <v>ROBERT HOWE &lt;2&gt; 1570 EN-1632 EN ID:09024352</v>
      </c>
      <c r="Q8476" s="9"/>
      <c r="R8476" s="9"/>
      <c r="S8476" s="9"/>
      <c r="T8476" s="9"/>
    </row>
    <row r="8477" spans="3:22" x14ac:dyDescent="0.35">
      <c r="C8477" s="15" t="s">
        <v>8</v>
      </c>
      <c r="H8477" s="15" t="s">
        <v>8</v>
      </c>
      <c r="J8477" s="15" t="s">
        <v>8</v>
      </c>
      <c r="K8477" s="15" t="s">
        <v>8</v>
      </c>
      <c r="L8477" s="15" t="s">
        <v>8</v>
      </c>
      <c r="M8477" s="15" t="s">
        <v>8</v>
      </c>
      <c r="P8477" s="8" t="s">
        <v>3</v>
      </c>
      <c r="Q8477" s="8" t="s">
        <v>6</v>
      </c>
    </row>
    <row r="8478" spans="3:22" x14ac:dyDescent="0.35">
      <c r="C8478" s="15" t="s">
        <v>8</v>
      </c>
      <c r="H8478" s="15" t="s">
        <v>8</v>
      </c>
      <c r="J8478" s="15" t="s">
        <v>8</v>
      </c>
      <c r="K8478" s="15" t="s">
        <v>8</v>
      </c>
      <c r="L8478" s="15" t="s">
        <v>8</v>
      </c>
      <c r="M8478" s="15" t="s">
        <v>8</v>
      </c>
      <c r="P8478" s="15" t="s">
        <v>8</v>
      </c>
      <c r="Q8478" s="20" t="str">
        <f>HYPERLINK("http://yeinfo.com/family/I09048705.html", "JOAN WELLES &lt;2&gt; 1542 EN-1591 EN ID:09048705")</f>
        <v>JOAN WELLES &lt;2&gt; 1542 EN-1591 EN ID:09048705</v>
      </c>
      <c r="R8478" s="17"/>
      <c r="S8478" s="17"/>
      <c r="T8478" s="17"/>
      <c r="U8478" s="17"/>
    </row>
    <row r="8479" spans="3:22" x14ac:dyDescent="0.35">
      <c r="C8479" s="15" t="s">
        <v>8</v>
      </c>
      <c r="H8479" s="15" t="s">
        <v>8</v>
      </c>
      <c r="J8479" s="15" t="s">
        <v>8</v>
      </c>
      <c r="K8479" s="15" t="s">
        <v>8</v>
      </c>
      <c r="L8479" s="15" t="s">
        <v>8</v>
      </c>
      <c r="M8479" s="15" t="s">
        <v>8</v>
      </c>
      <c r="P8479" s="15" t="s">
        <v>8</v>
      </c>
    </row>
    <row r="8480" spans="3:22" x14ac:dyDescent="0.35">
      <c r="C8480" s="15" t="s">
        <v>8</v>
      </c>
      <c r="H8480" s="15" t="s">
        <v>8</v>
      </c>
      <c r="J8480" s="15" t="s">
        <v>8</v>
      </c>
      <c r="K8480" s="15" t="s">
        <v>8</v>
      </c>
      <c r="L8480" s="15" t="s">
        <v>8</v>
      </c>
      <c r="M8480" s="15" t="s">
        <v>8</v>
      </c>
      <c r="O8480" s="21" t="str">
        <f>HYPERLINK("http://yeinfo.com/family/I09006090.html", "JAMES HOWE Sr. 1598 EN-1702 MA ID:09012180")</f>
        <v>JAMES HOWE Sr. 1598 EN-1702 MA ID:09012180</v>
      </c>
      <c r="P8480" s="6"/>
      <c r="Q8480" s="6"/>
      <c r="R8480" s="6"/>
      <c r="S8480" s="6"/>
    </row>
    <row r="8481" spans="3:20" x14ac:dyDescent="0.35">
      <c r="C8481" s="15" t="s">
        <v>8</v>
      </c>
      <c r="H8481" s="15" t="s">
        <v>8</v>
      </c>
      <c r="J8481" s="15" t="s">
        <v>8</v>
      </c>
      <c r="K8481" s="15" t="s">
        <v>8</v>
      </c>
      <c r="L8481" s="15" t="s">
        <v>8</v>
      </c>
      <c r="M8481" s="15" t="s">
        <v>8</v>
      </c>
      <c r="O8481" s="8" t="s">
        <v>3</v>
      </c>
      <c r="P8481" s="8" t="s">
        <v>6</v>
      </c>
    </row>
    <row r="8482" spans="3:20" x14ac:dyDescent="0.35">
      <c r="C8482" s="15" t="s">
        <v>8</v>
      </c>
      <c r="H8482" s="15" t="s">
        <v>8</v>
      </c>
      <c r="J8482" s="15" t="s">
        <v>8</v>
      </c>
      <c r="K8482" s="15" t="s">
        <v>8</v>
      </c>
      <c r="L8482" s="15" t="s">
        <v>8</v>
      </c>
      <c r="M8482" s="15" t="s">
        <v>8</v>
      </c>
      <c r="O8482" s="15" t="s">
        <v>8</v>
      </c>
      <c r="P8482" s="22" t="str">
        <f>HYPERLINK("http://yeinfo.com/family/I09024353.html", "EME INGOLD &lt;2&gt; 1577 EN-1634 MA ID:09024353")</f>
        <v>EME INGOLD &lt;2&gt; 1577 EN-1634 MA ID:09024353</v>
      </c>
      <c r="Q8482" s="13"/>
      <c r="R8482" s="13"/>
      <c r="S8482" s="13"/>
      <c r="T8482" s="13"/>
    </row>
    <row r="8483" spans="3:20" x14ac:dyDescent="0.35">
      <c r="C8483" s="15" t="s">
        <v>8</v>
      </c>
      <c r="H8483" s="15" t="s">
        <v>8</v>
      </c>
      <c r="J8483" s="15" t="s">
        <v>8</v>
      </c>
      <c r="K8483" s="15" t="s">
        <v>8</v>
      </c>
      <c r="L8483" s="15" t="s">
        <v>8</v>
      </c>
      <c r="M8483" s="15" t="s">
        <v>8</v>
      </c>
      <c r="O8483" s="15" t="s">
        <v>8</v>
      </c>
    </row>
    <row r="8484" spans="3:20" x14ac:dyDescent="0.35">
      <c r="C8484" s="15" t="s">
        <v>8</v>
      </c>
      <c r="H8484" s="15" t="s">
        <v>8</v>
      </c>
      <c r="J8484" s="15" t="s">
        <v>8</v>
      </c>
      <c r="K8484" s="15" t="s">
        <v>8</v>
      </c>
      <c r="L8484" s="15" t="s">
        <v>8</v>
      </c>
      <c r="M8484" s="15" t="s">
        <v>8</v>
      </c>
      <c r="N8484" s="21" t="str">
        <f>HYPERLINK("http://yeinfo.com/family/I09003045.html", "JAMES HOWE Jr. 1632 EN-1702 MA ID:09006090")</f>
        <v>JAMES HOWE Jr. 1632 EN-1702 MA ID:09006090</v>
      </c>
      <c r="O8484" s="6"/>
      <c r="P8484" s="6"/>
      <c r="Q8484" s="6"/>
      <c r="R8484" s="6"/>
    </row>
    <row r="8485" spans="3:20" x14ac:dyDescent="0.35">
      <c r="C8485" s="15" t="s">
        <v>8</v>
      </c>
      <c r="H8485" s="15" t="s">
        <v>8</v>
      </c>
      <c r="J8485" s="15" t="s">
        <v>8</v>
      </c>
      <c r="K8485" s="15" t="s">
        <v>8</v>
      </c>
      <c r="L8485" s="15" t="s">
        <v>8</v>
      </c>
      <c r="M8485" s="15" t="s">
        <v>8</v>
      </c>
      <c r="N8485" s="8" t="s">
        <v>3</v>
      </c>
      <c r="O8485" s="15" t="s">
        <v>8</v>
      </c>
    </row>
    <row r="8486" spans="3:20" x14ac:dyDescent="0.35">
      <c r="C8486" s="15" t="s">
        <v>8</v>
      </c>
      <c r="H8486" s="15" t="s">
        <v>8</v>
      </c>
      <c r="J8486" s="15" t="s">
        <v>8</v>
      </c>
      <c r="K8486" s="15" t="s">
        <v>8</v>
      </c>
      <c r="L8486" s="15" t="s">
        <v>8</v>
      </c>
      <c r="M8486" s="15" t="s">
        <v>8</v>
      </c>
      <c r="N8486" s="15" t="s">
        <v>8</v>
      </c>
      <c r="O8486" s="15" t="s">
        <v>8</v>
      </c>
      <c r="P8486" s="21" t="str">
        <f>HYPERLINK("http://yeinfo.com/family/I09012181.html", "JOHN DANE Jr. 1586 EN-1658 MA ID:09024362")</f>
        <v>JOHN DANE Jr. 1586 EN-1658 MA ID:09024362</v>
      </c>
      <c r="Q8486" s="6"/>
      <c r="R8486" s="6"/>
      <c r="S8486" s="6"/>
      <c r="T8486" s="6"/>
    </row>
    <row r="8487" spans="3:20" x14ac:dyDescent="0.35">
      <c r="C8487" s="15" t="s">
        <v>8</v>
      </c>
      <c r="H8487" s="15" t="s">
        <v>8</v>
      </c>
      <c r="J8487" s="15" t="s">
        <v>8</v>
      </c>
      <c r="K8487" s="15" t="s">
        <v>8</v>
      </c>
      <c r="L8487" s="15" t="s">
        <v>8</v>
      </c>
      <c r="M8487" s="15" t="s">
        <v>8</v>
      </c>
      <c r="N8487" s="15" t="s">
        <v>8</v>
      </c>
      <c r="O8487" s="8" t="s">
        <v>6</v>
      </c>
      <c r="P8487" s="8" t="s">
        <v>3</v>
      </c>
    </row>
    <row r="8488" spans="3:20" x14ac:dyDescent="0.35">
      <c r="C8488" s="15" t="s">
        <v>8</v>
      </c>
      <c r="H8488" s="15" t="s">
        <v>8</v>
      </c>
      <c r="J8488" s="15" t="s">
        <v>8</v>
      </c>
      <c r="K8488" s="15" t="s">
        <v>8</v>
      </c>
      <c r="L8488" s="15" t="s">
        <v>8</v>
      </c>
      <c r="M8488" s="15" t="s">
        <v>8</v>
      </c>
      <c r="N8488" s="15" t="s">
        <v>8</v>
      </c>
      <c r="O8488" s="22" t="str">
        <f>HYPERLINK("http://yeinfo.com/family/I09012180.html", "ELIZABETH DANE 1611 EN-1694 MA ID:09012181")</f>
        <v>ELIZABETH DANE 1611 EN-1694 MA ID:09012181</v>
      </c>
      <c r="P8488" s="13"/>
      <c r="Q8488" s="13"/>
      <c r="R8488" s="13"/>
      <c r="S8488" s="13"/>
    </row>
    <row r="8489" spans="3:20" x14ac:dyDescent="0.35">
      <c r="C8489" s="15" t="s">
        <v>8</v>
      </c>
      <c r="H8489" s="15" t="s">
        <v>8</v>
      </c>
      <c r="J8489" s="15" t="s">
        <v>8</v>
      </c>
      <c r="K8489" s="15" t="s">
        <v>8</v>
      </c>
      <c r="L8489" s="15" t="s">
        <v>8</v>
      </c>
      <c r="M8489" s="15" t="s">
        <v>8</v>
      </c>
      <c r="N8489" s="15" t="s">
        <v>8</v>
      </c>
      <c r="P8489" s="8" t="s">
        <v>6</v>
      </c>
    </row>
    <row r="8490" spans="3:20" x14ac:dyDescent="0.35">
      <c r="C8490" s="15" t="s">
        <v>8</v>
      </c>
      <c r="H8490" s="15" t="s">
        <v>8</v>
      </c>
      <c r="J8490" s="15" t="s">
        <v>8</v>
      </c>
      <c r="K8490" s="15" t="s">
        <v>8</v>
      </c>
      <c r="L8490" s="15" t="s">
        <v>8</v>
      </c>
      <c r="M8490" s="15" t="s">
        <v>8</v>
      </c>
      <c r="N8490" s="15" t="s">
        <v>8</v>
      </c>
      <c r="P8490" s="22" t="str">
        <f>HYPERLINK("http://yeinfo.com/family/I09024362.html", "FRANCES BOWYER 1588 EN-1616 MA ID:09024363")</f>
        <v>FRANCES BOWYER 1588 EN-1616 MA ID:09024363</v>
      </c>
      <c r="Q8490" s="13"/>
      <c r="R8490" s="13"/>
      <c r="S8490" s="13"/>
      <c r="T8490" s="13"/>
    </row>
    <row r="8491" spans="3:20" x14ac:dyDescent="0.35">
      <c r="C8491" s="15" t="s">
        <v>8</v>
      </c>
      <c r="H8491" s="15" t="s">
        <v>8</v>
      </c>
      <c r="J8491" s="15" t="s">
        <v>8</v>
      </c>
      <c r="K8491" s="15" t="s">
        <v>8</v>
      </c>
      <c r="L8491" s="15" t="s">
        <v>8</v>
      </c>
      <c r="M8491" s="8" t="s">
        <v>6</v>
      </c>
      <c r="N8491" s="15" t="s">
        <v>8</v>
      </c>
    </row>
    <row r="8492" spans="3:20" x14ac:dyDescent="0.35">
      <c r="C8492" s="15" t="s">
        <v>8</v>
      </c>
      <c r="H8492" s="15" t="s">
        <v>8</v>
      </c>
      <c r="J8492" s="15" t="s">
        <v>8</v>
      </c>
      <c r="K8492" s="15" t="s">
        <v>8</v>
      </c>
      <c r="L8492" s="15" t="s">
        <v>8</v>
      </c>
      <c r="M8492" s="16" t="str">
        <f>HYPERLINK("http://yeinfo.com/family/I09024359.html", "DEBORAH HOWE 1667 MA-1750 MA ID:09003045")</f>
        <v>DEBORAH HOWE 1667 MA-1750 MA ID:09003045</v>
      </c>
      <c r="N8492" s="11"/>
      <c r="O8492" s="11"/>
      <c r="P8492" s="11"/>
      <c r="Q8492" s="11"/>
    </row>
    <row r="8493" spans="3:20" x14ac:dyDescent="0.35">
      <c r="C8493" s="15" t="s">
        <v>8</v>
      </c>
      <c r="H8493" s="15" t="s">
        <v>8</v>
      </c>
      <c r="J8493" s="15" t="s">
        <v>8</v>
      </c>
      <c r="K8493" s="15" t="s">
        <v>8</v>
      </c>
      <c r="L8493" s="15" t="s">
        <v>8</v>
      </c>
      <c r="N8493" s="15" t="s">
        <v>8</v>
      </c>
    </row>
    <row r="8494" spans="3:20" x14ac:dyDescent="0.35">
      <c r="C8494" s="15" t="s">
        <v>8</v>
      </c>
      <c r="H8494" s="15" t="s">
        <v>8</v>
      </c>
      <c r="J8494" s="15" t="s">
        <v>8</v>
      </c>
      <c r="K8494" s="15" t="s">
        <v>8</v>
      </c>
      <c r="L8494" s="15" t="s">
        <v>8</v>
      </c>
      <c r="N8494" s="15" t="s">
        <v>8</v>
      </c>
      <c r="P8494" s="21" t="str">
        <f>HYPERLINK("http://yeinfo.com/family/I09012182.html", "WILLIAM JACKSON Sr. 1585 EN-1688 MA ID:09024364")</f>
        <v>WILLIAM JACKSON Sr. 1585 EN-1688 MA ID:09024364</v>
      </c>
      <c r="Q8494" s="6"/>
      <c r="R8494" s="6"/>
      <c r="S8494" s="6"/>
      <c r="T8494" s="6"/>
    </row>
    <row r="8495" spans="3:20" x14ac:dyDescent="0.35">
      <c r="C8495" s="15" t="s">
        <v>8</v>
      </c>
      <c r="H8495" s="15" t="s">
        <v>8</v>
      </c>
      <c r="J8495" s="15" t="s">
        <v>8</v>
      </c>
      <c r="K8495" s="15" t="s">
        <v>8</v>
      </c>
      <c r="L8495" s="15" t="s">
        <v>8</v>
      </c>
      <c r="N8495" s="15" t="s">
        <v>8</v>
      </c>
      <c r="P8495" s="8" t="s">
        <v>3</v>
      </c>
    </row>
    <row r="8496" spans="3:20" x14ac:dyDescent="0.35">
      <c r="C8496" s="15" t="s">
        <v>8</v>
      </c>
      <c r="H8496" s="15" t="s">
        <v>8</v>
      </c>
      <c r="J8496" s="15" t="s">
        <v>8</v>
      </c>
      <c r="K8496" s="15" t="s">
        <v>8</v>
      </c>
      <c r="L8496" s="15" t="s">
        <v>8</v>
      </c>
      <c r="N8496" s="15" t="s">
        <v>8</v>
      </c>
      <c r="O8496" s="21" t="str">
        <f>HYPERLINK("http://yeinfo.com/family/I09006091.html", "WILLIAM JACKSON Jr. 1615 EN-1688 MA ID:09012182")</f>
        <v>WILLIAM JACKSON Jr. 1615 EN-1688 MA ID:09012182</v>
      </c>
      <c r="P8496" s="6"/>
      <c r="Q8496" s="6"/>
      <c r="R8496" s="6"/>
      <c r="S8496" s="6"/>
    </row>
    <row r="8497" spans="3:20" x14ac:dyDescent="0.35">
      <c r="C8497" s="15" t="s">
        <v>8</v>
      </c>
      <c r="H8497" s="15" t="s">
        <v>8</v>
      </c>
      <c r="J8497" s="15" t="s">
        <v>8</v>
      </c>
      <c r="K8497" s="15" t="s">
        <v>8</v>
      </c>
      <c r="L8497" s="15" t="s">
        <v>8</v>
      </c>
      <c r="N8497" s="15" t="s">
        <v>8</v>
      </c>
      <c r="O8497" s="8" t="s">
        <v>3</v>
      </c>
      <c r="P8497" s="8" t="s">
        <v>6</v>
      </c>
    </row>
    <row r="8498" spans="3:20" x14ac:dyDescent="0.35">
      <c r="C8498" s="15" t="s">
        <v>8</v>
      </c>
      <c r="H8498" s="15" t="s">
        <v>8</v>
      </c>
      <c r="J8498" s="15" t="s">
        <v>8</v>
      </c>
      <c r="K8498" s="15" t="s">
        <v>8</v>
      </c>
      <c r="L8498" s="15" t="s">
        <v>8</v>
      </c>
      <c r="N8498" s="15" t="s">
        <v>8</v>
      </c>
      <c r="O8498" s="15" t="s">
        <v>8</v>
      </c>
      <c r="P8498" s="22" t="str">
        <f>HYPERLINK("http://yeinfo.com/family/I09024364.html", "ISABELL BURTWISLE 1588 EN-1635 MA ID:09024365")</f>
        <v>ISABELL BURTWISLE 1588 EN-1635 MA ID:09024365</v>
      </c>
      <c r="Q8498" s="13"/>
      <c r="R8498" s="13"/>
      <c r="S8498" s="13"/>
      <c r="T8498" s="13"/>
    </row>
    <row r="8499" spans="3:20" x14ac:dyDescent="0.35">
      <c r="C8499" s="15" t="s">
        <v>8</v>
      </c>
      <c r="H8499" s="15" t="s">
        <v>8</v>
      </c>
      <c r="J8499" s="15" t="s">
        <v>8</v>
      </c>
      <c r="K8499" s="15" t="s">
        <v>8</v>
      </c>
      <c r="L8499" s="15" t="s">
        <v>8</v>
      </c>
      <c r="N8499" s="8" t="s">
        <v>6</v>
      </c>
      <c r="O8499" s="15" t="s">
        <v>8</v>
      </c>
    </row>
    <row r="8500" spans="3:20" x14ac:dyDescent="0.35">
      <c r="C8500" s="15" t="s">
        <v>8</v>
      </c>
      <c r="H8500" s="15" t="s">
        <v>8</v>
      </c>
      <c r="J8500" s="15" t="s">
        <v>8</v>
      </c>
      <c r="K8500" s="15" t="s">
        <v>8</v>
      </c>
      <c r="L8500" s="15" t="s">
        <v>8</v>
      </c>
      <c r="N8500" s="22" t="str">
        <f>HYPERLINK("http://yeinfo.com/family/I09024363.html", "ELIZABETH JACKSON 1637 EN-1692 MA ID:09006091")</f>
        <v>ELIZABETH JACKSON 1637 EN-1692 MA ID:09006091</v>
      </c>
      <c r="O8500" s="13"/>
      <c r="P8500" s="13"/>
      <c r="Q8500" s="13"/>
      <c r="R8500" s="13"/>
    </row>
    <row r="8501" spans="3:20" x14ac:dyDescent="0.35">
      <c r="C8501" s="15" t="s">
        <v>8</v>
      </c>
      <c r="H8501" s="15" t="s">
        <v>8</v>
      </c>
      <c r="J8501" s="15" t="s">
        <v>8</v>
      </c>
      <c r="K8501" s="15" t="s">
        <v>8</v>
      </c>
      <c r="L8501" s="15" t="s">
        <v>8</v>
      </c>
      <c r="O8501" s="15" t="s">
        <v>8</v>
      </c>
    </row>
    <row r="8502" spans="3:20" x14ac:dyDescent="0.35">
      <c r="C8502" s="15" t="s">
        <v>8</v>
      </c>
      <c r="H8502" s="15" t="s">
        <v>8</v>
      </c>
      <c r="J8502" s="15" t="s">
        <v>8</v>
      </c>
      <c r="K8502" s="15" t="s">
        <v>8</v>
      </c>
      <c r="L8502" s="15" t="s">
        <v>8</v>
      </c>
      <c r="O8502" s="15" t="s">
        <v>8</v>
      </c>
      <c r="P8502" s="19" t="str">
        <f>HYPERLINK("http://yeinfo.com/family/I09012183.html", "ABRAHAM COLLINS 1580 EN-1610 EN ID:09024366")</f>
        <v>ABRAHAM COLLINS 1580 EN-1610 EN ID:09024366</v>
      </c>
      <c r="Q8502" s="9"/>
      <c r="R8502" s="9"/>
      <c r="S8502" s="9"/>
      <c r="T8502" s="9"/>
    </row>
    <row r="8503" spans="3:20" x14ac:dyDescent="0.35">
      <c r="C8503" s="15" t="s">
        <v>8</v>
      </c>
      <c r="H8503" s="15" t="s">
        <v>8</v>
      </c>
      <c r="J8503" s="15" t="s">
        <v>8</v>
      </c>
      <c r="K8503" s="15" t="s">
        <v>8</v>
      </c>
      <c r="L8503" s="15" t="s">
        <v>8</v>
      </c>
      <c r="O8503" s="8" t="s">
        <v>6</v>
      </c>
      <c r="P8503" s="8" t="s">
        <v>3</v>
      </c>
    </row>
    <row r="8504" spans="3:20" x14ac:dyDescent="0.35">
      <c r="C8504" s="15" t="s">
        <v>8</v>
      </c>
      <c r="H8504" s="15" t="s">
        <v>8</v>
      </c>
      <c r="J8504" s="15" t="s">
        <v>8</v>
      </c>
      <c r="K8504" s="15" t="s">
        <v>8</v>
      </c>
      <c r="L8504" s="15" t="s">
        <v>8</v>
      </c>
      <c r="O8504" s="22" t="str">
        <f>HYPERLINK("http://yeinfo.com/family/I09024365.html", "JOANNA COLLINS 1610 EN-1680 MA ID:09012183")</f>
        <v>JOANNA COLLINS 1610 EN-1680 MA ID:09012183</v>
      </c>
      <c r="P8504" s="13"/>
      <c r="Q8504" s="13"/>
      <c r="R8504" s="13"/>
      <c r="S8504" s="13"/>
    </row>
    <row r="8505" spans="3:20" x14ac:dyDescent="0.35">
      <c r="C8505" s="15" t="s">
        <v>8</v>
      </c>
      <c r="H8505" s="15" t="s">
        <v>8</v>
      </c>
      <c r="J8505" s="15" t="s">
        <v>8</v>
      </c>
      <c r="K8505" s="15" t="s">
        <v>8</v>
      </c>
      <c r="L8505" s="15" t="s">
        <v>8</v>
      </c>
      <c r="P8505" s="8" t="s">
        <v>6</v>
      </c>
    </row>
    <row r="8506" spans="3:20" x14ac:dyDescent="0.35">
      <c r="C8506" s="15" t="s">
        <v>8</v>
      </c>
      <c r="H8506" s="15" t="s">
        <v>8</v>
      </c>
      <c r="J8506" s="15" t="s">
        <v>8</v>
      </c>
      <c r="K8506" s="15" t="s">
        <v>8</v>
      </c>
      <c r="L8506" s="15" t="s">
        <v>8</v>
      </c>
      <c r="P8506" s="20" t="str">
        <f>HYPERLINK("http://yeinfo.com/family/I09024366.html", "ANNE STANNARD 1584 EN-1610 EN ID:09024367")</f>
        <v>ANNE STANNARD 1584 EN-1610 EN ID:09024367</v>
      </c>
      <c r="Q8506" s="17"/>
      <c r="R8506" s="17"/>
      <c r="S8506" s="17"/>
      <c r="T8506" s="17"/>
    </row>
    <row r="8507" spans="3:20" x14ac:dyDescent="0.35">
      <c r="C8507" s="15" t="s">
        <v>8</v>
      </c>
      <c r="H8507" s="15" t="s">
        <v>8</v>
      </c>
      <c r="J8507" s="15" t="s">
        <v>8</v>
      </c>
      <c r="K8507" s="8" t="s">
        <v>6</v>
      </c>
      <c r="L8507" s="15" t="s">
        <v>8</v>
      </c>
    </row>
    <row r="8508" spans="3:20" x14ac:dyDescent="0.35">
      <c r="C8508" s="15" t="s">
        <v>8</v>
      </c>
      <c r="H8508" s="15" t="s">
        <v>8</v>
      </c>
      <c r="J8508" s="15" t="s">
        <v>8</v>
      </c>
      <c r="K8508" s="16" t="str">
        <f>HYPERLINK("http://yeinfo.com/family/I09006087.html", "LYDIA HOWE 1721 MA-1783 NC ID:09000761")</f>
        <v>LYDIA HOWE 1721 MA-1783 NC ID:09000761</v>
      </c>
      <c r="L8508" s="11"/>
      <c r="M8508" s="11"/>
      <c r="N8508" s="11"/>
      <c r="O8508" s="11"/>
    </row>
    <row r="8509" spans="3:20" x14ac:dyDescent="0.35">
      <c r="C8509" s="15" t="s">
        <v>8</v>
      </c>
      <c r="H8509" s="15" t="s">
        <v>8</v>
      </c>
      <c r="J8509" s="15" t="s">
        <v>8</v>
      </c>
      <c r="L8509" s="15" t="s">
        <v>8</v>
      </c>
    </row>
    <row r="8510" spans="3:20" x14ac:dyDescent="0.35">
      <c r="C8510" s="15" t="s">
        <v>8</v>
      </c>
      <c r="H8510" s="15" t="s">
        <v>8</v>
      </c>
      <c r="J8510" s="15" t="s">
        <v>8</v>
      </c>
      <c r="L8510" s="15" t="s">
        <v>8</v>
      </c>
      <c r="P8510" s="19" t="str">
        <f>HYPERLINK("http://yeinfo.com/family/I09012184.html", "WILLIAM JACKSON 1550 EN-1625 EN ID:09024368")</f>
        <v>WILLIAM JACKSON 1550 EN-1625 EN ID:09024368</v>
      </c>
      <c r="Q8510" s="9"/>
      <c r="R8510" s="9"/>
      <c r="S8510" s="9"/>
      <c r="T8510" s="9"/>
    </row>
    <row r="8511" spans="3:20" x14ac:dyDescent="0.35">
      <c r="C8511" s="15" t="s">
        <v>8</v>
      </c>
      <c r="H8511" s="15" t="s">
        <v>8</v>
      </c>
      <c r="J8511" s="15" t="s">
        <v>8</v>
      </c>
      <c r="L8511" s="15" t="s">
        <v>8</v>
      </c>
      <c r="P8511" s="8" t="s">
        <v>3</v>
      </c>
    </row>
    <row r="8512" spans="3:20" x14ac:dyDescent="0.35">
      <c r="C8512" s="15" t="s">
        <v>8</v>
      </c>
      <c r="H8512" s="15" t="s">
        <v>8</v>
      </c>
      <c r="J8512" s="15" t="s">
        <v>8</v>
      </c>
      <c r="L8512" s="15" t="s">
        <v>8</v>
      </c>
      <c r="O8512" s="19" t="str">
        <f>HYPERLINK("http://yeinfo.com/family/I09006092.html", "NICHOLAS JACKSON 1575 EN-1613 EN ID:09012184")</f>
        <v>NICHOLAS JACKSON 1575 EN-1613 EN ID:09012184</v>
      </c>
      <c r="P8512" s="9"/>
      <c r="Q8512" s="9"/>
      <c r="R8512" s="9"/>
      <c r="S8512" s="9"/>
    </row>
    <row r="8513" spans="3:20" x14ac:dyDescent="0.35">
      <c r="C8513" s="15" t="s">
        <v>8</v>
      </c>
      <c r="H8513" s="15" t="s">
        <v>8</v>
      </c>
      <c r="J8513" s="15" t="s">
        <v>8</v>
      </c>
      <c r="L8513" s="15" t="s">
        <v>8</v>
      </c>
      <c r="O8513" s="8" t="s">
        <v>3</v>
      </c>
      <c r="P8513" s="8" t="s">
        <v>6</v>
      </c>
    </row>
    <row r="8514" spans="3:20" x14ac:dyDescent="0.35">
      <c r="C8514" s="15" t="s">
        <v>8</v>
      </c>
      <c r="H8514" s="15" t="s">
        <v>8</v>
      </c>
      <c r="J8514" s="15" t="s">
        <v>8</v>
      </c>
      <c r="L8514" s="15" t="s">
        <v>8</v>
      </c>
      <c r="O8514" s="15" t="s">
        <v>8</v>
      </c>
      <c r="P8514" s="20" t="str">
        <f>HYPERLINK("http://yeinfo.com/family/I09024368.html", "ELIZABETH BACKUS 1550 EN-1575 EN ID:09024369")</f>
        <v>ELIZABETH BACKUS 1550 EN-1575 EN ID:09024369</v>
      </c>
      <c r="Q8514" s="17"/>
      <c r="R8514" s="17"/>
      <c r="S8514" s="17"/>
      <c r="T8514" s="17"/>
    </row>
    <row r="8515" spans="3:20" x14ac:dyDescent="0.35">
      <c r="C8515" s="15" t="s">
        <v>8</v>
      </c>
      <c r="H8515" s="15" t="s">
        <v>8</v>
      </c>
      <c r="J8515" s="15" t="s">
        <v>8</v>
      </c>
      <c r="L8515" s="15" t="s">
        <v>8</v>
      </c>
      <c r="O8515" s="15" t="s">
        <v>8</v>
      </c>
    </row>
    <row r="8516" spans="3:20" x14ac:dyDescent="0.35">
      <c r="C8516" s="15" t="s">
        <v>8</v>
      </c>
      <c r="H8516" s="15" t="s">
        <v>8</v>
      </c>
      <c r="J8516" s="15" t="s">
        <v>8</v>
      </c>
      <c r="L8516" s="15" t="s">
        <v>8</v>
      </c>
      <c r="N8516" s="19" t="str">
        <f>HYPERLINK("http://yeinfo.com/family/I09003046.html", "NICHOLAS JACKSON 1613 EN-1698 EN ID:09006092")</f>
        <v>NICHOLAS JACKSON 1613 EN-1698 EN ID:09006092</v>
      </c>
      <c r="O8516" s="9"/>
      <c r="P8516" s="9"/>
      <c r="Q8516" s="9"/>
      <c r="R8516" s="9"/>
    </row>
    <row r="8517" spans="3:20" x14ac:dyDescent="0.35">
      <c r="C8517" s="15" t="s">
        <v>8</v>
      </c>
      <c r="H8517" s="15" t="s">
        <v>8</v>
      </c>
      <c r="J8517" s="15" t="s">
        <v>8</v>
      </c>
      <c r="L8517" s="15" t="s">
        <v>8</v>
      </c>
      <c r="N8517" s="8" t="s">
        <v>3</v>
      </c>
      <c r="O8517" s="8" t="s">
        <v>6</v>
      </c>
    </row>
    <row r="8518" spans="3:20" x14ac:dyDescent="0.35">
      <c r="C8518" s="15" t="s">
        <v>8</v>
      </c>
      <c r="H8518" s="15" t="s">
        <v>8</v>
      </c>
      <c r="J8518" s="15" t="s">
        <v>8</v>
      </c>
      <c r="L8518" s="15" t="s">
        <v>8</v>
      </c>
      <c r="N8518" s="15" t="s">
        <v>8</v>
      </c>
      <c r="O8518" s="20" t="str">
        <f>HYPERLINK("http://yeinfo.com/family/I09024369.html", "PRUDENCE MARCHE 1576 EN-1613 EN ID:09012185")</f>
        <v>PRUDENCE MARCHE 1576 EN-1613 EN ID:09012185</v>
      </c>
      <c r="P8518" s="17"/>
      <c r="Q8518" s="17"/>
      <c r="R8518" s="17"/>
      <c r="S8518" s="17"/>
    </row>
    <row r="8519" spans="3:20" x14ac:dyDescent="0.35">
      <c r="C8519" s="15" t="s">
        <v>8</v>
      </c>
      <c r="H8519" s="15" t="s">
        <v>8</v>
      </c>
      <c r="J8519" s="15" t="s">
        <v>8</v>
      </c>
      <c r="L8519" s="15" t="s">
        <v>8</v>
      </c>
      <c r="N8519" s="15" t="s">
        <v>8</v>
      </c>
    </row>
    <row r="8520" spans="3:20" x14ac:dyDescent="0.35">
      <c r="C8520" s="15" t="s">
        <v>8</v>
      </c>
      <c r="H8520" s="15" t="s">
        <v>8</v>
      </c>
      <c r="J8520" s="15" t="s">
        <v>8</v>
      </c>
      <c r="L8520" s="15" t="s">
        <v>8</v>
      </c>
      <c r="M8520" s="5" t="str">
        <f>HYPERLINK("http://yeinfo.com/family/I09001523.html", "JONATHAN JACKSON 1650 MA-1715 MA ID:09003046")</f>
        <v>JONATHAN JACKSON 1650 MA-1715 MA ID:09003046</v>
      </c>
      <c r="N8520" s="3"/>
      <c r="O8520" s="3"/>
      <c r="P8520" s="3"/>
      <c r="Q8520" s="3"/>
    </row>
    <row r="8521" spans="3:20" x14ac:dyDescent="0.35">
      <c r="C8521" s="15" t="s">
        <v>8</v>
      </c>
      <c r="H8521" s="15" t="s">
        <v>8</v>
      </c>
      <c r="J8521" s="15" t="s">
        <v>8</v>
      </c>
      <c r="L8521" s="15" t="s">
        <v>8</v>
      </c>
      <c r="M8521" s="8" t="s">
        <v>3</v>
      </c>
      <c r="N8521" s="15" t="s">
        <v>8</v>
      </c>
    </row>
    <row r="8522" spans="3:20" x14ac:dyDescent="0.35">
      <c r="C8522" s="15" t="s">
        <v>8</v>
      </c>
      <c r="H8522" s="15" t="s">
        <v>8</v>
      </c>
      <c r="J8522" s="15" t="s">
        <v>8</v>
      </c>
      <c r="L8522" s="15" t="s">
        <v>8</v>
      </c>
      <c r="M8522" s="15" t="s">
        <v>8</v>
      </c>
      <c r="N8522" s="15" t="s">
        <v>8</v>
      </c>
      <c r="P8522" s="19" t="str">
        <f>HYPERLINK("http://yeinfo.com/family/I09012186.html", "GEORGE RILEY 1577 EN-1655 EN ID:09024372")</f>
        <v>GEORGE RILEY 1577 EN-1655 EN ID:09024372</v>
      </c>
      <c r="Q8522" s="9"/>
      <c r="R8522" s="9"/>
      <c r="S8522" s="9"/>
      <c r="T8522" s="9"/>
    </row>
    <row r="8523" spans="3:20" x14ac:dyDescent="0.35">
      <c r="C8523" s="15" t="s">
        <v>8</v>
      </c>
      <c r="H8523" s="15" t="s">
        <v>8</v>
      </c>
      <c r="J8523" s="15" t="s">
        <v>8</v>
      </c>
      <c r="L8523" s="15" t="s">
        <v>8</v>
      </c>
      <c r="M8523" s="15" t="s">
        <v>8</v>
      </c>
      <c r="N8523" s="15" t="s">
        <v>8</v>
      </c>
      <c r="P8523" s="8" t="s">
        <v>3</v>
      </c>
    </row>
    <row r="8524" spans="3:20" x14ac:dyDescent="0.35">
      <c r="C8524" s="15" t="s">
        <v>8</v>
      </c>
      <c r="H8524" s="15" t="s">
        <v>8</v>
      </c>
      <c r="J8524" s="15" t="s">
        <v>8</v>
      </c>
      <c r="L8524" s="15" t="s">
        <v>8</v>
      </c>
      <c r="M8524" s="15" t="s">
        <v>8</v>
      </c>
      <c r="N8524" s="15" t="s">
        <v>8</v>
      </c>
      <c r="O8524" s="19" t="str">
        <f>HYPERLINK("http://yeinfo.com/family/I09006093.html", "HENRY RILEY 1605 EN-1626 EN ID:09012186")</f>
        <v>HENRY RILEY 1605 EN-1626 EN ID:09012186</v>
      </c>
      <c r="P8524" s="9"/>
      <c r="Q8524" s="9"/>
      <c r="R8524" s="9"/>
      <c r="S8524" s="9"/>
    </row>
    <row r="8525" spans="3:20" x14ac:dyDescent="0.35">
      <c r="C8525" s="15" t="s">
        <v>8</v>
      </c>
      <c r="H8525" s="15" t="s">
        <v>8</v>
      </c>
      <c r="J8525" s="15" t="s">
        <v>8</v>
      </c>
      <c r="L8525" s="15" t="s">
        <v>8</v>
      </c>
      <c r="M8525" s="15" t="s">
        <v>8</v>
      </c>
      <c r="N8525" s="15" t="s">
        <v>8</v>
      </c>
      <c r="O8525" s="8" t="s">
        <v>3</v>
      </c>
      <c r="P8525" s="8" t="s">
        <v>6</v>
      </c>
    </row>
    <row r="8526" spans="3:20" x14ac:dyDescent="0.35">
      <c r="C8526" s="15" t="s">
        <v>8</v>
      </c>
      <c r="H8526" s="15" t="s">
        <v>8</v>
      </c>
      <c r="J8526" s="15" t="s">
        <v>8</v>
      </c>
      <c r="L8526" s="15" t="s">
        <v>8</v>
      </c>
      <c r="M8526" s="15" t="s">
        <v>8</v>
      </c>
      <c r="N8526" s="15" t="s">
        <v>8</v>
      </c>
      <c r="O8526" s="15" t="s">
        <v>8</v>
      </c>
      <c r="P8526" s="20" t="str">
        <f>HYPERLINK("http://yeinfo.com/family/I09024372.html", "GRACE MEDLEY 1579 EN-1647 EN ID:09024373")</f>
        <v>GRACE MEDLEY 1579 EN-1647 EN ID:09024373</v>
      </c>
      <c r="Q8526" s="17"/>
      <c r="R8526" s="17"/>
      <c r="S8526" s="17"/>
      <c r="T8526" s="17"/>
    </row>
    <row r="8527" spans="3:20" x14ac:dyDescent="0.35">
      <c r="C8527" s="15" t="s">
        <v>8</v>
      </c>
      <c r="H8527" s="15" t="s">
        <v>8</v>
      </c>
      <c r="J8527" s="15" t="s">
        <v>8</v>
      </c>
      <c r="L8527" s="15" t="s">
        <v>8</v>
      </c>
      <c r="M8527" s="15" t="s">
        <v>8</v>
      </c>
      <c r="N8527" s="8" t="s">
        <v>6</v>
      </c>
      <c r="O8527" s="15" t="s">
        <v>8</v>
      </c>
    </row>
    <row r="8528" spans="3:20" x14ac:dyDescent="0.35">
      <c r="C8528" s="15" t="s">
        <v>8</v>
      </c>
      <c r="H8528" s="15" t="s">
        <v>8</v>
      </c>
      <c r="J8528" s="15" t="s">
        <v>8</v>
      </c>
      <c r="L8528" s="15" t="s">
        <v>8</v>
      </c>
      <c r="M8528" s="15" t="s">
        <v>8</v>
      </c>
      <c r="N8528" s="22" t="str">
        <f>HYPERLINK("http://yeinfo.com/family/I09012185.html", "SARAH RILEY 1626 EN-1655 MA ID:09006093")</f>
        <v>SARAH RILEY 1626 EN-1655 MA ID:09006093</v>
      </c>
      <c r="O8528" s="13"/>
      <c r="P8528" s="13"/>
      <c r="Q8528" s="13"/>
      <c r="R8528" s="13"/>
    </row>
    <row r="8529" spans="3:22" x14ac:dyDescent="0.35">
      <c r="C8529" s="15" t="s">
        <v>8</v>
      </c>
      <c r="H8529" s="15" t="s">
        <v>8</v>
      </c>
      <c r="J8529" s="15" t="s">
        <v>8</v>
      </c>
      <c r="L8529" s="15" t="s">
        <v>8</v>
      </c>
      <c r="M8529" s="15" t="s">
        <v>8</v>
      </c>
      <c r="O8529" s="8" t="s">
        <v>6</v>
      </c>
    </row>
    <row r="8530" spans="3:22" x14ac:dyDescent="0.35">
      <c r="C8530" s="15" t="s">
        <v>8</v>
      </c>
      <c r="H8530" s="15" t="s">
        <v>8</v>
      </c>
      <c r="J8530" s="15" t="s">
        <v>8</v>
      </c>
      <c r="L8530" s="15" t="s">
        <v>8</v>
      </c>
      <c r="M8530" s="15" t="s">
        <v>8</v>
      </c>
      <c r="O8530" s="20" t="str">
        <f>HYPERLINK("http://yeinfo.com/family/I09024373.html", "MARIA ALISANDRA FIRTH 1599 EN-1637 EN ID:09012187")</f>
        <v>MARIA ALISANDRA FIRTH 1599 EN-1637 EN ID:09012187</v>
      </c>
      <c r="P8530" s="17"/>
      <c r="Q8530" s="17"/>
      <c r="R8530" s="17"/>
      <c r="S8530" s="17"/>
    </row>
    <row r="8531" spans="3:22" x14ac:dyDescent="0.35">
      <c r="C8531" s="15" t="s">
        <v>8</v>
      </c>
      <c r="H8531" s="15" t="s">
        <v>8</v>
      </c>
      <c r="J8531" s="15" t="s">
        <v>8</v>
      </c>
      <c r="L8531" s="8" t="s">
        <v>6</v>
      </c>
      <c r="M8531" s="15" t="s">
        <v>8</v>
      </c>
    </row>
    <row r="8532" spans="3:22" x14ac:dyDescent="0.35">
      <c r="C8532" s="15" t="s">
        <v>8</v>
      </c>
      <c r="H8532" s="15" t="s">
        <v>8</v>
      </c>
      <c r="J8532" s="15" t="s">
        <v>8</v>
      </c>
      <c r="L8532" s="16" t="str">
        <f>HYPERLINK("http://yeinfo.com/family/I09024367.html", "LYDIA JACKSON 1686 MA-1739 MA ID:09001523")</f>
        <v>LYDIA JACKSON 1686 MA-1739 MA ID:09001523</v>
      </c>
      <c r="M8532" s="11"/>
      <c r="N8532" s="11"/>
      <c r="O8532" s="11"/>
      <c r="P8532" s="11"/>
    </row>
    <row r="8533" spans="3:22" x14ac:dyDescent="0.35">
      <c r="C8533" s="15" t="s">
        <v>8</v>
      </c>
      <c r="H8533" s="15" t="s">
        <v>8</v>
      </c>
      <c r="J8533" s="15" t="s">
        <v>8</v>
      </c>
      <c r="M8533" s="15" t="s">
        <v>8</v>
      </c>
    </row>
    <row r="8534" spans="3:22" x14ac:dyDescent="0.35">
      <c r="C8534" s="15" t="s">
        <v>8</v>
      </c>
      <c r="H8534" s="15" t="s">
        <v>8</v>
      </c>
      <c r="J8534" s="15" t="s">
        <v>8</v>
      </c>
      <c r="M8534" s="15" t="s">
        <v>8</v>
      </c>
      <c r="P8534" s="21" t="str">
        <f>HYPERLINK("http://yeinfo.com/family/I09011496.html", "EDWARD GARFIELD &lt;4&gt; 1575 EN-1672 MA ID:09011496")</f>
        <v>EDWARD GARFIELD &lt;4&gt; 1575 EN-1672 MA ID:09011496</v>
      </c>
      <c r="Q8534" s="6"/>
      <c r="R8534" s="6"/>
      <c r="S8534" s="6"/>
      <c r="T8534" s="6"/>
    </row>
    <row r="8535" spans="3:22" x14ac:dyDescent="0.35">
      <c r="C8535" s="15" t="s">
        <v>8</v>
      </c>
      <c r="H8535" s="15" t="s">
        <v>8</v>
      </c>
      <c r="J8535" s="15" t="s">
        <v>8</v>
      </c>
      <c r="M8535" s="15" t="s">
        <v>8</v>
      </c>
      <c r="P8535" s="8" t="s">
        <v>3</v>
      </c>
    </row>
    <row r="8536" spans="3:22" x14ac:dyDescent="0.35">
      <c r="C8536" s="15" t="s">
        <v>8</v>
      </c>
      <c r="H8536" s="15" t="s">
        <v>8</v>
      </c>
      <c r="J8536" s="15" t="s">
        <v>8</v>
      </c>
      <c r="M8536" s="15" t="s">
        <v>8</v>
      </c>
      <c r="O8536" s="5" t="str">
        <f>HYPERLINK("http://yeinfo.com/family/I09005748.html", "EDWARD GARFIELD &lt;4&gt; 1605 EN-1672  ID:09005748")</f>
        <v>EDWARD GARFIELD &lt;4&gt; 1605 EN-1672  ID:09005748</v>
      </c>
      <c r="P8536" s="3"/>
      <c r="Q8536" s="3"/>
      <c r="R8536" s="3"/>
      <c r="S8536" s="3"/>
    </row>
    <row r="8537" spans="3:22" x14ac:dyDescent="0.35">
      <c r="C8537" s="15" t="s">
        <v>8</v>
      </c>
      <c r="H8537" s="15" t="s">
        <v>8</v>
      </c>
      <c r="J8537" s="15" t="s">
        <v>8</v>
      </c>
      <c r="M8537" s="15" t="s">
        <v>8</v>
      </c>
      <c r="O8537" s="8" t="s">
        <v>3</v>
      </c>
      <c r="P8537" s="8" t="s">
        <v>6</v>
      </c>
    </row>
    <row r="8538" spans="3:22" x14ac:dyDescent="0.35">
      <c r="C8538" s="15" t="s">
        <v>8</v>
      </c>
      <c r="H8538" s="15" t="s">
        <v>8</v>
      </c>
      <c r="J8538" s="15" t="s">
        <v>8</v>
      </c>
      <c r="M8538" s="15" t="s">
        <v>8</v>
      </c>
      <c r="O8538" s="15" t="s">
        <v>8</v>
      </c>
      <c r="P8538" s="16" t="str">
        <f>HYPERLINK("http://yeinfo.com/family/I09011497.html", "Mrs. AGNES\SARAH GARFIELD &lt;4&gt; 1575 EN-1605  ID:09011497")</f>
        <v>Mrs. AGNES\SARAH GARFIELD &lt;4&gt; 1575 EN-1605  ID:09011497</v>
      </c>
      <c r="Q8538" s="11"/>
      <c r="R8538" s="11"/>
      <c r="S8538" s="11"/>
      <c r="T8538" s="11"/>
      <c r="U8538" s="11"/>
      <c r="V8538" s="11"/>
    </row>
    <row r="8539" spans="3:22" x14ac:dyDescent="0.35">
      <c r="C8539" s="15" t="s">
        <v>8</v>
      </c>
      <c r="H8539" s="15" t="s">
        <v>8</v>
      </c>
      <c r="J8539" s="15" t="s">
        <v>8</v>
      </c>
      <c r="M8539" s="15" t="s">
        <v>8</v>
      </c>
      <c r="O8539" s="15" t="s">
        <v>8</v>
      </c>
    </row>
    <row r="8540" spans="3:22" x14ac:dyDescent="0.35">
      <c r="C8540" s="15" t="s">
        <v>8</v>
      </c>
      <c r="H8540" s="15" t="s">
        <v>8</v>
      </c>
      <c r="J8540" s="15" t="s">
        <v>8</v>
      </c>
      <c r="M8540" s="15" t="s">
        <v>8</v>
      </c>
      <c r="N8540" s="5" t="str">
        <f>HYPERLINK("http://yeinfo.com/family/I09002874.html", "SAMUEL GARFIELD &lt;2&gt; 1624 MA-1684 MA ID:09002874")</f>
        <v>SAMUEL GARFIELD &lt;2&gt; 1624 MA-1684 MA ID:09002874</v>
      </c>
      <c r="O8540" s="3"/>
      <c r="P8540" s="3"/>
      <c r="Q8540" s="3"/>
      <c r="R8540" s="3"/>
    </row>
    <row r="8541" spans="3:22" x14ac:dyDescent="0.35">
      <c r="C8541" s="15" t="s">
        <v>8</v>
      </c>
      <c r="H8541" s="15" t="s">
        <v>8</v>
      </c>
      <c r="J8541" s="15" t="s">
        <v>8</v>
      </c>
      <c r="M8541" s="15" t="s">
        <v>8</v>
      </c>
      <c r="N8541" s="8" t="s">
        <v>3</v>
      </c>
      <c r="O8541" s="15" t="s">
        <v>8</v>
      </c>
    </row>
    <row r="8542" spans="3:22" x14ac:dyDescent="0.35">
      <c r="C8542" s="15" t="s">
        <v>8</v>
      </c>
      <c r="H8542" s="15" t="s">
        <v>8</v>
      </c>
      <c r="J8542" s="15" t="s">
        <v>8</v>
      </c>
      <c r="M8542" s="15" t="s">
        <v>8</v>
      </c>
      <c r="N8542" s="15" t="s">
        <v>8</v>
      </c>
      <c r="O8542" s="15" t="s">
        <v>8</v>
      </c>
      <c r="P8542" s="21" t="str">
        <f>HYPERLINK("http://yeinfo.com/family/I09011498.html", "EDWARD JOHNSON &lt;4&gt; 1580 EN-1672 MA ID:09011498")</f>
        <v>EDWARD JOHNSON &lt;4&gt; 1580 EN-1672 MA ID:09011498</v>
      </c>
      <c r="Q8542" s="6"/>
      <c r="R8542" s="6"/>
      <c r="S8542" s="6"/>
      <c r="T8542" s="6"/>
    </row>
    <row r="8543" spans="3:22" x14ac:dyDescent="0.35">
      <c r="C8543" s="15" t="s">
        <v>8</v>
      </c>
      <c r="H8543" s="15" t="s">
        <v>8</v>
      </c>
      <c r="J8543" s="15" t="s">
        <v>8</v>
      </c>
      <c r="M8543" s="15" t="s">
        <v>8</v>
      </c>
      <c r="N8543" s="15" t="s">
        <v>8</v>
      </c>
      <c r="O8543" s="8" t="s">
        <v>6</v>
      </c>
      <c r="P8543" s="8" t="s">
        <v>3</v>
      </c>
    </row>
    <row r="8544" spans="3:22" x14ac:dyDescent="0.35">
      <c r="C8544" s="15" t="s">
        <v>8</v>
      </c>
      <c r="H8544" s="15" t="s">
        <v>8</v>
      </c>
      <c r="J8544" s="15" t="s">
        <v>8</v>
      </c>
      <c r="M8544" s="15" t="s">
        <v>8</v>
      </c>
      <c r="N8544" s="15" t="s">
        <v>8</v>
      </c>
      <c r="O8544" s="22" t="str">
        <f>HYPERLINK("http://yeinfo.com/family/I09005749.html", "REBECCA JOHNSON &lt;4&gt; 1609 EN-1661 MA ID:09005749")</f>
        <v>REBECCA JOHNSON &lt;4&gt; 1609 EN-1661 MA ID:09005749</v>
      </c>
      <c r="P8544" s="13"/>
      <c r="Q8544" s="13"/>
      <c r="R8544" s="13"/>
      <c r="S8544" s="13"/>
    </row>
    <row r="8545" spans="3:21" x14ac:dyDescent="0.35">
      <c r="C8545" s="15" t="s">
        <v>8</v>
      </c>
      <c r="H8545" s="15" t="s">
        <v>8</v>
      </c>
      <c r="J8545" s="15" t="s">
        <v>8</v>
      </c>
      <c r="M8545" s="15" t="s">
        <v>8</v>
      </c>
      <c r="N8545" s="15" t="s">
        <v>8</v>
      </c>
      <c r="P8545" s="8" t="s">
        <v>6</v>
      </c>
    </row>
    <row r="8546" spans="3:21" x14ac:dyDescent="0.35">
      <c r="C8546" s="15" t="s">
        <v>8</v>
      </c>
      <c r="H8546" s="15" t="s">
        <v>8</v>
      </c>
      <c r="J8546" s="15" t="s">
        <v>8</v>
      </c>
      <c r="M8546" s="15" t="s">
        <v>8</v>
      </c>
      <c r="N8546" s="15" t="s">
        <v>8</v>
      </c>
      <c r="P8546" s="22" t="str">
        <f>HYPERLINK("http://yeinfo.com/family/I09011499.html", "KATHERINE FISHER &lt;4&gt; 1580 EN-1609 MA ID:09011499")</f>
        <v>KATHERINE FISHER &lt;4&gt; 1580 EN-1609 MA ID:09011499</v>
      </c>
      <c r="Q8546" s="13"/>
      <c r="R8546" s="13"/>
      <c r="S8546" s="13"/>
      <c r="T8546" s="13"/>
    </row>
    <row r="8547" spans="3:21" x14ac:dyDescent="0.35">
      <c r="C8547" s="15" t="s">
        <v>8</v>
      </c>
      <c r="H8547" s="15" t="s">
        <v>8</v>
      </c>
      <c r="J8547" s="15" t="s">
        <v>8</v>
      </c>
      <c r="M8547" s="8" t="s">
        <v>6</v>
      </c>
      <c r="N8547" s="15" t="s">
        <v>8</v>
      </c>
    </row>
    <row r="8548" spans="3:21" x14ac:dyDescent="0.35">
      <c r="C8548" s="15" t="s">
        <v>8</v>
      </c>
      <c r="H8548" s="15" t="s">
        <v>8</v>
      </c>
      <c r="J8548" s="15" t="s">
        <v>8</v>
      </c>
      <c r="M8548" s="16" t="str">
        <f>HYPERLINK("http://yeinfo.com/family/I09012187.html", "ANNA\HANNAH GARFIELD 1660 MA-1705 MA ID:09003047")</f>
        <v>ANNA\HANNAH GARFIELD 1660 MA-1705 MA ID:09003047</v>
      </c>
      <c r="N8548" s="11"/>
      <c r="O8548" s="11"/>
      <c r="P8548" s="11"/>
      <c r="Q8548" s="11"/>
      <c r="R8548" s="11"/>
    </row>
    <row r="8549" spans="3:21" x14ac:dyDescent="0.35">
      <c r="C8549" s="15" t="s">
        <v>8</v>
      </c>
      <c r="H8549" s="15" t="s">
        <v>8</v>
      </c>
      <c r="J8549" s="15" t="s">
        <v>8</v>
      </c>
      <c r="N8549" s="8" t="s">
        <v>6</v>
      </c>
    </row>
    <row r="8550" spans="3:21" x14ac:dyDescent="0.35">
      <c r="C8550" s="15" t="s">
        <v>8</v>
      </c>
      <c r="H8550" s="15" t="s">
        <v>8</v>
      </c>
      <c r="J8550" s="15" t="s">
        <v>8</v>
      </c>
      <c r="N8550" s="22" t="str">
        <f>HYPERLINK("http://yeinfo.com/family/I09002875.html", "MARY BENFIELD &lt;2&gt; 1633 EN-1709 MA ID:09002875")</f>
        <v>MARY BENFIELD &lt;2&gt; 1633 EN-1709 MA ID:09002875</v>
      </c>
      <c r="O8550" s="13"/>
      <c r="P8550" s="13"/>
      <c r="Q8550" s="13"/>
      <c r="R8550" s="13"/>
    </row>
    <row r="8551" spans="3:21" x14ac:dyDescent="0.35">
      <c r="C8551" s="15" t="s">
        <v>8</v>
      </c>
      <c r="H8551" s="15" t="s">
        <v>8</v>
      </c>
      <c r="J8551" s="15" t="s">
        <v>8</v>
      </c>
    </row>
    <row r="8552" spans="3:21" x14ac:dyDescent="0.35">
      <c r="C8552" s="15" t="s">
        <v>8</v>
      </c>
      <c r="H8552" s="15" t="s">
        <v>8</v>
      </c>
      <c r="I8552" s="5" t="str">
        <f>HYPERLINK("http://yeinfo.com/family/I09000095.html", "AMOS PERRY 1768 MA-1813 VT ID:09000190")</f>
        <v>AMOS PERRY 1768 MA-1813 VT ID:09000190</v>
      </c>
      <c r="J8552" s="3"/>
      <c r="K8552" s="3"/>
      <c r="L8552" s="3"/>
      <c r="M8552" s="3"/>
    </row>
    <row r="8553" spans="3:21" x14ac:dyDescent="0.35">
      <c r="C8553" s="15" t="s">
        <v>8</v>
      </c>
      <c r="H8553" s="15" t="s">
        <v>8</v>
      </c>
      <c r="I8553" s="8" t="s">
        <v>3</v>
      </c>
      <c r="J8553" s="15" t="s">
        <v>8</v>
      </c>
    </row>
    <row r="8554" spans="3:21" x14ac:dyDescent="0.35">
      <c r="C8554" s="15" t="s">
        <v>8</v>
      </c>
      <c r="H8554" s="15" t="s">
        <v>8</v>
      </c>
      <c r="I8554" s="15" t="s">
        <v>8</v>
      </c>
      <c r="J8554" s="15" t="s">
        <v>8</v>
      </c>
      <c r="N8554" s="21" t="str">
        <f>HYPERLINK("http://yeinfo.com/family/I09006024.html", "RICHARD NEWTON &lt;2&gt; 1601 EN-1701 MA ID:09006024")</f>
        <v>RICHARD NEWTON &lt;2&gt; 1601 EN-1701 MA ID:09006024</v>
      </c>
      <c r="O8554" s="6"/>
      <c r="P8554" s="6"/>
      <c r="Q8554" s="6"/>
      <c r="R8554" s="6"/>
    </row>
    <row r="8555" spans="3:21" x14ac:dyDescent="0.35">
      <c r="C8555" s="15" t="s">
        <v>8</v>
      </c>
      <c r="H8555" s="15" t="s">
        <v>8</v>
      </c>
      <c r="I8555" s="15" t="s">
        <v>8</v>
      </c>
      <c r="J8555" s="15" t="s">
        <v>8</v>
      </c>
      <c r="N8555" s="8" t="s">
        <v>3</v>
      </c>
    </row>
    <row r="8556" spans="3:21" x14ac:dyDescent="0.35">
      <c r="C8556" s="15" t="s">
        <v>8</v>
      </c>
      <c r="H8556" s="15" t="s">
        <v>8</v>
      </c>
      <c r="I8556" s="15" t="s">
        <v>8</v>
      </c>
      <c r="J8556" s="15" t="s">
        <v>8</v>
      </c>
      <c r="M8556" s="5" t="str">
        <f>HYPERLINK("http://yeinfo.com/family/I09001524.html", "MOSES NEWTON Sr. 1645 MA-1736 MA ID:09003048")</f>
        <v>MOSES NEWTON Sr. 1645 MA-1736 MA ID:09003048</v>
      </c>
      <c r="N8556" s="3"/>
      <c r="O8556" s="3"/>
      <c r="P8556" s="3"/>
      <c r="Q8556" s="3"/>
    </row>
    <row r="8557" spans="3:21" x14ac:dyDescent="0.35">
      <c r="C8557" s="15" t="s">
        <v>8</v>
      </c>
      <c r="H8557" s="15" t="s">
        <v>8</v>
      </c>
      <c r="I8557" s="15" t="s">
        <v>8</v>
      </c>
      <c r="J8557" s="15" t="s">
        <v>8</v>
      </c>
      <c r="M8557" s="8" t="s">
        <v>3</v>
      </c>
      <c r="N8557" s="15" t="s">
        <v>8</v>
      </c>
    </row>
    <row r="8558" spans="3:21" x14ac:dyDescent="0.35">
      <c r="C8558" s="15" t="s">
        <v>8</v>
      </c>
      <c r="H8558" s="15" t="s">
        <v>8</v>
      </c>
      <c r="I8558" s="15" t="s">
        <v>8</v>
      </c>
      <c r="J8558" s="15" t="s">
        <v>8</v>
      </c>
      <c r="M8558" s="15" t="s">
        <v>8</v>
      </c>
      <c r="N8558" s="15" t="s">
        <v>8</v>
      </c>
      <c r="Q8558" s="19" t="str">
        <f>HYPERLINK("http://yeinfo.com/family/I09048200.html", "JOHN LOKER &lt;3&gt; 1508 -1552 EN ID:09048200")</f>
        <v>JOHN LOKER &lt;3&gt; 1508 -1552 EN ID:09048200</v>
      </c>
      <c r="R8558" s="9"/>
      <c r="S8558" s="9"/>
      <c r="T8558" s="9"/>
      <c r="U8558" s="9"/>
    </row>
    <row r="8559" spans="3:21" x14ac:dyDescent="0.35">
      <c r="C8559" s="15" t="s">
        <v>8</v>
      </c>
      <c r="H8559" s="15" t="s">
        <v>8</v>
      </c>
      <c r="I8559" s="15" t="s">
        <v>8</v>
      </c>
      <c r="J8559" s="15" t="s">
        <v>8</v>
      </c>
      <c r="M8559" s="15" t="s">
        <v>8</v>
      </c>
      <c r="N8559" s="15" t="s">
        <v>8</v>
      </c>
      <c r="Q8559" s="8" t="s">
        <v>3</v>
      </c>
    </row>
    <row r="8560" spans="3:21" x14ac:dyDescent="0.35">
      <c r="C8560" s="15" t="s">
        <v>8</v>
      </c>
      <c r="H8560" s="15" t="s">
        <v>8</v>
      </c>
      <c r="I8560" s="15" t="s">
        <v>8</v>
      </c>
      <c r="J8560" s="15" t="s">
        <v>8</v>
      </c>
      <c r="M8560" s="15" t="s">
        <v>8</v>
      </c>
      <c r="N8560" s="15" t="s">
        <v>8</v>
      </c>
      <c r="P8560" s="19" t="str">
        <f>HYPERLINK("http://yeinfo.com/family/I09024100.html", "ROBERT LOKER &lt;3&gt; 1534 EN-1592 EN ID:09024100")</f>
        <v>ROBERT LOKER &lt;3&gt; 1534 EN-1592 EN ID:09024100</v>
      </c>
      <c r="Q8560" s="9"/>
      <c r="R8560" s="9"/>
      <c r="S8560" s="9"/>
      <c r="T8560" s="9"/>
    </row>
    <row r="8561" spans="3:23" x14ac:dyDescent="0.35">
      <c r="C8561" s="15" t="s">
        <v>8</v>
      </c>
      <c r="H8561" s="15" t="s">
        <v>8</v>
      </c>
      <c r="I8561" s="15" t="s">
        <v>8</v>
      </c>
      <c r="J8561" s="15" t="s">
        <v>8</v>
      </c>
      <c r="M8561" s="15" t="s">
        <v>8</v>
      </c>
      <c r="N8561" s="15" t="s">
        <v>8</v>
      </c>
      <c r="P8561" s="8" t="s">
        <v>3</v>
      </c>
      <c r="Q8561" s="8" t="s">
        <v>6</v>
      </c>
    </row>
    <row r="8562" spans="3:23" x14ac:dyDescent="0.35">
      <c r="C8562" s="15" t="s">
        <v>8</v>
      </c>
      <c r="H8562" s="15" t="s">
        <v>8</v>
      </c>
      <c r="I8562" s="15" t="s">
        <v>8</v>
      </c>
      <c r="J8562" s="15" t="s">
        <v>8</v>
      </c>
      <c r="M8562" s="15" t="s">
        <v>8</v>
      </c>
      <c r="N8562" s="15" t="s">
        <v>8</v>
      </c>
      <c r="P8562" s="15" t="s">
        <v>8</v>
      </c>
      <c r="Q8562" s="20" t="str">
        <f>HYPERLINK("http://yeinfo.com/family/I09048201.html", "JOAN RIDDLESDALE &lt;3&gt; 1512 EN-1561 EN ID:09048201")</f>
        <v>JOAN RIDDLESDALE &lt;3&gt; 1512 EN-1561 EN ID:09048201</v>
      </c>
      <c r="R8562" s="17"/>
      <c r="S8562" s="17"/>
      <c r="T8562" s="17"/>
      <c r="U8562" s="17"/>
    </row>
    <row r="8563" spans="3:23" x14ac:dyDescent="0.35">
      <c r="C8563" s="15" t="s">
        <v>8</v>
      </c>
      <c r="H8563" s="15" t="s">
        <v>8</v>
      </c>
      <c r="I8563" s="15" t="s">
        <v>8</v>
      </c>
      <c r="J8563" s="15" t="s">
        <v>8</v>
      </c>
      <c r="M8563" s="15" t="s">
        <v>8</v>
      </c>
      <c r="N8563" s="15" t="s">
        <v>8</v>
      </c>
      <c r="P8563" s="15" t="s">
        <v>8</v>
      </c>
    </row>
    <row r="8564" spans="3:23" x14ac:dyDescent="0.35">
      <c r="C8564" s="15" t="s">
        <v>8</v>
      </c>
      <c r="H8564" s="15" t="s">
        <v>8</v>
      </c>
      <c r="I8564" s="15" t="s">
        <v>8</v>
      </c>
      <c r="J8564" s="15" t="s">
        <v>8</v>
      </c>
      <c r="M8564" s="15" t="s">
        <v>8</v>
      </c>
      <c r="N8564" s="15" t="s">
        <v>8</v>
      </c>
      <c r="O8564" s="19" t="str">
        <f>HYPERLINK("http://yeinfo.com/family/I09012050.html", "HENRY LOKER Jr. &lt;3&gt; 1577 EN-1631 EN ID:09012050")</f>
        <v>HENRY LOKER Jr. &lt;3&gt; 1577 EN-1631 EN ID:09012050</v>
      </c>
      <c r="P8564" s="9"/>
      <c r="Q8564" s="9"/>
      <c r="R8564" s="9"/>
      <c r="S8564" s="9"/>
    </row>
    <row r="8565" spans="3:23" x14ac:dyDescent="0.35">
      <c r="C8565" s="15" t="s">
        <v>8</v>
      </c>
      <c r="H8565" s="15" t="s">
        <v>8</v>
      </c>
      <c r="I8565" s="15" t="s">
        <v>8</v>
      </c>
      <c r="J8565" s="15" t="s">
        <v>8</v>
      </c>
      <c r="M8565" s="15" t="s">
        <v>8</v>
      </c>
      <c r="N8565" s="15" t="s">
        <v>8</v>
      </c>
      <c r="O8565" s="8" t="s">
        <v>3</v>
      </c>
      <c r="P8565" s="15" t="s">
        <v>8</v>
      </c>
    </row>
    <row r="8566" spans="3:23" x14ac:dyDescent="0.35">
      <c r="C8566" s="15" t="s">
        <v>8</v>
      </c>
      <c r="H8566" s="15" t="s">
        <v>8</v>
      </c>
      <c r="I8566" s="15" t="s">
        <v>8</v>
      </c>
      <c r="J8566" s="15" t="s">
        <v>8</v>
      </c>
      <c r="M8566" s="15" t="s">
        <v>8</v>
      </c>
      <c r="N8566" s="15" t="s">
        <v>8</v>
      </c>
      <c r="O8566" s="15" t="s">
        <v>8</v>
      </c>
      <c r="P8566" s="15" t="s">
        <v>8</v>
      </c>
      <c r="Q8566" s="19" t="str">
        <f>HYPERLINK("http://yeinfo.com/family/I09048202.html", "JOHN RIDDLESDALE &lt;3&gt; 1510 EN-1552 EN ID:09048202")</f>
        <v>JOHN RIDDLESDALE &lt;3&gt; 1510 EN-1552 EN ID:09048202</v>
      </c>
      <c r="R8566" s="9"/>
      <c r="S8566" s="9"/>
      <c r="T8566" s="9"/>
      <c r="U8566" s="9"/>
    </row>
    <row r="8567" spans="3:23" x14ac:dyDescent="0.35">
      <c r="C8567" s="15" t="s">
        <v>8</v>
      </c>
      <c r="H8567" s="15" t="s">
        <v>8</v>
      </c>
      <c r="I8567" s="15" t="s">
        <v>8</v>
      </c>
      <c r="J8567" s="15" t="s">
        <v>8</v>
      </c>
      <c r="M8567" s="15" t="s">
        <v>8</v>
      </c>
      <c r="N8567" s="15" t="s">
        <v>8</v>
      </c>
      <c r="O8567" s="15" t="s">
        <v>8</v>
      </c>
      <c r="P8567" s="8" t="s">
        <v>6</v>
      </c>
      <c r="Q8567" s="8" t="s">
        <v>3</v>
      </c>
    </row>
    <row r="8568" spans="3:23" x14ac:dyDescent="0.35">
      <c r="C8568" s="15" t="s">
        <v>8</v>
      </c>
      <c r="H8568" s="15" t="s">
        <v>8</v>
      </c>
      <c r="I8568" s="15" t="s">
        <v>8</v>
      </c>
      <c r="J8568" s="15" t="s">
        <v>8</v>
      </c>
      <c r="M8568" s="15" t="s">
        <v>8</v>
      </c>
      <c r="N8568" s="15" t="s">
        <v>8</v>
      </c>
      <c r="O8568" s="15" t="s">
        <v>8</v>
      </c>
      <c r="P8568" s="20" t="str">
        <f>HYPERLINK("http://yeinfo.com/family/I09024101.html", "LUCY RIDDLESDALE &lt;3&gt; 1536 EN-1592 EN ID:09024101")</f>
        <v>LUCY RIDDLESDALE &lt;3&gt; 1536 EN-1592 EN ID:09024101</v>
      </c>
      <c r="Q8568" s="17"/>
      <c r="R8568" s="17"/>
      <c r="S8568" s="17"/>
      <c r="T8568" s="17"/>
    </row>
    <row r="8569" spans="3:23" x14ac:dyDescent="0.35">
      <c r="C8569" s="15" t="s">
        <v>8</v>
      </c>
      <c r="H8569" s="15" t="s">
        <v>8</v>
      </c>
      <c r="I8569" s="15" t="s">
        <v>8</v>
      </c>
      <c r="J8569" s="15" t="s">
        <v>8</v>
      </c>
      <c r="M8569" s="15" t="s">
        <v>8</v>
      </c>
      <c r="N8569" s="15" t="s">
        <v>8</v>
      </c>
      <c r="O8569" s="15" t="s">
        <v>8</v>
      </c>
      <c r="Q8569" s="8" t="s">
        <v>6</v>
      </c>
    </row>
    <row r="8570" spans="3:23" x14ac:dyDescent="0.35">
      <c r="C8570" s="15" t="s">
        <v>8</v>
      </c>
      <c r="H8570" s="15" t="s">
        <v>8</v>
      </c>
      <c r="I8570" s="15" t="s">
        <v>8</v>
      </c>
      <c r="J8570" s="15" t="s">
        <v>8</v>
      </c>
      <c r="M8570" s="15" t="s">
        <v>8</v>
      </c>
      <c r="N8570" s="15" t="s">
        <v>8</v>
      </c>
      <c r="O8570" s="15" t="s">
        <v>8</v>
      </c>
      <c r="Q8570" s="20" t="str">
        <f>HYPERLINK("http://yeinfo.com/family/I09048203.html", "Mrs. LUCY\JOAN RIDDLESDALE &lt;3&gt; 1512 EN-1536 EN ID:09048203")</f>
        <v>Mrs. LUCY\JOAN RIDDLESDALE &lt;3&gt; 1512 EN-1536 EN ID:09048203</v>
      </c>
      <c r="R8570" s="17"/>
      <c r="S8570" s="17"/>
      <c r="T8570" s="17"/>
      <c r="U8570" s="17"/>
      <c r="V8570" s="17"/>
      <c r="W8570" s="17"/>
    </row>
    <row r="8571" spans="3:23" x14ac:dyDescent="0.35">
      <c r="C8571" s="15" t="s">
        <v>8</v>
      </c>
      <c r="H8571" s="15" t="s">
        <v>8</v>
      </c>
      <c r="I8571" s="15" t="s">
        <v>8</v>
      </c>
      <c r="J8571" s="15" t="s">
        <v>8</v>
      </c>
      <c r="M8571" s="15" t="s">
        <v>8</v>
      </c>
      <c r="N8571" s="8" t="s">
        <v>6</v>
      </c>
      <c r="O8571" s="15" t="s">
        <v>8</v>
      </c>
    </row>
    <row r="8572" spans="3:23" x14ac:dyDescent="0.35">
      <c r="C8572" s="15" t="s">
        <v>8</v>
      </c>
      <c r="H8572" s="15" t="s">
        <v>8</v>
      </c>
      <c r="I8572" s="15" t="s">
        <v>8</v>
      </c>
      <c r="J8572" s="15" t="s">
        <v>8</v>
      </c>
      <c r="M8572" s="15" t="s">
        <v>8</v>
      </c>
      <c r="N8572" s="16" t="str">
        <f>HYPERLINK("http://yeinfo.com/family/I09006025.html", "ANNE\ANNA HANNAH LOKER &lt;2&gt; 1606 EN-1697  ID:09006025")</f>
        <v>ANNE\ANNA HANNAH LOKER &lt;2&gt; 1606 EN-1697  ID:09006025</v>
      </c>
      <c r="O8572" s="11"/>
      <c r="P8572" s="11"/>
      <c r="Q8572" s="11"/>
      <c r="R8572" s="11"/>
      <c r="S8572" s="11"/>
    </row>
    <row r="8573" spans="3:23" x14ac:dyDescent="0.35">
      <c r="C8573" s="15" t="s">
        <v>8</v>
      </c>
      <c r="H8573" s="15" t="s">
        <v>8</v>
      </c>
      <c r="I8573" s="15" t="s">
        <v>8</v>
      </c>
      <c r="J8573" s="15" t="s">
        <v>8</v>
      </c>
      <c r="M8573" s="15" t="s">
        <v>8</v>
      </c>
      <c r="O8573" s="8" t="s">
        <v>6</v>
      </c>
    </row>
    <row r="8574" spans="3:23" x14ac:dyDescent="0.35">
      <c r="C8574" s="15" t="s">
        <v>8</v>
      </c>
      <c r="H8574" s="15" t="s">
        <v>8</v>
      </c>
      <c r="I8574" s="15" t="s">
        <v>8</v>
      </c>
      <c r="J8574" s="15" t="s">
        <v>8</v>
      </c>
      <c r="M8574" s="15" t="s">
        <v>8</v>
      </c>
      <c r="O8574" s="22" t="str">
        <f>HYPERLINK("http://yeinfo.com/family/I09012051.html", "ELIZABETH FRENCH &lt;3&gt; 1580 EN-1648 MA ID:09012051")</f>
        <v>ELIZABETH FRENCH &lt;3&gt; 1580 EN-1648 MA ID:09012051</v>
      </c>
      <c r="P8574" s="13"/>
      <c r="Q8574" s="13"/>
      <c r="R8574" s="13"/>
      <c r="S8574" s="13"/>
    </row>
    <row r="8575" spans="3:23" x14ac:dyDescent="0.35">
      <c r="C8575" s="15" t="s">
        <v>8</v>
      </c>
      <c r="H8575" s="15" t="s">
        <v>8</v>
      </c>
      <c r="I8575" s="15" t="s">
        <v>8</v>
      </c>
      <c r="J8575" s="15" t="s">
        <v>8</v>
      </c>
      <c r="M8575" s="15" t="s">
        <v>8</v>
      </c>
    </row>
    <row r="8576" spans="3:23" x14ac:dyDescent="0.35">
      <c r="C8576" s="15" t="s">
        <v>8</v>
      </c>
      <c r="H8576" s="15" t="s">
        <v>8</v>
      </c>
      <c r="I8576" s="15" t="s">
        <v>8</v>
      </c>
      <c r="J8576" s="15" t="s">
        <v>8</v>
      </c>
      <c r="L8576" s="5" t="str">
        <f>HYPERLINK("http://yeinfo.com/family/I09000762.html", "EDWARD NEWTON 1676 MA-1704 MA ID:09001524")</f>
        <v>EDWARD NEWTON 1676 MA-1704 MA ID:09001524</v>
      </c>
      <c r="M8576" s="3"/>
      <c r="N8576" s="3"/>
      <c r="O8576" s="3"/>
      <c r="P8576" s="3"/>
    </row>
    <row r="8577" spans="3:20" x14ac:dyDescent="0.35">
      <c r="C8577" s="15" t="s">
        <v>8</v>
      </c>
      <c r="H8577" s="15" t="s">
        <v>8</v>
      </c>
      <c r="I8577" s="15" t="s">
        <v>8</v>
      </c>
      <c r="J8577" s="15" t="s">
        <v>8</v>
      </c>
      <c r="L8577" s="8" t="s">
        <v>3</v>
      </c>
      <c r="M8577" s="15" t="s">
        <v>8</v>
      </c>
    </row>
    <row r="8578" spans="3:20" x14ac:dyDescent="0.35">
      <c r="C8578" s="15" t="s">
        <v>8</v>
      </c>
      <c r="H8578" s="15" t="s">
        <v>8</v>
      </c>
      <c r="I8578" s="15" t="s">
        <v>8</v>
      </c>
      <c r="J8578" s="15" t="s">
        <v>8</v>
      </c>
      <c r="L8578" s="15" t="s">
        <v>8</v>
      </c>
      <c r="M8578" s="15" t="s">
        <v>8</v>
      </c>
      <c r="N8578" s="21" t="str">
        <f>HYPERLINK("http://yeinfo.com/family/I09003049.html", "EDWARD LARKIN 1615 EN-1652 MA ID:09006098")</f>
        <v>EDWARD LARKIN 1615 EN-1652 MA ID:09006098</v>
      </c>
      <c r="O8578" s="6"/>
      <c r="P8578" s="6"/>
      <c r="Q8578" s="6"/>
      <c r="R8578" s="6"/>
    </row>
    <row r="8579" spans="3:20" x14ac:dyDescent="0.35">
      <c r="C8579" s="15" t="s">
        <v>8</v>
      </c>
      <c r="H8579" s="15" t="s">
        <v>8</v>
      </c>
      <c r="I8579" s="15" t="s">
        <v>8</v>
      </c>
      <c r="J8579" s="15" t="s">
        <v>8</v>
      </c>
      <c r="L8579" s="15" t="s">
        <v>8</v>
      </c>
      <c r="M8579" s="8" t="s">
        <v>6</v>
      </c>
      <c r="N8579" s="8" t="s">
        <v>3</v>
      </c>
    </row>
    <row r="8580" spans="3:20" x14ac:dyDescent="0.35">
      <c r="C8580" s="15" t="s">
        <v>8</v>
      </c>
      <c r="H8580" s="15" t="s">
        <v>8</v>
      </c>
      <c r="I8580" s="15" t="s">
        <v>8</v>
      </c>
      <c r="J8580" s="15" t="s">
        <v>8</v>
      </c>
      <c r="L8580" s="15" t="s">
        <v>8</v>
      </c>
      <c r="M8580" s="16" t="str">
        <f>HYPERLINK("http://yeinfo.com/family/I09003048.html", "JOANNA LARKIN 1647 MA-1713 MA ID:09003049")</f>
        <v>JOANNA LARKIN 1647 MA-1713 MA ID:09003049</v>
      </c>
      <c r="N8580" s="11"/>
      <c r="O8580" s="11"/>
      <c r="P8580" s="11"/>
      <c r="Q8580" s="11"/>
    </row>
    <row r="8581" spans="3:20" x14ac:dyDescent="0.35">
      <c r="C8581" s="15" t="s">
        <v>8</v>
      </c>
      <c r="H8581" s="15" t="s">
        <v>8</v>
      </c>
      <c r="I8581" s="15" t="s">
        <v>8</v>
      </c>
      <c r="J8581" s="15" t="s">
        <v>8</v>
      </c>
      <c r="L8581" s="15" t="s">
        <v>8</v>
      </c>
      <c r="N8581" s="15" t="s">
        <v>8</v>
      </c>
    </row>
    <row r="8582" spans="3:20" x14ac:dyDescent="0.35">
      <c r="C8582" s="15" t="s">
        <v>8</v>
      </c>
      <c r="H8582" s="15" t="s">
        <v>8</v>
      </c>
      <c r="I8582" s="15" t="s">
        <v>8</v>
      </c>
      <c r="J8582" s="15" t="s">
        <v>8</v>
      </c>
      <c r="L8582" s="15" t="s">
        <v>8</v>
      </c>
      <c r="N8582" s="15" t="s">
        <v>8</v>
      </c>
      <c r="P8582" s="19" t="str">
        <f>HYPERLINK("http://yeinfo.com/family/I09012198.html", "JOSEPH HALE 1576 EN-1596 EN ID:09024396")</f>
        <v>JOSEPH HALE 1576 EN-1596 EN ID:09024396</v>
      </c>
      <c r="Q8582" s="9"/>
      <c r="R8582" s="9"/>
      <c r="S8582" s="9"/>
      <c r="T8582" s="9"/>
    </row>
    <row r="8583" spans="3:20" x14ac:dyDescent="0.35">
      <c r="C8583" s="15" t="s">
        <v>8</v>
      </c>
      <c r="H8583" s="15" t="s">
        <v>8</v>
      </c>
      <c r="I8583" s="15" t="s">
        <v>8</v>
      </c>
      <c r="J8583" s="15" t="s">
        <v>8</v>
      </c>
      <c r="L8583" s="15" t="s">
        <v>8</v>
      </c>
      <c r="N8583" s="15" t="s">
        <v>8</v>
      </c>
      <c r="P8583" s="8" t="s">
        <v>3</v>
      </c>
    </row>
    <row r="8584" spans="3:20" x14ac:dyDescent="0.35">
      <c r="C8584" s="15" t="s">
        <v>8</v>
      </c>
      <c r="H8584" s="15" t="s">
        <v>8</v>
      </c>
      <c r="I8584" s="15" t="s">
        <v>8</v>
      </c>
      <c r="J8584" s="15" t="s">
        <v>8</v>
      </c>
      <c r="L8584" s="15" t="s">
        <v>8</v>
      </c>
      <c r="N8584" s="15" t="s">
        <v>8</v>
      </c>
      <c r="O8584" s="19" t="str">
        <f>HYPERLINK("http://yeinfo.com/family/I09006099.html", "HENRY HALE 1596 EN-1685 EN ID:09012198")</f>
        <v>HENRY HALE 1596 EN-1685 EN ID:09012198</v>
      </c>
      <c r="P8584" s="9"/>
      <c r="Q8584" s="9"/>
      <c r="R8584" s="9"/>
      <c r="S8584" s="9"/>
    </row>
    <row r="8585" spans="3:20" x14ac:dyDescent="0.35">
      <c r="C8585" s="15" t="s">
        <v>8</v>
      </c>
      <c r="H8585" s="15" t="s">
        <v>8</v>
      </c>
      <c r="I8585" s="15" t="s">
        <v>8</v>
      </c>
      <c r="J8585" s="15" t="s">
        <v>8</v>
      </c>
      <c r="L8585" s="15" t="s">
        <v>8</v>
      </c>
      <c r="N8585" s="15" t="s">
        <v>8</v>
      </c>
      <c r="O8585" s="8" t="s">
        <v>3</v>
      </c>
      <c r="P8585" s="8" t="s">
        <v>6</v>
      </c>
    </row>
    <row r="8586" spans="3:20" x14ac:dyDescent="0.35">
      <c r="C8586" s="15" t="s">
        <v>8</v>
      </c>
      <c r="H8586" s="15" t="s">
        <v>8</v>
      </c>
      <c r="I8586" s="15" t="s">
        <v>8</v>
      </c>
      <c r="J8586" s="15" t="s">
        <v>8</v>
      </c>
      <c r="L8586" s="15" t="s">
        <v>8</v>
      </c>
      <c r="N8586" s="15" t="s">
        <v>8</v>
      </c>
      <c r="O8586" s="15" t="s">
        <v>8</v>
      </c>
      <c r="P8586" s="20" t="str">
        <f>HYPERLINK("http://yeinfo.com/family/I09024396.html", "KATHERINE BOOTH 1576 EN-1596  ID:09024397")</f>
        <v>KATHERINE BOOTH 1576 EN-1596  ID:09024397</v>
      </c>
      <c r="Q8586" s="17"/>
      <c r="R8586" s="17"/>
      <c r="S8586" s="17"/>
      <c r="T8586" s="17"/>
    </row>
    <row r="8587" spans="3:20" x14ac:dyDescent="0.35">
      <c r="C8587" s="15" t="s">
        <v>8</v>
      </c>
      <c r="H8587" s="15" t="s">
        <v>8</v>
      </c>
      <c r="I8587" s="15" t="s">
        <v>8</v>
      </c>
      <c r="J8587" s="15" t="s">
        <v>8</v>
      </c>
      <c r="L8587" s="15" t="s">
        <v>8</v>
      </c>
      <c r="N8587" s="8" t="s">
        <v>6</v>
      </c>
      <c r="O8587" s="15" t="s">
        <v>8</v>
      </c>
    </row>
    <row r="8588" spans="3:20" x14ac:dyDescent="0.35">
      <c r="C8588" s="15" t="s">
        <v>8</v>
      </c>
      <c r="H8588" s="15" t="s">
        <v>8</v>
      </c>
      <c r="I8588" s="15" t="s">
        <v>8</v>
      </c>
      <c r="J8588" s="15" t="s">
        <v>8</v>
      </c>
      <c r="L8588" s="15" t="s">
        <v>8</v>
      </c>
      <c r="N8588" s="22" t="str">
        <f>HYPERLINK("http://yeinfo.com/family/I09006098.html", "JOANNA HALE 1620 EN-1685 MA ID:09006099")</f>
        <v>JOANNA HALE 1620 EN-1685 MA ID:09006099</v>
      </c>
      <c r="O8588" s="13"/>
      <c r="P8588" s="13"/>
      <c r="Q8588" s="13"/>
      <c r="R8588" s="13"/>
    </row>
    <row r="8589" spans="3:20" x14ac:dyDescent="0.35">
      <c r="C8589" s="15" t="s">
        <v>8</v>
      </c>
      <c r="H8589" s="15" t="s">
        <v>8</v>
      </c>
      <c r="I8589" s="15" t="s">
        <v>8</v>
      </c>
      <c r="J8589" s="15" t="s">
        <v>8</v>
      </c>
      <c r="L8589" s="15" t="s">
        <v>8</v>
      </c>
      <c r="O8589" s="8" t="s">
        <v>6</v>
      </c>
    </row>
    <row r="8590" spans="3:20" x14ac:dyDescent="0.35">
      <c r="C8590" s="15" t="s">
        <v>8</v>
      </c>
      <c r="H8590" s="15" t="s">
        <v>8</v>
      </c>
      <c r="I8590" s="15" t="s">
        <v>8</v>
      </c>
      <c r="J8590" s="15" t="s">
        <v>8</v>
      </c>
      <c r="L8590" s="15" t="s">
        <v>8</v>
      </c>
      <c r="O8590" s="20" t="str">
        <f>HYPERLINK("http://yeinfo.com/family/I09024397.html", "Mrs. HENRIETTA HALE 1600 EN-1620 EN ID:09012199")</f>
        <v>Mrs. HENRIETTA HALE 1600 EN-1620 EN ID:09012199</v>
      </c>
      <c r="P8590" s="17"/>
      <c r="Q8590" s="17"/>
      <c r="R8590" s="17"/>
      <c r="S8590" s="17"/>
    </row>
    <row r="8591" spans="3:20" x14ac:dyDescent="0.35">
      <c r="C8591" s="15" t="s">
        <v>8</v>
      </c>
      <c r="H8591" s="15" t="s">
        <v>8</v>
      </c>
      <c r="I8591" s="15" t="s">
        <v>8</v>
      </c>
      <c r="J8591" s="15" t="s">
        <v>8</v>
      </c>
      <c r="L8591" s="15" t="s">
        <v>8</v>
      </c>
    </row>
    <row r="8592" spans="3:20" x14ac:dyDescent="0.35">
      <c r="C8592" s="15" t="s">
        <v>8</v>
      </c>
      <c r="H8592" s="15" t="s">
        <v>8</v>
      </c>
      <c r="I8592" s="15" t="s">
        <v>8</v>
      </c>
      <c r="J8592" s="15" t="s">
        <v>8</v>
      </c>
      <c r="K8592" s="5" t="str">
        <f>HYPERLINK("http://yeinfo.com/family/I09000381.html", "EDWARD NEWTON 1701 MA-1765 MA ID:09000762")</f>
        <v>EDWARD NEWTON 1701 MA-1765 MA ID:09000762</v>
      </c>
      <c r="L8592" s="3"/>
      <c r="M8592" s="3"/>
      <c r="N8592" s="3"/>
      <c r="O8592" s="3"/>
    </row>
    <row r="8593" spans="3:19" x14ac:dyDescent="0.35">
      <c r="C8593" s="15" t="s">
        <v>8</v>
      </c>
      <c r="H8593" s="15" t="s">
        <v>8</v>
      </c>
      <c r="I8593" s="15" t="s">
        <v>8</v>
      </c>
      <c r="J8593" s="15" t="s">
        <v>8</v>
      </c>
      <c r="K8593" s="8" t="s">
        <v>3</v>
      </c>
      <c r="L8593" s="15" t="s">
        <v>8</v>
      </c>
    </row>
    <row r="8594" spans="3:19" x14ac:dyDescent="0.35">
      <c r="C8594" s="15" t="s">
        <v>8</v>
      </c>
      <c r="H8594" s="15" t="s">
        <v>8</v>
      </c>
      <c r="I8594" s="15" t="s">
        <v>8</v>
      </c>
      <c r="J8594" s="15" t="s">
        <v>8</v>
      </c>
      <c r="K8594" s="15" t="s">
        <v>8</v>
      </c>
      <c r="L8594" s="15" t="s">
        <v>8</v>
      </c>
      <c r="O8594" s="21" t="str">
        <f>HYPERLINK("http://yeinfo.com/family/I09006100.html", "SAMUEL LEONARD 1584 WL-1630 MA ID:09012200")</f>
        <v>SAMUEL LEONARD 1584 WL-1630 MA ID:09012200</v>
      </c>
      <c r="P8594" s="6"/>
      <c r="Q8594" s="6"/>
      <c r="R8594" s="6"/>
      <c r="S8594" s="6"/>
    </row>
    <row r="8595" spans="3:19" x14ac:dyDescent="0.35">
      <c r="C8595" s="15" t="s">
        <v>8</v>
      </c>
      <c r="H8595" s="15" t="s">
        <v>8</v>
      </c>
      <c r="I8595" s="15" t="s">
        <v>8</v>
      </c>
      <c r="J8595" s="15" t="s">
        <v>8</v>
      </c>
      <c r="K8595" s="15" t="s">
        <v>8</v>
      </c>
      <c r="L8595" s="15" t="s">
        <v>8</v>
      </c>
      <c r="O8595" s="8" t="s">
        <v>3</v>
      </c>
    </row>
    <row r="8596" spans="3:19" x14ac:dyDescent="0.35">
      <c r="C8596" s="15" t="s">
        <v>8</v>
      </c>
      <c r="H8596" s="15" t="s">
        <v>8</v>
      </c>
      <c r="I8596" s="15" t="s">
        <v>8</v>
      </c>
      <c r="J8596" s="15" t="s">
        <v>8</v>
      </c>
      <c r="K8596" s="15" t="s">
        <v>8</v>
      </c>
      <c r="L8596" s="15" t="s">
        <v>8</v>
      </c>
      <c r="N8596" s="21" t="str">
        <f>HYPERLINK("http://yeinfo.com/family/I09003050.html", "SOLOMON LEONARD 1610 WL-1671 MA ID:09006100")</f>
        <v>SOLOMON LEONARD 1610 WL-1671 MA ID:09006100</v>
      </c>
      <c r="O8596" s="6"/>
      <c r="P8596" s="6"/>
      <c r="Q8596" s="6"/>
      <c r="R8596" s="6"/>
    </row>
    <row r="8597" spans="3:19" x14ac:dyDescent="0.35">
      <c r="C8597" s="15" t="s">
        <v>8</v>
      </c>
      <c r="H8597" s="15" t="s">
        <v>8</v>
      </c>
      <c r="I8597" s="15" t="s">
        <v>8</v>
      </c>
      <c r="J8597" s="15" t="s">
        <v>8</v>
      </c>
      <c r="K8597" s="15" t="s">
        <v>8</v>
      </c>
      <c r="L8597" s="15" t="s">
        <v>8</v>
      </c>
      <c r="N8597" s="8" t="s">
        <v>3</v>
      </c>
      <c r="O8597" s="8" t="s">
        <v>6</v>
      </c>
    </row>
    <row r="8598" spans="3:19" x14ac:dyDescent="0.35">
      <c r="C8598" s="15" t="s">
        <v>8</v>
      </c>
      <c r="H8598" s="15" t="s">
        <v>8</v>
      </c>
      <c r="I8598" s="15" t="s">
        <v>8</v>
      </c>
      <c r="J8598" s="15" t="s">
        <v>8</v>
      </c>
      <c r="K8598" s="15" t="s">
        <v>8</v>
      </c>
      <c r="L8598" s="15" t="s">
        <v>8</v>
      </c>
      <c r="N8598" s="15" t="s">
        <v>8</v>
      </c>
      <c r="O8598" s="16" t="str">
        <f>HYPERLINK("http://yeinfo.com/family/I09012200.html", "Mrs. {_?_} LEONARD 1585 WL-1610  ID:09012201")</f>
        <v>Mrs. {_?_} LEONARD 1585 WL-1610  ID:09012201</v>
      </c>
      <c r="P8598" s="11"/>
      <c r="Q8598" s="11"/>
      <c r="R8598" s="11"/>
      <c r="S8598" s="11"/>
    </row>
    <row r="8599" spans="3:19" x14ac:dyDescent="0.35">
      <c r="C8599" s="15" t="s">
        <v>8</v>
      </c>
      <c r="H8599" s="15" t="s">
        <v>8</v>
      </c>
      <c r="I8599" s="15" t="s">
        <v>8</v>
      </c>
      <c r="J8599" s="15" t="s">
        <v>8</v>
      </c>
      <c r="K8599" s="15" t="s">
        <v>8</v>
      </c>
      <c r="L8599" s="15" t="s">
        <v>8</v>
      </c>
      <c r="N8599" s="15" t="s">
        <v>8</v>
      </c>
    </row>
    <row r="8600" spans="3:19" x14ac:dyDescent="0.35">
      <c r="C8600" s="15" t="s">
        <v>8</v>
      </c>
      <c r="H8600" s="15" t="s">
        <v>8</v>
      </c>
      <c r="I8600" s="15" t="s">
        <v>8</v>
      </c>
      <c r="J8600" s="15" t="s">
        <v>8</v>
      </c>
      <c r="K8600" s="15" t="s">
        <v>8</v>
      </c>
      <c r="L8600" s="15" t="s">
        <v>8</v>
      </c>
      <c r="M8600" s="5" t="str">
        <f>HYPERLINK("http://yeinfo.com/family/I09001525.html", "SAMUEL LEONARD 1643 MA-1720 CT ID:09003050")</f>
        <v>SAMUEL LEONARD 1643 MA-1720 CT ID:09003050</v>
      </c>
      <c r="N8600" s="3"/>
      <c r="O8600" s="3"/>
      <c r="P8600" s="3"/>
      <c r="Q8600" s="3"/>
    </row>
    <row r="8601" spans="3:19" x14ac:dyDescent="0.35">
      <c r="C8601" s="15" t="s">
        <v>8</v>
      </c>
      <c r="H8601" s="15" t="s">
        <v>8</v>
      </c>
      <c r="I8601" s="15" t="s">
        <v>8</v>
      </c>
      <c r="J8601" s="15" t="s">
        <v>8</v>
      </c>
      <c r="K8601" s="15" t="s">
        <v>8</v>
      </c>
      <c r="L8601" s="15" t="s">
        <v>8</v>
      </c>
      <c r="M8601" s="8" t="s">
        <v>3</v>
      </c>
      <c r="N8601" s="15" t="s">
        <v>8</v>
      </c>
    </row>
    <row r="8602" spans="3:19" x14ac:dyDescent="0.35">
      <c r="C8602" s="15" t="s">
        <v>8</v>
      </c>
      <c r="H8602" s="15" t="s">
        <v>8</v>
      </c>
      <c r="I8602" s="15" t="s">
        <v>8</v>
      </c>
      <c r="J8602" s="15" t="s">
        <v>8</v>
      </c>
      <c r="K8602" s="15" t="s">
        <v>8</v>
      </c>
      <c r="L8602" s="15" t="s">
        <v>8</v>
      </c>
      <c r="M8602" s="15" t="s">
        <v>8</v>
      </c>
      <c r="N8602" s="15" t="s">
        <v>8</v>
      </c>
      <c r="O8602" s="21" t="str">
        <f>HYPERLINK("http://yeinfo.com/family/I09006101.html", "ROGER CHANDLER 1580 EN-1665 MA ID:09012202")</f>
        <v>ROGER CHANDLER 1580 EN-1665 MA ID:09012202</v>
      </c>
      <c r="P8602" s="6"/>
      <c r="Q8602" s="6"/>
      <c r="R8602" s="6"/>
      <c r="S8602" s="6"/>
    </row>
    <row r="8603" spans="3:19" x14ac:dyDescent="0.35">
      <c r="C8603" s="15" t="s">
        <v>8</v>
      </c>
      <c r="H8603" s="15" t="s">
        <v>8</v>
      </c>
      <c r="I8603" s="15" t="s">
        <v>8</v>
      </c>
      <c r="J8603" s="15" t="s">
        <v>8</v>
      </c>
      <c r="K8603" s="15" t="s">
        <v>8</v>
      </c>
      <c r="L8603" s="15" t="s">
        <v>8</v>
      </c>
      <c r="M8603" s="15" t="s">
        <v>8</v>
      </c>
      <c r="N8603" s="8" t="s">
        <v>6</v>
      </c>
      <c r="O8603" s="8" t="s">
        <v>3</v>
      </c>
    </row>
    <row r="8604" spans="3:19" x14ac:dyDescent="0.35">
      <c r="C8604" s="15" t="s">
        <v>8</v>
      </c>
      <c r="H8604" s="15" t="s">
        <v>8</v>
      </c>
      <c r="I8604" s="15" t="s">
        <v>8</v>
      </c>
      <c r="J8604" s="15" t="s">
        <v>8</v>
      </c>
      <c r="K8604" s="15" t="s">
        <v>8</v>
      </c>
      <c r="L8604" s="15" t="s">
        <v>8</v>
      </c>
      <c r="M8604" s="15" t="s">
        <v>8</v>
      </c>
      <c r="N8604" s="22" t="str">
        <f>HYPERLINK("http://yeinfo.com/family/I09012201.html", "SARAH CHANDLER 1612 NT-1675 MA ID:09006101")</f>
        <v>SARAH CHANDLER 1612 NT-1675 MA ID:09006101</v>
      </c>
      <c r="O8604" s="13"/>
      <c r="P8604" s="13"/>
      <c r="Q8604" s="13"/>
      <c r="R8604" s="13"/>
    </row>
    <row r="8605" spans="3:19" x14ac:dyDescent="0.35">
      <c r="C8605" s="15" t="s">
        <v>8</v>
      </c>
      <c r="H8605" s="15" t="s">
        <v>8</v>
      </c>
      <c r="I8605" s="15" t="s">
        <v>8</v>
      </c>
      <c r="J8605" s="15" t="s">
        <v>8</v>
      </c>
      <c r="K8605" s="15" t="s">
        <v>8</v>
      </c>
      <c r="L8605" s="15" t="s">
        <v>8</v>
      </c>
      <c r="M8605" s="15" t="s">
        <v>8</v>
      </c>
      <c r="O8605" s="8" t="s">
        <v>6</v>
      </c>
    </row>
    <row r="8606" spans="3:19" x14ac:dyDescent="0.35">
      <c r="C8606" s="15" t="s">
        <v>8</v>
      </c>
      <c r="H8606" s="15" t="s">
        <v>8</v>
      </c>
      <c r="I8606" s="15" t="s">
        <v>8</v>
      </c>
      <c r="J8606" s="15" t="s">
        <v>8</v>
      </c>
      <c r="K8606" s="15" t="s">
        <v>8</v>
      </c>
      <c r="L8606" s="15" t="s">
        <v>8</v>
      </c>
      <c r="M8606" s="15" t="s">
        <v>8</v>
      </c>
      <c r="O8606" s="22" t="str">
        <f>HYPERLINK("http://yeinfo.com/family/I09012202.html", "ISABELLA CHILTON 1587 EN-1646 MA ID:09012203")</f>
        <v>ISABELLA CHILTON 1587 EN-1646 MA ID:09012203</v>
      </c>
      <c r="P8606" s="13"/>
      <c r="Q8606" s="13"/>
      <c r="R8606" s="13"/>
      <c r="S8606" s="13"/>
    </row>
    <row r="8607" spans="3:19" x14ac:dyDescent="0.35">
      <c r="C8607" s="15" t="s">
        <v>8</v>
      </c>
      <c r="H8607" s="15" t="s">
        <v>8</v>
      </c>
      <c r="I8607" s="15" t="s">
        <v>8</v>
      </c>
      <c r="J8607" s="15" t="s">
        <v>8</v>
      </c>
      <c r="K8607" s="15" t="s">
        <v>8</v>
      </c>
      <c r="L8607" s="8" t="s">
        <v>6</v>
      </c>
      <c r="M8607" s="15" t="s">
        <v>8</v>
      </c>
    </row>
    <row r="8608" spans="3:19" x14ac:dyDescent="0.35">
      <c r="C8608" s="15" t="s">
        <v>8</v>
      </c>
      <c r="H8608" s="15" t="s">
        <v>8</v>
      </c>
      <c r="I8608" s="15" t="s">
        <v>8</v>
      </c>
      <c r="J8608" s="15" t="s">
        <v>8</v>
      </c>
      <c r="K8608" s="15" t="s">
        <v>8</v>
      </c>
      <c r="L8608" s="16" t="str">
        <f>HYPERLINK("http://yeinfo.com/family/I09012199.html", "MARY LEONARD 1680 MA-1748 MA ID:09001525")</f>
        <v>MARY LEONARD 1680 MA-1748 MA ID:09001525</v>
      </c>
      <c r="M8608" s="11"/>
      <c r="N8608" s="11"/>
      <c r="O8608" s="11"/>
      <c r="P8608" s="11"/>
    </row>
    <row r="8609" spans="3:19" x14ac:dyDescent="0.35">
      <c r="C8609" s="15" t="s">
        <v>8</v>
      </c>
      <c r="H8609" s="15" t="s">
        <v>8</v>
      </c>
      <c r="I8609" s="15" t="s">
        <v>8</v>
      </c>
      <c r="J8609" s="15" t="s">
        <v>8</v>
      </c>
      <c r="K8609" s="15" t="s">
        <v>8</v>
      </c>
      <c r="M8609" s="15" t="s">
        <v>8</v>
      </c>
    </row>
    <row r="8610" spans="3:19" x14ac:dyDescent="0.35">
      <c r="C8610" s="15" t="s">
        <v>8</v>
      </c>
      <c r="H8610" s="15" t="s">
        <v>8</v>
      </c>
      <c r="I8610" s="15" t="s">
        <v>8</v>
      </c>
      <c r="J8610" s="15" t="s">
        <v>8</v>
      </c>
      <c r="K8610" s="15" t="s">
        <v>8</v>
      </c>
      <c r="M8610" s="15" t="s">
        <v>8</v>
      </c>
      <c r="N8610" s="21" t="str">
        <f>HYPERLINK("http://yeinfo.com/family/I09003051.html", "JOHN ATWOOD 1615 EN-1675 MA ID:09006102")</f>
        <v>JOHN ATWOOD 1615 EN-1675 MA ID:09006102</v>
      </c>
      <c r="O8610" s="6"/>
      <c r="P8610" s="6"/>
      <c r="Q8610" s="6"/>
      <c r="R8610" s="6"/>
    </row>
    <row r="8611" spans="3:19" x14ac:dyDescent="0.35">
      <c r="C8611" s="15" t="s">
        <v>8</v>
      </c>
      <c r="H8611" s="15" t="s">
        <v>8</v>
      </c>
      <c r="I8611" s="15" t="s">
        <v>8</v>
      </c>
      <c r="J8611" s="15" t="s">
        <v>8</v>
      </c>
      <c r="K8611" s="15" t="s">
        <v>8</v>
      </c>
      <c r="M8611" s="8" t="s">
        <v>6</v>
      </c>
      <c r="N8611" s="8" t="s">
        <v>3</v>
      </c>
    </row>
    <row r="8612" spans="3:19" x14ac:dyDescent="0.35">
      <c r="C8612" s="15" t="s">
        <v>8</v>
      </c>
      <c r="H8612" s="15" t="s">
        <v>8</v>
      </c>
      <c r="I8612" s="15" t="s">
        <v>8</v>
      </c>
      <c r="J8612" s="15" t="s">
        <v>8</v>
      </c>
      <c r="K8612" s="15" t="s">
        <v>8</v>
      </c>
      <c r="M8612" s="16" t="str">
        <f>HYPERLINK("http://yeinfo.com/family/I09012203.html", "ABIGAIL ATWOOD 1645 MA-1703 MA ID:09003051")</f>
        <v>ABIGAIL ATWOOD 1645 MA-1703 MA ID:09003051</v>
      </c>
      <c r="N8612" s="11"/>
      <c r="O8612" s="11"/>
      <c r="P8612" s="11"/>
      <c r="Q8612" s="11"/>
    </row>
    <row r="8613" spans="3:19" x14ac:dyDescent="0.35">
      <c r="C8613" s="15" t="s">
        <v>8</v>
      </c>
      <c r="H8613" s="15" t="s">
        <v>8</v>
      </c>
      <c r="I8613" s="15" t="s">
        <v>8</v>
      </c>
      <c r="J8613" s="15" t="s">
        <v>8</v>
      </c>
      <c r="K8613" s="15" t="s">
        <v>8</v>
      </c>
      <c r="N8613" s="8" t="s">
        <v>6</v>
      </c>
    </row>
    <row r="8614" spans="3:19" x14ac:dyDescent="0.35">
      <c r="C8614" s="15" t="s">
        <v>8</v>
      </c>
      <c r="H8614" s="15" t="s">
        <v>8</v>
      </c>
      <c r="I8614" s="15" t="s">
        <v>8</v>
      </c>
      <c r="J8614" s="15" t="s">
        <v>8</v>
      </c>
      <c r="K8614" s="15" t="s">
        <v>8</v>
      </c>
      <c r="N8614" s="22" t="str">
        <f>HYPERLINK("http://yeinfo.com/family/I09006102.html", "SARAH MASTERSON 1625 NT-1701 MA ID:09006103")</f>
        <v>SARAH MASTERSON 1625 NT-1701 MA ID:09006103</v>
      </c>
      <c r="O8614" s="13"/>
      <c r="P8614" s="13"/>
      <c r="Q8614" s="13"/>
      <c r="R8614" s="13"/>
    </row>
    <row r="8615" spans="3:19" x14ac:dyDescent="0.35">
      <c r="C8615" s="15" t="s">
        <v>8</v>
      </c>
      <c r="H8615" s="15" t="s">
        <v>8</v>
      </c>
      <c r="I8615" s="15" t="s">
        <v>8</v>
      </c>
      <c r="J8615" s="8" t="s">
        <v>6</v>
      </c>
      <c r="K8615" s="15" t="s">
        <v>8</v>
      </c>
    </row>
    <row r="8616" spans="3:19" x14ac:dyDescent="0.35">
      <c r="C8616" s="15" t="s">
        <v>8</v>
      </c>
      <c r="H8616" s="15" t="s">
        <v>8</v>
      </c>
      <c r="I8616" s="15" t="s">
        <v>8</v>
      </c>
      <c r="J8616" s="16" t="str">
        <f>HYPERLINK("http://yeinfo.com/family/I09003047.html", "MARY NEWTON 1730 MA-1786 VT ID:09000381")</f>
        <v>MARY NEWTON 1730 MA-1786 VT ID:09000381</v>
      </c>
      <c r="K8616" s="11"/>
      <c r="L8616" s="11"/>
      <c r="M8616" s="11"/>
      <c r="N8616" s="11"/>
    </row>
    <row r="8617" spans="3:19" x14ac:dyDescent="0.35">
      <c r="C8617" s="15" t="s">
        <v>8</v>
      </c>
      <c r="H8617" s="15" t="s">
        <v>8</v>
      </c>
      <c r="I8617" s="15" t="s">
        <v>8</v>
      </c>
      <c r="K8617" s="15" t="s">
        <v>8</v>
      </c>
    </row>
    <row r="8618" spans="3:19" x14ac:dyDescent="0.35">
      <c r="C8618" s="15" t="s">
        <v>8</v>
      </c>
      <c r="H8618" s="15" t="s">
        <v>8</v>
      </c>
      <c r="I8618" s="15" t="s">
        <v>8</v>
      </c>
      <c r="K8618" s="15" t="s">
        <v>8</v>
      </c>
      <c r="O8618" s="19" t="str">
        <f>HYPERLINK("http://yeinfo.com/family/I09011856.html", "ELNATHAN ALLEN &lt;2&gt; 1572 EN-1640 EN ID:09011856")</f>
        <v>ELNATHAN ALLEN &lt;2&gt; 1572 EN-1640 EN ID:09011856</v>
      </c>
      <c r="P8618" s="9"/>
      <c r="Q8618" s="9"/>
      <c r="R8618" s="9"/>
      <c r="S8618" s="9"/>
    </row>
    <row r="8619" spans="3:19" x14ac:dyDescent="0.35">
      <c r="C8619" s="15" t="s">
        <v>8</v>
      </c>
      <c r="H8619" s="15" t="s">
        <v>8</v>
      </c>
      <c r="I8619" s="15" t="s">
        <v>8</v>
      </c>
      <c r="K8619" s="15" t="s">
        <v>8</v>
      </c>
      <c r="O8619" s="8" t="s">
        <v>3</v>
      </c>
    </row>
    <row r="8620" spans="3:19" x14ac:dyDescent="0.35">
      <c r="C8620" s="15" t="s">
        <v>8</v>
      </c>
      <c r="H8620" s="15" t="s">
        <v>8</v>
      </c>
      <c r="I8620" s="15" t="s">
        <v>8</v>
      </c>
      <c r="K8620" s="15" t="s">
        <v>8</v>
      </c>
      <c r="N8620" s="21" t="str">
        <f>HYPERLINK("http://yeinfo.com/family/I09005928.html", "WALTER ALLEN &lt;2&gt; 1601 EN-1681 MA ID:09005928")</f>
        <v>WALTER ALLEN &lt;2&gt; 1601 EN-1681 MA ID:09005928</v>
      </c>
      <c r="O8620" s="6"/>
      <c r="P8620" s="6"/>
      <c r="Q8620" s="6"/>
      <c r="R8620" s="6"/>
    </row>
    <row r="8621" spans="3:19" x14ac:dyDescent="0.35">
      <c r="C8621" s="15" t="s">
        <v>8</v>
      </c>
      <c r="H8621" s="15" t="s">
        <v>8</v>
      </c>
      <c r="I8621" s="15" t="s">
        <v>8</v>
      </c>
      <c r="K8621" s="15" t="s">
        <v>8</v>
      </c>
      <c r="N8621" s="8" t="s">
        <v>3</v>
      </c>
      <c r="O8621" s="8" t="s">
        <v>6</v>
      </c>
    </row>
    <row r="8622" spans="3:19" x14ac:dyDescent="0.35">
      <c r="C8622" s="15" t="s">
        <v>8</v>
      </c>
      <c r="H8622" s="15" t="s">
        <v>8</v>
      </c>
      <c r="I8622" s="15" t="s">
        <v>8</v>
      </c>
      <c r="K8622" s="15" t="s">
        <v>8</v>
      </c>
      <c r="N8622" s="15" t="s">
        <v>8</v>
      </c>
      <c r="O8622" s="20" t="str">
        <f>HYPERLINK("http://yeinfo.com/family/I09011857.html", "ANN TENCH &lt;2&gt; 1572 EN-1602 EN ID:09011857")</f>
        <v>ANN TENCH &lt;2&gt; 1572 EN-1602 EN ID:09011857</v>
      </c>
      <c r="P8622" s="17"/>
      <c r="Q8622" s="17"/>
      <c r="R8622" s="17"/>
      <c r="S8622" s="17"/>
    </row>
    <row r="8623" spans="3:19" x14ac:dyDescent="0.35">
      <c r="C8623" s="15" t="s">
        <v>8</v>
      </c>
      <c r="H8623" s="15" t="s">
        <v>8</v>
      </c>
      <c r="I8623" s="15" t="s">
        <v>8</v>
      </c>
      <c r="K8623" s="15" t="s">
        <v>8</v>
      </c>
      <c r="N8623" s="15" t="s">
        <v>8</v>
      </c>
    </row>
    <row r="8624" spans="3:19" x14ac:dyDescent="0.35">
      <c r="C8624" s="15" t="s">
        <v>8</v>
      </c>
      <c r="H8624" s="15" t="s">
        <v>8</v>
      </c>
      <c r="I8624" s="15" t="s">
        <v>8</v>
      </c>
      <c r="K8624" s="15" t="s">
        <v>8</v>
      </c>
      <c r="M8624" s="21" t="str">
        <f>HYPERLINK("http://yeinfo.com/family/I09002964.html", "DANIEL ALLEN &lt;2&gt; 1635 EN-1735 MA ID:09002964")</f>
        <v>DANIEL ALLEN &lt;2&gt; 1635 EN-1735 MA ID:09002964</v>
      </c>
      <c r="N8624" s="6"/>
      <c r="O8624" s="6"/>
      <c r="P8624" s="6"/>
      <c r="Q8624" s="6"/>
    </row>
    <row r="8625" spans="3:27" x14ac:dyDescent="0.35">
      <c r="C8625" s="15" t="s">
        <v>8</v>
      </c>
      <c r="H8625" s="15" t="s">
        <v>8</v>
      </c>
      <c r="I8625" s="15" t="s">
        <v>8</v>
      </c>
      <c r="K8625" s="15" t="s">
        <v>8</v>
      </c>
      <c r="M8625" s="8" t="s">
        <v>3</v>
      </c>
      <c r="N8625" s="15" t="s">
        <v>8</v>
      </c>
    </row>
    <row r="8626" spans="3:27" x14ac:dyDescent="0.35">
      <c r="C8626" s="15" t="s">
        <v>8</v>
      </c>
      <c r="H8626" s="15" t="s">
        <v>8</v>
      </c>
      <c r="I8626" s="15" t="s">
        <v>8</v>
      </c>
      <c r="K8626" s="15" t="s">
        <v>8</v>
      </c>
      <c r="M8626" s="15" t="s">
        <v>8</v>
      </c>
      <c r="N8626" s="15" t="s">
        <v>8</v>
      </c>
      <c r="T8626" s="19" t="str">
        <f>HYPERLINK("http://yeinfo.com/family/I09065879.html", "JOHN WARD &lt;2&gt; 1370 EN-1420 EN ID:09065879")</f>
        <v>JOHN WARD &lt;2&gt; 1370 EN-1420 EN ID:09065879</v>
      </c>
      <c r="U8626" s="9"/>
      <c r="V8626" s="9"/>
      <c r="W8626" s="9"/>
      <c r="X8626" s="9"/>
    </row>
    <row r="8627" spans="3:27" x14ac:dyDescent="0.35">
      <c r="C8627" s="15" t="s">
        <v>8</v>
      </c>
      <c r="H8627" s="15" t="s">
        <v>8</v>
      </c>
      <c r="I8627" s="15" t="s">
        <v>8</v>
      </c>
      <c r="K8627" s="15" t="s">
        <v>8</v>
      </c>
      <c r="M8627" s="15" t="s">
        <v>8</v>
      </c>
      <c r="N8627" s="15" t="s">
        <v>8</v>
      </c>
      <c r="T8627" s="8" t="s">
        <v>3</v>
      </c>
    </row>
    <row r="8628" spans="3:27" x14ac:dyDescent="0.35">
      <c r="C8628" s="15" t="s">
        <v>8</v>
      </c>
      <c r="H8628" s="15" t="s">
        <v>8</v>
      </c>
      <c r="I8628" s="15" t="s">
        <v>8</v>
      </c>
      <c r="K8628" s="15" t="s">
        <v>8</v>
      </c>
      <c r="M8628" s="15" t="s">
        <v>8</v>
      </c>
      <c r="N8628" s="15" t="s">
        <v>8</v>
      </c>
      <c r="S8628" s="19" t="str">
        <f>HYPERLINK("http://yeinfo.com/family/I09065732.html", "ROBERT WARD &lt;2&gt; 1410 WL-1470 EN ID:09065732")</f>
        <v>ROBERT WARD &lt;2&gt; 1410 WL-1470 EN ID:09065732</v>
      </c>
      <c r="T8628" s="9"/>
      <c r="U8628" s="9"/>
      <c r="V8628" s="9"/>
      <c r="W8628" s="9"/>
    </row>
    <row r="8629" spans="3:27" x14ac:dyDescent="0.35">
      <c r="C8629" s="15" t="s">
        <v>8</v>
      </c>
      <c r="H8629" s="15" t="s">
        <v>8</v>
      </c>
      <c r="I8629" s="15" t="s">
        <v>8</v>
      </c>
      <c r="K8629" s="15" t="s">
        <v>8</v>
      </c>
      <c r="M8629" s="15" t="s">
        <v>8</v>
      </c>
      <c r="N8629" s="15" t="s">
        <v>8</v>
      </c>
      <c r="S8629" s="8" t="s">
        <v>3</v>
      </c>
      <c r="T8629" s="15" t="s">
        <v>8</v>
      </c>
    </row>
    <row r="8630" spans="3:27" x14ac:dyDescent="0.35">
      <c r="C8630" s="15" t="s">
        <v>8</v>
      </c>
      <c r="H8630" s="15" t="s">
        <v>8</v>
      </c>
      <c r="I8630" s="15" t="s">
        <v>8</v>
      </c>
      <c r="K8630" s="15" t="s">
        <v>8</v>
      </c>
      <c r="M8630" s="15" t="s">
        <v>8</v>
      </c>
      <c r="N8630" s="15" t="s">
        <v>8</v>
      </c>
      <c r="S8630" s="15" t="s">
        <v>8</v>
      </c>
      <c r="T8630" s="15" t="s">
        <v>8</v>
      </c>
      <c r="W8630" s="19" t="str">
        <f>HYPERLINK("http://yeinfo.com/family/I09066729.html", "RICHARD APPLEYARD &lt;2&gt; 1280 EN-1365 EN ID:09066729")</f>
        <v>RICHARD APPLEYARD &lt;2&gt; 1280 EN-1365 EN ID:09066729</v>
      </c>
      <c r="X8630" s="9"/>
      <c r="Y8630" s="9"/>
      <c r="Z8630" s="9"/>
      <c r="AA8630" s="9"/>
    </row>
    <row r="8631" spans="3:27" x14ac:dyDescent="0.35">
      <c r="C8631" s="15" t="s">
        <v>8</v>
      </c>
      <c r="H8631" s="15" t="s">
        <v>8</v>
      </c>
      <c r="I8631" s="15" t="s">
        <v>8</v>
      </c>
      <c r="K8631" s="15" t="s">
        <v>8</v>
      </c>
      <c r="M8631" s="15" t="s">
        <v>8</v>
      </c>
      <c r="N8631" s="15" t="s">
        <v>8</v>
      </c>
      <c r="S8631" s="15" t="s">
        <v>8</v>
      </c>
      <c r="T8631" s="15" t="s">
        <v>8</v>
      </c>
      <c r="W8631" s="8" t="s">
        <v>3</v>
      </c>
    </row>
    <row r="8632" spans="3:27" x14ac:dyDescent="0.35">
      <c r="C8632" s="15" t="s">
        <v>8</v>
      </c>
      <c r="H8632" s="15" t="s">
        <v>8</v>
      </c>
      <c r="I8632" s="15" t="s">
        <v>8</v>
      </c>
      <c r="K8632" s="15" t="s">
        <v>8</v>
      </c>
      <c r="M8632" s="15" t="s">
        <v>8</v>
      </c>
      <c r="N8632" s="15" t="s">
        <v>8</v>
      </c>
      <c r="S8632" s="15" t="s">
        <v>8</v>
      </c>
      <c r="T8632" s="15" t="s">
        <v>8</v>
      </c>
      <c r="V8632" s="19" t="str">
        <f>HYPERLINK("http://yeinfo.com/family/I09066727.html", "NICHOLAS APPLEYARD &lt;2&gt; 1305 EN-1349 EN ID:09066727")</f>
        <v>NICHOLAS APPLEYARD &lt;2&gt; 1305 EN-1349 EN ID:09066727</v>
      </c>
      <c r="W8632" s="9"/>
      <c r="X8632" s="9"/>
      <c r="Y8632" s="9"/>
      <c r="Z8632" s="9"/>
    </row>
    <row r="8633" spans="3:27" x14ac:dyDescent="0.35">
      <c r="C8633" s="15" t="s">
        <v>8</v>
      </c>
      <c r="H8633" s="15" t="s">
        <v>8</v>
      </c>
      <c r="I8633" s="15" t="s">
        <v>8</v>
      </c>
      <c r="K8633" s="15" t="s">
        <v>8</v>
      </c>
      <c r="M8633" s="15" t="s">
        <v>8</v>
      </c>
      <c r="N8633" s="15" t="s">
        <v>8</v>
      </c>
      <c r="S8633" s="15" t="s">
        <v>8</v>
      </c>
      <c r="T8633" s="15" t="s">
        <v>8</v>
      </c>
      <c r="V8633" s="8" t="s">
        <v>3</v>
      </c>
      <c r="W8633" s="8" t="s">
        <v>6</v>
      </c>
    </row>
    <row r="8634" spans="3:27" x14ac:dyDescent="0.35">
      <c r="C8634" s="15" t="s">
        <v>8</v>
      </c>
      <c r="H8634" s="15" t="s">
        <v>8</v>
      </c>
      <c r="I8634" s="15" t="s">
        <v>8</v>
      </c>
      <c r="K8634" s="15" t="s">
        <v>8</v>
      </c>
      <c r="M8634" s="15" t="s">
        <v>8</v>
      </c>
      <c r="N8634" s="15" t="s">
        <v>8</v>
      </c>
      <c r="S8634" s="15" t="s">
        <v>8</v>
      </c>
      <c r="T8634" s="15" t="s">
        <v>8</v>
      </c>
      <c r="V8634" s="15" t="s">
        <v>8</v>
      </c>
      <c r="W8634" s="20" t="str">
        <f>HYPERLINK("http://yeinfo.com/family/I09066730.html", "Mrs. W. APPLEYARD &lt;2&gt; 1290 EN-1364 EN ID:09066730")</f>
        <v>Mrs. W. APPLEYARD &lt;2&gt; 1290 EN-1364 EN ID:09066730</v>
      </c>
      <c r="X8634" s="17"/>
      <c r="Y8634" s="17"/>
      <c r="Z8634" s="17"/>
      <c r="AA8634" s="17"/>
    </row>
    <row r="8635" spans="3:27" x14ac:dyDescent="0.35">
      <c r="C8635" s="15" t="s">
        <v>8</v>
      </c>
      <c r="H8635" s="15" t="s">
        <v>8</v>
      </c>
      <c r="I8635" s="15" t="s">
        <v>8</v>
      </c>
      <c r="K8635" s="15" t="s">
        <v>8</v>
      </c>
      <c r="M8635" s="15" t="s">
        <v>8</v>
      </c>
      <c r="N8635" s="15" t="s">
        <v>8</v>
      </c>
      <c r="S8635" s="15" t="s">
        <v>8</v>
      </c>
      <c r="T8635" s="15" t="s">
        <v>8</v>
      </c>
      <c r="V8635" s="15" t="s">
        <v>8</v>
      </c>
    </row>
    <row r="8636" spans="3:27" x14ac:dyDescent="0.35">
      <c r="C8636" s="15" t="s">
        <v>8</v>
      </c>
      <c r="H8636" s="15" t="s">
        <v>8</v>
      </c>
      <c r="I8636" s="15" t="s">
        <v>8</v>
      </c>
      <c r="K8636" s="15" t="s">
        <v>8</v>
      </c>
      <c r="M8636" s="15" t="s">
        <v>8</v>
      </c>
      <c r="N8636" s="15" t="s">
        <v>8</v>
      </c>
      <c r="S8636" s="15" t="s">
        <v>8</v>
      </c>
      <c r="T8636" s="15" t="s">
        <v>8</v>
      </c>
      <c r="U8636" s="19" t="str">
        <f>HYPERLINK("http://yeinfo.com/family/I09066725.html", "BARTHOLOMEW APPLEYARD &lt;2&gt; 1335 EN-1412 EN ID:09066725")</f>
        <v>BARTHOLOMEW APPLEYARD &lt;2&gt; 1335 EN-1412 EN ID:09066725</v>
      </c>
      <c r="V8636" s="9"/>
      <c r="W8636" s="9"/>
      <c r="X8636" s="9"/>
      <c r="Y8636" s="9"/>
    </row>
    <row r="8637" spans="3:27" x14ac:dyDescent="0.35">
      <c r="C8637" s="15" t="s">
        <v>8</v>
      </c>
      <c r="H8637" s="15" t="s">
        <v>8</v>
      </c>
      <c r="I8637" s="15" t="s">
        <v>8</v>
      </c>
      <c r="K8637" s="15" t="s">
        <v>8</v>
      </c>
      <c r="M8637" s="15" t="s">
        <v>8</v>
      </c>
      <c r="N8637" s="15" t="s">
        <v>8</v>
      </c>
      <c r="S8637" s="15" t="s">
        <v>8</v>
      </c>
      <c r="T8637" s="15" t="s">
        <v>8</v>
      </c>
      <c r="U8637" s="8" t="s">
        <v>3</v>
      </c>
      <c r="V8637" s="8" t="s">
        <v>6</v>
      </c>
    </row>
    <row r="8638" spans="3:27" x14ac:dyDescent="0.35">
      <c r="C8638" s="15" t="s">
        <v>8</v>
      </c>
      <c r="H8638" s="15" t="s">
        <v>8</v>
      </c>
      <c r="I8638" s="15" t="s">
        <v>8</v>
      </c>
      <c r="K8638" s="15" t="s">
        <v>8</v>
      </c>
      <c r="M8638" s="15" t="s">
        <v>8</v>
      </c>
      <c r="N8638" s="15" t="s">
        <v>8</v>
      </c>
      <c r="S8638" s="15" t="s">
        <v>8</v>
      </c>
      <c r="T8638" s="15" t="s">
        <v>8</v>
      </c>
      <c r="U8638" s="15" t="s">
        <v>8</v>
      </c>
      <c r="V8638" s="20" t="str">
        <f>HYPERLINK("http://yeinfo.com/family/I09066728.html", "Mrs. {_?_} APPLEYARD &lt;2&gt; 1310 EN-1335 EN ID:09066728")</f>
        <v>Mrs. {_?_} APPLEYARD &lt;2&gt; 1310 EN-1335 EN ID:09066728</v>
      </c>
      <c r="W8638" s="17"/>
      <c r="X8638" s="17"/>
      <c r="Y8638" s="17"/>
      <c r="Z8638" s="17"/>
    </row>
    <row r="8639" spans="3:27" x14ac:dyDescent="0.35">
      <c r="C8639" s="15" t="s">
        <v>8</v>
      </c>
      <c r="H8639" s="15" t="s">
        <v>8</v>
      </c>
      <c r="I8639" s="15" t="s">
        <v>8</v>
      </c>
      <c r="K8639" s="15" t="s">
        <v>8</v>
      </c>
      <c r="M8639" s="15" t="s">
        <v>8</v>
      </c>
      <c r="N8639" s="15" t="s">
        <v>8</v>
      </c>
      <c r="S8639" s="15" t="s">
        <v>8</v>
      </c>
      <c r="T8639" s="8" t="s">
        <v>6</v>
      </c>
      <c r="U8639" s="15" t="s">
        <v>8</v>
      </c>
    </row>
    <row r="8640" spans="3:27" x14ac:dyDescent="0.35">
      <c r="C8640" s="15" t="s">
        <v>8</v>
      </c>
      <c r="H8640" s="15" t="s">
        <v>8</v>
      </c>
      <c r="I8640" s="15" t="s">
        <v>8</v>
      </c>
      <c r="K8640" s="15" t="s">
        <v>8</v>
      </c>
      <c r="M8640" s="15" t="s">
        <v>8</v>
      </c>
      <c r="N8640" s="15" t="s">
        <v>8</v>
      </c>
      <c r="S8640" s="15" t="s">
        <v>8</v>
      </c>
      <c r="T8640" s="20" t="str">
        <f>HYPERLINK("http://yeinfo.com/family/I09065880.html", "CATHERINE APPLEYARD &lt;2&gt; 1352 EN-1430 EN ID:09065880")</f>
        <v>CATHERINE APPLEYARD &lt;2&gt; 1352 EN-1430 EN ID:09065880</v>
      </c>
      <c r="U8640" s="17"/>
      <c r="V8640" s="17"/>
      <c r="W8640" s="17"/>
      <c r="X8640" s="17"/>
    </row>
    <row r="8641" spans="3:25" x14ac:dyDescent="0.35">
      <c r="C8641" s="15" t="s">
        <v>8</v>
      </c>
      <c r="H8641" s="15" t="s">
        <v>8</v>
      </c>
      <c r="I8641" s="15" t="s">
        <v>8</v>
      </c>
      <c r="K8641" s="15" t="s">
        <v>8</v>
      </c>
      <c r="M8641" s="15" t="s">
        <v>8</v>
      </c>
      <c r="N8641" s="15" t="s">
        <v>8</v>
      </c>
      <c r="S8641" s="15" t="s">
        <v>8</v>
      </c>
      <c r="U8641" s="8" t="s">
        <v>6</v>
      </c>
    </row>
    <row r="8642" spans="3:25" x14ac:dyDescent="0.35">
      <c r="C8642" s="15" t="s">
        <v>8</v>
      </c>
      <c r="H8642" s="15" t="s">
        <v>8</v>
      </c>
      <c r="I8642" s="15" t="s">
        <v>8</v>
      </c>
      <c r="K8642" s="15" t="s">
        <v>8</v>
      </c>
      <c r="M8642" s="15" t="s">
        <v>8</v>
      </c>
      <c r="N8642" s="15" t="s">
        <v>8</v>
      </c>
      <c r="S8642" s="15" t="s">
        <v>8</v>
      </c>
      <c r="U8642" s="20" t="str">
        <f>HYPERLINK("http://yeinfo.com/family/I09066726.html", "EMMA BURWELL &lt;2&gt; 1337 EN-1394 EN ID:09066726")</f>
        <v>EMMA BURWELL &lt;2&gt; 1337 EN-1394 EN ID:09066726</v>
      </c>
      <c r="V8642" s="17"/>
      <c r="W8642" s="17"/>
      <c r="X8642" s="17"/>
      <c r="Y8642" s="17"/>
    </row>
    <row r="8643" spans="3:25" x14ac:dyDescent="0.35">
      <c r="C8643" s="15" t="s">
        <v>8</v>
      </c>
      <c r="H8643" s="15" t="s">
        <v>8</v>
      </c>
      <c r="I8643" s="15" t="s">
        <v>8</v>
      </c>
      <c r="K8643" s="15" t="s">
        <v>8</v>
      </c>
      <c r="M8643" s="15" t="s">
        <v>8</v>
      </c>
      <c r="N8643" s="15" t="s">
        <v>8</v>
      </c>
      <c r="S8643" s="15" t="s">
        <v>8</v>
      </c>
    </row>
    <row r="8644" spans="3:25" x14ac:dyDescent="0.35">
      <c r="C8644" s="15" t="s">
        <v>8</v>
      </c>
      <c r="H8644" s="15" t="s">
        <v>8</v>
      </c>
      <c r="I8644" s="15" t="s">
        <v>8</v>
      </c>
      <c r="K8644" s="15" t="s">
        <v>8</v>
      </c>
      <c r="M8644" s="15" t="s">
        <v>8</v>
      </c>
      <c r="N8644" s="15" t="s">
        <v>8</v>
      </c>
      <c r="R8644" s="19" t="str">
        <f>HYPERLINK("http://yeinfo.com/family/I09065599.html", "ROBERT WARD &lt;2&gt; 1460 EN-1520 EN ID:09065599")</f>
        <v>ROBERT WARD &lt;2&gt; 1460 EN-1520 EN ID:09065599</v>
      </c>
      <c r="S8644" s="9"/>
      <c r="T8644" s="9"/>
      <c r="U8644" s="9"/>
      <c r="V8644" s="9"/>
    </row>
    <row r="8645" spans="3:25" x14ac:dyDescent="0.35">
      <c r="C8645" s="15" t="s">
        <v>8</v>
      </c>
      <c r="H8645" s="15" t="s">
        <v>8</v>
      </c>
      <c r="I8645" s="15" t="s">
        <v>8</v>
      </c>
      <c r="K8645" s="15" t="s">
        <v>8</v>
      </c>
      <c r="M8645" s="15" t="s">
        <v>8</v>
      </c>
      <c r="N8645" s="15" t="s">
        <v>8</v>
      </c>
      <c r="R8645" s="8" t="s">
        <v>3</v>
      </c>
      <c r="S8645" s="15" t="s">
        <v>8</v>
      </c>
    </row>
    <row r="8646" spans="3:25" x14ac:dyDescent="0.35">
      <c r="C8646" s="15" t="s">
        <v>8</v>
      </c>
      <c r="H8646" s="15" t="s">
        <v>8</v>
      </c>
      <c r="I8646" s="15" t="s">
        <v>8</v>
      </c>
      <c r="K8646" s="15" t="s">
        <v>8</v>
      </c>
      <c r="M8646" s="15" t="s">
        <v>8</v>
      </c>
      <c r="N8646" s="15" t="s">
        <v>8</v>
      </c>
      <c r="R8646" s="15" t="s">
        <v>8</v>
      </c>
      <c r="S8646" s="15" t="s">
        <v>8</v>
      </c>
      <c r="T8646" s="19" t="str">
        <f>HYPERLINK("http://yeinfo.com/family/I09065881.html", "ROBERT KEMPE &lt;2&gt; 1360 EN-1400 EN ID:09065881")</f>
        <v>ROBERT KEMPE &lt;2&gt; 1360 EN-1400 EN ID:09065881</v>
      </c>
      <c r="U8646" s="9"/>
      <c r="V8646" s="9"/>
      <c r="W8646" s="9"/>
      <c r="X8646" s="9"/>
    </row>
    <row r="8647" spans="3:25" x14ac:dyDescent="0.35">
      <c r="C8647" s="15" t="s">
        <v>8</v>
      </c>
      <c r="H8647" s="15" t="s">
        <v>8</v>
      </c>
      <c r="I8647" s="15" t="s">
        <v>8</v>
      </c>
      <c r="K8647" s="15" t="s">
        <v>8</v>
      </c>
      <c r="M8647" s="15" t="s">
        <v>8</v>
      </c>
      <c r="N8647" s="15" t="s">
        <v>8</v>
      </c>
      <c r="R8647" s="15" t="s">
        <v>8</v>
      </c>
      <c r="S8647" s="8" t="s">
        <v>6</v>
      </c>
      <c r="T8647" s="8" t="s">
        <v>3</v>
      </c>
    </row>
    <row r="8648" spans="3:25" x14ac:dyDescent="0.35">
      <c r="C8648" s="15" t="s">
        <v>8</v>
      </c>
      <c r="H8648" s="15" t="s">
        <v>8</v>
      </c>
      <c r="I8648" s="15" t="s">
        <v>8</v>
      </c>
      <c r="K8648" s="15" t="s">
        <v>8</v>
      </c>
      <c r="M8648" s="15" t="s">
        <v>8</v>
      </c>
      <c r="N8648" s="15" t="s">
        <v>8</v>
      </c>
      <c r="R8648" s="15" t="s">
        <v>8</v>
      </c>
      <c r="S8648" s="20" t="str">
        <f>HYPERLINK("http://yeinfo.com/family/I09065733.html", "MARGARET\ALICE ALICE KEMPE &lt;2&gt; 1400 EN-1461 EN ID:09065733")</f>
        <v>MARGARET\ALICE ALICE KEMPE &lt;2&gt; 1400 EN-1461 EN ID:09065733</v>
      </c>
      <c r="T8648" s="17"/>
      <c r="U8648" s="17"/>
      <c r="V8648" s="17"/>
      <c r="W8648" s="17"/>
      <c r="X8648" s="17"/>
    </row>
    <row r="8649" spans="3:25" x14ac:dyDescent="0.35">
      <c r="C8649" s="15" t="s">
        <v>8</v>
      </c>
      <c r="H8649" s="15" t="s">
        <v>8</v>
      </c>
      <c r="I8649" s="15" t="s">
        <v>8</v>
      </c>
      <c r="K8649" s="15" t="s">
        <v>8</v>
      </c>
      <c r="M8649" s="15" t="s">
        <v>8</v>
      </c>
      <c r="N8649" s="15" t="s">
        <v>8</v>
      </c>
      <c r="R8649" s="15" t="s">
        <v>8</v>
      </c>
      <c r="T8649" s="8" t="s">
        <v>6</v>
      </c>
    </row>
    <row r="8650" spans="3:25" x14ac:dyDescent="0.35">
      <c r="C8650" s="15" t="s">
        <v>8</v>
      </c>
      <c r="H8650" s="15" t="s">
        <v>8</v>
      </c>
      <c r="I8650" s="15" t="s">
        <v>8</v>
      </c>
      <c r="K8650" s="15" t="s">
        <v>8</v>
      </c>
      <c r="M8650" s="15" t="s">
        <v>8</v>
      </c>
      <c r="N8650" s="15" t="s">
        <v>8</v>
      </c>
      <c r="R8650" s="15" t="s">
        <v>8</v>
      </c>
      <c r="T8650" s="20" t="str">
        <f>HYPERLINK("http://yeinfo.com/family/I09065882.html", "KATHERINE HAWKER &lt;2&gt; 1380 EN-1400  ID:09065882")</f>
        <v>KATHERINE HAWKER &lt;2&gt; 1380 EN-1400  ID:09065882</v>
      </c>
      <c r="U8650" s="17"/>
      <c r="V8650" s="17"/>
      <c r="W8650" s="17"/>
      <c r="X8650" s="17"/>
    </row>
    <row r="8651" spans="3:25" x14ac:dyDescent="0.35">
      <c r="C8651" s="15" t="s">
        <v>8</v>
      </c>
      <c r="H8651" s="15" t="s">
        <v>8</v>
      </c>
      <c r="I8651" s="15" t="s">
        <v>8</v>
      </c>
      <c r="K8651" s="15" t="s">
        <v>8</v>
      </c>
      <c r="M8651" s="15" t="s">
        <v>8</v>
      </c>
      <c r="N8651" s="15" t="s">
        <v>8</v>
      </c>
      <c r="R8651" s="15" t="s">
        <v>8</v>
      </c>
    </row>
    <row r="8652" spans="3:25" x14ac:dyDescent="0.35">
      <c r="C8652" s="15" t="s">
        <v>8</v>
      </c>
      <c r="H8652" s="15" t="s">
        <v>8</v>
      </c>
      <c r="I8652" s="15" t="s">
        <v>8</v>
      </c>
      <c r="K8652" s="15" t="s">
        <v>8</v>
      </c>
      <c r="M8652" s="15" t="s">
        <v>8</v>
      </c>
      <c r="N8652" s="15" t="s">
        <v>8</v>
      </c>
      <c r="Q8652" s="19" t="str">
        <f>HYPERLINK("http://yeinfo.com/family/I09047432.html", "ROBERT WARD &lt;2&gt; 1500 EN-1534 EN ID:09047432")</f>
        <v>ROBERT WARD &lt;2&gt; 1500 EN-1534 EN ID:09047432</v>
      </c>
      <c r="R8652" s="9"/>
      <c r="S8652" s="9"/>
      <c r="T8652" s="9"/>
      <c r="U8652" s="9"/>
    </row>
    <row r="8653" spans="3:25" x14ac:dyDescent="0.35">
      <c r="C8653" s="15" t="s">
        <v>8</v>
      </c>
      <c r="H8653" s="15" t="s">
        <v>8</v>
      </c>
      <c r="I8653" s="15" t="s">
        <v>8</v>
      </c>
      <c r="K8653" s="15" t="s">
        <v>8</v>
      </c>
      <c r="M8653" s="15" t="s">
        <v>8</v>
      </c>
      <c r="N8653" s="15" t="s">
        <v>8</v>
      </c>
      <c r="Q8653" s="8" t="s">
        <v>3</v>
      </c>
      <c r="R8653" s="8" t="s">
        <v>6</v>
      </c>
    </row>
    <row r="8654" spans="3:25" x14ac:dyDescent="0.35">
      <c r="C8654" s="15" t="s">
        <v>8</v>
      </c>
      <c r="H8654" s="15" t="s">
        <v>8</v>
      </c>
      <c r="I8654" s="15" t="s">
        <v>8</v>
      </c>
      <c r="K8654" s="15" t="s">
        <v>8</v>
      </c>
      <c r="M8654" s="15" t="s">
        <v>8</v>
      </c>
      <c r="N8654" s="15" t="s">
        <v>8</v>
      </c>
      <c r="Q8654" s="15" t="s">
        <v>8</v>
      </c>
      <c r="R8654" s="20" t="str">
        <f>HYPERLINK("http://yeinfo.com/family/I09065600.html", "ANNE COPPERDICK &lt;2&gt; 1462 WL-1502 EN ID:09065600")</f>
        <v>ANNE COPPERDICK &lt;2&gt; 1462 WL-1502 EN ID:09065600</v>
      </c>
      <c r="S8654" s="17"/>
      <c r="T8654" s="17"/>
      <c r="U8654" s="17"/>
      <c r="V8654" s="17"/>
    </row>
    <row r="8655" spans="3:25" x14ac:dyDescent="0.35">
      <c r="C8655" s="15" t="s">
        <v>8</v>
      </c>
      <c r="H8655" s="15" t="s">
        <v>8</v>
      </c>
      <c r="I8655" s="15" t="s">
        <v>8</v>
      </c>
      <c r="K8655" s="15" t="s">
        <v>8</v>
      </c>
      <c r="M8655" s="15" t="s">
        <v>8</v>
      </c>
      <c r="N8655" s="15" t="s">
        <v>8</v>
      </c>
      <c r="Q8655" s="15" t="s">
        <v>8</v>
      </c>
    </row>
    <row r="8656" spans="3:25" x14ac:dyDescent="0.35">
      <c r="C8656" s="15" t="s">
        <v>8</v>
      </c>
      <c r="H8656" s="15" t="s">
        <v>8</v>
      </c>
      <c r="I8656" s="15" t="s">
        <v>8</v>
      </c>
      <c r="K8656" s="15" t="s">
        <v>8</v>
      </c>
      <c r="M8656" s="15" t="s">
        <v>8</v>
      </c>
      <c r="N8656" s="15" t="s">
        <v>8</v>
      </c>
      <c r="P8656" s="19" t="str">
        <f>HYPERLINK("http://yeinfo.com/family/I09023716.html", "HENRY WARD &lt;2&gt; 1519 EN-1540 EN ID:09023716")</f>
        <v>HENRY WARD &lt;2&gt; 1519 EN-1540 EN ID:09023716</v>
      </c>
      <c r="Q8656" s="9"/>
      <c r="R8656" s="9"/>
      <c r="S8656" s="9"/>
      <c r="T8656" s="9"/>
    </row>
    <row r="8657" spans="3:25" x14ac:dyDescent="0.35">
      <c r="C8657" s="15" t="s">
        <v>8</v>
      </c>
      <c r="H8657" s="15" t="s">
        <v>8</v>
      </c>
      <c r="I8657" s="15" t="s">
        <v>8</v>
      </c>
      <c r="K8657" s="15" t="s">
        <v>8</v>
      </c>
      <c r="M8657" s="15" t="s">
        <v>8</v>
      </c>
      <c r="N8657" s="15" t="s">
        <v>8</v>
      </c>
      <c r="P8657" s="8" t="s">
        <v>3</v>
      </c>
      <c r="Q8657" s="15" t="s">
        <v>8</v>
      </c>
    </row>
    <row r="8658" spans="3:25" x14ac:dyDescent="0.35">
      <c r="C8658" s="15" t="s">
        <v>8</v>
      </c>
      <c r="H8658" s="15" t="s">
        <v>8</v>
      </c>
      <c r="I8658" s="15" t="s">
        <v>8</v>
      </c>
      <c r="K8658" s="15" t="s">
        <v>8</v>
      </c>
      <c r="M8658" s="15" t="s">
        <v>8</v>
      </c>
      <c r="N8658" s="15" t="s">
        <v>8</v>
      </c>
      <c r="P8658" s="15" t="s">
        <v>8</v>
      </c>
      <c r="Q8658" s="15" t="s">
        <v>8</v>
      </c>
      <c r="T8658" s="19" t="str">
        <f>HYPERLINK("http://yeinfo.com/family/I09065883.html", "JOHN CAPELL &lt;4&gt; 1398 EN-1449 EN ID:09065883")</f>
        <v>JOHN CAPELL &lt;4&gt; 1398 EN-1449 EN ID:09065883</v>
      </c>
      <c r="U8658" s="9"/>
      <c r="V8658" s="9"/>
      <c r="W8658" s="9"/>
      <c r="X8658" s="9"/>
    </row>
    <row r="8659" spans="3:25" x14ac:dyDescent="0.35">
      <c r="C8659" s="15" t="s">
        <v>8</v>
      </c>
      <c r="H8659" s="15" t="s">
        <v>8</v>
      </c>
      <c r="I8659" s="15" t="s">
        <v>8</v>
      </c>
      <c r="K8659" s="15" t="s">
        <v>8</v>
      </c>
      <c r="M8659" s="15" t="s">
        <v>8</v>
      </c>
      <c r="N8659" s="15" t="s">
        <v>8</v>
      </c>
      <c r="P8659" s="15" t="s">
        <v>8</v>
      </c>
      <c r="Q8659" s="15" t="s">
        <v>8</v>
      </c>
      <c r="T8659" s="8" t="s">
        <v>3</v>
      </c>
    </row>
    <row r="8660" spans="3:25" x14ac:dyDescent="0.35">
      <c r="C8660" s="15" t="s">
        <v>8</v>
      </c>
      <c r="H8660" s="15" t="s">
        <v>8</v>
      </c>
      <c r="I8660" s="15" t="s">
        <v>8</v>
      </c>
      <c r="K8660" s="15" t="s">
        <v>8</v>
      </c>
      <c r="M8660" s="15" t="s">
        <v>8</v>
      </c>
      <c r="N8660" s="15" t="s">
        <v>8</v>
      </c>
      <c r="P8660" s="15" t="s">
        <v>8</v>
      </c>
      <c r="Q8660" s="15" t="s">
        <v>8</v>
      </c>
      <c r="S8660" s="19" t="str">
        <f>HYPERLINK("http://yeinfo.com/family/I09065734.html", "WILLIAM CAPELL &lt;4&gt; 1446 EN-1515 EN ID:09065734")</f>
        <v>WILLIAM CAPELL &lt;4&gt; 1446 EN-1515 EN ID:09065734</v>
      </c>
      <c r="T8660" s="9"/>
      <c r="U8660" s="9"/>
      <c r="V8660" s="9"/>
      <c r="W8660" s="9"/>
    </row>
    <row r="8661" spans="3:25" x14ac:dyDescent="0.35">
      <c r="C8661" s="15" t="s">
        <v>8</v>
      </c>
      <c r="H8661" s="15" t="s">
        <v>8</v>
      </c>
      <c r="I8661" s="15" t="s">
        <v>8</v>
      </c>
      <c r="K8661" s="15" t="s">
        <v>8</v>
      </c>
      <c r="M8661" s="15" t="s">
        <v>8</v>
      </c>
      <c r="N8661" s="15" t="s">
        <v>8</v>
      </c>
      <c r="P8661" s="15" t="s">
        <v>8</v>
      </c>
      <c r="Q8661" s="15" t="s">
        <v>8</v>
      </c>
      <c r="S8661" s="8" t="s">
        <v>3</v>
      </c>
      <c r="T8661" s="8" t="s">
        <v>6</v>
      </c>
    </row>
    <row r="8662" spans="3:25" x14ac:dyDescent="0.35">
      <c r="C8662" s="15" t="s">
        <v>8</v>
      </c>
      <c r="H8662" s="15" t="s">
        <v>8</v>
      </c>
      <c r="I8662" s="15" t="s">
        <v>8</v>
      </c>
      <c r="K8662" s="15" t="s">
        <v>8</v>
      </c>
      <c r="M8662" s="15" t="s">
        <v>8</v>
      </c>
      <c r="N8662" s="15" t="s">
        <v>8</v>
      </c>
      <c r="P8662" s="15" t="s">
        <v>8</v>
      </c>
      <c r="Q8662" s="15" t="s">
        <v>8</v>
      </c>
      <c r="S8662" s="15" t="s">
        <v>8</v>
      </c>
      <c r="T8662" s="20" t="str">
        <f>HYPERLINK("http://yeinfo.com/family/I09065884.html", "Mrs. JOAN CAPELL &lt;4&gt; 1402 EN-1446 EN ID:09065884")</f>
        <v>Mrs. JOAN CAPELL &lt;4&gt; 1402 EN-1446 EN ID:09065884</v>
      </c>
      <c r="U8662" s="17"/>
      <c r="V8662" s="17"/>
      <c r="W8662" s="17"/>
      <c r="X8662" s="17"/>
    </row>
    <row r="8663" spans="3:25" x14ac:dyDescent="0.35">
      <c r="C8663" s="15" t="s">
        <v>8</v>
      </c>
      <c r="H8663" s="15" t="s">
        <v>8</v>
      </c>
      <c r="I8663" s="15" t="s">
        <v>8</v>
      </c>
      <c r="K8663" s="15" t="s">
        <v>8</v>
      </c>
      <c r="M8663" s="15" t="s">
        <v>8</v>
      </c>
      <c r="N8663" s="15" t="s">
        <v>8</v>
      </c>
      <c r="P8663" s="15" t="s">
        <v>8</v>
      </c>
      <c r="Q8663" s="15" t="s">
        <v>8</v>
      </c>
      <c r="S8663" s="15" t="s">
        <v>8</v>
      </c>
    </row>
    <row r="8664" spans="3:25" x14ac:dyDescent="0.35">
      <c r="C8664" s="15" t="s">
        <v>8</v>
      </c>
      <c r="H8664" s="15" t="s">
        <v>8</v>
      </c>
      <c r="I8664" s="15" t="s">
        <v>8</v>
      </c>
      <c r="K8664" s="15" t="s">
        <v>8</v>
      </c>
      <c r="M8664" s="15" t="s">
        <v>8</v>
      </c>
      <c r="N8664" s="15" t="s">
        <v>8</v>
      </c>
      <c r="P8664" s="15" t="s">
        <v>8</v>
      </c>
      <c r="Q8664" s="15" t="s">
        <v>8</v>
      </c>
      <c r="R8664" s="19" t="str">
        <f>HYPERLINK("http://yeinfo.com/family/I09065601.html", "GILES CAPELL &lt;4&gt; 1480 EN-1556 EN ID:09065601")</f>
        <v>GILES CAPELL &lt;4&gt; 1480 EN-1556 EN ID:09065601</v>
      </c>
      <c r="S8664" s="9"/>
      <c r="T8664" s="9"/>
      <c r="U8664" s="9"/>
      <c r="V8664" s="9"/>
    </row>
    <row r="8665" spans="3:25" x14ac:dyDescent="0.35">
      <c r="C8665" s="15" t="s">
        <v>8</v>
      </c>
      <c r="H8665" s="15" t="s">
        <v>8</v>
      </c>
      <c r="I8665" s="15" t="s">
        <v>8</v>
      </c>
      <c r="K8665" s="15" t="s">
        <v>8</v>
      </c>
      <c r="M8665" s="15" t="s">
        <v>8</v>
      </c>
      <c r="N8665" s="15" t="s">
        <v>8</v>
      </c>
      <c r="P8665" s="15" t="s">
        <v>8</v>
      </c>
      <c r="Q8665" s="15" t="s">
        <v>8</v>
      </c>
      <c r="R8665" s="8" t="s">
        <v>3</v>
      </c>
      <c r="S8665" s="15" t="s">
        <v>8</v>
      </c>
    </row>
    <row r="8666" spans="3:25" x14ac:dyDescent="0.35">
      <c r="C8666" s="15" t="s">
        <v>8</v>
      </c>
      <c r="H8666" s="15" t="s">
        <v>8</v>
      </c>
      <c r="I8666" s="15" t="s">
        <v>8</v>
      </c>
      <c r="K8666" s="15" t="s">
        <v>8</v>
      </c>
      <c r="M8666" s="15" t="s">
        <v>8</v>
      </c>
      <c r="N8666" s="15" t="s">
        <v>8</v>
      </c>
      <c r="P8666" s="15" t="s">
        <v>8</v>
      </c>
      <c r="Q8666" s="15" t="s">
        <v>8</v>
      </c>
      <c r="R8666" s="15" t="s">
        <v>8</v>
      </c>
      <c r="S8666" s="15" t="s">
        <v>8</v>
      </c>
      <c r="U8666" s="19" t="str">
        <f>HYPERLINK("http://yeinfo.com/family/I09066733.html", "JOHN ARUNDELL VI &lt;4&gt; 1392 EN-1423 EN ID:09066733")</f>
        <v>JOHN ARUNDELL VI &lt;4&gt; 1392 EN-1423 EN ID:09066733</v>
      </c>
      <c r="V8666" s="9"/>
      <c r="W8666" s="9"/>
      <c r="X8666" s="9"/>
      <c r="Y8666" s="9"/>
    </row>
    <row r="8667" spans="3:25" x14ac:dyDescent="0.35">
      <c r="C8667" s="15" t="s">
        <v>8</v>
      </c>
      <c r="H8667" s="15" t="s">
        <v>8</v>
      </c>
      <c r="I8667" s="15" t="s">
        <v>8</v>
      </c>
      <c r="K8667" s="15" t="s">
        <v>8</v>
      </c>
      <c r="M8667" s="15" t="s">
        <v>8</v>
      </c>
      <c r="N8667" s="15" t="s">
        <v>8</v>
      </c>
      <c r="P8667" s="15" t="s">
        <v>8</v>
      </c>
      <c r="Q8667" s="15" t="s">
        <v>8</v>
      </c>
      <c r="R8667" s="15" t="s">
        <v>8</v>
      </c>
      <c r="S8667" s="15" t="s">
        <v>8</v>
      </c>
      <c r="U8667" s="8" t="s">
        <v>3</v>
      </c>
    </row>
    <row r="8668" spans="3:25" x14ac:dyDescent="0.35">
      <c r="C8668" s="15" t="s">
        <v>8</v>
      </c>
      <c r="H8668" s="15" t="s">
        <v>8</v>
      </c>
      <c r="I8668" s="15" t="s">
        <v>8</v>
      </c>
      <c r="K8668" s="15" t="s">
        <v>8</v>
      </c>
      <c r="M8668" s="15" t="s">
        <v>8</v>
      </c>
      <c r="N8668" s="15" t="s">
        <v>8</v>
      </c>
      <c r="P8668" s="15" t="s">
        <v>8</v>
      </c>
      <c r="Q8668" s="15" t="s">
        <v>8</v>
      </c>
      <c r="R8668" s="15" t="s">
        <v>8</v>
      </c>
      <c r="S8668" s="15" t="s">
        <v>8</v>
      </c>
      <c r="T8668" s="19" t="str">
        <f>HYPERLINK("http://yeinfo.com/family/I09066731.html", "JOHN ARUNDELL VII &lt;4&gt; 1421 EN-1473 EN ID:09066731")</f>
        <v>JOHN ARUNDELL VII &lt;4&gt; 1421 EN-1473 EN ID:09066731</v>
      </c>
      <c r="U8668" s="9"/>
      <c r="V8668" s="9"/>
      <c r="W8668" s="9"/>
      <c r="X8668" s="9"/>
    </row>
    <row r="8669" spans="3:25" x14ac:dyDescent="0.35">
      <c r="C8669" s="15" t="s">
        <v>8</v>
      </c>
      <c r="H8669" s="15" t="s">
        <v>8</v>
      </c>
      <c r="I8669" s="15" t="s">
        <v>8</v>
      </c>
      <c r="K8669" s="15" t="s">
        <v>8</v>
      </c>
      <c r="M8669" s="15" t="s">
        <v>8</v>
      </c>
      <c r="N8669" s="15" t="s">
        <v>8</v>
      </c>
      <c r="P8669" s="15" t="s">
        <v>8</v>
      </c>
      <c r="Q8669" s="15" t="s">
        <v>8</v>
      </c>
      <c r="R8669" s="15" t="s">
        <v>8</v>
      </c>
      <c r="S8669" s="15" t="s">
        <v>8</v>
      </c>
      <c r="T8669" s="8" t="s">
        <v>3</v>
      </c>
      <c r="U8669" s="8" t="s">
        <v>6</v>
      </c>
    </row>
    <row r="8670" spans="3:25" x14ac:dyDescent="0.35">
      <c r="C8670" s="15" t="s">
        <v>8</v>
      </c>
      <c r="H8670" s="15" t="s">
        <v>8</v>
      </c>
      <c r="I8670" s="15" t="s">
        <v>8</v>
      </c>
      <c r="K8670" s="15" t="s">
        <v>8</v>
      </c>
      <c r="M8670" s="15" t="s">
        <v>8</v>
      </c>
      <c r="N8670" s="15" t="s">
        <v>8</v>
      </c>
      <c r="P8670" s="15" t="s">
        <v>8</v>
      </c>
      <c r="Q8670" s="15" t="s">
        <v>8</v>
      </c>
      <c r="R8670" s="15" t="s">
        <v>8</v>
      </c>
      <c r="S8670" s="15" t="s">
        <v>8</v>
      </c>
      <c r="T8670" s="15" t="s">
        <v>8</v>
      </c>
      <c r="U8670" s="20" t="str">
        <f>HYPERLINK("http://yeinfo.com/family/I09066734.html", "MARGARET BURGHRESH &lt;4&gt; 1379 EN-1424 EN ID:09066734")</f>
        <v>MARGARET BURGHRESH &lt;4&gt; 1379 EN-1424 EN ID:09066734</v>
      </c>
      <c r="V8670" s="17"/>
      <c r="W8670" s="17"/>
      <c r="X8670" s="17"/>
      <c r="Y8670" s="17"/>
    </row>
    <row r="8671" spans="3:25" x14ac:dyDescent="0.35">
      <c r="C8671" s="15" t="s">
        <v>8</v>
      </c>
      <c r="H8671" s="15" t="s">
        <v>8</v>
      </c>
      <c r="I8671" s="15" t="s">
        <v>8</v>
      </c>
      <c r="K8671" s="15" t="s">
        <v>8</v>
      </c>
      <c r="M8671" s="15" t="s">
        <v>8</v>
      </c>
      <c r="N8671" s="15" t="s">
        <v>8</v>
      </c>
      <c r="P8671" s="15" t="s">
        <v>8</v>
      </c>
      <c r="Q8671" s="15" t="s">
        <v>8</v>
      </c>
      <c r="R8671" s="15" t="s">
        <v>8</v>
      </c>
      <c r="S8671" s="8" t="s">
        <v>6</v>
      </c>
      <c r="T8671" s="15" t="s">
        <v>8</v>
      </c>
    </row>
    <row r="8672" spans="3:25" x14ac:dyDescent="0.35">
      <c r="C8672" s="15" t="s">
        <v>8</v>
      </c>
      <c r="H8672" s="15" t="s">
        <v>8</v>
      </c>
      <c r="I8672" s="15" t="s">
        <v>8</v>
      </c>
      <c r="K8672" s="15" t="s">
        <v>8</v>
      </c>
      <c r="M8672" s="15" t="s">
        <v>8</v>
      </c>
      <c r="N8672" s="15" t="s">
        <v>8</v>
      </c>
      <c r="P8672" s="15" t="s">
        <v>8</v>
      </c>
      <c r="Q8672" s="15" t="s">
        <v>8</v>
      </c>
      <c r="R8672" s="15" t="s">
        <v>8</v>
      </c>
      <c r="S8672" s="20" t="str">
        <f>HYPERLINK("http://yeinfo.com/family/I09065735.html", "MARGARET ARUNDELL &lt;4&gt; 1456 EN-1519 EN ID:09065735")</f>
        <v>MARGARET ARUNDELL &lt;4&gt; 1456 EN-1519 EN ID:09065735</v>
      </c>
      <c r="T8672" s="17"/>
      <c r="U8672" s="17"/>
      <c r="V8672" s="17"/>
      <c r="W8672" s="17"/>
    </row>
    <row r="8673" spans="3:25" x14ac:dyDescent="0.35">
      <c r="C8673" s="15" t="s">
        <v>8</v>
      </c>
      <c r="H8673" s="15" t="s">
        <v>8</v>
      </c>
      <c r="I8673" s="15" t="s">
        <v>8</v>
      </c>
      <c r="K8673" s="15" t="s">
        <v>8</v>
      </c>
      <c r="M8673" s="15" t="s">
        <v>8</v>
      </c>
      <c r="N8673" s="15" t="s">
        <v>8</v>
      </c>
      <c r="P8673" s="15" t="s">
        <v>8</v>
      </c>
      <c r="Q8673" s="15" t="s">
        <v>8</v>
      </c>
      <c r="R8673" s="15" t="s">
        <v>8</v>
      </c>
      <c r="T8673" s="15" t="s">
        <v>8</v>
      </c>
    </row>
    <row r="8674" spans="3:25" x14ac:dyDescent="0.35">
      <c r="C8674" s="15" t="s">
        <v>8</v>
      </c>
      <c r="H8674" s="15" t="s">
        <v>8</v>
      </c>
      <c r="I8674" s="15" t="s">
        <v>8</v>
      </c>
      <c r="K8674" s="15" t="s">
        <v>8</v>
      </c>
      <c r="M8674" s="15" t="s">
        <v>8</v>
      </c>
      <c r="N8674" s="15" t="s">
        <v>8</v>
      </c>
      <c r="P8674" s="15" t="s">
        <v>8</v>
      </c>
      <c r="Q8674" s="15" t="s">
        <v>8</v>
      </c>
      <c r="R8674" s="15" t="s">
        <v>8</v>
      </c>
      <c r="T8674" s="15" t="s">
        <v>8</v>
      </c>
      <c r="U8674" s="19" t="str">
        <f>HYPERLINK("http://yeinfo.com/family/I09066735.html", "JOHN CHIDIOCKE &lt;4&gt; 1401 EN-1450 EN ID:09066735")</f>
        <v>JOHN CHIDIOCKE &lt;4&gt; 1401 EN-1450 EN ID:09066735</v>
      </c>
      <c r="V8674" s="9"/>
      <c r="W8674" s="9"/>
      <c r="X8674" s="9"/>
      <c r="Y8674" s="9"/>
    </row>
    <row r="8675" spans="3:25" x14ac:dyDescent="0.35">
      <c r="C8675" s="15" t="s">
        <v>8</v>
      </c>
      <c r="H8675" s="15" t="s">
        <v>8</v>
      </c>
      <c r="I8675" s="15" t="s">
        <v>8</v>
      </c>
      <c r="K8675" s="15" t="s">
        <v>8</v>
      </c>
      <c r="M8675" s="15" t="s">
        <v>8</v>
      </c>
      <c r="N8675" s="15" t="s">
        <v>8</v>
      </c>
      <c r="P8675" s="15" t="s">
        <v>8</v>
      </c>
      <c r="Q8675" s="15" t="s">
        <v>8</v>
      </c>
      <c r="R8675" s="15" t="s">
        <v>8</v>
      </c>
      <c r="T8675" s="8" t="s">
        <v>6</v>
      </c>
      <c r="U8675" s="8" t="s">
        <v>3</v>
      </c>
    </row>
    <row r="8676" spans="3:25" x14ac:dyDescent="0.35">
      <c r="C8676" s="15" t="s">
        <v>8</v>
      </c>
      <c r="H8676" s="15" t="s">
        <v>8</v>
      </c>
      <c r="I8676" s="15" t="s">
        <v>8</v>
      </c>
      <c r="K8676" s="15" t="s">
        <v>8</v>
      </c>
      <c r="M8676" s="15" t="s">
        <v>8</v>
      </c>
      <c r="N8676" s="15" t="s">
        <v>8</v>
      </c>
      <c r="P8676" s="15" t="s">
        <v>8</v>
      </c>
      <c r="Q8676" s="15" t="s">
        <v>8</v>
      </c>
      <c r="R8676" s="15" t="s">
        <v>8</v>
      </c>
      <c r="T8676" s="20" t="str">
        <f>HYPERLINK("http://yeinfo.com/family/I09066732.html", "CATHERINE CHIDIOCKE &lt;4&gt; 1423 EN-1479 EN ID:09066732")</f>
        <v>CATHERINE CHIDIOCKE &lt;4&gt; 1423 EN-1479 EN ID:09066732</v>
      </c>
      <c r="U8676" s="17"/>
      <c r="V8676" s="17"/>
      <c r="W8676" s="17"/>
      <c r="X8676" s="17"/>
    </row>
    <row r="8677" spans="3:25" x14ac:dyDescent="0.35">
      <c r="C8677" s="15" t="s">
        <v>8</v>
      </c>
      <c r="H8677" s="15" t="s">
        <v>8</v>
      </c>
      <c r="I8677" s="15" t="s">
        <v>8</v>
      </c>
      <c r="K8677" s="15" t="s">
        <v>8</v>
      </c>
      <c r="M8677" s="15" t="s">
        <v>8</v>
      </c>
      <c r="N8677" s="15" t="s">
        <v>8</v>
      </c>
      <c r="P8677" s="15" t="s">
        <v>8</v>
      </c>
      <c r="Q8677" s="15" t="s">
        <v>8</v>
      </c>
      <c r="R8677" s="15" t="s">
        <v>8</v>
      </c>
      <c r="U8677" s="8" t="s">
        <v>6</v>
      </c>
    </row>
    <row r="8678" spans="3:25" x14ac:dyDescent="0.35">
      <c r="C8678" s="15" t="s">
        <v>8</v>
      </c>
      <c r="H8678" s="15" t="s">
        <v>8</v>
      </c>
      <c r="I8678" s="15" t="s">
        <v>8</v>
      </c>
      <c r="K8678" s="15" t="s">
        <v>8</v>
      </c>
      <c r="M8678" s="15" t="s">
        <v>8</v>
      </c>
      <c r="N8678" s="15" t="s">
        <v>8</v>
      </c>
      <c r="P8678" s="15" t="s">
        <v>8</v>
      </c>
      <c r="Q8678" s="15" t="s">
        <v>8</v>
      </c>
      <c r="R8678" s="15" t="s">
        <v>8</v>
      </c>
      <c r="U8678" s="20" t="str">
        <f>HYPERLINK("http://yeinfo.com/family/I09066736.html", "CATHERINE LUMLEY &lt;4&gt; 1400 EN-1461 EN ID:09066736")</f>
        <v>CATHERINE LUMLEY &lt;4&gt; 1400 EN-1461 EN ID:09066736</v>
      </c>
      <c r="V8678" s="17"/>
      <c r="W8678" s="17"/>
      <c r="X8678" s="17"/>
      <c r="Y8678" s="17"/>
    </row>
    <row r="8679" spans="3:25" x14ac:dyDescent="0.35">
      <c r="C8679" s="15" t="s">
        <v>8</v>
      </c>
      <c r="H8679" s="15" t="s">
        <v>8</v>
      </c>
      <c r="I8679" s="15" t="s">
        <v>8</v>
      </c>
      <c r="K8679" s="15" t="s">
        <v>8</v>
      </c>
      <c r="M8679" s="15" t="s">
        <v>8</v>
      </c>
      <c r="N8679" s="15" t="s">
        <v>8</v>
      </c>
      <c r="P8679" s="15" t="s">
        <v>8</v>
      </c>
      <c r="Q8679" s="8" t="s">
        <v>6</v>
      </c>
      <c r="R8679" s="15" t="s">
        <v>8</v>
      </c>
    </row>
    <row r="8680" spans="3:25" x14ac:dyDescent="0.35">
      <c r="C8680" s="15" t="s">
        <v>8</v>
      </c>
      <c r="H8680" s="15" t="s">
        <v>8</v>
      </c>
      <c r="I8680" s="15" t="s">
        <v>8</v>
      </c>
      <c r="K8680" s="15" t="s">
        <v>8</v>
      </c>
      <c r="M8680" s="15" t="s">
        <v>8</v>
      </c>
      <c r="N8680" s="15" t="s">
        <v>8</v>
      </c>
      <c r="P8680" s="15" t="s">
        <v>8</v>
      </c>
      <c r="Q8680" s="20" t="str">
        <f>HYPERLINK("http://yeinfo.com/family/I09047433.html", "MARGARET CAPELL CAPELL &lt;4&gt; 1507 EN-1530 EN ID:09047433")</f>
        <v>MARGARET CAPELL CAPELL &lt;4&gt; 1507 EN-1530 EN ID:09047433</v>
      </c>
      <c r="R8680" s="17"/>
      <c r="S8680" s="17"/>
      <c r="T8680" s="17"/>
      <c r="U8680" s="17"/>
    </row>
    <row r="8681" spans="3:25" x14ac:dyDescent="0.35">
      <c r="C8681" s="15" t="s">
        <v>8</v>
      </c>
      <c r="H8681" s="15" t="s">
        <v>8</v>
      </c>
      <c r="I8681" s="15" t="s">
        <v>8</v>
      </c>
      <c r="K8681" s="15" t="s">
        <v>8</v>
      </c>
      <c r="M8681" s="15" t="s">
        <v>8</v>
      </c>
      <c r="N8681" s="15" t="s">
        <v>8</v>
      </c>
      <c r="P8681" s="15" t="s">
        <v>8</v>
      </c>
      <c r="R8681" s="15" t="s">
        <v>8</v>
      </c>
    </row>
    <row r="8682" spans="3:25" x14ac:dyDescent="0.35">
      <c r="C8682" s="15" t="s">
        <v>8</v>
      </c>
      <c r="H8682" s="15" t="s">
        <v>8</v>
      </c>
      <c r="I8682" s="15" t="s">
        <v>8</v>
      </c>
      <c r="K8682" s="15" t="s">
        <v>8</v>
      </c>
      <c r="M8682" s="15" t="s">
        <v>8</v>
      </c>
      <c r="N8682" s="15" t="s">
        <v>8</v>
      </c>
      <c r="P8682" s="15" t="s">
        <v>8</v>
      </c>
      <c r="R8682" s="15" t="s">
        <v>8</v>
      </c>
      <c r="T8682" s="19" t="str">
        <f>HYPERLINK("http://yeinfo.com/family/I09065885.html", "JOHN NEWTON &lt;4&gt; 1425 EN-1488 WL ID:09065885")</f>
        <v>JOHN NEWTON &lt;4&gt; 1425 EN-1488 WL ID:09065885</v>
      </c>
      <c r="U8682" s="9"/>
      <c r="V8682" s="9"/>
      <c r="W8682" s="9"/>
      <c r="X8682" s="9"/>
    </row>
    <row r="8683" spans="3:25" x14ac:dyDescent="0.35">
      <c r="C8683" s="15" t="s">
        <v>8</v>
      </c>
      <c r="H8683" s="15" t="s">
        <v>8</v>
      </c>
      <c r="I8683" s="15" t="s">
        <v>8</v>
      </c>
      <c r="K8683" s="15" t="s">
        <v>8</v>
      </c>
      <c r="M8683" s="15" t="s">
        <v>8</v>
      </c>
      <c r="N8683" s="15" t="s">
        <v>8</v>
      </c>
      <c r="P8683" s="15" t="s">
        <v>8</v>
      </c>
      <c r="R8683" s="15" t="s">
        <v>8</v>
      </c>
      <c r="T8683" s="8" t="s">
        <v>3</v>
      </c>
    </row>
    <row r="8684" spans="3:25" x14ac:dyDescent="0.35">
      <c r="C8684" s="15" t="s">
        <v>8</v>
      </c>
      <c r="H8684" s="15" t="s">
        <v>8</v>
      </c>
      <c r="I8684" s="15" t="s">
        <v>8</v>
      </c>
      <c r="K8684" s="15" t="s">
        <v>8</v>
      </c>
      <c r="M8684" s="15" t="s">
        <v>8</v>
      </c>
      <c r="N8684" s="15" t="s">
        <v>8</v>
      </c>
      <c r="P8684" s="15" t="s">
        <v>8</v>
      </c>
      <c r="R8684" s="15" t="s">
        <v>8</v>
      </c>
      <c r="S8684" s="19" t="str">
        <f>HYPERLINK("http://yeinfo.com/family/I09065736.html", "THOMAS\RICHARD NEWTON &lt;4&gt; 1450 EN-1500 EN ID:09065736")</f>
        <v>THOMAS\RICHARD NEWTON &lt;4&gt; 1450 EN-1500 EN ID:09065736</v>
      </c>
      <c r="T8684" s="9"/>
      <c r="U8684" s="9"/>
      <c r="V8684" s="9"/>
      <c r="W8684" s="9"/>
      <c r="X8684" s="9"/>
    </row>
    <row r="8685" spans="3:25" x14ac:dyDescent="0.35">
      <c r="C8685" s="15" t="s">
        <v>8</v>
      </c>
      <c r="H8685" s="15" t="s">
        <v>8</v>
      </c>
      <c r="I8685" s="15" t="s">
        <v>8</v>
      </c>
      <c r="K8685" s="15" t="s">
        <v>8</v>
      </c>
      <c r="M8685" s="15" t="s">
        <v>8</v>
      </c>
      <c r="N8685" s="15" t="s">
        <v>8</v>
      </c>
      <c r="P8685" s="15" t="s">
        <v>8</v>
      </c>
      <c r="R8685" s="15" t="s">
        <v>8</v>
      </c>
      <c r="S8685" s="8" t="s">
        <v>3</v>
      </c>
      <c r="T8685" s="8" t="s">
        <v>6</v>
      </c>
    </row>
    <row r="8686" spans="3:25" x14ac:dyDescent="0.35">
      <c r="C8686" s="15" t="s">
        <v>8</v>
      </c>
      <c r="H8686" s="15" t="s">
        <v>8</v>
      </c>
      <c r="I8686" s="15" t="s">
        <v>8</v>
      </c>
      <c r="K8686" s="15" t="s">
        <v>8</v>
      </c>
      <c r="M8686" s="15" t="s">
        <v>8</v>
      </c>
      <c r="N8686" s="15" t="s">
        <v>8</v>
      </c>
      <c r="P8686" s="15" t="s">
        <v>8</v>
      </c>
      <c r="R8686" s="15" t="s">
        <v>8</v>
      </c>
      <c r="S8686" s="15" t="s">
        <v>8</v>
      </c>
      <c r="T8686" s="20" t="str">
        <f>HYPERLINK("http://yeinfo.com/family/I09065886.html", "ISABEL CHEDDAR &lt;4&gt; 1429 EN-1499 EN ID:09065886")</f>
        <v>ISABEL CHEDDAR &lt;4&gt; 1429 EN-1499 EN ID:09065886</v>
      </c>
      <c r="U8686" s="17"/>
      <c r="V8686" s="17"/>
      <c r="W8686" s="17"/>
      <c r="X8686" s="17"/>
    </row>
    <row r="8687" spans="3:25" x14ac:dyDescent="0.35">
      <c r="C8687" s="15" t="s">
        <v>8</v>
      </c>
      <c r="H8687" s="15" t="s">
        <v>8</v>
      </c>
      <c r="I8687" s="15" t="s">
        <v>8</v>
      </c>
      <c r="K8687" s="15" t="s">
        <v>8</v>
      </c>
      <c r="M8687" s="15" t="s">
        <v>8</v>
      </c>
      <c r="N8687" s="15" t="s">
        <v>8</v>
      </c>
      <c r="P8687" s="15" t="s">
        <v>8</v>
      </c>
      <c r="R8687" s="8" t="s">
        <v>6</v>
      </c>
      <c r="S8687" s="15" t="s">
        <v>8</v>
      </c>
    </row>
    <row r="8688" spans="3:25" x14ac:dyDescent="0.35">
      <c r="C8688" s="15" t="s">
        <v>8</v>
      </c>
      <c r="H8688" s="15" t="s">
        <v>8</v>
      </c>
      <c r="I8688" s="15" t="s">
        <v>8</v>
      </c>
      <c r="K8688" s="15" t="s">
        <v>8</v>
      </c>
      <c r="M8688" s="15" t="s">
        <v>8</v>
      </c>
      <c r="N8688" s="15" t="s">
        <v>8</v>
      </c>
      <c r="P8688" s="15" t="s">
        <v>8</v>
      </c>
      <c r="R8688" s="20" t="str">
        <f>HYPERLINK("http://yeinfo.com/family/I09065602.html", "ISABEL NEWTON &lt;4&gt; 1475 EN-1508 EN ID:09065602")</f>
        <v>ISABEL NEWTON &lt;4&gt; 1475 EN-1508 EN ID:09065602</v>
      </c>
      <c r="S8688" s="17"/>
      <c r="T8688" s="17"/>
      <c r="U8688" s="17"/>
      <c r="V8688" s="17"/>
    </row>
    <row r="8689" spans="3:27" x14ac:dyDescent="0.35">
      <c r="C8689" s="15" t="s">
        <v>8</v>
      </c>
      <c r="H8689" s="15" t="s">
        <v>8</v>
      </c>
      <c r="I8689" s="15" t="s">
        <v>8</v>
      </c>
      <c r="K8689" s="15" t="s">
        <v>8</v>
      </c>
      <c r="M8689" s="15" t="s">
        <v>8</v>
      </c>
      <c r="N8689" s="15" t="s">
        <v>8</v>
      </c>
      <c r="P8689" s="15" t="s">
        <v>8</v>
      </c>
      <c r="S8689" s="15" t="s">
        <v>8</v>
      </c>
    </row>
    <row r="8690" spans="3:27" x14ac:dyDescent="0.35">
      <c r="C8690" s="15" t="s">
        <v>8</v>
      </c>
      <c r="H8690" s="15" t="s">
        <v>8</v>
      </c>
      <c r="I8690" s="15" t="s">
        <v>8</v>
      </c>
      <c r="K8690" s="15" t="s">
        <v>8</v>
      </c>
      <c r="M8690" s="15" t="s">
        <v>8</v>
      </c>
      <c r="N8690" s="15" t="s">
        <v>8</v>
      </c>
      <c r="P8690" s="15" t="s">
        <v>8</v>
      </c>
      <c r="S8690" s="15" t="s">
        <v>8</v>
      </c>
      <c r="W8690" s="19" t="str">
        <f>HYPERLINK("http://yeinfo.com/family/I09066448.html", "GILES DAUBENEY &lt;4&gt; 1337 EN-1388 EN ID:09066448")</f>
        <v>GILES DAUBENEY &lt;4&gt; 1337 EN-1388 EN ID:09066448</v>
      </c>
      <c r="X8690" s="9"/>
      <c r="Y8690" s="9"/>
      <c r="Z8690" s="9"/>
      <c r="AA8690" s="9"/>
    </row>
    <row r="8691" spans="3:27" x14ac:dyDescent="0.35">
      <c r="C8691" s="15" t="s">
        <v>8</v>
      </c>
      <c r="H8691" s="15" t="s">
        <v>8</v>
      </c>
      <c r="I8691" s="15" t="s">
        <v>8</v>
      </c>
      <c r="K8691" s="15" t="s">
        <v>8</v>
      </c>
      <c r="M8691" s="15" t="s">
        <v>8</v>
      </c>
      <c r="N8691" s="15" t="s">
        <v>8</v>
      </c>
      <c r="P8691" s="15" t="s">
        <v>8</v>
      </c>
      <c r="S8691" s="15" t="s">
        <v>8</v>
      </c>
      <c r="W8691" s="8" t="s">
        <v>3</v>
      </c>
    </row>
    <row r="8692" spans="3:27" x14ac:dyDescent="0.35">
      <c r="C8692" s="15" t="s">
        <v>8</v>
      </c>
      <c r="H8692" s="15" t="s">
        <v>8</v>
      </c>
      <c r="I8692" s="15" t="s">
        <v>8</v>
      </c>
      <c r="K8692" s="15" t="s">
        <v>8</v>
      </c>
      <c r="M8692" s="15" t="s">
        <v>8</v>
      </c>
      <c r="N8692" s="15" t="s">
        <v>8</v>
      </c>
      <c r="P8692" s="15" t="s">
        <v>8</v>
      </c>
      <c r="S8692" s="15" t="s">
        <v>8</v>
      </c>
      <c r="V8692" s="19" t="str">
        <f>HYPERLINK("http://yeinfo.com/family/I09066282.html", "GILES DAUBENEY &lt;4&gt; 1371 EN-1403 EN ID:09066282")</f>
        <v>GILES DAUBENEY &lt;4&gt; 1371 EN-1403 EN ID:09066282</v>
      </c>
      <c r="W8692" s="9"/>
      <c r="X8692" s="9"/>
      <c r="Y8692" s="9"/>
      <c r="Z8692" s="9"/>
    </row>
    <row r="8693" spans="3:27" x14ac:dyDescent="0.35">
      <c r="C8693" s="15" t="s">
        <v>8</v>
      </c>
      <c r="H8693" s="15" t="s">
        <v>8</v>
      </c>
      <c r="I8693" s="15" t="s">
        <v>8</v>
      </c>
      <c r="K8693" s="15" t="s">
        <v>8</v>
      </c>
      <c r="M8693" s="15" t="s">
        <v>8</v>
      </c>
      <c r="N8693" s="15" t="s">
        <v>8</v>
      </c>
      <c r="P8693" s="15" t="s">
        <v>8</v>
      </c>
      <c r="S8693" s="15" t="s">
        <v>8</v>
      </c>
      <c r="V8693" s="8" t="s">
        <v>3</v>
      </c>
      <c r="W8693" s="8" t="s">
        <v>6</v>
      </c>
    </row>
    <row r="8694" spans="3:27" x14ac:dyDescent="0.35">
      <c r="C8694" s="15" t="s">
        <v>8</v>
      </c>
      <c r="H8694" s="15" t="s">
        <v>8</v>
      </c>
      <c r="I8694" s="15" t="s">
        <v>8</v>
      </c>
      <c r="K8694" s="15" t="s">
        <v>8</v>
      </c>
      <c r="M8694" s="15" t="s">
        <v>8</v>
      </c>
      <c r="N8694" s="15" t="s">
        <v>8</v>
      </c>
      <c r="P8694" s="15" t="s">
        <v>8</v>
      </c>
      <c r="S8694" s="15" t="s">
        <v>8</v>
      </c>
      <c r="V8694" s="15" t="s">
        <v>8</v>
      </c>
      <c r="W8694" s="20" t="str">
        <f>HYPERLINK("http://yeinfo.com/family/I09066488.html", "ELEANOR WILLINGTON &lt;4&gt; 1337 EN-1400 EN ID:09066488")</f>
        <v>ELEANOR WILLINGTON &lt;4&gt; 1337 EN-1400 EN ID:09066488</v>
      </c>
      <c r="X8694" s="17"/>
      <c r="Y8694" s="17"/>
      <c r="Z8694" s="17"/>
      <c r="AA8694" s="17"/>
    </row>
    <row r="8695" spans="3:27" x14ac:dyDescent="0.35">
      <c r="C8695" s="15" t="s">
        <v>8</v>
      </c>
      <c r="H8695" s="15" t="s">
        <v>8</v>
      </c>
      <c r="I8695" s="15" t="s">
        <v>8</v>
      </c>
      <c r="K8695" s="15" t="s">
        <v>8</v>
      </c>
      <c r="M8695" s="15" t="s">
        <v>8</v>
      </c>
      <c r="N8695" s="15" t="s">
        <v>8</v>
      </c>
      <c r="P8695" s="15" t="s">
        <v>8</v>
      </c>
      <c r="S8695" s="15" t="s">
        <v>8</v>
      </c>
      <c r="V8695" s="15" t="s">
        <v>8</v>
      </c>
    </row>
    <row r="8696" spans="3:27" x14ac:dyDescent="0.35">
      <c r="C8696" s="15" t="s">
        <v>8</v>
      </c>
      <c r="H8696" s="15" t="s">
        <v>8</v>
      </c>
      <c r="I8696" s="15" t="s">
        <v>8</v>
      </c>
      <c r="K8696" s="15" t="s">
        <v>8</v>
      </c>
      <c r="M8696" s="15" t="s">
        <v>8</v>
      </c>
      <c r="N8696" s="15" t="s">
        <v>8</v>
      </c>
      <c r="P8696" s="15" t="s">
        <v>8</v>
      </c>
      <c r="S8696" s="15" t="s">
        <v>8</v>
      </c>
      <c r="U8696" s="19" t="str">
        <f>HYPERLINK("http://yeinfo.com/family/I09066086.html", "GILES DAUBENEY &lt;4&gt; 1393 EN-1446 EN ID:09066086")</f>
        <v>GILES DAUBENEY &lt;4&gt; 1393 EN-1446 EN ID:09066086</v>
      </c>
      <c r="V8696" s="9"/>
      <c r="W8696" s="9"/>
      <c r="X8696" s="9"/>
      <c r="Y8696" s="9"/>
    </row>
    <row r="8697" spans="3:27" x14ac:dyDescent="0.35">
      <c r="C8697" s="15" t="s">
        <v>8</v>
      </c>
      <c r="H8697" s="15" t="s">
        <v>8</v>
      </c>
      <c r="I8697" s="15" t="s">
        <v>8</v>
      </c>
      <c r="K8697" s="15" t="s">
        <v>8</v>
      </c>
      <c r="M8697" s="15" t="s">
        <v>8</v>
      </c>
      <c r="N8697" s="15" t="s">
        <v>8</v>
      </c>
      <c r="P8697" s="15" t="s">
        <v>8</v>
      </c>
      <c r="S8697" s="15" t="s">
        <v>8</v>
      </c>
      <c r="U8697" s="8" t="s">
        <v>3</v>
      </c>
      <c r="V8697" s="15" t="s">
        <v>8</v>
      </c>
    </row>
    <row r="8698" spans="3:27" x14ac:dyDescent="0.35">
      <c r="C8698" s="15" t="s">
        <v>8</v>
      </c>
      <c r="H8698" s="15" t="s">
        <v>8</v>
      </c>
      <c r="I8698" s="15" t="s">
        <v>8</v>
      </c>
      <c r="K8698" s="15" t="s">
        <v>8</v>
      </c>
      <c r="M8698" s="15" t="s">
        <v>8</v>
      </c>
      <c r="N8698" s="15" t="s">
        <v>8</v>
      </c>
      <c r="P8698" s="15" t="s">
        <v>8</v>
      </c>
      <c r="S8698" s="15" t="s">
        <v>8</v>
      </c>
      <c r="U8698" s="15" t="s">
        <v>8</v>
      </c>
      <c r="V8698" s="15" t="s">
        <v>8</v>
      </c>
      <c r="W8698" s="19" t="str">
        <f>HYPERLINK("http://yeinfo.com/family/I09066442.html", "JOHN BEAUCHAMP &lt;4&gt; 1330 EN-1389 EN ID:09066442")</f>
        <v>JOHN BEAUCHAMP &lt;4&gt; 1330 EN-1389 EN ID:09066442</v>
      </c>
      <c r="X8698" s="9"/>
      <c r="Y8698" s="9"/>
      <c r="Z8698" s="9"/>
      <c r="AA8698" s="9"/>
    </row>
    <row r="8699" spans="3:27" x14ac:dyDescent="0.35">
      <c r="C8699" s="15" t="s">
        <v>8</v>
      </c>
      <c r="H8699" s="15" t="s">
        <v>8</v>
      </c>
      <c r="I8699" s="15" t="s">
        <v>8</v>
      </c>
      <c r="K8699" s="15" t="s">
        <v>8</v>
      </c>
      <c r="M8699" s="15" t="s">
        <v>8</v>
      </c>
      <c r="N8699" s="15" t="s">
        <v>8</v>
      </c>
      <c r="P8699" s="15" t="s">
        <v>8</v>
      </c>
      <c r="S8699" s="15" t="s">
        <v>8</v>
      </c>
      <c r="U8699" s="15" t="s">
        <v>8</v>
      </c>
      <c r="V8699" s="8" t="s">
        <v>6</v>
      </c>
      <c r="W8699" s="8" t="s">
        <v>3</v>
      </c>
    </row>
    <row r="8700" spans="3:27" x14ac:dyDescent="0.35">
      <c r="C8700" s="15" t="s">
        <v>8</v>
      </c>
      <c r="H8700" s="15" t="s">
        <v>8</v>
      </c>
      <c r="I8700" s="15" t="s">
        <v>8</v>
      </c>
      <c r="K8700" s="15" t="s">
        <v>8</v>
      </c>
      <c r="M8700" s="15" t="s">
        <v>8</v>
      </c>
      <c r="N8700" s="15" t="s">
        <v>8</v>
      </c>
      <c r="P8700" s="15" t="s">
        <v>8</v>
      </c>
      <c r="S8700" s="15" t="s">
        <v>8</v>
      </c>
      <c r="U8700" s="15" t="s">
        <v>8</v>
      </c>
      <c r="V8700" s="20" t="str">
        <f>HYPERLINK("http://yeinfo.com/family/I09066279.html", "MARGARET BEAUCHAMP &lt;4&gt; 1374 EN-1420 EN ID:09066279")</f>
        <v>MARGARET BEAUCHAMP &lt;4&gt; 1374 EN-1420 EN ID:09066279</v>
      </c>
      <c r="W8700" s="17"/>
      <c r="X8700" s="17"/>
      <c r="Y8700" s="17"/>
      <c r="Z8700" s="17"/>
    </row>
    <row r="8701" spans="3:27" x14ac:dyDescent="0.35">
      <c r="C8701" s="15" t="s">
        <v>8</v>
      </c>
      <c r="H8701" s="15" t="s">
        <v>8</v>
      </c>
      <c r="I8701" s="15" t="s">
        <v>8</v>
      </c>
      <c r="K8701" s="15" t="s">
        <v>8</v>
      </c>
      <c r="M8701" s="15" t="s">
        <v>8</v>
      </c>
      <c r="N8701" s="15" t="s">
        <v>8</v>
      </c>
      <c r="P8701" s="15" t="s">
        <v>8</v>
      </c>
      <c r="S8701" s="15" t="s">
        <v>8</v>
      </c>
      <c r="U8701" s="15" t="s">
        <v>8</v>
      </c>
      <c r="W8701" s="8" t="s">
        <v>6</v>
      </c>
    </row>
    <row r="8702" spans="3:27" x14ac:dyDescent="0.35">
      <c r="C8702" s="15" t="s">
        <v>8</v>
      </c>
      <c r="H8702" s="15" t="s">
        <v>8</v>
      </c>
      <c r="I8702" s="15" t="s">
        <v>8</v>
      </c>
      <c r="K8702" s="15" t="s">
        <v>8</v>
      </c>
      <c r="M8702" s="15" t="s">
        <v>8</v>
      </c>
      <c r="N8702" s="15" t="s">
        <v>8</v>
      </c>
      <c r="P8702" s="15" t="s">
        <v>8</v>
      </c>
      <c r="S8702" s="15" t="s">
        <v>8</v>
      </c>
      <c r="U8702" s="15" t="s">
        <v>8</v>
      </c>
      <c r="W8702" s="20" t="str">
        <f>HYPERLINK("http://yeinfo.com/family/I09066478.html", "ELIZABETH ST.JOHN &lt;4&gt; 1331 EN-1411 EN ID:09066478")</f>
        <v>ELIZABETH ST.JOHN &lt;4&gt; 1331 EN-1411 EN ID:09066478</v>
      </c>
      <c r="X8702" s="17"/>
      <c r="Y8702" s="17"/>
      <c r="Z8702" s="17"/>
      <c r="AA8702" s="17"/>
    </row>
    <row r="8703" spans="3:27" x14ac:dyDescent="0.35">
      <c r="C8703" s="15" t="s">
        <v>8</v>
      </c>
      <c r="H8703" s="15" t="s">
        <v>8</v>
      </c>
      <c r="I8703" s="15" t="s">
        <v>8</v>
      </c>
      <c r="K8703" s="15" t="s">
        <v>8</v>
      </c>
      <c r="M8703" s="15" t="s">
        <v>8</v>
      </c>
      <c r="N8703" s="15" t="s">
        <v>8</v>
      </c>
      <c r="P8703" s="15" t="s">
        <v>8</v>
      </c>
      <c r="S8703" s="15" t="s">
        <v>8</v>
      </c>
      <c r="U8703" s="15" t="s">
        <v>8</v>
      </c>
    </row>
    <row r="8704" spans="3:27" x14ac:dyDescent="0.35">
      <c r="C8704" s="15" t="s">
        <v>8</v>
      </c>
      <c r="H8704" s="15" t="s">
        <v>8</v>
      </c>
      <c r="I8704" s="15" t="s">
        <v>8</v>
      </c>
      <c r="K8704" s="15" t="s">
        <v>8</v>
      </c>
      <c r="M8704" s="15" t="s">
        <v>8</v>
      </c>
      <c r="N8704" s="15" t="s">
        <v>8</v>
      </c>
      <c r="P8704" s="15" t="s">
        <v>8</v>
      </c>
      <c r="S8704" s="15" t="s">
        <v>8</v>
      </c>
      <c r="T8704" s="19" t="str">
        <f>HYPERLINK("http://yeinfo.com/family/I09065887.html", "WILLIAM DAUBENEY &lt;4&gt; 1424 EN-1461 EN ID:09065887")</f>
        <v>WILLIAM DAUBENEY &lt;4&gt; 1424 EN-1461 EN ID:09065887</v>
      </c>
      <c r="U8704" s="9"/>
      <c r="V8704" s="9"/>
      <c r="W8704" s="9"/>
      <c r="X8704" s="9"/>
    </row>
    <row r="8705" spans="3:25" x14ac:dyDescent="0.35">
      <c r="C8705" s="15" t="s">
        <v>8</v>
      </c>
      <c r="H8705" s="15" t="s">
        <v>8</v>
      </c>
      <c r="I8705" s="15" t="s">
        <v>8</v>
      </c>
      <c r="K8705" s="15" t="s">
        <v>8</v>
      </c>
      <c r="M8705" s="15" t="s">
        <v>8</v>
      </c>
      <c r="N8705" s="15" t="s">
        <v>8</v>
      </c>
      <c r="P8705" s="15" t="s">
        <v>8</v>
      </c>
      <c r="S8705" s="15" t="s">
        <v>8</v>
      </c>
      <c r="T8705" s="8" t="s">
        <v>3</v>
      </c>
      <c r="U8705" s="8" t="s">
        <v>6</v>
      </c>
    </row>
    <row r="8706" spans="3:25" x14ac:dyDescent="0.35">
      <c r="C8706" s="15" t="s">
        <v>8</v>
      </c>
      <c r="H8706" s="15" t="s">
        <v>8</v>
      </c>
      <c r="I8706" s="15" t="s">
        <v>8</v>
      </c>
      <c r="K8706" s="15" t="s">
        <v>8</v>
      </c>
      <c r="M8706" s="15" t="s">
        <v>8</v>
      </c>
      <c r="N8706" s="15" t="s">
        <v>8</v>
      </c>
      <c r="P8706" s="15" t="s">
        <v>8</v>
      </c>
      <c r="S8706" s="15" t="s">
        <v>8</v>
      </c>
      <c r="T8706" s="15" t="s">
        <v>8</v>
      </c>
      <c r="U8706" s="20" t="str">
        <f>HYPERLINK("http://yeinfo.com/family/I09066085.html", "JOAN DARCY &lt;4&gt; 1398 EN-1424 EN ID:09066085")</f>
        <v>JOAN DARCY &lt;4&gt; 1398 EN-1424 EN ID:09066085</v>
      </c>
      <c r="V8706" s="17"/>
      <c r="W8706" s="17"/>
      <c r="X8706" s="17"/>
      <c r="Y8706" s="17"/>
    </row>
    <row r="8707" spans="3:25" x14ac:dyDescent="0.35">
      <c r="C8707" s="15" t="s">
        <v>8</v>
      </c>
      <c r="H8707" s="15" t="s">
        <v>8</v>
      </c>
      <c r="I8707" s="15" t="s">
        <v>8</v>
      </c>
      <c r="K8707" s="15" t="s">
        <v>8</v>
      </c>
      <c r="M8707" s="15" t="s">
        <v>8</v>
      </c>
      <c r="N8707" s="15" t="s">
        <v>8</v>
      </c>
      <c r="P8707" s="15" t="s">
        <v>8</v>
      </c>
      <c r="S8707" s="8" t="s">
        <v>6</v>
      </c>
      <c r="T8707" s="15" t="s">
        <v>8</v>
      </c>
    </row>
    <row r="8708" spans="3:25" x14ac:dyDescent="0.35">
      <c r="C8708" s="15" t="s">
        <v>8</v>
      </c>
      <c r="H8708" s="15" t="s">
        <v>8</v>
      </c>
      <c r="I8708" s="15" t="s">
        <v>8</v>
      </c>
      <c r="K8708" s="15" t="s">
        <v>8</v>
      </c>
      <c r="M8708" s="15" t="s">
        <v>8</v>
      </c>
      <c r="N8708" s="15" t="s">
        <v>8</v>
      </c>
      <c r="P8708" s="15" t="s">
        <v>8</v>
      </c>
      <c r="S8708" s="20" t="str">
        <f>HYPERLINK("http://yeinfo.com/family/I09065737.html", "ELINOR DAUBENEY &lt;4&gt; 1455 EN-1482 EN ID:09065737")</f>
        <v>ELINOR DAUBENEY &lt;4&gt; 1455 EN-1482 EN ID:09065737</v>
      </c>
      <c r="T8708" s="17"/>
      <c r="U8708" s="17"/>
      <c r="V8708" s="17"/>
      <c r="W8708" s="17"/>
    </row>
    <row r="8709" spans="3:25" x14ac:dyDescent="0.35">
      <c r="C8709" s="15" t="s">
        <v>8</v>
      </c>
      <c r="H8709" s="15" t="s">
        <v>8</v>
      </c>
      <c r="I8709" s="15" t="s">
        <v>8</v>
      </c>
      <c r="K8709" s="15" t="s">
        <v>8</v>
      </c>
      <c r="M8709" s="15" t="s">
        <v>8</v>
      </c>
      <c r="N8709" s="15" t="s">
        <v>8</v>
      </c>
      <c r="P8709" s="15" t="s">
        <v>8</v>
      </c>
      <c r="T8709" s="8" t="s">
        <v>6</v>
      </c>
    </row>
    <row r="8710" spans="3:25" x14ac:dyDescent="0.35">
      <c r="C8710" s="15" t="s">
        <v>8</v>
      </c>
      <c r="H8710" s="15" t="s">
        <v>8</v>
      </c>
      <c r="I8710" s="15" t="s">
        <v>8</v>
      </c>
      <c r="K8710" s="15" t="s">
        <v>8</v>
      </c>
      <c r="M8710" s="15" t="s">
        <v>8</v>
      </c>
      <c r="N8710" s="15" t="s">
        <v>8</v>
      </c>
      <c r="P8710" s="15" t="s">
        <v>8</v>
      </c>
      <c r="T8710" s="20" t="str">
        <f>HYPERLINK("http://yeinfo.com/family/I09065888.html", "ALICE STOURTON &lt;4&gt; 1432 EN-1491 EN ID:09065888")</f>
        <v>ALICE STOURTON &lt;4&gt; 1432 EN-1491 EN ID:09065888</v>
      </c>
      <c r="U8710" s="17"/>
      <c r="V8710" s="17"/>
      <c r="W8710" s="17"/>
      <c r="X8710" s="17"/>
    </row>
    <row r="8711" spans="3:25" x14ac:dyDescent="0.35">
      <c r="C8711" s="15" t="s">
        <v>8</v>
      </c>
      <c r="H8711" s="15" t="s">
        <v>8</v>
      </c>
      <c r="I8711" s="15" t="s">
        <v>8</v>
      </c>
      <c r="K8711" s="15" t="s">
        <v>8</v>
      </c>
      <c r="M8711" s="15" t="s">
        <v>8</v>
      </c>
      <c r="N8711" s="15" t="s">
        <v>8</v>
      </c>
      <c r="P8711" s="15" t="s">
        <v>8</v>
      </c>
    </row>
    <row r="8712" spans="3:25" x14ac:dyDescent="0.35">
      <c r="C8712" s="15" t="s">
        <v>8</v>
      </c>
      <c r="H8712" s="15" t="s">
        <v>8</v>
      </c>
      <c r="I8712" s="15" t="s">
        <v>8</v>
      </c>
      <c r="K8712" s="15" t="s">
        <v>8</v>
      </c>
      <c r="M8712" s="15" t="s">
        <v>8</v>
      </c>
      <c r="N8712" s="15" t="s">
        <v>8</v>
      </c>
      <c r="O8712" s="19" t="str">
        <f>HYPERLINK("http://yeinfo.com/family/I09011858.html", "EDWARD WARD &lt;2&gt; 1540 EN-1595 EN ID:09011858")</f>
        <v>EDWARD WARD &lt;2&gt; 1540 EN-1595 EN ID:09011858</v>
      </c>
      <c r="P8712" s="9"/>
      <c r="Q8712" s="9"/>
      <c r="R8712" s="9"/>
      <c r="S8712" s="9"/>
    </row>
    <row r="8713" spans="3:25" x14ac:dyDescent="0.35">
      <c r="C8713" s="15" t="s">
        <v>8</v>
      </c>
      <c r="H8713" s="15" t="s">
        <v>8</v>
      </c>
      <c r="I8713" s="15" t="s">
        <v>8</v>
      </c>
      <c r="K8713" s="15" t="s">
        <v>8</v>
      </c>
      <c r="M8713" s="15" t="s">
        <v>8</v>
      </c>
      <c r="N8713" s="15" t="s">
        <v>8</v>
      </c>
      <c r="O8713" s="8" t="s">
        <v>3</v>
      </c>
      <c r="P8713" s="15" t="s">
        <v>8</v>
      </c>
    </row>
    <row r="8714" spans="3:25" x14ac:dyDescent="0.35">
      <c r="C8714" s="15" t="s">
        <v>8</v>
      </c>
      <c r="H8714" s="15" t="s">
        <v>8</v>
      </c>
      <c r="I8714" s="15" t="s">
        <v>8</v>
      </c>
      <c r="K8714" s="15" t="s">
        <v>8</v>
      </c>
      <c r="M8714" s="15" t="s">
        <v>8</v>
      </c>
      <c r="N8714" s="15" t="s">
        <v>8</v>
      </c>
      <c r="O8714" s="15" t="s">
        <v>8</v>
      </c>
      <c r="P8714" s="15" t="s">
        <v>8</v>
      </c>
      <c r="Q8714" s="19" t="str">
        <f>HYPERLINK("http://yeinfo.com/family/I09047434.html", "WILLIAM UGGS &lt;2&gt; 1500 EN-1575 EN ID:09047434")</f>
        <v>WILLIAM UGGS &lt;2&gt; 1500 EN-1575 EN ID:09047434</v>
      </c>
      <c r="R8714" s="9"/>
      <c r="S8714" s="9"/>
      <c r="T8714" s="9"/>
      <c r="U8714" s="9"/>
    </row>
    <row r="8715" spans="3:25" x14ac:dyDescent="0.35">
      <c r="C8715" s="15" t="s">
        <v>8</v>
      </c>
      <c r="H8715" s="15" t="s">
        <v>8</v>
      </c>
      <c r="I8715" s="15" t="s">
        <v>8</v>
      </c>
      <c r="K8715" s="15" t="s">
        <v>8</v>
      </c>
      <c r="M8715" s="15" t="s">
        <v>8</v>
      </c>
      <c r="N8715" s="15" t="s">
        <v>8</v>
      </c>
      <c r="O8715" s="15" t="s">
        <v>8</v>
      </c>
      <c r="P8715" s="8" t="s">
        <v>6</v>
      </c>
      <c r="Q8715" s="8" t="s">
        <v>3</v>
      </c>
    </row>
    <row r="8716" spans="3:25" x14ac:dyDescent="0.35">
      <c r="C8716" s="15" t="s">
        <v>8</v>
      </c>
      <c r="H8716" s="15" t="s">
        <v>8</v>
      </c>
      <c r="I8716" s="15" t="s">
        <v>8</v>
      </c>
      <c r="K8716" s="15" t="s">
        <v>8</v>
      </c>
      <c r="M8716" s="15" t="s">
        <v>8</v>
      </c>
      <c r="N8716" s="15" t="s">
        <v>8</v>
      </c>
      <c r="O8716" s="15" t="s">
        <v>8</v>
      </c>
      <c r="P8716" s="20" t="str">
        <f>HYPERLINK("http://yeinfo.com/family/I09023717.html", "MARGARET UGGS &lt;2&gt; 1520 EN-1587 EN ID:09023717")</f>
        <v>MARGARET UGGS &lt;2&gt; 1520 EN-1587 EN ID:09023717</v>
      </c>
      <c r="Q8716" s="17"/>
      <c r="R8716" s="17"/>
      <c r="S8716" s="17"/>
      <c r="T8716" s="17"/>
    </row>
    <row r="8717" spans="3:25" x14ac:dyDescent="0.35">
      <c r="C8717" s="15" t="s">
        <v>8</v>
      </c>
      <c r="H8717" s="15" t="s">
        <v>8</v>
      </c>
      <c r="I8717" s="15" t="s">
        <v>8</v>
      </c>
      <c r="K8717" s="15" t="s">
        <v>8</v>
      </c>
      <c r="M8717" s="15" t="s">
        <v>8</v>
      </c>
      <c r="N8717" s="15" t="s">
        <v>8</v>
      </c>
      <c r="O8717" s="15" t="s">
        <v>8</v>
      </c>
      <c r="Q8717" s="15" t="s">
        <v>8</v>
      </c>
    </row>
    <row r="8718" spans="3:25" x14ac:dyDescent="0.35">
      <c r="C8718" s="15" t="s">
        <v>8</v>
      </c>
      <c r="H8718" s="15" t="s">
        <v>8</v>
      </c>
      <c r="I8718" s="15" t="s">
        <v>8</v>
      </c>
      <c r="K8718" s="15" t="s">
        <v>8</v>
      </c>
      <c r="M8718" s="15" t="s">
        <v>8</v>
      </c>
      <c r="N8718" s="15" t="s">
        <v>8</v>
      </c>
      <c r="O8718" s="15" t="s">
        <v>8</v>
      </c>
      <c r="Q8718" s="15" t="s">
        <v>8</v>
      </c>
      <c r="T8718" s="19" t="str">
        <f>HYPERLINK("http://yeinfo.com/family/I09065883.html", "JOHN CAPELL &lt;4&gt; 1398 EN-1449 EN ID:09065883")</f>
        <v>JOHN CAPELL &lt;4&gt; 1398 EN-1449 EN ID:09065883</v>
      </c>
      <c r="U8718" s="9"/>
      <c r="V8718" s="9"/>
      <c r="W8718" s="9"/>
      <c r="X8718" s="9"/>
    </row>
    <row r="8719" spans="3:25" x14ac:dyDescent="0.35">
      <c r="C8719" s="15" t="s">
        <v>8</v>
      </c>
      <c r="H8719" s="15" t="s">
        <v>8</v>
      </c>
      <c r="I8719" s="15" t="s">
        <v>8</v>
      </c>
      <c r="K8719" s="15" t="s">
        <v>8</v>
      </c>
      <c r="M8719" s="15" t="s">
        <v>8</v>
      </c>
      <c r="N8719" s="15" t="s">
        <v>8</v>
      </c>
      <c r="O8719" s="15" t="s">
        <v>8</v>
      </c>
      <c r="Q8719" s="15" t="s">
        <v>8</v>
      </c>
      <c r="T8719" s="8" t="s">
        <v>3</v>
      </c>
    </row>
    <row r="8720" spans="3:25" x14ac:dyDescent="0.35">
      <c r="C8720" s="15" t="s">
        <v>8</v>
      </c>
      <c r="H8720" s="15" t="s">
        <v>8</v>
      </c>
      <c r="I8720" s="15" t="s">
        <v>8</v>
      </c>
      <c r="K8720" s="15" t="s">
        <v>8</v>
      </c>
      <c r="M8720" s="15" t="s">
        <v>8</v>
      </c>
      <c r="N8720" s="15" t="s">
        <v>8</v>
      </c>
      <c r="O8720" s="15" t="s">
        <v>8</v>
      </c>
      <c r="Q8720" s="15" t="s">
        <v>8</v>
      </c>
      <c r="S8720" s="19" t="str">
        <f>HYPERLINK("http://yeinfo.com/family/I09065734.html", "WILLIAM CAPELL &lt;4&gt; 1446 EN-1515 EN ID:09065734")</f>
        <v>WILLIAM CAPELL &lt;4&gt; 1446 EN-1515 EN ID:09065734</v>
      </c>
      <c r="T8720" s="9"/>
      <c r="U8720" s="9"/>
      <c r="V8720" s="9"/>
      <c r="W8720" s="9"/>
    </row>
    <row r="8721" spans="3:25" x14ac:dyDescent="0.35">
      <c r="C8721" s="15" t="s">
        <v>8</v>
      </c>
      <c r="H8721" s="15" t="s">
        <v>8</v>
      </c>
      <c r="I8721" s="15" t="s">
        <v>8</v>
      </c>
      <c r="K8721" s="15" t="s">
        <v>8</v>
      </c>
      <c r="M8721" s="15" t="s">
        <v>8</v>
      </c>
      <c r="N8721" s="15" t="s">
        <v>8</v>
      </c>
      <c r="O8721" s="15" t="s">
        <v>8</v>
      </c>
      <c r="Q8721" s="15" t="s">
        <v>8</v>
      </c>
      <c r="S8721" s="8" t="s">
        <v>3</v>
      </c>
      <c r="T8721" s="8" t="s">
        <v>6</v>
      </c>
    </row>
    <row r="8722" spans="3:25" x14ac:dyDescent="0.35">
      <c r="C8722" s="15" t="s">
        <v>8</v>
      </c>
      <c r="H8722" s="15" t="s">
        <v>8</v>
      </c>
      <c r="I8722" s="15" t="s">
        <v>8</v>
      </c>
      <c r="K8722" s="15" t="s">
        <v>8</v>
      </c>
      <c r="M8722" s="15" t="s">
        <v>8</v>
      </c>
      <c r="N8722" s="15" t="s">
        <v>8</v>
      </c>
      <c r="O8722" s="15" t="s">
        <v>8</v>
      </c>
      <c r="Q8722" s="15" t="s">
        <v>8</v>
      </c>
      <c r="S8722" s="15" t="s">
        <v>8</v>
      </c>
      <c r="T8722" s="20" t="str">
        <f>HYPERLINK("http://yeinfo.com/family/I09065884.html", "Mrs. JOAN CAPELL &lt;4&gt; 1402 EN-1446 EN ID:09065884")</f>
        <v>Mrs. JOAN CAPELL &lt;4&gt; 1402 EN-1446 EN ID:09065884</v>
      </c>
      <c r="U8722" s="17"/>
      <c r="V8722" s="17"/>
      <c r="W8722" s="17"/>
      <c r="X8722" s="17"/>
    </row>
    <row r="8723" spans="3:25" x14ac:dyDescent="0.35">
      <c r="C8723" s="15" t="s">
        <v>8</v>
      </c>
      <c r="H8723" s="15" t="s">
        <v>8</v>
      </c>
      <c r="I8723" s="15" t="s">
        <v>8</v>
      </c>
      <c r="K8723" s="15" t="s">
        <v>8</v>
      </c>
      <c r="M8723" s="15" t="s">
        <v>8</v>
      </c>
      <c r="N8723" s="15" t="s">
        <v>8</v>
      </c>
      <c r="O8723" s="15" t="s">
        <v>8</v>
      </c>
      <c r="Q8723" s="15" t="s">
        <v>8</v>
      </c>
      <c r="S8723" s="15" t="s">
        <v>8</v>
      </c>
    </row>
    <row r="8724" spans="3:25" x14ac:dyDescent="0.35">
      <c r="C8724" s="15" t="s">
        <v>8</v>
      </c>
      <c r="H8724" s="15" t="s">
        <v>8</v>
      </c>
      <c r="I8724" s="15" t="s">
        <v>8</v>
      </c>
      <c r="K8724" s="15" t="s">
        <v>8</v>
      </c>
      <c r="M8724" s="15" t="s">
        <v>8</v>
      </c>
      <c r="N8724" s="15" t="s">
        <v>8</v>
      </c>
      <c r="O8724" s="15" t="s">
        <v>8</v>
      </c>
      <c r="Q8724" s="15" t="s">
        <v>8</v>
      </c>
      <c r="R8724" s="19" t="str">
        <f>HYPERLINK("http://yeinfo.com/family/I09065601.html", "GILES CAPELL &lt;4&gt; 1480 EN-1556 EN ID:09065601")</f>
        <v>GILES CAPELL &lt;4&gt; 1480 EN-1556 EN ID:09065601</v>
      </c>
      <c r="S8724" s="9"/>
      <c r="T8724" s="9"/>
      <c r="U8724" s="9"/>
      <c r="V8724" s="9"/>
    </row>
    <row r="8725" spans="3:25" x14ac:dyDescent="0.35">
      <c r="C8725" s="15" t="s">
        <v>8</v>
      </c>
      <c r="H8725" s="15" t="s">
        <v>8</v>
      </c>
      <c r="I8725" s="15" t="s">
        <v>8</v>
      </c>
      <c r="K8725" s="15" t="s">
        <v>8</v>
      </c>
      <c r="M8725" s="15" t="s">
        <v>8</v>
      </c>
      <c r="N8725" s="15" t="s">
        <v>8</v>
      </c>
      <c r="O8725" s="15" t="s">
        <v>8</v>
      </c>
      <c r="Q8725" s="15" t="s">
        <v>8</v>
      </c>
      <c r="R8725" s="8" t="s">
        <v>3</v>
      </c>
      <c r="S8725" s="15" t="s">
        <v>8</v>
      </c>
    </row>
    <row r="8726" spans="3:25" x14ac:dyDescent="0.35">
      <c r="C8726" s="15" t="s">
        <v>8</v>
      </c>
      <c r="H8726" s="15" t="s">
        <v>8</v>
      </c>
      <c r="I8726" s="15" t="s">
        <v>8</v>
      </c>
      <c r="K8726" s="15" t="s">
        <v>8</v>
      </c>
      <c r="M8726" s="15" t="s">
        <v>8</v>
      </c>
      <c r="N8726" s="15" t="s">
        <v>8</v>
      </c>
      <c r="O8726" s="15" t="s">
        <v>8</v>
      </c>
      <c r="Q8726" s="15" t="s">
        <v>8</v>
      </c>
      <c r="R8726" s="15" t="s">
        <v>8</v>
      </c>
      <c r="S8726" s="15" t="s">
        <v>8</v>
      </c>
      <c r="U8726" s="19" t="str">
        <f>HYPERLINK("http://yeinfo.com/family/I09066733.html", "JOHN ARUNDELL VI &lt;4&gt; 1392 EN-1423 EN ID:09066733")</f>
        <v>JOHN ARUNDELL VI &lt;4&gt; 1392 EN-1423 EN ID:09066733</v>
      </c>
      <c r="V8726" s="9"/>
      <c r="W8726" s="9"/>
      <c r="X8726" s="9"/>
      <c r="Y8726" s="9"/>
    </row>
    <row r="8727" spans="3:25" x14ac:dyDescent="0.35">
      <c r="C8727" s="15" t="s">
        <v>8</v>
      </c>
      <c r="H8727" s="15" t="s">
        <v>8</v>
      </c>
      <c r="I8727" s="15" t="s">
        <v>8</v>
      </c>
      <c r="K8727" s="15" t="s">
        <v>8</v>
      </c>
      <c r="M8727" s="15" t="s">
        <v>8</v>
      </c>
      <c r="N8727" s="15" t="s">
        <v>8</v>
      </c>
      <c r="O8727" s="15" t="s">
        <v>8</v>
      </c>
      <c r="Q8727" s="15" t="s">
        <v>8</v>
      </c>
      <c r="R8727" s="15" t="s">
        <v>8</v>
      </c>
      <c r="S8727" s="15" t="s">
        <v>8</v>
      </c>
      <c r="U8727" s="8" t="s">
        <v>3</v>
      </c>
    </row>
    <row r="8728" spans="3:25" x14ac:dyDescent="0.35">
      <c r="C8728" s="15" t="s">
        <v>8</v>
      </c>
      <c r="H8728" s="15" t="s">
        <v>8</v>
      </c>
      <c r="I8728" s="15" t="s">
        <v>8</v>
      </c>
      <c r="K8728" s="15" t="s">
        <v>8</v>
      </c>
      <c r="M8728" s="15" t="s">
        <v>8</v>
      </c>
      <c r="N8728" s="15" t="s">
        <v>8</v>
      </c>
      <c r="O8728" s="15" t="s">
        <v>8</v>
      </c>
      <c r="Q8728" s="15" t="s">
        <v>8</v>
      </c>
      <c r="R8728" s="15" t="s">
        <v>8</v>
      </c>
      <c r="S8728" s="15" t="s">
        <v>8</v>
      </c>
      <c r="T8728" s="19" t="str">
        <f>HYPERLINK("http://yeinfo.com/family/I09066731.html", "JOHN ARUNDELL VII &lt;4&gt; 1421 EN-1473 EN ID:09066731")</f>
        <v>JOHN ARUNDELL VII &lt;4&gt; 1421 EN-1473 EN ID:09066731</v>
      </c>
      <c r="U8728" s="9"/>
      <c r="V8728" s="9"/>
      <c r="W8728" s="9"/>
      <c r="X8728" s="9"/>
    </row>
    <row r="8729" spans="3:25" x14ac:dyDescent="0.35">
      <c r="C8729" s="15" t="s">
        <v>8</v>
      </c>
      <c r="H8729" s="15" t="s">
        <v>8</v>
      </c>
      <c r="I8729" s="15" t="s">
        <v>8</v>
      </c>
      <c r="K8729" s="15" t="s">
        <v>8</v>
      </c>
      <c r="M8729" s="15" t="s">
        <v>8</v>
      </c>
      <c r="N8729" s="15" t="s">
        <v>8</v>
      </c>
      <c r="O8729" s="15" t="s">
        <v>8</v>
      </c>
      <c r="Q8729" s="15" t="s">
        <v>8</v>
      </c>
      <c r="R8729" s="15" t="s">
        <v>8</v>
      </c>
      <c r="S8729" s="15" t="s">
        <v>8</v>
      </c>
      <c r="T8729" s="8" t="s">
        <v>3</v>
      </c>
      <c r="U8729" s="8" t="s">
        <v>6</v>
      </c>
    </row>
    <row r="8730" spans="3:25" x14ac:dyDescent="0.35">
      <c r="C8730" s="15" t="s">
        <v>8</v>
      </c>
      <c r="H8730" s="15" t="s">
        <v>8</v>
      </c>
      <c r="I8730" s="15" t="s">
        <v>8</v>
      </c>
      <c r="K8730" s="15" t="s">
        <v>8</v>
      </c>
      <c r="M8730" s="15" t="s">
        <v>8</v>
      </c>
      <c r="N8730" s="15" t="s">
        <v>8</v>
      </c>
      <c r="O8730" s="15" t="s">
        <v>8</v>
      </c>
      <c r="Q8730" s="15" t="s">
        <v>8</v>
      </c>
      <c r="R8730" s="15" t="s">
        <v>8</v>
      </c>
      <c r="S8730" s="15" t="s">
        <v>8</v>
      </c>
      <c r="T8730" s="15" t="s">
        <v>8</v>
      </c>
      <c r="U8730" s="20" t="str">
        <f>HYPERLINK("http://yeinfo.com/family/I09066734.html", "MARGARET BURGHRESH &lt;4&gt; 1379 EN-1424 EN ID:09066734")</f>
        <v>MARGARET BURGHRESH &lt;4&gt; 1379 EN-1424 EN ID:09066734</v>
      </c>
      <c r="V8730" s="17"/>
      <c r="W8730" s="17"/>
      <c r="X8730" s="17"/>
      <c r="Y8730" s="17"/>
    </row>
    <row r="8731" spans="3:25" x14ac:dyDescent="0.35">
      <c r="C8731" s="15" t="s">
        <v>8</v>
      </c>
      <c r="H8731" s="15" t="s">
        <v>8</v>
      </c>
      <c r="I8731" s="15" t="s">
        <v>8</v>
      </c>
      <c r="K8731" s="15" t="s">
        <v>8</v>
      </c>
      <c r="M8731" s="15" t="s">
        <v>8</v>
      </c>
      <c r="N8731" s="15" t="s">
        <v>8</v>
      </c>
      <c r="O8731" s="15" t="s">
        <v>8</v>
      </c>
      <c r="Q8731" s="15" t="s">
        <v>8</v>
      </c>
      <c r="R8731" s="15" t="s">
        <v>8</v>
      </c>
      <c r="S8731" s="8" t="s">
        <v>6</v>
      </c>
      <c r="T8731" s="15" t="s">
        <v>8</v>
      </c>
    </row>
    <row r="8732" spans="3:25" x14ac:dyDescent="0.35">
      <c r="C8732" s="15" t="s">
        <v>8</v>
      </c>
      <c r="H8732" s="15" t="s">
        <v>8</v>
      </c>
      <c r="I8732" s="15" t="s">
        <v>8</v>
      </c>
      <c r="K8732" s="15" t="s">
        <v>8</v>
      </c>
      <c r="M8732" s="15" t="s">
        <v>8</v>
      </c>
      <c r="N8732" s="15" t="s">
        <v>8</v>
      </c>
      <c r="O8732" s="15" t="s">
        <v>8</v>
      </c>
      <c r="Q8732" s="15" t="s">
        <v>8</v>
      </c>
      <c r="R8732" s="15" t="s">
        <v>8</v>
      </c>
      <c r="S8732" s="20" t="str">
        <f>HYPERLINK("http://yeinfo.com/family/I09065735.html", "MARGARET ARUNDELL &lt;4&gt; 1456 EN-1519 EN ID:09065735")</f>
        <v>MARGARET ARUNDELL &lt;4&gt; 1456 EN-1519 EN ID:09065735</v>
      </c>
      <c r="T8732" s="17"/>
      <c r="U8732" s="17"/>
      <c r="V8732" s="17"/>
      <c r="W8732" s="17"/>
    </row>
    <row r="8733" spans="3:25" x14ac:dyDescent="0.35">
      <c r="C8733" s="15" t="s">
        <v>8</v>
      </c>
      <c r="H8733" s="15" t="s">
        <v>8</v>
      </c>
      <c r="I8733" s="15" t="s">
        <v>8</v>
      </c>
      <c r="K8733" s="15" t="s">
        <v>8</v>
      </c>
      <c r="M8733" s="15" t="s">
        <v>8</v>
      </c>
      <c r="N8733" s="15" t="s">
        <v>8</v>
      </c>
      <c r="O8733" s="15" t="s">
        <v>8</v>
      </c>
      <c r="Q8733" s="15" t="s">
        <v>8</v>
      </c>
      <c r="R8733" s="15" t="s">
        <v>8</v>
      </c>
      <c r="T8733" s="15" t="s">
        <v>8</v>
      </c>
    </row>
    <row r="8734" spans="3:25" x14ac:dyDescent="0.35">
      <c r="C8734" s="15" t="s">
        <v>8</v>
      </c>
      <c r="H8734" s="15" t="s">
        <v>8</v>
      </c>
      <c r="I8734" s="15" t="s">
        <v>8</v>
      </c>
      <c r="K8734" s="15" t="s">
        <v>8</v>
      </c>
      <c r="M8734" s="15" t="s">
        <v>8</v>
      </c>
      <c r="N8734" s="15" t="s">
        <v>8</v>
      </c>
      <c r="O8734" s="15" t="s">
        <v>8</v>
      </c>
      <c r="Q8734" s="15" t="s">
        <v>8</v>
      </c>
      <c r="R8734" s="15" t="s">
        <v>8</v>
      </c>
      <c r="T8734" s="15" t="s">
        <v>8</v>
      </c>
      <c r="U8734" s="19" t="str">
        <f>HYPERLINK("http://yeinfo.com/family/I09066735.html", "JOHN CHIDIOCKE &lt;4&gt; 1401 EN-1450 EN ID:09066735")</f>
        <v>JOHN CHIDIOCKE &lt;4&gt; 1401 EN-1450 EN ID:09066735</v>
      </c>
      <c r="V8734" s="9"/>
      <c r="W8734" s="9"/>
      <c r="X8734" s="9"/>
      <c r="Y8734" s="9"/>
    </row>
    <row r="8735" spans="3:25" x14ac:dyDescent="0.35">
      <c r="C8735" s="15" t="s">
        <v>8</v>
      </c>
      <c r="H8735" s="15" t="s">
        <v>8</v>
      </c>
      <c r="I8735" s="15" t="s">
        <v>8</v>
      </c>
      <c r="K8735" s="15" t="s">
        <v>8</v>
      </c>
      <c r="M8735" s="15" t="s">
        <v>8</v>
      </c>
      <c r="N8735" s="15" t="s">
        <v>8</v>
      </c>
      <c r="O8735" s="15" t="s">
        <v>8</v>
      </c>
      <c r="Q8735" s="15" t="s">
        <v>8</v>
      </c>
      <c r="R8735" s="15" t="s">
        <v>8</v>
      </c>
      <c r="T8735" s="8" t="s">
        <v>6</v>
      </c>
      <c r="U8735" s="8" t="s">
        <v>3</v>
      </c>
    </row>
    <row r="8736" spans="3:25" x14ac:dyDescent="0.35">
      <c r="C8736" s="15" t="s">
        <v>8</v>
      </c>
      <c r="H8736" s="15" t="s">
        <v>8</v>
      </c>
      <c r="I8736" s="15" t="s">
        <v>8</v>
      </c>
      <c r="K8736" s="15" t="s">
        <v>8</v>
      </c>
      <c r="M8736" s="15" t="s">
        <v>8</v>
      </c>
      <c r="N8736" s="15" t="s">
        <v>8</v>
      </c>
      <c r="O8736" s="15" t="s">
        <v>8</v>
      </c>
      <c r="Q8736" s="15" t="s">
        <v>8</v>
      </c>
      <c r="R8736" s="15" t="s">
        <v>8</v>
      </c>
      <c r="T8736" s="20" t="str">
        <f>HYPERLINK("http://yeinfo.com/family/I09066732.html", "CATHERINE CHIDIOCKE &lt;4&gt; 1423 EN-1479 EN ID:09066732")</f>
        <v>CATHERINE CHIDIOCKE &lt;4&gt; 1423 EN-1479 EN ID:09066732</v>
      </c>
      <c r="U8736" s="17"/>
      <c r="V8736" s="17"/>
      <c r="W8736" s="17"/>
      <c r="X8736" s="17"/>
    </row>
    <row r="8737" spans="3:27" x14ac:dyDescent="0.35">
      <c r="C8737" s="15" t="s">
        <v>8</v>
      </c>
      <c r="H8737" s="15" t="s">
        <v>8</v>
      </c>
      <c r="I8737" s="15" t="s">
        <v>8</v>
      </c>
      <c r="K8737" s="15" t="s">
        <v>8</v>
      </c>
      <c r="M8737" s="15" t="s">
        <v>8</v>
      </c>
      <c r="N8737" s="15" t="s">
        <v>8</v>
      </c>
      <c r="O8737" s="15" t="s">
        <v>8</v>
      </c>
      <c r="Q8737" s="15" t="s">
        <v>8</v>
      </c>
      <c r="R8737" s="15" t="s">
        <v>8</v>
      </c>
      <c r="U8737" s="8" t="s">
        <v>6</v>
      </c>
    </row>
    <row r="8738" spans="3:27" x14ac:dyDescent="0.35">
      <c r="C8738" s="15" t="s">
        <v>8</v>
      </c>
      <c r="H8738" s="15" t="s">
        <v>8</v>
      </c>
      <c r="I8738" s="15" t="s">
        <v>8</v>
      </c>
      <c r="K8738" s="15" t="s">
        <v>8</v>
      </c>
      <c r="M8738" s="15" t="s">
        <v>8</v>
      </c>
      <c r="N8738" s="15" t="s">
        <v>8</v>
      </c>
      <c r="O8738" s="15" t="s">
        <v>8</v>
      </c>
      <c r="Q8738" s="15" t="s">
        <v>8</v>
      </c>
      <c r="R8738" s="15" t="s">
        <v>8</v>
      </c>
      <c r="U8738" s="20" t="str">
        <f>HYPERLINK("http://yeinfo.com/family/I09066736.html", "CATHERINE LUMLEY &lt;4&gt; 1400 EN-1461 EN ID:09066736")</f>
        <v>CATHERINE LUMLEY &lt;4&gt; 1400 EN-1461 EN ID:09066736</v>
      </c>
      <c r="V8738" s="17"/>
      <c r="W8738" s="17"/>
      <c r="X8738" s="17"/>
      <c r="Y8738" s="17"/>
    </row>
    <row r="8739" spans="3:27" x14ac:dyDescent="0.35">
      <c r="C8739" s="15" t="s">
        <v>8</v>
      </c>
      <c r="H8739" s="15" t="s">
        <v>8</v>
      </c>
      <c r="I8739" s="15" t="s">
        <v>8</v>
      </c>
      <c r="K8739" s="15" t="s">
        <v>8</v>
      </c>
      <c r="M8739" s="15" t="s">
        <v>8</v>
      </c>
      <c r="N8739" s="15" t="s">
        <v>8</v>
      </c>
      <c r="O8739" s="15" t="s">
        <v>8</v>
      </c>
      <c r="Q8739" s="8" t="s">
        <v>6</v>
      </c>
      <c r="R8739" s="15" t="s">
        <v>8</v>
      </c>
    </row>
    <row r="8740" spans="3:27" x14ac:dyDescent="0.35">
      <c r="C8740" s="15" t="s">
        <v>8</v>
      </c>
      <c r="H8740" s="15" t="s">
        <v>8</v>
      </c>
      <c r="I8740" s="15" t="s">
        <v>8</v>
      </c>
      <c r="K8740" s="15" t="s">
        <v>8</v>
      </c>
      <c r="M8740" s="15" t="s">
        <v>8</v>
      </c>
      <c r="N8740" s="15" t="s">
        <v>8</v>
      </c>
      <c r="O8740" s="15" t="s">
        <v>8</v>
      </c>
      <c r="Q8740" s="20" t="str">
        <f>HYPERLINK("http://yeinfo.com/family/I09047433.html", "MARGARET CAPELL CAPELL &lt;4&gt; 1507 EN-1530 EN ID:09047433")</f>
        <v>MARGARET CAPELL CAPELL &lt;4&gt; 1507 EN-1530 EN ID:09047433</v>
      </c>
      <c r="R8740" s="17"/>
      <c r="S8740" s="17"/>
      <c r="T8740" s="17"/>
      <c r="U8740" s="17"/>
    </row>
    <row r="8741" spans="3:27" x14ac:dyDescent="0.35">
      <c r="C8741" s="15" t="s">
        <v>8</v>
      </c>
      <c r="H8741" s="15" t="s">
        <v>8</v>
      </c>
      <c r="I8741" s="15" t="s">
        <v>8</v>
      </c>
      <c r="K8741" s="15" t="s">
        <v>8</v>
      </c>
      <c r="M8741" s="15" t="s">
        <v>8</v>
      </c>
      <c r="N8741" s="15" t="s">
        <v>8</v>
      </c>
      <c r="O8741" s="15" t="s">
        <v>8</v>
      </c>
      <c r="R8741" s="15" t="s">
        <v>8</v>
      </c>
    </row>
    <row r="8742" spans="3:27" x14ac:dyDescent="0.35">
      <c r="C8742" s="15" t="s">
        <v>8</v>
      </c>
      <c r="H8742" s="15" t="s">
        <v>8</v>
      </c>
      <c r="I8742" s="15" t="s">
        <v>8</v>
      </c>
      <c r="K8742" s="15" t="s">
        <v>8</v>
      </c>
      <c r="M8742" s="15" t="s">
        <v>8</v>
      </c>
      <c r="N8742" s="15" t="s">
        <v>8</v>
      </c>
      <c r="O8742" s="15" t="s">
        <v>8</v>
      </c>
      <c r="R8742" s="15" t="s">
        <v>8</v>
      </c>
      <c r="T8742" s="19" t="str">
        <f>HYPERLINK("http://yeinfo.com/family/I09065885.html", "JOHN NEWTON &lt;4&gt; 1425 EN-1488 WL ID:09065885")</f>
        <v>JOHN NEWTON &lt;4&gt; 1425 EN-1488 WL ID:09065885</v>
      </c>
      <c r="U8742" s="9"/>
      <c r="V8742" s="9"/>
      <c r="W8742" s="9"/>
      <c r="X8742" s="9"/>
    </row>
    <row r="8743" spans="3:27" x14ac:dyDescent="0.35">
      <c r="C8743" s="15" t="s">
        <v>8</v>
      </c>
      <c r="H8743" s="15" t="s">
        <v>8</v>
      </c>
      <c r="I8743" s="15" t="s">
        <v>8</v>
      </c>
      <c r="K8743" s="15" t="s">
        <v>8</v>
      </c>
      <c r="M8743" s="15" t="s">
        <v>8</v>
      </c>
      <c r="N8743" s="15" t="s">
        <v>8</v>
      </c>
      <c r="O8743" s="15" t="s">
        <v>8</v>
      </c>
      <c r="R8743" s="15" t="s">
        <v>8</v>
      </c>
      <c r="T8743" s="8" t="s">
        <v>3</v>
      </c>
    </row>
    <row r="8744" spans="3:27" x14ac:dyDescent="0.35">
      <c r="C8744" s="15" t="s">
        <v>8</v>
      </c>
      <c r="H8744" s="15" t="s">
        <v>8</v>
      </c>
      <c r="I8744" s="15" t="s">
        <v>8</v>
      </c>
      <c r="K8744" s="15" t="s">
        <v>8</v>
      </c>
      <c r="M8744" s="15" t="s">
        <v>8</v>
      </c>
      <c r="N8744" s="15" t="s">
        <v>8</v>
      </c>
      <c r="O8744" s="15" t="s">
        <v>8</v>
      </c>
      <c r="R8744" s="15" t="s">
        <v>8</v>
      </c>
      <c r="S8744" s="19" t="str">
        <f>HYPERLINK("http://yeinfo.com/family/I09065736.html", "THOMAS\RICHARD NEWTON &lt;4&gt; 1450 EN-1500 EN ID:09065736")</f>
        <v>THOMAS\RICHARD NEWTON &lt;4&gt; 1450 EN-1500 EN ID:09065736</v>
      </c>
      <c r="T8744" s="9"/>
      <c r="U8744" s="9"/>
      <c r="V8744" s="9"/>
      <c r="W8744" s="9"/>
      <c r="X8744" s="9"/>
    </row>
    <row r="8745" spans="3:27" x14ac:dyDescent="0.35">
      <c r="C8745" s="15" t="s">
        <v>8</v>
      </c>
      <c r="H8745" s="15" t="s">
        <v>8</v>
      </c>
      <c r="I8745" s="15" t="s">
        <v>8</v>
      </c>
      <c r="K8745" s="15" t="s">
        <v>8</v>
      </c>
      <c r="M8745" s="15" t="s">
        <v>8</v>
      </c>
      <c r="N8745" s="15" t="s">
        <v>8</v>
      </c>
      <c r="O8745" s="15" t="s">
        <v>8</v>
      </c>
      <c r="R8745" s="15" t="s">
        <v>8</v>
      </c>
      <c r="S8745" s="8" t="s">
        <v>3</v>
      </c>
      <c r="T8745" s="8" t="s">
        <v>6</v>
      </c>
    </row>
    <row r="8746" spans="3:27" x14ac:dyDescent="0.35">
      <c r="C8746" s="15" t="s">
        <v>8</v>
      </c>
      <c r="H8746" s="15" t="s">
        <v>8</v>
      </c>
      <c r="I8746" s="15" t="s">
        <v>8</v>
      </c>
      <c r="K8746" s="15" t="s">
        <v>8</v>
      </c>
      <c r="M8746" s="15" t="s">
        <v>8</v>
      </c>
      <c r="N8746" s="15" t="s">
        <v>8</v>
      </c>
      <c r="O8746" s="15" t="s">
        <v>8</v>
      </c>
      <c r="R8746" s="15" t="s">
        <v>8</v>
      </c>
      <c r="S8746" s="15" t="s">
        <v>8</v>
      </c>
      <c r="T8746" s="20" t="str">
        <f>HYPERLINK("http://yeinfo.com/family/I09065886.html", "ISABEL CHEDDAR &lt;4&gt; 1429 EN-1499 EN ID:09065886")</f>
        <v>ISABEL CHEDDAR &lt;4&gt; 1429 EN-1499 EN ID:09065886</v>
      </c>
      <c r="U8746" s="17"/>
      <c r="V8746" s="17"/>
      <c r="W8746" s="17"/>
      <c r="X8746" s="17"/>
    </row>
    <row r="8747" spans="3:27" x14ac:dyDescent="0.35">
      <c r="C8747" s="15" t="s">
        <v>8</v>
      </c>
      <c r="H8747" s="15" t="s">
        <v>8</v>
      </c>
      <c r="I8747" s="15" t="s">
        <v>8</v>
      </c>
      <c r="K8747" s="15" t="s">
        <v>8</v>
      </c>
      <c r="M8747" s="15" t="s">
        <v>8</v>
      </c>
      <c r="N8747" s="15" t="s">
        <v>8</v>
      </c>
      <c r="O8747" s="15" t="s">
        <v>8</v>
      </c>
      <c r="R8747" s="8" t="s">
        <v>6</v>
      </c>
      <c r="S8747" s="15" t="s">
        <v>8</v>
      </c>
    </row>
    <row r="8748" spans="3:27" x14ac:dyDescent="0.35">
      <c r="C8748" s="15" t="s">
        <v>8</v>
      </c>
      <c r="H8748" s="15" t="s">
        <v>8</v>
      </c>
      <c r="I8748" s="15" t="s">
        <v>8</v>
      </c>
      <c r="K8748" s="15" t="s">
        <v>8</v>
      </c>
      <c r="M8748" s="15" t="s">
        <v>8</v>
      </c>
      <c r="N8748" s="15" t="s">
        <v>8</v>
      </c>
      <c r="O8748" s="15" t="s">
        <v>8</v>
      </c>
      <c r="R8748" s="20" t="str">
        <f>HYPERLINK("http://yeinfo.com/family/I09065602.html", "ISABEL NEWTON &lt;4&gt; 1475 EN-1508 EN ID:09065602")</f>
        <v>ISABEL NEWTON &lt;4&gt; 1475 EN-1508 EN ID:09065602</v>
      </c>
      <c r="S8748" s="17"/>
      <c r="T8748" s="17"/>
      <c r="U8748" s="17"/>
      <c r="V8748" s="17"/>
    </row>
    <row r="8749" spans="3:27" x14ac:dyDescent="0.35">
      <c r="C8749" s="15" t="s">
        <v>8</v>
      </c>
      <c r="H8749" s="15" t="s">
        <v>8</v>
      </c>
      <c r="I8749" s="15" t="s">
        <v>8</v>
      </c>
      <c r="K8749" s="15" t="s">
        <v>8</v>
      </c>
      <c r="M8749" s="15" t="s">
        <v>8</v>
      </c>
      <c r="N8749" s="15" t="s">
        <v>8</v>
      </c>
      <c r="O8749" s="15" t="s">
        <v>8</v>
      </c>
      <c r="S8749" s="15" t="s">
        <v>8</v>
      </c>
    </row>
    <row r="8750" spans="3:27" x14ac:dyDescent="0.35">
      <c r="C8750" s="15" t="s">
        <v>8</v>
      </c>
      <c r="H8750" s="15" t="s">
        <v>8</v>
      </c>
      <c r="I8750" s="15" t="s">
        <v>8</v>
      </c>
      <c r="K8750" s="15" t="s">
        <v>8</v>
      </c>
      <c r="M8750" s="15" t="s">
        <v>8</v>
      </c>
      <c r="N8750" s="15" t="s">
        <v>8</v>
      </c>
      <c r="O8750" s="15" t="s">
        <v>8</v>
      </c>
      <c r="S8750" s="15" t="s">
        <v>8</v>
      </c>
      <c r="W8750" s="19" t="str">
        <f>HYPERLINK("http://yeinfo.com/family/I09066448.html", "GILES DAUBENEY &lt;4&gt; 1337 EN-1388 EN ID:09066448")</f>
        <v>GILES DAUBENEY &lt;4&gt; 1337 EN-1388 EN ID:09066448</v>
      </c>
      <c r="X8750" s="9"/>
      <c r="Y8750" s="9"/>
      <c r="Z8750" s="9"/>
      <c r="AA8750" s="9"/>
    </row>
    <row r="8751" spans="3:27" x14ac:dyDescent="0.35">
      <c r="C8751" s="15" t="s">
        <v>8</v>
      </c>
      <c r="H8751" s="15" t="s">
        <v>8</v>
      </c>
      <c r="I8751" s="15" t="s">
        <v>8</v>
      </c>
      <c r="K8751" s="15" t="s">
        <v>8</v>
      </c>
      <c r="M8751" s="15" t="s">
        <v>8</v>
      </c>
      <c r="N8751" s="15" t="s">
        <v>8</v>
      </c>
      <c r="O8751" s="15" t="s">
        <v>8</v>
      </c>
      <c r="S8751" s="15" t="s">
        <v>8</v>
      </c>
      <c r="W8751" s="8" t="s">
        <v>3</v>
      </c>
    </row>
    <row r="8752" spans="3:27" x14ac:dyDescent="0.35">
      <c r="C8752" s="15" t="s">
        <v>8</v>
      </c>
      <c r="H8752" s="15" t="s">
        <v>8</v>
      </c>
      <c r="I8752" s="15" t="s">
        <v>8</v>
      </c>
      <c r="K8752" s="15" t="s">
        <v>8</v>
      </c>
      <c r="M8752" s="15" t="s">
        <v>8</v>
      </c>
      <c r="N8752" s="15" t="s">
        <v>8</v>
      </c>
      <c r="O8752" s="15" t="s">
        <v>8</v>
      </c>
      <c r="S8752" s="15" t="s">
        <v>8</v>
      </c>
      <c r="V8752" s="19" t="str">
        <f>HYPERLINK("http://yeinfo.com/family/I09066282.html", "GILES DAUBENEY &lt;4&gt; 1371 EN-1403 EN ID:09066282")</f>
        <v>GILES DAUBENEY &lt;4&gt; 1371 EN-1403 EN ID:09066282</v>
      </c>
      <c r="W8752" s="9"/>
      <c r="X8752" s="9"/>
      <c r="Y8752" s="9"/>
      <c r="Z8752" s="9"/>
    </row>
    <row r="8753" spans="3:27" x14ac:dyDescent="0.35">
      <c r="C8753" s="15" t="s">
        <v>8</v>
      </c>
      <c r="H8753" s="15" t="s">
        <v>8</v>
      </c>
      <c r="I8753" s="15" t="s">
        <v>8</v>
      </c>
      <c r="K8753" s="15" t="s">
        <v>8</v>
      </c>
      <c r="M8753" s="15" t="s">
        <v>8</v>
      </c>
      <c r="N8753" s="15" t="s">
        <v>8</v>
      </c>
      <c r="O8753" s="15" t="s">
        <v>8</v>
      </c>
      <c r="S8753" s="15" t="s">
        <v>8</v>
      </c>
      <c r="V8753" s="8" t="s">
        <v>3</v>
      </c>
      <c r="W8753" s="8" t="s">
        <v>6</v>
      </c>
    </row>
    <row r="8754" spans="3:27" x14ac:dyDescent="0.35">
      <c r="C8754" s="15" t="s">
        <v>8</v>
      </c>
      <c r="H8754" s="15" t="s">
        <v>8</v>
      </c>
      <c r="I8754" s="15" t="s">
        <v>8</v>
      </c>
      <c r="K8754" s="15" t="s">
        <v>8</v>
      </c>
      <c r="M8754" s="15" t="s">
        <v>8</v>
      </c>
      <c r="N8754" s="15" t="s">
        <v>8</v>
      </c>
      <c r="O8754" s="15" t="s">
        <v>8</v>
      </c>
      <c r="S8754" s="15" t="s">
        <v>8</v>
      </c>
      <c r="V8754" s="15" t="s">
        <v>8</v>
      </c>
      <c r="W8754" s="20" t="str">
        <f>HYPERLINK("http://yeinfo.com/family/I09066488.html", "ELEANOR WILLINGTON &lt;4&gt; 1337 EN-1400 EN ID:09066488")</f>
        <v>ELEANOR WILLINGTON &lt;4&gt; 1337 EN-1400 EN ID:09066488</v>
      </c>
      <c r="X8754" s="17"/>
      <c r="Y8754" s="17"/>
      <c r="Z8754" s="17"/>
      <c r="AA8754" s="17"/>
    </row>
    <row r="8755" spans="3:27" x14ac:dyDescent="0.35">
      <c r="C8755" s="15" t="s">
        <v>8</v>
      </c>
      <c r="H8755" s="15" t="s">
        <v>8</v>
      </c>
      <c r="I8755" s="15" t="s">
        <v>8</v>
      </c>
      <c r="K8755" s="15" t="s">
        <v>8</v>
      </c>
      <c r="M8755" s="15" t="s">
        <v>8</v>
      </c>
      <c r="N8755" s="15" t="s">
        <v>8</v>
      </c>
      <c r="O8755" s="15" t="s">
        <v>8</v>
      </c>
      <c r="S8755" s="15" t="s">
        <v>8</v>
      </c>
      <c r="V8755" s="15" t="s">
        <v>8</v>
      </c>
    </row>
    <row r="8756" spans="3:27" x14ac:dyDescent="0.35">
      <c r="C8756" s="15" t="s">
        <v>8</v>
      </c>
      <c r="H8756" s="15" t="s">
        <v>8</v>
      </c>
      <c r="I8756" s="15" t="s">
        <v>8</v>
      </c>
      <c r="K8756" s="15" t="s">
        <v>8</v>
      </c>
      <c r="M8756" s="15" t="s">
        <v>8</v>
      </c>
      <c r="N8756" s="15" t="s">
        <v>8</v>
      </c>
      <c r="O8756" s="15" t="s">
        <v>8</v>
      </c>
      <c r="S8756" s="15" t="s">
        <v>8</v>
      </c>
      <c r="U8756" s="19" t="str">
        <f>HYPERLINK("http://yeinfo.com/family/I09066086.html", "GILES DAUBENEY &lt;4&gt; 1393 EN-1446 EN ID:09066086")</f>
        <v>GILES DAUBENEY &lt;4&gt; 1393 EN-1446 EN ID:09066086</v>
      </c>
      <c r="V8756" s="9"/>
      <c r="W8756" s="9"/>
      <c r="X8756" s="9"/>
      <c r="Y8756" s="9"/>
    </row>
    <row r="8757" spans="3:27" x14ac:dyDescent="0.35">
      <c r="C8757" s="15" t="s">
        <v>8</v>
      </c>
      <c r="H8757" s="15" t="s">
        <v>8</v>
      </c>
      <c r="I8757" s="15" t="s">
        <v>8</v>
      </c>
      <c r="K8757" s="15" t="s">
        <v>8</v>
      </c>
      <c r="M8757" s="15" t="s">
        <v>8</v>
      </c>
      <c r="N8757" s="15" t="s">
        <v>8</v>
      </c>
      <c r="O8757" s="15" t="s">
        <v>8</v>
      </c>
      <c r="S8757" s="15" t="s">
        <v>8</v>
      </c>
      <c r="U8757" s="8" t="s">
        <v>3</v>
      </c>
      <c r="V8757" s="15" t="s">
        <v>8</v>
      </c>
    </row>
    <row r="8758" spans="3:27" x14ac:dyDescent="0.35">
      <c r="C8758" s="15" t="s">
        <v>8</v>
      </c>
      <c r="H8758" s="15" t="s">
        <v>8</v>
      </c>
      <c r="I8758" s="15" t="s">
        <v>8</v>
      </c>
      <c r="K8758" s="15" t="s">
        <v>8</v>
      </c>
      <c r="M8758" s="15" t="s">
        <v>8</v>
      </c>
      <c r="N8758" s="15" t="s">
        <v>8</v>
      </c>
      <c r="O8758" s="15" t="s">
        <v>8</v>
      </c>
      <c r="S8758" s="15" t="s">
        <v>8</v>
      </c>
      <c r="U8758" s="15" t="s">
        <v>8</v>
      </c>
      <c r="V8758" s="15" t="s">
        <v>8</v>
      </c>
      <c r="W8758" s="19" t="str">
        <f>HYPERLINK("http://yeinfo.com/family/I09066442.html", "JOHN BEAUCHAMP &lt;4&gt; 1330 EN-1389 EN ID:09066442")</f>
        <v>JOHN BEAUCHAMP &lt;4&gt; 1330 EN-1389 EN ID:09066442</v>
      </c>
      <c r="X8758" s="9"/>
      <c r="Y8758" s="9"/>
      <c r="Z8758" s="9"/>
      <c r="AA8758" s="9"/>
    </row>
    <row r="8759" spans="3:27" x14ac:dyDescent="0.35">
      <c r="C8759" s="15" t="s">
        <v>8</v>
      </c>
      <c r="H8759" s="15" t="s">
        <v>8</v>
      </c>
      <c r="I8759" s="15" t="s">
        <v>8</v>
      </c>
      <c r="K8759" s="15" t="s">
        <v>8</v>
      </c>
      <c r="M8759" s="15" t="s">
        <v>8</v>
      </c>
      <c r="N8759" s="15" t="s">
        <v>8</v>
      </c>
      <c r="O8759" s="15" t="s">
        <v>8</v>
      </c>
      <c r="S8759" s="15" t="s">
        <v>8</v>
      </c>
      <c r="U8759" s="15" t="s">
        <v>8</v>
      </c>
      <c r="V8759" s="8" t="s">
        <v>6</v>
      </c>
      <c r="W8759" s="8" t="s">
        <v>3</v>
      </c>
    </row>
    <row r="8760" spans="3:27" x14ac:dyDescent="0.35">
      <c r="C8760" s="15" t="s">
        <v>8</v>
      </c>
      <c r="H8760" s="15" t="s">
        <v>8</v>
      </c>
      <c r="I8760" s="15" t="s">
        <v>8</v>
      </c>
      <c r="K8760" s="15" t="s">
        <v>8</v>
      </c>
      <c r="M8760" s="15" t="s">
        <v>8</v>
      </c>
      <c r="N8760" s="15" t="s">
        <v>8</v>
      </c>
      <c r="O8760" s="15" t="s">
        <v>8</v>
      </c>
      <c r="S8760" s="15" t="s">
        <v>8</v>
      </c>
      <c r="U8760" s="15" t="s">
        <v>8</v>
      </c>
      <c r="V8760" s="20" t="str">
        <f>HYPERLINK("http://yeinfo.com/family/I09066279.html", "MARGARET BEAUCHAMP &lt;4&gt; 1374 EN-1420 EN ID:09066279")</f>
        <v>MARGARET BEAUCHAMP &lt;4&gt; 1374 EN-1420 EN ID:09066279</v>
      </c>
      <c r="W8760" s="17"/>
      <c r="X8760" s="17"/>
      <c r="Y8760" s="17"/>
      <c r="Z8760" s="17"/>
    </row>
    <row r="8761" spans="3:27" x14ac:dyDescent="0.35">
      <c r="C8761" s="15" t="s">
        <v>8</v>
      </c>
      <c r="H8761" s="15" t="s">
        <v>8</v>
      </c>
      <c r="I8761" s="15" t="s">
        <v>8</v>
      </c>
      <c r="K8761" s="15" t="s">
        <v>8</v>
      </c>
      <c r="M8761" s="15" t="s">
        <v>8</v>
      </c>
      <c r="N8761" s="15" t="s">
        <v>8</v>
      </c>
      <c r="O8761" s="15" t="s">
        <v>8</v>
      </c>
      <c r="S8761" s="15" t="s">
        <v>8</v>
      </c>
      <c r="U8761" s="15" t="s">
        <v>8</v>
      </c>
      <c r="W8761" s="8" t="s">
        <v>6</v>
      </c>
    </row>
    <row r="8762" spans="3:27" x14ac:dyDescent="0.35">
      <c r="C8762" s="15" t="s">
        <v>8</v>
      </c>
      <c r="H8762" s="15" t="s">
        <v>8</v>
      </c>
      <c r="I8762" s="15" t="s">
        <v>8</v>
      </c>
      <c r="K8762" s="15" t="s">
        <v>8</v>
      </c>
      <c r="M8762" s="15" t="s">
        <v>8</v>
      </c>
      <c r="N8762" s="15" t="s">
        <v>8</v>
      </c>
      <c r="O8762" s="15" t="s">
        <v>8</v>
      </c>
      <c r="S8762" s="15" t="s">
        <v>8</v>
      </c>
      <c r="U8762" s="15" t="s">
        <v>8</v>
      </c>
      <c r="W8762" s="20" t="str">
        <f>HYPERLINK("http://yeinfo.com/family/I09066478.html", "ELIZABETH ST.JOHN &lt;4&gt; 1331 EN-1411 EN ID:09066478")</f>
        <v>ELIZABETH ST.JOHN &lt;4&gt; 1331 EN-1411 EN ID:09066478</v>
      </c>
      <c r="X8762" s="17"/>
      <c r="Y8762" s="17"/>
      <c r="Z8762" s="17"/>
      <c r="AA8762" s="17"/>
    </row>
    <row r="8763" spans="3:27" x14ac:dyDescent="0.35">
      <c r="C8763" s="15" t="s">
        <v>8</v>
      </c>
      <c r="H8763" s="15" t="s">
        <v>8</v>
      </c>
      <c r="I8763" s="15" t="s">
        <v>8</v>
      </c>
      <c r="K8763" s="15" t="s">
        <v>8</v>
      </c>
      <c r="M8763" s="15" t="s">
        <v>8</v>
      </c>
      <c r="N8763" s="15" t="s">
        <v>8</v>
      </c>
      <c r="O8763" s="15" t="s">
        <v>8</v>
      </c>
      <c r="S8763" s="15" t="s">
        <v>8</v>
      </c>
      <c r="U8763" s="15" t="s">
        <v>8</v>
      </c>
    </row>
    <row r="8764" spans="3:27" x14ac:dyDescent="0.35">
      <c r="C8764" s="15" t="s">
        <v>8</v>
      </c>
      <c r="H8764" s="15" t="s">
        <v>8</v>
      </c>
      <c r="I8764" s="15" t="s">
        <v>8</v>
      </c>
      <c r="K8764" s="15" t="s">
        <v>8</v>
      </c>
      <c r="M8764" s="15" t="s">
        <v>8</v>
      </c>
      <c r="N8764" s="15" t="s">
        <v>8</v>
      </c>
      <c r="O8764" s="15" t="s">
        <v>8</v>
      </c>
      <c r="S8764" s="15" t="s">
        <v>8</v>
      </c>
      <c r="T8764" s="19" t="str">
        <f>HYPERLINK("http://yeinfo.com/family/I09065887.html", "WILLIAM DAUBENEY &lt;4&gt; 1424 EN-1461 EN ID:09065887")</f>
        <v>WILLIAM DAUBENEY &lt;4&gt; 1424 EN-1461 EN ID:09065887</v>
      </c>
      <c r="U8764" s="9"/>
      <c r="V8764" s="9"/>
      <c r="W8764" s="9"/>
      <c r="X8764" s="9"/>
    </row>
    <row r="8765" spans="3:27" x14ac:dyDescent="0.35">
      <c r="C8765" s="15" t="s">
        <v>8</v>
      </c>
      <c r="H8765" s="15" t="s">
        <v>8</v>
      </c>
      <c r="I8765" s="15" t="s">
        <v>8</v>
      </c>
      <c r="K8765" s="15" t="s">
        <v>8</v>
      </c>
      <c r="M8765" s="15" t="s">
        <v>8</v>
      </c>
      <c r="N8765" s="15" t="s">
        <v>8</v>
      </c>
      <c r="O8765" s="15" t="s">
        <v>8</v>
      </c>
      <c r="S8765" s="15" t="s">
        <v>8</v>
      </c>
      <c r="T8765" s="8" t="s">
        <v>3</v>
      </c>
      <c r="U8765" s="8" t="s">
        <v>6</v>
      </c>
    </row>
    <row r="8766" spans="3:27" x14ac:dyDescent="0.35">
      <c r="C8766" s="15" t="s">
        <v>8</v>
      </c>
      <c r="H8766" s="15" t="s">
        <v>8</v>
      </c>
      <c r="I8766" s="15" t="s">
        <v>8</v>
      </c>
      <c r="K8766" s="15" t="s">
        <v>8</v>
      </c>
      <c r="M8766" s="15" t="s">
        <v>8</v>
      </c>
      <c r="N8766" s="15" t="s">
        <v>8</v>
      </c>
      <c r="O8766" s="15" t="s">
        <v>8</v>
      </c>
      <c r="S8766" s="15" t="s">
        <v>8</v>
      </c>
      <c r="T8766" s="15" t="s">
        <v>8</v>
      </c>
      <c r="U8766" s="20" t="str">
        <f>HYPERLINK("http://yeinfo.com/family/I09066085.html", "JOAN DARCY &lt;4&gt; 1398 EN-1424 EN ID:09066085")</f>
        <v>JOAN DARCY &lt;4&gt; 1398 EN-1424 EN ID:09066085</v>
      </c>
      <c r="V8766" s="17"/>
      <c r="W8766" s="17"/>
      <c r="X8766" s="17"/>
      <c r="Y8766" s="17"/>
    </row>
    <row r="8767" spans="3:27" x14ac:dyDescent="0.35">
      <c r="C8767" s="15" t="s">
        <v>8</v>
      </c>
      <c r="H8767" s="15" t="s">
        <v>8</v>
      </c>
      <c r="I8767" s="15" t="s">
        <v>8</v>
      </c>
      <c r="K8767" s="15" t="s">
        <v>8</v>
      </c>
      <c r="M8767" s="15" t="s">
        <v>8</v>
      </c>
      <c r="N8767" s="15" t="s">
        <v>8</v>
      </c>
      <c r="O8767" s="15" t="s">
        <v>8</v>
      </c>
      <c r="S8767" s="8" t="s">
        <v>6</v>
      </c>
      <c r="T8767" s="15" t="s">
        <v>8</v>
      </c>
    </row>
    <row r="8768" spans="3:27" x14ac:dyDescent="0.35">
      <c r="C8768" s="15" t="s">
        <v>8</v>
      </c>
      <c r="H8768" s="15" t="s">
        <v>8</v>
      </c>
      <c r="I8768" s="15" t="s">
        <v>8</v>
      </c>
      <c r="K8768" s="15" t="s">
        <v>8</v>
      </c>
      <c r="M8768" s="15" t="s">
        <v>8</v>
      </c>
      <c r="N8768" s="15" t="s">
        <v>8</v>
      </c>
      <c r="O8768" s="15" t="s">
        <v>8</v>
      </c>
      <c r="S8768" s="20" t="str">
        <f>HYPERLINK("http://yeinfo.com/family/I09065737.html", "ELINOR DAUBENEY &lt;4&gt; 1455 EN-1482 EN ID:09065737")</f>
        <v>ELINOR DAUBENEY &lt;4&gt; 1455 EN-1482 EN ID:09065737</v>
      </c>
      <c r="T8768" s="17"/>
      <c r="U8768" s="17"/>
      <c r="V8768" s="17"/>
      <c r="W8768" s="17"/>
    </row>
    <row r="8769" spans="3:24" x14ac:dyDescent="0.35">
      <c r="C8769" s="15" t="s">
        <v>8</v>
      </c>
      <c r="H8769" s="15" t="s">
        <v>8</v>
      </c>
      <c r="I8769" s="15" t="s">
        <v>8</v>
      </c>
      <c r="K8769" s="15" t="s">
        <v>8</v>
      </c>
      <c r="M8769" s="15" t="s">
        <v>8</v>
      </c>
      <c r="N8769" s="15" t="s">
        <v>8</v>
      </c>
      <c r="O8769" s="15" t="s">
        <v>8</v>
      </c>
      <c r="T8769" s="8" t="s">
        <v>6</v>
      </c>
    </row>
    <row r="8770" spans="3:24" x14ac:dyDescent="0.35">
      <c r="C8770" s="15" t="s">
        <v>8</v>
      </c>
      <c r="H8770" s="15" t="s">
        <v>8</v>
      </c>
      <c r="I8770" s="15" t="s">
        <v>8</v>
      </c>
      <c r="K8770" s="15" t="s">
        <v>8</v>
      </c>
      <c r="M8770" s="15" t="s">
        <v>8</v>
      </c>
      <c r="N8770" s="15" t="s">
        <v>8</v>
      </c>
      <c r="O8770" s="15" t="s">
        <v>8</v>
      </c>
      <c r="T8770" s="20" t="str">
        <f>HYPERLINK("http://yeinfo.com/family/I09065888.html", "ALICE STOURTON &lt;4&gt; 1432 EN-1491 EN ID:09065888")</f>
        <v>ALICE STOURTON &lt;4&gt; 1432 EN-1491 EN ID:09065888</v>
      </c>
      <c r="U8770" s="17"/>
      <c r="V8770" s="17"/>
      <c r="W8770" s="17"/>
      <c r="X8770" s="17"/>
    </row>
    <row r="8771" spans="3:24" x14ac:dyDescent="0.35">
      <c r="C8771" s="15" t="s">
        <v>8</v>
      </c>
      <c r="H8771" s="15" t="s">
        <v>8</v>
      </c>
      <c r="I8771" s="15" t="s">
        <v>8</v>
      </c>
      <c r="K8771" s="15" t="s">
        <v>8</v>
      </c>
      <c r="M8771" s="15" t="s">
        <v>8</v>
      </c>
      <c r="N8771" s="8" t="s">
        <v>6</v>
      </c>
      <c r="O8771" s="15" t="s">
        <v>8</v>
      </c>
    </row>
    <row r="8772" spans="3:24" x14ac:dyDescent="0.35">
      <c r="C8772" s="15" t="s">
        <v>8</v>
      </c>
      <c r="H8772" s="15" t="s">
        <v>8</v>
      </c>
      <c r="I8772" s="15" t="s">
        <v>8</v>
      </c>
      <c r="K8772" s="15" t="s">
        <v>8</v>
      </c>
      <c r="M8772" s="15" t="s">
        <v>8</v>
      </c>
      <c r="N8772" s="16" t="str">
        <f>HYPERLINK("http://yeinfo.com/family/I09005929.html", "REBECCA WARD &lt;2&gt; 1595 -1678 MA ID:09005929")</f>
        <v>REBECCA WARD &lt;2&gt; 1595 -1678 MA ID:09005929</v>
      </c>
      <c r="O8772" s="11"/>
      <c r="P8772" s="11"/>
      <c r="Q8772" s="11"/>
      <c r="R8772" s="11"/>
    </row>
    <row r="8773" spans="3:24" x14ac:dyDescent="0.35">
      <c r="C8773" s="15" t="s">
        <v>8</v>
      </c>
      <c r="H8773" s="15" t="s">
        <v>8</v>
      </c>
      <c r="I8773" s="15" t="s">
        <v>8</v>
      </c>
      <c r="K8773" s="15" t="s">
        <v>8</v>
      </c>
      <c r="M8773" s="15" t="s">
        <v>8</v>
      </c>
      <c r="O8773" s="15" t="s">
        <v>8</v>
      </c>
    </row>
    <row r="8774" spans="3:24" x14ac:dyDescent="0.35">
      <c r="C8774" s="15" t="s">
        <v>8</v>
      </c>
      <c r="H8774" s="15" t="s">
        <v>8</v>
      </c>
      <c r="I8774" s="15" t="s">
        <v>8</v>
      </c>
      <c r="K8774" s="15" t="s">
        <v>8</v>
      </c>
      <c r="M8774" s="15" t="s">
        <v>8</v>
      </c>
      <c r="O8774" s="15" t="s">
        <v>8</v>
      </c>
      <c r="Q8774" s="19" t="str">
        <f>HYPERLINK("http://yeinfo.com/family/I09047436.html", "GEOFFREY LUKYN &lt;2&gt; 1498 EN-1518 EN ID:09047436")</f>
        <v>GEOFFREY LUKYN &lt;2&gt; 1498 EN-1518 EN ID:09047436</v>
      </c>
      <c r="R8774" s="9"/>
      <c r="S8774" s="9"/>
      <c r="T8774" s="9"/>
      <c r="U8774" s="9"/>
    </row>
    <row r="8775" spans="3:24" x14ac:dyDescent="0.35">
      <c r="C8775" s="15" t="s">
        <v>8</v>
      </c>
      <c r="H8775" s="15" t="s">
        <v>8</v>
      </c>
      <c r="I8775" s="15" t="s">
        <v>8</v>
      </c>
      <c r="K8775" s="15" t="s">
        <v>8</v>
      </c>
      <c r="M8775" s="15" t="s">
        <v>8</v>
      </c>
      <c r="O8775" s="15" t="s">
        <v>8</v>
      </c>
      <c r="Q8775" s="8" t="s">
        <v>3</v>
      </c>
    </row>
    <row r="8776" spans="3:24" x14ac:dyDescent="0.35">
      <c r="C8776" s="15" t="s">
        <v>8</v>
      </c>
      <c r="H8776" s="15" t="s">
        <v>8</v>
      </c>
      <c r="I8776" s="15" t="s">
        <v>8</v>
      </c>
      <c r="K8776" s="15" t="s">
        <v>8</v>
      </c>
      <c r="M8776" s="15" t="s">
        <v>8</v>
      </c>
      <c r="O8776" s="15" t="s">
        <v>8</v>
      </c>
      <c r="P8776" s="19" t="str">
        <f>HYPERLINK("http://yeinfo.com/family/I09023718.html", "WILLIAM LUKYN &lt;2&gt; 1518 EN-1575 EN ID:09023718")</f>
        <v>WILLIAM LUKYN &lt;2&gt; 1518 EN-1575 EN ID:09023718</v>
      </c>
      <c r="Q8776" s="9"/>
      <c r="R8776" s="9"/>
      <c r="S8776" s="9"/>
      <c r="T8776" s="9"/>
    </row>
    <row r="8777" spans="3:24" x14ac:dyDescent="0.35">
      <c r="C8777" s="15" t="s">
        <v>8</v>
      </c>
      <c r="H8777" s="15" t="s">
        <v>8</v>
      </c>
      <c r="I8777" s="15" t="s">
        <v>8</v>
      </c>
      <c r="K8777" s="15" t="s">
        <v>8</v>
      </c>
      <c r="M8777" s="15" t="s">
        <v>8</v>
      </c>
      <c r="O8777" s="15" t="s">
        <v>8</v>
      </c>
      <c r="P8777" s="8" t="s">
        <v>3</v>
      </c>
      <c r="Q8777" s="8" t="s">
        <v>6</v>
      </c>
    </row>
    <row r="8778" spans="3:24" x14ac:dyDescent="0.35">
      <c r="C8778" s="15" t="s">
        <v>8</v>
      </c>
      <c r="H8778" s="15" t="s">
        <v>8</v>
      </c>
      <c r="I8778" s="15" t="s">
        <v>8</v>
      </c>
      <c r="K8778" s="15" t="s">
        <v>8</v>
      </c>
      <c r="M8778" s="15" t="s">
        <v>8</v>
      </c>
      <c r="O8778" s="15" t="s">
        <v>8</v>
      </c>
      <c r="P8778" s="15" t="s">
        <v>8</v>
      </c>
      <c r="Q8778" s="20" t="str">
        <f>HYPERLINK("http://yeinfo.com/family/I09047437.html", "Mrs. MARGARET LUKYN &lt;2&gt; 1498 EN-1518 EN ID:09047437")</f>
        <v>Mrs. MARGARET LUKYN &lt;2&gt; 1498 EN-1518 EN ID:09047437</v>
      </c>
      <c r="R8778" s="17"/>
      <c r="S8778" s="17"/>
      <c r="T8778" s="17"/>
      <c r="U8778" s="17"/>
    </row>
    <row r="8779" spans="3:24" x14ac:dyDescent="0.35">
      <c r="C8779" s="15" t="s">
        <v>8</v>
      </c>
      <c r="H8779" s="15" t="s">
        <v>8</v>
      </c>
      <c r="I8779" s="15" t="s">
        <v>8</v>
      </c>
      <c r="K8779" s="15" t="s">
        <v>8</v>
      </c>
      <c r="M8779" s="15" t="s">
        <v>8</v>
      </c>
      <c r="O8779" s="8" t="s">
        <v>6</v>
      </c>
      <c r="P8779" s="15" t="s">
        <v>8</v>
      </c>
    </row>
    <row r="8780" spans="3:24" x14ac:dyDescent="0.35">
      <c r="C8780" s="15" t="s">
        <v>8</v>
      </c>
      <c r="H8780" s="15" t="s">
        <v>8</v>
      </c>
      <c r="I8780" s="15" t="s">
        <v>8</v>
      </c>
      <c r="K8780" s="15" t="s">
        <v>8</v>
      </c>
      <c r="M8780" s="15" t="s">
        <v>8</v>
      </c>
      <c r="O8780" s="16" t="str">
        <f>HYPERLINK("http://yeinfo.com/family/I09011859.html", "JUDITH LUKYN &lt;2&gt; 1567 -1626  ID:09011859")</f>
        <v>JUDITH LUKYN &lt;2&gt; 1567 -1626  ID:09011859</v>
      </c>
      <c r="P8780" s="11"/>
      <c r="Q8780" s="11"/>
      <c r="R8780" s="11"/>
      <c r="S8780" s="11"/>
    </row>
    <row r="8781" spans="3:24" x14ac:dyDescent="0.35">
      <c r="C8781" s="15" t="s">
        <v>8</v>
      </c>
      <c r="H8781" s="15" t="s">
        <v>8</v>
      </c>
      <c r="I8781" s="15" t="s">
        <v>8</v>
      </c>
      <c r="K8781" s="15" t="s">
        <v>8</v>
      </c>
      <c r="M8781" s="15" t="s">
        <v>8</v>
      </c>
      <c r="P8781" s="15" t="s">
        <v>8</v>
      </c>
    </row>
    <row r="8782" spans="3:24" x14ac:dyDescent="0.35">
      <c r="C8782" s="15" t="s">
        <v>8</v>
      </c>
      <c r="H8782" s="15" t="s">
        <v>8</v>
      </c>
      <c r="I8782" s="15" t="s">
        <v>8</v>
      </c>
      <c r="K8782" s="15" t="s">
        <v>8</v>
      </c>
      <c r="M8782" s="15" t="s">
        <v>8</v>
      </c>
      <c r="P8782" s="15" t="s">
        <v>8</v>
      </c>
      <c r="Q8782" s="19" t="str">
        <f>HYPERLINK("http://yeinfo.com/family/I09047438.html", "WILLIAM WALTER &lt;2&gt; 1495 EN-1584 EN ID:09047438")</f>
        <v>WILLIAM WALTER &lt;2&gt; 1495 EN-1584 EN ID:09047438</v>
      </c>
      <c r="R8782" s="9"/>
      <c r="S8782" s="9"/>
      <c r="T8782" s="9"/>
      <c r="U8782" s="9"/>
    </row>
    <row r="8783" spans="3:24" x14ac:dyDescent="0.35">
      <c r="C8783" s="15" t="s">
        <v>8</v>
      </c>
      <c r="H8783" s="15" t="s">
        <v>8</v>
      </c>
      <c r="I8783" s="15" t="s">
        <v>8</v>
      </c>
      <c r="K8783" s="15" t="s">
        <v>8</v>
      </c>
      <c r="M8783" s="15" t="s">
        <v>8</v>
      </c>
      <c r="P8783" s="8" t="s">
        <v>6</v>
      </c>
      <c r="Q8783" s="8" t="s">
        <v>3</v>
      </c>
    </row>
    <row r="8784" spans="3:24" x14ac:dyDescent="0.35">
      <c r="C8784" s="15" t="s">
        <v>8</v>
      </c>
      <c r="H8784" s="15" t="s">
        <v>8</v>
      </c>
      <c r="I8784" s="15" t="s">
        <v>8</v>
      </c>
      <c r="K8784" s="15" t="s">
        <v>8</v>
      </c>
      <c r="M8784" s="15" t="s">
        <v>8</v>
      </c>
      <c r="P8784" s="20" t="str">
        <f>HYPERLINK("http://yeinfo.com/family/I09023719.html", "THOMASINE WALTER &lt;2&gt; 1534 EN-1581 EN ID:09023719")</f>
        <v>THOMASINE WALTER &lt;2&gt; 1534 EN-1581 EN ID:09023719</v>
      </c>
      <c r="Q8784" s="17"/>
      <c r="R8784" s="17"/>
      <c r="S8784" s="17"/>
      <c r="T8784" s="17"/>
    </row>
    <row r="8785" spans="3:25" x14ac:dyDescent="0.35">
      <c r="C8785" s="15" t="s">
        <v>8</v>
      </c>
      <c r="H8785" s="15" t="s">
        <v>8</v>
      </c>
      <c r="I8785" s="15" t="s">
        <v>8</v>
      </c>
      <c r="K8785" s="15" t="s">
        <v>8</v>
      </c>
      <c r="M8785" s="15" t="s">
        <v>8</v>
      </c>
      <c r="Q8785" s="15" t="s">
        <v>8</v>
      </c>
    </row>
    <row r="8786" spans="3:25" x14ac:dyDescent="0.35">
      <c r="C8786" s="15" t="s">
        <v>8</v>
      </c>
      <c r="H8786" s="15" t="s">
        <v>8</v>
      </c>
      <c r="I8786" s="15" t="s">
        <v>8</v>
      </c>
      <c r="K8786" s="15" t="s">
        <v>8</v>
      </c>
      <c r="M8786" s="15" t="s">
        <v>8</v>
      </c>
      <c r="Q8786" s="15" t="s">
        <v>8</v>
      </c>
      <c r="U8786" s="19" t="str">
        <f>HYPERLINK("http://yeinfo.com/family/I09066073.html", "THOMAS DENTON &lt;2&gt; 1401 EN-1427  ID:09066073")</f>
        <v>THOMAS DENTON &lt;2&gt; 1401 EN-1427  ID:09066073</v>
      </c>
      <c r="V8786" s="9"/>
      <c r="W8786" s="9"/>
      <c r="X8786" s="9"/>
      <c r="Y8786" s="9"/>
    </row>
    <row r="8787" spans="3:25" x14ac:dyDescent="0.35">
      <c r="C8787" s="15" t="s">
        <v>8</v>
      </c>
      <c r="H8787" s="15" t="s">
        <v>8</v>
      </c>
      <c r="I8787" s="15" t="s">
        <v>8</v>
      </c>
      <c r="K8787" s="15" t="s">
        <v>8</v>
      </c>
      <c r="M8787" s="15" t="s">
        <v>8</v>
      </c>
      <c r="Q8787" s="15" t="s">
        <v>8</v>
      </c>
      <c r="U8787" s="8" t="s">
        <v>3</v>
      </c>
    </row>
    <row r="8788" spans="3:25" x14ac:dyDescent="0.35">
      <c r="C8788" s="15" t="s">
        <v>8</v>
      </c>
      <c r="H8788" s="15" t="s">
        <v>8</v>
      </c>
      <c r="I8788" s="15" t="s">
        <v>8</v>
      </c>
      <c r="K8788" s="15" t="s">
        <v>8</v>
      </c>
      <c r="M8788" s="15" t="s">
        <v>8</v>
      </c>
      <c r="Q8788" s="15" t="s">
        <v>8</v>
      </c>
      <c r="T8788" s="19" t="str">
        <f>HYPERLINK("http://yeinfo.com/family/I09065889.html", "THOMAS DENTON &lt;2&gt; 1427 EN-1453  ID:09065889")</f>
        <v>THOMAS DENTON &lt;2&gt; 1427 EN-1453  ID:09065889</v>
      </c>
      <c r="U8788" s="9"/>
      <c r="V8788" s="9"/>
      <c r="W8788" s="9"/>
      <c r="X8788" s="9"/>
    </row>
    <row r="8789" spans="3:25" x14ac:dyDescent="0.35">
      <c r="C8789" s="15" t="s">
        <v>8</v>
      </c>
      <c r="H8789" s="15" t="s">
        <v>8</v>
      </c>
      <c r="I8789" s="15" t="s">
        <v>8</v>
      </c>
      <c r="K8789" s="15" t="s">
        <v>8</v>
      </c>
      <c r="M8789" s="15" t="s">
        <v>8</v>
      </c>
      <c r="Q8789" s="15" t="s">
        <v>8</v>
      </c>
      <c r="T8789" s="8" t="s">
        <v>3</v>
      </c>
      <c r="U8789" s="8" t="s">
        <v>6</v>
      </c>
    </row>
    <row r="8790" spans="3:25" x14ac:dyDescent="0.35">
      <c r="C8790" s="15" t="s">
        <v>8</v>
      </c>
      <c r="H8790" s="15" t="s">
        <v>8</v>
      </c>
      <c r="I8790" s="15" t="s">
        <v>8</v>
      </c>
      <c r="K8790" s="15" t="s">
        <v>8</v>
      </c>
      <c r="M8790" s="15" t="s">
        <v>8</v>
      </c>
      <c r="Q8790" s="15" t="s">
        <v>8</v>
      </c>
      <c r="T8790" s="15" t="s">
        <v>8</v>
      </c>
      <c r="U8790" s="20" t="str">
        <f>HYPERLINK("http://yeinfo.com/family/I09066130.html", "AGNES BALDINGTON &lt;2&gt; 1403 EN-1427  ID:09066130")</f>
        <v>AGNES BALDINGTON &lt;2&gt; 1403 EN-1427  ID:09066130</v>
      </c>
      <c r="V8790" s="17"/>
      <c r="W8790" s="17"/>
      <c r="X8790" s="17"/>
      <c r="Y8790" s="17"/>
    </row>
    <row r="8791" spans="3:25" x14ac:dyDescent="0.35">
      <c r="C8791" s="15" t="s">
        <v>8</v>
      </c>
      <c r="H8791" s="15" t="s">
        <v>8</v>
      </c>
      <c r="I8791" s="15" t="s">
        <v>8</v>
      </c>
      <c r="K8791" s="15" t="s">
        <v>8</v>
      </c>
      <c r="M8791" s="15" t="s">
        <v>8</v>
      </c>
      <c r="Q8791" s="15" t="s">
        <v>8</v>
      </c>
      <c r="T8791" s="15" t="s">
        <v>8</v>
      </c>
    </row>
    <row r="8792" spans="3:25" x14ac:dyDescent="0.35">
      <c r="C8792" s="15" t="s">
        <v>8</v>
      </c>
      <c r="H8792" s="15" t="s">
        <v>8</v>
      </c>
      <c r="I8792" s="15" t="s">
        <v>8</v>
      </c>
      <c r="K8792" s="15" t="s">
        <v>8</v>
      </c>
      <c r="M8792" s="15" t="s">
        <v>8</v>
      </c>
      <c r="Q8792" s="15" t="s">
        <v>8</v>
      </c>
      <c r="S8792" s="19" t="str">
        <f>HYPERLINK("http://yeinfo.com/family/I09065738.html", "JOHN DENTON &lt;2&gt; 1445 EN-1497  ID:09065738")</f>
        <v>JOHN DENTON &lt;2&gt; 1445 EN-1497  ID:09065738</v>
      </c>
      <c r="T8792" s="9"/>
      <c r="U8792" s="9"/>
      <c r="V8792" s="9"/>
      <c r="W8792" s="9"/>
    </row>
    <row r="8793" spans="3:25" x14ac:dyDescent="0.35">
      <c r="C8793" s="15" t="s">
        <v>8</v>
      </c>
      <c r="H8793" s="15" t="s">
        <v>8</v>
      </c>
      <c r="I8793" s="15" t="s">
        <v>8</v>
      </c>
      <c r="K8793" s="15" t="s">
        <v>8</v>
      </c>
      <c r="M8793" s="15" t="s">
        <v>8</v>
      </c>
      <c r="Q8793" s="15" t="s">
        <v>8</v>
      </c>
      <c r="S8793" s="8" t="s">
        <v>3</v>
      </c>
      <c r="T8793" s="8" t="s">
        <v>6</v>
      </c>
    </row>
    <row r="8794" spans="3:25" x14ac:dyDescent="0.35">
      <c r="C8794" s="15" t="s">
        <v>8</v>
      </c>
      <c r="H8794" s="15" t="s">
        <v>8</v>
      </c>
      <c r="I8794" s="15" t="s">
        <v>8</v>
      </c>
      <c r="K8794" s="15" t="s">
        <v>8</v>
      </c>
      <c r="M8794" s="15" t="s">
        <v>8</v>
      </c>
      <c r="Q8794" s="15" t="s">
        <v>8</v>
      </c>
      <c r="S8794" s="15" t="s">
        <v>8</v>
      </c>
      <c r="T8794" s="20" t="str">
        <f>HYPERLINK("http://yeinfo.com/family/I09065890.html", "ALISON DAUNCY &lt;2&gt; 1427 EN-1453  ID:09065890")</f>
        <v>ALISON DAUNCY &lt;2&gt; 1427 EN-1453  ID:09065890</v>
      </c>
      <c r="U8794" s="17"/>
      <c r="V8794" s="17"/>
      <c r="W8794" s="17"/>
      <c r="X8794" s="17"/>
    </row>
    <row r="8795" spans="3:25" x14ac:dyDescent="0.35">
      <c r="C8795" s="15" t="s">
        <v>8</v>
      </c>
      <c r="H8795" s="15" t="s">
        <v>8</v>
      </c>
      <c r="I8795" s="15" t="s">
        <v>8</v>
      </c>
      <c r="K8795" s="15" t="s">
        <v>8</v>
      </c>
      <c r="M8795" s="15" t="s">
        <v>8</v>
      </c>
      <c r="Q8795" s="15" t="s">
        <v>8</v>
      </c>
      <c r="S8795" s="15" t="s">
        <v>8</v>
      </c>
    </row>
    <row r="8796" spans="3:25" x14ac:dyDescent="0.35">
      <c r="C8796" s="15" t="s">
        <v>8</v>
      </c>
      <c r="H8796" s="15" t="s">
        <v>8</v>
      </c>
      <c r="I8796" s="15" t="s">
        <v>8</v>
      </c>
      <c r="K8796" s="15" t="s">
        <v>8</v>
      </c>
      <c r="M8796" s="15" t="s">
        <v>8</v>
      </c>
      <c r="Q8796" s="15" t="s">
        <v>8</v>
      </c>
      <c r="R8796" s="19" t="str">
        <f>HYPERLINK("http://yeinfo.com/family/I09065603.html", "THOMAS DENTON &lt;2&gt; 1464 EN-1560 EN ID:09065603")</f>
        <v>THOMAS DENTON &lt;2&gt; 1464 EN-1560 EN ID:09065603</v>
      </c>
      <c r="S8796" s="9"/>
      <c r="T8796" s="9"/>
      <c r="U8796" s="9"/>
      <c r="V8796" s="9"/>
    </row>
    <row r="8797" spans="3:25" x14ac:dyDescent="0.35">
      <c r="C8797" s="15" t="s">
        <v>8</v>
      </c>
      <c r="H8797" s="15" t="s">
        <v>8</v>
      </c>
      <c r="I8797" s="15" t="s">
        <v>8</v>
      </c>
      <c r="K8797" s="15" t="s">
        <v>8</v>
      </c>
      <c r="M8797" s="15" t="s">
        <v>8</v>
      </c>
      <c r="Q8797" s="15" t="s">
        <v>8</v>
      </c>
      <c r="R8797" s="8" t="s">
        <v>3</v>
      </c>
      <c r="S8797" s="15" t="s">
        <v>8</v>
      </c>
    </row>
    <row r="8798" spans="3:25" x14ac:dyDescent="0.35">
      <c r="C8798" s="15" t="s">
        <v>8</v>
      </c>
      <c r="H8798" s="15" t="s">
        <v>8</v>
      </c>
      <c r="I8798" s="15" t="s">
        <v>8</v>
      </c>
      <c r="K8798" s="15" t="s">
        <v>8</v>
      </c>
      <c r="M8798" s="15" t="s">
        <v>8</v>
      </c>
      <c r="Q8798" s="15" t="s">
        <v>8</v>
      </c>
      <c r="R8798" s="15" t="s">
        <v>8</v>
      </c>
      <c r="S8798" s="15" t="s">
        <v>8</v>
      </c>
      <c r="T8798" s="19" t="str">
        <f>HYPERLINK("http://yeinfo.com/family/I09065891.html", "JOHN BROME &lt;2&gt; 1410 EN-1468 EN ID:09065891")</f>
        <v>JOHN BROME &lt;2&gt; 1410 EN-1468 EN ID:09065891</v>
      </c>
      <c r="U8798" s="9"/>
      <c r="V8798" s="9"/>
      <c r="W8798" s="9"/>
      <c r="X8798" s="9"/>
    </row>
    <row r="8799" spans="3:25" x14ac:dyDescent="0.35">
      <c r="C8799" s="15" t="s">
        <v>8</v>
      </c>
      <c r="H8799" s="15" t="s">
        <v>8</v>
      </c>
      <c r="I8799" s="15" t="s">
        <v>8</v>
      </c>
      <c r="K8799" s="15" t="s">
        <v>8</v>
      </c>
      <c r="M8799" s="15" t="s">
        <v>8</v>
      </c>
      <c r="Q8799" s="15" t="s">
        <v>8</v>
      </c>
      <c r="R8799" s="15" t="s">
        <v>8</v>
      </c>
      <c r="S8799" s="8" t="s">
        <v>6</v>
      </c>
      <c r="T8799" s="8" t="s">
        <v>3</v>
      </c>
    </row>
    <row r="8800" spans="3:25" x14ac:dyDescent="0.35">
      <c r="C8800" s="15" t="s">
        <v>8</v>
      </c>
      <c r="H8800" s="15" t="s">
        <v>8</v>
      </c>
      <c r="I8800" s="15" t="s">
        <v>8</v>
      </c>
      <c r="K8800" s="15" t="s">
        <v>8</v>
      </c>
      <c r="M8800" s="15" t="s">
        <v>8</v>
      </c>
      <c r="Q8800" s="15" t="s">
        <v>8</v>
      </c>
      <c r="R8800" s="15" t="s">
        <v>8</v>
      </c>
      <c r="S8800" s="20" t="str">
        <f>HYPERLINK("http://yeinfo.com/family/I09065739.html", "ISABELL BROME &lt;2&gt; 1436 EN-1470  ID:09065739")</f>
        <v>ISABELL BROME &lt;2&gt; 1436 EN-1470  ID:09065739</v>
      </c>
      <c r="T8800" s="17"/>
      <c r="U8800" s="17"/>
      <c r="V8800" s="17"/>
      <c r="W8800" s="17"/>
    </row>
    <row r="8801" spans="3:24" x14ac:dyDescent="0.35">
      <c r="C8801" s="15" t="s">
        <v>8</v>
      </c>
      <c r="H8801" s="15" t="s">
        <v>8</v>
      </c>
      <c r="I8801" s="15" t="s">
        <v>8</v>
      </c>
      <c r="K8801" s="15" t="s">
        <v>8</v>
      </c>
      <c r="M8801" s="15" t="s">
        <v>8</v>
      </c>
      <c r="Q8801" s="15" t="s">
        <v>8</v>
      </c>
      <c r="R8801" s="15" t="s">
        <v>8</v>
      </c>
      <c r="T8801" s="8" t="s">
        <v>6</v>
      </c>
    </row>
    <row r="8802" spans="3:24" x14ac:dyDescent="0.35">
      <c r="C8802" s="15" t="s">
        <v>8</v>
      </c>
      <c r="H8802" s="15" t="s">
        <v>8</v>
      </c>
      <c r="I8802" s="15" t="s">
        <v>8</v>
      </c>
      <c r="K8802" s="15" t="s">
        <v>8</v>
      </c>
      <c r="M8802" s="15" t="s">
        <v>8</v>
      </c>
      <c r="Q8802" s="15" t="s">
        <v>8</v>
      </c>
      <c r="R8802" s="15" t="s">
        <v>8</v>
      </c>
      <c r="T8802" s="20" t="str">
        <f>HYPERLINK("http://yeinfo.com/family/I09065892.html", "BEATRIX SHIRLEY &lt;2&gt; 1414 EN-1483 EN ID:09065892")</f>
        <v>BEATRIX SHIRLEY &lt;2&gt; 1414 EN-1483 EN ID:09065892</v>
      </c>
      <c r="U8802" s="17"/>
      <c r="V8802" s="17"/>
      <c r="W8802" s="17"/>
      <c r="X8802" s="17"/>
    </row>
    <row r="8803" spans="3:24" x14ac:dyDescent="0.35">
      <c r="C8803" s="15" t="s">
        <v>8</v>
      </c>
      <c r="H8803" s="15" t="s">
        <v>8</v>
      </c>
      <c r="I8803" s="15" t="s">
        <v>8</v>
      </c>
      <c r="K8803" s="15" t="s">
        <v>8</v>
      </c>
      <c r="M8803" s="15" t="s">
        <v>8</v>
      </c>
      <c r="Q8803" s="8" t="s">
        <v>6</v>
      </c>
      <c r="R8803" s="15" t="s">
        <v>8</v>
      </c>
    </row>
    <row r="8804" spans="3:24" x14ac:dyDescent="0.35">
      <c r="C8804" s="15" t="s">
        <v>8</v>
      </c>
      <c r="H8804" s="15" t="s">
        <v>8</v>
      </c>
      <c r="I8804" s="15" t="s">
        <v>8</v>
      </c>
      <c r="K8804" s="15" t="s">
        <v>8</v>
      </c>
      <c r="M8804" s="15" t="s">
        <v>8</v>
      </c>
      <c r="Q8804" s="20" t="str">
        <f>HYPERLINK("http://yeinfo.com/family/I09047439.html", "ISABEL DENTON &lt;2&gt; 1490 EN-1580 EN ID:09047439")</f>
        <v>ISABEL DENTON &lt;2&gt; 1490 EN-1580 EN ID:09047439</v>
      </c>
      <c r="R8804" s="17"/>
      <c r="S8804" s="17"/>
      <c r="T8804" s="17"/>
      <c r="U8804" s="17"/>
    </row>
    <row r="8805" spans="3:24" x14ac:dyDescent="0.35">
      <c r="C8805" s="15" t="s">
        <v>8</v>
      </c>
      <c r="H8805" s="15" t="s">
        <v>8</v>
      </c>
      <c r="I8805" s="15" t="s">
        <v>8</v>
      </c>
      <c r="K8805" s="15" t="s">
        <v>8</v>
      </c>
      <c r="M8805" s="15" t="s">
        <v>8</v>
      </c>
      <c r="R8805" s="8" t="s">
        <v>6</v>
      </c>
    </row>
    <row r="8806" spans="3:24" x14ac:dyDescent="0.35">
      <c r="C8806" s="15" t="s">
        <v>8</v>
      </c>
      <c r="H8806" s="15" t="s">
        <v>8</v>
      </c>
      <c r="I8806" s="15" t="s">
        <v>8</v>
      </c>
      <c r="K8806" s="15" t="s">
        <v>8</v>
      </c>
      <c r="M8806" s="15" t="s">
        <v>8</v>
      </c>
      <c r="R8806" s="20" t="str">
        <f>HYPERLINK("http://yeinfo.com/family/I09065604.html", "JANE WEBBE &lt;2&gt; 1468 EN-1560 EN ID:09065604")</f>
        <v>JANE WEBBE &lt;2&gt; 1468 EN-1560 EN ID:09065604</v>
      </c>
      <c r="S8806" s="17"/>
      <c r="T8806" s="17"/>
      <c r="U8806" s="17"/>
      <c r="V8806" s="17"/>
    </row>
    <row r="8807" spans="3:24" x14ac:dyDescent="0.35">
      <c r="C8807" s="15" t="s">
        <v>8</v>
      </c>
      <c r="H8807" s="15" t="s">
        <v>8</v>
      </c>
      <c r="I8807" s="15" t="s">
        <v>8</v>
      </c>
      <c r="K8807" s="15" t="s">
        <v>8</v>
      </c>
      <c r="M8807" s="15" t="s">
        <v>8</v>
      </c>
    </row>
    <row r="8808" spans="3:24" x14ac:dyDescent="0.35">
      <c r="C8808" s="15" t="s">
        <v>8</v>
      </c>
      <c r="H8808" s="15" t="s">
        <v>8</v>
      </c>
      <c r="I8808" s="15" t="s">
        <v>8</v>
      </c>
      <c r="K8808" s="15" t="s">
        <v>8</v>
      </c>
      <c r="L8808" s="5" t="str">
        <f>HYPERLINK("http://yeinfo.com/family/I09001482.html", "ELNATHAN ALLEN &lt;2&gt; 1666 MA-1734 MA ID:09001482")</f>
        <v>ELNATHAN ALLEN &lt;2&gt; 1666 MA-1734 MA ID:09001482</v>
      </c>
      <c r="M8808" s="3"/>
      <c r="N8808" s="3"/>
      <c r="O8808" s="3"/>
      <c r="P8808" s="3"/>
    </row>
    <row r="8809" spans="3:24" x14ac:dyDescent="0.35">
      <c r="C8809" s="15" t="s">
        <v>8</v>
      </c>
      <c r="H8809" s="15" t="s">
        <v>8</v>
      </c>
      <c r="I8809" s="15" t="s">
        <v>8</v>
      </c>
      <c r="K8809" s="15" t="s">
        <v>8</v>
      </c>
      <c r="L8809" s="8" t="s">
        <v>3</v>
      </c>
      <c r="M8809" s="15" t="s">
        <v>8</v>
      </c>
    </row>
    <row r="8810" spans="3:24" x14ac:dyDescent="0.35">
      <c r="C8810" s="15" t="s">
        <v>8</v>
      </c>
      <c r="H8810" s="15" t="s">
        <v>8</v>
      </c>
      <c r="I8810" s="15" t="s">
        <v>8</v>
      </c>
      <c r="K8810" s="15" t="s">
        <v>8</v>
      </c>
      <c r="L8810" s="15" t="s">
        <v>8</v>
      </c>
      <c r="M8810" s="15" t="s">
        <v>8</v>
      </c>
      <c r="R8810" s="19" t="str">
        <f>HYPERLINK("http://yeinfo.com/family/I09065605.html", "NICHOLAS WILDER &lt;2&gt; 1460 FR-1542 EN ID:09065605")</f>
        <v>NICHOLAS WILDER &lt;2&gt; 1460 FR-1542 EN ID:09065605</v>
      </c>
      <c r="S8810" s="9"/>
      <c r="T8810" s="9"/>
      <c r="U8810" s="9"/>
      <c r="V8810" s="9"/>
    </row>
    <row r="8811" spans="3:24" x14ac:dyDescent="0.35">
      <c r="C8811" s="15" t="s">
        <v>8</v>
      </c>
      <c r="H8811" s="15" t="s">
        <v>8</v>
      </c>
      <c r="I8811" s="15" t="s">
        <v>8</v>
      </c>
      <c r="K8811" s="15" t="s">
        <v>8</v>
      </c>
      <c r="L8811" s="15" t="s">
        <v>8</v>
      </c>
      <c r="M8811" s="15" t="s">
        <v>8</v>
      </c>
      <c r="R8811" s="8" t="s">
        <v>3</v>
      </c>
    </row>
    <row r="8812" spans="3:24" x14ac:dyDescent="0.35">
      <c r="C8812" s="15" t="s">
        <v>8</v>
      </c>
      <c r="H8812" s="15" t="s">
        <v>8</v>
      </c>
      <c r="I8812" s="15" t="s">
        <v>8</v>
      </c>
      <c r="K8812" s="15" t="s">
        <v>8</v>
      </c>
      <c r="L8812" s="15" t="s">
        <v>8</v>
      </c>
      <c r="M8812" s="15" t="s">
        <v>8</v>
      </c>
      <c r="Q8812" s="19" t="str">
        <f>HYPERLINK("http://yeinfo.com/family/I09047440.html", "JOHN WILDER &lt;2&gt; 1500 EN-1545 EN ID:09047440")</f>
        <v>JOHN WILDER &lt;2&gt; 1500 EN-1545 EN ID:09047440</v>
      </c>
      <c r="R8812" s="9"/>
      <c r="S8812" s="9"/>
      <c r="T8812" s="9"/>
      <c r="U8812" s="9"/>
    </row>
    <row r="8813" spans="3:24" x14ac:dyDescent="0.35">
      <c r="C8813" s="15" t="s">
        <v>8</v>
      </c>
      <c r="H8813" s="15" t="s">
        <v>8</v>
      </c>
      <c r="I8813" s="15" t="s">
        <v>8</v>
      </c>
      <c r="K8813" s="15" t="s">
        <v>8</v>
      </c>
      <c r="L8813" s="15" t="s">
        <v>8</v>
      </c>
      <c r="M8813" s="15" t="s">
        <v>8</v>
      </c>
      <c r="Q8813" s="8" t="s">
        <v>3</v>
      </c>
      <c r="R8813" s="8" t="s">
        <v>6</v>
      </c>
    </row>
    <row r="8814" spans="3:24" x14ac:dyDescent="0.35">
      <c r="C8814" s="15" t="s">
        <v>8</v>
      </c>
      <c r="H8814" s="15" t="s">
        <v>8</v>
      </c>
      <c r="I8814" s="15" t="s">
        <v>8</v>
      </c>
      <c r="K8814" s="15" t="s">
        <v>8</v>
      </c>
      <c r="L8814" s="15" t="s">
        <v>8</v>
      </c>
      <c r="M8814" s="15" t="s">
        <v>8</v>
      </c>
      <c r="Q8814" s="15" t="s">
        <v>8</v>
      </c>
      <c r="R8814" s="20" t="str">
        <f>HYPERLINK("http://yeinfo.com/family/I09065606.html", "Mrs. ISABEL\ELIZABETH WILDER &lt;2&gt; 1460 EN-1543 EN ID:09065606")</f>
        <v>Mrs. ISABEL\ELIZABETH WILDER &lt;2&gt; 1460 EN-1543 EN ID:09065606</v>
      </c>
      <c r="S8814" s="17"/>
      <c r="T8814" s="17"/>
      <c r="U8814" s="17"/>
      <c r="V8814" s="17"/>
      <c r="W8814" s="17"/>
      <c r="X8814" s="17"/>
    </row>
    <row r="8815" spans="3:24" x14ac:dyDescent="0.35">
      <c r="C8815" s="15" t="s">
        <v>8</v>
      </c>
      <c r="H8815" s="15" t="s">
        <v>8</v>
      </c>
      <c r="I8815" s="15" t="s">
        <v>8</v>
      </c>
      <c r="K8815" s="15" t="s">
        <v>8</v>
      </c>
      <c r="L8815" s="15" t="s">
        <v>8</v>
      </c>
      <c r="M8815" s="15" t="s">
        <v>8</v>
      </c>
      <c r="Q8815" s="15" t="s">
        <v>8</v>
      </c>
    </row>
    <row r="8816" spans="3:24" x14ac:dyDescent="0.35">
      <c r="C8816" s="15" t="s">
        <v>8</v>
      </c>
      <c r="H8816" s="15" t="s">
        <v>8</v>
      </c>
      <c r="I8816" s="15" t="s">
        <v>8</v>
      </c>
      <c r="K8816" s="15" t="s">
        <v>8</v>
      </c>
      <c r="L8816" s="15" t="s">
        <v>8</v>
      </c>
      <c r="M8816" s="15" t="s">
        <v>8</v>
      </c>
      <c r="P8816" s="19" t="str">
        <f>HYPERLINK("http://yeinfo.com/family/I09023720.html", "JOHN RICHARD WILDER &lt;2&gt; 1545 EN-1588  ID:09023720")</f>
        <v>JOHN RICHARD WILDER &lt;2&gt; 1545 EN-1588  ID:09023720</v>
      </c>
      <c r="Q8816" s="9"/>
      <c r="R8816" s="9"/>
      <c r="S8816" s="9"/>
      <c r="T8816" s="9"/>
    </row>
    <row r="8817" spans="3:21" x14ac:dyDescent="0.35">
      <c r="C8817" s="15" t="s">
        <v>8</v>
      </c>
      <c r="H8817" s="15" t="s">
        <v>8</v>
      </c>
      <c r="I8817" s="15" t="s">
        <v>8</v>
      </c>
      <c r="K8817" s="15" t="s">
        <v>8</v>
      </c>
      <c r="L8817" s="15" t="s">
        <v>8</v>
      </c>
      <c r="M8817" s="15" t="s">
        <v>8</v>
      </c>
      <c r="P8817" s="8" t="s">
        <v>3</v>
      </c>
      <c r="Q8817" s="8" t="s">
        <v>6</v>
      </c>
    </row>
    <row r="8818" spans="3:21" x14ac:dyDescent="0.35">
      <c r="C8818" s="15" t="s">
        <v>8</v>
      </c>
      <c r="H8818" s="15" t="s">
        <v>8</v>
      </c>
      <c r="I8818" s="15" t="s">
        <v>8</v>
      </c>
      <c r="K8818" s="15" t="s">
        <v>8</v>
      </c>
      <c r="L8818" s="15" t="s">
        <v>8</v>
      </c>
      <c r="M8818" s="15" t="s">
        <v>8</v>
      </c>
      <c r="P8818" s="15" t="s">
        <v>8</v>
      </c>
      <c r="Q8818" s="20" t="str">
        <f>HYPERLINK("http://yeinfo.com/family/I09047441.html", "AGNES KNAPP &lt;2&gt; 1500 EN-1545  ID:09047441")</f>
        <v>AGNES KNAPP &lt;2&gt; 1500 EN-1545  ID:09047441</v>
      </c>
      <c r="R8818" s="17"/>
      <c r="S8818" s="17"/>
      <c r="T8818" s="17"/>
      <c r="U8818" s="17"/>
    </row>
    <row r="8819" spans="3:21" x14ac:dyDescent="0.35">
      <c r="C8819" s="15" t="s">
        <v>8</v>
      </c>
      <c r="H8819" s="15" t="s">
        <v>8</v>
      </c>
      <c r="I8819" s="15" t="s">
        <v>8</v>
      </c>
      <c r="K8819" s="15" t="s">
        <v>8</v>
      </c>
      <c r="L8819" s="15" t="s">
        <v>8</v>
      </c>
      <c r="M8819" s="15" t="s">
        <v>8</v>
      </c>
      <c r="P8819" s="15" t="s">
        <v>8</v>
      </c>
    </row>
    <row r="8820" spans="3:21" x14ac:dyDescent="0.35">
      <c r="C8820" s="15" t="s">
        <v>8</v>
      </c>
      <c r="H8820" s="15" t="s">
        <v>8</v>
      </c>
      <c r="I8820" s="15" t="s">
        <v>8</v>
      </c>
      <c r="K8820" s="15" t="s">
        <v>8</v>
      </c>
      <c r="L8820" s="15" t="s">
        <v>8</v>
      </c>
      <c r="M8820" s="15" t="s">
        <v>8</v>
      </c>
      <c r="O8820" s="19" t="str">
        <f>HYPERLINK("http://yeinfo.com/family/I09011860.html", "THOMAS WILDER &lt;2&gt; 1585 EN-1634 EN ID:09011860")</f>
        <v>THOMAS WILDER &lt;2&gt; 1585 EN-1634 EN ID:09011860</v>
      </c>
      <c r="P8820" s="9"/>
      <c r="Q8820" s="9"/>
      <c r="R8820" s="9"/>
      <c r="S8820" s="9"/>
    </row>
    <row r="8821" spans="3:21" x14ac:dyDescent="0.35">
      <c r="C8821" s="15" t="s">
        <v>8</v>
      </c>
      <c r="H8821" s="15" t="s">
        <v>8</v>
      </c>
      <c r="I8821" s="15" t="s">
        <v>8</v>
      </c>
      <c r="K8821" s="15" t="s">
        <v>8</v>
      </c>
      <c r="L8821" s="15" t="s">
        <v>8</v>
      </c>
      <c r="M8821" s="15" t="s">
        <v>8</v>
      </c>
      <c r="O8821" s="8" t="s">
        <v>3</v>
      </c>
      <c r="P8821" s="15" t="s">
        <v>8</v>
      </c>
    </row>
    <row r="8822" spans="3:21" x14ac:dyDescent="0.35">
      <c r="C8822" s="15" t="s">
        <v>8</v>
      </c>
      <c r="H8822" s="15" t="s">
        <v>8</v>
      </c>
      <c r="I8822" s="15" t="s">
        <v>8</v>
      </c>
      <c r="K8822" s="15" t="s">
        <v>8</v>
      </c>
      <c r="L8822" s="15" t="s">
        <v>8</v>
      </c>
      <c r="M8822" s="15" t="s">
        <v>8</v>
      </c>
      <c r="O8822" s="15" t="s">
        <v>8</v>
      </c>
      <c r="P8822" s="15" t="s">
        <v>8</v>
      </c>
      <c r="Q8822" s="19" t="str">
        <f>HYPERLINK("http://yeinfo.com/family/I09047442.html", "THOMAS KEATS &lt;2&gt; 1530 EN-1582 EN ID:09047442")</f>
        <v>THOMAS KEATS &lt;2&gt; 1530 EN-1582 EN ID:09047442</v>
      </c>
      <c r="R8822" s="9"/>
      <c r="S8822" s="9"/>
      <c r="T8822" s="9"/>
      <c r="U8822" s="9"/>
    </row>
    <row r="8823" spans="3:21" x14ac:dyDescent="0.35">
      <c r="C8823" s="15" t="s">
        <v>8</v>
      </c>
      <c r="H8823" s="15" t="s">
        <v>8</v>
      </c>
      <c r="I8823" s="15" t="s">
        <v>8</v>
      </c>
      <c r="K8823" s="15" t="s">
        <v>8</v>
      </c>
      <c r="L8823" s="15" t="s">
        <v>8</v>
      </c>
      <c r="M8823" s="15" t="s">
        <v>8</v>
      </c>
      <c r="O8823" s="15" t="s">
        <v>8</v>
      </c>
      <c r="P8823" s="8" t="s">
        <v>6</v>
      </c>
      <c r="Q8823" s="8" t="s">
        <v>3</v>
      </c>
    </row>
    <row r="8824" spans="3:21" x14ac:dyDescent="0.35">
      <c r="C8824" s="15" t="s">
        <v>8</v>
      </c>
      <c r="H8824" s="15" t="s">
        <v>8</v>
      </c>
      <c r="I8824" s="15" t="s">
        <v>8</v>
      </c>
      <c r="K8824" s="15" t="s">
        <v>8</v>
      </c>
      <c r="L8824" s="15" t="s">
        <v>8</v>
      </c>
      <c r="M8824" s="15" t="s">
        <v>8</v>
      </c>
      <c r="O8824" s="15" t="s">
        <v>8</v>
      </c>
      <c r="P8824" s="20" t="str">
        <f>HYPERLINK("http://yeinfo.com/family/I09023721.html", "ALICE EARL KEATS &lt;2&gt; 1555 EN-1587  ID:09023721")</f>
        <v>ALICE EARL KEATS &lt;2&gt; 1555 EN-1587  ID:09023721</v>
      </c>
      <c r="Q8824" s="17"/>
      <c r="R8824" s="17"/>
      <c r="S8824" s="17"/>
      <c r="T8824" s="17"/>
    </row>
    <row r="8825" spans="3:21" x14ac:dyDescent="0.35">
      <c r="C8825" s="15" t="s">
        <v>8</v>
      </c>
      <c r="H8825" s="15" t="s">
        <v>8</v>
      </c>
      <c r="I8825" s="15" t="s">
        <v>8</v>
      </c>
      <c r="K8825" s="15" t="s">
        <v>8</v>
      </c>
      <c r="L8825" s="15" t="s">
        <v>8</v>
      </c>
      <c r="M8825" s="15" t="s">
        <v>8</v>
      </c>
      <c r="O8825" s="15" t="s">
        <v>8</v>
      </c>
      <c r="Q8825" s="8" t="s">
        <v>6</v>
      </c>
    </row>
    <row r="8826" spans="3:21" x14ac:dyDescent="0.35">
      <c r="C8826" s="15" t="s">
        <v>8</v>
      </c>
      <c r="H8826" s="15" t="s">
        <v>8</v>
      </c>
      <c r="I8826" s="15" t="s">
        <v>8</v>
      </c>
      <c r="K8826" s="15" t="s">
        <v>8</v>
      </c>
      <c r="L8826" s="15" t="s">
        <v>8</v>
      </c>
      <c r="M8826" s="15" t="s">
        <v>8</v>
      </c>
      <c r="O8826" s="15" t="s">
        <v>8</v>
      </c>
      <c r="Q8826" s="20" t="str">
        <f>HYPERLINK("http://yeinfo.com/family/I09047443.html", "FRANCES JENNINGS &lt;2&gt; 1530 EN-1555  ID:09047443")</f>
        <v>FRANCES JENNINGS &lt;2&gt; 1530 EN-1555  ID:09047443</v>
      </c>
      <c r="R8826" s="17"/>
      <c r="S8826" s="17"/>
      <c r="T8826" s="17"/>
      <c r="U8826" s="17"/>
    </row>
    <row r="8827" spans="3:21" x14ac:dyDescent="0.35">
      <c r="C8827" s="15" t="s">
        <v>8</v>
      </c>
      <c r="H8827" s="15" t="s">
        <v>8</v>
      </c>
      <c r="I8827" s="15" t="s">
        <v>8</v>
      </c>
      <c r="K8827" s="15" t="s">
        <v>8</v>
      </c>
      <c r="L8827" s="15" t="s">
        <v>8</v>
      </c>
      <c r="M8827" s="15" t="s">
        <v>8</v>
      </c>
      <c r="O8827" s="15" t="s">
        <v>8</v>
      </c>
    </row>
    <row r="8828" spans="3:21" x14ac:dyDescent="0.35">
      <c r="C8828" s="15" t="s">
        <v>8</v>
      </c>
      <c r="H8828" s="15" t="s">
        <v>8</v>
      </c>
      <c r="I8828" s="15" t="s">
        <v>8</v>
      </c>
      <c r="K8828" s="15" t="s">
        <v>8</v>
      </c>
      <c r="L8828" s="15" t="s">
        <v>8</v>
      </c>
      <c r="M8828" s="15" t="s">
        <v>8</v>
      </c>
      <c r="N8828" s="5" t="str">
        <f>HYPERLINK("http://yeinfo.com/family/I09005930.html", "THOMAS WILDER &lt;2&gt; 1618 EN-1668  ID:09005930")</f>
        <v>THOMAS WILDER &lt;2&gt; 1618 EN-1668  ID:09005930</v>
      </c>
      <c r="O8828" s="3"/>
      <c r="P8828" s="3"/>
      <c r="Q8828" s="3"/>
      <c r="R8828" s="3"/>
    </row>
    <row r="8829" spans="3:21" x14ac:dyDescent="0.35">
      <c r="C8829" s="15" t="s">
        <v>8</v>
      </c>
      <c r="H8829" s="15" t="s">
        <v>8</v>
      </c>
      <c r="I8829" s="15" t="s">
        <v>8</v>
      </c>
      <c r="K8829" s="15" t="s">
        <v>8</v>
      </c>
      <c r="L8829" s="15" t="s">
        <v>8</v>
      </c>
      <c r="M8829" s="15" t="s">
        <v>8</v>
      </c>
      <c r="N8829" s="8" t="s">
        <v>3</v>
      </c>
      <c r="O8829" s="8" t="s">
        <v>6</v>
      </c>
    </row>
    <row r="8830" spans="3:21" x14ac:dyDescent="0.35">
      <c r="C8830" s="15" t="s">
        <v>8</v>
      </c>
      <c r="H8830" s="15" t="s">
        <v>8</v>
      </c>
      <c r="I8830" s="15" t="s">
        <v>8</v>
      </c>
      <c r="K8830" s="15" t="s">
        <v>8</v>
      </c>
      <c r="L8830" s="15" t="s">
        <v>8</v>
      </c>
      <c r="M8830" s="15" t="s">
        <v>8</v>
      </c>
      <c r="N8830" s="15" t="s">
        <v>8</v>
      </c>
      <c r="O8830" s="22" t="str">
        <f>HYPERLINK("http://yeinfo.com/family/I09011861.html", "MARTHA HIGGS &lt;2&gt; 1590 EN-1652 MA ID:09011861")</f>
        <v>MARTHA HIGGS &lt;2&gt; 1590 EN-1652 MA ID:09011861</v>
      </c>
      <c r="P8830" s="13"/>
      <c r="Q8830" s="13"/>
      <c r="R8830" s="13"/>
      <c r="S8830" s="13"/>
    </row>
    <row r="8831" spans="3:21" x14ac:dyDescent="0.35">
      <c r="C8831" s="15" t="s">
        <v>8</v>
      </c>
      <c r="H8831" s="15" t="s">
        <v>8</v>
      </c>
      <c r="I8831" s="15" t="s">
        <v>8</v>
      </c>
      <c r="K8831" s="15" t="s">
        <v>8</v>
      </c>
      <c r="L8831" s="15" t="s">
        <v>8</v>
      </c>
      <c r="M8831" s="8" t="s">
        <v>6</v>
      </c>
      <c r="N8831" s="15" t="s">
        <v>8</v>
      </c>
    </row>
    <row r="8832" spans="3:21" x14ac:dyDescent="0.35">
      <c r="C8832" s="15" t="s">
        <v>8</v>
      </c>
      <c r="H8832" s="15" t="s">
        <v>8</v>
      </c>
      <c r="I8832" s="15" t="s">
        <v>8</v>
      </c>
      <c r="K8832" s="15" t="s">
        <v>8</v>
      </c>
      <c r="L8832" s="15" t="s">
        <v>8</v>
      </c>
      <c r="M8832" s="16" t="str">
        <f>HYPERLINK("http://yeinfo.com/family/I09002965.html", "MARY WILDER &lt;2&gt; 1642 MA-1666 MA ID:09002965")</f>
        <v>MARY WILDER &lt;2&gt; 1642 MA-1666 MA ID:09002965</v>
      </c>
      <c r="N8832" s="11"/>
      <c r="O8832" s="11"/>
      <c r="P8832" s="11"/>
      <c r="Q8832" s="11"/>
    </row>
    <row r="8833" spans="3:19" x14ac:dyDescent="0.35">
      <c r="C8833" s="15" t="s">
        <v>8</v>
      </c>
      <c r="H8833" s="15" t="s">
        <v>8</v>
      </c>
      <c r="I8833" s="15" t="s">
        <v>8</v>
      </c>
      <c r="K8833" s="15" t="s">
        <v>8</v>
      </c>
      <c r="L8833" s="15" t="s">
        <v>8</v>
      </c>
      <c r="N8833" s="15" t="s">
        <v>8</v>
      </c>
    </row>
    <row r="8834" spans="3:19" x14ac:dyDescent="0.35">
      <c r="C8834" s="15" t="s">
        <v>8</v>
      </c>
      <c r="H8834" s="15" t="s">
        <v>8</v>
      </c>
      <c r="I8834" s="15" t="s">
        <v>8</v>
      </c>
      <c r="K8834" s="15" t="s">
        <v>8</v>
      </c>
      <c r="L8834" s="15" t="s">
        <v>8</v>
      </c>
      <c r="N8834" s="15" t="s">
        <v>8</v>
      </c>
      <c r="O8834" s="19" t="str">
        <f>HYPERLINK("http://yeinfo.com/family/I09011862.html", "ANTHONY EAMES &lt;2&gt; 1595 EN-1686 EN ID:09011862")</f>
        <v>ANTHONY EAMES &lt;2&gt; 1595 EN-1686 EN ID:09011862</v>
      </c>
      <c r="P8834" s="9"/>
      <c r="Q8834" s="9"/>
      <c r="R8834" s="9"/>
      <c r="S8834" s="9"/>
    </row>
    <row r="8835" spans="3:19" x14ac:dyDescent="0.35">
      <c r="C8835" s="15" t="s">
        <v>8</v>
      </c>
      <c r="H8835" s="15" t="s">
        <v>8</v>
      </c>
      <c r="I8835" s="15" t="s">
        <v>8</v>
      </c>
      <c r="K8835" s="15" t="s">
        <v>8</v>
      </c>
      <c r="L8835" s="15" t="s">
        <v>8</v>
      </c>
      <c r="N8835" s="8" t="s">
        <v>6</v>
      </c>
      <c r="O8835" s="8" t="s">
        <v>3</v>
      </c>
    </row>
    <row r="8836" spans="3:19" x14ac:dyDescent="0.35">
      <c r="C8836" s="15" t="s">
        <v>8</v>
      </c>
      <c r="H8836" s="15" t="s">
        <v>8</v>
      </c>
      <c r="I8836" s="15" t="s">
        <v>8</v>
      </c>
      <c r="K8836" s="15" t="s">
        <v>8</v>
      </c>
      <c r="L8836" s="15" t="s">
        <v>8</v>
      </c>
      <c r="N8836" s="22" t="str">
        <f>HYPERLINK("http://yeinfo.com/family/I09005931.html", "ANNA EAMES &lt;2&gt; 1597 EN-1692 MA ID:09005931")</f>
        <v>ANNA EAMES &lt;2&gt; 1597 EN-1692 MA ID:09005931</v>
      </c>
      <c r="O8836" s="13"/>
      <c r="P8836" s="13"/>
      <c r="Q8836" s="13"/>
      <c r="R8836" s="13"/>
    </row>
    <row r="8837" spans="3:19" x14ac:dyDescent="0.35">
      <c r="C8837" s="15" t="s">
        <v>8</v>
      </c>
      <c r="H8837" s="15" t="s">
        <v>8</v>
      </c>
      <c r="I8837" s="15" t="s">
        <v>8</v>
      </c>
      <c r="K8837" s="15" t="s">
        <v>8</v>
      </c>
      <c r="L8837" s="15" t="s">
        <v>8</v>
      </c>
      <c r="O8837" s="8" t="s">
        <v>6</v>
      </c>
    </row>
    <row r="8838" spans="3:19" x14ac:dyDescent="0.35">
      <c r="C8838" s="15" t="s">
        <v>8</v>
      </c>
      <c r="H8838" s="15" t="s">
        <v>8</v>
      </c>
      <c r="I8838" s="15" t="s">
        <v>8</v>
      </c>
      <c r="K8838" s="15" t="s">
        <v>8</v>
      </c>
      <c r="L8838" s="15" t="s">
        <v>8</v>
      </c>
      <c r="O8838" s="16" t="str">
        <f>HYPERLINK("http://yeinfo.com/family/I09011863.html", "MARGERY PIERCE &lt;2&gt; 1575 EN-1662  ID:09011863")</f>
        <v>MARGERY PIERCE &lt;2&gt; 1575 EN-1662  ID:09011863</v>
      </c>
      <c r="P8838" s="11"/>
      <c r="Q8838" s="11"/>
      <c r="R8838" s="11"/>
      <c r="S8838" s="11"/>
    </row>
    <row r="8839" spans="3:19" x14ac:dyDescent="0.35">
      <c r="C8839" s="15" t="s">
        <v>8</v>
      </c>
      <c r="H8839" s="15" t="s">
        <v>8</v>
      </c>
      <c r="I8839" s="15" t="s">
        <v>8</v>
      </c>
      <c r="K8839" s="8" t="s">
        <v>6</v>
      </c>
      <c r="L8839" s="15" t="s">
        <v>8</v>
      </c>
    </row>
    <row r="8840" spans="3:19" x14ac:dyDescent="0.35">
      <c r="C8840" s="15" t="s">
        <v>8</v>
      </c>
      <c r="H8840" s="15" t="s">
        <v>8</v>
      </c>
      <c r="I8840" s="15" t="s">
        <v>8</v>
      </c>
      <c r="K8840" s="16" t="str">
        <f>HYPERLINK("http://yeinfo.com/family/I09006103.html", "ELIZABETH ALLEN 1700 MA-1765 MA ID:09000763")</f>
        <v>ELIZABETH ALLEN 1700 MA-1765 MA ID:09000763</v>
      </c>
      <c r="L8840" s="11"/>
      <c r="M8840" s="11"/>
      <c r="N8840" s="11"/>
      <c r="O8840" s="11"/>
    </row>
    <row r="8841" spans="3:19" x14ac:dyDescent="0.35">
      <c r="C8841" s="15" t="s">
        <v>8</v>
      </c>
      <c r="H8841" s="15" t="s">
        <v>8</v>
      </c>
      <c r="I8841" s="15" t="s">
        <v>8</v>
      </c>
      <c r="L8841" s="15" t="s">
        <v>8</v>
      </c>
    </row>
    <row r="8842" spans="3:19" x14ac:dyDescent="0.35">
      <c r="C8842" s="15" t="s">
        <v>8</v>
      </c>
      <c r="H8842" s="15" t="s">
        <v>8</v>
      </c>
      <c r="I8842" s="15" t="s">
        <v>8</v>
      </c>
      <c r="L8842" s="15" t="s">
        <v>8</v>
      </c>
      <c r="O8842" s="19" t="str">
        <f>HYPERLINK("http://yeinfo.com/family/I09021788.html", "Mr. {_?_} RICE &lt;5&gt; 1560 EN-1594  ID:09021788")</f>
        <v>Mr. {_?_} RICE &lt;5&gt; 1560 EN-1594  ID:09021788</v>
      </c>
      <c r="P8842" s="9"/>
      <c r="Q8842" s="9"/>
      <c r="R8842" s="9"/>
      <c r="S8842" s="9"/>
    </row>
    <row r="8843" spans="3:19" x14ac:dyDescent="0.35">
      <c r="C8843" s="15" t="s">
        <v>8</v>
      </c>
      <c r="H8843" s="15" t="s">
        <v>8</v>
      </c>
      <c r="I8843" s="15" t="s">
        <v>8</v>
      </c>
      <c r="L8843" s="15" t="s">
        <v>8</v>
      </c>
      <c r="O8843" s="8" t="s">
        <v>3</v>
      </c>
    </row>
    <row r="8844" spans="3:19" x14ac:dyDescent="0.35">
      <c r="C8844" s="15" t="s">
        <v>8</v>
      </c>
      <c r="H8844" s="15" t="s">
        <v>8</v>
      </c>
      <c r="I8844" s="15" t="s">
        <v>8</v>
      </c>
      <c r="L8844" s="15" t="s">
        <v>8</v>
      </c>
      <c r="N8844" s="21" t="str">
        <f>HYPERLINK("http://yeinfo.com/family/I09002844.html", "EDMUND RICE &lt;4&gt; 1594 EN-1663 MA ID:09002844")</f>
        <v>EDMUND RICE &lt;4&gt; 1594 EN-1663 MA ID:09002844</v>
      </c>
      <c r="O8844" s="6"/>
      <c r="P8844" s="6"/>
      <c r="Q8844" s="6"/>
      <c r="R8844" s="6"/>
    </row>
    <row r="8845" spans="3:19" x14ac:dyDescent="0.35">
      <c r="C8845" s="15" t="s">
        <v>8</v>
      </c>
      <c r="H8845" s="15" t="s">
        <v>8</v>
      </c>
      <c r="I8845" s="15" t="s">
        <v>8</v>
      </c>
      <c r="L8845" s="15" t="s">
        <v>8</v>
      </c>
      <c r="N8845" s="8" t="s">
        <v>3</v>
      </c>
      <c r="O8845" s="8" t="s">
        <v>6</v>
      </c>
    </row>
    <row r="8846" spans="3:19" x14ac:dyDescent="0.35">
      <c r="C8846" s="15" t="s">
        <v>8</v>
      </c>
      <c r="H8846" s="15" t="s">
        <v>8</v>
      </c>
      <c r="I8846" s="15" t="s">
        <v>8</v>
      </c>
      <c r="L8846" s="15" t="s">
        <v>8</v>
      </c>
      <c r="N8846" s="15" t="s">
        <v>8</v>
      </c>
      <c r="O8846" s="20" t="str">
        <f>HYPERLINK("http://yeinfo.com/family/I09021789.html", "Mrs. {_?_} RICE &lt;5&gt; 1560 EN-1594  ID:09021789")</f>
        <v>Mrs. {_?_} RICE &lt;5&gt; 1560 EN-1594  ID:09021789</v>
      </c>
      <c r="P8846" s="17"/>
      <c r="Q8846" s="17"/>
      <c r="R8846" s="17"/>
      <c r="S8846" s="17"/>
    </row>
    <row r="8847" spans="3:19" x14ac:dyDescent="0.35">
      <c r="C8847" s="15" t="s">
        <v>8</v>
      </c>
      <c r="H8847" s="15" t="s">
        <v>8</v>
      </c>
      <c r="I8847" s="15" t="s">
        <v>8</v>
      </c>
      <c r="L8847" s="15" t="s">
        <v>8</v>
      </c>
      <c r="N8847" s="15" t="s">
        <v>8</v>
      </c>
    </row>
    <row r="8848" spans="3:19" x14ac:dyDescent="0.35">
      <c r="C8848" s="15" t="s">
        <v>8</v>
      </c>
      <c r="H8848" s="15" t="s">
        <v>8</v>
      </c>
      <c r="I8848" s="15" t="s">
        <v>8</v>
      </c>
      <c r="L8848" s="15" t="s">
        <v>8</v>
      </c>
      <c r="M8848" s="21" t="str">
        <f>HYPERLINK("http://yeinfo.com/family/I09002966.html", "HENRY RICE &lt;2&gt; 1618 EN-1711 MA ID:09002966")</f>
        <v>HENRY RICE &lt;2&gt; 1618 EN-1711 MA ID:09002966</v>
      </c>
      <c r="N8848" s="6"/>
      <c r="O8848" s="6"/>
      <c r="P8848" s="6"/>
      <c r="Q8848" s="6"/>
    </row>
    <row r="8849" spans="3:22" x14ac:dyDescent="0.35">
      <c r="C8849" s="15" t="s">
        <v>8</v>
      </c>
      <c r="H8849" s="15" t="s">
        <v>8</v>
      </c>
      <c r="I8849" s="15" t="s">
        <v>8</v>
      </c>
      <c r="L8849" s="15" t="s">
        <v>8</v>
      </c>
      <c r="M8849" s="8" t="s">
        <v>3</v>
      </c>
      <c r="N8849" s="15" t="s">
        <v>8</v>
      </c>
    </row>
    <row r="8850" spans="3:22" x14ac:dyDescent="0.35">
      <c r="C8850" s="15" t="s">
        <v>8</v>
      </c>
      <c r="H8850" s="15" t="s">
        <v>8</v>
      </c>
      <c r="I8850" s="15" t="s">
        <v>8</v>
      </c>
      <c r="L8850" s="15" t="s">
        <v>8</v>
      </c>
      <c r="M8850" s="15" t="s">
        <v>8</v>
      </c>
      <c r="N8850" s="15" t="s">
        <v>8</v>
      </c>
      <c r="Q8850" s="19" t="str">
        <f>HYPERLINK("http://yeinfo.com/family/I09065537.html", "WILLIAM\HENRY FROST &lt;5&gt; 1480 EN-1549 EN ID:09065537")</f>
        <v>WILLIAM\HENRY FROST &lt;5&gt; 1480 EN-1549 EN ID:09065537</v>
      </c>
      <c r="R8850" s="9"/>
      <c r="S8850" s="9"/>
      <c r="T8850" s="9"/>
      <c r="U8850" s="9"/>
      <c r="V8850" s="9"/>
    </row>
    <row r="8851" spans="3:22" x14ac:dyDescent="0.35">
      <c r="C8851" s="15" t="s">
        <v>8</v>
      </c>
      <c r="H8851" s="15" t="s">
        <v>8</v>
      </c>
      <c r="I8851" s="15" t="s">
        <v>8</v>
      </c>
      <c r="L8851" s="15" t="s">
        <v>8</v>
      </c>
      <c r="M8851" s="15" t="s">
        <v>8</v>
      </c>
      <c r="N8851" s="15" t="s">
        <v>8</v>
      </c>
      <c r="Q8851" s="8" t="s">
        <v>3</v>
      </c>
    </row>
    <row r="8852" spans="3:22" x14ac:dyDescent="0.35">
      <c r="C8852" s="15" t="s">
        <v>8</v>
      </c>
      <c r="H8852" s="15" t="s">
        <v>8</v>
      </c>
      <c r="I8852" s="15" t="s">
        <v>8</v>
      </c>
      <c r="L8852" s="15" t="s">
        <v>8</v>
      </c>
      <c r="M8852" s="15" t="s">
        <v>8</v>
      </c>
      <c r="N8852" s="15" t="s">
        <v>8</v>
      </c>
      <c r="P8852" s="19" t="str">
        <f>HYPERLINK("http://yeinfo.com/family/I09043580.html", "JOHN\THOMAS FROST &lt;5&gt; 1537 -1610  ID:09043580")</f>
        <v>JOHN\THOMAS FROST &lt;5&gt; 1537 -1610  ID:09043580</v>
      </c>
      <c r="Q8852" s="9"/>
      <c r="R8852" s="9"/>
      <c r="S8852" s="9"/>
      <c r="T8852" s="9"/>
      <c r="U8852" s="9"/>
    </row>
    <row r="8853" spans="3:22" x14ac:dyDescent="0.35">
      <c r="C8853" s="15" t="s">
        <v>8</v>
      </c>
      <c r="H8853" s="15" t="s">
        <v>8</v>
      </c>
      <c r="I8853" s="15" t="s">
        <v>8</v>
      </c>
      <c r="L8853" s="15" t="s">
        <v>8</v>
      </c>
      <c r="M8853" s="15" t="s">
        <v>8</v>
      </c>
      <c r="N8853" s="15" t="s">
        <v>8</v>
      </c>
      <c r="P8853" s="8" t="s">
        <v>3</v>
      </c>
      <c r="Q8853" s="8" t="s">
        <v>6</v>
      </c>
    </row>
    <row r="8854" spans="3:22" x14ac:dyDescent="0.35">
      <c r="C8854" s="15" t="s">
        <v>8</v>
      </c>
      <c r="H8854" s="15" t="s">
        <v>8</v>
      </c>
      <c r="I8854" s="15" t="s">
        <v>8</v>
      </c>
      <c r="L8854" s="15" t="s">
        <v>8</v>
      </c>
      <c r="M8854" s="15" t="s">
        <v>8</v>
      </c>
      <c r="N8854" s="15" t="s">
        <v>8</v>
      </c>
      <c r="P8854" s="15" t="s">
        <v>8</v>
      </c>
      <c r="Q8854" s="20" t="str">
        <f>HYPERLINK("http://yeinfo.com/family/I09065538.html", "PHILLIPA SCOTT &lt;5&gt; 1505 EN-1558 EN ID:09065538")</f>
        <v>PHILLIPA SCOTT &lt;5&gt; 1505 EN-1558 EN ID:09065538</v>
      </c>
      <c r="R8854" s="17"/>
      <c r="S8854" s="17"/>
      <c r="T8854" s="17"/>
      <c r="U8854" s="17"/>
    </row>
    <row r="8855" spans="3:22" x14ac:dyDescent="0.35">
      <c r="C8855" s="15" t="s">
        <v>8</v>
      </c>
      <c r="H8855" s="15" t="s">
        <v>8</v>
      </c>
      <c r="I8855" s="15" t="s">
        <v>8</v>
      </c>
      <c r="L8855" s="15" t="s">
        <v>8</v>
      </c>
      <c r="M8855" s="15" t="s">
        <v>8</v>
      </c>
      <c r="N8855" s="15" t="s">
        <v>8</v>
      </c>
      <c r="P8855" s="15" t="s">
        <v>8</v>
      </c>
    </row>
    <row r="8856" spans="3:22" x14ac:dyDescent="0.35">
      <c r="C8856" s="15" t="s">
        <v>8</v>
      </c>
      <c r="H8856" s="15" t="s">
        <v>8</v>
      </c>
      <c r="I8856" s="15" t="s">
        <v>8</v>
      </c>
      <c r="L8856" s="15" t="s">
        <v>8</v>
      </c>
      <c r="M8856" s="15" t="s">
        <v>8</v>
      </c>
      <c r="N8856" s="15" t="s">
        <v>8</v>
      </c>
      <c r="O8856" s="19" t="str">
        <f>HYPERLINK("http://yeinfo.com/family/I09021790.html", "EDWARD\EDMUND FROST &lt;5&gt; 1560 EN-1616 EN ID:09021790")</f>
        <v>EDWARD\EDMUND FROST &lt;5&gt; 1560 EN-1616 EN ID:09021790</v>
      </c>
      <c r="P8856" s="9"/>
      <c r="Q8856" s="9"/>
      <c r="R8856" s="9"/>
      <c r="S8856" s="9"/>
      <c r="T8856" s="9"/>
    </row>
    <row r="8857" spans="3:22" x14ac:dyDescent="0.35">
      <c r="C8857" s="15" t="s">
        <v>8</v>
      </c>
      <c r="H8857" s="15" t="s">
        <v>8</v>
      </c>
      <c r="I8857" s="15" t="s">
        <v>8</v>
      </c>
      <c r="L8857" s="15" t="s">
        <v>8</v>
      </c>
      <c r="M8857" s="15" t="s">
        <v>8</v>
      </c>
      <c r="N8857" s="15" t="s">
        <v>8</v>
      </c>
      <c r="O8857" s="8" t="s">
        <v>3</v>
      </c>
      <c r="P8857" s="15" t="s">
        <v>8</v>
      </c>
    </row>
    <row r="8858" spans="3:22" x14ac:dyDescent="0.35">
      <c r="C8858" s="15" t="s">
        <v>8</v>
      </c>
      <c r="H8858" s="15" t="s">
        <v>8</v>
      </c>
      <c r="I8858" s="15" t="s">
        <v>8</v>
      </c>
      <c r="L8858" s="15" t="s">
        <v>8</v>
      </c>
      <c r="M8858" s="15" t="s">
        <v>8</v>
      </c>
      <c r="N8858" s="15" t="s">
        <v>8</v>
      </c>
      <c r="O8858" s="15" t="s">
        <v>8</v>
      </c>
      <c r="P8858" s="15" t="s">
        <v>8</v>
      </c>
      <c r="Q8858" s="19" t="str">
        <f>HYPERLINK("http://yeinfo.com/family/I09065539.html", "RICHARD SCOTT &lt;5&gt; 1505 EN-1565 EN ID:09065539")</f>
        <v>RICHARD SCOTT &lt;5&gt; 1505 EN-1565 EN ID:09065539</v>
      </c>
      <c r="R8858" s="9"/>
      <c r="S8858" s="9"/>
      <c r="T8858" s="9"/>
      <c r="U8858" s="9"/>
    </row>
    <row r="8859" spans="3:22" x14ac:dyDescent="0.35">
      <c r="C8859" s="15" t="s">
        <v>8</v>
      </c>
      <c r="H8859" s="15" t="s">
        <v>8</v>
      </c>
      <c r="I8859" s="15" t="s">
        <v>8</v>
      </c>
      <c r="L8859" s="15" t="s">
        <v>8</v>
      </c>
      <c r="M8859" s="15" t="s">
        <v>8</v>
      </c>
      <c r="N8859" s="15" t="s">
        <v>8</v>
      </c>
      <c r="O8859" s="15" t="s">
        <v>8</v>
      </c>
      <c r="P8859" s="8" t="s">
        <v>6</v>
      </c>
      <c r="Q8859" s="8" t="s">
        <v>3</v>
      </c>
    </row>
    <row r="8860" spans="3:22" x14ac:dyDescent="0.35">
      <c r="C8860" s="15" t="s">
        <v>8</v>
      </c>
      <c r="H8860" s="15" t="s">
        <v>8</v>
      </c>
      <c r="I8860" s="15" t="s">
        <v>8</v>
      </c>
      <c r="L8860" s="15" t="s">
        <v>8</v>
      </c>
      <c r="M8860" s="15" t="s">
        <v>8</v>
      </c>
      <c r="N8860" s="15" t="s">
        <v>8</v>
      </c>
      <c r="O8860" s="15" t="s">
        <v>8</v>
      </c>
      <c r="P8860" s="20" t="str">
        <f>HYPERLINK("http://yeinfo.com/family/I09043581.html", "ANN SCOTT &lt;5&gt; 1540 -1588  ID:09043581")</f>
        <v>ANN SCOTT &lt;5&gt; 1540 -1588  ID:09043581</v>
      </c>
      <c r="Q8860" s="17"/>
      <c r="R8860" s="17"/>
      <c r="S8860" s="17"/>
      <c r="T8860" s="17"/>
    </row>
    <row r="8861" spans="3:22" x14ac:dyDescent="0.35">
      <c r="C8861" s="15" t="s">
        <v>8</v>
      </c>
      <c r="H8861" s="15" t="s">
        <v>8</v>
      </c>
      <c r="I8861" s="15" t="s">
        <v>8</v>
      </c>
      <c r="L8861" s="15" t="s">
        <v>8</v>
      </c>
      <c r="M8861" s="15" t="s">
        <v>8</v>
      </c>
      <c r="N8861" s="15" t="s">
        <v>8</v>
      </c>
      <c r="O8861" s="15" t="s">
        <v>8</v>
      </c>
      <c r="Q8861" s="8" t="s">
        <v>6</v>
      </c>
    </row>
    <row r="8862" spans="3:22" x14ac:dyDescent="0.35">
      <c r="C8862" s="15" t="s">
        <v>8</v>
      </c>
      <c r="H8862" s="15" t="s">
        <v>8</v>
      </c>
      <c r="I8862" s="15" t="s">
        <v>8</v>
      </c>
      <c r="L8862" s="15" t="s">
        <v>8</v>
      </c>
      <c r="M8862" s="15" t="s">
        <v>8</v>
      </c>
      <c r="N8862" s="15" t="s">
        <v>8</v>
      </c>
      <c r="O8862" s="15" t="s">
        <v>8</v>
      </c>
      <c r="Q8862" s="20" t="str">
        <f>HYPERLINK("http://yeinfo.com/family/I09065540.html", "Mrs. JOANNA SCOTT &lt;5&gt; 1505 EN-1556 EN ID:09065540")</f>
        <v>Mrs. JOANNA SCOTT &lt;5&gt; 1505 EN-1556 EN ID:09065540</v>
      </c>
      <c r="R8862" s="17"/>
      <c r="S8862" s="17"/>
      <c r="T8862" s="17"/>
      <c r="U8862" s="17"/>
    </row>
    <row r="8863" spans="3:22" x14ac:dyDescent="0.35">
      <c r="C8863" s="15" t="s">
        <v>8</v>
      </c>
      <c r="H8863" s="15" t="s">
        <v>8</v>
      </c>
      <c r="I8863" s="15" t="s">
        <v>8</v>
      </c>
      <c r="L8863" s="15" t="s">
        <v>8</v>
      </c>
      <c r="M8863" s="15" t="s">
        <v>8</v>
      </c>
      <c r="N8863" s="8" t="s">
        <v>6</v>
      </c>
      <c r="O8863" s="15" t="s">
        <v>8</v>
      </c>
    </row>
    <row r="8864" spans="3:22" x14ac:dyDescent="0.35">
      <c r="C8864" s="15" t="s">
        <v>8</v>
      </c>
      <c r="H8864" s="15" t="s">
        <v>8</v>
      </c>
      <c r="I8864" s="15" t="s">
        <v>8</v>
      </c>
      <c r="L8864" s="15" t="s">
        <v>8</v>
      </c>
      <c r="M8864" s="15" t="s">
        <v>8</v>
      </c>
      <c r="N8864" s="16" t="str">
        <f>HYPERLINK("http://yeinfo.com/family/I09002845.html", "THOMAZINE\ESTHER FROST &lt;4&gt; 1600 -1654  ID:09002845")</f>
        <v>THOMAZINE\ESTHER FROST &lt;4&gt; 1600 -1654  ID:09002845</v>
      </c>
      <c r="O8864" s="11"/>
      <c r="P8864" s="11"/>
      <c r="Q8864" s="11"/>
      <c r="R8864" s="11"/>
      <c r="S8864" s="11"/>
    </row>
    <row r="8865" spans="3:23" x14ac:dyDescent="0.35">
      <c r="C8865" s="15" t="s">
        <v>8</v>
      </c>
      <c r="H8865" s="15" t="s">
        <v>8</v>
      </c>
      <c r="I8865" s="15" t="s">
        <v>8</v>
      </c>
      <c r="L8865" s="15" t="s">
        <v>8</v>
      </c>
      <c r="M8865" s="15" t="s">
        <v>8</v>
      </c>
      <c r="O8865" s="15" t="s">
        <v>8</v>
      </c>
    </row>
    <row r="8866" spans="3:23" x14ac:dyDescent="0.35">
      <c r="C8866" s="15" t="s">
        <v>8</v>
      </c>
      <c r="H8866" s="15" t="s">
        <v>8</v>
      </c>
      <c r="I8866" s="15" t="s">
        <v>8</v>
      </c>
      <c r="L8866" s="15" t="s">
        <v>8</v>
      </c>
      <c r="M8866" s="15" t="s">
        <v>8</v>
      </c>
      <c r="O8866" s="15" t="s">
        <v>8</v>
      </c>
      <c r="P8866" s="19" t="str">
        <f>HYPERLINK("http://yeinfo.com/family/I09043582.html", "JOHN BELGRAVE &lt;5&gt; 1535 EN-1591 EN ID:09043582")</f>
        <v>JOHN BELGRAVE &lt;5&gt; 1535 EN-1591 EN ID:09043582</v>
      </c>
      <c r="Q8866" s="9"/>
      <c r="R8866" s="9"/>
      <c r="S8866" s="9"/>
      <c r="T8866" s="9"/>
    </row>
    <row r="8867" spans="3:23" x14ac:dyDescent="0.35">
      <c r="C8867" s="15" t="s">
        <v>8</v>
      </c>
      <c r="H8867" s="15" t="s">
        <v>8</v>
      </c>
      <c r="I8867" s="15" t="s">
        <v>8</v>
      </c>
      <c r="L8867" s="15" t="s">
        <v>8</v>
      </c>
      <c r="M8867" s="15" t="s">
        <v>8</v>
      </c>
      <c r="O8867" s="8" t="s">
        <v>6</v>
      </c>
      <c r="P8867" s="8" t="s">
        <v>3</v>
      </c>
    </row>
    <row r="8868" spans="3:23" x14ac:dyDescent="0.35">
      <c r="C8868" s="15" t="s">
        <v>8</v>
      </c>
      <c r="H8868" s="15" t="s">
        <v>8</v>
      </c>
      <c r="I8868" s="15" t="s">
        <v>8</v>
      </c>
      <c r="L8868" s="15" t="s">
        <v>8</v>
      </c>
      <c r="M8868" s="15" t="s">
        <v>8</v>
      </c>
      <c r="O8868" s="16" t="str">
        <f>HYPERLINK("http://yeinfo.com/family/I09021791.html", "THOMASINE BELGRAVE &lt;5&gt; 1562 -1653 EN ID:09021791")</f>
        <v>THOMASINE BELGRAVE &lt;5&gt; 1562 -1653 EN ID:09021791</v>
      </c>
      <c r="P8868" s="11"/>
      <c r="Q8868" s="11"/>
      <c r="R8868" s="11"/>
      <c r="S8868" s="11"/>
    </row>
    <row r="8869" spans="3:23" x14ac:dyDescent="0.35">
      <c r="C8869" s="15" t="s">
        <v>8</v>
      </c>
      <c r="H8869" s="15" t="s">
        <v>8</v>
      </c>
      <c r="I8869" s="15" t="s">
        <v>8</v>
      </c>
      <c r="L8869" s="15" t="s">
        <v>8</v>
      </c>
      <c r="M8869" s="15" t="s">
        <v>8</v>
      </c>
      <c r="P8869" s="15" t="s">
        <v>8</v>
      </c>
    </row>
    <row r="8870" spans="3:23" x14ac:dyDescent="0.35">
      <c r="C8870" s="15" t="s">
        <v>8</v>
      </c>
      <c r="H8870" s="15" t="s">
        <v>8</v>
      </c>
      <c r="I8870" s="15" t="s">
        <v>8</v>
      </c>
      <c r="L8870" s="15" t="s">
        <v>8</v>
      </c>
      <c r="M8870" s="15" t="s">
        <v>8</v>
      </c>
      <c r="P8870" s="15" t="s">
        <v>8</v>
      </c>
      <c r="S8870" s="19" t="str">
        <f>HYPERLINK("http://yeinfo.com/family/I09065805.html", "JOHN STRUTT &lt;5&gt; 1450 EN-1516 EN ID:09065805")</f>
        <v>JOHN STRUTT &lt;5&gt; 1450 EN-1516 EN ID:09065805</v>
      </c>
      <c r="T8870" s="9"/>
      <c r="U8870" s="9"/>
      <c r="V8870" s="9"/>
      <c r="W8870" s="9"/>
    </row>
    <row r="8871" spans="3:23" x14ac:dyDescent="0.35">
      <c r="C8871" s="15" t="s">
        <v>8</v>
      </c>
      <c r="H8871" s="15" t="s">
        <v>8</v>
      </c>
      <c r="I8871" s="15" t="s">
        <v>8</v>
      </c>
      <c r="L8871" s="15" t="s">
        <v>8</v>
      </c>
      <c r="M8871" s="15" t="s">
        <v>8</v>
      </c>
      <c r="P8871" s="15" t="s">
        <v>8</v>
      </c>
      <c r="S8871" s="8" t="s">
        <v>3</v>
      </c>
    </row>
    <row r="8872" spans="3:23" x14ac:dyDescent="0.35">
      <c r="C8872" s="15" t="s">
        <v>8</v>
      </c>
      <c r="H8872" s="15" t="s">
        <v>8</v>
      </c>
      <c r="I8872" s="15" t="s">
        <v>8</v>
      </c>
      <c r="L8872" s="15" t="s">
        <v>8</v>
      </c>
      <c r="M8872" s="15" t="s">
        <v>8</v>
      </c>
      <c r="P8872" s="15" t="s">
        <v>8</v>
      </c>
      <c r="R8872" s="19" t="str">
        <f>HYPERLINK("http://yeinfo.com/family/I09065679.html", "THOMAS STRUTT &lt;5&gt; 1475 EN-1548 EN ID:09065679")</f>
        <v>THOMAS STRUTT &lt;5&gt; 1475 EN-1548 EN ID:09065679</v>
      </c>
      <c r="S8872" s="9"/>
      <c r="T8872" s="9"/>
      <c r="U8872" s="9"/>
      <c r="V8872" s="9"/>
    </row>
    <row r="8873" spans="3:23" x14ac:dyDescent="0.35">
      <c r="C8873" s="15" t="s">
        <v>8</v>
      </c>
      <c r="H8873" s="15" t="s">
        <v>8</v>
      </c>
      <c r="I8873" s="15" t="s">
        <v>8</v>
      </c>
      <c r="L8873" s="15" t="s">
        <v>8</v>
      </c>
      <c r="M8873" s="15" t="s">
        <v>8</v>
      </c>
      <c r="P8873" s="15" t="s">
        <v>8</v>
      </c>
      <c r="R8873" s="8" t="s">
        <v>3</v>
      </c>
      <c r="S8873" s="8" t="s">
        <v>6</v>
      </c>
    </row>
    <row r="8874" spans="3:23" x14ac:dyDescent="0.35">
      <c r="C8874" s="15" t="s">
        <v>8</v>
      </c>
      <c r="H8874" s="15" t="s">
        <v>8</v>
      </c>
      <c r="I8874" s="15" t="s">
        <v>8</v>
      </c>
      <c r="L8874" s="15" t="s">
        <v>8</v>
      </c>
      <c r="M8874" s="15" t="s">
        <v>8</v>
      </c>
      <c r="P8874" s="15" t="s">
        <v>8</v>
      </c>
      <c r="R8874" s="15" t="s">
        <v>8</v>
      </c>
      <c r="S8874" s="20" t="str">
        <f>HYPERLINK("http://yeinfo.com/family/I09065806.html", "ISABELLE ELIZABETH GOLDING &lt;5&gt; 1450 EN-1526 EN ID:09065806")</f>
        <v>ISABELLE ELIZABETH GOLDING &lt;5&gt; 1450 EN-1526 EN ID:09065806</v>
      </c>
      <c r="T8874" s="17"/>
      <c r="U8874" s="17"/>
      <c r="V8874" s="17"/>
      <c r="W8874" s="17"/>
    </row>
    <row r="8875" spans="3:23" x14ac:dyDescent="0.35">
      <c r="C8875" s="15" t="s">
        <v>8</v>
      </c>
      <c r="H8875" s="15" t="s">
        <v>8</v>
      </c>
      <c r="I8875" s="15" t="s">
        <v>8</v>
      </c>
      <c r="L8875" s="15" t="s">
        <v>8</v>
      </c>
      <c r="M8875" s="15" t="s">
        <v>8</v>
      </c>
      <c r="P8875" s="15" t="s">
        <v>8</v>
      </c>
      <c r="R8875" s="15" t="s">
        <v>8</v>
      </c>
    </row>
    <row r="8876" spans="3:23" x14ac:dyDescent="0.35">
      <c r="C8876" s="15" t="s">
        <v>8</v>
      </c>
      <c r="H8876" s="15" t="s">
        <v>8</v>
      </c>
      <c r="I8876" s="15" t="s">
        <v>8</v>
      </c>
      <c r="L8876" s="15" t="s">
        <v>8</v>
      </c>
      <c r="M8876" s="15" t="s">
        <v>8</v>
      </c>
      <c r="P8876" s="15" t="s">
        <v>8</v>
      </c>
      <c r="Q8876" s="19" t="str">
        <f>HYPERLINK("http://yeinfo.com/family/I09065541.html", "JOHN STRUTT &lt;5&gt; 1502 EN-1591 EN ID:09065541")</f>
        <v>JOHN STRUTT &lt;5&gt; 1502 EN-1591 EN ID:09065541</v>
      </c>
      <c r="R8876" s="9"/>
      <c r="S8876" s="9"/>
      <c r="T8876" s="9"/>
      <c r="U8876" s="9"/>
    </row>
    <row r="8877" spans="3:23" x14ac:dyDescent="0.35">
      <c r="C8877" s="15" t="s">
        <v>8</v>
      </c>
      <c r="H8877" s="15" t="s">
        <v>8</v>
      </c>
      <c r="I8877" s="15" t="s">
        <v>8</v>
      </c>
      <c r="L8877" s="15" t="s">
        <v>8</v>
      </c>
      <c r="M8877" s="15" t="s">
        <v>8</v>
      </c>
      <c r="P8877" s="15" t="s">
        <v>8</v>
      </c>
      <c r="Q8877" s="8" t="s">
        <v>3</v>
      </c>
      <c r="R8877" s="8" t="s">
        <v>6</v>
      </c>
    </row>
    <row r="8878" spans="3:23" x14ac:dyDescent="0.35">
      <c r="C8878" s="15" t="s">
        <v>8</v>
      </c>
      <c r="H8878" s="15" t="s">
        <v>8</v>
      </c>
      <c r="I8878" s="15" t="s">
        <v>8</v>
      </c>
      <c r="L8878" s="15" t="s">
        <v>8</v>
      </c>
      <c r="M8878" s="15" t="s">
        <v>8</v>
      </c>
      <c r="P8878" s="15" t="s">
        <v>8</v>
      </c>
      <c r="Q8878" s="15" t="s">
        <v>8</v>
      </c>
      <c r="R8878" s="20" t="str">
        <f>HYPERLINK("http://yeinfo.com/family/I09065680.html", "Mrs. JOHANE STRUTT &lt;5&gt; 1480 EN-1510 EN ID:09065680")</f>
        <v>Mrs. JOHANE STRUTT &lt;5&gt; 1480 EN-1510 EN ID:09065680</v>
      </c>
      <c r="S8878" s="17"/>
      <c r="T8878" s="17"/>
      <c r="U8878" s="17"/>
      <c r="V8878" s="17"/>
    </row>
    <row r="8879" spans="3:23" x14ac:dyDescent="0.35">
      <c r="C8879" s="15" t="s">
        <v>8</v>
      </c>
      <c r="H8879" s="15" t="s">
        <v>8</v>
      </c>
      <c r="I8879" s="15" t="s">
        <v>8</v>
      </c>
      <c r="L8879" s="15" t="s">
        <v>8</v>
      </c>
      <c r="M8879" s="15" t="s">
        <v>8</v>
      </c>
      <c r="P8879" s="8" t="s">
        <v>6</v>
      </c>
      <c r="Q8879" s="15" t="s">
        <v>8</v>
      </c>
    </row>
    <row r="8880" spans="3:23" x14ac:dyDescent="0.35">
      <c r="C8880" s="15" t="s">
        <v>8</v>
      </c>
      <c r="H8880" s="15" t="s">
        <v>8</v>
      </c>
      <c r="I8880" s="15" t="s">
        <v>8</v>
      </c>
      <c r="L8880" s="15" t="s">
        <v>8</v>
      </c>
      <c r="M8880" s="15" t="s">
        <v>8</v>
      </c>
      <c r="P8880" s="20" t="str">
        <f>HYPERLINK("http://yeinfo.com/family/I09043583.html", "JOANNA STRUTT &lt;5&gt; 1538 EN-1577 EN ID:09043583")</f>
        <v>JOANNA STRUTT &lt;5&gt; 1538 EN-1577 EN ID:09043583</v>
      </c>
      <c r="Q8880" s="17"/>
      <c r="R8880" s="17"/>
      <c r="S8880" s="17"/>
      <c r="T8880" s="17"/>
    </row>
    <row r="8881" spans="3:22" x14ac:dyDescent="0.35">
      <c r="C8881" s="15" t="s">
        <v>8</v>
      </c>
      <c r="H8881" s="15" t="s">
        <v>8</v>
      </c>
      <c r="I8881" s="15" t="s">
        <v>8</v>
      </c>
      <c r="L8881" s="15" t="s">
        <v>8</v>
      </c>
      <c r="M8881" s="15" t="s">
        <v>8</v>
      </c>
      <c r="Q8881" s="8" t="s">
        <v>6</v>
      </c>
    </row>
    <row r="8882" spans="3:22" x14ac:dyDescent="0.35">
      <c r="C8882" s="15" t="s">
        <v>8</v>
      </c>
      <c r="H8882" s="15" t="s">
        <v>8</v>
      </c>
      <c r="I8882" s="15" t="s">
        <v>8</v>
      </c>
      <c r="L8882" s="15" t="s">
        <v>8</v>
      </c>
      <c r="M8882" s="15" t="s">
        <v>8</v>
      </c>
      <c r="Q8882" s="20" t="str">
        <f>HYPERLINK("http://yeinfo.com/family/I09065542.html", "CATHERINE\JOHANNA SCOTT &lt;5&gt; 1510 EN-1578 EN ID:09065542")</f>
        <v>CATHERINE\JOHANNA SCOTT &lt;5&gt; 1510 EN-1578 EN ID:09065542</v>
      </c>
      <c r="R8882" s="17"/>
      <c r="S8882" s="17"/>
      <c r="T8882" s="17"/>
      <c r="U8882" s="17"/>
      <c r="V8882" s="17"/>
    </row>
    <row r="8883" spans="3:22" x14ac:dyDescent="0.35">
      <c r="C8883" s="15" t="s">
        <v>8</v>
      </c>
      <c r="H8883" s="15" t="s">
        <v>8</v>
      </c>
      <c r="I8883" s="15" t="s">
        <v>8</v>
      </c>
      <c r="L8883" s="8" t="s">
        <v>6</v>
      </c>
      <c r="M8883" s="15" t="s">
        <v>8</v>
      </c>
    </row>
    <row r="8884" spans="3:22" x14ac:dyDescent="0.35">
      <c r="C8884" s="15" t="s">
        <v>8</v>
      </c>
      <c r="H8884" s="15" t="s">
        <v>8</v>
      </c>
      <c r="I8884" s="15" t="s">
        <v>8</v>
      </c>
      <c r="L8884" s="16" t="str">
        <f>HYPERLINK("http://yeinfo.com/family/I09001483.html", "MARY\MERCY RICE &lt;2&gt; 1670 MA-1727 MA ID:09001483")</f>
        <v>MARY\MERCY RICE &lt;2&gt; 1670 MA-1727 MA ID:09001483</v>
      </c>
      <c r="M8884" s="11"/>
      <c r="N8884" s="11"/>
      <c r="O8884" s="11"/>
      <c r="P8884" s="11"/>
      <c r="Q8884" s="11"/>
    </row>
    <row r="8885" spans="3:22" x14ac:dyDescent="0.35">
      <c r="C8885" s="15" t="s">
        <v>8</v>
      </c>
      <c r="H8885" s="15" t="s">
        <v>8</v>
      </c>
      <c r="I8885" s="15" t="s">
        <v>8</v>
      </c>
      <c r="M8885" s="15" t="s">
        <v>8</v>
      </c>
    </row>
    <row r="8886" spans="3:22" x14ac:dyDescent="0.35">
      <c r="C8886" s="15" t="s">
        <v>8</v>
      </c>
      <c r="H8886" s="15" t="s">
        <v>8</v>
      </c>
      <c r="I8886" s="15" t="s">
        <v>8</v>
      </c>
      <c r="M8886" s="15" t="s">
        <v>8</v>
      </c>
      <c r="N8886" s="21" t="str">
        <f>HYPERLINK("http://yeinfo.com/family/I09005446.html", "JOHN MOORE &lt;5&gt; 1598 EN-1674 MA ID:09005446")</f>
        <v>JOHN MOORE &lt;5&gt; 1598 EN-1674 MA ID:09005446</v>
      </c>
      <c r="O8886" s="6"/>
      <c r="P8886" s="6"/>
      <c r="Q8886" s="6"/>
      <c r="R8886" s="6"/>
    </row>
    <row r="8887" spans="3:22" x14ac:dyDescent="0.35">
      <c r="C8887" s="15" t="s">
        <v>8</v>
      </c>
      <c r="H8887" s="15" t="s">
        <v>8</v>
      </c>
      <c r="I8887" s="15" t="s">
        <v>8</v>
      </c>
      <c r="M8887" s="8" t="s">
        <v>6</v>
      </c>
      <c r="N8887" s="8" t="s">
        <v>3</v>
      </c>
    </row>
    <row r="8888" spans="3:22" x14ac:dyDescent="0.35">
      <c r="C8888" s="15" t="s">
        <v>8</v>
      </c>
      <c r="H8888" s="15" t="s">
        <v>8</v>
      </c>
      <c r="I8888" s="15" t="s">
        <v>8</v>
      </c>
      <c r="M8888" s="16" t="str">
        <f>HYPERLINK("http://yeinfo.com/family/I09002967.html", "ELIZABETH\HANNAH MOORE &lt;2&gt; 1626 -1705  ID:09002967")</f>
        <v>ELIZABETH\HANNAH MOORE &lt;2&gt; 1626 -1705  ID:09002967</v>
      </c>
      <c r="N8888" s="11"/>
      <c r="O8888" s="11"/>
      <c r="P8888" s="11"/>
      <c r="Q8888" s="11"/>
      <c r="R8888" s="11"/>
    </row>
    <row r="8889" spans="3:22" x14ac:dyDescent="0.35">
      <c r="C8889" s="15" t="s">
        <v>8</v>
      </c>
      <c r="H8889" s="15" t="s">
        <v>8</v>
      </c>
      <c r="I8889" s="15" t="s">
        <v>8</v>
      </c>
      <c r="N8889" s="8" t="s">
        <v>6</v>
      </c>
    </row>
    <row r="8890" spans="3:22" x14ac:dyDescent="0.35">
      <c r="C8890" s="15" t="s">
        <v>8</v>
      </c>
      <c r="H8890" s="15" t="s">
        <v>8</v>
      </c>
      <c r="I8890" s="15" t="s">
        <v>8</v>
      </c>
      <c r="N8890" s="20" t="str">
        <f>HYPERLINK("http://yeinfo.com/family/I09002817.html", "Mrs. ELIZABETH MOORE &lt;4&gt; 1600 EN-1633 EN ID:09002817")</f>
        <v>Mrs. ELIZABETH MOORE &lt;4&gt; 1600 EN-1633 EN ID:09002817</v>
      </c>
      <c r="O8890" s="17"/>
      <c r="P8890" s="17"/>
      <c r="Q8890" s="17"/>
      <c r="R8890" s="17"/>
    </row>
    <row r="8891" spans="3:22" x14ac:dyDescent="0.35">
      <c r="C8891" s="15" t="s">
        <v>8</v>
      </c>
      <c r="H8891" s="8" t="s">
        <v>6</v>
      </c>
      <c r="I8891" s="15" t="s">
        <v>8</v>
      </c>
    </row>
    <row r="8892" spans="3:22" x14ac:dyDescent="0.35">
      <c r="C8892" s="15" t="s">
        <v>8</v>
      </c>
      <c r="H8892" s="16" t="str">
        <f>HYPERLINK("http://yeinfo.com/family/I09000759.html", "PHILENA\PHILINDA PERRY 1797 VT-1865 VT ID:09000095")</f>
        <v>PHILENA\PHILINDA PERRY 1797 VT-1865 VT ID:09000095</v>
      </c>
      <c r="I8892" s="11"/>
      <c r="J8892" s="11"/>
      <c r="K8892" s="11"/>
      <c r="L8892" s="11"/>
      <c r="M8892" s="11"/>
    </row>
    <row r="8893" spans="3:22" x14ac:dyDescent="0.35">
      <c r="C8893" s="15" t="s">
        <v>8</v>
      </c>
      <c r="I8893" s="15" t="s">
        <v>8</v>
      </c>
    </row>
    <row r="8894" spans="3:22" x14ac:dyDescent="0.35">
      <c r="C8894" s="15" t="s">
        <v>8</v>
      </c>
      <c r="I8894" s="15" t="s">
        <v>8</v>
      </c>
      <c r="P8894" s="19" t="str">
        <f>HYPERLINK("http://yeinfo.com/family/I09012224.html", "THOMAS GOODNOW 1565 EN-1618 EN ID:09024448")</f>
        <v>THOMAS GOODNOW 1565 EN-1618 EN ID:09024448</v>
      </c>
      <c r="Q8894" s="9"/>
      <c r="R8894" s="9"/>
      <c r="S8894" s="9"/>
      <c r="T8894" s="9"/>
    </row>
    <row r="8895" spans="3:22" x14ac:dyDescent="0.35">
      <c r="C8895" s="15" t="s">
        <v>8</v>
      </c>
      <c r="I8895" s="15" t="s">
        <v>8</v>
      </c>
      <c r="P8895" s="8" t="s">
        <v>3</v>
      </c>
    </row>
    <row r="8896" spans="3:22" x14ac:dyDescent="0.35">
      <c r="C8896" s="15" t="s">
        <v>8</v>
      </c>
      <c r="I8896" s="15" t="s">
        <v>8</v>
      </c>
      <c r="O8896" s="21" t="str">
        <f>HYPERLINK("http://yeinfo.com/family/I09006112.html", "EDMUND GOODNOW 1611 EN-1688 MA ID:09012224")</f>
        <v>EDMUND GOODNOW 1611 EN-1688 MA ID:09012224</v>
      </c>
      <c r="P8896" s="6"/>
      <c r="Q8896" s="6"/>
      <c r="R8896" s="6"/>
      <c r="S8896" s="6"/>
    </row>
    <row r="8897" spans="3:27" x14ac:dyDescent="0.35">
      <c r="C8897" s="15" t="s">
        <v>8</v>
      </c>
      <c r="I8897" s="15" t="s">
        <v>8</v>
      </c>
      <c r="O8897" s="8" t="s">
        <v>3</v>
      </c>
      <c r="P8897" s="8" t="s">
        <v>6</v>
      </c>
    </row>
    <row r="8898" spans="3:27" x14ac:dyDescent="0.35">
      <c r="C8898" s="15" t="s">
        <v>8</v>
      </c>
      <c r="I8898" s="15" t="s">
        <v>8</v>
      </c>
      <c r="O8898" s="15" t="s">
        <v>8</v>
      </c>
      <c r="P8898" s="16" t="str">
        <f>HYPERLINK("http://yeinfo.com/family/I09024448.html", "URSULA HAYNES 1565 EN-1634  ID:09024449")</f>
        <v>URSULA HAYNES 1565 EN-1634  ID:09024449</v>
      </c>
      <c r="Q8898" s="11"/>
      <c r="R8898" s="11"/>
      <c r="S8898" s="11"/>
      <c r="T8898" s="11"/>
    </row>
    <row r="8899" spans="3:27" x14ac:dyDescent="0.35">
      <c r="C8899" s="15" t="s">
        <v>8</v>
      </c>
      <c r="I8899" s="15" t="s">
        <v>8</v>
      </c>
      <c r="O8899" s="15" t="s">
        <v>8</v>
      </c>
    </row>
    <row r="8900" spans="3:27" x14ac:dyDescent="0.35">
      <c r="C8900" s="15" t="s">
        <v>8</v>
      </c>
      <c r="I8900" s="15" t="s">
        <v>8</v>
      </c>
      <c r="N8900" s="21" t="str">
        <f>HYPERLINK("http://yeinfo.com/family/I09003056.html", "JOHN GOODNOW 1634 EN-1721 MA ID:09006112")</f>
        <v>JOHN GOODNOW 1634 EN-1721 MA ID:09006112</v>
      </c>
      <c r="O8900" s="6"/>
      <c r="P8900" s="6"/>
      <c r="Q8900" s="6"/>
      <c r="R8900" s="6"/>
    </row>
    <row r="8901" spans="3:27" x14ac:dyDescent="0.35">
      <c r="C8901" s="15" t="s">
        <v>8</v>
      </c>
      <c r="I8901" s="15" t="s">
        <v>8</v>
      </c>
      <c r="N8901" s="8" t="s">
        <v>3</v>
      </c>
      <c r="O8901" s="8" t="s">
        <v>6</v>
      </c>
    </row>
    <row r="8902" spans="3:27" x14ac:dyDescent="0.35">
      <c r="C8902" s="15" t="s">
        <v>8</v>
      </c>
      <c r="I8902" s="15" t="s">
        <v>8</v>
      </c>
      <c r="N8902" s="15" t="s">
        <v>8</v>
      </c>
      <c r="O8902" s="22" t="str">
        <f>HYPERLINK("http://yeinfo.com/family/I09024449.html", "ANNE HANNAH BARRY 1611 EN-1676 MA ID:09012225")</f>
        <v>ANNE HANNAH BARRY 1611 EN-1676 MA ID:09012225</v>
      </c>
      <c r="P8902" s="13"/>
      <c r="Q8902" s="13"/>
      <c r="R8902" s="13"/>
      <c r="S8902" s="13"/>
    </row>
    <row r="8903" spans="3:27" x14ac:dyDescent="0.35">
      <c r="C8903" s="15" t="s">
        <v>8</v>
      </c>
      <c r="I8903" s="15" t="s">
        <v>8</v>
      </c>
      <c r="N8903" s="15" t="s">
        <v>8</v>
      </c>
    </row>
    <row r="8904" spans="3:27" x14ac:dyDescent="0.35">
      <c r="C8904" s="15" t="s">
        <v>8</v>
      </c>
      <c r="I8904" s="15" t="s">
        <v>8</v>
      </c>
      <c r="M8904" s="5" t="str">
        <f>HYPERLINK("http://yeinfo.com/family/I09001528.html", "JOHN GOODNOW 1670 MA-1730 MA ID:09003056")</f>
        <v>JOHN GOODNOW 1670 MA-1730 MA ID:09003056</v>
      </c>
      <c r="N8904" s="3"/>
      <c r="O8904" s="3"/>
      <c r="P8904" s="3"/>
      <c r="Q8904" s="3"/>
    </row>
    <row r="8905" spans="3:27" x14ac:dyDescent="0.35">
      <c r="C8905" s="15" t="s">
        <v>8</v>
      </c>
      <c r="I8905" s="15" t="s">
        <v>8</v>
      </c>
      <c r="M8905" s="8" t="s">
        <v>3</v>
      </c>
      <c r="N8905" s="15" t="s">
        <v>8</v>
      </c>
    </row>
    <row r="8906" spans="3:27" x14ac:dyDescent="0.35">
      <c r="C8906" s="15" t="s">
        <v>8</v>
      </c>
      <c r="I8906" s="15" t="s">
        <v>8</v>
      </c>
      <c r="M8906" s="15" t="s">
        <v>8</v>
      </c>
      <c r="N8906" s="15" t="s">
        <v>8</v>
      </c>
      <c r="W8906" s="19" t="str">
        <f>HYPERLINK("http://yeinfo.com/family/I09066274.html", "THOMAS WILLIAM AXTELL Sr. 1381 EN-1418 EN ID:09066436")</f>
        <v>THOMAS WILLIAM AXTELL Sr. 1381 EN-1418 EN ID:09066436</v>
      </c>
      <c r="X8906" s="9"/>
      <c r="Y8906" s="9"/>
      <c r="Z8906" s="9"/>
      <c r="AA8906" s="9"/>
    </row>
    <row r="8907" spans="3:27" x14ac:dyDescent="0.35">
      <c r="C8907" s="15" t="s">
        <v>8</v>
      </c>
      <c r="I8907" s="15" t="s">
        <v>8</v>
      </c>
      <c r="M8907" s="15" t="s">
        <v>8</v>
      </c>
      <c r="N8907" s="15" t="s">
        <v>8</v>
      </c>
      <c r="W8907" s="8" t="s">
        <v>3</v>
      </c>
    </row>
    <row r="8908" spans="3:27" x14ac:dyDescent="0.35">
      <c r="C8908" s="15" t="s">
        <v>8</v>
      </c>
      <c r="I8908" s="15" t="s">
        <v>8</v>
      </c>
      <c r="M8908" s="15" t="s">
        <v>8</v>
      </c>
      <c r="N8908" s="15" t="s">
        <v>8</v>
      </c>
      <c r="V8908" s="19" t="str">
        <f>HYPERLINK("http://yeinfo.com/family/I09066076.html", "HENRY THOMAS AXTELL 1415 EN-1500 EN ID:09066274")</f>
        <v>HENRY THOMAS AXTELL 1415 EN-1500 EN ID:09066274</v>
      </c>
      <c r="W8908" s="9"/>
      <c r="X8908" s="9"/>
      <c r="Y8908" s="9"/>
      <c r="Z8908" s="9"/>
    </row>
    <row r="8909" spans="3:27" x14ac:dyDescent="0.35">
      <c r="C8909" s="15" t="s">
        <v>8</v>
      </c>
      <c r="I8909" s="15" t="s">
        <v>8</v>
      </c>
      <c r="M8909" s="15" t="s">
        <v>8</v>
      </c>
      <c r="N8909" s="15" t="s">
        <v>8</v>
      </c>
      <c r="V8909" s="8" t="s">
        <v>3</v>
      </c>
      <c r="W8909" s="8" t="s">
        <v>6</v>
      </c>
    </row>
    <row r="8910" spans="3:27" x14ac:dyDescent="0.35">
      <c r="C8910" s="15" t="s">
        <v>8</v>
      </c>
      <c r="I8910" s="15" t="s">
        <v>8</v>
      </c>
      <c r="M8910" s="15" t="s">
        <v>8</v>
      </c>
      <c r="N8910" s="15" t="s">
        <v>8</v>
      </c>
      <c r="V8910" s="15" t="s">
        <v>8</v>
      </c>
      <c r="W8910" s="20" t="str">
        <f>HYPERLINK("http://yeinfo.com/family/I09066436.html", "MARY STARR 1386 EN-1418 EN ID:09066479")</f>
        <v>MARY STARR 1386 EN-1418 EN ID:09066479</v>
      </c>
      <c r="X8910" s="17"/>
      <c r="Y8910" s="17"/>
      <c r="Z8910" s="17"/>
      <c r="AA8910" s="17"/>
    </row>
    <row r="8911" spans="3:27" x14ac:dyDescent="0.35">
      <c r="C8911" s="15" t="s">
        <v>8</v>
      </c>
      <c r="I8911" s="15" t="s">
        <v>8</v>
      </c>
      <c r="M8911" s="15" t="s">
        <v>8</v>
      </c>
      <c r="N8911" s="15" t="s">
        <v>8</v>
      </c>
      <c r="V8911" s="15" t="s">
        <v>8</v>
      </c>
    </row>
    <row r="8912" spans="3:27" x14ac:dyDescent="0.35">
      <c r="C8912" s="15" t="s">
        <v>8</v>
      </c>
      <c r="I8912" s="15" t="s">
        <v>8</v>
      </c>
      <c r="M8912" s="15" t="s">
        <v>8</v>
      </c>
      <c r="N8912" s="15" t="s">
        <v>8</v>
      </c>
      <c r="U8912" s="19" t="str">
        <f>HYPERLINK("http://yeinfo.com/family/I09065912.html", "HENRY AXTELL 1435 EN-1500 EN ID:09066076")</f>
        <v>HENRY AXTELL 1435 EN-1500 EN ID:09066076</v>
      </c>
      <c r="V8912" s="9"/>
      <c r="W8912" s="9"/>
      <c r="X8912" s="9"/>
      <c r="Y8912" s="9"/>
    </row>
    <row r="8913" spans="3:27" x14ac:dyDescent="0.35">
      <c r="C8913" s="15" t="s">
        <v>8</v>
      </c>
      <c r="I8913" s="15" t="s">
        <v>8</v>
      </c>
      <c r="M8913" s="15" t="s">
        <v>8</v>
      </c>
      <c r="N8913" s="15" t="s">
        <v>8</v>
      </c>
      <c r="U8913" s="8" t="s">
        <v>3</v>
      </c>
      <c r="V8913" s="15" t="s">
        <v>8</v>
      </c>
    </row>
    <row r="8914" spans="3:27" x14ac:dyDescent="0.35">
      <c r="C8914" s="15" t="s">
        <v>8</v>
      </c>
      <c r="I8914" s="15" t="s">
        <v>8</v>
      </c>
      <c r="M8914" s="15" t="s">
        <v>8</v>
      </c>
      <c r="N8914" s="15" t="s">
        <v>8</v>
      </c>
      <c r="U8914" s="15" t="s">
        <v>8</v>
      </c>
      <c r="V8914" s="15" t="s">
        <v>8</v>
      </c>
      <c r="W8914" s="19" t="str">
        <f>HYPERLINK("http://yeinfo.com/family/I09066292.html", "JOHN GOULD 1372 EN-1415 EN ID:09066466")</f>
        <v>JOHN GOULD 1372 EN-1415 EN ID:09066466</v>
      </c>
      <c r="X8914" s="9"/>
      <c r="Y8914" s="9"/>
      <c r="Z8914" s="9"/>
      <c r="AA8914" s="9"/>
    </row>
    <row r="8915" spans="3:27" x14ac:dyDescent="0.35">
      <c r="C8915" s="15" t="s">
        <v>8</v>
      </c>
      <c r="I8915" s="15" t="s">
        <v>8</v>
      </c>
      <c r="M8915" s="15" t="s">
        <v>8</v>
      </c>
      <c r="N8915" s="15" t="s">
        <v>8</v>
      </c>
      <c r="U8915" s="15" t="s">
        <v>8</v>
      </c>
      <c r="V8915" s="8" t="s">
        <v>6</v>
      </c>
      <c r="W8915" s="8" t="s">
        <v>3</v>
      </c>
    </row>
    <row r="8916" spans="3:27" x14ac:dyDescent="0.35">
      <c r="C8916" s="15" t="s">
        <v>8</v>
      </c>
      <c r="I8916" s="15" t="s">
        <v>8</v>
      </c>
      <c r="M8916" s="15" t="s">
        <v>8</v>
      </c>
      <c r="N8916" s="15" t="s">
        <v>8</v>
      </c>
      <c r="U8916" s="15" t="s">
        <v>8</v>
      </c>
      <c r="V8916" s="20" t="str">
        <f>HYPERLINK("http://yeinfo.com/family/I09066479.html", "JOAN GOULD 1415 EN-1500 EN ID:09066292")</f>
        <v>JOAN GOULD 1415 EN-1500 EN ID:09066292</v>
      </c>
      <c r="W8916" s="17"/>
      <c r="X8916" s="17"/>
      <c r="Y8916" s="17"/>
      <c r="Z8916" s="17"/>
    </row>
    <row r="8917" spans="3:27" x14ac:dyDescent="0.35">
      <c r="C8917" s="15" t="s">
        <v>8</v>
      </c>
      <c r="I8917" s="15" t="s">
        <v>8</v>
      </c>
      <c r="M8917" s="15" t="s">
        <v>8</v>
      </c>
      <c r="N8917" s="15" t="s">
        <v>8</v>
      </c>
      <c r="U8917" s="15" t="s">
        <v>8</v>
      </c>
      <c r="W8917" s="8" t="s">
        <v>6</v>
      </c>
    </row>
    <row r="8918" spans="3:27" x14ac:dyDescent="0.35">
      <c r="C8918" s="15" t="s">
        <v>8</v>
      </c>
      <c r="I8918" s="15" t="s">
        <v>8</v>
      </c>
      <c r="M8918" s="15" t="s">
        <v>8</v>
      </c>
      <c r="N8918" s="15" t="s">
        <v>8</v>
      </c>
      <c r="U8918" s="15" t="s">
        <v>8</v>
      </c>
      <c r="W8918" s="20" t="str">
        <f>HYPERLINK("http://yeinfo.com/family/I09066466.html", "Mrs. {_?_} GOULD 1380 EN-1415 EN ID:09066465")</f>
        <v>Mrs. {_?_} GOULD 1380 EN-1415 EN ID:09066465</v>
      </c>
      <c r="X8918" s="17"/>
      <c r="Y8918" s="17"/>
      <c r="Z8918" s="17"/>
      <c r="AA8918" s="17"/>
    </row>
    <row r="8919" spans="3:27" x14ac:dyDescent="0.35">
      <c r="C8919" s="15" t="s">
        <v>8</v>
      </c>
      <c r="I8919" s="15" t="s">
        <v>8</v>
      </c>
      <c r="M8919" s="15" t="s">
        <v>8</v>
      </c>
      <c r="N8919" s="15" t="s">
        <v>8</v>
      </c>
      <c r="U8919" s="15" t="s">
        <v>8</v>
      </c>
    </row>
    <row r="8920" spans="3:27" x14ac:dyDescent="0.35">
      <c r="C8920" s="15" t="s">
        <v>8</v>
      </c>
      <c r="I8920" s="15" t="s">
        <v>8</v>
      </c>
      <c r="M8920" s="15" t="s">
        <v>8</v>
      </c>
      <c r="N8920" s="15" t="s">
        <v>8</v>
      </c>
      <c r="T8920" s="19" t="str">
        <f>HYPERLINK("http://yeinfo.com/family/I09065768.html", "HENRY AXTELL 1474 EN-1541 EN ID:09065912")</f>
        <v>HENRY AXTELL 1474 EN-1541 EN ID:09065912</v>
      </c>
      <c r="U8920" s="9"/>
      <c r="V8920" s="9"/>
      <c r="W8920" s="9"/>
      <c r="X8920" s="9"/>
    </row>
    <row r="8921" spans="3:27" x14ac:dyDescent="0.35">
      <c r="C8921" s="15" t="s">
        <v>8</v>
      </c>
      <c r="I8921" s="15" t="s">
        <v>8</v>
      </c>
      <c r="M8921" s="15" t="s">
        <v>8</v>
      </c>
      <c r="N8921" s="15" t="s">
        <v>8</v>
      </c>
      <c r="T8921" s="8" t="s">
        <v>3</v>
      </c>
      <c r="U8921" s="8" t="s">
        <v>6</v>
      </c>
    </row>
    <row r="8922" spans="3:27" x14ac:dyDescent="0.35">
      <c r="C8922" s="15" t="s">
        <v>8</v>
      </c>
      <c r="I8922" s="15" t="s">
        <v>8</v>
      </c>
      <c r="M8922" s="15" t="s">
        <v>8</v>
      </c>
      <c r="N8922" s="15" t="s">
        <v>8</v>
      </c>
      <c r="T8922" s="15" t="s">
        <v>8</v>
      </c>
      <c r="U8922" s="20" t="str">
        <f>HYPERLINK("http://yeinfo.com/family/I09066465.html", "Mrs. CECILY AXTELL 1435 EN-1495 EN ID:09066075")</f>
        <v>Mrs. CECILY AXTELL 1435 EN-1495 EN ID:09066075</v>
      </c>
      <c r="V8922" s="17"/>
      <c r="W8922" s="17"/>
      <c r="X8922" s="17"/>
      <c r="Y8922" s="17"/>
    </row>
    <row r="8923" spans="3:27" x14ac:dyDescent="0.35">
      <c r="C8923" s="15" t="s">
        <v>8</v>
      </c>
      <c r="I8923" s="15" t="s">
        <v>8</v>
      </c>
      <c r="M8923" s="15" t="s">
        <v>8</v>
      </c>
      <c r="N8923" s="15" t="s">
        <v>8</v>
      </c>
      <c r="T8923" s="15" t="s">
        <v>8</v>
      </c>
    </row>
    <row r="8924" spans="3:27" x14ac:dyDescent="0.35">
      <c r="C8924" s="15" t="s">
        <v>8</v>
      </c>
      <c r="I8924" s="15" t="s">
        <v>8</v>
      </c>
      <c r="M8924" s="15" t="s">
        <v>8</v>
      </c>
      <c r="N8924" s="15" t="s">
        <v>8</v>
      </c>
      <c r="S8924" s="19" t="str">
        <f>HYPERLINK("http://yeinfo.com/family/I09065637.html", "JOHN AXTELL 1496 EN-1553 EN ID:09065768")</f>
        <v>JOHN AXTELL 1496 EN-1553 EN ID:09065768</v>
      </c>
      <c r="T8924" s="9"/>
      <c r="U8924" s="9"/>
      <c r="V8924" s="9"/>
      <c r="W8924" s="9"/>
    </row>
    <row r="8925" spans="3:27" x14ac:dyDescent="0.35">
      <c r="C8925" s="15" t="s">
        <v>8</v>
      </c>
      <c r="I8925" s="15" t="s">
        <v>8</v>
      </c>
      <c r="M8925" s="15" t="s">
        <v>8</v>
      </c>
      <c r="N8925" s="15" t="s">
        <v>8</v>
      </c>
      <c r="S8925" s="8" t="s">
        <v>3</v>
      </c>
      <c r="T8925" s="8" t="s">
        <v>6</v>
      </c>
    </row>
    <row r="8926" spans="3:27" x14ac:dyDescent="0.35">
      <c r="C8926" s="15" t="s">
        <v>8</v>
      </c>
      <c r="I8926" s="15" t="s">
        <v>8</v>
      </c>
      <c r="M8926" s="15" t="s">
        <v>8</v>
      </c>
      <c r="N8926" s="15" t="s">
        <v>8</v>
      </c>
      <c r="S8926" s="15" t="s">
        <v>8</v>
      </c>
      <c r="T8926" s="20" t="str">
        <f>HYPERLINK("http://yeinfo.com/family/I09066075.html", "Mrs. ALICE AXTELL 1478 EN-1546 EN ID:09065911")</f>
        <v>Mrs. ALICE AXTELL 1478 EN-1546 EN ID:09065911</v>
      </c>
      <c r="U8926" s="17"/>
      <c r="V8926" s="17"/>
      <c r="W8926" s="17"/>
      <c r="X8926" s="17"/>
    </row>
    <row r="8927" spans="3:27" x14ac:dyDescent="0.35">
      <c r="C8927" s="15" t="s">
        <v>8</v>
      </c>
      <c r="I8927" s="15" t="s">
        <v>8</v>
      </c>
      <c r="M8927" s="15" t="s">
        <v>8</v>
      </c>
      <c r="N8927" s="15" t="s">
        <v>8</v>
      </c>
      <c r="S8927" s="15" t="s">
        <v>8</v>
      </c>
    </row>
    <row r="8928" spans="3:27" x14ac:dyDescent="0.35">
      <c r="C8928" s="15" t="s">
        <v>8</v>
      </c>
      <c r="I8928" s="15" t="s">
        <v>8</v>
      </c>
      <c r="M8928" s="15" t="s">
        <v>8</v>
      </c>
      <c r="N8928" s="15" t="s">
        <v>8</v>
      </c>
      <c r="R8928" s="19" t="str">
        <f>HYPERLINK("http://yeinfo.com/family/I09048904.html", "WILLIAM AXTELL 1520 EN-1568 EN ID:09065637")</f>
        <v>WILLIAM AXTELL 1520 EN-1568 EN ID:09065637</v>
      </c>
      <c r="S8928" s="9"/>
      <c r="T8928" s="9"/>
      <c r="U8928" s="9"/>
      <c r="V8928" s="9"/>
    </row>
    <row r="8929" spans="3:23" x14ac:dyDescent="0.35">
      <c r="C8929" s="15" t="s">
        <v>8</v>
      </c>
      <c r="I8929" s="15" t="s">
        <v>8</v>
      </c>
      <c r="M8929" s="15" t="s">
        <v>8</v>
      </c>
      <c r="N8929" s="15" t="s">
        <v>8</v>
      </c>
      <c r="R8929" s="8" t="s">
        <v>3</v>
      </c>
      <c r="S8929" s="8" t="s">
        <v>6</v>
      </c>
    </row>
    <row r="8930" spans="3:23" x14ac:dyDescent="0.35">
      <c r="C8930" s="15" t="s">
        <v>8</v>
      </c>
      <c r="I8930" s="15" t="s">
        <v>8</v>
      </c>
      <c r="M8930" s="15" t="s">
        <v>8</v>
      </c>
      <c r="N8930" s="15" t="s">
        <v>8</v>
      </c>
      <c r="R8930" s="15" t="s">
        <v>8</v>
      </c>
      <c r="S8930" s="20" t="str">
        <f>HYPERLINK("http://yeinfo.com/family/I09065911.html", "Mrs. KATHERYNE AXTELL 1518 EN-1578 EN ID:09065767")</f>
        <v>Mrs. KATHERYNE AXTELL 1518 EN-1578 EN ID:09065767</v>
      </c>
      <c r="T8930" s="17"/>
      <c r="U8930" s="17"/>
      <c r="V8930" s="17"/>
      <c r="W8930" s="17"/>
    </row>
    <row r="8931" spans="3:23" x14ac:dyDescent="0.35">
      <c r="C8931" s="15" t="s">
        <v>8</v>
      </c>
      <c r="I8931" s="15" t="s">
        <v>8</v>
      </c>
      <c r="M8931" s="15" t="s">
        <v>8</v>
      </c>
      <c r="N8931" s="15" t="s">
        <v>8</v>
      </c>
      <c r="R8931" s="15" t="s">
        <v>8</v>
      </c>
    </row>
    <row r="8932" spans="3:23" x14ac:dyDescent="0.35">
      <c r="C8932" s="15" t="s">
        <v>8</v>
      </c>
      <c r="I8932" s="15" t="s">
        <v>8</v>
      </c>
      <c r="M8932" s="15" t="s">
        <v>8</v>
      </c>
      <c r="N8932" s="15" t="s">
        <v>8</v>
      </c>
      <c r="Q8932" s="19" t="str">
        <f>HYPERLINK("http://yeinfo.com/family/I09024452.html", "JOHN WILLIAM AXTELL 1561 EN-1626 EN ID:09048904")</f>
        <v>JOHN WILLIAM AXTELL 1561 EN-1626 EN ID:09048904</v>
      </c>
      <c r="R8932" s="9"/>
      <c r="S8932" s="9"/>
      <c r="T8932" s="9"/>
      <c r="U8932" s="9"/>
    </row>
    <row r="8933" spans="3:23" x14ac:dyDescent="0.35">
      <c r="C8933" s="15" t="s">
        <v>8</v>
      </c>
      <c r="I8933" s="15" t="s">
        <v>8</v>
      </c>
      <c r="M8933" s="15" t="s">
        <v>8</v>
      </c>
      <c r="N8933" s="15" t="s">
        <v>8</v>
      </c>
      <c r="Q8933" s="8" t="s">
        <v>3</v>
      </c>
      <c r="R8933" s="8" t="s">
        <v>6</v>
      </c>
    </row>
    <row r="8934" spans="3:23" x14ac:dyDescent="0.35">
      <c r="C8934" s="15" t="s">
        <v>8</v>
      </c>
      <c r="I8934" s="15" t="s">
        <v>8</v>
      </c>
      <c r="M8934" s="15" t="s">
        <v>8</v>
      </c>
      <c r="N8934" s="15" t="s">
        <v>8</v>
      </c>
      <c r="Q8934" s="15" t="s">
        <v>8</v>
      </c>
      <c r="R8934" s="20" t="str">
        <f>HYPERLINK("http://yeinfo.com/family/I09065767.html", "JOAN PHILLIPS 1520 EN-1584 EN ID:09065662")</f>
        <v>JOAN PHILLIPS 1520 EN-1584 EN ID:09065662</v>
      </c>
      <c r="S8934" s="17"/>
      <c r="T8934" s="17"/>
      <c r="U8934" s="17"/>
      <c r="V8934" s="17"/>
    </row>
    <row r="8935" spans="3:23" x14ac:dyDescent="0.35">
      <c r="C8935" s="15" t="s">
        <v>8</v>
      </c>
      <c r="I8935" s="15" t="s">
        <v>8</v>
      </c>
      <c r="M8935" s="15" t="s">
        <v>8</v>
      </c>
      <c r="N8935" s="15" t="s">
        <v>8</v>
      </c>
      <c r="Q8935" s="15" t="s">
        <v>8</v>
      </c>
    </row>
    <row r="8936" spans="3:23" x14ac:dyDescent="0.35">
      <c r="C8936" s="15" t="s">
        <v>8</v>
      </c>
      <c r="I8936" s="15" t="s">
        <v>8</v>
      </c>
      <c r="M8936" s="15" t="s">
        <v>8</v>
      </c>
      <c r="N8936" s="15" t="s">
        <v>8</v>
      </c>
      <c r="P8936" s="19" t="str">
        <f>HYPERLINK("http://yeinfo.com/family/I09012226.html", "WILLIAM AXTELL 1587 EN-1633 EN ID:09024452")</f>
        <v>WILLIAM AXTELL 1587 EN-1633 EN ID:09024452</v>
      </c>
      <c r="Q8936" s="9"/>
      <c r="R8936" s="9"/>
      <c r="S8936" s="9"/>
      <c r="T8936" s="9"/>
    </row>
    <row r="8937" spans="3:23" x14ac:dyDescent="0.35">
      <c r="C8937" s="15" t="s">
        <v>8</v>
      </c>
      <c r="I8937" s="15" t="s">
        <v>8</v>
      </c>
      <c r="M8937" s="15" t="s">
        <v>8</v>
      </c>
      <c r="N8937" s="15" t="s">
        <v>8</v>
      </c>
      <c r="P8937" s="8" t="s">
        <v>3</v>
      </c>
      <c r="Q8937" s="8" t="s">
        <v>6</v>
      </c>
    </row>
    <row r="8938" spans="3:23" x14ac:dyDescent="0.35">
      <c r="C8938" s="15" t="s">
        <v>8</v>
      </c>
      <c r="I8938" s="15" t="s">
        <v>8</v>
      </c>
      <c r="M8938" s="15" t="s">
        <v>8</v>
      </c>
      <c r="N8938" s="15" t="s">
        <v>8</v>
      </c>
      <c r="P8938" s="15" t="s">
        <v>8</v>
      </c>
      <c r="Q8938" s="16" t="str">
        <f>HYPERLINK("http://yeinfo.com/family/I09065662.html", "DOROTHY SYMONDS 1565 -1600 EN ID:09048905")</f>
        <v>DOROTHY SYMONDS 1565 -1600 EN ID:09048905</v>
      </c>
      <c r="R8938" s="11"/>
      <c r="S8938" s="11"/>
      <c r="T8938" s="11"/>
      <c r="U8938" s="11"/>
    </row>
    <row r="8939" spans="3:23" x14ac:dyDescent="0.35">
      <c r="C8939" s="15" t="s">
        <v>8</v>
      </c>
      <c r="I8939" s="15" t="s">
        <v>8</v>
      </c>
      <c r="M8939" s="15" t="s">
        <v>8</v>
      </c>
      <c r="N8939" s="15" t="s">
        <v>8</v>
      </c>
      <c r="P8939" s="15" t="s">
        <v>8</v>
      </c>
    </row>
    <row r="8940" spans="3:23" x14ac:dyDescent="0.35">
      <c r="C8940" s="15" t="s">
        <v>8</v>
      </c>
      <c r="I8940" s="15" t="s">
        <v>8</v>
      </c>
      <c r="M8940" s="15" t="s">
        <v>8</v>
      </c>
      <c r="N8940" s="15" t="s">
        <v>8</v>
      </c>
      <c r="O8940" s="21" t="str">
        <f>HYPERLINK("http://yeinfo.com/family/I09006113.html", "THOMAS AXTELL 1619 EN-1646 MA ID:09012226")</f>
        <v>THOMAS AXTELL 1619 EN-1646 MA ID:09012226</v>
      </c>
      <c r="P8940" s="6"/>
      <c r="Q8940" s="6"/>
      <c r="R8940" s="6"/>
      <c r="S8940" s="6"/>
    </row>
    <row r="8941" spans="3:23" x14ac:dyDescent="0.35">
      <c r="C8941" s="15" t="s">
        <v>8</v>
      </c>
      <c r="I8941" s="15" t="s">
        <v>8</v>
      </c>
      <c r="M8941" s="15" t="s">
        <v>8</v>
      </c>
      <c r="N8941" s="15" t="s">
        <v>8</v>
      </c>
      <c r="O8941" s="8" t="s">
        <v>3</v>
      </c>
      <c r="P8941" s="15" t="s">
        <v>8</v>
      </c>
    </row>
    <row r="8942" spans="3:23" x14ac:dyDescent="0.35">
      <c r="C8942" s="15" t="s">
        <v>8</v>
      </c>
      <c r="I8942" s="15" t="s">
        <v>8</v>
      </c>
      <c r="M8942" s="15" t="s">
        <v>8</v>
      </c>
      <c r="N8942" s="15" t="s">
        <v>8</v>
      </c>
      <c r="O8942" s="15" t="s">
        <v>8</v>
      </c>
      <c r="P8942" s="15" t="s">
        <v>8</v>
      </c>
      <c r="Q8942" s="19" t="str">
        <f>HYPERLINK("http://yeinfo.com/family/I09024453.html", "NELSON CUTLER 1570 EN-1591 EN ID:09048906")</f>
        <v>NELSON CUTLER 1570 EN-1591 EN ID:09048906</v>
      </c>
      <c r="R8942" s="9"/>
      <c r="S8942" s="9"/>
      <c r="T8942" s="9"/>
      <c r="U8942" s="9"/>
    </row>
    <row r="8943" spans="3:23" x14ac:dyDescent="0.35">
      <c r="C8943" s="15" t="s">
        <v>8</v>
      </c>
      <c r="I8943" s="15" t="s">
        <v>8</v>
      </c>
      <c r="M8943" s="15" t="s">
        <v>8</v>
      </c>
      <c r="N8943" s="15" t="s">
        <v>8</v>
      </c>
      <c r="O8943" s="15" t="s">
        <v>8</v>
      </c>
      <c r="P8943" s="8" t="s">
        <v>6</v>
      </c>
      <c r="Q8943" s="8" t="s">
        <v>3</v>
      </c>
    </row>
    <row r="8944" spans="3:23" x14ac:dyDescent="0.35">
      <c r="C8944" s="15" t="s">
        <v>8</v>
      </c>
      <c r="I8944" s="15" t="s">
        <v>8</v>
      </c>
      <c r="M8944" s="15" t="s">
        <v>8</v>
      </c>
      <c r="N8944" s="15" t="s">
        <v>8</v>
      </c>
      <c r="O8944" s="15" t="s">
        <v>8</v>
      </c>
      <c r="P8944" s="20" t="str">
        <f>HYPERLINK("http://yeinfo.com/family/I09048905.html", "THOMASINE CUTLER 1591 EN-1675 EN ID:09024453")</f>
        <v>THOMASINE CUTLER 1591 EN-1675 EN ID:09024453</v>
      </c>
      <c r="Q8944" s="17"/>
      <c r="R8944" s="17"/>
      <c r="S8944" s="17"/>
      <c r="T8944" s="17"/>
    </row>
    <row r="8945" spans="3:27" x14ac:dyDescent="0.35">
      <c r="C8945" s="15" t="s">
        <v>8</v>
      </c>
      <c r="I8945" s="15" t="s">
        <v>8</v>
      </c>
      <c r="M8945" s="15" t="s">
        <v>8</v>
      </c>
      <c r="N8945" s="15" t="s">
        <v>8</v>
      </c>
      <c r="O8945" s="15" t="s">
        <v>8</v>
      </c>
      <c r="Q8945" s="8" t="s">
        <v>6</v>
      </c>
    </row>
    <row r="8946" spans="3:27" x14ac:dyDescent="0.35">
      <c r="C8946" s="15" t="s">
        <v>8</v>
      </c>
      <c r="I8946" s="15" t="s">
        <v>8</v>
      </c>
      <c r="M8946" s="15" t="s">
        <v>8</v>
      </c>
      <c r="N8946" s="15" t="s">
        <v>8</v>
      </c>
      <c r="O8946" s="15" t="s">
        <v>8</v>
      </c>
      <c r="Q8946" s="20" t="str">
        <f>HYPERLINK("http://yeinfo.com/family/I09048906.html", "JENNIFER YOUNG 1570 EN-1591 EN ID:09048907")</f>
        <v>JENNIFER YOUNG 1570 EN-1591 EN ID:09048907</v>
      </c>
      <c r="R8946" s="17"/>
      <c r="S8946" s="17"/>
      <c r="T8946" s="17"/>
      <c r="U8946" s="17"/>
    </row>
    <row r="8947" spans="3:27" x14ac:dyDescent="0.35">
      <c r="C8947" s="15" t="s">
        <v>8</v>
      </c>
      <c r="I8947" s="15" t="s">
        <v>8</v>
      </c>
      <c r="M8947" s="15" t="s">
        <v>8</v>
      </c>
      <c r="N8947" s="8" t="s">
        <v>6</v>
      </c>
      <c r="O8947" s="15" t="s">
        <v>8</v>
      </c>
    </row>
    <row r="8948" spans="3:27" x14ac:dyDescent="0.35">
      <c r="C8948" s="15" t="s">
        <v>8</v>
      </c>
      <c r="I8948" s="15" t="s">
        <v>8</v>
      </c>
      <c r="M8948" s="15" t="s">
        <v>8</v>
      </c>
      <c r="N8948" s="22" t="str">
        <f>HYPERLINK("http://yeinfo.com/family/I09012225.html", "MARY AXTELL 1639 EN-1704 MA ID:09006113")</f>
        <v>MARY AXTELL 1639 EN-1704 MA ID:09006113</v>
      </c>
      <c r="O8948" s="13"/>
      <c r="P8948" s="13"/>
      <c r="Q8948" s="13"/>
      <c r="R8948" s="13"/>
    </row>
    <row r="8949" spans="3:27" x14ac:dyDescent="0.35">
      <c r="C8949" s="15" t="s">
        <v>8</v>
      </c>
      <c r="I8949" s="15" t="s">
        <v>8</v>
      </c>
      <c r="M8949" s="15" t="s">
        <v>8</v>
      </c>
      <c r="O8949" s="8" t="s">
        <v>6</v>
      </c>
    </row>
    <row r="8950" spans="3:27" x14ac:dyDescent="0.35">
      <c r="C8950" s="15" t="s">
        <v>8</v>
      </c>
      <c r="I8950" s="15" t="s">
        <v>8</v>
      </c>
      <c r="M8950" s="15" t="s">
        <v>8</v>
      </c>
      <c r="O8950" s="22" t="str">
        <f>HYPERLINK("http://yeinfo.com/family/I09048907.html", "Mrs. MARY AXTELL 1620 EN-1645 MA ID:09012227")</f>
        <v>Mrs. MARY AXTELL 1620 EN-1645 MA ID:09012227</v>
      </c>
      <c r="P8950" s="13"/>
      <c r="Q8950" s="13"/>
      <c r="R8950" s="13"/>
      <c r="S8950" s="13"/>
    </row>
    <row r="8951" spans="3:27" x14ac:dyDescent="0.35">
      <c r="C8951" s="15" t="s">
        <v>8</v>
      </c>
      <c r="I8951" s="15" t="s">
        <v>8</v>
      </c>
      <c r="M8951" s="15" t="s">
        <v>8</v>
      </c>
    </row>
    <row r="8952" spans="3:27" x14ac:dyDescent="0.35">
      <c r="C8952" s="15" t="s">
        <v>8</v>
      </c>
      <c r="I8952" s="15" t="s">
        <v>8</v>
      </c>
      <c r="L8952" s="5" t="str">
        <f>HYPERLINK("http://yeinfo.com/family/I09000764.html", "JOHN GOODNOW 1690 MA-1752 MA ID:09001528")</f>
        <v>JOHN GOODNOW 1690 MA-1752 MA ID:09001528</v>
      </c>
      <c r="M8952" s="3"/>
      <c r="N8952" s="3"/>
      <c r="O8952" s="3"/>
      <c r="P8952" s="3"/>
    </row>
    <row r="8953" spans="3:27" x14ac:dyDescent="0.35">
      <c r="C8953" s="15" t="s">
        <v>8</v>
      </c>
      <c r="I8953" s="15" t="s">
        <v>8</v>
      </c>
      <c r="L8953" s="8" t="s">
        <v>3</v>
      </c>
      <c r="M8953" s="15" t="s">
        <v>8</v>
      </c>
    </row>
    <row r="8954" spans="3:27" x14ac:dyDescent="0.35">
      <c r="C8954" s="15" t="s">
        <v>8</v>
      </c>
      <c r="I8954" s="15" t="s">
        <v>8</v>
      </c>
      <c r="L8954" s="15" t="s">
        <v>8</v>
      </c>
      <c r="M8954" s="15" t="s">
        <v>8</v>
      </c>
      <c r="N8954" s="21" t="str">
        <f>HYPERLINK("http://yeinfo.com/family/I09003057.html", "ROGER WILLIS 1640 EN-1680 MA ID:09006114")</f>
        <v>ROGER WILLIS 1640 EN-1680 MA ID:09006114</v>
      </c>
      <c r="O8954" s="6"/>
      <c r="P8954" s="6"/>
      <c r="Q8954" s="6"/>
      <c r="R8954" s="6"/>
    </row>
    <row r="8955" spans="3:27" x14ac:dyDescent="0.35">
      <c r="C8955" s="15" t="s">
        <v>8</v>
      </c>
      <c r="I8955" s="15" t="s">
        <v>8</v>
      </c>
      <c r="L8955" s="15" t="s">
        <v>8</v>
      </c>
      <c r="M8955" s="8" t="s">
        <v>6</v>
      </c>
      <c r="N8955" s="8" t="s">
        <v>3</v>
      </c>
    </row>
    <row r="8956" spans="3:27" x14ac:dyDescent="0.35">
      <c r="C8956" s="15" t="s">
        <v>8</v>
      </c>
      <c r="I8956" s="15" t="s">
        <v>8</v>
      </c>
      <c r="L8956" s="15" t="s">
        <v>8</v>
      </c>
      <c r="M8956" s="16" t="str">
        <f>HYPERLINK("http://yeinfo.com/family/I09012227.html", "RUTH WILLIS 1670 MA-1690 MA ID:09003057")</f>
        <v>RUTH WILLIS 1670 MA-1690 MA ID:09003057</v>
      </c>
      <c r="N8956" s="11"/>
      <c r="O8956" s="11"/>
      <c r="P8956" s="11"/>
      <c r="Q8956" s="11"/>
    </row>
    <row r="8957" spans="3:27" x14ac:dyDescent="0.35">
      <c r="C8957" s="15" t="s">
        <v>8</v>
      </c>
      <c r="I8957" s="15" t="s">
        <v>8</v>
      </c>
      <c r="L8957" s="15" t="s">
        <v>8</v>
      </c>
      <c r="N8957" s="15" t="s">
        <v>8</v>
      </c>
    </row>
    <row r="8958" spans="3:27" x14ac:dyDescent="0.35">
      <c r="C8958" s="15" t="s">
        <v>8</v>
      </c>
      <c r="I8958" s="15" t="s">
        <v>8</v>
      </c>
      <c r="L8958" s="15" t="s">
        <v>8</v>
      </c>
      <c r="N8958" s="15" t="s">
        <v>8</v>
      </c>
      <c r="W8958" s="19" t="str">
        <f>HYPERLINK("http://yeinfo.com/family/I09066295.html", "JOHN HILL 1338 EN-1408 EN ID:09066467")</f>
        <v>JOHN HILL 1338 EN-1408 EN ID:09066467</v>
      </c>
      <c r="X8958" s="9"/>
      <c r="Y8958" s="9"/>
      <c r="Z8958" s="9"/>
      <c r="AA8958" s="9"/>
    </row>
    <row r="8959" spans="3:27" x14ac:dyDescent="0.35">
      <c r="C8959" s="15" t="s">
        <v>8</v>
      </c>
      <c r="I8959" s="15" t="s">
        <v>8</v>
      </c>
      <c r="L8959" s="15" t="s">
        <v>8</v>
      </c>
      <c r="N8959" s="15" t="s">
        <v>8</v>
      </c>
      <c r="W8959" s="8" t="s">
        <v>3</v>
      </c>
    </row>
    <row r="8960" spans="3:27" x14ac:dyDescent="0.35">
      <c r="C8960" s="15" t="s">
        <v>8</v>
      </c>
      <c r="I8960" s="15" t="s">
        <v>8</v>
      </c>
      <c r="L8960" s="15" t="s">
        <v>8</v>
      </c>
      <c r="N8960" s="15" t="s">
        <v>8</v>
      </c>
      <c r="V8960" s="19" t="str">
        <f>HYPERLINK("http://yeinfo.com/family/I09066097.html", "ROBERT HILL 1375 EN-1423 EN ID:09066295")</f>
        <v>ROBERT HILL 1375 EN-1423 EN ID:09066295</v>
      </c>
      <c r="W8960" s="9"/>
      <c r="X8960" s="9"/>
      <c r="Y8960" s="9"/>
      <c r="Z8960" s="9"/>
    </row>
    <row r="8961" spans="3:27" x14ac:dyDescent="0.35">
      <c r="C8961" s="15" t="s">
        <v>8</v>
      </c>
      <c r="I8961" s="15" t="s">
        <v>8</v>
      </c>
      <c r="L8961" s="15" t="s">
        <v>8</v>
      </c>
      <c r="N8961" s="15" t="s">
        <v>8</v>
      </c>
      <c r="V8961" s="8" t="s">
        <v>3</v>
      </c>
      <c r="W8961" s="8" t="s">
        <v>6</v>
      </c>
    </row>
    <row r="8962" spans="3:27" x14ac:dyDescent="0.35">
      <c r="C8962" s="15" t="s">
        <v>8</v>
      </c>
      <c r="I8962" s="15" t="s">
        <v>8</v>
      </c>
      <c r="L8962" s="15" t="s">
        <v>8</v>
      </c>
      <c r="N8962" s="15" t="s">
        <v>8</v>
      </c>
      <c r="V8962" s="15" t="s">
        <v>8</v>
      </c>
      <c r="W8962" s="20" t="str">
        <f>HYPERLINK("http://yeinfo.com/family/I09066467.html", "DENISE DURBOROUGH 1340 EN-1387 EN ID:09066449")</f>
        <v>DENISE DURBOROUGH 1340 EN-1387 EN ID:09066449</v>
      </c>
      <c r="X8962" s="17"/>
      <c r="Y8962" s="17"/>
      <c r="Z8962" s="17"/>
      <c r="AA8962" s="17"/>
    </row>
    <row r="8963" spans="3:27" x14ac:dyDescent="0.35">
      <c r="C8963" s="15" t="s">
        <v>8</v>
      </c>
      <c r="I8963" s="15" t="s">
        <v>8</v>
      </c>
      <c r="L8963" s="15" t="s">
        <v>8</v>
      </c>
      <c r="N8963" s="15" t="s">
        <v>8</v>
      </c>
      <c r="V8963" s="15" t="s">
        <v>8</v>
      </c>
    </row>
    <row r="8964" spans="3:27" x14ac:dyDescent="0.35">
      <c r="C8964" s="15" t="s">
        <v>8</v>
      </c>
      <c r="I8964" s="15" t="s">
        <v>8</v>
      </c>
      <c r="L8964" s="15" t="s">
        <v>8</v>
      </c>
      <c r="N8964" s="15" t="s">
        <v>8</v>
      </c>
      <c r="U8964" s="19" t="str">
        <f>HYPERLINK("http://yeinfo.com/family/I09065929.html", "ROBERT JOHN HILL 1401 EN-1434 EN ID:09066097")</f>
        <v>ROBERT JOHN HILL 1401 EN-1434 EN ID:09066097</v>
      </c>
      <c r="V8964" s="9"/>
      <c r="W8964" s="9"/>
      <c r="X8964" s="9"/>
      <c r="Y8964" s="9"/>
    </row>
    <row r="8965" spans="3:27" x14ac:dyDescent="0.35">
      <c r="C8965" s="15" t="s">
        <v>8</v>
      </c>
      <c r="I8965" s="15" t="s">
        <v>8</v>
      </c>
      <c r="L8965" s="15" t="s">
        <v>8</v>
      </c>
      <c r="N8965" s="15" t="s">
        <v>8</v>
      </c>
      <c r="U8965" s="8" t="s">
        <v>3</v>
      </c>
      <c r="V8965" s="15" t="s">
        <v>8</v>
      </c>
    </row>
    <row r="8966" spans="3:27" x14ac:dyDescent="0.35">
      <c r="C8966" s="15" t="s">
        <v>8</v>
      </c>
      <c r="I8966" s="15" t="s">
        <v>8</v>
      </c>
      <c r="L8966" s="15" t="s">
        <v>8</v>
      </c>
      <c r="N8966" s="15" t="s">
        <v>8</v>
      </c>
      <c r="U8966" s="15" t="s">
        <v>8</v>
      </c>
      <c r="V8966" s="15" t="s">
        <v>8</v>
      </c>
      <c r="W8966" s="19" t="str">
        <f>HYPERLINK("http://yeinfo.com/family/I09066286.html", "THOMAS FICHET 1344 EN-1383 AS ID:09066453")</f>
        <v>THOMAS FICHET 1344 EN-1383 AS ID:09066453</v>
      </c>
      <c r="X8966" s="9"/>
      <c r="Y8966" s="9"/>
      <c r="Z8966" s="9"/>
      <c r="AA8966" s="9"/>
    </row>
    <row r="8967" spans="3:27" x14ac:dyDescent="0.35">
      <c r="C8967" s="15" t="s">
        <v>8</v>
      </c>
      <c r="I8967" s="15" t="s">
        <v>8</v>
      </c>
      <c r="L8967" s="15" t="s">
        <v>8</v>
      </c>
      <c r="N8967" s="15" t="s">
        <v>8</v>
      </c>
      <c r="U8967" s="15" t="s">
        <v>8</v>
      </c>
      <c r="V8967" s="8" t="s">
        <v>6</v>
      </c>
      <c r="W8967" s="8" t="s">
        <v>3</v>
      </c>
    </row>
    <row r="8968" spans="3:27" x14ac:dyDescent="0.35">
      <c r="C8968" s="15" t="s">
        <v>8</v>
      </c>
      <c r="I8968" s="15" t="s">
        <v>8</v>
      </c>
      <c r="L8968" s="15" t="s">
        <v>8</v>
      </c>
      <c r="N8968" s="15" t="s">
        <v>8</v>
      </c>
      <c r="U8968" s="15" t="s">
        <v>8</v>
      </c>
      <c r="V8968" s="20" t="str">
        <f>HYPERLINK("http://yeinfo.com/family/I09066449.html", "ISABEL FICHET 1383 EN-1423 EN ID:09066286")</f>
        <v>ISABEL FICHET 1383 EN-1423 EN ID:09066286</v>
      </c>
      <c r="W8968" s="17"/>
      <c r="X8968" s="17"/>
      <c r="Y8968" s="17"/>
      <c r="Z8968" s="17"/>
    </row>
    <row r="8969" spans="3:27" x14ac:dyDescent="0.35">
      <c r="C8969" s="15" t="s">
        <v>8</v>
      </c>
      <c r="I8969" s="15" t="s">
        <v>8</v>
      </c>
      <c r="L8969" s="15" t="s">
        <v>8</v>
      </c>
      <c r="N8969" s="15" t="s">
        <v>8</v>
      </c>
      <c r="U8969" s="15" t="s">
        <v>8</v>
      </c>
      <c r="W8969" s="8" t="s">
        <v>6</v>
      </c>
    </row>
    <row r="8970" spans="3:27" x14ac:dyDescent="0.35">
      <c r="C8970" s="15" t="s">
        <v>8</v>
      </c>
      <c r="I8970" s="15" t="s">
        <v>8</v>
      </c>
      <c r="L8970" s="15" t="s">
        <v>8</v>
      </c>
      <c r="N8970" s="15" t="s">
        <v>8</v>
      </c>
      <c r="U8970" s="15" t="s">
        <v>8</v>
      </c>
      <c r="W8970" s="20" t="str">
        <f>HYPERLINK("http://yeinfo.com/family/I09066453.html", "RICHARDA INKEPENNE 1349 EN-1390 EN ID:09066468")</f>
        <v>RICHARDA INKEPENNE 1349 EN-1390 EN ID:09066468</v>
      </c>
      <c r="X8970" s="17"/>
      <c r="Y8970" s="17"/>
      <c r="Z8970" s="17"/>
      <c r="AA8970" s="17"/>
    </row>
    <row r="8971" spans="3:27" x14ac:dyDescent="0.35">
      <c r="C8971" s="15" t="s">
        <v>8</v>
      </c>
      <c r="I8971" s="15" t="s">
        <v>8</v>
      </c>
      <c r="L8971" s="15" t="s">
        <v>8</v>
      </c>
      <c r="N8971" s="15" t="s">
        <v>8</v>
      </c>
      <c r="U8971" s="15" t="s">
        <v>8</v>
      </c>
    </row>
    <row r="8972" spans="3:27" x14ac:dyDescent="0.35">
      <c r="C8972" s="15" t="s">
        <v>8</v>
      </c>
      <c r="I8972" s="15" t="s">
        <v>8</v>
      </c>
      <c r="L8972" s="15" t="s">
        <v>8</v>
      </c>
      <c r="N8972" s="15" t="s">
        <v>8</v>
      </c>
      <c r="T8972" s="19" t="str">
        <f>HYPERLINK("http://yeinfo.com/family/I09065782.html", "ROGER HILL III 1430 EN-1479 EN ID:09065929")</f>
        <v>ROGER HILL III 1430 EN-1479 EN ID:09065929</v>
      </c>
      <c r="U8972" s="9"/>
      <c r="V8972" s="9"/>
      <c r="W8972" s="9"/>
      <c r="X8972" s="9"/>
    </row>
    <row r="8973" spans="3:27" x14ac:dyDescent="0.35">
      <c r="C8973" s="15" t="s">
        <v>8</v>
      </c>
      <c r="I8973" s="15" t="s">
        <v>8</v>
      </c>
      <c r="L8973" s="15" t="s">
        <v>8</v>
      </c>
      <c r="N8973" s="15" t="s">
        <v>8</v>
      </c>
      <c r="T8973" s="8" t="s">
        <v>3</v>
      </c>
      <c r="U8973" s="15" t="s">
        <v>8</v>
      </c>
    </row>
    <row r="8974" spans="3:27" x14ac:dyDescent="0.35">
      <c r="C8974" s="15" t="s">
        <v>8</v>
      </c>
      <c r="I8974" s="15" t="s">
        <v>8</v>
      </c>
      <c r="L8974" s="15" t="s">
        <v>8</v>
      </c>
      <c r="N8974" s="15" t="s">
        <v>8</v>
      </c>
      <c r="T8974" s="15" t="s">
        <v>8</v>
      </c>
      <c r="U8974" s="15" t="s">
        <v>8</v>
      </c>
      <c r="W8974" s="19" t="str">
        <f>HYPERLINK("http://yeinfo.com/family/I09066309.html", "JOHN STOURTON 1334 EN-1405 EN ID:09066480")</f>
        <v>JOHN STOURTON 1334 EN-1405 EN ID:09066480</v>
      </c>
      <c r="X8974" s="9"/>
      <c r="Y8974" s="9"/>
      <c r="Z8974" s="9"/>
      <c r="AA8974" s="9"/>
    </row>
    <row r="8975" spans="3:27" x14ac:dyDescent="0.35">
      <c r="C8975" s="15" t="s">
        <v>8</v>
      </c>
      <c r="I8975" s="15" t="s">
        <v>8</v>
      </c>
      <c r="L8975" s="15" t="s">
        <v>8</v>
      </c>
      <c r="N8975" s="15" t="s">
        <v>8</v>
      </c>
      <c r="T8975" s="15" t="s">
        <v>8</v>
      </c>
      <c r="U8975" s="15" t="s">
        <v>8</v>
      </c>
      <c r="W8975" s="8" t="s">
        <v>3</v>
      </c>
    </row>
    <row r="8976" spans="3:27" x14ac:dyDescent="0.35">
      <c r="C8976" s="15" t="s">
        <v>8</v>
      </c>
      <c r="I8976" s="15" t="s">
        <v>8</v>
      </c>
      <c r="L8976" s="15" t="s">
        <v>8</v>
      </c>
      <c r="N8976" s="15" t="s">
        <v>8</v>
      </c>
      <c r="T8976" s="15" t="s">
        <v>8</v>
      </c>
      <c r="U8976" s="15" t="s">
        <v>8</v>
      </c>
      <c r="V8976" s="19" t="str">
        <f>HYPERLINK("http://yeinfo.com/family/I09066115.html", "JOHN STOURTON 1375 EN-1438 EN ID:09066309")</f>
        <v>JOHN STOURTON 1375 EN-1438 EN ID:09066309</v>
      </c>
      <c r="W8976" s="9"/>
      <c r="X8976" s="9"/>
      <c r="Y8976" s="9"/>
      <c r="Z8976" s="9"/>
    </row>
    <row r="8977" spans="3:27" x14ac:dyDescent="0.35">
      <c r="C8977" s="15" t="s">
        <v>8</v>
      </c>
      <c r="I8977" s="15" t="s">
        <v>8</v>
      </c>
      <c r="L8977" s="15" t="s">
        <v>8</v>
      </c>
      <c r="N8977" s="15" t="s">
        <v>8</v>
      </c>
      <c r="T8977" s="15" t="s">
        <v>8</v>
      </c>
      <c r="U8977" s="15" t="s">
        <v>8</v>
      </c>
      <c r="V8977" s="8" t="s">
        <v>3</v>
      </c>
      <c r="W8977" s="8" t="s">
        <v>6</v>
      </c>
    </row>
    <row r="8978" spans="3:27" x14ac:dyDescent="0.35">
      <c r="C8978" s="15" t="s">
        <v>8</v>
      </c>
      <c r="I8978" s="15" t="s">
        <v>8</v>
      </c>
      <c r="L8978" s="15" t="s">
        <v>8</v>
      </c>
      <c r="N8978" s="15" t="s">
        <v>8</v>
      </c>
      <c r="T8978" s="15" t="s">
        <v>8</v>
      </c>
      <c r="U8978" s="15" t="s">
        <v>8</v>
      </c>
      <c r="V8978" s="15" t="s">
        <v>8</v>
      </c>
      <c r="W8978" s="20" t="str">
        <f>HYPERLINK("http://yeinfo.com/family/I09066480.html", "JANE BASSETT 1355 EN-1407 EN ID:09066441")</f>
        <v>JANE BASSETT 1355 EN-1407 EN ID:09066441</v>
      </c>
      <c r="X8978" s="17"/>
      <c r="Y8978" s="17"/>
      <c r="Z8978" s="17"/>
      <c r="AA8978" s="17"/>
    </row>
    <row r="8979" spans="3:27" x14ac:dyDescent="0.35">
      <c r="C8979" s="15" t="s">
        <v>8</v>
      </c>
      <c r="I8979" s="15" t="s">
        <v>8</v>
      </c>
      <c r="L8979" s="15" t="s">
        <v>8</v>
      </c>
      <c r="N8979" s="15" t="s">
        <v>8</v>
      </c>
      <c r="T8979" s="15" t="s">
        <v>8</v>
      </c>
      <c r="U8979" s="8" t="s">
        <v>6</v>
      </c>
      <c r="V8979" s="15" t="s">
        <v>8</v>
      </c>
    </row>
    <row r="8980" spans="3:27" x14ac:dyDescent="0.35">
      <c r="C8980" s="15" t="s">
        <v>8</v>
      </c>
      <c r="I8980" s="15" t="s">
        <v>8</v>
      </c>
      <c r="L8980" s="15" t="s">
        <v>8</v>
      </c>
      <c r="N8980" s="15" t="s">
        <v>8</v>
      </c>
      <c r="T8980" s="15" t="s">
        <v>8</v>
      </c>
      <c r="U8980" s="20" t="str">
        <f>HYPERLINK("http://yeinfo.com/family/I09066468.html", "CECILIA STOURTON 1410 EN-1472 EN ID:09066115")</f>
        <v>CECILIA STOURTON 1410 EN-1472 EN ID:09066115</v>
      </c>
      <c r="V8980" s="17"/>
      <c r="W8980" s="17"/>
      <c r="X8980" s="17"/>
      <c r="Y8980" s="17"/>
    </row>
    <row r="8981" spans="3:27" x14ac:dyDescent="0.35">
      <c r="C8981" s="15" t="s">
        <v>8</v>
      </c>
      <c r="I8981" s="15" t="s">
        <v>8</v>
      </c>
      <c r="L8981" s="15" t="s">
        <v>8</v>
      </c>
      <c r="N8981" s="15" t="s">
        <v>8</v>
      </c>
      <c r="T8981" s="15" t="s">
        <v>8</v>
      </c>
      <c r="V8981" s="15" t="s">
        <v>8</v>
      </c>
    </row>
    <row r="8982" spans="3:27" x14ac:dyDescent="0.35">
      <c r="C8982" s="15" t="s">
        <v>8</v>
      </c>
      <c r="I8982" s="15" t="s">
        <v>8</v>
      </c>
      <c r="L8982" s="15" t="s">
        <v>8</v>
      </c>
      <c r="N8982" s="15" t="s">
        <v>8</v>
      </c>
      <c r="T8982" s="15" t="s">
        <v>8</v>
      </c>
      <c r="V8982" s="15" t="s">
        <v>8</v>
      </c>
      <c r="W8982" s="19" t="str">
        <f>HYPERLINK("http://yeinfo.com/family/I09066438.html", "WILLIAM BANASTRE II &lt;3&gt; 1359 EN-1395 EN ID:09066438")</f>
        <v>WILLIAM BANASTRE II &lt;3&gt; 1359 EN-1395 EN ID:09066438</v>
      </c>
      <c r="X8982" s="9"/>
      <c r="Y8982" s="9"/>
      <c r="Z8982" s="9"/>
      <c r="AA8982" s="9"/>
    </row>
    <row r="8983" spans="3:27" x14ac:dyDescent="0.35">
      <c r="C8983" s="15" t="s">
        <v>8</v>
      </c>
      <c r="I8983" s="15" t="s">
        <v>8</v>
      </c>
      <c r="L8983" s="15" t="s">
        <v>8</v>
      </c>
      <c r="N8983" s="15" t="s">
        <v>8</v>
      </c>
      <c r="T8983" s="15" t="s">
        <v>8</v>
      </c>
      <c r="V8983" s="8" t="s">
        <v>6</v>
      </c>
      <c r="W8983" s="8" t="s">
        <v>3</v>
      </c>
    </row>
    <row r="8984" spans="3:27" x14ac:dyDescent="0.35">
      <c r="C8984" s="15" t="s">
        <v>8</v>
      </c>
      <c r="I8984" s="15" t="s">
        <v>8</v>
      </c>
      <c r="L8984" s="15" t="s">
        <v>8</v>
      </c>
      <c r="N8984" s="15" t="s">
        <v>8</v>
      </c>
      <c r="T8984" s="15" t="s">
        <v>8</v>
      </c>
      <c r="V8984" s="20" t="str">
        <f>HYPERLINK("http://yeinfo.com/family/I09066441.html", "JOAN BANASTRE 1385 EN-1416 EN ID:09066276")</f>
        <v>JOAN BANASTRE 1385 EN-1416 EN ID:09066276</v>
      </c>
      <c r="W8984" s="17"/>
      <c r="X8984" s="17"/>
      <c r="Y8984" s="17"/>
      <c r="Z8984" s="17"/>
    </row>
    <row r="8985" spans="3:27" x14ac:dyDescent="0.35">
      <c r="C8985" s="15" t="s">
        <v>8</v>
      </c>
      <c r="I8985" s="15" t="s">
        <v>8</v>
      </c>
      <c r="L8985" s="15" t="s">
        <v>8</v>
      </c>
      <c r="N8985" s="15" t="s">
        <v>8</v>
      </c>
      <c r="T8985" s="15" t="s">
        <v>8</v>
      </c>
      <c r="W8985" s="8" t="s">
        <v>6</v>
      </c>
    </row>
    <row r="8986" spans="3:27" x14ac:dyDescent="0.35">
      <c r="C8986" s="15" t="s">
        <v>8</v>
      </c>
      <c r="I8986" s="15" t="s">
        <v>8</v>
      </c>
      <c r="L8986" s="15" t="s">
        <v>8</v>
      </c>
      <c r="N8986" s="15" t="s">
        <v>8</v>
      </c>
      <c r="T8986" s="15" t="s">
        <v>8</v>
      </c>
      <c r="W8986" s="20" t="str">
        <f>HYPERLINK("http://yeinfo.com/family/I09066486.html", "ELIZABETH WELLESLEY &lt;3&gt; 1363 EN-1400 EN ID:09066486")</f>
        <v>ELIZABETH WELLESLEY &lt;3&gt; 1363 EN-1400 EN ID:09066486</v>
      </c>
      <c r="X8986" s="17"/>
      <c r="Y8986" s="17"/>
      <c r="Z8986" s="17"/>
      <c r="AA8986" s="17"/>
    </row>
    <row r="8987" spans="3:27" x14ac:dyDescent="0.35">
      <c r="C8987" s="15" t="s">
        <v>8</v>
      </c>
      <c r="I8987" s="15" t="s">
        <v>8</v>
      </c>
      <c r="L8987" s="15" t="s">
        <v>8</v>
      </c>
      <c r="N8987" s="15" t="s">
        <v>8</v>
      </c>
      <c r="T8987" s="15" t="s">
        <v>8</v>
      </c>
    </row>
    <row r="8988" spans="3:27" x14ac:dyDescent="0.35">
      <c r="C8988" s="15" t="s">
        <v>8</v>
      </c>
      <c r="I8988" s="15" t="s">
        <v>8</v>
      </c>
      <c r="L8988" s="15" t="s">
        <v>8</v>
      </c>
      <c r="N8988" s="15" t="s">
        <v>8</v>
      </c>
      <c r="S8988" s="19" t="str">
        <f>HYPERLINK("http://yeinfo.com/family/I09065652.html", "WILLIAM HILL 1470 EN-1532 EN ID:09065782")</f>
        <v>WILLIAM HILL 1470 EN-1532 EN ID:09065782</v>
      </c>
      <c r="T8988" s="9"/>
      <c r="U8988" s="9"/>
      <c r="V8988" s="9"/>
      <c r="W8988" s="9"/>
    </row>
    <row r="8989" spans="3:27" x14ac:dyDescent="0.35">
      <c r="C8989" s="15" t="s">
        <v>8</v>
      </c>
      <c r="I8989" s="15" t="s">
        <v>8</v>
      </c>
      <c r="L8989" s="15" t="s">
        <v>8</v>
      </c>
      <c r="N8989" s="15" t="s">
        <v>8</v>
      </c>
      <c r="S8989" s="8" t="s">
        <v>3</v>
      </c>
      <c r="T8989" s="15" t="s">
        <v>8</v>
      </c>
    </row>
    <row r="8990" spans="3:27" x14ac:dyDescent="0.35">
      <c r="C8990" s="15" t="s">
        <v>8</v>
      </c>
      <c r="I8990" s="15" t="s">
        <v>8</v>
      </c>
      <c r="L8990" s="15" t="s">
        <v>8</v>
      </c>
      <c r="N8990" s="15" t="s">
        <v>8</v>
      </c>
      <c r="S8990" s="15" t="s">
        <v>8</v>
      </c>
      <c r="T8990" s="15" t="s">
        <v>8</v>
      </c>
      <c r="V8990" s="19" t="str">
        <f>HYPERLINK("http://yeinfo.com/family/I09066122.html", "JOHN WOOD 1404 EN-1456 EN ID:09066314")</f>
        <v>JOHN WOOD 1404 EN-1456 EN ID:09066314</v>
      </c>
      <c r="W8990" s="9"/>
      <c r="X8990" s="9"/>
      <c r="Y8990" s="9"/>
      <c r="Z8990" s="9"/>
    </row>
    <row r="8991" spans="3:27" x14ac:dyDescent="0.35">
      <c r="C8991" s="15" t="s">
        <v>8</v>
      </c>
      <c r="I8991" s="15" t="s">
        <v>8</v>
      </c>
      <c r="L8991" s="15" t="s">
        <v>8</v>
      </c>
      <c r="N8991" s="15" t="s">
        <v>8</v>
      </c>
      <c r="S8991" s="15" t="s">
        <v>8</v>
      </c>
      <c r="T8991" s="15" t="s">
        <v>8</v>
      </c>
      <c r="V8991" s="8" t="s">
        <v>3</v>
      </c>
    </row>
    <row r="8992" spans="3:27" x14ac:dyDescent="0.35">
      <c r="C8992" s="15" t="s">
        <v>8</v>
      </c>
      <c r="I8992" s="15" t="s">
        <v>8</v>
      </c>
      <c r="L8992" s="15" t="s">
        <v>8</v>
      </c>
      <c r="N8992" s="15" t="s">
        <v>8</v>
      </c>
      <c r="S8992" s="15" t="s">
        <v>8</v>
      </c>
      <c r="T8992" s="15" t="s">
        <v>8</v>
      </c>
      <c r="U8992" s="19" t="str">
        <f>HYPERLINK("http://yeinfo.com/family/I09065951.html", "ROBERT WOOD 1430 EN-1456 EN ID:09066122")</f>
        <v>ROBERT WOOD 1430 EN-1456 EN ID:09066122</v>
      </c>
      <c r="V8992" s="9"/>
      <c r="W8992" s="9"/>
      <c r="X8992" s="9"/>
      <c r="Y8992" s="9"/>
    </row>
    <row r="8993" spans="3:29" x14ac:dyDescent="0.35">
      <c r="C8993" s="15" t="s">
        <v>8</v>
      </c>
      <c r="I8993" s="15" t="s">
        <v>8</v>
      </c>
      <c r="L8993" s="15" t="s">
        <v>8</v>
      </c>
      <c r="N8993" s="15" t="s">
        <v>8</v>
      </c>
      <c r="S8993" s="15" t="s">
        <v>8</v>
      </c>
      <c r="T8993" s="15" t="s">
        <v>8</v>
      </c>
      <c r="U8993" s="8" t="s">
        <v>3</v>
      </c>
      <c r="V8993" s="8" t="s">
        <v>6</v>
      </c>
    </row>
    <row r="8994" spans="3:29" x14ac:dyDescent="0.35">
      <c r="C8994" s="15" t="s">
        <v>8</v>
      </c>
      <c r="I8994" s="15" t="s">
        <v>8</v>
      </c>
      <c r="L8994" s="15" t="s">
        <v>8</v>
      </c>
      <c r="N8994" s="15" t="s">
        <v>8</v>
      </c>
      <c r="S8994" s="15" t="s">
        <v>8</v>
      </c>
      <c r="T8994" s="15" t="s">
        <v>8</v>
      </c>
      <c r="U8994" s="15" t="s">
        <v>8</v>
      </c>
      <c r="V8994" s="20" t="str">
        <f>HYPERLINK("http://yeinfo.com/family/I09066314.html", "ANN POLLARD 1398 EN-1485 EN ID:09066302")</f>
        <v>ANN POLLARD 1398 EN-1485 EN ID:09066302</v>
      </c>
      <c r="W8994" s="17"/>
      <c r="X8994" s="17"/>
      <c r="Y8994" s="17"/>
      <c r="Z8994" s="17"/>
    </row>
    <row r="8995" spans="3:29" x14ac:dyDescent="0.35">
      <c r="C8995" s="15" t="s">
        <v>8</v>
      </c>
      <c r="I8995" s="15" t="s">
        <v>8</v>
      </c>
      <c r="L8995" s="15" t="s">
        <v>8</v>
      </c>
      <c r="N8995" s="15" t="s">
        <v>8</v>
      </c>
      <c r="S8995" s="15" t="s">
        <v>8</v>
      </c>
      <c r="T8995" s="8" t="s">
        <v>6</v>
      </c>
      <c r="U8995" s="15" t="s">
        <v>8</v>
      </c>
    </row>
    <row r="8996" spans="3:29" x14ac:dyDescent="0.35">
      <c r="C8996" s="15" t="s">
        <v>8</v>
      </c>
      <c r="I8996" s="15" t="s">
        <v>8</v>
      </c>
      <c r="L8996" s="15" t="s">
        <v>8</v>
      </c>
      <c r="N8996" s="15" t="s">
        <v>8</v>
      </c>
      <c r="S8996" s="15" t="s">
        <v>8</v>
      </c>
      <c r="T8996" s="20" t="str">
        <f>HYPERLINK("http://yeinfo.com/family/I09066276.html", "ALICE WOOD 1456 EN-1476 EN ID:09065951")</f>
        <v>ALICE WOOD 1456 EN-1476 EN ID:09065951</v>
      </c>
      <c r="U8996" s="17"/>
      <c r="V8996" s="17"/>
      <c r="W8996" s="17"/>
      <c r="X8996" s="17"/>
    </row>
    <row r="8997" spans="3:29" x14ac:dyDescent="0.35">
      <c r="C8997" s="15" t="s">
        <v>8</v>
      </c>
      <c r="I8997" s="15" t="s">
        <v>8</v>
      </c>
      <c r="L8997" s="15" t="s">
        <v>8</v>
      </c>
      <c r="N8997" s="15" t="s">
        <v>8</v>
      </c>
      <c r="S8997" s="15" t="s">
        <v>8</v>
      </c>
      <c r="U8997" s="15" t="s">
        <v>8</v>
      </c>
    </row>
    <row r="8998" spans="3:29" x14ac:dyDescent="0.35">
      <c r="C8998" s="15" t="s">
        <v>8</v>
      </c>
      <c r="I8998" s="15" t="s">
        <v>8</v>
      </c>
      <c r="L8998" s="15" t="s">
        <v>8</v>
      </c>
      <c r="N8998" s="15" t="s">
        <v>8</v>
      </c>
      <c r="S8998" s="15" t="s">
        <v>8</v>
      </c>
      <c r="U8998" s="15" t="s">
        <v>8</v>
      </c>
      <c r="Y8998" s="19" t="str">
        <f>HYPERLINK("http://yeinfo.com/family/I09066614.html", "PETER WOODCHURCH CLERKE &lt;2&gt; 1291 EN-1368 EN ID:09066614")</f>
        <v>PETER WOODCHURCH CLERKE &lt;2&gt; 1291 EN-1368 EN ID:09066614</v>
      </c>
      <c r="Z8998" s="9"/>
      <c r="AA8998" s="9"/>
      <c r="AB8998" s="9"/>
      <c r="AC8998" s="9"/>
    </row>
    <row r="8999" spans="3:29" x14ac:dyDescent="0.35">
      <c r="C8999" s="15" t="s">
        <v>8</v>
      </c>
      <c r="I8999" s="15" t="s">
        <v>8</v>
      </c>
      <c r="L8999" s="15" t="s">
        <v>8</v>
      </c>
      <c r="N8999" s="15" t="s">
        <v>8</v>
      </c>
      <c r="S8999" s="15" t="s">
        <v>8</v>
      </c>
      <c r="U8999" s="15" t="s">
        <v>8</v>
      </c>
      <c r="Y8999" s="8" t="s">
        <v>3</v>
      </c>
    </row>
    <row r="9000" spans="3:29" x14ac:dyDescent="0.35">
      <c r="C9000" s="15" t="s">
        <v>8</v>
      </c>
      <c r="I9000" s="15" t="s">
        <v>8</v>
      </c>
      <c r="L9000" s="15" t="s">
        <v>8</v>
      </c>
      <c r="N9000" s="15" t="s">
        <v>8</v>
      </c>
      <c r="S9000" s="15" t="s">
        <v>8</v>
      </c>
      <c r="U9000" s="15" t="s">
        <v>8</v>
      </c>
      <c r="X9000" s="19" t="str">
        <f>HYPERLINK("http://yeinfo.com/family/I09066560.html", "THOMAS CLERKE &lt;2&gt; 1315 EN-1347 EN ID:09066560")</f>
        <v>THOMAS CLERKE &lt;2&gt; 1315 EN-1347 EN ID:09066560</v>
      </c>
      <c r="Y9000" s="9"/>
      <c r="Z9000" s="9"/>
      <c r="AA9000" s="9"/>
      <c r="AB9000" s="9"/>
    </row>
    <row r="9001" spans="3:29" x14ac:dyDescent="0.35">
      <c r="C9001" s="15" t="s">
        <v>8</v>
      </c>
      <c r="I9001" s="15" t="s">
        <v>8</v>
      </c>
      <c r="L9001" s="15" t="s">
        <v>8</v>
      </c>
      <c r="N9001" s="15" t="s">
        <v>8</v>
      </c>
      <c r="S9001" s="15" t="s">
        <v>8</v>
      </c>
      <c r="U9001" s="15" t="s">
        <v>8</v>
      </c>
      <c r="X9001" s="8" t="s">
        <v>3</v>
      </c>
      <c r="Y9001" s="8" t="s">
        <v>6</v>
      </c>
    </row>
    <row r="9002" spans="3:29" x14ac:dyDescent="0.35">
      <c r="C9002" s="15" t="s">
        <v>8</v>
      </c>
      <c r="I9002" s="15" t="s">
        <v>8</v>
      </c>
      <c r="L9002" s="15" t="s">
        <v>8</v>
      </c>
      <c r="N9002" s="15" t="s">
        <v>8</v>
      </c>
      <c r="S9002" s="15" t="s">
        <v>8</v>
      </c>
      <c r="U9002" s="15" t="s">
        <v>8</v>
      </c>
      <c r="X9002" s="15" t="s">
        <v>8</v>
      </c>
      <c r="Y9002" s="20" t="str">
        <f>HYPERLINK("http://yeinfo.com/family/I09066615.html", "BENNETTA CHURCH &lt;2&gt; 1298 -1325 EN ID:09066615")</f>
        <v>BENNETTA CHURCH &lt;2&gt; 1298 -1325 EN ID:09066615</v>
      </c>
      <c r="Z9002" s="17"/>
      <c r="AA9002" s="17"/>
      <c r="AB9002" s="17"/>
      <c r="AC9002" s="17"/>
    </row>
    <row r="9003" spans="3:29" x14ac:dyDescent="0.35">
      <c r="C9003" s="15" t="s">
        <v>8</v>
      </c>
      <c r="I9003" s="15" t="s">
        <v>8</v>
      </c>
      <c r="L9003" s="15" t="s">
        <v>8</v>
      </c>
      <c r="N9003" s="15" t="s">
        <v>8</v>
      </c>
      <c r="S9003" s="15" t="s">
        <v>8</v>
      </c>
      <c r="U9003" s="15" t="s">
        <v>8</v>
      </c>
      <c r="X9003" s="15" t="s">
        <v>8</v>
      </c>
    </row>
    <row r="9004" spans="3:29" x14ac:dyDescent="0.35">
      <c r="C9004" s="15" t="s">
        <v>8</v>
      </c>
      <c r="I9004" s="15" t="s">
        <v>8</v>
      </c>
      <c r="L9004" s="15" t="s">
        <v>8</v>
      </c>
      <c r="N9004" s="15" t="s">
        <v>8</v>
      </c>
      <c r="S9004" s="15" t="s">
        <v>8</v>
      </c>
      <c r="U9004" s="15" t="s">
        <v>8</v>
      </c>
      <c r="W9004" s="19" t="str">
        <f>HYPERLINK("http://yeinfo.com/family/I09066508.html", "THOMAS CLERKE II &lt;2&gt; 1347 EN-1377 EN ID:09066508")</f>
        <v>THOMAS CLERKE II &lt;2&gt; 1347 EN-1377 EN ID:09066508</v>
      </c>
      <c r="X9004" s="9"/>
      <c r="Y9004" s="9"/>
      <c r="Z9004" s="9"/>
      <c r="AA9004" s="9"/>
    </row>
    <row r="9005" spans="3:29" x14ac:dyDescent="0.35">
      <c r="C9005" s="15" t="s">
        <v>8</v>
      </c>
      <c r="I9005" s="15" t="s">
        <v>8</v>
      </c>
      <c r="L9005" s="15" t="s">
        <v>8</v>
      </c>
      <c r="N9005" s="15" t="s">
        <v>8</v>
      </c>
      <c r="S9005" s="15" t="s">
        <v>8</v>
      </c>
      <c r="U9005" s="15" t="s">
        <v>8</v>
      </c>
      <c r="W9005" s="8" t="s">
        <v>3</v>
      </c>
      <c r="X9005" s="8" t="s">
        <v>6</v>
      </c>
    </row>
    <row r="9006" spans="3:29" x14ac:dyDescent="0.35">
      <c r="C9006" s="15" t="s">
        <v>8</v>
      </c>
      <c r="I9006" s="15" t="s">
        <v>8</v>
      </c>
      <c r="L9006" s="15" t="s">
        <v>8</v>
      </c>
      <c r="N9006" s="15" t="s">
        <v>8</v>
      </c>
      <c r="S9006" s="15" t="s">
        <v>8</v>
      </c>
      <c r="U9006" s="15" t="s">
        <v>8</v>
      </c>
      <c r="W9006" s="15" t="s">
        <v>8</v>
      </c>
      <c r="X9006" s="20" t="str">
        <f>HYPERLINK("http://yeinfo.com/family/I09066561.html", "MAUD\MATILDA BURGH &lt;2&gt; 1320 -1375 EN ID:09066561")</f>
        <v>MAUD\MATILDA BURGH &lt;2&gt; 1320 -1375 EN ID:09066561</v>
      </c>
      <c r="Y9006" s="17"/>
      <c r="Z9006" s="17"/>
      <c r="AA9006" s="17"/>
      <c r="AB9006" s="17"/>
      <c r="AC9006" s="17"/>
    </row>
    <row r="9007" spans="3:29" x14ac:dyDescent="0.35">
      <c r="C9007" s="15" t="s">
        <v>8</v>
      </c>
      <c r="I9007" s="15" t="s">
        <v>8</v>
      </c>
      <c r="L9007" s="15" t="s">
        <v>8</v>
      </c>
      <c r="N9007" s="15" t="s">
        <v>8</v>
      </c>
      <c r="S9007" s="15" t="s">
        <v>8</v>
      </c>
      <c r="U9007" s="15" t="s">
        <v>8</v>
      </c>
      <c r="W9007" s="15" t="s">
        <v>8</v>
      </c>
    </row>
    <row r="9008" spans="3:29" x14ac:dyDescent="0.35">
      <c r="C9008" s="15" t="s">
        <v>8</v>
      </c>
      <c r="I9008" s="15" t="s">
        <v>8</v>
      </c>
      <c r="L9008" s="15" t="s">
        <v>8</v>
      </c>
      <c r="N9008" s="15" t="s">
        <v>8</v>
      </c>
      <c r="S9008" s="15" t="s">
        <v>8</v>
      </c>
      <c r="U9008" s="15" t="s">
        <v>8</v>
      </c>
      <c r="V9008" s="19" t="str">
        <f>HYPERLINK("http://yeinfo.com/family/I09066333.html", "THOMAS CLERKE III &lt;2&gt; 1375 EN-1446 EN ID:09066333")</f>
        <v>THOMAS CLERKE III &lt;2&gt; 1375 EN-1446 EN ID:09066333</v>
      </c>
      <c r="W9008" s="9"/>
      <c r="X9008" s="9"/>
      <c r="Y9008" s="9"/>
      <c r="Z9008" s="9"/>
    </row>
    <row r="9009" spans="3:27" x14ac:dyDescent="0.35">
      <c r="C9009" s="15" t="s">
        <v>8</v>
      </c>
      <c r="I9009" s="15" t="s">
        <v>8</v>
      </c>
      <c r="L9009" s="15" t="s">
        <v>8</v>
      </c>
      <c r="N9009" s="15" t="s">
        <v>8</v>
      </c>
      <c r="S9009" s="15" t="s">
        <v>8</v>
      </c>
      <c r="U9009" s="15" t="s">
        <v>8</v>
      </c>
      <c r="V9009" s="8" t="s">
        <v>3</v>
      </c>
      <c r="W9009" s="8" t="s">
        <v>6</v>
      </c>
    </row>
    <row r="9010" spans="3:27" x14ac:dyDescent="0.35">
      <c r="C9010" s="15" t="s">
        <v>8</v>
      </c>
      <c r="I9010" s="15" t="s">
        <v>8</v>
      </c>
      <c r="L9010" s="15" t="s">
        <v>8</v>
      </c>
      <c r="N9010" s="15" t="s">
        <v>8</v>
      </c>
      <c r="S9010" s="15" t="s">
        <v>8</v>
      </c>
      <c r="U9010" s="15" t="s">
        <v>8</v>
      </c>
      <c r="V9010" s="15" t="s">
        <v>8</v>
      </c>
      <c r="W9010" s="20" t="str">
        <f>HYPERLINK("http://yeinfo.com/family/I09066509.html", "BENNETTA MYERS CHURCH &lt;2&gt; 1355 -1375 EN ID:09066509")</f>
        <v>BENNETTA MYERS CHURCH &lt;2&gt; 1355 -1375 EN ID:09066509</v>
      </c>
      <c r="X9010" s="17"/>
      <c r="Y9010" s="17"/>
      <c r="Z9010" s="17"/>
      <c r="AA9010" s="17"/>
    </row>
    <row r="9011" spans="3:27" x14ac:dyDescent="0.35">
      <c r="C9011" s="15" t="s">
        <v>8</v>
      </c>
      <c r="I9011" s="15" t="s">
        <v>8</v>
      </c>
      <c r="L9011" s="15" t="s">
        <v>8</v>
      </c>
      <c r="N9011" s="15" t="s">
        <v>8</v>
      </c>
      <c r="S9011" s="15" t="s">
        <v>8</v>
      </c>
      <c r="U9011" s="8" t="s">
        <v>6</v>
      </c>
      <c r="V9011" s="15" t="s">
        <v>8</v>
      </c>
    </row>
    <row r="9012" spans="3:27" x14ac:dyDescent="0.35">
      <c r="C9012" s="15" t="s">
        <v>8</v>
      </c>
      <c r="I9012" s="15" t="s">
        <v>8</v>
      </c>
      <c r="L9012" s="15" t="s">
        <v>8</v>
      </c>
      <c r="N9012" s="15" t="s">
        <v>8</v>
      </c>
      <c r="S9012" s="15" t="s">
        <v>8</v>
      </c>
      <c r="U9012" s="20" t="str">
        <f>HYPERLINK("http://yeinfo.com/family/I09066302.html", "JOYCE CLERKE 1435 EN-1480 EN ID:09066083")</f>
        <v>JOYCE CLERKE 1435 EN-1480 EN ID:09066083</v>
      </c>
      <c r="V9012" s="17"/>
      <c r="W9012" s="17"/>
      <c r="X9012" s="17"/>
      <c r="Y9012" s="17"/>
    </row>
    <row r="9013" spans="3:27" x14ac:dyDescent="0.35">
      <c r="C9013" s="15" t="s">
        <v>8</v>
      </c>
      <c r="I9013" s="15" t="s">
        <v>8</v>
      </c>
      <c r="L9013" s="15" t="s">
        <v>8</v>
      </c>
      <c r="N9013" s="15" t="s">
        <v>8</v>
      </c>
      <c r="S9013" s="15" t="s">
        <v>8</v>
      </c>
      <c r="V9013" s="15" t="s">
        <v>8</v>
      </c>
    </row>
    <row r="9014" spans="3:27" x14ac:dyDescent="0.35">
      <c r="C9014" s="15" t="s">
        <v>8</v>
      </c>
      <c r="I9014" s="15" t="s">
        <v>8</v>
      </c>
      <c r="L9014" s="15" t="s">
        <v>8</v>
      </c>
      <c r="N9014" s="15" t="s">
        <v>8</v>
      </c>
      <c r="S9014" s="15" t="s">
        <v>8</v>
      </c>
      <c r="V9014" s="15" t="s">
        <v>8</v>
      </c>
      <c r="W9014" s="19" t="str">
        <f>HYPERLINK("http://yeinfo.com/family/I09066510.html", "HENRY FORDE &lt;3&gt; 1350 EN-1375 EN ID:09066510")</f>
        <v>HENRY FORDE &lt;3&gt; 1350 EN-1375 EN ID:09066510</v>
      </c>
      <c r="X9014" s="9"/>
      <c r="Y9014" s="9"/>
      <c r="Z9014" s="9"/>
      <c r="AA9014" s="9"/>
    </row>
    <row r="9015" spans="3:27" x14ac:dyDescent="0.35">
      <c r="C9015" s="15" t="s">
        <v>8</v>
      </c>
      <c r="I9015" s="15" t="s">
        <v>8</v>
      </c>
      <c r="L9015" s="15" t="s">
        <v>8</v>
      </c>
      <c r="N9015" s="15" t="s">
        <v>8</v>
      </c>
      <c r="S9015" s="15" t="s">
        <v>8</v>
      </c>
      <c r="V9015" s="8" t="s">
        <v>6</v>
      </c>
      <c r="W9015" s="8" t="s">
        <v>3</v>
      </c>
    </row>
    <row r="9016" spans="3:27" x14ac:dyDescent="0.35">
      <c r="C9016" s="15" t="s">
        <v>8</v>
      </c>
      <c r="I9016" s="15" t="s">
        <v>8</v>
      </c>
      <c r="L9016" s="15" t="s">
        <v>8</v>
      </c>
      <c r="N9016" s="15" t="s">
        <v>8</v>
      </c>
      <c r="S9016" s="15" t="s">
        <v>8</v>
      </c>
      <c r="V9016" s="20" t="str">
        <f>HYPERLINK("http://yeinfo.com/family/I09066334.html", "SARAH FORDE &lt;2&gt; 1375 EN-1435 EN ID:09066334")</f>
        <v>SARAH FORDE &lt;2&gt; 1375 EN-1435 EN ID:09066334</v>
      </c>
      <c r="W9016" s="17"/>
      <c r="X9016" s="17"/>
      <c r="Y9016" s="17"/>
      <c r="Z9016" s="17"/>
    </row>
    <row r="9017" spans="3:27" x14ac:dyDescent="0.35">
      <c r="C9017" s="15" t="s">
        <v>8</v>
      </c>
      <c r="I9017" s="15" t="s">
        <v>8</v>
      </c>
      <c r="L9017" s="15" t="s">
        <v>8</v>
      </c>
      <c r="N9017" s="15" t="s">
        <v>8</v>
      </c>
      <c r="S9017" s="15" t="s">
        <v>8</v>
      </c>
      <c r="W9017" s="8" t="s">
        <v>6</v>
      </c>
    </row>
    <row r="9018" spans="3:27" x14ac:dyDescent="0.35">
      <c r="C9018" s="15" t="s">
        <v>8</v>
      </c>
      <c r="I9018" s="15" t="s">
        <v>8</v>
      </c>
      <c r="L9018" s="15" t="s">
        <v>8</v>
      </c>
      <c r="N9018" s="15" t="s">
        <v>8</v>
      </c>
      <c r="S9018" s="15" t="s">
        <v>8</v>
      </c>
      <c r="W9018" s="20" t="str">
        <f>HYPERLINK("http://yeinfo.com/family/I09066511.html", "MAUD ECHINGHAM &lt;3&gt; 1352 EN-1375 EN ID:09066511")</f>
        <v>MAUD ECHINGHAM &lt;3&gt; 1352 EN-1375 EN ID:09066511</v>
      </c>
      <c r="X9018" s="17"/>
      <c r="Y9018" s="17"/>
      <c r="Z9018" s="17"/>
      <c r="AA9018" s="17"/>
    </row>
    <row r="9019" spans="3:27" x14ac:dyDescent="0.35">
      <c r="C9019" s="15" t="s">
        <v>8</v>
      </c>
      <c r="I9019" s="15" t="s">
        <v>8</v>
      </c>
      <c r="L9019" s="15" t="s">
        <v>8</v>
      </c>
      <c r="N9019" s="15" t="s">
        <v>8</v>
      </c>
      <c r="S9019" s="15" t="s">
        <v>8</v>
      </c>
    </row>
    <row r="9020" spans="3:27" x14ac:dyDescent="0.35">
      <c r="C9020" s="15" t="s">
        <v>8</v>
      </c>
      <c r="I9020" s="15" t="s">
        <v>8</v>
      </c>
      <c r="L9020" s="15" t="s">
        <v>8</v>
      </c>
      <c r="N9020" s="15" t="s">
        <v>8</v>
      </c>
      <c r="R9020" s="19" t="str">
        <f>HYPERLINK("http://yeinfo.com/family/I09048920.html", "ROGER HILL 1495 EN-1546 EN ID:09065652")</f>
        <v>ROGER HILL 1495 EN-1546 EN ID:09065652</v>
      </c>
      <c r="S9020" s="9"/>
      <c r="T9020" s="9"/>
      <c r="U9020" s="9"/>
      <c r="V9020" s="9"/>
    </row>
    <row r="9021" spans="3:27" x14ac:dyDescent="0.35">
      <c r="C9021" s="15" t="s">
        <v>8</v>
      </c>
      <c r="I9021" s="15" t="s">
        <v>8</v>
      </c>
      <c r="L9021" s="15" t="s">
        <v>8</v>
      </c>
      <c r="N9021" s="15" t="s">
        <v>8</v>
      </c>
      <c r="R9021" s="8" t="s">
        <v>3</v>
      </c>
      <c r="S9021" s="15" t="s">
        <v>8</v>
      </c>
    </row>
    <row r="9022" spans="3:27" x14ac:dyDescent="0.35">
      <c r="C9022" s="15" t="s">
        <v>8</v>
      </c>
      <c r="I9022" s="15" t="s">
        <v>8</v>
      </c>
      <c r="L9022" s="15" t="s">
        <v>8</v>
      </c>
      <c r="N9022" s="15" t="s">
        <v>8</v>
      </c>
      <c r="R9022" s="15" t="s">
        <v>8</v>
      </c>
      <c r="S9022" s="15" t="s">
        <v>8</v>
      </c>
      <c r="T9022" s="19" t="str">
        <f>HYPERLINK("http://yeinfo.com/family/I09065772.html", "WILLIAM BOYLE 1450 EN-1520 EN ID:09065915")</f>
        <v>WILLIAM BOYLE 1450 EN-1520 EN ID:09065915</v>
      </c>
      <c r="U9022" s="9"/>
      <c r="V9022" s="9"/>
      <c r="W9022" s="9"/>
      <c r="X9022" s="9"/>
    </row>
    <row r="9023" spans="3:27" x14ac:dyDescent="0.35">
      <c r="C9023" s="15" t="s">
        <v>8</v>
      </c>
      <c r="I9023" s="15" t="s">
        <v>8</v>
      </c>
      <c r="L9023" s="15" t="s">
        <v>8</v>
      </c>
      <c r="N9023" s="15" t="s">
        <v>8</v>
      </c>
      <c r="R9023" s="15" t="s">
        <v>8</v>
      </c>
      <c r="S9023" s="8" t="s">
        <v>6</v>
      </c>
      <c r="T9023" s="8" t="s">
        <v>3</v>
      </c>
    </row>
    <row r="9024" spans="3:27" x14ac:dyDescent="0.35">
      <c r="C9024" s="15" t="s">
        <v>8</v>
      </c>
      <c r="I9024" s="15" t="s">
        <v>8</v>
      </c>
      <c r="L9024" s="15" t="s">
        <v>8</v>
      </c>
      <c r="N9024" s="15" t="s">
        <v>8</v>
      </c>
      <c r="R9024" s="15" t="s">
        <v>8</v>
      </c>
      <c r="S9024" s="20" t="str">
        <f>HYPERLINK("http://yeinfo.com/family/I09066083.html", "ELEANOR BOYLE 1475 EN-1535 EN ID:09065772")</f>
        <v>ELEANOR BOYLE 1475 EN-1535 EN ID:09065772</v>
      </c>
      <c r="T9024" s="17"/>
      <c r="U9024" s="17"/>
      <c r="V9024" s="17"/>
      <c r="W9024" s="17"/>
    </row>
    <row r="9025" spans="3:26" x14ac:dyDescent="0.35">
      <c r="C9025" s="15" t="s">
        <v>8</v>
      </c>
      <c r="I9025" s="15" t="s">
        <v>8</v>
      </c>
      <c r="L9025" s="15" t="s">
        <v>8</v>
      </c>
      <c r="N9025" s="15" t="s">
        <v>8</v>
      </c>
      <c r="R9025" s="15" t="s">
        <v>8</v>
      </c>
      <c r="T9025" s="15" t="s">
        <v>8</v>
      </c>
    </row>
    <row r="9026" spans="3:26" x14ac:dyDescent="0.35">
      <c r="C9026" s="15" t="s">
        <v>8</v>
      </c>
      <c r="I9026" s="15" t="s">
        <v>8</v>
      </c>
      <c r="L9026" s="15" t="s">
        <v>8</v>
      </c>
      <c r="N9026" s="15" t="s">
        <v>8</v>
      </c>
      <c r="R9026" s="15" t="s">
        <v>8</v>
      </c>
      <c r="T9026" s="15" t="s">
        <v>8</v>
      </c>
      <c r="U9026" s="19" t="str">
        <f>HYPERLINK("http://yeinfo.com/family/I09065927.html", "WILLIAM HERBERT 1423 WL-1469 EN ID:09066094")</f>
        <v>WILLIAM HERBERT 1423 WL-1469 EN ID:09066094</v>
      </c>
      <c r="V9026" s="9"/>
      <c r="W9026" s="9"/>
      <c r="X9026" s="9"/>
      <c r="Y9026" s="9"/>
    </row>
    <row r="9027" spans="3:26" x14ac:dyDescent="0.35">
      <c r="C9027" s="15" t="s">
        <v>8</v>
      </c>
      <c r="I9027" s="15" t="s">
        <v>8</v>
      </c>
      <c r="L9027" s="15" t="s">
        <v>8</v>
      </c>
      <c r="N9027" s="15" t="s">
        <v>8</v>
      </c>
      <c r="R9027" s="15" t="s">
        <v>8</v>
      </c>
      <c r="T9027" s="8" t="s">
        <v>6</v>
      </c>
      <c r="U9027" s="8" t="s">
        <v>3</v>
      </c>
    </row>
    <row r="9028" spans="3:26" x14ac:dyDescent="0.35">
      <c r="C9028" s="15" t="s">
        <v>8</v>
      </c>
      <c r="I9028" s="15" t="s">
        <v>8</v>
      </c>
      <c r="L9028" s="15" t="s">
        <v>8</v>
      </c>
      <c r="N9028" s="15" t="s">
        <v>8</v>
      </c>
      <c r="R9028" s="15" t="s">
        <v>8</v>
      </c>
      <c r="T9028" s="20" t="str">
        <f>HYPERLINK("http://yeinfo.com/family/I09065915.html", "MAUDE HERBERT 1450 WL-1535 EN ID:09065927")</f>
        <v>MAUDE HERBERT 1450 WL-1535 EN ID:09065927</v>
      </c>
      <c r="U9028" s="17"/>
      <c r="V9028" s="17"/>
      <c r="W9028" s="17"/>
      <c r="X9028" s="17"/>
    </row>
    <row r="9029" spans="3:26" x14ac:dyDescent="0.35">
      <c r="C9029" s="15" t="s">
        <v>8</v>
      </c>
      <c r="I9029" s="15" t="s">
        <v>8</v>
      </c>
      <c r="L9029" s="15" t="s">
        <v>8</v>
      </c>
      <c r="N9029" s="15" t="s">
        <v>8</v>
      </c>
      <c r="R9029" s="15" t="s">
        <v>8</v>
      </c>
      <c r="U9029" s="8" t="s">
        <v>6</v>
      </c>
    </row>
    <row r="9030" spans="3:26" x14ac:dyDescent="0.35">
      <c r="C9030" s="15" t="s">
        <v>8</v>
      </c>
      <c r="I9030" s="15" t="s">
        <v>8</v>
      </c>
      <c r="L9030" s="15" t="s">
        <v>8</v>
      </c>
      <c r="N9030" s="15" t="s">
        <v>8</v>
      </c>
      <c r="R9030" s="15" t="s">
        <v>8</v>
      </c>
      <c r="U9030" s="20" t="str">
        <f>HYPERLINK("http://yeinfo.com/family/I09066094.html", "MAUD TURBERVILLE 1427 WL-1460 WL ID:09066119")</f>
        <v>MAUD TURBERVILLE 1427 WL-1460 WL ID:09066119</v>
      </c>
      <c r="V9030" s="17"/>
      <c r="W9030" s="17"/>
      <c r="X9030" s="17"/>
      <c r="Y9030" s="17"/>
    </row>
    <row r="9031" spans="3:26" x14ac:dyDescent="0.35">
      <c r="C9031" s="15" t="s">
        <v>8</v>
      </c>
      <c r="I9031" s="15" t="s">
        <v>8</v>
      </c>
      <c r="L9031" s="15" t="s">
        <v>8</v>
      </c>
      <c r="N9031" s="15" t="s">
        <v>8</v>
      </c>
      <c r="R9031" s="15" t="s">
        <v>8</v>
      </c>
    </row>
    <row r="9032" spans="3:26" x14ac:dyDescent="0.35">
      <c r="C9032" s="15" t="s">
        <v>8</v>
      </c>
      <c r="I9032" s="15" t="s">
        <v>8</v>
      </c>
      <c r="L9032" s="15" t="s">
        <v>8</v>
      </c>
      <c r="N9032" s="15" t="s">
        <v>8</v>
      </c>
      <c r="Q9032" s="19" t="str">
        <f>HYPERLINK("http://yeinfo.com/family/I09024460.html", "WILLIAM HILL 1515 EN-1594 EN ID:09048920")</f>
        <v>WILLIAM HILL 1515 EN-1594 EN ID:09048920</v>
      </c>
      <c r="R9032" s="9"/>
      <c r="S9032" s="9"/>
      <c r="T9032" s="9"/>
      <c r="U9032" s="9"/>
    </row>
    <row r="9033" spans="3:26" x14ac:dyDescent="0.35">
      <c r="C9033" s="15" t="s">
        <v>8</v>
      </c>
      <c r="I9033" s="15" t="s">
        <v>8</v>
      </c>
      <c r="L9033" s="15" t="s">
        <v>8</v>
      </c>
      <c r="N9033" s="15" t="s">
        <v>8</v>
      </c>
      <c r="Q9033" s="8" t="s">
        <v>3</v>
      </c>
      <c r="R9033" s="15" t="s">
        <v>8</v>
      </c>
    </row>
    <row r="9034" spans="3:26" x14ac:dyDescent="0.35">
      <c r="C9034" s="15" t="s">
        <v>8</v>
      </c>
      <c r="I9034" s="15" t="s">
        <v>8</v>
      </c>
      <c r="L9034" s="15" t="s">
        <v>8</v>
      </c>
      <c r="N9034" s="15" t="s">
        <v>8</v>
      </c>
      <c r="Q9034" s="15" t="s">
        <v>8</v>
      </c>
      <c r="R9034" s="15" t="s">
        <v>8</v>
      </c>
      <c r="V9034" s="19" t="str">
        <f>HYPERLINK("http://yeinfo.com/family/I09066118.html", "WILLIAM TOOSE 1376 EN-1400 EN ID:09066311")</f>
        <v>WILLIAM TOOSE 1376 EN-1400 EN ID:09066311</v>
      </c>
      <c r="W9034" s="9"/>
      <c r="X9034" s="9"/>
      <c r="Y9034" s="9"/>
      <c r="Z9034" s="9"/>
    </row>
    <row r="9035" spans="3:26" x14ac:dyDescent="0.35">
      <c r="C9035" s="15" t="s">
        <v>8</v>
      </c>
      <c r="I9035" s="15" t="s">
        <v>8</v>
      </c>
      <c r="L9035" s="15" t="s">
        <v>8</v>
      </c>
      <c r="N9035" s="15" t="s">
        <v>8</v>
      </c>
      <c r="Q9035" s="15" t="s">
        <v>8</v>
      </c>
      <c r="R9035" s="15" t="s">
        <v>8</v>
      </c>
      <c r="V9035" s="8" t="s">
        <v>3</v>
      </c>
    </row>
    <row r="9036" spans="3:26" x14ac:dyDescent="0.35">
      <c r="C9036" s="15" t="s">
        <v>8</v>
      </c>
      <c r="I9036" s="15" t="s">
        <v>8</v>
      </c>
      <c r="L9036" s="15" t="s">
        <v>8</v>
      </c>
      <c r="N9036" s="15" t="s">
        <v>8</v>
      </c>
      <c r="Q9036" s="15" t="s">
        <v>8</v>
      </c>
      <c r="R9036" s="15" t="s">
        <v>8</v>
      </c>
      <c r="U9036" s="19" t="str">
        <f>HYPERLINK("http://yeinfo.com/family/I09065949.html", "EDWARD TOOSE 1400 EN-1471 EN ID:09066118")</f>
        <v>EDWARD TOOSE 1400 EN-1471 EN ID:09066118</v>
      </c>
      <c r="V9036" s="9"/>
      <c r="W9036" s="9"/>
      <c r="X9036" s="9"/>
      <c r="Y9036" s="9"/>
    </row>
    <row r="9037" spans="3:26" x14ac:dyDescent="0.35">
      <c r="C9037" s="15" t="s">
        <v>8</v>
      </c>
      <c r="I9037" s="15" t="s">
        <v>8</v>
      </c>
      <c r="L9037" s="15" t="s">
        <v>8</v>
      </c>
      <c r="N9037" s="15" t="s">
        <v>8</v>
      </c>
      <c r="Q9037" s="15" t="s">
        <v>8</v>
      </c>
      <c r="R9037" s="15" t="s">
        <v>8</v>
      </c>
      <c r="U9037" s="8" t="s">
        <v>3</v>
      </c>
      <c r="V9037" s="8" t="s">
        <v>6</v>
      </c>
    </row>
    <row r="9038" spans="3:26" x14ac:dyDescent="0.35">
      <c r="C9038" s="15" t="s">
        <v>8</v>
      </c>
      <c r="I9038" s="15" t="s">
        <v>8</v>
      </c>
      <c r="L9038" s="15" t="s">
        <v>8</v>
      </c>
      <c r="N9038" s="15" t="s">
        <v>8</v>
      </c>
      <c r="Q9038" s="15" t="s">
        <v>8</v>
      </c>
      <c r="R9038" s="15" t="s">
        <v>8</v>
      </c>
      <c r="U9038" s="15" t="s">
        <v>8</v>
      </c>
      <c r="V9038" s="20" t="str">
        <f>HYPERLINK("http://yeinfo.com/family/I09066311.html", "ANNE ROSE 1378 EN-1400 EN ID:09066303")</f>
        <v>ANNE ROSE 1378 EN-1400 EN ID:09066303</v>
      </c>
      <c r="W9038" s="17"/>
      <c r="X9038" s="17"/>
      <c r="Y9038" s="17"/>
      <c r="Z9038" s="17"/>
    </row>
    <row r="9039" spans="3:26" x14ac:dyDescent="0.35">
      <c r="C9039" s="15" t="s">
        <v>8</v>
      </c>
      <c r="I9039" s="15" t="s">
        <v>8</v>
      </c>
      <c r="L9039" s="15" t="s">
        <v>8</v>
      </c>
      <c r="N9039" s="15" t="s">
        <v>8</v>
      </c>
      <c r="Q9039" s="15" t="s">
        <v>8</v>
      </c>
      <c r="R9039" s="15" t="s">
        <v>8</v>
      </c>
      <c r="U9039" s="15" t="s">
        <v>8</v>
      </c>
    </row>
    <row r="9040" spans="3:26" x14ac:dyDescent="0.35">
      <c r="C9040" s="15" t="s">
        <v>8</v>
      </c>
      <c r="I9040" s="15" t="s">
        <v>8</v>
      </c>
      <c r="L9040" s="15" t="s">
        <v>8</v>
      </c>
      <c r="N9040" s="15" t="s">
        <v>8</v>
      </c>
      <c r="Q9040" s="15" t="s">
        <v>8</v>
      </c>
      <c r="R9040" s="15" t="s">
        <v>8</v>
      </c>
      <c r="T9040" s="19" t="str">
        <f>HYPERLINK("http://yeinfo.com/family/I09065802.html", "ALEXANDER TOOSE 1435 EN-1489 EN ID:09065949")</f>
        <v>ALEXANDER TOOSE 1435 EN-1489 EN ID:09065949</v>
      </c>
      <c r="U9040" s="9"/>
      <c r="V9040" s="9"/>
      <c r="W9040" s="9"/>
      <c r="X9040" s="9"/>
    </row>
    <row r="9041" spans="3:25" x14ac:dyDescent="0.35">
      <c r="C9041" s="15" t="s">
        <v>8</v>
      </c>
      <c r="I9041" s="15" t="s">
        <v>8</v>
      </c>
      <c r="L9041" s="15" t="s">
        <v>8</v>
      </c>
      <c r="N9041" s="15" t="s">
        <v>8</v>
      </c>
      <c r="Q9041" s="15" t="s">
        <v>8</v>
      </c>
      <c r="R9041" s="15" t="s">
        <v>8</v>
      </c>
      <c r="T9041" s="8" t="s">
        <v>3</v>
      </c>
      <c r="U9041" s="8" t="s">
        <v>6</v>
      </c>
    </row>
    <row r="9042" spans="3:25" x14ac:dyDescent="0.35">
      <c r="C9042" s="15" t="s">
        <v>8</v>
      </c>
      <c r="I9042" s="15" t="s">
        <v>8</v>
      </c>
      <c r="L9042" s="15" t="s">
        <v>8</v>
      </c>
      <c r="N9042" s="15" t="s">
        <v>8</v>
      </c>
      <c r="Q9042" s="15" t="s">
        <v>8</v>
      </c>
      <c r="R9042" s="15" t="s">
        <v>8</v>
      </c>
      <c r="T9042" s="15" t="s">
        <v>8</v>
      </c>
      <c r="U9042" s="20" t="str">
        <f>HYPERLINK("http://yeinfo.com/family/I09066303.html", "Mrs. {_?_} TOOSE 1410 EN-1435 EN ID:09066117")</f>
        <v>Mrs. {_?_} TOOSE 1410 EN-1435 EN ID:09066117</v>
      </c>
      <c r="V9042" s="17"/>
      <c r="W9042" s="17"/>
      <c r="X9042" s="17"/>
      <c r="Y9042" s="17"/>
    </row>
    <row r="9043" spans="3:25" x14ac:dyDescent="0.35">
      <c r="C9043" s="15" t="s">
        <v>8</v>
      </c>
      <c r="I9043" s="15" t="s">
        <v>8</v>
      </c>
      <c r="L9043" s="15" t="s">
        <v>8</v>
      </c>
      <c r="N9043" s="15" t="s">
        <v>8</v>
      </c>
      <c r="Q9043" s="15" t="s">
        <v>8</v>
      </c>
      <c r="R9043" s="15" t="s">
        <v>8</v>
      </c>
      <c r="T9043" s="15" t="s">
        <v>8</v>
      </c>
    </row>
    <row r="9044" spans="3:25" x14ac:dyDescent="0.35">
      <c r="C9044" s="15" t="s">
        <v>8</v>
      </c>
      <c r="I9044" s="15" t="s">
        <v>8</v>
      </c>
      <c r="L9044" s="15" t="s">
        <v>8</v>
      </c>
      <c r="N9044" s="15" t="s">
        <v>8</v>
      </c>
      <c r="Q9044" s="15" t="s">
        <v>8</v>
      </c>
      <c r="R9044" s="15" t="s">
        <v>8</v>
      </c>
      <c r="S9044" s="19" t="str">
        <f>HYPERLINK("http://yeinfo.com/family/I09065671.html", "JOHANNES TOOSE 1464 EN-1501 EN ID:09065802")</f>
        <v>JOHANNES TOOSE 1464 EN-1501 EN ID:09065802</v>
      </c>
      <c r="T9044" s="9"/>
      <c r="U9044" s="9"/>
      <c r="V9044" s="9"/>
      <c r="W9044" s="9"/>
    </row>
    <row r="9045" spans="3:25" x14ac:dyDescent="0.35">
      <c r="C9045" s="15" t="s">
        <v>8</v>
      </c>
      <c r="I9045" s="15" t="s">
        <v>8</v>
      </c>
      <c r="L9045" s="15" t="s">
        <v>8</v>
      </c>
      <c r="N9045" s="15" t="s">
        <v>8</v>
      </c>
      <c r="Q9045" s="15" t="s">
        <v>8</v>
      </c>
      <c r="R9045" s="15" t="s">
        <v>8</v>
      </c>
      <c r="S9045" s="8" t="s">
        <v>3</v>
      </c>
      <c r="T9045" s="15" t="s">
        <v>8</v>
      </c>
    </row>
    <row r="9046" spans="3:25" x14ac:dyDescent="0.35">
      <c r="C9046" s="15" t="s">
        <v>8</v>
      </c>
      <c r="I9046" s="15" t="s">
        <v>8</v>
      </c>
      <c r="L9046" s="15" t="s">
        <v>8</v>
      </c>
      <c r="N9046" s="15" t="s">
        <v>8</v>
      </c>
      <c r="Q9046" s="15" t="s">
        <v>8</v>
      </c>
      <c r="R9046" s="15" t="s">
        <v>8</v>
      </c>
      <c r="S9046" s="15" t="s">
        <v>8</v>
      </c>
      <c r="T9046" s="15" t="s">
        <v>8</v>
      </c>
      <c r="U9046" s="19" t="str">
        <f>HYPERLINK("http://yeinfo.com/family/I09065922.html", "CHRISTOPHER JOHANNIS COMBES 1404 EN-1465 EN ID:09066084")</f>
        <v>CHRISTOPHER JOHANNIS COMBES 1404 EN-1465 EN ID:09066084</v>
      </c>
      <c r="V9046" s="9"/>
      <c r="W9046" s="9"/>
      <c r="X9046" s="9"/>
      <c r="Y9046" s="9"/>
    </row>
    <row r="9047" spans="3:25" x14ac:dyDescent="0.35">
      <c r="C9047" s="15" t="s">
        <v>8</v>
      </c>
      <c r="I9047" s="15" t="s">
        <v>8</v>
      </c>
      <c r="L9047" s="15" t="s">
        <v>8</v>
      </c>
      <c r="N9047" s="15" t="s">
        <v>8</v>
      </c>
      <c r="Q9047" s="15" t="s">
        <v>8</v>
      </c>
      <c r="R9047" s="15" t="s">
        <v>8</v>
      </c>
      <c r="S9047" s="15" t="s">
        <v>8</v>
      </c>
      <c r="T9047" s="8" t="s">
        <v>6</v>
      </c>
      <c r="U9047" s="8" t="s">
        <v>3</v>
      </c>
    </row>
    <row r="9048" spans="3:25" x14ac:dyDescent="0.35">
      <c r="C9048" s="15" t="s">
        <v>8</v>
      </c>
      <c r="I9048" s="15" t="s">
        <v>8</v>
      </c>
      <c r="L9048" s="15" t="s">
        <v>8</v>
      </c>
      <c r="N9048" s="15" t="s">
        <v>8</v>
      </c>
      <c r="Q9048" s="15" t="s">
        <v>8</v>
      </c>
      <c r="R9048" s="15" t="s">
        <v>8</v>
      </c>
      <c r="S9048" s="15" t="s">
        <v>8</v>
      </c>
      <c r="T9048" s="20" t="str">
        <f>HYPERLINK("http://yeinfo.com/family/I09066117.html", "JOAN COMBES 1440 EN-1471 EN ID:09065922")</f>
        <v>JOAN COMBES 1440 EN-1471 EN ID:09065922</v>
      </c>
      <c r="U9048" s="17"/>
      <c r="V9048" s="17"/>
      <c r="W9048" s="17"/>
      <c r="X9048" s="17"/>
    </row>
    <row r="9049" spans="3:25" x14ac:dyDescent="0.35">
      <c r="C9049" s="15" t="s">
        <v>8</v>
      </c>
      <c r="I9049" s="15" t="s">
        <v>8</v>
      </c>
      <c r="L9049" s="15" t="s">
        <v>8</v>
      </c>
      <c r="N9049" s="15" t="s">
        <v>8</v>
      </c>
      <c r="Q9049" s="15" t="s">
        <v>8</v>
      </c>
      <c r="R9049" s="15" t="s">
        <v>8</v>
      </c>
      <c r="S9049" s="15" t="s">
        <v>8</v>
      </c>
      <c r="U9049" s="8" t="s">
        <v>6</v>
      </c>
    </row>
    <row r="9050" spans="3:25" x14ac:dyDescent="0.35">
      <c r="C9050" s="15" t="s">
        <v>8</v>
      </c>
      <c r="I9050" s="15" t="s">
        <v>8</v>
      </c>
      <c r="L9050" s="15" t="s">
        <v>8</v>
      </c>
      <c r="N9050" s="15" t="s">
        <v>8</v>
      </c>
      <c r="Q9050" s="15" t="s">
        <v>8</v>
      </c>
      <c r="R9050" s="15" t="s">
        <v>8</v>
      </c>
      <c r="S9050" s="15" t="s">
        <v>8</v>
      </c>
      <c r="U9050" s="20" t="str">
        <f>HYPERLINK("http://yeinfo.com/family/I09066084.html", "ELIZABETH JOSEPH 1409 EN-1475 EN ID:09066099")</f>
        <v>ELIZABETH JOSEPH 1409 EN-1475 EN ID:09066099</v>
      </c>
      <c r="V9050" s="17"/>
      <c r="W9050" s="17"/>
      <c r="X9050" s="17"/>
      <c r="Y9050" s="17"/>
    </row>
    <row r="9051" spans="3:25" x14ac:dyDescent="0.35">
      <c r="C9051" s="15" t="s">
        <v>8</v>
      </c>
      <c r="I9051" s="15" t="s">
        <v>8</v>
      </c>
      <c r="L9051" s="15" t="s">
        <v>8</v>
      </c>
      <c r="N9051" s="15" t="s">
        <v>8</v>
      </c>
      <c r="Q9051" s="15" t="s">
        <v>8</v>
      </c>
      <c r="R9051" s="8" t="s">
        <v>6</v>
      </c>
      <c r="S9051" s="15" t="s">
        <v>8</v>
      </c>
    </row>
    <row r="9052" spans="3:25" x14ac:dyDescent="0.35">
      <c r="C9052" s="15" t="s">
        <v>8</v>
      </c>
      <c r="I9052" s="15" t="s">
        <v>8</v>
      </c>
      <c r="L9052" s="15" t="s">
        <v>8</v>
      </c>
      <c r="N9052" s="15" t="s">
        <v>8</v>
      </c>
      <c r="Q9052" s="15" t="s">
        <v>8</v>
      </c>
      <c r="R9052" s="20" t="str">
        <f>HYPERLINK("http://yeinfo.com/family/I09066119.html", "MARGERY SOMERSET TOOSE 1496 EN-1550 EN ID:09065671")</f>
        <v>MARGERY SOMERSET TOOSE 1496 EN-1550 EN ID:09065671</v>
      </c>
      <c r="S9052" s="17"/>
      <c r="T9052" s="17"/>
      <c r="U9052" s="17"/>
      <c r="V9052" s="17"/>
    </row>
    <row r="9053" spans="3:25" x14ac:dyDescent="0.35">
      <c r="C9053" s="15" t="s">
        <v>8</v>
      </c>
      <c r="I9053" s="15" t="s">
        <v>8</v>
      </c>
      <c r="L9053" s="15" t="s">
        <v>8</v>
      </c>
      <c r="N9053" s="15" t="s">
        <v>8</v>
      </c>
      <c r="Q9053" s="15" t="s">
        <v>8</v>
      </c>
      <c r="S9053" s="15" t="s">
        <v>8</v>
      </c>
    </row>
    <row r="9054" spans="3:25" x14ac:dyDescent="0.35">
      <c r="C9054" s="15" t="s">
        <v>8</v>
      </c>
      <c r="I9054" s="15" t="s">
        <v>8</v>
      </c>
      <c r="L9054" s="15" t="s">
        <v>8</v>
      </c>
      <c r="N9054" s="15" t="s">
        <v>8</v>
      </c>
      <c r="Q9054" s="15" t="s">
        <v>8</v>
      </c>
      <c r="S9054" s="15" t="s">
        <v>8</v>
      </c>
      <c r="T9054" s="19" t="str">
        <f>HYPERLINK("http://yeinfo.com/family/I09065775.html", "JOHN COMBES 1420 EN-1475 EN ID:09065921")</f>
        <v>JOHN COMBES 1420 EN-1475 EN ID:09065921</v>
      </c>
      <c r="U9054" s="9"/>
      <c r="V9054" s="9"/>
      <c r="W9054" s="9"/>
      <c r="X9054" s="9"/>
    </row>
    <row r="9055" spans="3:25" x14ac:dyDescent="0.35">
      <c r="C9055" s="15" t="s">
        <v>8</v>
      </c>
      <c r="I9055" s="15" t="s">
        <v>8</v>
      </c>
      <c r="L9055" s="15" t="s">
        <v>8</v>
      </c>
      <c r="N9055" s="15" t="s">
        <v>8</v>
      </c>
      <c r="Q9055" s="15" t="s">
        <v>8</v>
      </c>
      <c r="S9055" s="8" t="s">
        <v>6</v>
      </c>
      <c r="T9055" s="8" t="s">
        <v>3</v>
      </c>
    </row>
    <row r="9056" spans="3:25" x14ac:dyDescent="0.35">
      <c r="C9056" s="15" t="s">
        <v>8</v>
      </c>
      <c r="I9056" s="15" t="s">
        <v>8</v>
      </c>
      <c r="L9056" s="15" t="s">
        <v>8</v>
      </c>
      <c r="N9056" s="15" t="s">
        <v>8</v>
      </c>
      <c r="Q9056" s="15" t="s">
        <v>8</v>
      </c>
      <c r="S9056" s="20" t="str">
        <f>HYPERLINK("http://yeinfo.com/family/I09066099.html", "JOHANNA WILLEMINA COMBES 1475 EN-1504 EN ID:09065775")</f>
        <v>JOHANNA WILLEMINA COMBES 1475 EN-1504 EN ID:09065775</v>
      </c>
      <c r="T9056" s="17"/>
      <c r="U9056" s="17"/>
      <c r="V9056" s="17"/>
      <c r="W9056" s="17"/>
    </row>
    <row r="9057" spans="3:24" x14ac:dyDescent="0.35">
      <c r="C9057" s="15" t="s">
        <v>8</v>
      </c>
      <c r="I9057" s="15" t="s">
        <v>8</v>
      </c>
      <c r="L9057" s="15" t="s">
        <v>8</v>
      </c>
      <c r="N9057" s="15" t="s">
        <v>8</v>
      </c>
      <c r="Q9057" s="15" t="s">
        <v>8</v>
      </c>
      <c r="T9057" s="8" t="s">
        <v>6</v>
      </c>
    </row>
    <row r="9058" spans="3:24" x14ac:dyDescent="0.35">
      <c r="C9058" s="15" t="s">
        <v>8</v>
      </c>
      <c r="I9058" s="15" t="s">
        <v>8</v>
      </c>
      <c r="L9058" s="15" t="s">
        <v>8</v>
      </c>
      <c r="N9058" s="15" t="s">
        <v>8</v>
      </c>
      <c r="Q9058" s="15" t="s">
        <v>8</v>
      </c>
      <c r="T9058" s="20" t="str">
        <f>HYPERLINK("http://yeinfo.com/family/I09065921.html", "Mrs. ELIZABETH COMBES 1420 EN-1475 EN ID:09065920")</f>
        <v>Mrs. ELIZABETH COMBES 1420 EN-1475 EN ID:09065920</v>
      </c>
      <c r="U9058" s="17"/>
      <c r="V9058" s="17"/>
      <c r="W9058" s="17"/>
      <c r="X9058" s="17"/>
    </row>
    <row r="9059" spans="3:24" x14ac:dyDescent="0.35">
      <c r="C9059" s="15" t="s">
        <v>8</v>
      </c>
      <c r="I9059" s="15" t="s">
        <v>8</v>
      </c>
      <c r="L9059" s="15" t="s">
        <v>8</v>
      </c>
      <c r="N9059" s="15" t="s">
        <v>8</v>
      </c>
      <c r="Q9059" s="15" t="s">
        <v>8</v>
      </c>
    </row>
    <row r="9060" spans="3:24" x14ac:dyDescent="0.35">
      <c r="C9060" s="15" t="s">
        <v>8</v>
      </c>
      <c r="I9060" s="15" t="s">
        <v>8</v>
      </c>
      <c r="L9060" s="15" t="s">
        <v>8</v>
      </c>
      <c r="N9060" s="15" t="s">
        <v>8</v>
      </c>
      <c r="P9060" s="19" t="str">
        <f>HYPERLINK("http://yeinfo.com/family/I09012230.html", "JOHN HILL Sr. 1571 EN-1635 EN ID:09024460")</f>
        <v>JOHN HILL Sr. 1571 EN-1635 EN ID:09024460</v>
      </c>
      <c r="Q9060" s="9"/>
      <c r="R9060" s="9"/>
      <c r="S9060" s="9"/>
      <c r="T9060" s="9"/>
    </row>
    <row r="9061" spans="3:24" x14ac:dyDescent="0.35">
      <c r="C9061" s="15" t="s">
        <v>8</v>
      </c>
      <c r="I9061" s="15" t="s">
        <v>8</v>
      </c>
      <c r="L9061" s="15" t="s">
        <v>8</v>
      </c>
      <c r="N9061" s="15" t="s">
        <v>8</v>
      </c>
      <c r="P9061" s="8" t="s">
        <v>3</v>
      </c>
      <c r="Q9061" s="15" t="s">
        <v>8</v>
      </c>
    </row>
    <row r="9062" spans="3:24" x14ac:dyDescent="0.35">
      <c r="C9062" s="15" t="s">
        <v>8</v>
      </c>
      <c r="I9062" s="15" t="s">
        <v>8</v>
      </c>
      <c r="L9062" s="15" t="s">
        <v>8</v>
      </c>
      <c r="N9062" s="15" t="s">
        <v>8</v>
      </c>
      <c r="P9062" s="15" t="s">
        <v>8</v>
      </c>
      <c r="Q9062" s="15" t="s">
        <v>8</v>
      </c>
      <c r="R9062" s="19" t="str">
        <f>HYPERLINK("http://yeinfo.com/family/I09048921.html", "JOHN RYVES 1502 EN-1549 EN ID:09065664")</f>
        <v>JOHN RYVES 1502 EN-1549 EN ID:09065664</v>
      </c>
      <c r="S9062" s="9"/>
      <c r="T9062" s="9"/>
      <c r="U9062" s="9"/>
      <c r="V9062" s="9"/>
    </row>
    <row r="9063" spans="3:24" x14ac:dyDescent="0.35">
      <c r="C9063" s="15" t="s">
        <v>8</v>
      </c>
      <c r="I9063" s="15" t="s">
        <v>8</v>
      </c>
      <c r="L9063" s="15" t="s">
        <v>8</v>
      </c>
      <c r="N9063" s="15" t="s">
        <v>8</v>
      </c>
      <c r="P9063" s="15" t="s">
        <v>8</v>
      </c>
      <c r="Q9063" s="8" t="s">
        <v>6</v>
      </c>
      <c r="R9063" s="8" t="s">
        <v>3</v>
      </c>
    </row>
    <row r="9064" spans="3:24" x14ac:dyDescent="0.35">
      <c r="C9064" s="15" t="s">
        <v>8</v>
      </c>
      <c r="I9064" s="15" t="s">
        <v>8</v>
      </c>
      <c r="L9064" s="15" t="s">
        <v>8</v>
      </c>
      <c r="N9064" s="15" t="s">
        <v>8</v>
      </c>
      <c r="P9064" s="15" t="s">
        <v>8</v>
      </c>
      <c r="Q9064" s="20" t="str">
        <f>HYPERLINK("http://yeinfo.com/family/I09065920.html", "LUCY RYVES 1530 EN-1573 EN ID:09048921")</f>
        <v>LUCY RYVES 1530 EN-1573 EN ID:09048921</v>
      </c>
      <c r="R9064" s="17"/>
      <c r="S9064" s="17"/>
      <c r="T9064" s="17"/>
      <c r="U9064" s="17"/>
    </row>
    <row r="9065" spans="3:24" x14ac:dyDescent="0.35">
      <c r="C9065" s="15" t="s">
        <v>8</v>
      </c>
      <c r="I9065" s="15" t="s">
        <v>8</v>
      </c>
      <c r="L9065" s="15" t="s">
        <v>8</v>
      </c>
      <c r="N9065" s="15" t="s">
        <v>8</v>
      </c>
      <c r="P9065" s="15" t="s">
        <v>8</v>
      </c>
      <c r="R9065" s="15" t="s">
        <v>8</v>
      </c>
    </row>
    <row r="9066" spans="3:24" x14ac:dyDescent="0.35">
      <c r="C9066" s="15" t="s">
        <v>8</v>
      </c>
      <c r="I9066" s="15" t="s">
        <v>8</v>
      </c>
      <c r="L9066" s="15" t="s">
        <v>8</v>
      </c>
      <c r="N9066" s="15" t="s">
        <v>8</v>
      </c>
      <c r="P9066" s="15" t="s">
        <v>8</v>
      </c>
      <c r="R9066" s="15" t="s">
        <v>8</v>
      </c>
      <c r="S9066" s="19" t="str">
        <f>HYPERLINK("http://yeinfo.com/family/I09065649.html", "JOHN HARVEY 1481 EN-1526 EN ID:09065780")</f>
        <v>JOHN HARVEY 1481 EN-1526 EN ID:09065780</v>
      </c>
      <c r="T9066" s="9"/>
      <c r="U9066" s="9"/>
      <c r="V9066" s="9"/>
      <c r="W9066" s="9"/>
    </row>
    <row r="9067" spans="3:24" x14ac:dyDescent="0.35">
      <c r="C9067" s="15" t="s">
        <v>8</v>
      </c>
      <c r="I9067" s="15" t="s">
        <v>8</v>
      </c>
      <c r="L9067" s="15" t="s">
        <v>8</v>
      </c>
      <c r="N9067" s="15" t="s">
        <v>8</v>
      </c>
      <c r="P9067" s="15" t="s">
        <v>8</v>
      </c>
      <c r="R9067" s="8" t="s">
        <v>6</v>
      </c>
      <c r="S9067" s="8" t="s">
        <v>3</v>
      </c>
    </row>
    <row r="9068" spans="3:24" x14ac:dyDescent="0.35">
      <c r="C9068" s="15" t="s">
        <v>8</v>
      </c>
      <c r="I9068" s="15" t="s">
        <v>8</v>
      </c>
      <c r="L9068" s="15" t="s">
        <v>8</v>
      </c>
      <c r="N9068" s="15" t="s">
        <v>8</v>
      </c>
      <c r="P9068" s="15" t="s">
        <v>8</v>
      </c>
      <c r="R9068" s="20" t="str">
        <f>HYPERLINK("http://yeinfo.com/family/I09065664.html", "AMY HARVEY 1507 EN-1530 EN ID:09065649")</f>
        <v>AMY HARVEY 1507 EN-1530 EN ID:09065649</v>
      </c>
      <c r="S9068" s="17"/>
      <c r="T9068" s="17"/>
      <c r="U9068" s="17"/>
      <c r="V9068" s="17"/>
    </row>
    <row r="9069" spans="3:24" x14ac:dyDescent="0.35">
      <c r="C9069" s="15" t="s">
        <v>8</v>
      </c>
      <c r="I9069" s="15" t="s">
        <v>8</v>
      </c>
      <c r="L9069" s="15" t="s">
        <v>8</v>
      </c>
      <c r="N9069" s="15" t="s">
        <v>8</v>
      </c>
      <c r="P9069" s="15" t="s">
        <v>8</v>
      </c>
      <c r="S9069" s="8" t="s">
        <v>6</v>
      </c>
    </row>
    <row r="9070" spans="3:24" x14ac:dyDescent="0.35">
      <c r="C9070" s="15" t="s">
        <v>8</v>
      </c>
      <c r="I9070" s="15" t="s">
        <v>8</v>
      </c>
      <c r="L9070" s="15" t="s">
        <v>8</v>
      </c>
      <c r="N9070" s="15" t="s">
        <v>8</v>
      </c>
      <c r="P9070" s="15" t="s">
        <v>8</v>
      </c>
      <c r="S9070" s="20" t="str">
        <f>HYPERLINK("http://yeinfo.com/family/I09065780.html", "JOAN SEWELL 1484 EN-1516 EN ID:09065794")</f>
        <v>JOAN SEWELL 1484 EN-1516 EN ID:09065794</v>
      </c>
      <c r="T9070" s="17"/>
      <c r="U9070" s="17"/>
      <c r="V9070" s="17"/>
      <c r="W9070" s="17"/>
    </row>
    <row r="9071" spans="3:24" x14ac:dyDescent="0.35">
      <c r="C9071" s="15" t="s">
        <v>8</v>
      </c>
      <c r="I9071" s="15" t="s">
        <v>8</v>
      </c>
      <c r="L9071" s="15" t="s">
        <v>8</v>
      </c>
      <c r="N9071" s="15" t="s">
        <v>8</v>
      </c>
      <c r="P9071" s="15" t="s">
        <v>8</v>
      </c>
    </row>
    <row r="9072" spans="3:24" x14ac:dyDescent="0.35">
      <c r="C9072" s="15" t="s">
        <v>8</v>
      </c>
      <c r="I9072" s="15" t="s">
        <v>8</v>
      </c>
      <c r="L9072" s="15" t="s">
        <v>8</v>
      </c>
      <c r="N9072" s="15" t="s">
        <v>8</v>
      </c>
      <c r="O9072" s="21" t="str">
        <f>HYPERLINK("http://yeinfo.com/family/I09006115.html", "JOHN HILL II 1610 EN-1664 MA ID:09012230")</f>
        <v>JOHN HILL II 1610 EN-1664 MA ID:09012230</v>
      </c>
      <c r="P9072" s="6"/>
      <c r="Q9072" s="6"/>
      <c r="R9072" s="6"/>
      <c r="S9072" s="6"/>
    </row>
    <row r="9073" spans="3:22" x14ac:dyDescent="0.35">
      <c r="C9073" s="15" t="s">
        <v>8</v>
      </c>
      <c r="I9073" s="15" t="s">
        <v>8</v>
      </c>
      <c r="L9073" s="15" t="s">
        <v>8</v>
      </c>
      <c r="N9073" s="15" t="s">
        <v>8</v>
      </c>
      <c r="O9073" s="8" t="s">
        <v>3</v>
      </c>
      <c r="P9073" s="15" t="s">
        <v>8</v>
      </c>
    </row>
    <row r="9074" spans="3:22" x14ac:dyDescent="0.35">
      <c r="C9074" s="15" t="s">
        <v>8</v>
      </c>
      <c r="I9074" s="15" t="s">
        <v>8</v>
      </c>
      <c r="L9074" s="15" t="s">
        <v>8</v>
      </c>
      <c r="N9074" s="15" t="s">
        <v>8</v>
      </c>
      <c r="O9074" s="15" t="s">
        <v>8</v>
      </c>
      <c r="P9074" s="15" t="s">
        <v>8</v>
      </c>
      <c r="R9074" s="19" t="str">
        <f>HYPERLINK("http://yeinfo.com/family/I09048922.html", "PIERRE LOUIS GAUD 1522 MU-1588 MU ID:09065645")</f>
        <v>PIERRE LOUIS GAUD 1522 MU-1588 MU ID:09065645</v>
      </c>
      <c r="S9074" s="9"/>
      <c r="T9074" s="9"/>
      <c r="U9074" s="9"/>
      <c r="V9074" s="9"/>
    </row>
    <row r="9075" spans="3:22" x14ac:dyDescent="0.35">
      <c r="C9075" s="15" t="s">
        <v>8</v>
      </c>
      <c r="I9075" s="15" t="s">
        <v>8</v>
      </c>
      <c r="L9075" s="15" t="s">
        <v>8</v>
      </c>
      <c r="N9075" s="15" t="s">
        <v>8</v>
      </c>
      <c r="O9075" s="15" t="s">
        <v>8</v>
      </c>
      <c r="P9075" s="15" t="s">
        <v>8</v>
      </c>
      <c r="R9075" s="8" t="s">
        <v>3</v>
      </c>
    </row>
    <row r="9076" spans="3:22" x14ac:dyDescent="0.35">
      <c r="C9076" s="15" t="s">
        <v>8</v>
      </c>
      <c r="I9076" s="15" t="s">
        <v>8</v>
      </c>
      <c r="L9076" s="15" t="s">
        <v>8</v>
      </c>
      <c r="N9076" s="15" t="s">
        <v>8</v>
      </c>
      <c r="O9076" s="15" t="s">
        <v>8</v>
      </c>
      <c r="P9076" s="15" t="s">
        <v>8</v>
      </c>
      <c r="Q9076" s="19" t="str">
        <f>HYPERLINK("http://yeinfo.com/family/I09024461.html", "LOUIS ERNEST GAUD 1548 FR-1632 FR ID:09048922")</f>
        <v>LOUIS ERNEST GAUD 1548 FR-1632 FR ID:09048922</v>
      </c>
      <c r="R9076" s="9"/>
      <c r="S9076" s="9"/>
      <c r="T9076" s="9"/>
      <c r="U9076" s="9"/>
    </row>
    <row r="9077" spans="3:22" x14ac:dyDescent="0.35">
      <c r="C9077" s="15" t="s">
        <v>8</v>
      </c>
      <c r="I9077" s="15" t="s">
        <v>8</v>
      </c>
      <c r="L9077" s="15" t="s">
        <v>8</v>
      </c>
      <c r="N9077" s="15" t="s">
        <v>8</v>
      </c>
      <c r="O9077" s="15" t="s">
        <v>8</v>
      </c>
      <c r="P9077" s="15" t="s">
        <v>8</v>
      </c>
      <c r="Q9077" s="8" t="s">
        <v>3</v>
      </c>
      <c r="R9077" s="8" t="s">
        <v>6</v>
      </c>
    </row>
    <row r="9078" spans="3:22" x14ac:dyDescent="0.35">
      <c r="C9078" s="15" t="s">
        <v>8</v>
      </c>
      <c r="I9078" s="15" t="s">
        <v>8</v>
      </c>
      <c r="L9078" s="15" t="s">
        <v>8</v>
      </c>
      <c r="N9078" s="15" t="s">
        <v>8</v>
      </c>
      <c r="O9078" s="15" t="s">
        <v>8</v>
      </c>
      <c r="P9078" s="15" t="s">
        <v>8</v>
      </c>
      <c r="Q9078" s="15" t="s">
        <v>8</v>
      </c>
      <c r="R9078" s="20" t="str">
        <f>HYPERLINK("http://yeinfo.com/family/I09065645.html", "ZOE LEONCINE FAYE 1526 MU-1603 MU ID:09065644")</f>
        <v>ZOE LEONCINE FAYE 1526 MU-1603 MU ID:09065644</v>
      </c>
      <c r="S9078" s="17"/>
      <c r="T9078" s="17"/>
      <c r="U9078" s="17"/>
      <c r="V9078" s="17"/>
    </row>
    <row r="9079" spans="3:22" x14ac:dyDescent="0.35">
      <c r="C9079" s="15" t="s">
        <v>8</v>
      </c>
      <c r="I9079" s="15" t="s">
        <v>8</v>
      </c>
      <c r="L9079" s="15" t="s">
        <v>8</v>
      </c>
      <c r="N9079" s="15" t="s">
        <v>8</v>
      </c>
      <c r="O9079" s="15" t="s">
        <v>8</v>
      </c>
      <c r="P9079" s="8" t="s">
        <v>6</v>
      </c>
      <c r="Q9079" s="15" t="s">
        <v>8</v>
      </c>
    </row>
    <row r="9080" spans="3:22" x14ac:dyDescent="0.35">
      <c r="C9080" s="15" t="s">
        <v>8</v>
      </c>
      <c r="I9080" s="15" t="s">
        <v>8</v>
      </c>
      <c r="L9080" s="15" t="s">
        <v>8</v>
      </c>
      <c r="N9080" s="15" t="s">
        <v>8</v>
      </c>
      <c r="O9080" s="15" t="s">
        <v>8</v>
      </c>
      <c r="P9080" s="20" t="str">
        <f>HYPERLINK("http://yeinfo.com/family/I09065794.html", "JANE GAUD 1574 EN-1670 EN ID:09024461")</f>
        <v>JANE GAUD 1574 EN-1670 EN ID:09024461</v>
      </c>
      <c r="Q9080" s="17"/>
      <c r="R9080" s="17"/>
      <c r="S9080" s="17"/>
      <c r="T9080" s="17"/>
    </row>
    <row r="9081" spans="3:22" x14ac:dyDescent="0.35">
      <c r="C9081" s="15" t="s">
        <v>8</v>
      </c>
      <c r="I9081" s="15" t="s">
        <v>8</v>
      </c>
      <c r="L9081" s="15" t="s">
        <v>8</v>
      </c>
      <c r="N9081" s="15" t="s">
        <v>8</v>
      </c>
      <c r="O9081" s="15" t="s">
        <v>8</v>
      </c>
      <c r="Q9081" s="15" t="s">
        <v>8</v>
      </c>
    </row>
    <row r="9082" spans="3:22" x14ac:dyDescent="0.35">
      <c r="C9082" s="15" t="s">
        <v>8</v>
      </c>
      <c r="I9082" s="15" t="s">
        <v>8</v>
      </c>
      <c r="L9082" s="15" t="s">
        <v>8</v>
      </c>
      <c r="N9082" s="15" t="s">
        <v>8</v>
      </c>
      <c r="O9082" s="15" t="s">
        <v>8</v>
      </c>
      <c r="Q9082" s="15" t="s">
        <v>8</v>
      </c>
      <c r="R9082" s="19" t="str">
        <f>HYPERLINK("http://yeinfo.com/family/I09048923.html", "LOUIS ROYER 1525 MU-1552 MU ID:09065663")</f>
        <v>LOUIS ROYER 1525 MU-1552 MU ID:09065663</v>
      </c>
      <c r="S9082" s="9"/>
      <c r="T9082" s="9"/>
      <c r="U9082" s="9"/>
      <c r="V9082" s="9"/>
    </row>
    <row r="9083" spans="3:22" x14ac:dyDescent="0.35">
      <c r="C9083" s="15" t="s">
        <v>8</v>
      </c>
      <c r="I9083" s="15" t="s">
        <v>8</v>
      </c>
      <c r="L9083" s="15" t="s">
        <v>8</v>
      </c>
      <c r="N9083" s="15" t="s">
        <v>8</v>
      </c>
      <c r="O9083" s="15" t="s">
        <v>8</v>
      </c>
      <c r="Q9083" s="8" t="s">
        <v>6</v>
      </c>
      <c r="R9083" s="8" t="s">
        <v>3</v>
      </c>
    </row>
    <row r="9084" spans="3:22" x14ac:dyDescent="0.35">
      <c r="C9084" s="15" t="s">
        <v>8</v>
      </c>
      <c r="I9084" s="15" t="s">
        <v>8</v>
      </c>
      <c r="L9084" s="15" t="s">
        <v>8</v>
      </c>
      <c r="N9084" s="15" t="s">
        <v>8</v>
      </c>
      <c r="O9084" s="15" t="s">
        <v>8</v>
      </c>
      <c r="Q9084" s="20" t="str">
        <f>HYPERLINK("http://yeinfo.com/family/I09065644.html", "LOUISE RACHEL ROYER 1552 FR-1575 FR ID:09048923")</f>
        <v>LOUISE RACHEL ROYER 1552 FR-1575 FR ID:09048923</v>
      </c>
      <c r="R9084" s="17"/>
      <c r="S9084" s="17"/>
      <c r="T9084" s="17"/>
      <c r="U9084" s="17"/>
    </row>
    <row r="9085" spans="3:22" x14ac:dyDescent="0.35">
      <c r="C9085" s="15" t="s">
        <v>8</v>
      </c>
      <c r="I9085" s="15" t="s">
        <v>8</v>
      </c>
      <c r="L9085" s="15" t="s">
        <v>8</v>
      </c>
      <c r="N9085" s="15" t="s">
        <v>8</v>
      </c>
      <c r="O9085" s="15" t="s">
        <v>8</v>
      </c>
      <c r="R9085" s="8" t="s">
        <v>6</v>
      </c>
    </row>
    <row r="9086" spans="3:22" x14ac:dyDescent="0.35">
      <c r="C9086" s="15" t="s">
        <v>8</v>
      </c>
      <c r="I9086" s="15" t="s">
        <v>8</v>
      </c>
      <c r="L9086" s="15" t="s">
        <v>8</v>
      </c>
      <c r="N9086" s="15" t="s">
        <v>8</v>
      </c>
      <c r="O9086" s="15" t="s">
        <v>8</v>
      </c>
      <c r="R9086" s="20" t="str">
        <f>HYPERLINK("http://yeinfo.com/family/I09065663.html", "LOUISE JANVIER 1525 MU-1552 MU ID:09065654")</f>
        <v>LOUISE JANVIER 1525 MU-1552 MU ID:09065654</v>
      </c>
      <c r="S9086" s="17"/>
      <c r="T9086" s="17"/>
      <c r="U9086" s="17"/>
      <c r="V9086" s="17"/>
    </row>
    <row r="9087" spans="3:22" x14ac:dyDescent="0.35">
      <c r="C9087" s="15" t="s">
        <v>8</v>
      </c>
      <c r="I9087" s="15" t="s">
        <v>8</v>
      </c>
      <c r="L9087" s="15" t="s">
        <v>8</v>
      </c>
      <c r="N9087" s="8" t="s">
        <v>6</v>
      </c>
      <c r="O9087" s="15" t="s">
        <v>8</v>
      </c>
    </row>
    <row r="9088" spans="3:22" x14ac:dyDescent="0.35">
      <c r="C9088" s="15" t="s">
        <v>8</v>
      </c>
      <c r="I9088" s="15" t="s">
        <v>8</v>
      </c>
      <c r="L9088" s="15" t="s">
        <v>8</v>
      </c>
      <c r="N9088" s="16" t="str">
        <f>HYPERLINK("http://yeinfo.com/family/I09006114.html", "RUTH HILL 1637 MA-1736 MA ID:09006115")</f>
        <v>RUTH HILL 1637 MA-1736 MA ID:09006115</v>
      </c>
      <c r="O9088" s="11"/>
      <c r="P9088" s="11"/>
      <c r="Q9088" s="11"/>
      <c r="R9088" s="11"/>
    </row>
    <row r="9089" spans="3:23" x14ac:dyDescent="0.35">
      <c r="C9089" s="15" t="s">
        <v>8</v>
      </c>
      <c r="I9089" s="15" t="s">
        <v>8</v>
      </c>
      <c r="L9089" s="15" t="s">
        <v>8</v>
      </c>
      <c r="O9089" s="8" t="s">
        <v>6</v>
      </c>
    </row>
    <row r="9090" spans="3:23" x14ac:dyDescent="0.35">
      <c r="C9090" s="15" t="s">
        <v>8</v>
      </c>
      <c r="I9090" s="15" t="s">
        <v>8</v>
      </c>
      <c r="L9090" s="15" t="s">
        <v>8</v>
      </c>
      <c r="O9090" s="22" t="str">
        <f>HYPERLINK("http://yeinfo.com/family/I09065654.html", "FRANCES TILDEN 1608 EN-1637 MA ID:09012231")</f>
        <v>FRANCES TILDEN 1608 EN-1637 MA ID:09012231</v>
      </c>
      <c r="P9090" s="13"/>
      <c r="Q9090" s="13"/>
      <c r="R9090" s="13"/>
      <c r="S9090" s="13"/>
    </row>
    <row r="9091" spans="3:23" x14ac:dyDescent="0.35">
      <c r="C9091" s="15" t="s">
        <v>8</v>
      </c>
      <c r="I9091" s="15" t="s">
        <v>8</v>
      </c>
      <c r="L9091" s="15" t="s">
        <v>8</v>
      </c>
    </row>
    <row r="9092" spans="3:23" x14ac:dyDescent="0.35">
      <c r="C9092" s="15" t="s">
        <v>8</v>
      </c>
      <c r="I9092" s="15" t="s">
        <v>8</v>
      </c>
      <c r="K9092" s="5" t="str">
        <f>HYPERLINK("http://yeinfo.com/family/I09000382.html", "ISAAC GOODNOW Sr. 1716 MA-1806 VT ID:09000764")</f>
        <v>ISAAC GOODNOW Sr. 1716 MA-1806 VT ID:09000764</v>
      </c>
      <c r="L9092" s="3"/>
      <c r="M9092" s="3"/>
      <c r="N9092" s="3"/>
      <c r="O9092" s="3"/>
    </row>
    <row r="9093" spans="3:23" x14ac:dyDescent="0.35">
      <c r="C9093" s="15" t="s">
        <v>8</v>
      </c>
      <c r="I9093" s="15" t="s">
        <v>8</v>
      </c>
      <c r="K9093" s="8" t="s">
        <v>3</v>
      </c>
      <c r="L9093" s="15" t="s">
        <v>8</v>
      </c>
    </row>
    <row r="9094" spans="3:23" x14ac:dyDescent="0.35">
      <c r="C9094" s="15" t="s">
        <v>8</v>
      </c>
      <c r="I9094" s="15" t="s">
        <v>8</v>
      </c>
      <c r="K9094" s="15" t="s">
        <v>8</v>
      </c>
      <c r="L9094" s="15" t="s">
        <v>8</v>
      </c>
      <c r="P9094" s="19" t="str">
        <f>HYPERLINK("http://yeinfo.com/family/I09021788.html", "Mr. {_?_} RICE &lt;5&gt; 1560 EN-1594  ID:09021788")</f>
        <v>Mr. {_?_} RICE &lt;5&gt; 1560 EN-1594  ID:09021788</v>
      </c>
      <c r="Q9094" s="9"/>
      <c r="R9094" s="9"/>
      <c r="S9094" s="9"/>
      <c r="T9094" s="9"/>
    </row>
    <row r="9095" spans="3:23" x14ac:dyDescent="0.35">
      <c r="C9095" s="15" t="s">
        <v>8</v>
      </c>
      <c r="I9095" s="15" t="s">
        <v>8</v>
      </c>
      <c r="K9095" s="15" t="s">
        <v>8</v>
      </c>
      <c r="L9095" s="15" t="s">
        <v>8</v>
      </c>
      <c r="P9095" s="8" t="s">
        <v>3</v>
      </c>
    </row>
    <row r="9096" spans="3:23" x14ac:dyDescent="0.35">
      <c r="C9096" s="15" t="s">
        <v>8</v>
      </c>
      <c r="I9096" s="15" t="s">
        <v>8</v>
      </c>
      <c r="K9096" s="15" t="s">
        <v>8</v>
      </c>
      <c r="L9096" s="15" t="s">
        <v>8</v>
      </c>
      <c r="O9096" s="21" t="str">
        <f>HYPERLINK("http://yeinfo.com/family/I09002844.html", "EDMUND RICE &lt;4&gt; 1594 EN-1663 MA ID:09002844")</f>
        <v>EDMUND RICE &lt;4&gt; 1594 EN-1663 MA ID:09002844</v>
      </c>
      <c r="P9096" s="6"/>
      <c r="Q9096" s="6"/>
      <c r="R9096" s="6"/>
      <c r="S9096" s="6"/>
    </row>
    <row r="9097" spans="3:23" x14ac:dyDescent="0.35">
      <c r="C9097" s="15" t="s">
        <v>8</v>
      </c>
      <c r="I9097" s="15" t="s">
        <v>8</v>
      </c>
      <c r="K9097" s="15" t="s">
        <v>8</v>
      </c>
      <c r="L9097" s="15" t="s">
        <v>8</v>
      </c>
      <c r="O9097" s="8" t="s">
        <v>3</v>
      </c>
      <c r="P9097" s="8" t="s">
        <v>6</v>
      </c>
    </row>
    <row r="9098" spans="3:23" x14ac:dyDescent="0.35">
      <c r="C9098" s="15" t="s">
        <v>8</v>
      </c>
      <c r="I9098" s="15" t="s">
        <v>8</v>
      </c>
      <c r="K9098" s="15" t="s">
        <v>8</v>
      </c>
      <c r="L9098" s="15" t="s">
        <v>8</v>
      </c>
      <c r="O9098" s="15" t="s">
        <v>8</v>
      </c>
      <c r="P9098" s="20" t="str">
        <f>HYPERLINK("http://yeinfo.com/family/I09021789.html", "Mrs. {_?_} RICE &lt;5&gt; 1560 EN-1594  ID:09021789")</f>
        <v>Mrs. {_?_} RICE &lt;5&gt; 1560 EN-1594  ID:09021789</v>
      </c>
      <c r="Q9098" s="17"/>
      <c r="R9098" s="17"/>
      <c r="S9098" s="17"/>
      <c r="T9098" s="17"/>
    </row>
    <row r="9099" spans="3:23" x14ac:dyDescent="0.35">
      <c r="C9099" s="15" t="s">
        <v>8</v>
      </c>
      <c r="I9099" s="15" t="s">
        <v>8</v>
      </c>
      <c r="K9099" s="15" t="s">
        <v>8</v>
      </c>
      <c r="L9099" s="15" t="s">
        <v>8</v>
      </c>
      <c r="O9099" s="15" t="s">
        <v>8</v>
      </c>
    </row>
    <row r="9100" spans="3:23" x14ac:dyDescent="0.35">
      <c r="C9100" s="15" t="s">
        <v>8</v>
      </c>
      <c r="I9100" s="15" t="s">
        <v>8</v>
      </c>
      <c r="K9100" s="15" t="s">
        <v>8</v>
      </c>
      <c r="L9100" s="15" t="s">
        <v>8</v>
      </c>
      <c r="N9100" s="21" t="str">
        <f>HYPERLINK("http://yeinfo.com/family/I09003058.html", "MATTHEW\NICHOLAS RICE 1629 FR-1717 NY ID:09006116")</f>
        <v>MATTHEW\NICHOLAS RICE 1629 FR-1717 NY ID:09006116</v>
      </c>
      <c r="O9100" s="6"/>
      <c r="P9100" s="6"/>
      <c r="Q9100" s="6"/>
      <c r="R9100" s="6"/>
      <c r="S9100" s="6"/>
    </row>
    <row r="9101" spans="3:23" x14ac:dyDescent="0.35">
      <c r="C9101" s="15" t="s">
        <v>8</v>
      </c>
      <c r="I9101" s="15" t="s">
        <v>8</v>
      </c>
      <c r="K9101" s="15" t="s">
        <v>8</v>
      </c>
      <c r="L9101" s="15" t="s">
        <v>8</v>
      </c>
      <c r="N9101" s="8" t="s">
        <v>3</v>
      </c>
      <c r="O9101" s="15" t="s">
        <v>8</v>
      </c>
    </row>
    <row r="9102" spans="3:23" x14ac:dyDescent="0.35">
      <c r="C9102" s="15" t="s">
        <v>8</v>
      </c>
      <c r="I9102" s="15" t="s">
        <v>8</v>
      </c>
      <c r="K9102" s="15" t="s">
        <v>8</v>
      </c>
      <c r="L9102" s="15" t="s">
        <v>8</v>
      </c>
      <c r="N9102" s="15" t="s">
        <v>8</v>
      </c>
      <c r="O9102" s="15" t="s">
        <v>8</v>
      </c>
      <c r="R9102" s="19" t="str">
        <f>HYPERLINK("http://yeinfo.com/family/I09065537.html", "WILLIAM\HENRY FROST &lt;5&gt; 1480 EN-1549 EN ID:09065537")</f>
        <v>WILLIAM\HENRY FROST &lt;5&gt; 1480 EN-1549 EN ID:09065537</v>
      </c>
      <c r="S9102" s="9"/>
      <c r="T9102" s="9"/>
      <c r="U9102" s="9"/>
      <c r="V9102" s="9"/>
      <c r="W9102" s="9"/>
    </row>
    <row r="9103" spans="3:23" x14ac:dyDescent="0.35">
      <c r="C9103" s="15" t="s">
        <v>8</v>
      </c>
      <c r="I9103" s="15" t="s">
        <v>8</v>
      </c>
      <c r="K9103" s="15" t="s">
        <v>8</v>
      </c>
      <c r="L9103" s="15" t="s">
        <v>8</v>
      </c>
      <c r="N9103" s="15" t="s">
        <v>8</v>
      </c>
      <c r="O9103" s="15" t="s">
        <v>8</v>
      </c>
      <c r="R9103" s="8" t="s">
        <v>3</v>
      </c>
    </row>
    <row r="9104" spans="3:23" x14ac:dyDescent="0.35">
      <c r="C9104" s="15" t="s">
        <v>8</v>
      </c>
      <c r="I9104" s="15" t="s">
        <v>8</v>
      </c>
      <c r="K9104" s="15" t="s">
        <v>8</v>
      </c>
      <c r="L9104" s="15" t="s">
        <v>8</v>
      </c>
      <c r="N9104" s="15" t="s">
        <v>8</v>
      </c>
      <c r="O9104" s="15" t="s">
        <v>8</v>
      </c>
      <c r="Q9104" s="19" t="str">
        <f>HYPERLINK("http://yeinfo.com/family/I09043580.html", "JOHN\THOMAS FROST &lt;5&gt; 1537 -1610  ID:09043580")</f>
        <v>JOHN\THOMAS FROST &lt;5&gt; 1537 -1610  ID:09043580</v>
      </c>
      <c r="R9104" s="9"/>
      <c r="S9104" s="9"/>
      <c r="T9104" s="9"/>
      <c r="U9104" s="9"/>
      <c r="V9104" s="9"/>
    </row>
    <row r="9105" spans="3:22" x14ac:dyDescent="0.35">
      <c r="C9105" s="15" t="s">
        <v>8</v>
      </c>
      <c r="I9105" s="15" t="s">
        <v>8</v>
      </c>
      <c r="K9105" s="15" t="s">
        <v>8</v>
      </c>
      <c r="L9105" s="15" t="s">
        <v>8</v>
      </c>
      <c r="N9105" s="15" t="s">
        <v>8</v>
      </c>
      <c r="O9105" s="15" t="s">
        <v>8</v>
      </c>
      <c r="Q9105" s="8" t="s">
        <v>3</v>
      </c>
      <c r="R9105" s="8" t="s">
        <v>6</v>
      </c>
    </row>
    <row r="9106" spans="3:22" x14ac:dyDescent="0.35">
      <c r="C9106" s="15" t="s">
        <v>8</v>
      </c>
      <c r="I9106" s="15" t="s">
        <v>8</v>
      </c>
      <c r="K9106" s="15" t="s">
        <v>8</v>
      </c>
      <c r="L9106" s="15" t="s">
        <v>8</v>
      </c>
      <c r="N9106" s="15" t="s">
        <v>8</v>
      </c>
      <c r="O9106" s="15" t="s">
        <v>8</v>
      </c>
      <c r="Q9106" s="15" t="s">
        <v>8</v>
      </c>
      <c r="R9106" s="20" t="str">
        <f>HYPERLINK("http://yeinfo.com/family/I09065538.html", "PHILLIPA SCOTT &lt;5&gt; 1505 EN-1558 EN ID:09065538")</f>
        <v>PHILLIPA SCOTT &lt;5&gt; 1505 EN-1558 EN ID:09065538</v>
      </c>
      <c r="S9106" s="17"/>
      <c r="T9106" s="17"/>
      <c r="U9106" s="17"/>
      <c r="V9106" s="17"/>
    </row>
    <row r="9107" spans="3:22" x14ac:dyDescent="0.35">
      <c r="C9107" s="15" t="s">
        <v>8</v>
      </c>
      <c r="I9107" s="15" t="s">
        <v>8</v>
      </c>
      <c r="K9107" s="15" t="s">
        <v>8</v>
      </c>
      <c r="L9107" s="15" t="s">
        <v>8</v>
      </c>
      <c r="N9107" s="15" t="s">
        <v>8</v>
      </c>
      <c r="O9107" s="15" t="s">
        <v>8</v>
      </c>
      <c r="Q9107" s="15" t="s">
        <v>8</v>
      </c>
    </row>
    <row r="9108" spans="3:22" x14ac:dyDescent="0.35">
      <c r="C9108" s="15" t="s">
        <v>8</v>
      </c>
      <c r="I9108" s="15" t="s">
        <v>8</v>
      </c>
      <c r="K9108" s="15" t="s">
        <v>8</v>
      </c>
      <c r="L9108" s="15" t="s">
        <v>8</v>
      </c>
      <c r="N9108" s="15" t="s">
        <v>8</v>
      </c>
      <c r="O9108" s="15" t="s">
        <v>8</v>
      </c>
      <c r="P9108" s="19" t="str">
        <f>HYPERLINK("http://yeinfo.com/family/I09021790.html", "EDWARD\EDMUND FROST &lt;5&gt; 1560 EN-1616 EN ID:09021790")</f>
        <v>EDWARD\EDMUND FROST &lt;5&gt; 1560 EN-1616 EN ID:09021790</v>
      </c>
      <c r="Q9108" s="9"/>
      <c r="R9108" s="9"/>
      <c r="S9108" s="9"/>
      <c r="T9108" s="9"/>
      <c r="U9108" s="9"/>
    </row>
    <row r="9109" spans="3:22" x14ac:dyDescent="0.35">
      <c r="C9109" s="15" t="s">
        <v>8</v>
      </c>
      <c r="I9109" s="15" t="s">
        <v>8</v>
      </c>
      <c r="K9109" s="15" t="s">
        <v>8</v>
      </c>
      <c r="L9109" s="15" t="s">
        <v>8</v>
      </c>
      <c r="N9109" s="15" t="s">
        <v>8</v>
      </c>
      <c r="O9109" s="15" t="s">
        <v>8</v>
      </c>
      <c r="P9109" s="8" t="s">
        <v>3</v>
      </c>
      <c r="Q9109" s="15" t="s">
        <v>8</v>
      </c>
    </row>
    <row r="9110" spans="3:22" x14ac:dyDescent="0.35">
      <c r="C9110" s="15" t="s">
        <v>8</v>
      </c>
      <c r="I9110" s="15" t="s">
        <v>8</v>
      </c>
      <c r="K9110" s="15" t="s">
        <v>8</v>
      </c>
      <c r="L9110" s="15" t="s">
        <v>8</v>
      </c>
      <c r="N9110" s="15" t="s">
        <v>8</v>
      </c>
      <c r="O9110" s="15" t="s">
        <v>8</v>
      </c>
      <c r="P9110" s="15" t="s">
        <v>8</v>
      </c>
      <c r="Q9110" s="15" t="s">
        <v>8</v>
      </c>
      <c r="R9110" s="19" t="str">
        <f>HYPERLINK("http://yeinfo.com/family/I09065539.html", "RICHARD SCOTT &lt;5&gt; 1505 EN-1565 EN ID:09065539")</f>
        <v>RICHARD SCOTT &lt;5&gt; 1505 EN-1565 EN ID:09065539</v>
      </c>
      <c r="S9110" s="9"/>
      <c r="T9110" s="9"/>
      <c r="U9110" s="9"/>
      <c r="V9110" s="9"/>
    </row>
    <row r="9111" spans="3:22" x14ac:dyDescent="0.35">
      <c r="C9111" s="15" t="s">
        <v>8</v>
      </c>
      <c r="I9111" s="15" t="s">
        <v>8</v>
      </c>
      <c r="K9111" s="15" t="s">
        <v>8</v>
      </c>
      <c r="L9111" s="15" t="s">
        <v>8</v>
      </c>
      <c r="N9111" s="15" t="s">
        <v>8</v>
      </c>
      <c r="O9111" s="15" t="s">
        <v>8</v>
      </c>
      <c r="P9111" s="15" t="s">
        <v>8</v>
      </c>
      <c r="Q9111" s="8" t="s">
        <v>6</v>
      </c>
      <c r="R9111" s="8" t="s">
        <v>3</v>
      </c>
    </row>
    <row r="9112" spans="3:22" x14ac:dyDescent="0.35">
      <c r="C9112" s="15" t="s">
        <v>8</v>
      </c>
      <c r="I9112" s="15" t="s">
        <v>8</v>
      </c>
      <c r="K9112" s="15" t="s">
        <v>8</v>
      </c>
      <c r="L9112" s="15" t="s">
        <v>8</v>
      </c>
      <c r="N9112" s="15" t="s">
        <v>8</v>
      </c>
      <c r="O9112" s="15" t="s">
        <v>8</v>
      </c>
      <c r="P9112" s="15" t="s">
        <v>8</v>
      </c>
      <c r="Q9112" s="20" t="str">
        <f>HYPERLINK("http://yeinfo.com/family/I09043581.html", "ANN SCOTT &lt;5&gt; 1540 -1588  ID:09043581")</f>
        <v>ANN SCOTT &lt;5&gt; 1540 -1588  ID:09043581</v>
      </c>
      <c r="R9112" s="17"/>
      <c r="S9112" s="17"/>
      <c r="T9112" s="17"/>
      <c r="U9112" s="17"/>
    </row>
    <row r="9113" spans="3:22" x14ac:dyDescent="0.35">
      <c r="C9113" s="15" t="s">
        <v>8</v>
      </c>
      <c r="I9113" s="15" t="s">
        <v>8</v>
      </c>
      <c r="K9113" s="15" t="s">
        <v>8</v>
      </c>
      <c r="L9113" s="15" t="s">
        <v>8</v>
      </c>
      <c r="N9113" s="15" t="s">
        <v>8</v>
      </c>
      <c r="O9113" s="15" t="s">
        <v>8</v>
      </c>
      <c r="P9113" s="15" t="s">
        <v>8</v>
      </c>
      <c r="R9113" s="8" t="s">
        <v>6</v>
      </c>
    </row>
    <row r="9114" spans="3:22" x14ac:dyDescent="0.35">
      <c r="C9114" s="15" t="s">
        <v>8</v>
      </c>
      <c r="I9114" s="15" t="s">
        <v>8</v>
      </c>
      <c r="K9114" s="15" t="s">
        <v>8</v>
      </c>
      <c r="L9114" s="15" t="s">
        <v>8</v>
      </c>
      <c r="N9114" s="15" t="s">
        <v>8</v>
      </c>
      <c r="O9114" s="15" t="s">
        <v>8</v>
      </c>
      <c r="P9114" s="15" t="s">
        <v>8</v>
      </c>
      <c r="R9114" s="20" t="str">
        <f>HYPERLINK("http://yeinfo.com/family/I09065540.html", "Mrs. JOANNA SCOTT &lt;5&gt; 1505 EN-1556 EN ID:09065540")</f>
        <v>Mrs. JOANNA SCOTT &lt;5&gt; 1505 EN-1556 EN ID:09065540</v>
      </c>
      <c r="S9114" s="17"/>
      <c r="T9114" s="17"/>
      <c r="U9114" s="17"/>
      <c r="V9114" s="17"/>
    </row>
    <row r="9115" spans="3:22" x14ac:dyDescent="0.35">
      <c r="C9115" s="15" t="s">
        <v>8</v>
      </c>
      <c r="I9115" s="15" t="s">
        <v>8</v>
      </c>
      <c r="K9115" s="15" t="s">
        <v>8</v>
      </c>
      <c r="L9115" s="15" t="s">
        <v>8</v>
      </c>
      <c r="N9115" s="15" t="s">
        <v>8</v>
      </c>
      <c r="O9115" s="8" t="s">
        <v>6</v>
      </c>
      <c r="P9115" s="15" t="s">
        <v>8</v>
      </c>
    </row>
    <row r="9116" spans="3:22" x14ac:dyDescent="0.35">
      <c r="C9116" s="15" t="s">
        <v>8</v>
      </c>
      <c r="I9116" s="15" t="s">
        <v>8</v>
      </c>
      <c r="K9116" s="15" t="s">
        <v>8</v>
      </c>
      <c r="L9116" s="15" t="s">
        <v>8</v>
      </c>
      <c r="N9116" s="15" t="s">
        <v>8</v>
      </c>
      <c r="O9116" s="16" t="str">
        <f>HYPERLINK("http://yeinfo.com/family/I09002845.html", "THOMAZINE\ESTHER FROST &lt;4&gt; 1600 -1654  ID:09002845")</f>
        <v>THOMAZINE\ESTHER FROST &lt;4&gt; 1600 -1654  ID:09002845</v>
      </c>
      <c r="P9116" s="11"/>
      <c r="Q9116" s="11"/>
      <c r="R9116" s="11"/>
      <c r="S9116" s="11"/>
      <c r="T9116" s="11"/>
    </row>
    <row r="9117" spans="3:22" x14ac:dyDescent="0.35">
      <c r="C9117" s="15" t="s">
        <v>8</v>
      </c>
      <c r="I9117" s="15" t="s">
        <v>8</v>
      </c>
      <c r="K9117" s="15" t="s">
        <v>8</v>
      </c>
      <c r="L9117" s="15" t="s">
        <v>8</v>
      </c>
      <c r="N9117" s="15" t="s">
        <v>8</v>
      </c>
      <c r="P9117" s="15" t="s">
        <v>8</v>
      </c>
    </row>
    <row r="9118" spans="3:22" x14ac:dyDescent="0.35">
      <c r="C9118" s="15" t="s">
        <v>8</v>
      </c>
      <c r="I9118" s="15" t="s">
        <v>8</v>
      </c>
      <c r="K9118" s="15" t="s">
        <v>8</v>
      </c>
      <c r="L9118" s="15" t="s">
        <v>8</v>
      </c>
      <c r="N9118" s="15" t="s">
        <v>8</v>
      </c>
      <c r="P9118" s="15" t="s">
        <v>8</v>
      </c>
      <c r="Q9118" s="19" t="str">
        <f>HYPERLINK("http://yeinfo.com/family/I09043582.html", "JOHN BELGRAVE &lt;5&gt; 1535 EN-1591 EN ID:09043582")</f>
        <v>JOHN BELGRAVE &lt;5&gt; 1535 EN-1591 EN ID:09043582</v>
      </c>
      <c r="R9118" s="9"/>
      <c r="S9118" s="9"/>
      <c r="T9118" s="9"/>
      <c r="U9118" s="9"/>
    </row>
    <row r="9119" spans="3:22" x14ac:dyDescent="0.35">
      <c r="C9119" s="15" t="s">
        <v>8</v>
      </c>
      <c r="I9119" s="15" t="s">
        <v>8</v>
      </c>
      <c r="K9119" s="15" t="s">
        <v>8</v>
      </c>
      <c r="L9119" s="15" t="s">
        <v>8</v>
      </c>
      <c r="N9119" s="15" t="s">
        <v>8</v>
      </c>
      <c r="P9119" s="8" t="s">
        <v>6</v>
      </c>
      <c r="Q9119" s="8" t="s">
        <v>3</v>
      </c>
    </row>
    <row r="9120" spans="3:22" x14ac:dyDescent="0.35">
      <c r="C9120" s="15" t="s">
        <v>8</v>
      </c>
      <c r="I9120" s="15" t="s">
        <v>8</v>
      </c>
      <c r="K9120" s="15" t="s">
        <v>8</v>
      </c>
      <c r="L9120" s="15" t="s">
        <v>8</v>
      </c>
      <c r="N9120" s="15" t="s">
        <v>8</v>
      </c>
      <c r="P9120" s="16" t="str">
        <f>HYPERLINK("http://yeinfo.com/family/I09021791.html", "THOMASINE BELGRAVE &lt;5&gt; 1562 -1653 EN ID:09021791")</f>
        <v>THOMASINE BELGRAVE &lt;5&gt; 1562 -1653 EN ID:09021791</v>
      </c>
      <c r="Q9120" s="11"/>
      <c r="R9120" s="11"/>
      <c r="S9120" s="11"/>
      <c r="T9120" s="11"/>
    </row>
    <row r="9121" spans="3:24" x14ac:dyDescent="0.35">
      <c r="C9121" s="15" t="s">
        <v>8</v>
      </c>
      <c r="I9121" s="15" t="s">
        <v>8</v>
      </c>
      <c r="K9121" s="15" t="s">
        <v>8</v>
      </c>
      <c r="L9121" s="15" t="s">
        <v>8</v>
      </c>
      <c r="N9121" s="15" t="s">
        <v>8</v>
      </c>
      <c r="Q9121" s="15" t="s">
        <v>8</v>
      </c>
    </row>
    <row r="9122" spans="3:24" x14ac:dyDescent="0.35">
      <c r="C9122" s="15" t="s">
        <v>8</v>
      </c>
      <c r="I9122" s="15" t="s">
        <v>8</v>
      </c>
      <c r="K9122" s="15" t="s">
        <v>8</v>
      </c>
      <c r="L9122" s="15" t="s">
        <v>8</v>
      </c>
      <c r="N9122" s="15" t="s">
        <v>8</v>
      </c>
      <c r="Q9122" s="15" t="s">
        <v>8</v>
      </c>
      <c r="T9122" s="19" t="str">
        <f>HYPERLINK("http://yeinfo.com/family/I09065805.html", "JOHN STRUTT &lt;5&gt; 1450 EN-1516 EN ID:09065805")</f>
        <v>JOHN STRUTT &lt;5&gt; 1450 EN-1516 EN ID:09065805</v>
      </c>
      <c r="U9122" s="9"/>
      <c r="V9122" s="9"/>
      <c r="W9122" s="9"/>
      <c r="X9122" s="9"/>
    </row>
    <row r="9123" spans="3:24" x14ac:dyDescent="0.35">
      <c r="C9123" s="15" t="s">
        <v>8</v>
      </c>
      <c r="I9123" s="15" t="s">
        <v>8</v>
      </c>
      <c r="K9123" s="15" t="s">
        <v>8</v>
      </c>
      <c r="L9123" s="15" t="s">
        <v>8</v>
      </c>
      <c r="N9123" s="15" t="s">
        <v>8</v>
      </c>
      <c r="Q9123" s="15" t="s">
        <v>8</v>
      </c>
      <c r="T9123" s="8" t="s">
        <v>3</v>
      </c>
    </row>
    <row r="9124" spans="3:24" x14ac:dyDescent="0.35">
      <c r="C9124" s="15" t="s">
        <v>8</v>
      </c>
      <c r="I9124" s="15" t="s">
        <v>8</v>
      </c>
      <c r="K9124" s="15" t="s">
        <v>8</v>
      </c>
      <c r="L9124" s="15" t="s">
        <v>8</v>
      </c>
      <c r="N9124" s="15" t="s">
        <v>8</v>
      </c>
      <c r="Q9124" s="15" t="s">
        <v>8</v>
      </c>
      <c r="S9124" s="19" t="str">
        <f>HYPERLINK("http://yeinfo.com/family/I09065679.html", "THOMAS STRUTT &lt;5&gt; 1475 EN-1548 EN ID:09065679")</f>
        <v>THOMAS STRUTT &lt;5&gt; 1475 EN-1548 EN ID:09065679</v>
      </c>
      <c r="T9124" s="9"/>
      <c r="U9124" s="9"/>
      <c r="V9124" s="9"/>
      <c r="W9124" s="9"/>
    </row>
    <row r="9125" spans="3:24" x14ac:dyDescent="0.35">
      <c r="C9125" s="15" t="s">
        <v>8</v>
      </c>
      <c r="I9125" s="15" t="s">
        <v>8</v>
      </c>
      <c r="K9125" s="15" t="s">
        <v>8</v>
      </c>
      <c r="L9125" s="15" t="s">
        <v>8</v>
      </c>
      <c r="N9125" s="15" t="s">
        <v>8</v>
      </c>
      <c r="Q9125" s="15" t="s">
        <v>8</v>
      </c>
      <c r="S9125" s="8" t="s">
        <v>3</v>
      </c>
      <c r="T9125" s="8" t="s">
        <v>6</v>
      </c>
    </row>
    <row r="9126" spans="3:24" x14ac:dyDescent="0.35">
      <c r="C9126" s="15" t="s">
        <v>8</v>
      </c>
      <c r="I9126" s="15" t="s">
        <v>8</v>
      </c>
      <c r="K9126" s="15" t="s">
        <v>8</v>
      </c>
      <c r="L9126" s="15" t="s">
        <v>8</v>
      </c>
      <c r="N9126" s="15" t="s">
        <v>8</v>
      </c>
      <c r="Q9126" s="15" t="s">
        <v>8</v>
      </c>
      <c r="S9126" s="15" t="s">
        <v>8</v>
      </c>
      <c r="T9126" s="20" t="str">
        <f>HYPERLINK("http://yeinfo.com/family/I09065806.html", "ISABELLE ELIZABETH GOLDING &lt;5&gt; 1450 EN-1526 EN ID:09065806")</f>
        <v>ISABELLE ELIZABETH GOLDING &lt;5&gt; 1450 EN-1526 EN ID:09065806</v>
      </c>
      <c r="U9126" s="17"/>
      <c r="V9126" s="17"/>
      <c r="W9126" s="17"/>
      <c r="X9126" s="17"/>
    </row>
    <row r="9127" spans="3:24" x14ac:dyDescent="0.35">
      <c r="C9127" s="15" t="s">
        <v>8</v>
      </c>
      <c r="I9127" s="15" t="s">
        <v>8</v>
      </c>
      <c r="K9127" s="15" t="s">
        <v>8</v>
      </c>
      <c r="L9127" s="15" t="s">
        <v>8</v>
      </c>
      <c r="N9127" s="15" t="s">
        <v>8</v>
      </c>
      <c r="Q9127" s="15" t="s">
        <v>8</v>
      </c>
      <c r="S9127" s="15" t="s">
        <v>8</v>
      </c>
    </row>
    <row r="9128" spans="3:24" x14ac:dyDescent="0.35">
      <c r="C9128" s="15" t="s">
        <v>8</v>
      </c>
      <c r="I9128" s="15" t="s">
        <v>8</v>
      </c>
      <c r="K9128" s="15" t="s">
        <v>8</v>
      </c>
      <c r="L9128" s="15" t="s">
        <v>8</v>
      </c>
      <c r="N9128" s="15" t="s">
        <v>8</v>
      </c>
      <c r="Q9128" s="15" t="s">
        <v>8</v>
      </c>
      <c r="R9128" s="19" t="str">
        <f>HYPERLINK("http://yeinfo.com/family/I09065541.html", "JOHN STRUTT &lt;5&gt; 1502 EN-1591 EN ID:09065541")</f>
        <v>JOHN STRUTT &lt;5&gt; 1502 EN-1591 EN ID:09065541</v>
      </c>
      <c r="S9128" s="9"/>
      <c r="T9128" s="9"/>
      <c r="U9128" s="9"/>
      <c r="V9128" s="9"/>
    </row>
    <row r="9129" spans="3:24" x14ac:dyDescent="0.35">
      <c r="C9129" s="15" t="s">
        <v>8</v>
      </c>
      <c r="I9129" s="15" t="s">
        <v>8</v>
      </c>
      <c r="K9129" s="15" t="s">
        <v>8</v>
      </c>
      <c r="L9129" s="15" t="s">
        <v>8</v>
      </c>
      <c r="N9129" s="15" t="s">
        <v>8</v>
      </c>
      <c r="Q9129" s="15" t="s">
        <v>8</v>
      </c>
      <c r="R9129" s="8" t="s">
        <v>3</v>
      </c>
      <c r="S9129" s="8" t="s">
        <v>6</v>
      </c>
    </row>
    <row r="9130" spans="3:24" x14ac:dyDescent="0.35">
      <c r="C9130" s="15" t="s">
        <v>8</v>
      </c>
      <c r="I9130" s="15" t="s">
        <v>8</v>
      </c>
      <c r="K9130" s="15" t="s">
        <v>8</v>
      </c>
      <c r="L9130" s="15" t="s">
        <v>8</v>
      </c>
      <c r="N9130" s="15" t="s">
        <v>8</v>
      </c>
      <c r="Q9130" s="15" t="s">
        <v>8</v>
      </c>
      <c r="R9130" s="15" t="s">
        <v>8</v>
      </c>
      <c r="S9130" s="20" t="str">
        <f>HYPERLINK("http://yeinfo.com/family/I09065680.html", "Mrs. JOHANE STRUTT &lt;5&gt; 1480 EN-1510 EN ID:09065680")</f>
        <v>Mrs. JOHANE STRUTT &lt;5&gt; 1480 EN-1510 EN ID:09065680</v>
      </c>
      <c r="T9130" s="17"/>
      <c r="U9130" s="17"/>
      <c r="V9130" s="17"/>
      <c r="W9130" s="17"/>
    </row>
    <row r="9131" spans="3:24" x14ac:dyDescent="0.35">
      <c r="C9131" s="15" t="s">
        <v>8</v>
      </c>
      <c r="I9131" s="15" t="s">
        <v>8</v>
      </c>
      <c r="K9131" s="15" t="s">
        <v>8</v>
      </c>
      <c r="L9131" s="15" t="s">
        <v>8</v>
      </c>
      <c r="N9131" s="15" t="s">
        <v>8</v>
      </c>
      <c r="Q9131" s="8" t="s">
        <v>6</v>
      </c>
      <c r="R9131" s="15" t="s">
        <v>8</v>
      </c>
    </row>
    <row r="9132" spans="3:24" x14ac:dyDescent="0.35">
      <c r="C9132" s="15" t="s">
        <v>8</v>
      </c>
      <c r="I9132" s="15" t="s">
        <v>8</v>
      </c>
      <c r="K9132" s="15" t="s">
        <v>8</v>
      </c>
      <c r="L9132" s="15" t="s">
        <v>8</v>
      </c>
      <c r="N9132" s="15" t="s">
        <v>8</v>
      </c>
      <c r="Q9132" s="20" t="str">
        <f>HYPERLINK("http://yeinfo.com/family/I09043583.html", "JOANNA STRUTT &lt;5&gt; 1538 EN-1577 EN ID:09043583")</f>
        <v>JOANNA STRUTT &lt;5&gt; 1538 EN-1577 EN ID:09043583</v>
      </c>
      <c r="R9132" s="17"/>
      <c r="S9132" s="17"/>
      <c r="T9132" s="17"/>
      <c r="U9132" s="17"/>
    </row>
    <row r="9133" spans="3:24" x14ac:dyDescent="0.35">
      <c r="C9133" s="15" t="s">
        <v>8</v>
      </c>
      <c r="I9133" s="15" t="s">
        <v>8</v>
      </c>
      <c r="K9133" s="15" t="s">
        <v>8</v>
      </c>
      <c r="L9133" s="15" t="s">
        <v>8</v>
      </c>
      <c r="N9133" s="15" t="s">
        <v>8</v>
      </c>
      <c r="R9133" s="8" t="s">
        <v>6</v>
      </c>
    </row>
    <row r="9134" spans="3:24" x14ac:dyDescent="0.35">
      <c r="C9134" s="15" t="s">
        <v>8</v>
      </c>
      <c r="I9134" s="15" t="s">
        <v>8</v>
      </c>
      <c r="K9134" s="15" t="s">
        <v>8</v>
      </c>
      <c r="L9134" s="15" t="s">
        <v>8</v>
      </c>
      <c r="N9134" s="15" t="s">
        <v>8</v>
      </c>
      <c r="R9134" s="20" t="str">
        <f>HYPERLINK("http://yeinfo.com/family/I09065542.html", "CATHERINE\JOHANNA SCOTT &lt;5&gt; 1510 EN-1578 EN ID:09065542")</f>
        <v>CATHERINE\JOHANNA SCOTT &lt;5&gt; 1510 EN-1578 EN ID:09065542</v>
      </c>
      <c r="S9134" s="17"/>
      <c r="T9134" s="17"/>
      <c r="U9134" s="17"/>
      <c r="V9134" s="17"/>
      <c r="W9134" s="17"/>
    </row>
    <row r="9135" spans="3:24" x14ac:dyDescent="0.35">
      <c r="C9135" s="15" t="s">
        <v>8</v>
      </c>
      <c r="I9135" s="15" t="s">
        <v>8</v>
      </c>
      <c r="K9135" s="15" t="s">
        <v>8</v>
      </c>
      <c r="L9135" s="15" t="s">
        <v>8</v>
      </c>
      <c r="N9135" s="15" t="s">
        <v>8</v>
      </c>
    </row>
    <row r="9136" spans="3:24" x14ac:dyDescent="0.35">
      <c r="C9136" s="15" t="s">
        <v>8</v>
      </c>
      <c r="I9136" s="15" t="s">
        <v>8</v>
      </c>
      <c r="K9136" s="15" t="s">
        <v>8</v>
      </c>
      <c r="L9136" s="15" t="s">
        <v>8</v>
      </c>
      <c r="M9136" s="5" t="str">
        <f>HYPERLINK("http://yeinfo.com/family/I09001529.html", "ISAAC RICE 1668 MA-1718  ID:09003058")</f>
        <v>ISAAC RICE 1668 MA-1718  ID:09003058</v>
      </c>
      <c r="N9136" s="3"/>
      <c r="O9136" s="3"/>
      <c r="P9136" s="3"/>
      <c r="Q9136" s="3"/>
    </row>
    <row r="9137" spans="3:19" x14ac:dyDescent="0.35">
      <c r="C9137" s="15" t="s">
        <v>8</v>
      </c>
      <c r="I9137" s="15" t="s">
        <v>8</v>
      </c>
      <c r="K9137" s="15" t="s">
        <v>8</v>
      </c>
      <c r="L9137" s="15" t="s">
        <v>8</v>
      </c>
      <c r="M9137" s="8" t="s">
        <v>3</v>
      </c>
      <c r="N9137" s="8" t="s">
        <v>6</v>
      </c>
    </row>
    <row r="9138" spans="3:19" x14ac:dyDescent="0.35">
      <c r="C9138" s="15" t="s">
        <v>8</v>
      </c>
      <c r="I9138" s="15" t="s">
        <v>8</v>
      </c>
      <c r="K9138" s="15" t="s">
        <v>8</v>
      </c>
      <c r="L9138" s="15" t="s">
        <v>8</v>
      </c>
      <c r="M9138" s="15" t="s">
        <v>8</v>
      </c>
      <c r="N9138" s="22" t="str">
        <f>HYPERLINK("http://yeinfo.com/family/I09006116.html", "MARTHA LAMSON 1634 EN-1671 MA ID:09006117")</f>
        <v>MARTHA LAMSON 1634 EN-1671 MA ID:09006117</v>
      </c>
      <c r="O9138" s="13"/>
      <c r="P9138" s="13"/>
      <c r="Q9138" s="13"/>
      <c r="R9138" s="13"/>
    </row>
    <row r="9139" spans="3:19" x14ac:dyDescent="0.35">
      <c r="C9139" s="15" t="s">
        <v>8</v>
      </c>
      <c r="I9139" s="15" t="s">
        <v>8</v>
      </c>
      <c r="K9139" s="15" t="s">
        <v>8</v>
      </c>
      <c r="L9139" s="8" t="s">
        <v>6</v>
      </c>
      <c r="M9139" s="15" t="s">
        <v>8</v>
      </c>
    </row>
    <row r="9140" spans="3:19" x14ac:dyDescent="0.35">
      <c r="C9140" s="15" t="s">
        <v>8</v>
      </c>
      <c r="I9140" s="15" t="s">
        <v>8</v>
      </c>
      <c r="K9140" s="15" t="s">
        <v>8</v>
      </c>
      <c r="L9140" s="16" t="str">
        <f>HYPERLINK("http://yeinfo.com/family/I09012231.html", "RUTH RICE 1695 MA-1782  ID:09001529")</f>
        <v>RUTH RICE 1695 MA-1782  ID:09001529</v>
      </c>
      <c r="M9140" s="11"/>
      <c r="N9140" s="11"/>
      <c r="O9140" s="11"/>
      <c r="P9140" s="11"/>
    </row>
    <row r="9141" spans="3:19" x14ac:dyDescent="0.35">
      <c r="C9141" s="15" t="s">
        <v>8</v>
      </c>
      <c r="I9141" s="15" t="s">
        <v>8</v>
      </c>
      <c r="K9141" s="15" t="s">
        <v>8</v>
      </c>
      <c r="M9141" s="15" t="s">
        <v>8</v>
      </c>
    </row>
    <row r="9142" spans="3:19" x14ac:dyDescent="0.35">
      <c r="C9142" s="15" t="s">
        <v>8</v>
      </c>
      <c r="I9142" s="15" t="s">
        <v>8</v>
      </c>
      <c r="K9142" s="15" t="s">
        <v>8</v>
      </c>
      <c r="M9142" s="15" t="s">
        <v>8</v>
      </c>
      <c r="N9142" s="5" t="str">
        <f>HYPERLINK("http://yeinfo.com/family/I09003059.html", "ISAAC\SAMUEL EDWARD COLLINS 1636 EN-1696  ID:09006118")</f>
        <v>ISAAC\SAMUEL EDWARD COLLINS 1636 EN-1696  ID:09006118</v>
      </c>
      <c r="O9142" s="3"/>
      <c r="P9142" s="3"/>
      <c r="Q9142" s="3"/>
      <c r="R9142" s="3"/>
      <c r="S9142" s="3"/>
    </row>
    <row r="9143" spans="3:19" x14ac:dyDescent="0.35">
      <c r="C9143" s="15" t="s">
        <v>8</v>
      </c>
      <c r="I9143" s="15" t="s">
        <v>8</v>
      </c>
      <c r="K9143" s="15" t="s">
        <v>8</v>
      </c>
      <c r="M9143" s="8" t="s">
        <v>6</v>
      </c>
      <c r="N9143" s="8" t="s">
        <v>3</v>
      </c>
    </row>
    <row r="9144" spans="3:19" x14ac:dyDescent="0.35">
      <c r="C9144" s="15" t="s">
        <v>8</v>
      </c>
      <c r="I9144" s="15" t="s">
        <v>8</v>
      </c>
      <c r="K9144" s="15" t="s">
        <v>8</v>
      </c>
      <c r="M9144" s="16" t="str">
        <f>HYPERLINK("http://yeinfo.com/family/I09006117.html", "SYBIL COLLINS 1670 MA-1708  ID:09003059")</f>
        <v>SYBIL COLLINS 1670 MA-1708  ID:09003059</v>
      </c>
      <c r="N9144" s="11"/>
      <c r="O9144" s="11"/>
      <c r="P9144" s="11"/>
      <c r="Q9144" s="11"/>
    </row>
    <row r="9145" spans="3:19" x14ac:dyDescent="0.35">
      <c r="C9145" s="15" t="s">
        <v>8</v>
      </c>
      <c r="I9145" s="15" t="s">
        <v>8</v>
      </c>
      <c r="K9145" s="15" t="s">
        <v>8</v>
      </c>
      <c r="N9145" s="8" t="s">
        <v>6</v>
      </c>
    </row>
    <row r="9146" spans="3:19" x14ac:dyDescent="0.35">
      <c r="C9146" s="15" t="s">
        <v>8</v>
      </c>
      <c r="I9146" s="15" t="s">
        <v>8</v>
      </c>
      <c r="K9146" s="15" t="s">
        <v>8</v>
      </c>
      <c r="N9146" s="16" t="str">
        <f>HYPERLINK("http://yeinfo.com/family/I09006118.html", "Mrs. SIBELOR COLLINS 1640 MA-1670  ID:09006119")</f>
        <v>Mrs. SIBELOR COLLINS 1640 MA-1670  ID:09006119</v>
      </c>
      <c r="O9146" s="11"/>
      <c r="P9146" s="11"/>
      <c r="Q9146" s="11"/>
      <c r="R9146" s="11"/>
    </row>
    <row r="9147" spans="3:19" x14ac:dyDescent="0.35">
      <c r="C9147" s="15" t="s">
        <v>8</v>
      </c>
      <c r="I9147" s="15" t="s">
        <v>8</v>
      </c>
      <c r="K9147" s="15" t="s">
        <v>8</v>
      </c>
    </row>
    <row r="9148" spans="3:19" x14ac:dyDescent="0.35">
      <c r="C9148" s="15" t="s">
        <v>8</v>
      </c>
      <c r="I9148" s="15" t="s">
        <v>8</v>
      </c>
      <c r="J9148" s="5" t="str">
        <f>HYPERLINK("http://yeinfo.com/family/I09000191.html", "ISAAC GOODNOW Jr. 1739 MA-1806 VT ID:09000382")</f>
        <v>ISAAC GOODNOW Jr. 1739 MA-1806 VT ID:09000382</v>
      </c>
      <c r="K9148" s="3"/>
      <c r="L9148" s="3"/>
      <c r="M9148" s="3"/>
      <c r="N9148" s="3"/>
    </row>
    <row r="9149" spans="3:19" x14ac:dyDescent="0.35">
      <c r="C9149" s="15" t="s">
        <v>8</v>
      </c>
      <c r="I9149" s="15" t="s">
        <v>8</v>
      </c>
      <c r="J9149" s="8" t="s">
        <v>3</v>
      </c>
      <c r="K9149" s="15" t="s">
        <v>8</v>
      </c>
    </row>
    <row r="9150" spans="3:19" x14ac:dyDescent="0.35">
      <c r="C9150" s="15" t="s">
        <v>8</v>
      </c>
      <c r="I9150" s="15" t="s">
        <v>8</v>
      </c>
      <c r="J9150" s="15" t="s">
        <v>8</v>
      </c>
      <c r="K9150" s="15" t="s">
        <v>8</v>
      </c>
      <c r="L9150" s="5" t="str">
        <f>HYPERLINK("http://yeinfo.com/family/I09000765.html", "STEPHEN COAD 1690 MA-1731 MA ID:09001530")</f>
        <v>STEPHEN COAD 1690 MA-1731 MA ID:09001530</v>
      </c>
      <c r="M9150" s="3"/>
      <c r="N9150" s="3"/>
      <c r="O9150" s="3"/>
      <c r="P9150" s="3"/>
    </row>
    <row r="9151" spans="3:19" x14ac:dyDescent="0.35">
      <c r="C9151" s="15" t="s">
        <v>8</v>
      </c>
      <c r="I9151" s="15" t="s">
        <v>8</v>
      </c>
      <c r="J9151" s="15" t="s">
        <v>8</v>
      </c>
      <c r="K9151" s="8" t="s">
        <v>6</v>
      </c>
      <c r="L9151" s="8" t="s">
        <v>3</v>
      </c>
    </row>
    <row r="9152" spans="3:19" x14ac:dyDescent="0.35">
      <c r="C9152" s="15" t="s">
        <v>8</v>
      </c>
      <c r="I9152" s="15" t="s">
        <v>8</v>
      </c>
      <c r="J9152" s="15" t="s">
        <v>8</v>
      </c>
      <c r="K9152" s="16" t="str">
        <f>HYPERLINK("http://yeinfo.com/family/I09006119.html", "MARY COAD 1716 MA-1804 VT ID:09000765")</f>
        <v>MARY COAD 1716 MA-1804 VT ID:09000765</v>
      </c>
      <c r="L9152" s="11"/>
      <c r="M9152" s="11"/>
      <c r="N9152" s="11"/>
      <c r="O9152" s="11"/>
    </row>
    <row r="9153" spans="3:23" x14ac:dyDescent="0.35">
      <c r="C9153" s="15" t="s">
        <v>8</v>
      </c>
      <c r="I9153" s="15" t="s">
        <v>8</v>
      </c>
      <c r="J9153" s="15" t="s">
        <v>8</v>
      </c>
      <c r="L9153" s="15" t="s">
        <v>8</v>
      </c>
    </row>
    <row r="9154" spans="3:23" x14ac:dyDescent="0.35">
      <c r="C9154" s="15" t="s">
        <v>8</v>
      </c>
      <c r="I9154" s="15" t="s">
        <v>8</v>
      </c>
      <c r="J9154" s="15" t="s">
        <v>8</v>
      </c>
      <c r="L9154" s="15" t="s">
        <v>8</v>
      </c>
      <c r="N9154" s="21" t="str">
        <f>HYPERLINK("http://yeinfo.com/family/I09003062.html", "JOHN\JONATHAN WOODCOCK Sr. 1615 EN-1701 MA ID:09006124")</f>
        <v>JOHN\JONATHAN WOODCOCK Sr. 1615 EN-1701 MA ID:09006124</v>
      </c>
      <c r="O9154" s="6"/>
      <c r="P9154" s="6"/>
      <c r="Q9154" s="6"/>
      <c r="R9154" s="6"/>
      <c r="S9154" s="6"/>
    </row>
    <row r="9155" spans="3:23" x14ac:dyDescent="0.35">
      <c r="C9155" s="15" t="s">
        <v>8</v>
      </c>
      <c r="I9155" s="15" t="s">
        <v>8</v>
      </c>
      <c r="J9155" s="15" t="s">
        <v>8</v>
      </c>
      <c r="L9155" s="15" t="s">
        <v>8</v>
      </c>
      <c r="N9155" s="8" t="s">
        <v>3</v>
      </c>
    </row>
    <row r="9156" spans="3:23" x14ac:dyDescent="0.35">
      <c r="C9156" s="15" t="s">
        <v>8</v>
      </c>
      <c r="I9156" s="15" t="s">
        <v>8</v>
      </c>
      <c r="J9156" s="15" t="s">
        <v>8</v>
      </c>
      <c r="L9156" s="15" t="s">
        <v>8</v>
      </c>
      <c r="M9156" s="5" t="str">
        <f>HYPERLINK("http://yeinfo.com/family/I09001531.html", "JOHN WOODCOCK Jr. 1649 MA-1710 MA ID:09003062")</f>
        <v>JOHN WOODCOCK Jr. 1649 MA-1710 MA ID:09003062</v>
      </c>
      <c r="N9156" s="3"/>
      <c r="O9156" s="3"/>
      <c r="P9156" s="3"/>
      <c r="Q9156" s="3"/>
    </row>
    <row r="9157" spans="3:23" x14ac:dyDescent="0.35">
      <c r="C9157" s="15" t="s">
        <v>8</v>
      </c>
      <c r="I9157" s="15" t="s">
        <v>8</v>
      </c>
      <c r="J9157" s="15" t="s">
        <v>8</v>
      </c>
      <c r="L9157" s="15" t="s">
        <v>8</v>
      </c>
      <c r="M9157" s="8" t="s">
        <v>3</v>
      </c>
      <c r="N9157" s="15" t="s">
        <v>8</v>
      </c>
    </row>
    <row r="9158" spans="3:23" x14ac:dyDescent="0.35">
      <c r="C9158" s="15" t="s">
        <v>8</v>
      </c>
      <c r="I9158" s="15" t="s">
        <v>8</v>
      </c>
      <c r="J9158" s="15" t="s">
        <v>8</v>
      </c>
      <c r="L9158" s="15" t="s">
        <v>8</v>
      </c>
      <c r="M9158" s="15" t="s">
        <v>8</v>
      </c>
      <c r="N9158" s="15" t="s">
        <v>8</v>
      </c>
      <c r="O9158" s="21" t="str">
        <f>HYPERLINK("http://yeinfo.com/family/I09006125.html", "WILLIAM CURTIS 1592 EN-1672 MA ID:09012250")</f>
        <v>WILLIAM CURTIS 1592 EN-1672 MA ID:09012250</v>
      </c>
      <c r="P9158" s="6"/>
      <c r="Q9158" s="6"/>
      <c r="R9158" s="6"/>
      <c r="S9158" s="6"/>
    </row>
    <row r="9159" spans="3:23" x14ac:dyDescent="0.35">
      <c r="C9159" s="15" t="s">
        <v>8</v>
      </c>
      <c r="I9159" s="15" t="s">
        <v>8</v>
      </c>
      <c r="J9159" s="15" t="s">
        <v>8</v>
      </c>
      <c r="L9159" s="15" t="s">
        <v>8</v>
      </c>
      <c r="M9159" s="15" t="s">
        <v>8</v>
      </c>
      <c r="N9159" s="8" t="s">
        <v>6</v>
      </c>
      <c r="O9159" s="8" t="s">
        <v>3</v>
      </c>
    </row>
    <row r="9160" spans="3:23" x14ac:dyDescent="0.35">
      <c r="C9160" s="15" t="s">
        <v>8</v>
      </c>
      <c r="I9160" s="15" t="s">
        <v>8</v>
      </c>
      <c r="J9160" s="15" t="s">
        <v>8</v>
      </c>
      <c r="L9160" s="15" t="s">
        <v>8</v>
      </c>
      <c r="M9160" s="15" t="s">
        <v>8</v>
      </c>
      <c r="N9160" s="22" t="str">
        <f>HYPERLINK("http://yeinfo.com/family/I09006124.html", "SARAH CURTIS 1627 EN-1676 MA ID:09006125")</f>
        <v>SARAH CURTIS 1627 EN-1676 MA ID:09006125</v>
      </c>
      <c r="O9160" s="13"/>
      <c r="P9160" s="13"/>
      <c r="Q9160" s="13"/>
      <c r="R9160" s="13"/>
    </row>
    <row r="9161" spans="3:23" x14ac:dyDescent="0.35">
      <c r="C9161" s="15" t="s">
        <v>8</v>
      </c>
      <c r="I9161" s="15" t="s">
        <v>8</v>
      </c>
      <c r="J9161" s="15" t="s">
        <v>8</v>
      </c>
      <c r="L9161" s="15" t="s">
        <v>8</v>
      </c>
      <c r="M9161" s="15" t="s">
        <v>8</v>
      </c>
      <c r="O9161" s="15" t="s">
        <v>8</v>
      </c>
    </row>
    <row r="9162" spans="3:23" x14ac:dyDescent="0.35">
      <c r="C9162" s="15" t="s">
        <v>8</v>
      </c>
      <c r="I9162" s="15" t="s">
        <v>8</v>
      </c>
      <c r="J9162" s="15" t="s">
        <v>8</v>
      </c>
      <c r="L9162" s="15" t="s">
        <v>8</v>
      </c>
      <c r="M9162" s="15" t="s">
        <v>8</v>
      </c>
      <c r="O9162" s="15" t="s">
        <v>8</v>
      </c>
      <c r="S9162" s="19" t="str">
        <f>HYPERLINK("http://yeinfo.com/family/I09065543.html", "WILLIAM ELLIOTT &lt;4&gt; 1450 EN-1528 EN ID:09065543")</f>
        <v>WILLIAM ELLIOTT &lt;4&gt; 1450 EN-1528 EN ID:09065543</v>
      </c>
      <c r="T9162" s="9"/>
      <c r="U9162" s="9"/>
      <c r="V9162" s="9"/>
      <c r="W9162" s="9"/>
    </row>
    <row r="9163" spans="3:23" x14ac:dyDescent="0.35">
      <c r="C9163" s="15" t="s">
        <v>8</v>
      </c>
      <c r="I9163" s="15" t="s">
        <v>8</v>
      </c>
      <c r="J9163" s="15" t="s">
        <v>8</v>
      </c>
      <c r="L9163" s="15" t="s">
        <v>8</v>
      </c>
      <c r="M9163" s="15" t="s">
        <v>8</v>
      </c>
      <c r="O9163" s="15" t="s">
        <v>8</v>
      </c>
      <c r="S9163" s="8" t="s">
        <v>3</v>
      </c>
    </row>
    <row r="9164" spans="3:23" x14ac:dyDescent="0.35">
      <c r="C9164" s="15" t="s">
        <v>8</v>
      </c>
      <c r="I9164" s="15" t="s">
        <v>8</v>
      </c>
      <c r="J9164" s="15" t="s">
        <v>8</v>
      </c>
      <c r="L9164" s="15" t="s">
        <v>8</v>
      </c>
      <c r="M9164" s="15" t="s">
        <v>8</v>
      </c>
      <c r="O9164" s="15" t="s">
        <v>8</v>
      </c>
      <c r="R9164" s="19" t="str">
        <f>HYPERLINK("http://yeinfo.com/family/I09043368.html", "THOMAS ELLIOTT &lt;4&gt; 1480 EN-1520 EN ID:09043368")</f>
        <v>THOMAS ELLIOTT &lt;4&gt; 1480 EN-1520 EN ID:09043368</v>
      </c>
      <c r="S9164" s="9"/>
      <c r="T9164" s="9"/>
      <c r="U9164" s="9"/>
      <c r="V9164" s="9"/>
    </row>
    <row r="9165" spans="3:23" x14ac:dyDescent="0.35">
      <c r="C9165" s="15" t="s">
        <v>8</v>
      </c>
      <c r="I9165" s="15" t="s">
        <v>8</v>
      </c>
      <c r="J9165" s="15" t="s">
        <v>8</v>
      </c>
      <c r="L9165" s="15" t="s">
        <v>8</v>
      </c>
      <c r="M9165" s="15" t="s">
        <v>8</v>
      </c>
      <c r="O9165" s="15" t="s">
        <v>8</v>
      </c>
      <c r="R9165" s="8" t="s">
        <v>3</v>
      </c>
      <c r="S9165" s="8" t="s">
        <v>6</v>
      </c>
    </row>
    <row r="9166" spans="3:23" x14ac:dyDescent="0.35">
      <c r="C9166" s="15" t="s">
        <v>8</v>
      </c>
      <c r="I9166" s="15" t="s">
        <v>8</v>
      </c>
      <c r="J9166" s="15" t="s">
        <v>8</v>
      </c>
      <c r="L9166" s="15" t="s">
        <v>8</v>
      </c>
      <c r="M9166" s="15" t="s">
        <v>8</v>
      </c>
      <c r="O9166" s="15" t="s">
        <v>8</v>
      </c>
      <c r="R9166" s="15" t="s">
        <v>8</v>
      </c>
      <c r="S9166" s="20" t="str">
        <f>HYPERLINK("http://yeinfo.com/family/I09065544.html", "Mrs. {_?_} ELLIOTT &lt;4&gt; 1450 -1480 EN ID:09065544")</f>
        <v>Mrs. {_?_} ELLIOTT &lt;4&gt; 1450 -1480 EN ID:09065544</v>
      </c>
      <c r="T9166" s="17"/>
      <c r="U9166" s="17"/>
      <c r="V9166" s="17"/>
      <c r="W9166" s="17"/>
    </row>
    <row r="9167" spans="3:23" x14ac:dyDescent="0.35">
      <c r="C9167" s="15" t="s">
        <v>8</v>
      </c>
      <c r="I9167" s="15" t="s">
        <v>8</v>
      </c>
      <c r="J9167" s="15" t="s">
        <v>8</v>
      </c>
      <c r="L9167" s="15" t="s">
        <v>8</v>
      </c>
      <c r="M9167" s="15" t="s">
        <v>8</v>
      </c>
      <c r="O9167" s="15" t="s">
        <v>8</v>
      </c>
      <c r="R9167" s="15" t="s">
        <v>8</v>
      </c>
    </row>
    <row r="9168" spans="3:23" x14ac:dyDescent="0.35">
      <c r="C9168" s="15" t="s">
        <v>8</v>
      </c>
      <c r="I9168" s="15" t="s">
        <v>8</v>
      </c>
      <c r="J9168" s="15" t="s">
        <v>8</v>
      </c>
      <c r="L9168" s="15" t="s">
        <v>8</v>
      </c>
      <c r="M9168" s="15" t="s">
        <v>8</v>
      </c>
      <c r="O9168" s="15" t="s">
        <v>8</v>
      </c>
      <c r="Q9168" s="19" t="str">
        <f>HYPERLINK("http://yeinfo.com/family/I09021684.html", "SIMON\EDWARD ELLIOTT &lt;4&gt; 1520 EN-1573 EN ID:09021684")</f>
        <v>SIMON\EDWARD ELLIOTT &lt;4&gt; 1520 EN-1573 EN ID:09021684</v>
      </c>
      <c r="R9168" s="9"/>
      <c r="S9168" s="9"/>
      <c r="T9168" s="9"/>
      <c r="U9168" s="9"/>
      <c r="V9168" s="9"/>
    </row>
    <row r="9169" spans="3:22" x14ac:dyDescent="0.35">
      <c r="C9169" s="15" t="s">
        <v>8</v>
      </c>
      <c r="I9169" s="15" t="s">
        <v>8</v>
      </c>
      <c r="J9169" s="15" t="s">
        <v>8</v>
      </c>
      <c r="L9169" s="15" t="s">
        <v>8</v>
      </c>
      <c r="M9169" s="15" t="s">
        <v>8</v>
      </c>
      <c r="O9169" s="15" t="s">
        <v>8</v>
      </c>
      <c r="Q9169" s="8" t="s">
        <v>3</v>
      </c>
      <c r="R9169" s="8" t="s">
        <v>6</v>
      </c>
    </row>
    <row r="9170" spans="3:22" x14ac:dyDescent="0.35">
      <c r="C9170" s="15" t="s">
        <v>8</v>
      </c>
      <c r="I9170" s="15" t="s">
        <v>8</v>
      </c>
      <c r="J9170" s="15" t="s">
        <v>8</v>
      </c>
      <c r="L9170" s="15" t="s">
        <v>8</v>
      </c>
      <c r="M9170" s="15" t="s">
        <v>8</v>
      </c>
      <c r="O9170" s="15" t="s">
        <v>8</v>
      </c>
      <c r="Q9170" s="15" t="s">
        <v>8</v>
      </c>
      <c r="R9170" s="20" t="str">
        <f>HYPERLINK("http://yeinfo.com/family/I09043369.html", "MARGARET ELIZABETH WILSON &lt;4&gt; 1488 EN-1560 EN ID:09043369")</f>
        <v>MARGARET ELIZABETH WILSON &lt;4&gt; 1488 EN-1560 EN ID:09043369</v>
      </c>
      <c r="S9170" s="17"/>
      <c r="T9170" s="17"/>
      <c r="U9170" s="17"/>
      <c r="V9170" s="17"/>
    </row>
    <row r="9171" spans="3:22" x14ac:dyDescent="0.35">
      <c r="C9171" s="15" t="s">
        <v>8</v>
      </c>
      <c r="I9171" s="15" t="s">
        <v>8</v>
      </c>
      <c r="J9171" s="15" t="s">
        <v>8</v>
      </c>
      <c r="L9171" s="15" t="s">
        <v>8</v>
      </c>
      <c r="M9171" s="15" t="s">
        <v>8</v>
      </c>
      <c r="O9171" s="15" t="s">
        <v>8</v>
      </c>
      <c r="Q9171" s="15" t="s">
        <v>8</v>
      </c>
    </row>
    <row r="9172" spans="3:22" x14ac:dyDescent="0.35">
      <c r="C9172" s="15" t="s">
        <v>8</v>
      </c>
      <c r="I9172" s="15" t="s">
        <v>8</v>
      </c>
      <c r="J9172" s="15" t="s">
        <v>8</v>
      </c>
      <c r="L9172" s="15" t="s">
        <v>8</v>
      </c>
      <c r="M9172" s="15" t="s">
        <v>8</v>
      </c>
      <c r="O9172" s="15" t="s">
        <v>8</v>
      </c>
      <c r="P9172" s="5" t="str">
        <f>HYPERLINK("http://yeinfo.com/family/I09010842.html", "BENNETT\PHILIP ELLIOTT &lt;4&gt; 1573 -1621 EN ID:09010842")</f>
        <v>BENNETT\PHILIP ELLIOTT &lt;4&gt; 1573 -1621 EN ID:09010842</v>
      </c>
      <c r="Q9172" s="3"/>
      <c r="R9172" s="3"/>
      <c r="S9172" s="3"/>
      <c r="T9172" s="3"/>
      <c r="U9172" s="3"/>
    </row>
    <row r="9173" spans="3:22" x14ac:dyDescent="0.35">
      <c r="C9173" s="15" t="s">
        <v>8</v>
      </c>
      <c r="I9173" s="15" t="s">
        <v>8</v>
      </c>
      <c r="J9173" s="15" t="s">
        <v>8</v>
      </c>
      <c r="L9173" s="15" t="s">
        <v>8</v>
      </c>
      <c r="M9173" s="15" t="s">
        <v>8</v>
      </c>
      <c r="O9173" s="15" t="s">
        <v>8</v>
      </c>
      <c r="P9173" s="8" t="s">
        <v>3</v>
      </c>
      <c r="Q9173" s="8" t="s">
        <v>6</v>
      </c>
    </row>
    <row r="9174" spans="3:22" x14ac:dyDescent="0.35">
      <c r="C9174" s="15" t="s">
        <v>8</v>
      </c>
      <c r="I9174" s="15" t="s">
        <v>8</v>
      </c>
      <c r="J9174" s="15" t="s">
        <v>8</v>
      </c>
      <c r="L9174" s="15" t="s">
        <v>8</v>
      </c>
      <c r="M9174" s="15" t="s">
        <v>8</v>
      </c>
      <c r="O9174" s="15" t="s">
        <v>8</v>
      </c>
      <c r="P9174" s="15" t="s">
        <v>8</v>
      </c>
      <c r="Q9174" s="20" t="str">
        <f>HYPERLINK("http://yeinfo.com/family/I09021685.html", "JANE GEDGE &lt;4&gt; 1535 EN-1573 EN ID:09021685")</f>
        <v>JANE GEDGE &lt;4&gt; 1535 EN-1573 EN ID:09021685</v>
      </c>
      <c r="R9174" s="17"/>
      <c r="S9174" s="17"/>
      <c r="T9174" s="17"/>
      <c r="U9174" s="17"/>
    </row>
    <row r="9175" spans="3:22" x14ac:dyDescent="0.35">
      <c r="C9175" s="15" t="s">
        <v>8</v>
      </c>
      <c r="I9175" s="15" t="s">
        <v>8</v>
      </c>
      <c r="J9175" s="15" t="s">
        <v>8</v>
      </c>
      <c r="L9175" s="15" t="s">
        <v>8</v>
      </c>
      <c r="M9175" s="15" t="s">
        <v>8</v>
      </c>
      <c r="O9175" s="8" t="s">
        <v>6</v>
      </c>
      <c r="P9175" s="15" t="s">
        <v>8</v>
      </c>
    </row>
    <row r="9176" spans="3:22" x14ac:dyDescent="0.35">
      <c r="C9176" s="15" t="s">
        <v>8</v>
      </c>
      <c r="I9176" s="15" t="s">
        <v>8</v>
      </c>
      <c r="J9176" s="15" t="s">
        <v>8</v>
      </c>
      <c r="L9176" s="15" t="s">
        <v>8</v>
      </c>
      <c r="M9176" s="15" t="s">
        <v>8</v>
      </c>
      <c r="O9176" s="22" t="str">
        <f>HYPERLINK("http://yeinfo.com/family/I09012250.html", "SARAH ELLIOTT 1599 EN-1674 MA ID:09012251")</f>
        <v>SARAH ELLIOTT 1599 EN-1674 MA ID:09012251</v>
      </c>
      <c r="P9176" s="13"/>
      <c r="Q9176" s="13"/>
      <c r="R9176" s="13"/>
      <c r="S9176" s="13"/>
    </row>
    <row r="9177" spans="3:22" x14ac:dyDescent="0.35">
      <c r="C9177" s="15" t="s">
        <v>8</v>
      </c>
      <c r="I9177" s="15" t="s">
        <v>8</v>
      </c>
      <c r="J9177" s="15" t="s">
        <v>8</v>
      </c>
      <c r="L9177" s="15" t="s">
        <v>8</v>
      </c>
      <c r="M9177" s="15" t="s">
        <v>8</v>
      </c>
      <c r="P9177" s="15" t="s">
        <v>8</v>
      </c>
    </row>
    <row r="9178" spans="3:22" x14ac:dyDescent="0.35">
      <c r="C9178" s="15" t="s">
        <v>8</v>
      </c>
      <c r="I9178" s="15" t="s">
        <v>8</v>
      </c>
      <c r="J9178" s="15" t="s">
        <v>8</v>
      </c>
      <c r="L9178" s="15" t="s">
        <v>8</v>
      </c>
      <c r="M9178" s="15" t="s">
        <v>8</v>
      </c>
      <c r="P9178" s="15" t="s">
        <v>8</v>
      </c>
      <c r="R9178" s="19" t="str">
        <f>HYPERLINK("http://yeinfo.com/family/I09043372.html", "ROBERT AGGAR &lt;4&gt; 1525 EN-1557 EN ID:09043372")</f>
        <v>ROBERT AGGAR &lt;4&gt; 1525 EN-1557 EN ID:09043372</v>
      </c>
      <c r="S9178" s="9"/>
      <c r="T9178" s="9"/>
      <c r="U9178" s="9"/>
      <c r="V9178" s="9"/>
    </row>
    <row r="9179" spans="3:22" x14ac:dyDescent="0.35">
      <c r="C9179" s="15" t="s">
        <v>8</v>
      </c>
      <c r="I9179" s="15" t="s">
        <v>8</v>
      </c>
      <c r="J9179" s="15" t="s">
        <v>8</v>
      </c>
      <c r="L9179" s="15" t="s">
        <v>8</v>
      </c>
      <c r="M9179" s="15" t="s">
        <v>8</v>
      </c>
      <c r="P9179" s="15" t="s">
        <v>8</v>
      </c>
      <c r="R9179" s="8" t="s">
        <v>3</v>
      </c>
    </row>
    <row r="9180" spans="3:22" x14ac:dyDescent="0.35">
      <c r="C9180" s="15" t="s">
        <v>8</v>
      </c>
      <c r="I9180" s="15" t="s">
        <v>8</v>
      </c>
      <c r="J9180" s="15" t="s">
        <v>8</v>
      </c>
      <c r="L9180" s="15" t="s">
        <v>8</v>
      </c>
      <c r="M9180" s="15" t="s">
        <v>8</v>
      </c>
      <c r="P9180" s="15" t="s">
        <v>8</v>
      </c>
      <c r="Q9180" s="19" t="str">
        <f>HYPERLINK("http://yeinfo.com/family/I09021686.html", "FRANCIS AGGAR &lt;4&gt; 1544 EN-1582 EN ID:09021686")</f>
        <v>FRANCIS AGGAR &lt;4&gt; 1544 EN-1582 EN ID:09021686</v>
      </c>
      <c r="R9180" s="9"/>
      <c r="S9180" s="9"/>
      <c r="T9180" s="9"/>
      <c r="U9180" s="9"/>
    </row>
    <row r="9181" spans="3:22" x14ac:dyDescent="0.35">
      <c r="C9181" s="15" t="s">
        <v>8</v>
      </c>
      <c r="I9181" s="15" t="s">
        <v>8</v>
      </c>
      <c r="J9181" s="15" t="s">
        <v>8</v>
      </c>
      <c r="L9181" s="15" t="s">
        <v>8</v>
      </c>
      <c r="M9181" s="15" t="s">
        <v>8</v>
      </c>
      <c r="P9181" s="15" t="s">
        <v>8</v>
      </c>
      <c r="Q9181" s="8" t="s">
        <v>3</v>
      </c>
      <c r="R9181" s="8" t="s">
        <v>6</v>
      </c>
    </row>
    <row r="9182" spans="3:22" x14ac:dyDescent="0.35">
      <c r="C9182" s="15" t="s">
        <v>8</v>
      </c>
      <c r="I9182" s="15" t="s">
        <v>8</v>
      </c>
      <c r="J9182" s="15" t="s">
        <v>8</v>
      </c>
      <c r="L9182" s="15" t="s">
        <v>8</v>
      </c>
      <c r="M9182" s="15" t="s">
        <v>8</v>
      </c>
      <c r="P9182" s="15" t="s">
        <v>8</v>
      </c>
      <c r="Q9182" s="15" t="s">
        <v>8</v>
      </c>
      <c r="R9182" s="20" t="str">
        <f>HYPERLINK("http://yeinfo.com/family/I09043373.html", "Mrs. JOANE FYNCH &lt;4&gt; 1525 EN-1560 EN ID:09043373")</f>
        <v>Mrs. JOANE FYNCH &lt;4&gt; 1525 EN-1560 EN ID:09043373</v>
      </c>
      <c r="S9182" s="17"/>
      <c r="T9182" s="17"/>
      <c r="U9182" s="17"/>
      <c r="V9182" s="17"/>
    </row>
    <row r="9183" spans="3:22" x14ac:dyDescent="0.35">
      <c r="C9183" s="15" t="s">
        <v>8</v>
      </c>
      <c r="I9183" s="15" t="s">
        <v>8</v>
      </c>
      <c r="J9183" s="15" t="s">
        <v>8</v>
      </c>
      <c r="L9183" s="15" t="s">
        <v>8</v>
      </c>
      <c r="M9183" s="15" t="s">
        <v>8</v>
      </c>
      <c r="P9183" s="8" t="s">
        <v>6</v>
      </c>
      <c r="Q9183" s="15" t="s">
        <v>8</v>
      </c>
    </row>
    <row r="9184" spans="3:22" x14ac:dyDescent="0.35">
      <c r="C9184" s="15" t="s">
        <v>8</v>
      </c>
      <c r="I9184" s="15" t="s">
        <v>8</v>
      </c>
      <c r="J9184" s="15" t="s">
        <v>8</v>
      </c>
      <c r="L9184" s="15" t="s">
        <v>8</v>
      </c>
      <c r="M9184" s="15" t="s">
        <v>8</v>
      </c>
      <c r="P9184" s="20" t="str">
        <f>HYPERLINK("http://yeinfo.com/family/I09010843.html", "LETTEYE\LETTICE AGGAR &lt;4&gt; 1577 EN-1621 EN ID:09010843")</f>
        <v>LETTEYE\LETTICE AGGAR &lt;4&gt; 1577 EN-1621 EN ID:09010843</v>
      </c>
      <c r="Q9184" s="17"/>
      <c r="R9184" s="17"/>
      <c r="S9184" s="17"/>
      <c r="T9184" s="17"/>
      <c r="U9184" s="17"/>
    </row>
    <row r="9185" spans="3:22" x14ac:dyDescent="0.35">
      <c r="C9185" s="15" t="s">
        <v>8</v>
      </c>
      <c r="I9185" s="15" t="s">
        <v>8</v>
      </c>
      <c r="J9185" s="15" t="s">
        <v>8</v>
      </c>
      <c r="L9185" s="15" t="s">
        <v>8</v>
      </c>
      <c r="M9185" s="15" t="s">
        <v>8</v>
      </c>
      <c r="Q9185" s="15" t="s">
        <v>8</v>
      </c>
    </row>
    <row r="9186" spans="3:22" x14ac:dyDescent="0.35">
      <c r="C9186" s="15" t="s">
        <v>8</v>
      </c>
      <c r="I9186" s="15" t="s">
        <v>8</v>
      </c>
      <c r="J9186" s="15" t="s">
        <v>8</v>
      </c>
      <c r="L9186" s="15" t="s">
        <v>8</v>
      </c>
      <c r="M9186" s="15" t="s">
        <v>8</v>
      </c>
      <c r="Q9186" s="15" t="s">
        <v>8</v>
      </c>
      <c r="R9186" s="19" t="str">
        <f>HYPERLINK("http://yeinfo.com/family/I09043374.html", "THOMAS HENRY PEACOCK &lt;4&gt; 1500 EN-1583 EN ID:09043374")</f>
        <v>THOMAS HENRY PEACOCK &lt;4&gt; 1500 EN-1583 EN ID:09043374</v>
      </c>
      <c r="S9186" s="9"/>
      <c r="T9186" s="9"/>
      <c r="U9186" s="9"/>
      <c r="V9186" s="9"/>
    </row>
    <row r="9187" spans="3:22" x14ac:dyDescent="0.35">
      <c r="C9187" s="15" t="s">
        <v>8</v>
      </c>
      <c r="I9187" s="15" t="s">
        <v>8</v>
      </c>
      <c r="J9187" s="15" t="s">
        <v>8</v>
      </c>
      <c r="L9187" s="15" t="s">
        <v>8</v>
      </c>
      <c r="M9187" s="15" t="s">
        <v>8</v>
      </c>
      <c r="Q9187" s="8" t="s">
        <v>6</v>
      </c>
      <c r="R9187" s="8" t="s">
        <v>3</v>
      </c>
    </row>
    <row r="9188" spans="3:22" x14ac:dyDescent="0.35">
      <c r="C9188" s="15" t="s">
        <v>8</v>
      </c>
      <c r="I9188" s="15" t="s">
        <v>8</v>
      </c>
      <c r="J9188" s="15" t="s">
        <v>8</v>
      </c>
      <c r="L9188" s="15" t="s">
        <v>8</v>
      </c>
      <c r="M9188" s="15" t="s">
        <v>8</v>
      </c>
      <c r="Q9188" s="20" t="str">
        <f>HYPERLINK("http://yeinfo.com/family/I09021687.html", "LETTICE\ELNOR LETTICE PEACOCK &lt;4&gt; 1551 EN-1621 EN ID:09021687")</f>
        <v>LETTICE\ELNOR LETTICE PEACOCK &lt;4&gt; 1551 EN-1621 EN ID:09021687</v>
      </c>
      <c r="R9188" s="17"/>
      <c r="S9188" s="17"/>
      <c r="T9188" s="17"/>
      <c r="U9188" s="17"/>
      <c r="V9188" s="17"/>
    </row>
    <row r="9189" spans="3:22" x14ac:dyDescent="0.35">
      <c r="C9189" s="15" t="s">
        <v>8</v>
      </c>
      <c r="I9189" s="15" t="s">
        <v>8</v>
      </c>
      <c r="J9189" s="15" t="s">
        <v>8</v>
      </c>
      <c r="L9189" s="15" t="s">
        <v>8</v>
      </c>
      <c r="M9189" s="15" t="s">
        <v>8</v>
      </c>
      <c r="R9189" s="8" t="s">
        <v>6</v>
      </c>
    </row>
    <row r="9190" spans="3:22" x14ac:dyDescent="0.35">
      <c r="C9190" s="15" t="s">
        <v>8</v>
      </c>
      <c r="I9190" s="15" t="s">
        <v>8</v>
      </c>
      <c r="J9190" s="15" t="s">
        <v>8</v>
      </c>
      <c r="L9190" s="15" t="s">
        <v>8</v>
      </c>
      <c r="M9190" s="15" t="s">
        <v>8</v>
      </c>
      <c r="R9190" s="20" t="str">
        <f>HYPERLINK("http://yeinfo.com/family/I09043375.html", "ELEANOR WRIGHT &lt;4&gt; 1530 EN-1551 EN ID:09043375")</f>
        <v>ELEANOR WRIGHT &lt;4&gt; 1530 EN-1551 EN ID:09043375</v>
      </c>
      <c r="S9190" s="17"/>
      <c r="T9190" s="17"/>
      <c r="U9190" s="17"/>
      <c r="V9190" s="17"/>
    </row>
    <row r="9191" spans="3:22" x14ac:dyDescent="0.35">
      <c r="C9191" s="15" t="s">
        <v>8</v>
      </c>
      <c r="I9191" s="15" t="s">
        <v>8</v>
      </c>
      <c r="J9191" s="15" t="s">
        <v>8</v>
      </c>
      <c r="L9191" s="8" t="s">
        <v>6</v>
      </c>
      <c r="M9191" s="15" t="s">
        <v>8</v>
      </c>
    </row>
    <row r="9192" spans="3:22" x14ac:dyDescent="0.35">
      <c r="C9192" s="15" t="s">
        <v>8</v>
      </c>
      <c r="I9192" s="15" t="s">
        <v>8</v>
      </c>
      <c r="J9192" s="15" t="s">
        <v>8</v>
      </c>
      <c r="L9192" s="16" t="str">
        <f>HYPERLINK("http://yeinfo.com/family/I09001530.html", "MARY WOODCOCK 1683 MA-1768 MA ID:09001531")</f>
        <v>MARY WOODCOCK 1683 MA-1768 MA ID:09001531</v>
      </c>
      <c r="M9192" s="11"/>
      <c r="N9192" s="11"/>
      <c r="O9192" s="11"/>
      <c r="P9192" s="11"/>
    </row>
    <row r="9193" spans="3:22" x14ac:dyDescent="0.35">
      <c r="C9193" s="15" t="s">
        <v>8</v>
      </c>
      <c r="I9193" s="15" t="s">
        <v>8</v>
      </c>
      <c r="J9193" s="15" t="s">
        <v>8</v>
      </c>
      <c r="M9193" s="15" t="s">
        <v>8</v>
      </c>
    </row>
    <row r="9194" spans="3:22" x14ac:dyDescent="0.35">
      <c r="C9194" s="15" t="s">
        <v>8</v>
      </c>
      <c r="I9194" s="15" t="s">
        <v>8</v>
      </c>
      <c r="J9194" s="15" t="s">
        <v>8</v>
      </c>
      <c r="M9194" s="15" t="s">
        <v>8</v>
      </c>
      <c r="N9194" s="21" t="str">
        <f>HYPERLINK("http://yeinfo.com/family/I09003063.html", "SAMUEL JUDSON 1624 EN-1657 MA ID:09006126")</f>
        <v>SAMUEL JUDSON 1624 EN-1657 MA ID:09006126</v>
      </c>
      <c r="O9194" s="6"/>
      <c r="P9194" s="6"/>
      <c r="Q9194" s="6"/>
      <c r="R9194" s="6"/>
    </row>
    <row r="9195" spans="3:22" x14ac:dyDescent="0.35">
      <c r="C9195" s="15" t="s">
        <v>8</v>
      </c>
      <c r="I9195" s="15" t="s">
        <v>8</v>
      </c>
      <c r="J9195" s="15" t="s">
        <v>8</v>
      </c>
      <c r="M9195" s="8" t="s">
        <v>6</v>
      </c>
      <c r="N9195" s="8" t="s">
        <v>3</v>
      </c>
    </row>
    <row r="9196" spans="3:22" x14ac:dyDescent="0.35">
      <c r="C9196" s="15" t="s">
        <v>8</v>
      </c>
      <c r="I9196" s="15" t="s">
        <v>8</v>
      </c>
      <c r="J9196" s="15" t="s">
        <v>8</v>
      </c>
      <c r="M9196" s="16" t="str">
        <f>HYPERLINK("http://yeinfo.com/family/I09012251.html", "SARAH JUDSON 1651 MA-1718 MA ID:09003063")</f>
        <v>SARAH JUDSON 1651 MA-1718 MA ID:09003063</v>
      </c>
      <c r="N9196" s="11"/>
      <c r="O9196" s="11"/>
      <c r="P9196" s="11"/>
      <c r="Q9196" s="11"/>
    </row>
    <row r="9197" spans="3:22" x14ac:dyDescent="0.35">
      <c r="C9197" s="15" t="s">
        <v>8</v>
      </c>
      <c r="I9197" s="15" t="s">
        <v>8</v>
      </c>
      <c r="J9197" s="15" t="s">
        <v>8</v>
      </c>
      <c r="N9197" s="8" t="s">
        <v>6</v>
      </c>
    </row>
    <row r="9198" spans="3:22" x14ac:dyDescent="0.35">
      <c r="C9198" s="15" t="s">
        <v>8</v>
      </c>
      <c r="I9198" s="15" t="s">
        <v>8</v>
      </c>
      <c r="J9198" s="15" t="s">
        <v>8</v>
      </c>
      <c r="N9198" s="22" t="str">
        <f>HYPERLINK("http://yeinfo.com/family/I09006126.html", "Mrs. MARY JUDSON 1620 EN-1684 MA ID:09006127")</f>
        <v>Mrs. MARY JUDSON 1620 EN-1684 MA ID:09006127</v>
      </c>
      <c r="O9198" s="13"/>
      <c r="P9198" s="13"/>
      <c r="Q9198" s="13"/>
      <c r="R9198" s="13"/>
    </row>
    <row r="9199" spans="3:22" x14ac:dyDescent="0.35">
      <c r="C9199" s="15" t="s">
        <v>8</v>
      </c>
      <c r="I9199" s="8" t="s">
        <v>6</v>
      </c>
      <c r="J9199" s="15" t="s">
        <v>8</v>
      </c>
    </row>
    <row r="9200" spans="3:22" x14ac:dyDescent="0.35">
      <c r="C9200" s="15" t="s">
        <v>8</v>
      </c>
      <c r="I9200" s="16" t="str">
        <f>HYPERLINK("http://yeinfo.com/family/I09000763.html", "POLLY GOODNOW 1775 VT-1811 VT ID:09000191")</f>
        <v>POLLY GOODNOW 1775 VT-1811 VT ID:09000191</v>
      </c>
      <c r="J9200" s="11"/>
      <c r="K9200" s="11"/>
      <c r="L9200" s="11"/>
      <c r="M9200" s="11"/>
    </row>
    <row r="9201" spans="3:28" x14ac:dyDescent="0.35">
      <c r="C9201" s="15" t="s">
        <v>8</v>
      </c>
      <c r="J9201" s="15" t="s">
        <v>8</v>
      </c>
    </row>
    <row r="9202" spans="3:28" x14ac:dyDescent="0.35">
      <c r="C9202" s="15" t="s">
        <v>8</v>
      </c>
      <c r="J9202" s="15" t="s">
        <v>8</v>
      </c>
      <c r="M9202" s="5" t="str">
        <f>HYPERLINK("http://yeinfo.com/family/I09001532.html", "WILLIAM OCKINGTON 1639 EN-1665  ID:09003064")</f>
        <v>WILLIAM OCKINGTON 1639 EN-1665  ID:09003064</v>
      </c>
      <c r="N9202" s="3"/>
      <c r="O9202" s="3"/>
      <c r="P9202" s="3"/>
      <c r="Q9202" s="3"/>
    </row>
    <row r="9203" spans="3:28" x14ac:dyDescent="0.35">
      <c r="C9203" s="15" t="s">
        <v>8</v>
      </c>
      <c r="J9203" s="15" t="s">
        <v>8</v>
      </c>
      <c r="M9203" s="8" t="s">
        <v>3</v>
      </c>
    </row>
    <row r="9204" spans="3:28" x14ac:dyDescent="0.35">
      <c r="C9204" s="15" t="s">
        <v>8</v>
      </c>
      <c r="J9204" s="15" t="s">
        <v>8</v>
      </c>
      <c r="L9204" s="5" t="str">
        <f>HYPERLINK("http://yeinfo.com/family/I09000766.html", "MATTHIAS OCKINGTON 1666 -1753  ID:09001532")</f>
        <v>MATTHIAS OCKINGTON 1666 -1753  ID:09001532</v>
      </c>
      <c r="M9204" s="3"/>
      <c r="N9204" s="3"/>
      <c r="O9204" s="3"/>
      <c r="P9204" s="3"/>
    </row>
    <row r="9205" spans="3:28" x14ac:dyDescent="0.35">
      <c r="C9205" s="15" t="s">
        <v>8</v>
      </c>
      <c r="J9205" s="15" t="s">
        <v>8</v>
      </c>
      <c r="L9205" s="8" t="s">
        <v>3</v>
      </c>
      <c r="M9205" s="8" t="s">
        <v>6</v>
      </c>
    </row>
    <row r="9206" spans="3:28" x14ac:dyDescent="0.35">
      <c r="C9206" s="15" t="s">
        <v>8</v>
      </c>
      <c r="J9206" s="15" t="s">
        <v>8</v>
      </c>
      <c r="L9206" s="15" t="s">
        <v>8</v>
      </c>
      <c r="M9206" s="22" t="str">
        <f>HYPERLINK("http://yeinfo.com/family/I09003064.html", "MARY\HANNAH CHEW BUCKNER 1632 EN-1694 MA ID:09003065")</f>
        <v>MARY\HANNAH CHEW BUCKNER 1632 EN-1694 MA ID:09003065</v>
      </c>
      <c r="N9206" s="13"/>
      <c r="O9206" s="13"/>
      <c r="P9206" s="13"/>
      <c r="Q9206" s="13"/>
      <c r="R9206" s="13"/>
    </row>
    <row r="9207" spans="3:28" x14ac:dyDescent="0.35">
      <c r="C9207" s="15" t="s">
        <v>8</v>
      </c>
      <c r="J9207" s="15" t="s">
        <v>8</v>
      </c>
      <c r="L9207" s="15" t="s">
        <v>8</v>
      </c>
    </row>
    <row r="9208" spans="3:28" x14ac:dyDescent="0.35">
      <c r="C9208" s="15" t="s">
        <v>8</v>
      </c>
      <c r="J9208" s="15" t="s">
        <v>8</v>
      </c>
      <c r="K9208" s="5" t="str">
        <f>HYPERLINK("http://yeinfo.com/family/I09000383.html", "THOMAS OCKINGTON 1708 MA-1756 MA ID:09000766")</f>
        <v>THOMAS OCKINGTON 1708 MA-1756 MA ID:09000766</v>
      </c>
      <c r="L9208" s="3"/>
      <c r="M9208" s="3"/>
      <c r="N9208" s="3"/>
      <c r="O9208" s="3"/>
    </row>
    <row r="9209" spans="3:28" x14ac:dyDescent="0.35">
      <c r="C9209" s="15" t="s">
        <v>8</v>
      </c>
      <c r="J9209" s="15" t="s">
        <v>8</v>
      </c>
      <c r="K9209" s="8" t="s">
        <v>3</v>
      </c>
      <c r="L9209" s="8" t="s">
        <v>6</v>
      </c>
    </row>
    <row r="9210" spans="3:28" x14ac:dyDescent="0.35">
      <c r="C9210" s="15" t="s">
        <v>8</v>
      </c>
      <c r="J9210" s="15" t="s">
        <v>8</v>
      </c>
      <c r="K9210" s="15" t="s">
        <v>8</v>
      </c>
      <c r="L9210" s="16" t="str">
        <f>HYPERLINK("http://yeinfo.com/family/I09003065.html", "Mrs. LYDIA OCKINGTON 1670 MA-1713 MA ID:09001533")</f>
        <v>Mrs. LYDIA OCKINGTON 1670 MA-1713 MA ID:09001533</v>
      </c>
      <c r="M9210" s="11"/>
      <c r="N9210" s="11"/>
      <c r="O9210" s="11"/>
      <c r="P9210" s="11"/>
    </row>
    <row r="9211" spans="3:28" x14ac:dyDescent="0.35">
      <c r="C9211" s="15" t="s">
        <v>8</v>
      </c>
      <c r="J9211" s="8" t="s">
        <v>6</v>
      </c>
      <c r="K9211" s="15" t="s">
        <v>8</v>
      </c>
    </row>
    <row r="9212" spans="3:28" x14ac:dyDescent="0.35">
      <c r="C9212" s="15" t="s">
        <v>8</v>
      </c>
      <c r="J9212" s="16" t="str">
        <f>HYPERLINK("http://yeinfo.com/family/I09006127.html", "SUSANNAH OCKINGTON 1745 MA-1785 VT ID:09000383")</f>
        <v>SUSANNAH OCKINGTON 1745 MA-1785 VT ID:09000383</v>
      </c>
      <c r="K9212" s="11"/>
      <c r="L9212" s="11"/>
      <c r="M9212" s="11"/>
      <c r="N9212" s="11"/>
    </row>
    <row r="9213" spans="3:28" x14ac:dyDescent="0.35">
      <c r="C9213" s="15" t="s">
        <v>8</v>
      </c>
      <c r="K9213" s="15" t="s">
        <v>8</v>
      </c>
    </row>
    <row r="9214" spans="3:28" x14ac:dyDescent="0.35">
      <c r="C9214" s="15" t="s">
        <v>8</v>
      </c>
      <c r="K9214" s="15" t="s">
        <v>8</v>
      </c>
      <c r="X9214" s="19" t="str">
        <f>HYPERLINK("http://yeinfo.com/family/I09066546.html", "RALPH EVERARD &lt;2&gt; 1323 EN-1351 EN ID:09066546")</f>
        <v>RALPH EVERARD &lt;2&gt; 1323 EN-1351 EN ID:09066546</v>
      </c>
      <c r="Y9214" s="9"/>
      <c r="Z9214" s="9"/>
      <c r="AA9214" s="9"/>
      <c r="AB9214" s="9"/>
    </row>
    <row r="9215" spans="3:28" x14ac:dyDescent="0.35">
      <c r="C9215" s="15" t="s">
        <v>8</v>
      </c>
      <c r="K9215" s="15" t="s">
        <v>8</v>
      </c>
      <c r="X9215" s="8" t="s">
        <v>3</v>
      </c>
    </row>
    <row r="9216" spans="3:28" x14ac:dyDescent="0.35">
      <c r="C9216" s="15" t="s">
        <v>8</v>
      </c>
      <c r="K9216" s="15" t="s">
        <v>8</v>
      </c>
      <c r="W9216" s="19" t="str">
        <f>HYPERLINK("http://yeinfo.com/family/I09066375.html", "WALTER EVERARD &lt;2&gt; 1349 EN-1380 EN ID:09066375")</f>
        <v>WALTER EVERARD &lt;2&gt; 1349 EN-1380 EN ID:09066375</v>
      </c>
      <c r="X9216" s="9"/>
      <c r="Y9216" s="9"/>
      <c r="Z9216" s="9"/>
      <c r="AA9216" s="9"/>
    </row>
    <row r="9217" spans="3:28" x14ac:dyDescent="0.35">
      <c r="C9217" s="15" t="s">
        <v>8</v>
      </c>
      <c r="K9217" s="15" t="s">
        <v>8</v>
      </c>
      <c r="W9217" s="8" t="s">
        <v>3</v>
      </c>
      <c r="X9217" s="8" t="s">
        <v>6</v>
      </c>
    </row>
    <row r="9218" spans="3:28" x14ac:dyDescent="0.35">
      <c r="C9218" s="15" t="s">
        <v>8</v>
      </c>
      <c r="K9218" s="15" t="s">
        <v>8</v>
      </c>
      <c r="W9218" s="15" t="s">
        <v>8</v>
      </c>
      <c r="X9218" s="20" t="str">
        <f>HYPERLINK("http://yeinfo.com/family/I09066547.html", "Mrs. {_?_} EVERARD &lt;2&gt; 1325 -1349 EN ID:09066547")</f>
        <v>Mrs. {_?_} EVERARD &lt;2&gt; 1325 -1349 EN ID:09066547</v>
      </c>
      <c r="Y9218" s="17"/>
      <c r="Z9218" s="17"/>
      <c r="AA9218" s="17"/>
      <c r="AB9218" s="17"/>
    </row>
    <row r="9219" spans="3:28" x14ac:dyDescent="0.35">
      <c r="C9219" s="15" t="s">
        <v>8</v>
      </c>
      <c r="K9219" s="15" t="s">
        <v>8</v>
      </c>
      <c r="W9219" s="15" t="s">
        <v>8</v>
      </c>
    </row>
    <row r="9220" spans="3:28" x14ac:dyDescent="0.35">
      <c r="C9220" s="15" t="s">
        <v>8</v>
      </c>
      <c r="K9220" s="15" t="s">
        <v>8</v>
      </c>
      <c r="V9220" s="19" t="str">
        <f>HYPERLINK("http://yeinfo.com/family/I09066223.html", "WILLIAM EVERARD Sr. &lt;2&gt; 1375 EN-1404 EN ID:09066223")</f>
        <v>WILLIAM EVERARD Sr. &lt;2&gt; 1375 EN-1404 EN ID:09066223</v>
      </c>
      <c r="W9220" s="9"/>
      <c r="X9220" s="9"/>
      <c r="Y9220" s="9"/>
      <c r="Z9220" s="9"/>
    </row>
    <row r="9221" spans="3:28" x14ac:dyDescent="0.35">
      <c r="C9221" s="15" t="s">
        <v>8</v>
      </c>
      <c r="K9221" s="15" t="s">
        <v>8</v>
      </c>
      <c r="V9221" s="8" t="s">
        <v>3</v>
      </c>
      <c r="W9221" s="8" t="s">
        <v>6</v>
      </c>
    </row>
    <row r="9222" spans="3:28" x14ac:dyDescent="0.35">
      <c r="C9222" s="15" t="s">
        <v>8</v>
      </c>
      <c r="K9222" s="15" t="s">
        <v>8</v>
      </c>
      <c r="V9222" s="15" t="s">
        <v>8</v>
      </c>
      <c r="W9222" s="20" t="str">
        <f>HYPERLINK("http://yeinfo.com/family/I09066376.html", "ELIZABETH MALLORY &lt;2&gt; 1350 -1375 EN ID:09066376")</f>
        <v>ELIZABETH MALLORY &lt;2&gt; 1350 -1375 EN ID:09066376</v>
      </c>
      <c r="X9222" s="17"/>
      <c r="Y9222" s="17"/>
      <c r="Z9222" s="17"/>
      <c r="AA9222" s="17"/>
    </row>
    <row r="9223" spans="3:28" x14ac:dyDescent="0.35">
      <c r="C9223" s="15" t="s">
        <v>8</v>
      </c>
      <c r="K9223" s="15" t="s">
        <v>8</v>
      </c>
      <c r="V9223" s="15" t="s">
        <v>8</v>
      </c>
    </row>
    <row r="9224" spans="3:28" x14ac:dyDescent="0.35">
      <c r="C9224" s="15" t="s">
        <v>8</v>
      </c>
      <c r="K9224" s="15" t="s">
        <v>8</v>
      </c>
      <c r="U9224" s="19" t="str">
        <f>HYPERLINK("http://yeinfo.com/family/I09066031.html", "WILLIAM EVERARD Jr. &lt;2&gt; 1400 EN-1432 EN ID:09066031")</f>
        <v>WILLIAM EVERARD Jr. &lt;2&gt; 1400 EN-1432 EN ID:09066031</v>
      </c>
      <c r="V9224" s="9"/>
      <c r="W9224" s="9"/>
      <c r="X9224" s="9"/>
      <c r="Y9224" s="9"/>
    </row>
    <row r="9225" spans="3:28" x14ac:dyDescent="0.35">
      <c r="C9225" s="15" t="s">
        <v>8</v>
      </c>
      <c r="K9225" s="15" t="s">
        <v>8</v>
      </c>
      <c r="U9225" s="8" t="s">
        <v>3</v>
      </c>
      <c r="V9225" s="8" t="s">
        <v>6</v>
      </c>
    </row>
    <row r="9226" spans="3:28" x14ac:dyDescent="0.35">
      <c r="C9226" s="15" t="s">
        <v>8</v>
      </c>
      <c r="K9226" s="15" t="s">
        <v>8</v>
      </c>
      <c r="U9226" s="15" t="s">
        <v>8</v>
      </c>
      <c r="V9226" s="20" t="str">
        <f>HYPERLINK("http://yeinfo.com/family/I09066224.html", "Mrs. {_?_} EVERARD &lt;2&gt; 1375 -1400 EN ID:09066224")</f>
        <v>Mrs. {_?_} EVERARD &lt;2&gt; 1375 -1400 EN ID:09066224</v>
      </c>
      <c r="W9226" s="17"/>
      <c r="X9226" s="17"/>
      <c r="Y9226" s="17"/>
      <c r="Z9226" s="17"/>
    </row>
    <row r="9227" spans="3:28" x14ac:dyDescent="0.35">
      <c r="C9227" s="15" t="s">
        <v>8</v>
      </c>
      <c r="K9227" s="15" t="s">
        <v>8</v>
      </c>
      <c r="U9227" s="15" t="s">
        <v>8</v>
      </c>
    </row>
    <row r="9228" spans="3:28" x14ac:dyDescent="0.35">
      <c r="C9228" s="15" t="s">
        <v>8</v>
      </c>
      <c r="K9228" s="15" t="s">
        <v>8</v>
      </c>
      <c r="T9228" s="19" t="str">
        <f>HYPERLINK("http://yeinfo.com/family/I09065855.html", "JOHN EVERARD &lt;2&gt; 1432 EN-1463 EN ID:09065855")</f>
        <v>JOHN EVERARD &lt;2&gt; 1432 EN-1463 EN ID:09065855</v>
      </c>
      <c r="U9228" s="9"/>
      <c r="V9228" s="9"/>
      <c r="W9228" s="9"/>
      <c r="X9228" s="9"/>
    </row>
    <row r="9229" spans="3:28" x14ac:dyDescent="0.35">
      <c r="C9229" s="15" t="s">
        <v>8</v>
      </c>
      <c r="K9229" s="15" t="s">
        <v>8</v>
      </c>
      <c r="T9229" s="8" t="s">
        <v>3</v>
      </c>
      <c r="U9229" s="8" t="s">
        <v>6</v>
      </c>
    </row>
    <row r="9230" spans="3:28" x14ac:dyDescent="0.35">
      <c r="C9230" s="15" t="s">
        <v>8</v>
      </c>
      <c r="K9230" s="15" t="s">
        <v>8</v>
      </c>
      <c r="T9230" s="15" t="s">
        <v>8</v>
      </c>
      <c r="U9230" s="20" t="str">
        <f>HYPERLINK("http://yeinfo.com/family/I09066032.html", "ISABEL BEDALL &lt;2&gt; 1410 EN-1509 EN ID:09066032")</f>
        <v>ISABEL BEDALL &lt;2&gt; 1410 EN-1509 EN ID:09066032</v>
      </c>
      <c r="V9230" s="17"/>
      <c r="W9230" s="17"/>
      <c r="X9230" s="17"/>
      <c r="Y9230" s="17"/>
    </row>
    <row r="9231" spans="3:28" x14ac:dyDescent="0.35">
      <c r="C9231" s="15" t="s">
        <v>8</v>
      </c>
      <c r="K9231" s="15" t="s">
        <v>8</v>
      </c>
      <c r="T9231" s="15" t="s">
        <v>8</v>
      </c>
    </row>
    <row r="9232" spans="3:28" x14ac:dyDescent="0.35">
      <c r="C9232" s="15" t="s">
        <v>8</v>
      </c>
      <c r="K9232" s="15" t="s">
        <v>8</v>
      </c>
      <c r="S9232" s="19" t="str">
        <f>HYPERLINK("http://yeinfo.com/family/I09065714.html", "THOMAS EVERARD &lt;2&gt; 1455 EN-1529 EN ID:09065714")</f>
        <v>THOMAS EVERARD &lt;2&gt; 1455 EN-1529 EN ID:09065714</v>
      </c>
      <c r="T9232" s="9"/>
      <c r="U9232" s="9"/>
      <c r="V9232" s="9"/>
      <c r="W9232" s="9"/>
    </row>
    <row r="9233" spans="3:25" x14ac:dyDescent="0.35">
      <c r="C9233" s="15" t="s">
        <v>8</v>
      </c>
      <c r="K9233" s="15" t="s">
        <v>8</v>
      </c>
      <c r="S9233" s="8" t="s">
        <v>3</v>
      </c>
      <c r="T9233" s="8" t="s">
        <v>6</v>
      </c>
    </row>
    <row r="9234" spans="3:25" x14ac:dyDescent="0.35">
      <c r="C9234" s="15" t="s">
        <v>8</v>
      </c>
      <c r="K9234" s="15" t="s">
        <v>8</v>
      </c>
      <c r="S9234" s="15" t="s">
        <v>8</v>
      </c>
      <c r="T9234" s="20" t="str">
        <f>HYPERLINK("http://yeinfo.com/family/I09065856.html", "CATHERINE MARSH &lt;2&gt; 1434 EN-1463 EN ID:09065856")</f>
        <v>CATHERINE MARSH &lt;2&gt; 1434 EN-1463 EN ID:09065856</v>
      </c>
      <c r="U9234" s="17"/>
      <c r="V9234" s="17"/>
      <c r="W9234" s="17"/>
      <c r="X9234" s="17"/>
    </row>
    <row r="9235" spans="3:25" x14ac:dyDescent="0.35">
      <c r="C9235" s="15" t="s">
        <v>8</v>
      </c>
      <c r="K9235" s="15" t="s">
        <v>8</v>
      </c>
      <c r="S9235" s="15" t="s">
        <v>8</v>
      </c>
    </row>
    <row r="9236" spans="3:25" x14ac:dyDescent="0.35">
      <c r="C9236" s="15" t="s">
        <v>8</v>
      </c>
      <c r="K9236" s="15" t="s">
        <v>8</v>
      </c>
      <c r="R9236" s="19" t="str">
        <f>HYPERLINK("http://yeinfo.com/family/I09049088.html", "WILLIAM EVERARD 1480 EN-1532 EN ID:09065629")</f>
        <v>WILLIAM EVERARD 1480 EN-1532 EN ID:09065629</v>
      </c>
      <c r="S9236" s="9"/>
      <c r="T9236" s="9"/>
      <c r="U9236" s="9"/>
      <c r="V9236" s="9"/>
    </row>
    <row r="9237" spans="3:25" x14ac:dyDescent="0.35">
      <c r="C9237" s="15" t="s">
        <v>8</v>
      </c>
      <c r="K9237" s="15" t="s">
        <v>8</v>
      </c>
      <c r="R9237" s="8" t="s">
        <v>3</v>
      </c>
      <c r="S9237" s="15" t="s">
        <v>8</v>
      </c>
    </row>
    <row r="9238" spans="3:25" x14ac:dyDescent="0.35">
      <c r="C9238" s="15" t="s">
        <v>8</v>
      </c>
      <c r="K9238" s="15" t="s">
        <v>8</v>
      </c>
      <c r="R9238" s="15" t="s">
        <v>8</v>
      </c>
      <c r="S9238" s="15" t="s">
        <v>8</v>
      </c>
      <c r="U9238" s="19" t="str">
        <f>HYPERLINK("http://yeinfo.com/family/I09066128.html", "JOHN CORNISH &lt;2&gt; 1390 EN-1424 EN ID:09066128")</f>
        <v>JOHN CORNISH &lt;2&gt; 1390 EN-1424 EN ID:09066128</v>
      </c>
      <c r="V9238" s="9"/>
      <c r="W9238" s="9"/>
      <c r="X9238" s="9"/>
      <c r="Y9238" s="9"/>
    </row>
    <row r="9239" spans="3:25" x14ac:dyDescent="0.35">
      <c r="C9239" s="15" t="s">
        <v>8</v>
      </c>
      <c r="K9239" s="15" t="s">
        <v>8</v>
      </c>
      <c r="R9239" s="15" t="s">
        <v>8</v>
      </c>
      <c r="S9239" s="15" t="s">
        <v>8</v>
      </c>
      <c r="U9239" s="8" t="s">
        <v>3</v>
      </c>
    </row>
    <row r="9240" spans="3:25" x14ac:dyDescent="0.35">
      <c r="C9240" s="15" t="s">
        <v>8</v>
      </c>
      <c r="K9240" s="15" t="s">
        <v>8</v>
      </c>
      <c r="R9240" s="15" t="s">
        <v>8</v>
      </c>
      <c r="S9240" s="15" t="s">
        <v>8</v>
      </c>
      <c r="T9240" s="19" t="str">
        <f>HYPERLINK("http://yeinfo.com/family/I09065955.html", "JOHN CORNISH II &lt;2&gt; 1424 EN-1514 EN ID:09065955")</f>
        <v>JOHN CORNISH II &lt;2&gt; 1424 EN-1514 EN ID:09065955</v>
      </c>
      <c r="U9240" s="9"/>
      <c r="V9240" s="9"/>
      <c r="W9240" s="9"/>
      <c r="X9240" s="9"/>
    </row>
    <row r="9241" spans="3:25" x14ac:dyDescent="0.35">
      <c r="C9241" s="15" t="s">
        <v>8</v>
      </c>
      <c r="K9241" s="15" t="s">
        <v>8</v>
      </c>
      <c r="R9241" s="15" t="s">
        <v>8</v>
      </c>
      <c r="S9241" s="15" t="s">
        <v>8</v>
      </c>
      <c r="T9241" s="8" t="s">
        <v>3</v>
      </c>
      <c r="U9241" s="8" t="s">
        <v>6</v>
      </c>
    </row>
    <row r="9242" spans="3:25" x14ac:dyDescent="0.35">
      <c r="C9242" s="15" t="s">
        <v>8</v>
      </c>
      <c r="K9242" s="15" t="s">
        <v>8</v>
      </c>
      <c r="R9242" s="15" t="s">
        <v>8</v>
      </c>
      <c r="S9242" s="15" t="s">
        <v>8</v>
      </c>
      <c r="T9242" s="15" t="s">
        <v>8</v>
      </c>
      <c r="U9242" s="20" t="str">
        <f>HYPERLINK("http://yeinfo.com/family/I09066129.html", "AGNES WALTHAM &lt;2&gt; 1404 EN-1424 EN ID:09066129")</f>
        <v>AGNES WALTHAM &lt;2&gt; 1404 EN-1424 EN ID:09066129</v>
      </c>
      <c r="V9242" s="17"/>
      <c r="W9242" s="17"/>
      <c r="X9242" s="17"/>
      <c r="Y9242" s="17"/>
    </row>
    <row r="9243" spans="3:25" x14ac:dyDescent="0.35">
      <c r="C9243" s="15" t="s">
        <v>8</v>
      </c>
      <c r="K9243" s="15" t="s">
        <v>8</v>
      </c>
      <c r="R9243" s="15" t="s">
        <v>8</v>
      </c>
      <c r="S9243" s="8" t="s">
        <v>6</v>
      </c>
      <c r="T9243" s="15" t="s">
        <v>8</v>
      </c>
    </row>
    <row r="9244" spans="3:25" x14ac:dyDescent="0.35">
      <c r="C9244" s="15" t="s">
        <v>8</v>
      </c>
      <c r="K9244" s="15" t="s">
        <v>8</v>
      </c>
      <c r="R9244" s="15" t="s">
        <v>8</v>
      </c>
      <c r="S9244" s="20" t="str">
        <f>HYPERLINK("http://yeinfo.com/family/I09065715.html", "MARY JOAN CORNISH &lt;2&gt; 1462 EN-1498 EN ID:09065715")</f>
        <v>MARY JOAN CORNISH &lt;2&gt; 1462 EN-1498 EN ID:09065715</v>
      </c>
      <c r="T9244" s="17"/>
      <c r="U9244" s="17"/>
      <c r="V9244" s="17"/>
      <c r="W9244" s="17"/>
    </row>
    <row r="9245" spans="3:25" x14ac:dyDescent="0.35">
      <c r="C9245" s="15" t="s">
        <v>8</v>
      </c>
      <c r="K9245" s="15" t="s">
        <v>8</v>
      </c>
      <c r="R9245" s="15" t="s">
        <v>8</v>
      </c>
      <c r="T9245" s="8" t="s">
        <v>6</v>
      </c>
    </row>
    <row r="9246" spans="3:25" x14ac:dyDescent="0.35">
      <c r="C9246" s="15" t="s">
        <v>8</v>
      </c>
      <c r="K9246" s="15" t="s">
        <v>8</v>
      </c>
      <c r="R9246" s="15" t="s">
        <v>8</v>
      </c>
      <c r="T9246" s="20" t="str">
        <f>HYPERLINK("http://yeinfo.com/family/I09065956.html", "AGNES WALDEN &lt;2&gt; 1430 EN-1490 EN ID:09065956")</f>
        <v>AGNES WALDEN &lt;2&gt; 1430 EN-1490 EN ID:09065956</v>
      </c>
      <c r="U9246" s="17"/>
      <c r="V9246" s="17"/>
      <c r="W9246" s="17"/>
      <c r="X9246" s="17"/>
    </row>
    <row r="9247" spans="3:25" x14ac:dyDescent="0.35">
      <c r="C9247" s="15" t="s">
        <v>8</v>
      </c>
      <c r="K9247" s="15" t="s">
        <v>8</v>
      </c>
      <c r="R9247" s="15" t="s">
        <v>8</v>
      </c>
    </row>
    <row r="9248" spans="3:25" x14ac:dyDescent="0.35">
      <c r="C9248" s="15" t="s">
        <v>8</v>
      </c>
      <c r="K9248" s="15" t="s">
        <v>8</v>
      </c>
      <c r="Q9248" s="19" t="str">
        <f>HYPERLINK("http://yeinfo.com/family/I09024544.html", "JOHN EVERARD 1519 EN-1570 EN ID:09049088")</f>
        <v>JOHN EVERARD 1519 EN-1570 EN ID:09049088</v>
      </c>
      <c r="R9248" s="9"/>
      <c r="S9248" s="9"/>
      <c r="T9248" s="9"/>
      <c r="U9248" s="9"/>
    </row>
    <row r="9249" spans="3:22" x14ac:dyDescent="0.35">
      <c r="C9249" s="15" t="s">
        <v>8</v>
      </c>
      <c r="K9249" s="15" t="s">
        <v>8</v>
      </c>
      <c r="Q9249" s="8" t="s">
        <v>3</v>
      </c>
      <c r="R9249" s="8" t="s">
        <v>6</v>
      </c>
    </row>
    <row r="9250" spans="3:22" x14ac:dyDescent="0.35">
      <c r="C9250" s="15" t="s">
        <v>8</v>
      </c>
      <c r="K9250" s="15" t="s">
        <v>8</v>
      </c>
      <c r="Q9250" s="15" t="s">
        <v>8</v>
      </c>
      <c r="R9250" s="20" t="str">
        <f>HYPERLINK("http://yeinfo.com/family/I09065629.html", "Mrs. AGNES EVERARD 1480 EN-1532 EN ID:09065630")</f>
        <v>Mrs. AGNES EVERARD 1480 EN-1532 EN ID:09065630</v>
      </c>
      <c r="S9250" s="17"/>
      <c r="T9250" s="17"/>
      <c r="U9250" s="17"/>
      <c r="V9250" s="17"/>
    </row>
    <row r="9251" spans="3:22" x14ac:dyDescent="0.35">
      <c r="C9251" s="15" t="s">
        <v>8</v>
      </c>
      <c r="K9251" s="15" t="s">
        <v>8</v>
      </c>
      <c r="Q9251" s="15" t="s">
        <v>8</v>
      </c>
    </row>
    <row r="9252" spans="3:22" x14ac:dyDescent="0.35">
      <c r="C9252" s="15" t="s">
        <v>8</v>
      </c>
      <c r="K9252" s="15" t="s">
        <v>8</v>
      </c>
      <c r="P9252" s="19" t="str">
        <f>HYPERLINK("http://yeinfo.com/family/I09012272.html", "WILLIAM EVERARD 1542 EN-1613 EN ID:09024544")</f>
        <v>WILLIAM EVERARD 1542 EN-1613 EN ID:09024544</v>
      </c>
      <c r="Q9252" s="9"/>
      <c r="R9252" s="9"/>
      <c r="S9252" s="9"/>
      <c r="T9252" s="9"/>
    </row>
    <row r="9253" spans="3:22" x14ac:dyDescent="0.35">
      <c r="C9253" s="15" t="s">
        <v>8</v>
      </c>
      <c r="K9253" s="15" t="s">
        <v>8</v>
      </c>
      <c r="P9253" s="8" t="s">
        <v>3</v>
      </c>
      <c r="Q9253" s="8" t="s">
        <v>6</v>
      </c>
    </row>
    <row r="9254" spans="3:22" x14ac:dyDescent="0.35">
      <c r="C9254" s="15" t="s">
        <v>8</v>
      </c>
      <c r="K9254" s="15" t="s">
        <v>8</v>
      </c>
      <c r="P9254" s="15" t="s">
        <v>8</v>
      </c>
      <c r="Q9254" s="20" t="str">
        <f>HYPERLINK("http://yeinfo.com/family/I09065630.html", "ROSE GREENLEAFE 1517 EN-1565 EN ID:09049089")</f>
        <v>ROSE GREENLEAFE 1517 EN-1565 EN ID:09049089</v>
      </c>
      <c r="R9254" s="17"/>
      <c r="S9254" s="17"/>
      <c r="T9254" s="17"/>
      <c r="U9254" s="17"/>
    </row>
    <row r="9255" spans="3:22" x14ac:dyDescent="0.35">
      <c r="C9255" s="15" t="s">
        <v>8</v>
      </c>
      <c r="K9255" s="15" t="s">
        <v>8</v>
      </c>
      <c r="P9255" s="15" t="s">
        <v>8</v>
      </c>
    </row>
    <row r="9256" spans="3:22" x14ac:dyDescent="0.35">
      <c r="C9256" s="15" t="s">
        <v>8</v>
      </c>
      <c r="K9256" s="15" t="s">
        <v>8</v>
      </c>
      <c r="O9256" s="19" t="str">
        <f>HYPERLINK("http://yeinfo.com/family/I09006136.html", "GEORGE EVERARD 1564 EN-1615 EN ID:09012272")</f>
        <v>GEORGE EVERARD 1564 EN-1615 EN ID:09012272</v>
      </c>
      <c r="P9256" s="9"/>
      <c r="Q9256" s="9"/>
      <c r="R9256" s="9"/>
      <c r="S9256" s="9"/>
    </row>
    <row r="9257" spans="3:22" x14ac:dyDescent="0.35">
      <c r="C9257" s="15" t="s">
        <v>8</v>
      </c>
      <c r="K9257" s="15" t="s">
        <v>8</v>
      </c>
      <c r="O9257" s="8" t="s">
        <v>3</v>
      </c>
      <c r="P9257" s="8" t="s">
        <v>6</v>
      </c>
    </row>
    <row r="9258" spans="3:22" x14ac:dyDescent="0.35">
      <c r="C9258" s="15" t="s">
        <v>8</v>
      </c>
      <c r="K9258" s="15" t="s">
        <v>8</v>
      </c>
      <c r="O9258" s="15" t="s">
        <v>8</v>
      </c>
      <c r="P9258" s="20" t="str">
        <f>HYPERLINK("http://yeinfo.com/family/I09049089.html", "ELIZABETH SQUIRE 1542 EN-1615 EN ID:09024545")</f>
        <v>ELIZABETH SQUIRE 1542 EN-1615 EN ID:09024545</v>
      </c>
      <c r="Q9258" s="17"/>
      <c r="R9258" s="17"/>
      <c r="S9258" s="17"/>
      <c r="T9258" s="17"/>
    </row>
    <row r="9259" spans="3:22" x14ac:dyDescent="0.35">
      <c r="C9259" s="15" t="s">
        <v>8</v>
      </c>
      <c r="K9259" s="15" t="s">
        <v>8</v>
      </c>
      <c r="O9259" s="15" t="s">
        <v>8</v>
      </c>
    </row>
    <row r="9260" spans="3:22" x14ac:dyDescent="0.35">
      <c r="C9260" s="15" t="s">
        <v>8</v>
      </c>
      <c r="K9260" s="15" t="s">
        <v>8</v>
      </c>
      <c r="N9260" s="21" t="str">
        <f>HYPERLINK("http://yeinfo.com/family/I09003068.html", "RICHARD EVERARD 1597 EN-1682 MA ID:09006136")</f>
        <v>RICHARD EVERARD 1597 EN-1682 MA ID:09006136</v>
      </c>
      <c r="O9260" s="6"/>
      <c r="P9260" s="6"/>
      <c r="Q9260" s="6"/>
      <c r="R9260" s="6"/>
    </row>
    <row r="9261" spans="3:22" x14ac:dyDescent="0.35">
      <c r="C9261" s="15" t="s">
        <v>8</v>
      </c>
      <c r="K9261" s="15" t="s">
        <v>8</v>
      </c>
      <c r="N9261" s="8" t="s">
        <v>3</v>
      </c>
      <c r="O9261" s="8" t="s">
        <v>6</v>
      </c>
    </row>
    <row r="9262" spans="3:22" x14ac:dyDescent="0.35">
      <c r="C9262" s="15" t="s">
        <v>8</v>
      </c>
      <c r="K9262" s="15" t="s">
        <v>8</v>
      </c>
      <c r="N9262" s="15" t="s">
        <v>8</v>
      </c>
      <c r="O9262" s="20" t="str">
        <f>HYPERLINK("http://yeinfo.com/family/I09024545.html", "MARY PEARSE 1564 EN-1615 EN ID:09012273")</f>
        <v>MARY PEARSE 1564 EN-1615 EN ID:09012273</v>
      </c>
      <c r="P9262" s="17"/>
      <c r="Q9262" s="17"/>
      <c r="R9262" s="17"/>
      <c r="S9262" s="17"/>
    </row>
    <row r="9263" spans="3:22" x14ac:dyDescent="0.35">
      <c r="C9263" s="15" t="s">
        <v>8</v>
      </c>
      <c r="K9263" s="15" t="s">
        <v>8</v>
      </c>
      <c r="N9263" s="15" t="s">
        <v>8</v>
      </c>
    </row>
    <row r="9264" spans="3:22" x14ac:dyDescent="0.35">
      <c r="C9264" s="15" t="s">
        <v>8</v>
      </c>
      <c r="K9264" s="15" t="s">
        <v>8</v>
      </c>
      <c r="M9264" s="5" t="str">
        <f>HYPERLINK("http://yeinfo.com/family/I09001534.html", "JOHN EVERARD 1636 MA-1715 MA ID:09003068")</f>
        <v>JOHN EVERARD 1636 MA-1715 MA ID:09003068</v>
      </c>
      <c r="N9264" s="3"/>
      <c r="O9264" s="3"/>
      <c r="P9264" s="3"/>
      <c r="Q9264" s="3"/>
    </row>
    <row r="9265" spans="3:19" x14ac:dyDescent="0.35">
      <c r="C9265" s="15" t="s">
        <v>8</v>
      </c>
      <c r="K9265" s="15" t="s">
        <v>8</v>
      </c>
      <c r="M9265" s="8" t="s">
        <v>3</v>
      </c>
      <c r="N9265" s="8" t="s">
        <v>6</v>
      </c>
    </row>
    <row r="9266" spans="3:19" x14ac:dyDescent="0.35">
      <c r="C9266" s="15" t="s">
        <v>8</v>
      </c>
      <c r="K9266" s="15" t="s">
        <v>8</v>
      </c>
      <c r="M9266" s="15" t="s">
        <v>8</v>
      </c>
      <c r="N9266" s="22" t="str">
        <f>HYPERLINK("http://yeinfo.com/family/I09012273.html", "MARY WINCH 1614 EN-1683 MA ID:09006137")</f>
        <v>MARY WINCH 1614 EN-1683 MA ID:09006137</v>
      </c>
      <c r="O9266" s="13"/>
      <c r="P9266" s="13"/>
      <c r="Q9266" s="13"/>
      <c r="R9266" s="13"/>
    </row>
    <row r="9267" spans="3:19" x14ac:dyDescent="0.35">
      <c r="C9267" s="15" t="s">
        <v>8</v>
      </c>
      <c r="K9267" s="15" t="s">
        <v>8</v>
      </c>
      <c r="M9267" s="15" t="s">
        <v>8</v>
      </c>
    </row>
    <row r="9268" spans="3:19" x14ac:dyDescent="0.35">
      <c r="C9268" s="15" t="s">
        <v>8</v>
      </c>
      <c r="K9268" s="15" t="s">
        <v>8</v>
      </c>
      <c r="L9268" s="5" t="str">
        <f>HYPERLINK("http://yeinfo.com/family/I09000767.html", "WILLIAM EVERARD 1679 MA-1765 MA ID:09001534")</f>
        <v>WILLIAM EVERARD 1679 MA-1765 MA ID:09001534</v>
      </c>
      <c r="M9268" s="3"/>
      <c r="N9268" s="3"/>
      <c r="O9268" s="3"/>
      <c r="P9268" s="3"/>
    </row>
    <row r="9269" spans="3:19" x14ac:dyDescent="0.35">
      <c r="C9269" s="15" t="s">
        <v>8</v>
      </c>
      <c r="K9269" s="15" t="s">
        <v>8</v>
      </c>
      <c r="L9269" s="8" t="s">
        <v>3</v>
      </c>
      <c r="M9269" s="15" t="s">
        <v>8</v>
      </c>
    </row>
    <row r="9270" spans="3:19" x14ac:dyDescent="0.35">
      <c r="C9270" s="15" t="s">
        <v>8</v>
      </c>
      <c r="K9270" s="15" t="s">
        <v>8</v>
      </c>
      <c r="L9270" s="15" t="s">
        <v>8</v>
      </c>
      <c r="M9270" s="15" t="s">
        <v>8</v>
      </c>
      <c r="O9270" s="5" t="str">
        <f>HYPERLINK("http://yeinfo.com/family/I09006138.html", "ROBERT PEPPER 1594 EN-1642  ID:09012276")</f>
        <v>ROBERT PEPPER 1594 EN-1642  ID:09012276</v>
      </c>
      <c r="P9270" s="3"/>
      <c r="Q9270" s="3"/>
      <c r="R9270" s="3"/>
      <c r="S9270" s="3"/>
    </row>
    <row r="9271" spans="3:19" x14ac:dyDescent="0.35">
      <c r="C9271" s="15" t="s">
        <v>8</v>
      </c>
      <c r="K9271" s="15" t="s">
        <v>8</v>
      </c>
      <c r="L9271" s="15" t="s">
        <v>8</v>
      </c>
      <c r="M9271" s="15" t="s">
        <v>8</v>
      </c>
      <c r="O9271" s="8" t="s">
        <v>3</v>
      </c>
    </row>
    <row r="9272" spans="3:19" x14ac:dyDescent="0.35">
      <c r="C9272" s="15" t="s">
        <v>8</v>
      </c>
      <c r="K9272" s="15" t="s">
        <v>8</v>
      </c>
      <c r="L9272" s="15" t="s">
        <v>8</v>
      </c>
      <c r="M9272" s="15" t="s">
        <v>8</v>
      </c>
      <c r="N9272" s="21" t="str">
        <f>HYPERLINK("http://yeinfo.com/family/I09003069.html", "ROBERT PEPPER 1618 EN-1684 MA ID:09006138")</f>
        <v>ROBERT PEPPER 1618 EN-1684 MA ID:09006138</v>
      </c>
      <c r="O9272" s="6"/>
      <c r="P9272" s="6"/>
      <c r="Q9272" s="6"/>
      <c r="R9272" s="6"/>
    </row>
    <row r="9273" spans="3:19" x14ac:dyDescent="0.35">
      <c r="C9273" s="15" t="s">
        <v>8</v>
      </c>
      <c r="K9273" s="15" t="s">
        <v>8</v>
      </c>
      <c r="L9273" s="15" t="s">
        <v>8</v>
      </c>
      <c r="M9273" s="15" t="s">
        <v>8</v>
      </c>
      <c r="N9273" s="8" t="s">
        <v>3</v>
      </c>
      <c r="O9273" s="8" t="s">
        <v>6</v>
      </c>
    </row>
    <row r="9274" spans="3:19" x14ac:dyDescent="0.35">
      <c r="C9274" s="15" t="s">
        <v>8</v>
      </c>
      <c r="K9274" s="15" t="s">
        <v>8</v>
      </c>
      <c r="L9274" s="15" t="s">
        <v>8</v>
      </c>
      <c r="M9274" s="15" t="s">
        <v>8</v>
      </c>
      <c r="N9274" s="15" t="s">
        <v>8</v>
      </c>
      <c r="O9274" s="16" t="str">
        <f>HYPERLINK("http://yeinfo.com/family/I09012276.html", "ELIZABETH JOHNSON 1594 EN-1634  ID:09012277")</f>
        <v>ELIZABETH JOHNSON 1594 EN-1634  ID:09012277</v>
      </c>
      <c r="P9274" s="11"/>
      <c r="Q9274" s="11"/>
      <c r="R9274" s="11"/>
      <c r="S9274" s="11"/>
    </row>
    <row r="9275" spans="3:19" x14ac:dyDescent="0.35">
      <c r="C9275" s="15" t="s">
        <v>8</v>
      </c>
      <c r="K9275" s="15" t="s">
        <v>8</v>
      </c>
      <c r="L9275" s="15" t="s">
        <v>8</v>
      </c>
      <c r="M9275" s="8" t="s">
        <v>6</v>
      </c>
      <c r="N9275" s="15" t="s">
        <v>8</v>
      </c>
    </row>
    <row r="9276" spans="3:19" x14ac:dyDescent="0.35">
      <c r="C9276" s="15" t="s">
        <v>8</v>
      </c>
      <c r="K9276" s="15" t="s">
        <v>8</v>
      </c>
      <c r="L9276" s="15" t="s">
        <v>8</v>
      </c>
      <c r="M9276" s="16" t="str">
        <f>HYPERLINK("http://yeinfo.com/family/I09006137.html", "ELIZABETH PEPPER 1645 MA-1714 MA ID:09003069")</f>
        <v>ELIZABETH PEPPER 1645 MA-1714 MA ID:09003069</v>
      </c>
      <c r="N9276" s="11"/>
      <c r="O9276" s="11"/>
      <c r="P9276" s="11"/>
      <c r="Q9276" s="11"/>
    </row>
    <row r="9277" spans="3:19" x14ac:dyDescent="0.35">
      <c r="C9277" s="15" t="s">
        <v>8</v>
      </c>
      <c r="K9277" s="15" t="s">
        <v>8</v>
      </c>
      <c r="L9277" s="15" t="s">
        <v>8</v>
      </c>
      <c r="N9277" s="15" t="s">
        <v>8</v>
      </c>
    </row>
    <row r="9278" spans="3:19" x14ac:dyDescent="0.35">
      <c r="C9278" s="15" t="s">
        <v>8</v>
      </c>
      <c r="K9278" s="15" t="s">
        <v>8</v>
      </c>
      <c r="L9278" s="15" t="s">
        <v>8</v>
      </c>
      <c r="N9278" s="15" t="s">
        <v>8</v>
      </c>
      <c r="O9278" s="21" t="str">
        <f>HYPERLINK("http://yeinfo.com/family/I09006139.html", "JOHN JOHNSON 1588 EN-1659 MA ID:09012278")</f>
        <v>JOHN JOHNSON 1588 EN-1659 MA ID:09012278</v>
      </c>
      <c r="P9278" s="6"/>
      <c r="Q9278" s="6"/>
      <c r="R9278" s="6"/>
      <c r="S9278" s="6"/>
    </row>
    <row r="9279" spans="3:19" x14ac:dyDescent="0.35">
      <c r="C9279" s="15" t="s">
        <v>8</v>
      </c>
      <c r="K9279" s="15" t="s">
        <v>8</v>
      </c>
      <c r="L9279" s="15" t="s">
        <v>8</v>
      </c>
      <c r="N9279" s="8" t="s">
        <v>6</v>
      </c>
      <c r="O9279" s="8" t="s">
        <v>3</v>
      </c>
    </row>
    <row r="9280" spans="3:19" x14ac:dyDescent="0.35">
      <c r="C9280" s="15" t="s">
        <v>8</v>
      </c>
      <c r="K9280" s="15" t="s">
        <v>8</v>
      </c>
      <c r="L9280" s="15" t="s">
        <v>8</v>
      </c>
      <c r="N9280" s="16" t="str">
        <f>HYPERLINK("http://yeinfo.com/family/I09012277.html", "ELIZABETH JOHNSON 1619 EN-1683  ID:09006139")</f>
        <v>ELIZABETH JOHNSON 1619 EN-1683  ID:09006139</v>
      </c>
      <c r="O9280" s="11"/>
      <c r="P9280" s="11"/>
      <c r="Q9280" s="11"/>
      <c r="R9280" s="11"/>
    </row>
    <row r="9281" spans="3:21" x14ac:dyDescent="0.35">
      <c r="C9281" s="15" t="s">
        <v>8</v>
      </c>
      <c r="K9281" s="15" t="s">
        <v>8</v>
      </c>
      <c r="L9281" s="15" t="s">
        <v>8</v>
      </c>
      <c r="O9281" s="15" t="s">
        <v>8</v>
      </c>
    </row>
    <row r="9282" spans="3:21" x14ac:dyDescent="0.35">
      <c r="C9282" s="15" t="s">
        <v>8</v>
      </c>
      <c r="K9282" s="15" t="s">
        <v>8</v>
      </c>
      <c r="L9282" s="15" t="s">
        <v>8</v>
      </c>
      <c r="O9282" s="15" t="s">
        <v>8</v>
      </c>
      <c r="Q9282" s="19" t="str">
        <f>HYPERLINK("http://yeinfo.com/family/I09043760.html", "ROBERT HEATH &lt;2&gt; 1505 EN-1525 EN ID:09043760")</f>
        <v>ROBERT HEATH &lt;2&gt; 1505 EN-1525 EN ID:09043760</v>
      </c>
      <c r="R9282" s="9"/>
      <c r="S9282" s="9"/>
      <c r="T9282" s="9"/>
      <c r="U9282" s="9"/>
    </row>
    <row r="9283" spans="3:21" x14ac:dyDescent="0.35">
      <c r="C9283" s="15" t="s">
        <v>8</v>
      </c>
      <c r="K9283" s="15" t="s">
        <v>8</v>
      </c>
      <c r="L9283" s="15" t="s">
        <v>8</v>
      </c>
      <c r="O9283" s="15" t="s">
        <v>8</v>
      </c>
      <c r="Q9283" s="8" t="s">
        <v>3</v>
      </c>
    </row>
    <row r="9284" spans="3:21" x14ac:dyDescent="0.35">
      <c r="C9284" s="15" t="s">
        <v>8</v>
      </c>
      <c r="K9284" s="15" t="s">
        <v>8</v>
      </c>
      <c r="L9284" s="15" t="s">
        <v>8</v>
      </c>
      <c r="O9284" s="15" t="s">
        <v>8</v>
      </c>
      <c r="P9284" s="19" t="str">
        <f>HYPERLINK("http://yeinfo.com/family/I09021880.html", "EDWARD HEATH &lt;2&gt; 1525 EN-1593  ID:09021880")</f>
        <v>EDWARD HEATH &lt;2&gt; 1525 EN-1593  ID:09021880</v>
      </c>
      <c r="Q9284" s="9"/>
      <c r="R9284" s="9"/>
      <c r="S9284" s="9"/>
      <c r="T9284" s="9"/>
    </row>
    <row r="9285" spans="3:21" x14ac:dyDescent="0.35">
      <c r="C9285" s="15" t="s">
        <v>8</v>
      </c>
      <c r="K9285" s="15" t="s">
        <v>8</v>
      </c>
      <c r="L9285" s="15" t="s">
        <v>8</v>
      </c>
      <c r="O9285" s="15" t="s">
        <v>8</v>
      </c>
      <c r="P9285" s="8" t="s">
        <v>3</v>
      </c>
      <c r="Q9285" s="8" t="s">
        <v>6</v>
      </c>
    </row>
    <row r="9286" spans="3:21" x14ac:dyDescent="0.35">
      <c r="C9286" s="15" t="s">
        <v>8</v>
      </c>
      <c r="K9286" s="15" t="s">
        <v>8</v>
      </c>
      <c r="L9286" s="15" t="s">
        <v>8</v>
      </c>
      <c r="O9286" s="15" t="s">
        <v>8</v>
      </c>
      <c r="P9286" s="15" t="s">
        <v>8</v>
      </c>
      <c r="Q9286" s="20" t="str">
        <f>HYPERLINK("http://yeinfo.com/family/I09043761.html", "Mrs. {_?_} HEATH &lt;2&gt; 1505 EN-1525 EN ID:09043761")</f>
        <v>Mrs. {_?_} HEATH &lt;2&gt; 1505 EN-1525 EN ID:09043761</v>
      </c>
      <c r="R9286" s="17"/>
      <c r="S9286" s="17"/>
      <c r="T9286" s="17"/>
      <c r="U9286" s="17"/>
    </row>
    <row r="9287" spans="3:21" x14ac:dyDescent="0.35">
      <c r="C9287" s="15" t="s">
        <v>8</v>
      </c>
      <c r="K9287" s="15" t="s">
        <v>8</v>
      </c>
      <c r="L9287" s="15" t="s">
        <v>8</v>
      </c>
      <c r="O9287" s="8" t="s">
        <v>6</v>
      </c>
      <c r="P9287" s="15" t="s">
        <v>8</v>
      </c>
    </row>
    <row r="9288" spans="3:21" x14ac:dyDescent="0.35">
      <c r="C9288" s="15" t="s">
        <v>8</v>
      </c>
      <c r="K9288" s="15" t="s">
        <v>8</v>
      </c>
      <c r="L9288" s="15" t="s">
        <v>8</v>
      </c>
      <c r="O9288" s="20" t="str">
        <f>HYPERLINK("http://yeinfo.com/family/I09012278.html", "MARY HEATH 1593 EN-1629 EN ID:09012279")</f>
        <v>MARY HEATH 1593 EN-1629 EN ID:09012279</v>
      </c>
      <c r="P9288" s="17"/>
      <c r="Q9288" s="17"/>
      <c r="R9288" s="17"/>
      <c r="S9288" s="17"/>
    </row>
    <row r="9289" spans="3:21" x14ac:dyDescent="0.35">
      <c r="C9289" s="15" t="s">
        <v>8</v>
      </c>
      <c r="K9289" s="15" t="s">
        <v>8</v>
      </c>
      <c r="L9289" s="15" t="s">
        <v>8</v>
      </c>
      <c r="P9289" s="8" t="s">
        <v>6</v>
      </c>
    </row>
    <row r="9290" spans="3:21" x14ac:dyDescent="0.35">
      <c r="C9290" s="15" t="s">
        <v>8</v>
      </c>
      <c r="K9290" s="15" t="s">
        <v>8</v>
      </c>
      <c r="L9290" s="15" t="s">
        <v>8</v>
      </c>
      <c r="P9290" s="20" t="str">
        <f>HYPERLINK("http://yeinfo.com/family/I09021881.html", "ALICE CARTER &lt;2&gt; 1525 EN-1593 EN ID:09021881")</f>
        <v>ALICE CARTER &lt;2&gt; 1525 EN-1593 EN ID:09021881</v>
      </c>
      <c r="Q9290" s="17"/>
      <c r="R9290" s="17"/>
      <c r="S9290" s="17"/>
      <c r="T9290" s="17"/>
    </row>
    <row r="9291" spans="3:21" x14ac:dyDescent="0.35">
      <c r="C9291" s="15" t="s">
        <v>8</v>
      </c>
      <c r="K9291" s="8" t="s">
        <v>6</v>
      </c>
      <c r="L9291" s="15" t="s">
        <v>8</v>
      </c>
    </row>
    <row r="9292" spans="3:21" x14ac:dyDescent="0.35">
      <c r="C9292" s="15" t="s">
        <v>8</v>
      </c>
      <c r="K9292" s="16" t="str">
        <f>HYPERLINK("http://yeinfo.com/family/I09001533.html", "SUSANNAH EVERARD 1714 MA-1767 CT ID:09000767")</f>
        <v>SUSANNAH EVERARD 1714 MA-1767 CT ID:09000767</v>
      </c>
      <c r="L9292" s="11"/>
      <c r="M9292" s="11"/>
      <c r="N9292" s="11"/>
      <c r="O9292" s="11"/>
    </row>
    <row r="9293" spans="3:21" x14ac:dyDescent="0.35">
      <c r="C9293" s="15" t="s">
        <v>8</v>
      </c>
      <c r="L9293" s="15" t="s">
        <v>8</v>
      </c>
    </row>
    <row r="9294" spans="3:21" x14ac:dyDescent="0.35">
      <c r="C9294" s="15" t="s">
        <v>8</v>
      </c>
      <c r="L9294" s="15" t="s">
        <v>8</v>
      </c>
      <c r="Q9294" s="19" t="str">
        <f>HYPERLINK("http://yeinfo.com/family/I09024560.html", "RICHARD NEWCOMB 1525 EN-1545 EN ID:09049120")</f>
        <v>RICHARD NEWCOMB 1525 EN-1545 EN ID:09049120</v>
      </c>
      <c r="R9294" s="9"/>
      <c r="S9294" s="9"/>
      <c r="T9294" s="9"/>
      <c r="U9294" s="9"/>
    </row>
    <row r="9295" spans="3:21" x14ac:dyDescent="0.35">
      <c r="C9295" s="15" t="s">
        <v>8</v>
      </c>
      <c r="L9295" s="15" t="s">
        <v>8</v>
      </c>
      <c r="Q9295" s="8" t="s">
        <v>3</v>
      </c>
    </row>
    <row r="9296" spans="3:21" x14ac:dyDescent="0.35">
      <c r="C9296" s="15" t="s">
        <v>8</v>
      </c>
      <c r="L9296" s="15" t="s">
        <v>8</v>
      </c>
      <c r="P9296" s="19" t="str">
        <f>HYPERLINK("http://yeinfo.com/family/I09012280.html", "THOMAS NEWCOMB 1545 EN-1621 EN ID:09024560")</f>
        <v>THOMAS NEWCOMB 1545 EN-1621 EN ID:09024560</v>
      </c>
      <c r="Q9296" s="9"/>
      <c r="R9296" s="9"/>
      <c r="S9296" s="9"/>
      <c r="T9296" s="9"/>
    </row>
    <row r="9297" spans="3:25" x14ac:dyDescent="0.35">
      <c r="C9297" s="15" t="s">
        <v>8</v>
      </c>
      <c r="L9297" s="15" t="s">
        <v>8</v>
      </c>
      <c r="P9297" s="8" t="s">
        <v>3</v>
      </c>
      <c r="Q9297" s="8" t="s">
        <v>6</v>
      </c>
    </row>
    <row r="9298" spans="3:25" x14ac:dyDescent="0.35">
      <c r="C9298" s="15" t="s">
        <v>8</v>
      </c>
      <c r="L9298" s="15" t="s">
        <v>8</v>
      </c>
      <c r="P9298" s="15" t="s">
        <v>8</v>
      </c>
      <c r="Q9298" s="20" t="str">
        <f>HYPERLINK("http://yeinfo.com/family/I09049120.html", "Mrs. {_?_} NEWCOMB 1530 EN-1550 EN ID:09049121")</f>
        <v>Mrs. {_?_} NEWCOMB 1530 EN-1550 EN ID:09049121</v>
      </c>
      <c r="R9298" s="17"/>
      <c r="S9298" s="17"/>
      <c r="T9298" s="17"/>
      <c r="U9298" s="17"/>
    </row>
    <row r="9299" spans="3:25" x14ac:dyDescent="0.35">
      <c r="C9299" s="15" t="s">
        <v>8</v>
      </c>
      <c r="L9299" s="15" t="s">
        <v>8</v>
      </c>
      <c r="P9299" s="15" t="s">
        <v>8</v>
      </c>
    </row>
    <row r="9300" spans="3:25" x14ac:dyDescent="0.35">
      <c r="C9300" s="15" t="s">
        <v>8</v>
      </c>
      <c r="L9300" s="15" t="s">
        <v>8</v>
      </c>
      <c r="O9300" s="19" t="str">
        <f>HYPERLINK("http://yeinfo.com/family/I09006140.html", "SAMUEL NEWCOMB 1579 EN-1605 EN ID:09012280")</f>
        <v>SAMUEL NEWCOMB 1579 EN-1605 EN ID:09012280</v>
      </c>
      <c r="P9300" s="9"/>
      <c r="Q9300" s="9"/>
      <c r="R9300" s="9"/>
      <c r="S9300" s="9"/>
    </row>
    <row r="9301" spans="3:25" x14ac:dyDescent="0.35">
      <c r="C9301" s="15" t="s">
        <v>8</v>
      </c>
      <c r="L9301" s="15" t="s">
        <v>8</v>
      </c>
      <c r="O9301" s="8" t="s">
        <v>3</v>
      </c>
      <c r="P9301" s="15" t="s">
        <v>8</v>
      </c>
    </row>
    <row r="9302" spans="3:25" x14ac:dyDescent="0.35">
      <c r="C9302" s="15" t="s">
        <v>8</v>
      </c>
      <c r="L9302" s="15" t="s">
        <v>8</v>
      </c>
      <c r="O9302" s="15" t="s">
        <v>8</v>
      </c>
      <c r="P9302" s="15" t="s">
        <v>8</v>
      </c>
      <c r="U9302" s="19" t="str">
        <f>HYPERLINK("http://yeinfo.com/family/I09065934.html", "THOMAS LUCKINS 1410 EN-1435 EN ID:09066103")</f>
        <v>THOMAS LUCKINS 1410 EN-1435 EN ID:09066103</v>
      </c>
      <c r="V9302" s="9"/>
      <c r="W9302" s="9"/>
      <c r="X9302" s="9"/>
      <c r="Y9302" s="9"/>
    </row>
    <row r="9303" spans="3:25" x14ac:dyDescent="0.35">
      <c r="C9303" s="15" t="s">
        <v>8</v>
      </c>
      <c r="L9303" s="15" t="s">
        <v>8</v>
      </c>
      <c r="O9303" s="15" t="s">
        <v>8</v>
      </c>
      <c r="P9303" s="15" t="s">
        <v>8</v>
      </c>
      <c r="U9303" s="8" t="s">
        <v>3</v>
      </c>
    </row>
    <row r="9304" spans="3:25" x14ac:dyDescent="0.35">
      <c r="C9304" s="15" t="s">
        <v>8</v>
      </c>
      <c r="L9304" s="15" t="s">
        <v>8</v>
      </c>
      <c r="O9304" s="15" t="s">
        <v>8</v>
      </c>
      <c r="P9304" s="15" t="s">
        <v>8</v>
      </c>
      <c r="T9304" s="19" t="str">
        <f>HYPERLINK("http://yeinfo.com/family/I09065787.html", "JOHN LUCKINS 1435 EN-1465 EN ID:09065934")</f>
        <v>JOHN LUCKINS 1435 EN-1465 EN ID:09065934</v>
      </c>
      <c r="U9304" s="9"/>
      <c r="V9304" s="9"/>
      <c r="W9304" s="9"/>
      <c r="X9304" s="9"/>
    </row>
    <row r="9305" spans="3:25" x14ac:dyDescent="0.35">
      <c r="C9305" s="15" t="s">
        <v>8</v>
      </c>
      <c r="L9305" s="15" t="s">
        <v>8</v>
      </c>
      <c r="O9305" s="15" t="s">
        <v>8</v>
      </c>
      <c r="P9305" s="15" t="s">
        <v>8</v>
      </c>
      <c r="T9305" s="8" t="s">
        <v>3</v>
      </c>
      <c r="U9305" s="8" t="s">
        <v>6</v>
      </c>
    </row>
    <row r="9306" spans="3:25" x14ac:dyDescent="0.35">
      <c r="C9306" s="15" t="s">
        <v>8</v>
      </c>
      <c r="L9306" s="15" t="s">
        <v>8</v>
      </c>
      <c r="O9306" s="15" t="s">
        <v>8</v>
      </c>
      <c r="P9306" s="15" t="s">
        <v>8</v>
      </c>
      <c r="T9306" s="15" t="s">
        <v>8</v>
      </c>
      <c r="U9306" s="20" t="str">
        <f>HYPERLINK("http://yeinfo.com/family/I09066103.html", "Mrs. MARGARET LUCKINS 1410 EN-1435 EN ID:09066102")</f>
        <v>Mrs. MARGARET LUCKINS 1410 EN-1435 EN ID:09066102</v>
      </c>
      <c r="V9306" s="17"/>
      <c r="W9306" s="17"/>
      <c r="X9306" s="17"/>
      <c r="Y9306" s="17"/>
    </row>
    <row r="9307" spans="3:25" x14ac:dyDescent="0.35">
      <c r="C9307" s="15" t="s">
        <v>8</v>
      </c>
      <c r="L9307" s="15" t="s">
        <v>8</v>
      </c>
      <c r="O9307" s="15" t="s">
        <v>8</v>
      </c>
      <c r="P9307" s="15" t="s">
        <v>8</v>
      </c>
      <c r="T9307" s="15" t="s">
        <v>8</v>
      </c>
    </row>
    <row r="9308" spans="3:25" x14ac:dyDescent="0.35">
      <c r="C9308" s="15" t="s">
        <v>8</v>
      </c>
      <c r="L9308" s="15" t="s">
        <v>8</v>
      </c>
      <c r="O9308" s="15" t="s">
        <v>8</v>
      </c>
      <c r="P9308" s="15" t="s">
        <v>8</v>
      </c>
      <c r="S9308" s="19" t="str">
        <f>HYPERLINK("http://yeinfo.com/family/I09065659.html", "WALTER LUCKINS 1465 EN-1495 EN ID:09065787")</f>
        <v>WALTER LUCKINS 1465 EN-1495 EN ID:09065787</v>
      </c>
      <c r="T9308" s="9"/>
      <c r="U9308" s="9"/>
      <c r="V9308" s="9"/>
      <c r="W9308" s="9"/>
    </row>
    <row r="9309" spans="3:25" x14ac:dyDescent="0.35">
      <c r="C9309" s="15" t="s">
        <v>8</v>
      </c>
      <c r="L9309" s="15" t="s">
        <v>8</v>
      </c>
      <c r="O9309" s="15" t="s">
        <v>8</v>
      </c>
      <c r="P9309" s="15" t="s">
        <v>8</v>
      </c>
      <c r="S9309" s="8" t="s">
        <v>3</v>
      </c>
      <c r="T9309" s="8" t="s">
        <v>6</v>
      </c>
    </row>
    <row r="9310" spans="3:25" x14ac:dyDescent="0.35">
      <c r="C9310" s="15" t="s">
        <v>8</v>
      </c>
      <c r="L9310" s="15" t="s">
        <v>8</v>
      </c>
      <c r="O9310" s="15" t="s">
        <v>8</v>
      </c>
      <c r="P9310" s="15" t="s">
        <v>8</v>
      </c>
      <c r="S9310" s="15" t="s">
        <v>8</v>
      </c>
      <c r="T9310" s="20" t="str">
        <f>HYPERLINK("http://yeinfo.com/family/I09066102.html", "Mrs. {_?_} LUCKINS 1440 EN-1465 EN ID:09065933")</f>
        <v>Mrs. {_?_} LUCKINS 1440 EN-1465 EN ID:09065933</v>
      </c>
      <c r="U9310" s="17"/>
      <c r="V9310" s="17"/>
      <c r="W9310" s="17"/>
      <c r="X9310" s="17"/>
    </row>
    <row r="9311" spans="3:25" x14ac:dyDescent="0.35">
      <c r="C9311" s="15" t="s">
        <v>8</v>
      </c>
      <c r="L9311" s="15" t="s">
        <v>8</v>
      </c>
      <c r="O9311" s="15" t="s">
        <v>8</v>
      </c>
      <c r="P9311" s="15" t="s">
        <v>8</v>
      </c>
      <c r="S9311" s="15" t="s">
        <v>8</v>
      </c>
    </row>
    <row r="9312" spans="3:25" x14ac:dyDescent="0.35">
      <c r="C9312" s="15" t="s">
        <v>8</v>
      </c>
      <c r="L9312" s="15" t="s">
        <v>8</v>
      </c>
      <c r="O9312" s="15" t="s">
        <v>8</v>
      </c>
      <c r="P9312" s="15" t="s">
        <v>8</v>
      </c>
      <c r="R9312" s="19" t="str">
        <f>HYPERLINK("http://yeinfo.com/family/I09049122.html", "WILLIAM LUCKINS 1495 EN-1541 EN ID:09065659")</f>
        <v>WILLIAM LUCKINS 1495 EN-1541 EN ID:09065659</v>
      </c>
      <c r="S9312" s="9"/>
      <c r="T9312" s="9"/>
      <c r="U9312" s="9"/>
      <c r="V9312" s="9"/>
    </row>
    <row r="9313" spans="3:23" x14ac:dyDescent="0.35">
      <c r="C9313" s="15" t="s">
        <v>8</v>
      </c>
      <c r="L9313" s="15" t="s">
        <v>8</v>
      </c>
      <c r="O9313" s="15" t="s">
        <v>8</v>
      </c>
      <c r="P9313" s="15" t="s">
        <v>8</v>
      </c>
      <c r="R9313" s="8" t="s">
        <v>3</v>
      </c>
      <c r="S9313" s="8" t="s">
        <v>6</v>
      </c>
    </row>
    <row r="9314" spans="3:23" x14ac:dyDescent="0.35">
      <c r="C9314" s="15" t="s">
        <v>8</v>
      </c>
      <c r="L9314" s="15" t="s">
        <v>8</v>
      </c>
      <c r="O9314" s="15" t="s">
        <v>8</v>
      </c>
      <c r="P9314" s="15" t="s">
        <v>8</v>
      </c>
      <c r="R9314" s="15" t="s">
        <v>8</v>
      </c>
      <c r="S9314" s="20" t="str">
        <f>HYPERLINK("http://yeinfo.com/family/I09065933.html", "Mrs. {_?_} LUCKINS 1470 EN-1495 EN ID:09065786")</f>
        <v>Mrs. {_?_} LUCKINS 1470 EN-1495 EN ID:09065786</v>
      </c>
      <c r="T9314" s="17"/>
      <c r="U9314" s="17"/>
      <c r="V9314" s="17"/>
      <c r="W9314" s="17"/>
    </row>
    <row r="9315" spans="3:23" x14ac:dyDescent="0.35">
      <c r="C9315" s="15" t="s">
        <v>8</v>
      </c>
      <c r="L9315" s="15" t="s">
        <v>8</v>
      </c>
      <c r="O9315" s="15" t="s">
        <v>8</v>
      </c>
      <c r="P9315" s="15" t="s">
        <v>8</v>
      </c>
      <c r="R9315" s="15" t="s">
        <v>8</v>
      </c>
    </row>
    <row r="9316" spans="3:23" x14ac:dyDescent="0.35">
      <c r="C9316" s="15" t="s">
        <v>8</v>
      </c>
      <c r="L9316" s="15" t="s">
        <v>8</v>
      </c>
      <c r="O9316" s="15" t="s">
        <v>8</v>
      </c>
      <c r="P9316" s="15" t="s">
        <v>8</v>
      </c>
      <c r="Q9316" s="19" t="str">
        <f>HYPERLINK("http://yeinfo.com/family/I09024561.html", "ROBERT LUCKINS 1523 EN-1580 EN ID:09049122")</f>
        <v>ROBERT LUCKINS 1523 EN-1580 EN ID:09049122</v>
      </c>
      <c r="R9316" s="9"/>
      <c r="S9316" s="9"/>
      <c r="T9316" s="9"/>
      <c r="U9316" s="9"/>
    </row>
    <row r="9317" spans="3:23" x14ac:dyDescent="0.35">
      <c r="C9317" s="15" t="s">
        <v>8</v>
      </c>
      <c r="L9317" s="15" t="s">
        <v>8</v>
      </c>
      <c r="O9317" s="15" t="s">
        <v>8</v>
      </c>
      <c r="P9317" s="15" t="s">
        <v>8</v>
      </c>
      <c r="Q9317" s="8" t="s">
        <v>3</v>
      </c>
      <c r="R9317" s="8" t="s">
        <v>6</v>
      </c>
    </row>
    <row r="9318" spans="3:23" x14ac:dyDescent="0.35">
      <c r="C9318" s="15" t="s">
        <v>8</v>
      </c>
      <c r="L9318" s="15" t="s">
        <v>8</v>
      </c>
      <c r="O9318" s="15" t="s">
        <v>8</v>
      </c>
      <c r="P9318" s="15" t="s">
        <v>8</v>
      </c>
      <c r="Q9318" s="15" t="s">
        <v>8</v>
      </c>
      <c r="R9318" s="20" t="str">
        <f>HYPERLINK("http://yeinfo.com/family/I09065786.html", "ISABEL TURNER 1495 EN-1523 EN ID:09065672")</f>
        <v>ISABEL TURNER 1495 EN-1523 EN ID:09065672</v>
      </c>
      <c r="S9318" s="17"/>
      <c r="T9318" s="17"/>
      <c r="U9318" s="17"/>
      <c r="V9318" s="17"/>
    </row>
    <row r="9319" spans="3:23" x14ac:dyDescent="0.35">
      <c r="C9319" s="15" t="s">
        <v>8</v>
      </c>
      <c r="L9319" s="15" t="s">
        <v>8</v>
      </c>
      <c r="O9319" s="15" t="s">
        <v>8</v>
      </c>
      <c r="P9319" s="8" t="s">
        <v>6</v>
      </c>
      <c r="Q9319" s="15" t="s">
        <v>8</v>
      </c>
    </row>
    <row r="9320" spans="3:23" x14ac:dyDescent="0.35">
      <c r="C9320" s="15" t="s">
        <v>8</v>
      </c>
      <c r="L9320" s="15" t="s">
        <v>8</v>
      </c>
      <c r="O9320" s="15" t="s">
        <v>8</v>
      </c>
      <c r="P9320" s="20" t="str">
        <f>HYPERLINK("http://yeinfo.com/family/I09049121.html", "PRUDENCE LUCKINS 1554 EN-1579 EN ID:09024561")</f>
        <v>PRUDENCE LUCKINS 1554 EN-1579 EN ID:09024561</v>
      </c>
      <c r="Q9320" s="17"/>
      <c r="R9320" s="17"/>
      <c r="S9320" s="17"/>
      <c r="T9320" s="17"/>
    </row>
    <row r="9321" spans="3:23" x14ac:dyDescent="0.35">
      <c r="C9321" s="15" t="s">
        <v>8</v>
      </c>
      <c r="L9321" s="15" t="s">
        <v>8</v>
      </c>
      <c r="O9321" s="15" t="s">
        <v>8</v>
      </c>
      <c r="Q9321" s="15" t="s">
        <v>8</v>
      </c>
    </row>
    <row r="9322" spans="3:23" x14ac:dyDescent="0.35">
      <c r="C9322" s="15" t="s">
        <v>8</v>
      </c>
      <c r="L9322" s="15" t="s">
        <v>8</v>
      </c>
      <c r="O9322" s="15" t="s">
        <v>8</v>
      </c>
      <c r="Q9322" s="15" t="s">
        <v>8</v>
      </c>
      <c r="R9322" s="19" t="str">
        <f>HYPERLINK("http://yeinfo.com/family/I09049123.html", "JOHN PECHE 1500 EN-1530 EN ID:09065661")</f>
        <v>JOHN PECHE 1500 EN-1530 EN ID:09065661</v>
      </c>
      <c r="S9322" s="9"/>
      <c r="T9322" s="9"/>
      <c r="U9322" s="9"/>
      <c r="V9322" s="9"/>
    </row>
    <row r="9323" spans="3:23" x14ac:dyDescent="0.35">
      <c r="C9323" s="15" t="s">
        <v>8</v>
      </c>
      <c r="L9323" s="15" t="s">
        <v>8</v>
      </c>
      <c r="O9323" s="15" t="s">
        <v>8</v>
      </c>
      <c r="Q9323" s="8" t="s">
        <v>6</v>
      </c>
      <c r="R9323" s="8" t="s">
        <v>3</v>
      </c>
    </row>
    <row r="9324" spans="3:23" x14ac:dyDescent="0.35">
      <c r="C9324" s="15" t="s">
        <v>8</v>
      </c>
      <c r="L9324" s="15" t="s">
        <v>8</v>
      </c>
      <c r="O9324" s="15" t="s">
        <v>8</v>
      </c>
      <c r="Q9324" s="20" t="str">
        <f>HYPERLINK("http://yeinfo.com/family/I09065672.html", "ALICE PECHE 1527 EN-1621 EN ID:09049123")</f>
        <v>ALICE PECHE 1527 EN-1621 EN ID:09049123</v>
      </c>
      <c r="R9324" s="17"/>
      <c r="S9324" s="17"/>
      <c r="T9324" s="17"/>
      <c r="U9324" s="17"/>
    </row>
    <row r="9325" spans="3:23" x14ac:dyDescent="0.35">
      <c r="C9325" s="15" t="s">
        <v>8</v>
      </c>
      <c r="L9325" s="15" t="s">
        <v>8</v>
      </c>
      <c r="O9325" s="15" t="s">
        <v>8</v>
      </c>
      <c r="R9325" s="8" t="s">
        <v>6</v>
      </c>
    </row>
    <row r="9326" spans="3:23" x14ac:dyDescent="0.35">
      <c r="C9326" s="15" t="s">
        <v>8</v>
      </c>
      <c r="L9326" s="15" t="s">
        <v>8</v>
      </c>
      <c r="O9326" s="15" t="s">
        <v>8</v>
      </c>
      <c r="R9326" s="20" t="str">
        <f>HYPERLINK("http://yeinfo.com/family/I09065661.html", "Mrs. ALICE PECHE 1502 EN-1572 EN ID:09065660")</f>
        <v>Mrs. ALICE PECHE 1502 EN-1572 EN ID:09065660</v>
      </c>
      <c r="S9326" s="17"/>
      <c r="T9326" s="17"/>
      <c r="U9326" s="17"/>
      <c r="V9326" s="17"/>
    </row>
    <row r="9327" spans="3:23" x14ac:dyDescent="0.35">
      <c r="C9327" s="15" t="s">
        <v>8</v>
      </c>
      <c r="L9327" s="15" t="s">
        <v>8</v>
      </c>
      <c r="O9327" s="15" t="s">
        <v>8</v>
      </c>
    </row>
    <row r="9328" spans="3:23" x14ac:dyDescent="0.35">
      <c r="C9328" s="15" t="s">
        <v>8</v>
      </c>
      <c r="L9328" s="15" t="s">
        <v>8</v>
      </c>
      <c r="N9328" s="21" t="str">
        <f>HYPERLINK("http://yeinfo.com/family/I09003070.html", "FRANCIS NEWCOMB 1605 EN-1692 MA ID:09006140")</f>
        <v>FRANCIS NEWCOMB 1605 EN-1692 MA ID:09006140</v>
      </c>
      <c r="O9328" s="6"/>
      <c r="P9328" s="6"/>
      <c r="Q9328" s="6"/>
      <c r="R9328" s="6"/>
    </row>
    <row r="9329" spans="2:19" x14ac:dyDescent="0.35">
      <c r="C9329" s="15" t="s">
        <v>8</v>
      </c>
      <c r="L9329" s="15" t="s">
        <v>8</v>
      </c>
      <c r="N9329" s="8" t="s">
        <v>3</v>
      </c>
      <c r="O9329" s="8" t="s">
        <v>6</v>
      </c>
    </row>
    <row r="9330" spans="2:19" x14ac:dyDescent="0.35">
      <c r="C9330" s="15" t="s">
        <v>8</v>
      </c>
      <c r="L9330" s="15" t="s">
        <v>8</v>
      </c>
      <c r="N9330" s="15" t="s">
        <v>8</v>
      </c>
      <c r="O9330" s="20" t="str">
        <f>HYPERLINK("http://yeinfo.com/family/I09065660.html", "Mrs. RACHEL NEWCOMB 1579 EN-1605 EN ID:09012281")</f>
        <v>Mrs. RACHEL NEWCOMB 1579 EN-1605 EN ID:09012281</v>
      </c>
      <c r="P9330" s="17"/>
      <c r="Q9330" s="17"/>
      <c r="R9330" s="17"/>
      <c r="S9330" s="17"/>
    </row>
    <row r="9331" spans="2:19" x14ac:dyDescent="0.35">
      <c r="C9331" s="15" t="s">
        <v>8</v>
      </c>
      <c r="L9331" s="15" t="s">
        <v>8</v>
      </c>
      <c r="N9331" s="15" t="s">
        <v>8</v>
      </c>
    </row>
    <row r="9332" spans="2:19" x14ac:dyDescent="0.35">
      <c r="C9332" s="15" t="s">
        <v>8</v>
      </c>
      <c r="L9332" s="15" t="s">
        <v>8</v>
      </c>
      <c r="M9332" s="5" t="str">
        <f>HYPERLINK("http://yeinfo.com/family/I09001535.html", "PETER NEWCOMB 1648 MA-1725 MA ID:09003070")</f>
        <v>PETER NEWCOMB 1648 MA-1725 MA ID:09003070</v>
      </c>
      <c r="N9332" s="3"/>
      <c r="O9332" s="3"/>
      <c r="P9332" s="3"/>
      <c r="Q9332" s="3"/>
    </row>
    <row r="9333" spans="2:19" x14ac:dyDescent="0.35">
      <c r="C9333" s="15" t="s">
        <v>8</v>
      </c>
      <c r="L9333" s="15" t="s">
        <v>8</v>
      </c>
      <c r="M9333" s="8" t="s">
        <v>3</v>
      </c>
      <c r="N9333" s="8" t="s">
        <v>6</v>
      </c>
    </row>
    <row r="9334" spans="2:19" x14ac:dyDescent="0.35">
      <c r="C9334" s="15" t="s">
        <v>8</v>
      </c>
      <c r="L9334" s="15" t="s">
        <v>8</v>
      </c>
      <c r="M9334" s="15" t="s">
        <v>8</v>
      </c>
      <c r="N9334" s="22" t="str">
        <f>HYPERLINK("http://yeinfo.com/family/I09012281.html", "RACHEL\ALICE BRACKET 1610 EN-1648 MA ID:09006141")</f>
        <v>RACHEL\ALICE BRACKET 1610 EN-1648 MA ID:09006141</v>
      </c>
      <c r="O9334" s="13"/>
      <c r="P9334" s="13"/>
      <c r="Q9334" s="13"/>
      <c r="R9334" s="13"/>
      <c r="S9334" s="13"/>
    </row>
    <row r="9335" spans="2:19" x14ac:dyDescent="0.35">
      <c r="C9335" s="15" t="s">
        <v>8</v>
      </c>
      <c r="L9335" s="8" t="s">
        <v>6</v>
      </c>
      <c r="M9335" s="15" t="s">
        <v>8</v>
      </c>
    </row>
    <row r="9336" spans="2:19" x14ac:dyDescent="0.35">
      <c r="C9336" s="15" t="s">
        <v>8</v>
      </c>
      <c r="L9336" s="16" t="str">
        <f>HYPERLINK("http://yeinfo.com/family/I09012279.html", "RACHEL NEWCOMB 1678 MA-1747 MA ID:09001535")</f>
        <v>RACHEL NEWCOMB 1678 MA-1747 MA ID:09001535</v>
      </c>
      <c r="M9336" s="11"/>
      <c r="N9336" s="11"/>
      <c r="O9336" s="11"/>
      <c r="P9336" s="11"/>
    </row>
    <row r="9337" spans="2:19" x14ac:dyDescent="0.35">
      <c r="C9337" s="15" t="s">
        <v>8</v>
      </c>
      <c r="M9337" s="15" t="s">
        <v>8</v>
      </c>
    </row>
    <row r="9338" spans="2:19" x14ac:dyDescent="0.35">
      <c r="C9338" s="15" t="s">
        <v>8</v>
      </c>
      <c r="M9338" s="15" t="s">
        <v>8</v>
      </c>
      <c r="N9338" s="21" t="str">
        <f>HYPERLINK("http://yeinfo.com/family/I09003071.html", "RICHARD CUTTING Jr. 1621 EN-1696 MA ID:09006142")</f>
        <v>RICHARD CUTTING Jr. 1621 EN-1696 MA ID:09006142</v>
      </c>
      <c r="O9338" s="6"/>
      <c r="P9338" s="6"/>
      <c r="Q9338" s="6"/>
      <c r="R9338" s="6"/>
    </row>
    <row r="9339" spans="2:19" x14ac:dyDescent="0.35">
      <c r="C9339" s="15" t="s">
        <v>8</v>
      </c>
      <c r="M9339" s="8" t="s">
        <v>6</v>
      </c>
      <c r="N9339" s="8" t="s">
        <v>3</v>
      </c>
    </row>
    <row r="9340" spans="2:19" x14ac:dyDescent="0.35">
      <c r="C9340" s="15" t="s">
        <v>8</v>
      </c>
      <c r="M9340" s="16" t="str">
        <f>HYPERLINK("http://yeinfo.com/family/I09006141.html", "SUSANNA CUTTING 1648 MA-1700 MA ID:09003071")</f>
        <v>SUSANNA CUTTING 1648 MA-1700 MA ID:09003071</v>
      </c>
      <c r="N9340" s="11"/>
      <c r="O9340" s="11"/>
      <c r="P9340" s="11"/>
      <c r="Q9340" s="11"/>
    </row>
    <row r="9341" spans="2:19" x14ac:dyDescent="0.35">
      <c r="C9341" s="15" t="s">
        <v>8</v>
      </c>
      <c r="N9341" s="8" t="s">
        <v>6</v>
      </c>
    </row>
    <row r="9342" spans="2:19" x14ac:dyDescent="0.35">
      <c r="C9342" s="15" t="s">
        <v>8</v>
      </c>
      <c r="N9342" s="22" t="str">
        <f>HYPERLINK("http://yeinfo.com/family/I09006142.html", "SARAH STONE 1621 EN-1685 MA ID:09006143")</f>
        <v>SARAH STONE 1621 EN-1685 MA ID:09006143</v>
      </c>
      <c r="O9342" s="13"/>
      <c r="P9342" s="13"/>
      <c r="Q9342" s="13"/>
      <c r="R9342" s="13"/>
    </row>
    <row r="9343" spans="2:19" x14ac:dyDescent="0.35">
      <c r="C9343" s="15" t="s">
        <v>8</v>
      </c>
    </row>
    <row r="9344" spans="2:19" x14ac:dyDescent="0.35">
      <c r="B9344" s="5" t="str">
        <f>HYPERLINK("http://yeinfo.com/family/N09700207.html", "Ancestor ID:09000001")</f>
        <v>Ancestor ID:09000001</v>
      </c>
      <c r="C9344" s="3"/>
      <c r="D9344" s="3"/>
      <c r="E9344" s="3"/>
      <c r="F9344" s="3"/>
    </row>
    <row r="9345" spans="2:20" x14ac:dyDescent="0.35">
      <c r="B9345" s="8" t="s">
        <v>3</v>
      </c>
      <c r="C9345" s="15" t="s">
        <v>8</v>
      </c>
    </row>
    <row r="9346" spans="2:20" x14ac:dyDescent="0.35">
      <c r="C9346" s="15" t="s">
        <v>8</v>
      </c>
      <c r="P9346" s="19" t="str">
        <f>HYPERLINK("http://yeinfo.com/family/I09012288.html", "THOMAS DEATON 1475 EN-1501 EN ID:09024576")</f>
        <v>THOMAS DEATON 1475 EN-1501 EN ID:09024576</v>
      </c>
      <c r="Q9346" s="9"/>
      <c r="R9346" s="9"/>
      <c r="S9346" s="9"/>
      <c r="T9346" s="9"/>
    </row>
    <row r="9347" spans="2:20" x14ac:dyDescent="0.35">
      <c r="C9347" s="15" t="s">
        <v>8</v>
      </c>
      <c r="P9347" s="8" t="s">
        <v>3</v>
      </c>
    </row>
    <row r="9348" spans="2:20" x14ac:dyDescent="0.35">
      <c r="C9348" s="15" t="s">
        <v>8</v>
      </c>
      <c r="O9348" s="19" t="str">
        <f>HYPERLINK("http://yeinfo.com/family/I09006144.html", "RICHARD DEATON 1501 EN-1525 EN ID:09012288")</f>
        <v>RICHARD DEATON 1501 EN-1525 EN ID:09012288</v>
      </c>
      <c r="P9348" s="9"/>
      <c r="Q9348" s="9"/>
      <c r="R9348" s="9"/>
      <c r="S9348" s="9"/>
    </row>
    <row r="9349" spans="2:20" x14ac:dyDescent="0.35">
      <c r="C9349" s="15" t="s">
        <v>8</v>
      </c>
      <c r="O9349" s="8" t="s">
        <v>3</v>
      </c>
      <c r="P9349" s="8" t="s">
        <v>6</v>
      </c>
    </row>
    <row r="9350" spans="2:20" x14ac:dyDescent="0.35">
      <c r="C9350" s="15" t="s">
        <v>8</v>
      </c>
      <c r="O9350" s="15" t="s">
        <v>8</v>
      </c>
      <c r="P9350" s="20" t="str">
        <f>HYPERLINK("http://yeinfo.com/family/I09024576.html", "Mrs. {_?_} DEATON 1475 EN-1501 EN ID:09024577")</f>
        <v>Mrs. {_?_} DEATON 1475 EN-1501 EN ID:09024577</v>
      </c>
      <c r="Q9350" s="17"/>
      <c r="R9350" s="17"/>
      <c r="S9350" s="17"/>
      <c r="T9350" s="17"/>
    </row>
    <row r="9351" spans="2:20" x14ac:dyDescent="0.35">
      <c r="C9351" s="15" t="s">
        <v>8</v>
      </c>
      <c r="O9351" s="15" t="s">
        <v>8</v>
      </c>
    </row>
    <row r="9352" spans="2:20" x14ac:dyDescent="0.35">
      <c r="C9352" s="15" t="s">
        <v>8</v>
      </c>
      <c r="N9352" s="19" t="str">
        <f>HYPERLINK("http://yeinfo.com/family/I09003072.html", "HENRY DEATON 1525 EN-1581 EN ID:09006144")</f>
        <v>HENRY DEATON 1525 EN-1581 EN ID:09006144</v>
      </c>
      <c r="O9352" s="9"/>
      <c r="P9352" s="9"/>
      <c r="Q9352" s="9"/>
      <c r="R9352" s="9"/>
    </row>
    <row r="9353" spans="2:20" x14ac:dyDescent="0.35">
      <c r="C9353" s="15" t="s">
        <v>8</v>
      </c>
      <c r="N9353" s="8" t="s">
        <v>3</v>
      </c>
      <c r="O9353" s="8" t="s">
        <v>6</v>
      </c>
    </row>
    <row r="9354" spans="2:20" x14ac:dyDescent="0.35">
      <c r="C9354" s="15" t="s">
        <v>8</v>
      </c>
      <c r="N9354" s="15" t="s">
        <v>8</v>
      </c>
      <c r="O9354" s="20" t="str">
        <f>HYPERLINK("http://yeinfo.com/family/I09024577.html", "JOYCE NORTH 1503 EN-1525 EN ID:09012289")</f>
        <v>JOYCE NORTH 1503 EN-1525 EN ID:09012289</v>
      </c>
      <c r="P9354" s="17"/>
      <c r="Q9354" s="17"/>
      <c r="R9354" s="17"/>
      <c r="S9354" s="17"/>
    </row>
    <row r="9355" spans="2:20" x14ac:dyDescent="0.35">
      <c r="C9355" s="15" t="s">
        <v>8</v>
      </c>
      <c r="N9355" s="15" t="s">
        <v>8</v>
      </c>
    </row>
    <row r="9356" spans="2:20" x14ac:dyDescent="0.35">
      <c r="C9356" s="15" t="s">
        <v>8</v>
      </c>
      <c r="M9356" s="19" t="str">
        <f>HYPERLINK("http://yeinfo.com/family/I09001536.html", "WILLIAM\ROBERT DEATON 1546 EN-1616 EN ID:09003072")</f>
        <v>WILLIAM\ROBERT DEATON 1546 EN-1616 EN ID:09003072</v>
      </c>
      <c r="N9356" s="9"/>
      <c r="O9356" s="9"/>
      <c r="P9356" s="9"/>
      <c r="Q9356" s="9"/>
      <c r="R9356" s="9"/>
    </row>
    <row r="9357" spans="2:20" x14ac:dyDescent="0.35">
      <c r="C9357" s="15" t="s">
        <v>8</v>
      </c>
      <c r="M9357" s="8" t="s">
        <v>3</v>
      </c>
      <c r="N9357" s="8" t="s">
        <v>6</v>
      </c>
    </row>
    <row r="9358" spans="2:20" x14ac:dyDescent="0.35">
      <c r="C9358" s="15" t="s">
        <v>8</v>
      </c>
      <c r="M9358" s="15" t="s">
        <v>8</v>
      </c>
      <c r="N9358" s="20" t="str">
        <f>HYPERLINK("http://yeinfo.com/family/I09012289.html", "ANNE MOULE 1530 EN-1550 EN ID:09006145")</f>
        <v>ANNE MOULE 1530 EN-1550 EN ID:09006145</v>
      </c>
      <c r="O9358" s="17"/>
      <c r="P9358" s="17"/>
      <c r="Q9358" s="17"/>
      <c r="R9358" s="17"/>
    </row>
    <row r="9359" spans="2:20" x14ac:dyDescent="0.35">
      <c r="C9359" s="15" t="s">
        <v>8</v>
      </c>
      <c r="M9359" s="15" t="s">
        <v>8</v>
      </c>
    </row>
    <row r="9360" spans="2:20" x14ac:dyDescent="0.35">
      <c r="C9360" s="15" t="s">
        <v>8</v>
      </c>
      <c r="L9360" s="21" t="str">
        <f>HYPERLINK("http://yeinfo.com/family/I09000768.html", "WILLIAM DEATON II 1606 EN-1712 VA ID:09001536")</f>
        <v>WILLIAM DEATON II 1606 EN-1712 VA ID:09001536</v>
      </c>
      <c r="M9360" s="6"/>
      <c r="N9360" s="6"/>
      <c r="O9360" s="6"/>
      <c r="P9360" s="6"/>
    </row>
    <row r="9361" spans="3:19" x14ac:dyDescent="0.35">
      <c r="C9361" s="15" t="s">
        <v>8</v>
      </c>
      <c r="L9361" s="8" t="s">
        <v>3</v>
      </c>
      <c r="M9361" s="15" t="s">
        <v>8</v>
      </c>
    </row>
    <row r="9362" spans="3:19" x14ac:dyDescent="0.35">
      <c r="C9362" s="15" t="s">
        <v>8</v>
      </c>
      <c r="L9362" s="15" t="s">
        <v>8</v>
      </c>
      <c r="M9362" s="15" t="s">
        <v>8</v>
      </c>
      <c r="O9362" s="19" t="str">
        <f>HYPERLINK("http://yeinfo.com/family/I09006146.html", "TRISTRAM TOOKE 1520 EN-1545 EN ID:09012292")</f>
        <v>TRISTRAM TOOKE 1520 EN-1545 EN ID:09012292</v>
      </c>
      <c r="P9362" s="9"/>
      <c r="Q9362" s="9"/>
      <c r="R9362" s="9"/>
      <c r="S9362" s="9"/>
    </row>
    <row r="9363" spans="3:19" x14ac:dyDescent="0.35">
      <c r="C9363" s="15" t="s">
        <v>8</v>
      </c>
      <c r="L9363" s="15" t="s">
        <v>8</v>
      </c>
      <c r="M9363" s="15" t="s">
        <v>8</v>
      </c>
      <c r="O9363" s="8" t="s">
        <v>3</v>
      </c>
    </row>
    <row r="9364" spans="3:19" x14ac:dyDescent="0.35">
      <c r="C9364" s="15" t="s">
        <v>8</v>
      </c>
      <c r="L9364" s="15" t="s">
        <v>8</v>
      </c>
      <c r="M9364" s="15" t="s">
        <v>8</v>
      </c>
      <c r="N9364" s="19" t="str">
        <f>HYPERLINK("http://yeinfo.com/family/I09003073.html", "JOSEPH TOOKE 1545 EN-1584 EN ID:09006146")</f>
        <v>JOSEPH TOOKE 1545 EN-1584 EN ID:09006146</v>
      </c>
      <c r="O9364" s="9"/>
      <c r="P9364" s="9"/>
      <c r="Q9364" s="9"/>
      <c r="R9364" s="9"/>
    </row>
    <row r="9365" spans="3:19" x14ac:dyDescent="0.35">
      <c r="C9365" s="15" t="s">
        <v>8</v>
      </c>
      <c r="L9365" s="15" t="s">
        <v>8</v>
      </c>
      <c r="M9365" s="15" t="s">
        <v>8</v>
      </c>
      <c r="N9365" s="8" t="s">
        <v>3</v>
      </c>
      <c r="O9365" s="8" t="s">
        <v>6</v>
      </c>
    </row>
    <row r="9366" spans="3:19" x14ac:dyDescent="0.35">
      <c r="C9366" s="15" t="s">
        <v>8</v>
      </c>
      <c r="L9366" s="15" t="s">
        <v>8</v>
      </c>
      <c r="M9366" s="15" t="s">
        <v>8</v>
      </c>
      <c r="N9366" s="15" t="s">
        <v>8</v>
      </c>
      <c r="O9366" s="20" t="str">
        <f>HYPERLINK("http://yeinfo.com/family/I09012292.html", "ANN TUCK 1520 EN-1545 EN ID:09012293")</f>
        <v>ANN TUCK 1520 EN-1545 EN ID:09012293</v>
      </c>
      <c r="P9366" s="17"/>
      <c r="Q9366" s="17"/>
      <c r="R9366" s="17"/>
      <c r="S9366" s="17"/>
    </row>
    <row r="9367" spans="3:19" x14ac:dyDescent="0.35">
      <c r="C9367" s="15" t="s">
        <v>8</v>
      </c>
      <c r="L9367" s="15" t="s">
        <v>8</v>
      </c>
      <c r="M9367" s="8" t="s">
        <v>6</v>
      </c>
      <c r="N9367" s="15" t="s">
        <v>8</v>
      </c>
    </row>
    <row r="9368" spans="3:19" x14ac:dyDescent="0.35">
      <c r="C9368" s="15" t="s">
        <v>8</v>
      </c>
      <c r="L9368" s="15" t="s">
        <v>8</v>
      </c>
      <c r="M9368" s="20" t="str">
        <f>HYPERLINK("http://yeinfo.com/family/I09006145.html", "ANGELET TOOKE 1584 EN-1616 EN ID:09003073")</f>
        <v>ANGELET TOOKE 1584 EN-1616 EN ID:09003073</v>
      </c>
      <c r="N9368" s="17"/>
      <c r="O9368" s="17"/>
      <c r="P9368" s="17"/>
      <c r="Q9368" s="17"/>
    </row>
    <row r="9369" spans="3:19" x14ac:dyDescent="0.35">
      <c r="C9369" s="15" t="s">
        <v>8</v>
      </c>
      <c r="L9369" s="15" t="s">
        <v>8</v>
      </c>
      <c r="N9369" s="8" t="s">
        <v>6</v>
      </c>
    </row>
    <row r="9370" spans="3:19" x14ac:dyDescent="0.35">
      <c r="C9370" s="15" t="s">
        <v>8</v>
      </c>
      <c r="L9370" s="15" t="s">
        <v>8</v>
      </c>
      <c r="N9370" s="20" t="str">
        <f>HYPERLINK("http://yeinfo.com/family/I09012293.html", "ALICE HICKMAN 1560 EN-1584 EN ID:09006147")</f>
        <v>ALICE HICKMAN 1560 EN-1584 EN ID:09006147</v>
      </c>
      <c r="O9370" s="17"/>
      <c r="P9370" s="17"/>
      <c r="Q9370" s="17"/>
      <c r="R9370" s="17"/>
    </row>
    <row r="9371" spans="3:19" x14ac:dyDescent="0.35">
      <c r="C9371" s="15" t="s">
        <v>8</v>
      </c>
      <c r="L9371" s="15" t="s">
        <v>8</v>
      </c>
    </row>
    <row r="9372" spans="3:19" x14ac:dyDescent="0.35">
      <c r="C9372" s="15" t="s">
        <v>8</v>
      </c>
      <c r="K9372" s="5" t="str">
        <f>HYPERLINK("http://yeinfo.com/family/I09000384.html", "THOMAS ELIJAH DEATON Sr. 1679 EN-1761  ID:09000768")</f>
        <v>THOMAS ELIJAH DEATON Sr. 1679 EN-1761  ID:09000768</v>
      </c>
      <c r="L9372" s="3"/>
      <c r="M9372" s="3"/>
      <c r="N9372" s="3"/>
      <c r="O9372" s="3"/>
    </row>
    <row r="9373" spans="3:19" x14ac:dyDescent="0.35">
      <c r="C9373" s="15" t="s">
        <v>8</v>
      </c>
      <c r="K9373" s="8" t="s">
        <v>3</v>
      </c>
      <c r="L9373" s="8" t="s">
        <v>6</v>
      </c>
    </row>
    <row r="9374" spans="3:19" x14ac:dyDescent="0.35">
      <c r="C9374" s="15" t="s">
        <v>8</v>
      </c>
      <c r="K9374" s="15" t="s">
        <v>8</v>
      </c>
      <c r="L9374" s="22" t="str">
        <f>HYPERLINK("http://yeinfo.com/family/I09006147.html", "ELIZABETH TRUITT 1632 EN-1712 VA ID:09001537")</f>
        <v>ELIZABETH TRUITT 1632 EN-1712 VA ID:09001537</v>
      </c>
      <c r="M9374" s="13"/>
      <c r="N9374" s="13"/>
      <c r="O9374" s="13"/>
      <c r="P9374" s="13"/>
    </row>
    <row r="9375" spans="3:19" x14ac:dyDescent="0.35">
      <c r="C9375" s="15" t="s">
        <v>8</v>
      </c>
      <c r="K9375" s="15" t="s">
        <v>8</v>
      </c>
    </row>
    <row r="9376" spans="3:19" x14ac:dyDescent="0.35">
      <c r="C9376" s="15" t="s">
        <v>8</v>
      </c>
      <c r="J9376" s="5" t="str">
        <f>HYPERLINK("http://yeinfo.com/family/I09000192.html", "THOMAS ELIJAH DEATON Jr. 1710 VA-1779 NC ID:09000384")</f>
        <v>THOMAS ELIJAH DEATON Jr. 1710 VA-1779 NC ID:09000384</v>
      </c>
      <c r="K9376" s="3"/>
      <c r="L9376" s="3"/>
      <c r="M9376" s="3"/>
      <c r="N9376" s="3"/>
    </row>
    <row r="9377" spans="3:21" x14ac:dyDescent="0.35">
      <c r="C9377" s="15" t="s">
        <v>8</v>
      </c>
      <c r="J9377" s="8" t="s">
        <v>3</v>
      </c>
      <c r="K9377" s="15" t="s">
        <v>8</v>
      </c>
    </row>
    <row r="9378" spans="3:21" x14ac:dyDescent="0.35">
      <c r="C9378" s="15" t="s">
        <v>8</v>
      </c>
      <c r="J9378" s="15" t="s">
        <v>8</v>
      </c>
      <c r="K9378" s="15" t="s">
        <v>8</v>
      </c>
      <c r="L9378" s="5" t="str">
        <f>HYPERLINK("http://yeinfo.com/family/I09000769.html", "THOMAS CORRINGTON 1660 EN-1680  ID:09001538")</f>
        <v>THOMAS CORRINGTON 1660 EN-1680  ID:09001538</v>
      </c>
      <c r="M9378" s="3"/>
      <c r="N9378" s="3"/>
      <c r="O9378" s="3"/>
      <c r="P9378" s="3"/>
    </row>
    <row r="9379" spans="3:21" x14ac:dyDescent="0.35">
      <c r="C9379" s="15" t="s">
        <v>8</v>
      </c>
      <c r="J9379" s="15" t="s">
        <v>8</v>
      </c>
      <c r="K9379" s="8" t="s">
        <v>6</v>
      </c>
      <c r="L9379" s="8" t="s">
        <v>3</v>
      </c>
    </row>
    <row r="9380" spans="3:21" x14ac:dyDescent="0.35">
      <c r="C9380" s="15" t="s">
        <v>8</v>
      </c>
      <c r="J9380" s="15" t="s">
        <v>8</v>
      </c>
      <c r="K9380" s="16" t="str">
        <f>HYPERLINK("http://yeinfo.com/family/I09001537.html", "MARY CORRINGTON 1680 EN-1753  ID:09000769")</f>
        <v>MARY CORRINGTON 1680 EN-1753  ID:09000769</v>
      </c>
      <c r="L9380" s="11"/>
      <c r="M9380" s="11"/>
      <c r="N9380" s="11"/>
      <c r="O9380" s="11"/>
    </row>
    <row r="9381" spans="3:21" x14ac:dyDescent="0.35">
      <c r="C9381" s="15" t="s">
        <v>8</v>
      </c>
      <c r="J9381" s="15" t="s">
        <v>8</v>
      </c>
      <c r="L9381" s="8" t="s">
        <v>6</v>
      </c>
    </row>
    <row r="9382" spans="3:21" x14ac:dyDescent="0.35">
      <c r="C9382" s="15" t="s">
        <v>8</v>
      </c>
      <c r="J9382" s="15" t="s">
        <v>8</v>
      </c>
      <c r="L9382" s="16" t="str">
        <f>HYPERLINK("http://yeinfo.com/family/I09001538.html", "JANE ATKINSON 1660 EN-1680  ID:09001539")</f>
        <v>JANE ATKINSON 1660 EN-1680  ID:09001539</v>
      </c>
      <c r="M9382" s="11"/>
      <c r="N9382" s="11"/>
      <c r="O9382" s="11"/>
      <c r="P9382" s="11"/>
    </row>
    <row r="9383" spans="3:21" x14ac:dyDescent="0.35">
      <c r="C9383" s="15" t="s">
        <v>8</v>
      </c>
      <c r="J9383" s="15" t="s">
        <v>8</v>
      </c>
    </row>
    <row r="9384" spans="3:21" x14ac:dyDescent="0.35">
      <c r="C9384" s="15" t="s">
        <v>8</v>
      </c>
      <c r="I9384" s="5" t="str">
        <f>HYPERLINK("http://yeinfo.com/family/I09000096.html", "JOSEPH DEATON Sr. 1755 VA-1832 NC ID:09000192")</f>
        <v>JOSEPH DEATON Sr. 1755 VA-1832 NC ID:09000192</v>
      </c>
      <c r="J9384" s="3"/>
      <c r="K9384" s="3"/>
      <c r="L9384" s="3"/>
      <c r="M9384" s="3"/>
    </row>
    <row r="9385" spans="3:21" x14ac:dyDescent="0.35">
      <c r="C9385" s="15" t="s">
        <v>8</v>
      </c>
      <c r="I9385" s="8" t="s">
        <v>3</v>
      </c>
      <c r="J9385" s="15" t="s">
        <v>8</v>
      </c>
    </row>
    <row r="9386" spans="3:21" x14ac:dyDescent="0.35">
      <c r="C9386" s="15" t="s">
        <v>8</v>
      </c>
      <c r="I9386" s="15" t="s">
        <v>8</v>
      </c>
      <c r="J9386" s="15" t="s">
        <v>8</v>
      </c>
      <c r="K9386" s="21" t="str">
        <f>HYPERLINK("http://yeinfo.com/family/I09000385.html", "JOHN GIBBS 1695 EN-1734 VA ID:09000770")</f>
        <v>JOHN GIBBS 1695 EN-1734 VA ID:09000770</v>
      </c>
      <c r="L9386" s="6"/>
      <c r="M9386" s="6"/>
      <c r="N9386" s="6"/>
      <c r="O9386" s="6"/>
    </row>
    <row r="9387" spans="3:21" x14ac:dyDescent="0.35">
      <c r="C9387" s="15" t="s">
        <v>8</v>
      </c>
      <c r="I9387" s="15" t="s">
        <v>8</v>
      </c>
      <c r="J9387" s="8" t="s">
        <v>6</v>
      </c>
      <c r="K9387" s="8" t="s">
        <v>3</v>
      </c>
    </row>
    <row r="9388" spans="3:21" x14ac:dyDescent="0.35">
      <c r="C9388" s="15" t="s">
        <v>8</v>
      </c>
      <c r="I9388" s="15" t="s">
        <v>8</v>
      </c>
      <c r="J9388" s="16" t="str">
        <f>HYPERLINK("http://yeinfo.com/family/I09001539.html", "MARY GIBBS 1716 VA-1800  ID:09000385")</f>
        <v>MARY GIBBS 1716 VA-1800  ID:09000385</v>
      </c>
      <c r="K9388" s="11"/>
      <c r="L9388" s="11"/>
      <c r="M9388" s="11"/>
      <c r="N9388" s="11"/>
    </row>
    <row r="9389" spans="3:21" x14ac:dyDescent="0.35">
      <c r="C9389" s="15" t="s">
        <v>8</v>
      </c>
      <c r="I9389" s="15" t="s">
        <v>8</v>
      </c>
      <c r="K9389" s="15" t="s">
        <v>8</v>
      </c>
    </row>
    <row r="9390" spans="3:21" x14ac:dyDescent="0.35">
      <c r="C9390" s="15" t="s">
        <v>8</v>
      </c>
      <c r="I9390" s="15" t="s">
        <v>8</v>
      </c>
      <c r="K9390" s="15" t="s">
        <v>8</v>
      </c>
      <c r="Q9390" s="19" t="str">
        <f>HYPERLINK("http://yeinfo.com/family/I09024672.html", "WILLIAM ALBERT WEBSTER 1533 EN-1572 EN ID:09049344")</f>
        <v>WILLIAM ALBERT WEBSTER 1533 EN-1572 EN ID:09049344</v>
      </c>
      <c r="R9390" s="9"/>
      <c r="S9390" s="9"/>
      <c r="T9390" s="9"/>
      <c r="U9390" s="9"/>
    </row>
    <row r="9391" spans="3:21" x14ac:dyDescent="0.35">
      <c r="C9391" s="15" t="s">
        <v>8</v>
      </c>
      <c r="I9391" s="15" t="s">
        <v>8</v>
      </c>
      <c r="K9391" s="15" t="s">
        <v>8</v>
      </c>
      <c r="Q9391" s="8" t="s">
        <v>3</v>
      </c>
    </row>
    <row r="9392" spans="3:21" x14ac:dyDescent="0.35">
      <c r="C9392" s="15" t="s">
        <v>8</v>
      </c>
      <c r="I9392" s="15" t="s">
        <v>8</v>
      </c>
      <c r="K9392" s="15" t="s">
        <v>8</v>
      </c>
      <c r="P9392" s="19" t="str">
        <f>HYPERLINK("http://yeinfo.com/family/I09012336.html", "WILLIAM WEBSTER 1570 EN-1652 EN ID:09024672")</f>
        <v>WILLIAM WEBSTER 1570 EN-1652 EN ID:09024672</v>
      </c>
      <c r="Q9392" s="9"/>
      <c r="R9392" s="9"/>
      <c r="S9392" s="9"/>
      <c r="T9392" s="9"/>
    </row>
    <row r="9393" spans="3:23" x14ac:dyDescent="0.35">
      <c r="C9393" s="15" t="s">
        <v>8</v>
      </c>
      <c r="I9393" s="15" t="s">
        <v>8</v>
      </c>
      <c r="K9393" s="15" t="s">
        <v>8</v>
      </c>
      <c r="P9393" s="8" t="s">
        <v>3</v>
      </c>
      <c r="Q9393" s="15" t="s">
        <v>8</v>
      </c>
    </row>
    <row r="9394" spans="3:23" x14ac:dyDescent="0.35">
      <c r="C9394" s="15" t="s">
        <v>8</v>
      </c>
      <c r="I9394" s="15" t="s">
        <v>8</v>
      </c>
      <c r="K9394" s="15" t="s">
        <v>8</v>
      </c>
      <c r="P9394" s="15" t="s">
        <v>8</v>
      </c>
      <c r="Q9394" s="15" t="s">
        <v>8</v>
      </c>
      <c r="S9394" s="19" t="str">
        <f>HYPERLINK("http://yeinfo.com/family/I09065631.html", "WILLIAM CONSTABLE 1463 EN-1526 EN ID:09065756")</f>
        <v>WILLIAM CONSTABLE 1463 EN-1526 EN ID:09065756</v>
      </c>
      <c r="T9394" s="9"/>
      <c r="U9394" s="9"/>
      <c r="V9394" s="9"/>
      <c r="W9394" s="9"/>
    </row>
    <row r="9395" spans="3:23" x14ac:dyDescent="0.35">
      <c r="C9395" s="15" t="s">
        <v>8</v>
      </c>
      <c r="I9395" s="15" t="s">
        <v>8</v>
      </c>
      <c r="K9395" s="15" t="s">
        <v>8</v>
      </c>
      <c r="P9395" s="15" t="s">
        <v>8</v>
      </c>
      <c r="Q9395" s="15" t="s">
        <v>8</v>
      </c>
      <c r="S9395" s="8" t="s">
        <v>3</v>
      </c>
    </row>
    <row r="9396" spans="3:23" x14ac:dyDescent="0.35">
      <c r="C9396" s="15" t="s">
        <v>8</v>
      </c>
      <c r="I9396" s="15" t="s">
        <v>8</v>
      </c>
      <c r="K9396" s="15" t="s">
        <v>8</v>
      </c>
      <c r="P9396" s="15" t="s">
        <v>8</v>
      </c>
      <c r="Q9396" s="15" t="s">
        <v>8</v>
      </c>
      <c r="R9396" s="19" t="str">
        <f>HYPERLINK("http://yeinfo.com/family/I09049345.html", "MARMADUKE CONSTABLE 1502 EN-1584 EN ID:09065631")</f>
        <v>MARMADUKE CONSTABLE 1502 EN-1584 EN ID:09065631</v>
      </c>
      <c r="S9396" s="9"/>
      <c r="T9396" s="9"/>
      <c r="U9396" s="9"/>
      <c r="V9396" s="9"/>
    </row>
    <row r="9397" spans="3:23" x14ac:dyDescent="0.35">
      <c r="C9397" s="15" t="s">
        <v>8</v>
      </c>
      <c r="I9397" s="15" t="s">
        <v>8</v>
      </c>
      <c r="K9397" s="15" t="s">
        <v>8</v>
      </c>
      <c r="P9397" s="15" t="s">
        <v>8</v>
      </c>
      <c r="Q9397" s="15" t="s">
        <v>8</v>
      </c>
      <c r="R9397" s="8" t="s">
        <v>3</v>
      </c>
      <c r="S9397" s="8" t="s">
        <v>6</v>
      </c>
    </row>
    <row r="9398" spans="3:23" x14ac:dyDescent="0.35">
      <c r="C9398" s="15" t="s">
        <v>8</v>
      </c>
      <c r="I9398" s="15" t="s">
        <v>8</v>
      </c>
      <c r="K9398" s="15" t="s">
        <v>8</v>
      </c>
      <c r="P9398" s="15" t="s">
        <v>8</v>
      </c>
      <c r="Q9398" s="15" t="s">
        <v>8</v>
      </c>
      <c r="R9398" s="15" t="s">
        <v>8</v>
      </c>
      <c r="S9398" s="20" t="str">
        <f>HYPERLINK("http://yeinfo.com/family/I09065756.html", "JOAN FULTHORPE 1447 EN-1540 EN ID:09065757")</f>
        <v>JOAN FULTHORPE 1447 EN-1540 EN ID:09065757</v>
      </c>
      <c r="T9398" s="17"/>
      <c r="U9398" s="17"/>
      <c r="V9398" s="17"/>
      <c r="W9398" s="17"/>
    </row>
    <row r="9399" spans="3:23" x14ac:dyDescent="0.35">
      <c r="C9399" s="15" t="s">
        <v>8</v>
      </c>
      <c r="I9399" s="15" t="s">
        <v>8</v>
      </c>
      <c r="K9399" s="15" t="s">
        <v>8</v>
      </c>
      <c r="P9399" s="15" t="s">
        <v>8</v>
      </c>
      <c r="Q9399" s="8" t="s">
        <v>6</v>
      </c>
      <c r="R9399" s="15" t="s">
        <v>8</v>
      </c>
    </row>
    <row r="9400" spans="3:23" x14ac:dyDescent="0.35">
      <c r="C9400" s="15" t="s">
        <v>8</v>
      </c>
      <c r="I9400" s="15" t="s">
        <v>8</v>
      </c>
      <c r="K9400" s="15" t="s">
        <v>8</v>
      </c>
      <c r="P9400" s="15" t="s">
        <v>8</v>
      </c>
      <c r="Q9400" s="20" t="str">
        <f>HYPERLINK("http://yeinfo.com/family/I09049344.html", "MARGERY\MARGARET CONSTABLE 1542 EN-1572 EN ID:09049345")</f>
        <v>MARGERY\MARGARET CONSTABLE 1542 EN-1572 EN ID:09049345</v>
      </c>
      <c r="R9400" s="17"/>
      <c r="S9400" s="17"/>
      <c r="T9400" s="17"/>
      <c r="U9400" s="17"/>
      <c r="V9400" s="17"/>
    </row>
    <row r="9401" spans="3:23" x14ac:dyDescent="0.35">
      <c r="C9401" s="15" t="s">
        <v>8</v>
      </c>
      <c r="I9401" s="15" t="s">
        <v>8</v>
      </c>
      <c r="K9401" s="15" t="s">
        <v>8</v>
      </c>
      <c r="P9401" s="15" t="s">
        <v>8</v>
      </c>
      <c r="R9401" s="15" t="s">
        <v>8</v>
      </c>
    </row>
    <row r="9402" spans="3:23" x14ac:dyDescent="0.35">
      <c r="C9402" s="15" t="s">
        <v>8</v>
      </c>
      <c r="I9402" s="15" t="s">
        <v>8</v>
      </c>
      <c r="K9402" s="15" t="s">
        <v>8</v>
      </c>
      <c r="P9402" s="15" t="s">
        <v>8</v>
      </c>
      <c r="R9402" s="15" t="s">
        <v>8</v>
      </c>
      <c r="S9402" s="19" t="str">
        <f>HYPERLINK("http://yeinfo.com/family/I09065632.html", "RICHARD STOKES 1475 EN-1547 EN ID:09065758")</f>
        <v>RICHARD STOKES 1475 EN-1547 EN ID:09065758</v>
      </c>
      <c r="T9402" s="9"/>
      <c r="U9402" s="9"/>
      <c r="V9402" s="9"/>
      <c r="W9402" s="9"/>
    </row>
    <row r="9403" spans="3:23" x14ac:dyDescent="0.35">
      <c r="C9403" s="15" t="s">
        <v>8</v>
      </c>
      <c r="I9403" s="15" t="s">
        <v>8</v>
      </c>
      <c r="K9403" s="15" t="s">
        <v>8</v>
      </c>
      <c r="P9403" s="15" t="s">
        <v>8</v>
      </c>
      <c r="R9403" s="8" t="s">
        <v>6</v>
      </c>
      <c r="S9403" s="8" t="s">
        <v>3</v>
      </c>
    </row>
    <row r="9404" spans="3:23" x14ac:dyDescent="0.35">
      <c r="C9404" s="15" t="s">
        <v>8</v>
      </c>
      <c r="I9404" s="15" t="s">
        <v>8</v>
      </c>
      <c r="K9404" s="15" t="s">
        <v>8</v>
      </c>
      <c r="P9404" s="15" t="s">
        <v>8</v>
      </c>
      <c r="R9404" s="20" t="str">
        <f>HYPERLINK("http://yeinfo.com/family/I09065757.html", "ELIZABETH STOKES 1513 EN-1560 EN ID:09065632")</f>
        <v>ELIZABETH STOKES 1513 EN-1560 EN ID:09065632</v>
      </c>
      <c r="S9404" s="17"/>
      <c r="T9404" s="17"/>
      <c r="U9404" s="17"/>
      <c r="V9404" s="17"/>
    </row>
    <row r="9405" spans="3:23" x14ac:dyDescent="0.35">
      <c r="C9405" s="15" t="s">
        <v>8</v>
      </c>
      <c r="I9405" s="15" t="s">
        <v>8</v>
      </c>
      <c r="K9405" s="15" t="s">
        <v>8</v>
      </c>
      <c r="P9405" s="15" t="s">
        <v>8</v>
      </c>
      <c r="S9405" s="8" t="s">
        <v>6</v>
      </c>
    </row>
    <row r="9406" spans="3:23" x14ac:dyDescent="0.35">
      <c r="C9406" s="15" t="s">
        <v>8</v>
      </c>
      <c r="I9406" s="15" t="s">
        <v>8</v>
      </c>
      <c r="K9406" s="15" t="s">
        <v>8</v>
      </c>
      <c r="P9406" s="15" t="s">
        <v>8</v>
      </c>
      <c r="S9406" s="20" t="str">
        <f>HYPERLINK("http://yeinfo.com/family/I09065758.html", "BRIDGET CARLETON 1479 EN-1556 EN ID:09065759")</f>
        <v>BRIDGET CARLETON 1479 EN-1556 EN ID:09065759</v>
      </c>
      <c r="T9406" s="17"/>
      <c r="U9406" s="17"/>
      <c r="V9406" s="17"/>
      <c r="W9406" s="17"/>
    </row>
    <row r="9407" spans="3:23" x14ac:dyDescent="0.35">
      <c r="C9407" s="15" t="s">
        <v>8</v>
      </c>
      <c r="I9407" s="15" t="s">
        <v>8</v>
      </c>
      <c r="K9407" s="15" t="s">
        <v>8</v>
      </c>
      <c r="P9407" s="15" t="s">
        <v>8</v>
      </c>
    </row>
    <row r="9408" spans="3:23" x14ac:dyDescent="0.35">
      <c r="C9408" s="15" t="s">
        <v>8</v>
      </c>
      <c r="I9408" s="15" t="s">
        <v>8</v>
      </c>
      <c r="K9408" s="15" t="s">
        <v>8</v>
      </c>
      <c r="O9408" s="19" t="str">
        <f>HYPERLINK("http://yeinfo.com/family/I09006168.html", "WILLIAM WEBSTER 1598 EN-1652 EN ID:09012336")</f>
        <v>WILLIAM WEBSTER 1598 EN-1652 EN ID:09012336</v>
      </c>
      <c r="P9408" s="9"/>
      <c r="Q9408" s="9"/>
      <c r="R9408" s="9"/>
      <c r="S9408" s="9"/>
    </row>
    <row r="9409" spans="3:20" x14ac:dyDescent="0.35">
      <c r="C9409" s="15" t="s">
        <v>8</v>
      </c>
      <c r="I9409" s="15" t="s">
        <v>8</v>
      </c>
      <c r="K9409" s="15" t="s">
        <v>8</v>
      </c>
      <c r="O9409" s="8" t="s">
        <v>3</v>
      </c>
      <c r="P9409" s="8" t="s">
        <v>6</v>
      </c>
    </row>
    <row r="9410" spans="3:20" x14ac:dyDescent="0.35">
      <c r="C9410" s="15" t="s">
        <v>8</v>
      </c>
      <c r="I9410" s="15" t="s">
        <v>8</v>
      </c>
      <c r="K9410" s="15" t="s">
        <v>8</v>
      </c>
      <c r="O9410" s="15" t="s">
        <v>8</v>
      </c>
      <c r="P9410" s="20" t="str">
        <f>HYPERLINK("http://yeinfo.com/family/I09065759.html", "HELENA FIRTH 1568 EN-1598 EN ID:09024673")</f>
        <v>HELENA FIRTH 1568 EN-1598 EN ID:09024673</v>
      </c>
      <c r="Q9410" s="17"/>
      <c r="R9410" s="17"/>
      <c r="S9410" s="17"/>
      <c r="T9410" s="17"/>
    </row>
    <row r="9411" spans="3:20" x14ac:dyDescent="0.35">
      <c r="C9411" s="15" t="s">
        <v>8</v>
      </c>
      <c r="I9411" s="15" t="s">
        <v>8</v>
      </c>
      <c r="K9411" s="15" t="s">
        <v>8</v>
      </c>
      <c r="O9411" s="15" t="s">
        <v>8</v>
      </c>
    </row>
    <row r="9412" spans="3:20" x14ac:dyDescent="0.35">
      <c r="C9412" s="15" t="s">
        <v>8</v>
      </c>
      <c r="I9412" s="15" t="s">
        <v>8</v>
      </c>
      <c r="K9412" s="15" t="s">
        <v>8</v>
      </c>
      <c r="N9412" s="21" t="str">
        <f>HYPERLINK("http://yeinfo.com/family/I09003084.html", "WILLIAM WEBSTER III 1618 EN-1641 VA ID:09006168")</f>
        <v>WILLIAM WEBSTER III 1618 EN-1641 VA ID:09006168</v>
      </c>
      <c r="O9412" s="6"/>
      <c r="P9412" s="6"/>
      <c r="Q9412" s="6"/>
      <c r="R9412" s="6"/>
    </row>
    <row r="9413" spans="3:20" x14ac:dyDescent="0.35">
      <c r="C9413" s="15" t="s">
        <v>8</v>
      </c>
      <c r="I9413" s="15" t="s">
        <v>8</v>
      </c>
      <c r="K9413" s="15" t="s">
        <v>8</v>
      </c>
      <c r="N9413" s="8" t="s">
        <v>3</v>
      </c>
      <c r="O9413" s="8" t="s">
        <v>6</v>
      </c>
    </row>
    <row r="9414" spans="3:20" x14ac:dyDescent="0.35">
      <c r="C9414" s="15" t="s">
        <v>8</v>
      </c>
      <c r="I9414" s="15" t="s">
        <v>8</v>
      </c>
      <c r="K9414" s="15" t="s">
        <v>8</v>
      </c>
      <c r="N9414" s="15" t="s">
        <v>8</v>
      </c>
      <c r="O9414" s="20" t="str">
        <f>HYPERLINK("http://yeinfo.com/family/I09024673.html", "ANNA HARTLEG 1590 EN-1661 EN ID:09012337")</f>
        <v>ANNA HARTLEG 1590 EN-1661 EN ID:09012337</v>
      </c>
      <c r="P9414" s="17"/>
      <c r="Q9414" s="17"/>
      <c r="R9414" s="17"/>
      <c r="S9414" s="17"/>
    </row>
    <row r="9415" spans="3:20" x14ac:dyDescent="0.35">
      <c r="C9415" s="15" t="s">
        <v>8</v>
      </c>
      <c r="I9415" s="15" t="s">
        <v>8</v>
      </c>
      <c r="K9415" s="15" t="s">
        <v>8</v>
      </c>
      <c r="N9415" s="15" t="s">
        <v>8</v>
      </c>
    </row>
    <row r="9416" spans="3:20" x14ac:dyDescent="0.35">
      <c r="C9416" s="15" t="s">
        <v>8</v>
      </c>
      <c r="I9416" s="15" t="s">
        <v>8</v>
      </c>
      <c r="K9416" s="15" t="s">
        <v>8</v>
      </c>
      <c r="M9416" s="5" t="str">
        <f>HYPERLINK("http://yeinfo.com/family/I09001542.html", "HENRY WEBSTER 1641 VA-1697 VA ID:09003084")</f>
        <v>HENRY WEBSTER 1641 VA-1697 VA ID:09003084</v>
      </c>
      <c r="N9416" s="3"/>
      <c r="O9416" s="3"/>
      <c r="P9416" s="3"/>
      <c r="Q9416" s="3"/>
    </row>
    <row r="9417" spans="3:20" x14ac:dyDescent="0.35">
      <c r="C9417" s="15" t="s">
        <v>8</v>
      </c>
      <c r="I9417" s="15" t="s">
        <v>8</v>
      </c>
      <c r="K9417" s="15" t="s">
        <v>8</v>
      </c>
      <c r="M9417" s="8" t="s">
        <v>3</v>
      </c>
      <c r="N9417" s="15" t="s">
        <v>8</v>
      </c>
    </row>
    <row r="9418" spans="3:20" x14ac:dyDescent="0.35">
      <c r="C9418" s="15" t="s">
        <v>8</v>
      </c>
      <c r="I9418" s="15" t="s">
        <v>8</v>
      </c>
      <c r="K9418" s="15" t="s">
        <v>8</v>
      </c>
      <c r="M9418" s="15" t="s">
        <v>8</v>
      </c>
      <c r="N9418" s="15" t="s">
        <v>8</v>
      </c>
      <c r="O9418" s="19" t="str">
        <f>HYPERLINK("http://yeinfo.com/family/I09006169.html", "WILLIAM RICHARD 1603 EN-1624 EN ID:09012338")</f>
        <v>WILLIAM RICHARD 1603 EN-1624 EN ID:09012338</v>
      </c>
      <c r="P9418" s="9"/>
      <c r="Q9418" s="9"/>
      <c r="R9418" s="9"/>
      <c r="S9418" s="9"/>
    </row>
    <row r="9419" spans="3:20" x14ac:dyDescent="0.35">
      <c r="C9419" s="15" t="s">
        <v>8</v>
      </c>
      <c r="I9419" s="15" t="s">
        <v>8</v>
      </c>
      <c r="K9419" s="15" t="s">
        <v>8</v>
      </c>
      <c r="M9419" s="15" t="s">
        <v>8</v>
      </c>
      <c r="N9419" s="8" t="s">
        <v>6</v>
      </c>
      <c r="O9419" s="8" t="s">
        <v>3</v>
      </c>
    </row>
    <row r="9420" spans="3:20" x14ac:dyDescent="0.35">
      <c r="C9420" s="15" t="s">
        <v>8</v>
      </c>
      <c r="I9420" s="15" t="s">
        <v>8</v>
      </c>
      <c r="K9420" s="15" t="s">
        <v>8</v>
      </c>
      <c r="M9420" s="15" t="s">
        <v>8</v>
      </c>
      <c r="N9420" s="16" t="str">
        <f>HYPERLINK("http://yeinfo.com/family/I09012337.html", "SARAH MAY RICHARD 1624 VA-1697 VA ID:09006169")</f>
        <v>SARAH MAY RICHARD 1624 VA-1697 VA ID:09006169</v>
      </c>
      <c r="O9420" s="11"/>
      <c r="P9420" s="11"/>
      <c r="Q9420" s="11"/>
      <c r="R9420" s="11"/>
    </row>
    <row r="9421" spans="3:20" x14ac:dyDescent="0.35">
      <c r="C9421" s="15" t="s">
        <v>8</v>
      </c>
      <c r="I9421" s="15" t="s">
        <v>8</v>
      </c>
      <c r="K9421" s="15" t="s">
        <v>8</v>
      </c>
      <c r="M9421" s="15" t="s">
        <v>8</v>
      </c>
      <c r="O9421" s="8" t="s">
        <v>6</v>
      </c>
    </row>
    <row r="9422" spans="3:20" x14ac:dyDescent="0.35">
      <c r="C9422" s="15" t="s">
        <v>8</v>
      </c>
      <c r="I9422" s="15" t="s">
        <v>8</v>
      </c>
      <c r="K9422" s="15" t="s">
        <v>8</v>
      </c>
      <c r="M9422" s="15" t="s">
        <v>8</v>
      </c>
      <c r="O9422" s="20" t="str">
        <f>HYPERLINK("http://yeinfo.com/family/I09012338.html", "CATHERINE CHEETHAM THACKER 1603 EN-1624 EN ID:09012339")</f>
        <v>CATHERINE CHEETHAM THACKER 1603 EN-1624 EN ID:09012339</v>
      </c>
      <c r="P9422" s="17"/>
      <c r="Q9422" s="17"/>
      <c r="R9422" s="17"/>
      <c r="S9422" s="17"/>
    </row>
    <row r="9423" spans="3:20" x14ac:dyDescent="0.35">
      <c r="C9423" s="15" t="s">
        <v>8</v>
      </c>
      <c r="I9423" s="15" t="s">
        <v>8</v>
      </c>
      <c r="K9423" s="15" t="s">
        <v>8</v>
      </c>
      <c r="M9423" s="15" t="s">
        <v>8</v>
      </c>
    </row>
    <row r="9424" spans="3:20" x14ac:dyDescent="0.35">
      <c r="C9424" s="15" t="s">
        <v>8</v>
      </c>
      <c r="I9424" s="15" t="s">
        <v>8</v>
      </c>
      <c r="K9424" s="15" t="s">
        <v>8</v>
      </c>
      <c r="L9424" s="5" t="str">
        <f>HYPERLINK("http://yeinfo.com/family/I09000771.html", "THOMAS WEBSTER 1658 VA-1691 VA ID:09001542")</f>
        <v>THOMAS WEBSTER 1658 VA-1691 VA ID:09001542</v>
      </c>
      <c r="M9424" s="3"/>
      <c r="N9424" s="3"/>
      <c r="O9424" s="3"/>
      <c r="P9424" s="3"/>
    </row>
    <row r="9425" spans="3:25" x14ac:dyDescent="0.35">
      <c r="C9425" s="15" t="s">
        <v>8</v>
      </c>
      <c r="I9425" s="15" t="s">
        <v>8</v>
      </c>
      <c r="K9425" s="15" t="s">
        <v>8</v>
      </c>
      <c r="L9425" s="8" t="s">
        <v>3</v>
      </c>
      <c r="M9425" s="8" t="s">
        <v>6</v>
      </c>
    </row>
    <row r="9426" spans="3:25" x14ac:dyDescent="0.35">
      <c r="C9426" s="15" t="s">
        <v>8</v>
      </c>
      <c r="I9426" s="15" t="s">
        <v>8</v>
      </c>
      <c r="K9426" s="15" t="s">
        <v>8</v>
      </c>
      <c r="L9426" s="15" t="s">
        <v>8</v>
      </c>
      <c r="M9426" s="16" t="str">
        <f>HYPERLINK("http://yeinfo.com/family/I09012339.html", "CHARITY HOLT 1644 VA-1700 VA ID:09003085")</f>
        <v>CHARITY HOLT 1644 VA-1700 VA ID:09003085</v>
      </c>
      <c r="N9426" s="11"/>
      <c r="O9426" s="11"/>
      <c r="P9426" s="11"/>
      <c r="Q9426" s="11"/>
    </row>
    <row r="9427" spans="3:25" x14ac:dyDescent="0.35">
      <c r="C9427" s="15" t="s">
        <v>8</v>
      </c>
      <c r="I9427" s="15" t="s">
        <v>8</v>
      </c>
      <c r="K9427" s="8" t="s">
        <v>6</v>
      </c>
      <c r="L9427" s="15" t="s">
        <v>8</v>
      </c>
    </row>
    <row r="9428" spans="3:25" x14ac:dyDescent="0.35">
      <c r="C9428" s="15" t="s">
        <v>8</v>
      </c>
      <c r="I9428" s="15" t="s">
        <v>8</v>
      </c>
      <c r="K9428" s="16" t="str">
        <f>HYPERLINK("http://yeinfo.com/family/I09000770.html", "MARY WEBSTER 1691 VA-1716 VA ID:09000771")</f>
        <v>MARY WEBSTER 1691 VA-1716 VA ID:09000771</v>
      </c>
      <c r="L9428" s="11"/>
      <c r="M9428" s="11"/>
      <c r="N9428" s="11"/>
      <c r="O9428" s="11"/>
    </row>
    <row r="9429" spans="3:25" x14ac:dyDescent="0.35">
      <c r="C9429" s="15" t="s">
        <v>8</v>
      </c>
      <c r="I9429" s="15" t="s">
        <v>8</v>
      </c>
      <c r="L9429" s="15" t="s">
        <v>8</v>
      </c>
    </row>
    <row r="9430" spans="3:25" x14ac:dyDescent="0.35">
      <c r="C9430" s="15" t="s">
        <v>8</v>
      </c>
      <c r="I9430" s="15" t="s">
        <v>8</v>
      </c>
      <c r="L9430" s="15" t="s">
        <v>8</v>
      </c>
      <c r="M9430" s="21" t="str">
        <f>HYPERLINK("http://yeinfo.com/family/I09001543.html", "GEORGE COUSSENS 1610 EN-1681 VA ID:09003086")</f>
        <v>GEORGE COUSSENS 1610 EN-1681 VA ID:09003086</v>
      </c>
      <c r="N9430" s="6"/>
      <c r="O9430" s="6"/>
      <c r="P9430" s="6"/>
      <c r="Q9430" s="6"/>
    </row>
    <row r="9431" spans="3:25" x14ac:dyDescent="0.35">
      <c r="C9431" s="15" t="s">
        <v>8</v>
      </c>
      <c r="I9431" s="15" t="s">
        <v>8</v>
      </c>
      <c r="L9431" s="8" t="s">
        <v>6</v>
      </c>
      <c r="M9431" s="8" t="s">
        <v>3</v>
      </c>
    </row>
    <row r="9432" spans="3:25" x14ac:dyDescent="0.35">
      <c r="C9432" s="15" t="s">
        <v>8</v>
      </c>
      <c r="I9432" s="15" t="s">
        <v>8</v>
      </c>
      <c r="L9432" s="16" t="str">
        <f>HYPERLINK("http://yeinfo.com/family/I09003085.html", "ROSAMOND COUSSENS 1660 VA-1717 VA ID:09001543")</f>
        <v>ROSAMOND COUSSENS 1660 VA-1717 VA ID:09001543</v>
      </c>
      <c r="M9432" s="11"/>
      <c r="N9432" s="11"/>
      <c r="O9432" s="11"/>
      <c r="P9432" s="11"/>
    </row>
    <row r="9433" spans="3:25" x14ac:dyDescent="0.35">
      <c r="C9433" s="15" t="s">
        <v>8</v>
      </c>
      <c r="I9433" s="15" t="s">
        <v>8</v>
      </c>
      <c r="M9433" s="8" t="s">
        <v>6</v>
      </c>
    </row>
    <row r="9434" spans="3:25" x14ac:dyDescent="0.35">
      <c r="C9434" s="15" t="s">
        <v>8</v>
      </c>
      <c r="I9434" s="15" t="s">
        <v>8</v>
      </c>
      <c r="M9434" s="16" t="str">
        <f>HYPERLINK("http://yeinfo.com/family/I09003086.html", "JULIA GALEC 1610 EN-1691  ID:09003087")</f>
        <v>JULIA GALEC 1610 EN-1691  ID:09003087</v>
      </c>
      <c r="N9434" s="11"/>
      <c r="O9434" s="11"/>
      <c r="P9434" s="11"/>
      <c r="Q9434" s="11"/>
    </row>
    <row r="9435" spans="3:25" x14ac:dyDescent="0.35">
      <c r="C9435" s="15" t="s">
        <v>8</v>
      </c>
      <c r="I9435" s="15" t="s">
        <v>8</v>
      </c>
    </row>
    <row r="9436" spans="3:25" x14ac:dyDescent="0.35">
      <c r="C9436" s="15" t="s">
        <v>8</v>
      </c>
      <c r="H9436" s="5" t="str">
        <f>HYPERLINK("http://yeinfo.com/family/I09000048.html", "ELIAS DEATON 1786 NC-1870 TN ID:09000096")</f>
        <v>ELIAS DEATON 1786 NC-1870 TN ID:09000096</v>
      </c>
      <c r="I9436" s="3"/>
      <c r="J9436" s="3"/>
      <c r="K9436" s="3"/>
      <c r="L9436" s="3"/>
    </row>
    <row r="9437" spans="3:25" x14ac:dyDescent="0.35">
      <c r="C9437" s="15" t="s">
        <v>8</v>
      </c>
      <c r="H9437" s="8" t="s">
        <v>3</v>
      </c>
      <c r="I9437" s="15" t="s">
        <v>8</v>
      </c>
    </row>
    <row r="9438" spans="3:25" x14ac:dyDescent="0.35">
      <c r="C9438" s="15" t="s">
        <v>8</v>
      </c>
      <c r="H9438" s="15" t="s">
        <v>8</v>
      </c>
      <c r="I9438" s="15" t="s">
        <v>8</v>
      </c>
      <c r="U9438" s="19" t="str">
        <f>HYPERLINK("http://yeinfo.com/family/I09065907.html", "ROBERT JORDAN 1455 EN-1500 EN ID:09066069")</f>
        <v>ROBERT JORDAN 1455 EN-1500 EN ID:09066069</v>
      </c>
      <c r="V9438" s="9"/>
      <c r="W9438" s="9"/>
      <c r="X9438" s="9"/>
      <c r="Y9438" s="9"/>
    </row>
    <row r="9439" spans="3:25" x14ac:dyDescent="0.35">
      <c r="C9439" s="15" t="s">
        <v>8</v>
      </c>
      <c r="H9439" s="15" t="s">
        <v>8</v>
      </c>
      <c r="I9439" s="15" t="s">
        <v>8</v>
      </c>
      <c r="U9439" s="8" t="s">
        <v>3</v>
      </c>
    </row>
    <row r="9440" spans="3:25" x14ac:dyDescent="0.35">
      <c r="C9440" s="15" t="s">
        <v>8</v>
      </c>
      <c r="H9440" s="15" t="s">
        <v>8</v>
      </c>
      <c r="I9440" s="15" t="s">
        <v>8</v>
      </c>
      <c r="T9440" s="19" t="str">
        <f>HYPERLINK("http://yeinfo.com/family/I09065760.html", "ROBERT JORDAN 1479 EN-1540 EN ID:09065907")</f>
        <v>ROBERT JORDAN 1479 EN-1540 EN ID:09065907</v>
      </c>
      <c r="U9440" s="9"/>
      <c r="V9440" s="9"/>
      <c r="W9440" s="9"/>
      <c r="X9440" s="9"/>
    </row>
    <row r="9441" spans="3:25" x14ac:dyDescent="0.35">
      <c r="C9441" s="15" t="s">
        <v>8</v>
      </c>
      <c r="H9441" s="15" t="s">
        <v>8</v>
      </c>
      <c r="I9441" s="15" t="s">
        <v>8</v>
      </c>
      <c r="T9441" s="8" t="s">
        <v>3</v>
      </c>
      <c r="U9441" s="8" t="s">
        <v>6</v>
      </c>
    </row>
    <row r="9442" spans="3:25" x14ac:dyDescent="0.35">
      <c r="C9442" s="15" t="s">
        <v>8</v>
      </c>
      <c r="H9442" s="15" t="s">
        <v>8</v>
      </c>
      <c r="I9442" s="15" t="s">
        <v>8</v>
      </c>
      <c r="T9442" s="15" t="s">
        <v>8</v>
      </c>
      <c r="U9442" s="20" t="str">
        <f>HYPERLINK("http://yeinfo.com/family/I09066069.html", "CHRISTIE CHANTMARLE 1459 FR-1479 EN ID:09066070")</f>
        <v>CHRISTIE CHANTMARLE 1459 FR-1479 EN ID:09066070</v>
      </c>
      <c r="V9442" s="17"/>
      <c r="W9442" s="17"/>
      <c r="X9442" s="17"/>
      <c r="Y9442" s="17"/>
    </row>
    <row r="9443" spans="3:25" x14ac:dyDescent="0.35">
      <c r="C9443" s="15" t="s">
        <v>8</v>
      </c>
      <c r="H9443" s="15" t="s">
        <v>8</v>
      </c>
      <c r="I9443" s="15" t="s">
        <v>8</v>
      </c>
      <c r="T9443" s="15" t="s">
        <v>8</v>
      </c>
    </row>
    <row r="9444" spans="3:25" x14ac:dyDescent="0.35">
      <c r="C9444" s="15" t="s">
        <v>8</v>
      </c>
      <c r="H9444" s="15" t="s">
        <v>8</v>
      </c>
      <c r="I9444" s="15" t="s">
        <v>8</v>
      </c>
      <c r="S9444" s="19" t="str">
        <f>HYPERLINK("http://yeinfo.com/family/I09065633.html", "ROBERT JORDAN 1500 EN-1589 EN ID:09065760")</f>
        <v>ROBERT JORDAN 1500 EN-1589 EN ID:09065760</v>
      </c>
      <c r="T9444" s="9"/>
      <c r="U9444" s="9"/>
      <c r="V9444" s="9"/>
      <c r="W9444" s="9"/>
    </row>
    <row r="9445" spans="3:25" x14ac:dyDescent="0.35">
      <c r="C9445" s="15" t="s">
        <v>8</v>
      </c>
      <c r="H9445" s="15" t="s">
        <v>8</v>
      </c>
      <c r="I9445" s="15" t="s">
        <v>8</v>
      </c>
      <c r="S9445" s="8" t="s">
        <v>3</v>
      </c>
      <c r="T9445" s="8" t="s">
        <v>6</v>
      </c>
    </row>
    <row r="9446" spans="3:25" x14ac:dyDescent="0.35">
      <c r="C9446" s="15" t="s">
        <v>8</v>
      </c>
      <c r="H9446" s="15" t="s">
        <v>8</v>
      </c>
      <c r="I9446" s="15" t="s">
        <v>8</v>
      </c>
      <c r="S9446" s="15" t="s">
        <v>8</v>
      </c>
      <c r="T9446" s="20" t="str">
        <f>HYPERLINK("http://yeinfo.com/family/I09066070.html", "Mrs. {_?_} JORDAN 1480 -1500  ID:09065908")</f>
        <v>Mrs. {_?_} JORDAN 1480 -1500  ID:09065908</v>
      </c>
      <c r="U9446" s="17"/>
      <c r="V9446" s="17"/>
      <c r="W9446" s="17"/>
      <c r="X9446" s="17"/>
    </row>
    <row r="9447" spans="3:25" x14ac:dyDescent="0.35">
      <c r="C9447" s="15" t="s">
        <v>8</v>
      </c>
      <c r="H9447" s="15" t="s">
        <v>8</v>
      </c>
      <c r="I9447" s="15" t="s">
        <v>8</v>
      </c>
      <c r="S9447" s="15" t="s">
        <v>8</v>
      </c>
    </row>
    <row r="9448" spans="3:25" x14ac:dyDescent="0.35">
      <c r="C9448" s="15" t="s">
        <v>8</v>
      </c>
      <c r="H9448" s="15" t="s">
        <v>8</v>
      </c>
      <c r="I9448" s="15" t="s">
        <v>8</v>
      </c>
      <c r="R9448" s="19" t="str">
        <f>HYPERLINK("http://yeinfo.com/family/I09049408.html", "THOMAS JORDAN 1529 EN-1591 EN ID:09065633")</f>
        <v>THOMAS JORDAN 1529 EN-1591 EN ID:09065633</v>
      </c>
      <c r="S9448" s="9"/>
      <c r="T9448" s="9"/>
      <c r="U9448" s="9"/>
      <c r="V9448" s="9"/>
    </row>
    <row r="9449" spans="3:25" x14ac:dyDescent="0.35">
      <c r="C9449" s="15" t="s">
        <v>8</v>
      </c>
      <c r="H9449" s="15" t="s">
        <v>8</v>
      </c>
      <c r="I9449" s="15" t="s">
        <v>8</v>
      </c>
      <c r="R9449" s="8" t="s">
        <v>3</v>
      </c>
      <c r="S9449" s="8" t="s">
        <v>6</v>
      </c>
    </row>
    <row r="9450" spans="3:25" x14ac:dyDescent="0.35">
      <c r="C9450" s="15" t="s">
        <v>8</v>
      </c>
      <c r="H9450" s="15" t="s">
        <v>8</v>
      </c>
      <c r="I9450" s="15" t="s">
        <v>8</v>
      </c>
      <c r="R9450" s="15" t="s">
        <v>8</v>
      </c>
      <c r="S9450" s="20" t="str">
        <f>HYPERLINK("http://yeinfo.com/family/I09065908.html", "JANE COKER 1504 EN-1590 EN ID:09065761")</f>
        <v>JANE COKER 1504 EN-1590 EN ID:09065761</v>
      </c>
      <c r="T9450" s="17"/>
      <c r="U9450" s="17"/>
      <c r="V9450" s="17"/>
      <c r="W9450" s="17"/>
    </row>
    <row r="9451" spans="3:25" x14ac:dyDescent="0.35">
      <c r="C9451" s="15" t="s">
        <v>8</v>
      </c>
      <c r="H9451" s="15" t="s">
        <v>8</v>
      </c>
      <c r="I9451" s="15" t="s">
        <v>8</v>
      </c>
      <c r="R9451" s="15" t="s">
        <v>8</v>
      </c>
    </row>
    <row r="9452" spans="3:25" x14ac:dyDescent="0.35">
      <c r="C9452" s="15" t="s">
        <v>8</v>
      </c>
      <c r="H9452" s="15" t="s">
        <v>8</v>
      </c>
      <c r="I9452" s="15" t="s">
        <v>8</v>
      </c>
      <c r="Q9452" s="19" t="str">
        <f>HYPERLINK("http://yeinfo.com/family/I09024704.html", "ROBERT JORDAN 1562 EN-1623 EN ID:09049408")</f>
        <v>ROBERT JORDAN 1562 EN-1623 EN ID:09049408</v>
      </c>
      <c r="R9452" s="9"/>
      <c r="S9452" s="9"/>
      <c r="T9452" s="9"/>
      <c r="U9452" s="9"/>
    </row>
    <row r="9453" spans="3:25" x14ac:dyDescent="0.35">
      <c r="C9453" s="15" t="s">
        <v>8</v>
      </c>
      <c r="H9453" s="15" t="s">
        <v>8</v>
      </c>
      <c r="I9453" s="15" t="s">
        <v>8</v>
      </c>
      <c r="Q9453" s="8" t="s">
        <v>3</v>
      </c>
      <c r="R9453" s="8" t="s">
        <v>6</v>
      </c>
    </row>
    <row r="9454" spans="3:25" x14ac:dyDescent="0.35">
      <c r="C9454" s="15" t="s">
        <v>8</v>
      </c>
      <c r="H9454" s="15" t="s">
        <v>8</v>
      </c>
      <c r="I9454" s="15" t="s">
        <v>8</v>
      </c>
      <c r="Q9454" s="15" t="s">
        <v>8</v>
      </c>
      <c r="R9454" s="20" t="str">
        <f>HYPERLINK("http://yeinfo.com/family/I09065761.html", "AGNES ELIZABETH BURTE 1537 EN-1564 EN ID:09065634")</f>
        <v>AGNES ELIZABETH BURTE 1537 EN-1564 EN ID:09065634</v>
      </c>
      <c r="S9454" s="17"/>
      <c r="T9454" s="17"/>
      <c r="U9454" s="17"/>
      <c r="V9454" s="17"/>
    </row>
    <row r="9455" spans="3:25" x14ac:dyDescent="0.35">
      <c r="C9455" s="15" t="s">
        <v>8</v>
      </c>
      <c r="H9455" s="15" t="s">
        <v>8</v>
      </c>
      <c r="I9455" s="15" t="s">
        <v>8</v>
      </c>
      <c r="Q9455" s="15" t="s">
        <v>8</v>
      </c>
    </row>
    <row r="9456" spans="3:25" x14ac:dyDescent="0.35">
      <c r="C9456" s="15" t="s">
        <v>8</v>
      </c>
      <c r="H9456" s="15" t="s">
        <v>8</v>
      </c>
      <c r="I9456" s="15" t="s">
        <v>8</v>
      </c>
      <c r="P9456" s="19" t="str">
        <f>HYPERLINK("http://yeinfo.com/family/I09012352.html", "SAMUEL\ROBERT SILAS JORDAN 1578 EN-1623 EN ID:09024704")</f>
        <v>SAMUEL\ROBERT SILAS JORDAN 1578 EN-1623 EN ID:09024704</v>
      </c>
      <c r="Q9456" s="9"/>
      <c r="R9456" s="9"/>
      <c r="S9456" s="9"/>
      <c r="T9456" s="9"/>
      <c r="U9456" s="9"/>
    </row>
    <row r="9457" spans="3:22" x14ac:dyDescent="0.35">
      <c r="C9457" s="15" t="s">
        <v>8</v>
      </c>
      <c r="H9457" s="15" t="s">
        <v>8</v>
      </c>
      <c r="I9457" s="15" t="s">
        <v>8</v>
      </c>
      <c r="P9457" s="8" t="s">
        <v>3</v>
      </c>
      <c r="Q9457" s="8" t="s">
        <v>6</v>
      </c>
    </row>
    <row r="9458" spans="3:22" x14ac:dyDescent="0.35">
      <c r="C9458" s="15" t="s">
        <v>8</v>
      </c>
      <c r="H9458" s="15" t="s">
        <v>8</v>
      </c>
      <c r="I9458" s="15" t="s">
        <v>8</v>
      </c>
      <c r="P9458" s="15" t="s">
        <v>8</v>
      </c>
      <c r="Q9458" s="22" t="str">
        <f>HYPERLINK("http://yeinfo.com/family/I09065634.html", "SARAH WINTER 1564 EN-1664 NH ID:09049409")</f>
        <v>SARAH WINTER 1564 EN-1664 NH ID:09049409</v>
      </c>
      <c r="R9458" s="13"/>
      <c r="S9458" s="13"/>
      <c r="T9458" s="13"/>
      <c r="U9458" s="13"/>
    </row>
    <row r="9459" spans="3:22" x14ac:dyDescent="0.35">
      <c r="C9459" s="15" t="s">
        <v>8</v>
      </c>
      <c r="H9459" s="15" t="s">
        <v>8</v>
      </c>
      <c r="I9459" s="15" t="s">
        <v>8</v>
      </c>
      <c r="P9459" s="15" t="s">
        <v>8</v>
      </c>
    </row>
    <row r="9460" spans="3:22" x14ac:dyDescent="0.35">
      <c r="C9460" s="15" t="s">
        <v>8</v>
      </c>
      <c r="H9460" s="15" t="s">
        <v>8</v>
      </c>
      <c r="I9460" s="15" t="s">
        <v>8</v>
      </c>
      <c r="O9460" s="21" t="str">
        <f>HYPERLINK("http://yeinfo.com/family/I09006176.html", "THOMAS JORDAN 1600 EN-1685 VA ID:09012352")</f>
        <v>THOMAS JORDAN 1600 EN-1685 VA ID:09012352</v>
      </c>
      <c r="P9460" s="6"/>
      <c r="Q9460" s="6"/>
      <c r="R9460" s="6"/>
      <c r="S9460" s="6"/>
    </row>
    <row r="9461" spans="3:22" x14ac:dyDescent="0.35">
      <c r="C9461" s="15" t="s">
        <v>8</v>
      </c>
      <c r="H9461" s="15" t="s">
        <v>8</v>
      </c>
      <c r="I9461" s="15" t="s">
        <v>8</v>
      </c>
      <c r="O9461" s="8" t="s">
        <v>3</v>
      </c>
      <c r="P9461" s="8" t="s">
        <v>6</v>
      </c>
    </row>
    <row r="9462" spans="3:22" x14ac:dyDescent="0.35">
      <c r="C9462" s="15" t="s">
        <v>8</v>
      </c>
      <c r="H9462" s="15" t="s">
        <v>8</v>
      </c>
      <c r="I9462" s="15" t="s">
        <v>8</v>
      </c>
      <c r="O9462" s="15" t="s">
        <v>8</v>
      </c>
      <c r="P9462" s="22" t="str">
        <f>HYPERLINK("http://yeinfo.com/family/I09049409.html", "CICELY REYNOLDS 1605 EN-1660 VA ID:09024705")</f>
        <v>CICELY REYNOLDS 1605 EN-1660 VA ID:09024705</v>
      </c>
      <c r="Q9462" s="13"/>
      <c r="R9462" s="13"/>
      <c r="S9462" s="13"/>
      <c r="T9462" s="13"/>
    </row>
    <row r="9463" spans="3:22" x14ac:dyDescent="0.35">
      <c r="C9463" s="15" t="s">
        <v>8</v>
      </c>
      <c r="H9463" s="15" t="s">
        <v>8</v>
      </c>
      <c r="I9463" s="15" t="s">
        <v>8</v>
      </c>
      <c r="O9463" s="15" t="s">
        <v>8</v>
      </c>
    </row>
    <row r="9464" spans="3:22" x14ac:dyDescent="0.35">
      <c r="C9464" s="15" t="s">
        <v>8</v>
      </c>
      <c r="H9464" s="15" t="s">
        <v>8</v>
      </c>
      <c r="I9464" s="15" t="s">
        <v>8</v>
      </c>
      <c r="N9464" s="21" t="str">
        <f>HYPERLINK("http://yeinfo.com/family/I09003088.html", "THOMAS JORDAN 1634 EN-1699 VA ID:09006176")</f>
        <v>THOMAS JORDAN 1634 EN-1699 VA ID:09006176</v>
      </c>
      <c r="O9464" s="6"/>
      <c r="P9464" s="6"/>
      <c r="Q9464" s="6"/>
      <c r="R9464" s="6"/>
    </row>
    <row r="9465" spans="3:22" x14ac:dyDescent="0.35">
      <c r="C9465" s="15" t="s">
        <v>8</v>
      </c>
      <c r="H9465" s="15" t="s">
        <v>8</v>
      </c>
      <c r="I9465" s="15" t="s">
        <v>8</v>
      </c>
      <c r="N9465" s="8" t="s">
        <v>3</v>
      </c>
      <c r="O9465" s="15" t="s">
        <v>8</v>
      </c>
    </row>
    <row r="9466" spans="3:22" x14ac:dyDescent="0.35">
      <c r="C9466" s="15" t="s">
        <v>8</v>
      </c>
      <c r="H9466" s="15" t="s">
        <v>8</v>
      </c>
      <c r="I9466" s="15" t="s">
        <v>8</v>
      </c>
      <c r="N9466" s="15" t="s">
        <v>8</v>
      </c>
      <c r="O9466" s="15" t="s">
        <v>8</v>
      </c>
      <c r="Q9466" s="19" t="str">
        <f>HYPERLINK("http://yeinfo.com/family/I09024706.html", "JOHN CORKER 1554 EN-1584  ID:09049412")</f>
        <v>JOHN CORKER 1554 EN-1584  ID:09049412</v>
      </c>
      <c r="R9466" s="9"/>
      <c r="S9466" s="9"/>
      <c r="T9466" s="9"/>
      <c r="U9466" s="9"/>
    </row>
    <row r="9467" spans="3:22" x14ac:dyDescent="0.35">
      <c r="C9467" s="15" t="s">
        <v>8</v>
      </c>
      <c r="H9467" s="15" t="s">
        <v>8</v>
      </c>
      <c r="I9467" s="15" t="s">
        <v>8</v>
      </c>
      <c r="N9467" s="15" t="s">
        <v>8</v>
      </c>
      <c r="O9467" s="15" t="s">
        <v>8</v>
      </c>
      <c r="Q9467" s="8" t="s">
        <v>3</v>
      </c>
    </row>
    <row r="9468" spans="3:22" x14ac:dyDescent="0.35">
      <c r="C9468" s="15" t="s">
        <v>8</v>
      </c>
      <c r="H9468" s="15" t="s">
        <v>8</v>
      </c>
      <c r="I9468" s="15" t="s">
        <v>8</v>
      </c>
      <c r="N9468" s="15" t="s">
        <v>8</v>
      </c>
      <c r="O9468" s="15" t="s">
        <v>8</v>
      </c>
      <c r="P9468" s="5" t="str">
        <f>HYPERLINK("http://yeinfo.com/family/I09012353.html", "WILLIAM CORKER 1584 EN-1677  ID:09024706")</f>
        <v>WILLIAM CORKER 1584 EN-1677  ID:09024706</v>
      </c>
      <c r="Q9468" s="3"/>
      <c r="R9468" s="3"/>
      <c r="S9468" s="3"/>
      <c r="T9468" s="3"/>
    </row>
    <row r="9469" spans="3:22" x14ac:dyDescent="0.35">
      <c r="C9469" s="15" t="s">
        <v>8</v>
      </c>
      <c r="H9469" s="15" t="s">
        <v>8</v>
      </c>
      <c r="I9469" s="15" t="s">
        <v>8</v>
      </c>
      <c r="N9469" s="15" t="s">
        <v>8</v>
      </c>
      <c r="O9469" s="15" t="s">
        <v>8</v>
      </c>
      <c r="P9469" s="8" t="s">
        <v>3</v>
      </c>
      <c r="Q9469" s="8" t="s">
        <v>6</v>
      </c>
    </row>
    <row r="9470" spans="3:22" x14ac:dyDescent="0.35">
      <c r="C9470" s="15" t="s">
        <v>8</v>
      </c>
      <c r="H9470" s="15" t="s">
        <v>8</v>
      </c>
      <c r="I9470" s="15" t="s">
        <v>8</v>
      </c>
      <c r="N9470" s="15" t="s">
        <v>8</v>
      </c>
      <c r="O9470" s="15" t="s">
        <v>8</v>
      </c>
      <c r="P9470" s="15" t="s">
        <v>8</v>
      </c>
      <c r="Q9470" s="20" t="str">
        <f>HYPERLINK("http://yeinfo.com/family/I09049412.html", "DOROTHY\DORCAS BISHOP 1558 EN-1584  ID:09049413")</f>
        <v>DOROTHY\DORCAS BISHOP 1558 EN-1584  ID:09049413</v>
      </c>
      <c r="R9470" s="17"/>
      <c r="S9470" s="17"/>
      <c r="T9470" s="17"/>
      <c r="U9470" s="17"/>
      <c r="V9470" s="17"/>
    </row>
    <row r="9471" spans="3:22" x14ac:dyDescent="0.35">
      <c r="C9471" s="15" t="s">
        <v>8</v>
      </c>
      <c r="H9471" s="15" t="s">
        <v>8</v>
      </c>
      <c r="I9471" s="15" t="s">
        <v>8</v>
      </c>
      <c r="N9471" s="15" t="s">
        <v>8</v>
      </c>
      <c r="O9471" s="8" t="s">
        <v>6</v>
      </c>
      <c r="P9471" s="15" t="s">
        <v>8</v>
      </c>
    </row>
    <row r="9472" spans="3:22" x14ac:dyDescent="0.35">
      <c r="C9472" s="15" t="s">
        <v>8</v>
      </c>
      <c r="H9472" s="15" t="s">
        <v>8</v>
      </c>
      <c r="I9472" s="15" t="s">
        <v>8</v>
      </c>
      <c r="N9472" s="15" t="s">
        <v>8</v>
      </c>
      <c r="O9472" s="22" t="str">
        <f>HYPERLINK("http://yeinfo.com/family/I09024705.html", "LUCY\AGNES CORKER 1604 EN-1700 VA ID:09012353")</f>
        <v>LUCY\AGNES CORKER 1604 EN-1700 VA ID:09012353</v>
      </c>
      <c r="P9472" s="13"/>
      <c r="Q9472" s="13"/>
      <c r="R9472" s="13"/>
      <c r="S9472" s="13"/>
      <c r="T9472" s="13"/>
    </row>
    <row r="9473" spans="3:25" x14ac:dyDescent="0.35">
      <c r="C9473" s="15" t="s">
        <v>8</v>
      </c>
      <c r="H9473" s="15" t="s">
        <v>8</v>
      </c>
      <c r="I9473" s="15" t="s">
        <v>8</v>
      </c>
      <c r="N9473" s="15" t="s">
        <v>8</v>
      </c>
      <c r="P9473" s="8" t="s">
        <v>6</v>
      </c>
    </row>
    <row r="9474" spans="3:25" x14ac:dyDescent="0.35">
      <c r="C9474" s="15" t="s">
        <v>8</v>
      </c>
      <c r="H9474" s="15" t="s">
        <v>8</v>
      </c>
      <c r="I9474" s="15" t="s">
        <v>8</v>
      </c>
      <c r="N9474" s="15" t="s">
        <v>8</v>
      </c>
      <c r="P9474" s="22" t="str">
        <f>HYPERLINK("http://yeinfo.com/family/I09049413.html", "Mrs. LUCY\ELIZABETH CORKER 1588 EN-1686 VA ID:09024707")</f>
        <v>Mrs. LUCY\ELIZABETH CORKER 1588 EN-1686 VA ID:09024707</v>
      </c>
      <c r="Q9474" s="13"/>
      <c r="R9474" s="13"/>
      <c r="S9474" s="13"/>
      <c r="T9474" s="13"/>
      <c r="U9474" s="13"/>
      <c r="V9474" s="13"/>
    </row>
    <row r="9475" spans="3:25" x14ac:dyDescent="0.35">
      <c r="C9475" s="15" t="s">
        <v>8</v>
      </c>
      <c r="H9475" s="15" t="s">
        <v>8</v>
      </c>
      <c r="I9475" s="15" t="s">
        <v>8</v>
      </c>
      <c r="N9475" s="15" t="s">
        <v>8</v>
      </c>
    </row>
    <row r="9476" spans="3:25" x14ac:dyDescent="0.35">
      <c r="C9476" s="15" t="s">
        <v>8</v>
      </c>
      <c r="H9476" s="15" t="s">
        <v>8</v>
      </c>
      <c r="I9476" s="15" t="s">
        <v>8</v>
      </c>
      <c r="M9476" s="5" t="str">
        <f>HYPERLINK("http://yeinfo.com/family/I09001544.html", "JOSEPH JORDAN 1672 -1726  ID:09003088")</f>
        <v>JOSEPH JORDAN 1672 -1726  ID:09003088</v>
      </c>
      <c r="N9476" s="3"/>
      <c r="O9476" s="3"/>
      <c r="P9476" s="3"/>
      <c r="Q9476" s="3"/>
    </row>
    <row r="9477" spans="3:25" x14ac:dyDescent="0.35">
      <c r="C9477" s="15" t="s">
        <v>8</v>
      </c>
      <c r="H9477" s="15" t="s">
        <v>8</v>
      </c>
      <c r="I9477" s="15" t="s">
        <v>8</v>
      </c>
      <c r="M9477" s="8" t="s">
        <v>3</v>
      </c>
      <c r="N9477" s="15" t="s">
        <v>8</v>
      </c>
    </row>
    <row r="9478" spans="3:25" x14ac:dyDescent="0.35">
      <c r="C9478" s="15" t="s">
        <v>8</v>
      </c>
      <c r="H9478" s="15" t="s">
        <v>8</v>
      </c>
      <c r="I9478" s="15" t="s">
        <v>8</v>
      </c>
      <c r="M9478" s="15" t="s">
        <v>8</v>
      </c>
      <c r="N9478" s="15" t="s">
        <v>8</v>
      </c>
      <c r="T9478" s="19" t="str">
        <f>HYPERLINK("http://yeinfo.com/family/I09065762.html", "JEAN\JOHN BRASSE 1425 FR-1469 FR ID:09065909")</f>
        <v>JEAN\JOHN BRASSE 1425 FR-1469 FR ID:09065909</v>
      </c>
      <c r="U9478" s="9"/>
      <c r="V9478" s="9"/>
      <c r="W9478" s="9"/>
      <c r="X9478" s="9"/>
      <c r="Y9478" s="9"/>
    </row>
    <row r="9479" spans="3:25" x14ac:dyDescent="0.35">
      <c r="C9479" s="15" t="s">
        <v>8</v>
      </c>
      <c r="H9479" s="15" t="s">
        <v>8</v>
      </c>
      <c r="I9479" s="15" t="s">
        <v>8</v>
      </c>
      <c r="M9479" s="15" t="s">
        <v>8</v>
      </c>
      <c r="N9479" s="15" t="s">
        <v>8</v>
      </c>
      <c r="T9479" s="8" t="s">
        <v>3</v>
      </c>
    </row>
    <row r="9480" spans="3:25" x14ac:dyDescent="0.35">
      <c r="C9480" s="15" t="s">
        <v>8</v>
      </c>
      <c r="H9480" s="15" t="s">
        <v>8</v>
      </c>
      <c r="I9480" s="15" t="s">
        <v>8</v>
      </c>
      <c r="M9480" s="15" t="s">
        <v>8</v>
      </c>
      <c r="N9480" s="15" t="s">
        <v>8</v>
      </c>
      <c r="S9480" s="19" t="str">
        <f>HYPERLINK("http://yeinfo.com/family/I09065635.html", "JEAN BRASSE 1469 FR-1557 FR ID:09065762")</f>
        <v>JEAN BRASSE 1469 FR-1557 FR ID:09065762</v>
      </c>
      <c r="T9480" s="9"/>
      <c r="U9480" s="9"/>
      <c r="V9480" s="9"/>
      <c r="W9480" s="9"/>
    </row>
    <row r="9481" spans="3:25" x14ac:dyDescent="0.35">
      <c r="C9481" s="15" t="s">
        <v>8</v>
      </c>
      <c r="H9481" s="15" t="s">
        <v>8</v>
      </c>
      <c r="I9481" s="15" t="s">
        <v>8</v>
      </c>
      <c r="M9481" s="15" t="s">
        <v>8</v>
      </c>
      <c r="N9481" s="15" t="s">
        <v>8</v>
      </c>
      <c r="S9481" s="8" t="s">
        <v>3</v>
      </c>
      <c r="T9481" s="15" t="s">
        <v>8</v>
      </c>
    </row>
    <row r="9482" spans="3:25" x14ac:dyDescent="0.35">
      <c r="C9482" s="15" t="s">
        <v>8</v>
      </c>
      <c r="H9482" s="15" t="s">
        <v>8</v>
      </c>
      <c r="I9482" s="15" t="s">
        <v>8</v>
      </c>
      <c r="M9482" s="15" t="s">
        <v>8</v>
      </c>
      <c r="N9482" s="15" t="s">
        <v>8</v>
      </c>
      <c r="S9482" s="15" t="s">
        <v>8</v>
      </c>
      <c r="T9482" s="15" t="s">
        <v>8</v>
      </c>
      <c r="U9482" s="19" t="str">
        <f>HYPERLINK("http://yeinfo.com/family/I09065910.html", "BAUDET RICS 1417 FR-1445 FR ID:09066071")</f>
        <v>BAUDET RICS 1417 FR-1445 FR ID:09066071</v>
      </c>
      <c r="V9482" s="9"/>
      <c r="W9482" s="9"/>
      <c r="X9482" s="9"/>
      <c r="Y9482" s="9"/>
    </row>
    <row r="9483" spans="3:25" x14ac:dyDescent="0.35">
      <c r="C9483" s="15" t="s">
        <v>8</v>
      </c>
      <c r="H9483" s="15" t="s">
        <v>8</v>
      </c>
      <c r="I9483" s="15" t="s">
        <v>8</v>
      </c>
      <c r="M9483" s="15" t="s">
        <v>8</v>
      </c>
      <c r="N9483" s="15" t="s">
        <v>8</v>
      </c>
      <c r="S9483" s="15" t="s">
        <v>8</v>
      </c>
      <c r="T9483" s="8" t="s">
        <v>6</v>
      </c>
      <c r="U9483" s="8" t="s">
        <v>3</v>
      </c>
    </row>
    <row r="9484" spans="3:25" x14ac:dyDescent="0.35">
      <c r="C9484" s="15" t="s">
        <v>8</v>
      </c>
      <c r="H9484" s="15" t="s">
        <v>8</v>
      </c>
      <c r="I9484" s="15" t="s">
        <v>8</v>
      </c>
      <c r="M9484" s="15" t="s">
        <v>8</v>
      </c>
      <c r="N9484" s="15" t="s">
        <v>8</v>
      </c>
      <c r="S9484" s="15" t="s">
        <v>8</v>
      </c>
      <c r="T9484" s="20" t="str">
        <f>HYPERLINK("http://yeinfo.com/family/I09065909.html", "ISABELLE RICS 1445 FR-1469 FR ID:09065910")</f>
        <v>ISABELLE RICS 1445 FR-1469 FR ID:09065910</v>
      </c>
      <c r="U9484" s="17"/>
      <c r="V9484" s="17"/>
      <c r="W9484" s="17"/>
      <c r="X9484" s="17"/>
    </row>
    <row r="9485" spans="3:25" x14ac:dyDescent="0.35">
      <c r="C9485" s="15" t="s">
        <v>8</v>
      </c>
      <c r="H9485" s="15" t="s">
        <v>8</v>
      </c>
      <c r="I9485" s="15" t="s">
        <v>8</v>
      </c>
      <c r="M9485" s="15" t="s">
        <v>8</v>
      </c>
      <c r="N9485" s="15" t="s">
        <v>8</v>
      </c>
      <c r="S9485" s="15" t="s">
        <v>8</v>
      </c>
      <c r="U9485" s="8" t="s">
        <v>6</v>
      </c>
    </row>
    <row r="9486" spans="3:25" x14ac:dyDescent="0.35">
      <c r="C9486" s="15" t="s">
        <v>8</v>
      </c>
      <c r="H9486" s="15" t="s">
        <v>8</v>
      </c>
      <c r="I9486" s="15" t="s">
        <v>8</v>
      </c>
      <c r="M9486" s="15" t="s">
        <v>8</v>
      </c>
      <c r="N9486" s="15" t="s">
        <v>8</v>
      </c>
      <c r="S9486" s="15" t="s">
        <v>8</v>
      </c>
      <c r="U9486" s="20" t="str">
        <f>HYPERLINK("http://yeinfo.com/family/I09066071.html", "Mrs. {_?_} RICS 1420 FR-1445 FR ID:09066072")</f>
        <v>Mrs. {_?_} RICS 1420 FR-1445 FR ID:09066072</v>
      </c>
      <c r="V9486" s="17"/>
      <c r="W9486" s="17"/>
      <c r="X9486" s="17"/>
      <c r="Y9486" s="17"/>
    </row>
    <row r="9487" spans="3:25" x14ac:dyDescent="0.35">
      <c r="C9487" s="15" t="s">
        <v>8</v>
      </c>
      <c r="H9487" s="15" t="s">
        <v>8</v>
      </c>
      <c r="I9487" s="15" t="s">
        <v>8</v>
      </c>
      <c r="M9487" s="15" t="s">
        <v>8</v>
      </c>
      <c r="N9487" s="15" t="s">
        <v>8</v>
      </c>
      <c r="S9487" s="15" t="s">
        <v>8</v>
      </c>
    </row>
    <row r="9488" spans="3:25" x14ac:dyDescent="0.35">
      <c r="C9488" s="15" t="s">
        <v>8</v>
      </c>
      <c r="H9488" s="15" t="s">
        <v>8</v>
      </c>
      <c r="I9488" s="15" t="s">
        <v>8</v>
      </c>
      <c r="M9488" s="15" t="s">
        <v>8</v>
      </c>
      <c r="N9488" s="15" t="s">
        <v>8</v>
      </c>
      <c r="R9488" s="19" t="str">
        <f>HYPERLINK("http://yeinfo.com/family/I09049416.html", "BARTHELEMY DEJOCAS BRASSE 1515 FR-1556 FR ID:09065635")</f>
        <v>BARTHELEMY DEJOCAS BRASSE 1515 FR-1556 FR ID:09065635</v>
      </c>
      <c r="S9488" s="9"/>
      <c r="T9488" s="9"/>
      <c r="U9488" s="9"/>
      <c r="V9488" s="9"/>
    </row>
    <row r="9489" spans="3:23" x14ac:dyDescent="0.35">
      <c r="C9489" s="15" t="s">
        <v>8</v>
      </c>
      <c r="H9489" s="15" t="s">
        <v>8</v>
      </c>
      <c r="I9489" s="15" t="s">
        <v>8</v>
      </c>
      <c r="M9489" s="15" t="s">
        <v>8</v>
      </c>
      <c r="N9489" s="15" t="s">
        <v>8</v>
      </c>
      <c r="R9489" s="8" t="s">
        <v>3</v>
      </c>
      <c r="S9489" s="8" t="s">
        <v>6</v>
      </c>
    </row>
    <row r="9490" spans="3:23" x14ac:dyDescent="0.35">
      <c r="C9490" s="15" t="s">
        <v>8</v>
      </c>
      <c r="H9490" s="15" t="s">
        <v>8</v>
      </c>
      <c r="I9490" s="15" t="s">
        <v>8</v>
      </c>
      <c r="M9490" s="15" t="s">
        <v>8</v>
      </c>
      <c r="N9490" s="15" t="s">
        <v>8</v>
      </c>
      <c r="R9490" s="15" t="s">
        <v>8</v>
      </c>
      <c r="S9490" s="20" t="str">
        <f>HYPERLINK("http://yeinfo.com/family/I09066072.html", "CATHERINE BELLEMANIERES 1480 FR-1515 FR ID:09065763")</f>
        <v>CATHERINE BELLEMANIERES 1480 FR-1515 FR ID:09065763</v>
      </c>
      <c r="T9490" s="17"/>
      <c r="U9490" s="17"/>
      <c r="V9490" s="17"/>
      <c r="W9490" s="17"/>
    </row>
    <row r="9491" spans="3:23" x14ac:dyDescent="0.35">
      <c r="C9491" s="15" t="s">
        <v>8</v>
      </c>
      <c r="H9491" s="15" t="s">
        <v>8</v>
      </c>
      <c r="I9491" s="15" t="s">
        <v>8</v>
      </c>
      <c r="M9491" s="15" t="s">
        <v>8</v>
      </c>
      <c r="N9491" s="15" t="s">
        <v>8</v>
      </c>
      <c r="R9491" s="15" t="s">
        <v>8</v>
      </c>
    </row>
    <row r="9492" spans="3:23" x14ac:dyDescent="0.35">
      <c r="C9492" s="15" t="s">
        <v>8</v>
      </c>
      <c r="H9492" s="15" t="s">
        <v>8</v>
      </c>
      <c r="I9492" s="15" t="s">
        <v>8</v>
      </c>
      <c r="M9492" s="15" t="s">
        <v>8</v>
      </c>
      <c r="N9492" s="15" t="s">
        <v>8</v>
      </c>
      <c r="Q9492" s="19" t="str">
        <f>HYPERLINK("http://yeinfo.com/family/I09024708.html", "ESPRIT DEJOCAS BRASSE 1549 FR-1592 FR ID:09049416")</f>
        <v>ESPRIT DEJOCAS BRASSE 1549 FR-1592 FR ID:09049416</v>
      </c>
      <c r="R9492" s="9"/>
      <c r="S9492" s="9"/>
      <c r="T9492" s="9"/>
      <c r="U9492" s="9"/>
    </row>
    <row r="9493" spans="3:23" x14ac:dyDescent="0.35">
      <c r="C9493" s="15" t="s">
        <v>8</v>
      </c>
      <c r="H9493" s="15" t="s">
        <v>8</v>
      </c>
      <c r="I9493" s="15" t="s">
        <v>8</v>
      </c>
      <c r="M9493" s="15" t="s">
        <v>8</v>
      </c>
      <c r="N9493" s="15" t="s">
        <v>8</v>
      </c>
      <c r="Q9493" s="8" t="s">
        <v>3</v>
      </c>
      <c r="R9493" s="15" t="s">
        <v>8</v>
      </c>
    </row>
    <row r="9494" spans="3:23" x14ac:dyDescent="0.35">
      <c r="C9494" s="15" t="s">
        <v>8</v>
      </c>
      <c r="H9494" s="15" t="s">
        <v>8</v>
      </c>
      <c r="I9494" s="15" t="s">
        <v>8</v>
      </c>
      <c r="M9494" s="15" t="s">
        <v>8</v>
      </c>
      <c r="N9494" s="15" t="s">
        <v>8</v>
      </c>
      <c r="Q9494" s="15" t="s">
        <v>8</v>
      </c>
      <c r="R9494" s="15" t="s">
        <v>8</v>
      </c>
      <c r="S9494" s="19" t="str">
        <f>HYPERLINK("http://yeinfo.com/family/I09065636.html", "THOMAS CHOISELANT 1495 FR-1527 FR ID:09065764")</f>
        <v>THOMAS CHOISELANT 1495 FR-1527 FR ID:09065764</v>
      </c>
      <c r="T9494" s="9"/>
      <c r="U9494" s="9"/>
      <c r="V9494" s="9"/>
      <c r="W9494" s="9"/>
    </row>
    <row r="9495" spans="3:23" x14ac:dyDescent="0.35">
      <c r="C9495" s="15" t="s">
        <v>8</v>
      </c>
      <c r="H9495" s="15" t="s">
        <v>8</v>
      </c>
      <c r="I9495" s="15" t="s">
        <v>8</v>
      </c>
      <c r="M9495" s="15" t="s">
        <v>8</v>
      </c>
      <c r="N9495" s="15" t="s">
        <v>8</v>
      </c>
      <c r="Q9495" s="15" t="s">
        <v>8</v>
      </c>
      <c r="R9495" s="8" t="s">
        <v>6</v>
      </c>
      <c r="S9495" s="8" t="s">
        <v>3</v>
      </c>
    </row>
    <row r="9496" spans="3:23" x14ac:dyDescent="0.35">
      <c r="C9496" s="15" t="s">
        <v>8</v>
      </c>
      <c r="H9496" s="15" t="s">
        <v>8</v>
      </c>
      <c r="I9496" s="15" t="s">
        <v>8</v>
      </c>
      <c r="M9496" s="15" t="s">
        <v>8</v>
      </c>
      <c r="N9496" s="15" t="s">
        <v>8</v>
      </c>
      <c r="Q9496" s="15" t="s">
        <v>8</v>
      </c>
      <c r="R9496" s="20" t="str">
        <f>HYPERLINK("http://yeinfo.com/family/I09065763.html", "ESPRITE CHOISELANT 1527 FR-1549 FR ID:09065636")</f>
        <v>ESPRITE CHOISELANT 1527 FR-1549 FR ID:09065636</v>
      </c>
      <c r="S9496" s="17"/>
      <c r="T9496" s="17"/>
      <c r="U9496" s="17"/>
      <c r="V9496" s="17"/>
    </row>
    <row r="9497" spans="3:23" x14ac:dyDescent="0.35">
      <c r="C9497" s="15" t="s">
        <v>8</v>
      </c>
      <c r="H9497" s="15" t="s">
        <v>8</v>
      </c>
      <c r="I9497" s="15" t="s">
        <v>8</v>
      </c>
      <c r="M9497" s="15" t="s">
        <v>8</v>
      </c>
      <c r="N9497" s="15" t="s">
        <v>8</v>
      </c>
      <c r="Q9497" s="15" t="s">
        <v>8</v>
      </c>
      <c r="S9497" s="8" t="s">
        <v>6</v>
      </c>
    </row>
    <row r="9498" spans="3:23" x14ac:dyDescent="0.35">
      <c r="C9498" s="15" t="s">
        <v>8</v>
      </c>
      <c r="H9498" s="15" t="s">
        <v>8</v>
      </c>
      <c r="I9498" s="15" t="s">
        <v>8</v>
      </c>
      <c r="M9498" s="15" t="s">
        <v>8</v>
      </c>
      <c r="N9498" s="15" t="s">
        <v>8</v>
      </c>
      <c r="Q9498" s="15" t="s">
        <v>8</v>
      </c>
      <c r="S9498" s="20" t="str">
        <f>HYPERLINK("http://yeinfo.com/family/I09065764.html", "JANNE AVIGNON 1508 FR-1528 FR ID:09065765")</f>
        <v>JANNE AVIGNON 1508 FR-1528 FR ID:09065765</v>
      </c>
      <c r="T9498" s="17"/>
      <c r="U9498" s="17"/>
      <c r="V9498" s="17"/>
      <c r="W9498" s="17"/>
    </row>
    <row r="9499" spans="3:23" x14ac:dyDescent="0.35">
      <c r="C9499" s="15" t="s">
        <v>8</v>
      </c>
      <c r="H9499" s="15" t="s">
        <v>8</v>
      </c>
      <c r="I9499" s="15" t="s">
        <v>8</v>
      </c>
      <c r="M9499" s="15" t="s">
        <v>8</v>
      </c>
      <c r="N9499" s="15" t="s">
        <v>8</v>
      </c>
      <c r="Q9499" s="15" t="s">
        <v>8</v>
      </c>
    </row>
    <row r="9500" spans="3:23" x14ac:dyDescent="0.35">
      <c r="C9500" s="15" t="s">
        <v>8</v>
      </c>
      <c r="H9500" s="15" t="s">
        <v>8</v>
      </c>
      <c r="I9500" s="15" t="s">
        <v>8</v>
      </c>
      <c r="M9500" s="15" t="s">
        <v>8</v>
      </c>
      <c r="N9500" s="15" t="s">
        <v>8</v>
      </c>
      <c r="P9500" s="19" t="str">
        <f>HYPERLINK("http://yeinfo.com/family/I09012354.html", "ALLEMAND DEJOCAS BRASSE 1575 FR-1625 FR ID:09024708")</f>
        <v>ALLEMAND DEJOCAS BRASSE 1575 FR-1625 FR ID:09024708</v>
      </c>
      <c r="Q9500" s="9"/>
      <c r="R9500" s="9"/>
      <c r="S9500" s="9"/>
      <c r="T9500" s="9"/>
    </row>
    <row r="9501" spans="3:23" x14ac:dyDescent="0.35">
      <c r="C9501" s="15" t="s">
        <v>8</v>
      </c>
      <c r="H9501" s="15" t="s">
        <v>8</v>
      </c>
      <c r="I9501" s="15" t="s">
        <v>8</v>
      </c>
      <c r="M9501" s="15" t="s">
        <v>8</v>
      </c>
      <c r="N9501" s="15" t="s">
        <v>8</v>
      </c>
      <c r="P9501" s="8" t="s">
        <v>3</v>
      </c>
      <c r="Q9501" s="8" t="s">
        <v>6</v>
      </c>
    </row>
    <row r="9502" spans="3:23" x14ac:dyDescent="0.35">
      <c r="C9502" s="15" t="s">
        <v>8</v>
      </c>
      <c r="H9502" s="15" t="s">
        <v>8</v>
      </c>
      <c r="I9502" s="15" t="s">
        <v>8</v>
      </c>
      <c r="M9502" s="15" t="s">
        <v>8</v>
      </c>
      <c r="N9502" s="15" t="s">
        <v>8</v>
      </c>
      <c r="P9502" s="15" t="s">
        <v>8</v>
      </c>
      <c r="Q9502" s="20" t="str">
        <f>HYPERLINK("http://yeinfo.com/family/I09065765.html", "FRANCOISE JARENTE 1549 FR-1575 FR ID:09049417")</f>
        <v>FRANCOISE JARENTE 1549 FR-1575 FR ID:09049417</v>
      </c>
      <c r="R9502" s="17"/>
      <c r="S9502" s="17"/>
      <c r="T9502" s="17"/>
      <c r="U9502" s="17"/>
    </row>
    <row r="9503" spans="3:23" x14ac:dyDescent="0.35">
      <c r="C9503" s="15" t="s">
        <v>8</v>
      </c>
      <c r="H9503" s="15" t="s">
        <v>8</v>
      </c>
      <c r="I9503" s="15" t="s">
        <v>8</v>
      </c>
      <c r="M9503" s="15" t="s">
        <v>8</v>
      </c>
      <c r="N9503" s="15" t="s">
        <v>8</v>
      </c>
      <c r="P9503" s="15" t="s">
        <v>8</v>
      </c>
    </row>
    <row r="9504" spans="3:23" x14ac:dyDescent="0.35">
      <c r="C9504" s="15" t="s">
        <v>8</v>
      </c>
      <c r="H9504" s="15" t="s">
        <v>8</v>
      </c>
      <c r="I9504" s="15" t="s">
        <v>8</v>
      </c>
      <c r="M9504" s="15" t="s">
        <v>8</v>
      </c>
      <c r="N9504" s="15" t="s">
        <v>8</v>
      </c>
      <c r="O9504" s="21" t="str">
        <f>HYPERLINK("http://yeinfo.com/family/I09006177.html", "ROBERT BRASSE 1597 FR-1665 MD ID:09012354")</f>
        <v>ROBERT BRASSE 1597 FR-1665 MD ID:09012354</v>
      </c>
      <c r="P9504" s="6"/>
      <c r="Q9504" s="6"/>
      <c r="R9504" s="6"/>
      <c r="S9504" s="6"/>
    </row>
    <row r="9505" spans="3:21" x14ac:dyDescent="0.35">
      <c r="C9505" s="15" t="s">
        <v>8</v>
      </c>
      <c r="H9505" s="15" t="s">
        <v>8</v>
      </c>
      <c r="I9505" s="15" t="s">
        <v>8</v>
      </c>
      <c r="M9505" s="15" t="s">
        <v>8</v>
      </c>
      <c r="N9505" s="15" t="s">
        <v>8</v>
      </c>
      <c r="O9505" s="8" t="s">
        <v>3</v>
      </c>
      <c r="P9505" s="15" t="s">
        <v>8</v>
      </c>
    </row>
    <row r="9506" spans="3:21" x14ac:dyDescent="0.35">
      <c r="C9506" s="15" t="s">
        <v>8</v>
      </c>
      <c r="H9506" s="15" t="s">
        <v>8</v>
      </c>
      <c r="I9506" s="15" t="s">
        <v>8</v>
      </c>
      <c r="M9506" s="15" t="s">
        <v>8</v>
      </c>
      <c r="N9506" s="15" t="s">
        <v>8</v>
      </c>
      <c r="O9506" s="15" t="s">
        <v>8</v>
      </c>
      <c r="P9506" s="15" t="s">
        <v>8</v>
      </c>
      <c r="Q9506" s="19" t="str">
        <f>HYPERLINK("http://yeinfo.com/family/I09024709.html", "JEAN PIERRE CHEILUS 1544 FR-1578 FR ID:09049418")</f>
        <v>JEAN PIERRE CHEILUS 1544 FR-1578 FR ID:09049418</v>
      </c>
      <c r="R9506" s="9"/>
      <c r="S9506" s="9"/>
      <c r="T9506" s="9"/>
      <c r="U9506" s="9"/>
    </row>
    <row r="9507" spans="3:21" x14ac:dyDescent="0.35">
      <c r="C9507" s="15" t="s">
        <v>8</v>
      </c>
      <c r="H9507" s="15" t="s">
        <v>8</v>
      </c>
      <c r="I9507" s="15" t="s">
        <v>8</v>
      </c>
      <c r="M9507" s="15" t="s">
        <v>8</v>
      </c>
      <c r="N9507" s="15" t="s">
        <v>8</v>
      </c>
      <c r="O9507" s="15" t="s">
        <v>8</v>
      </c>
      <c r="P9507" s="8" t="s">
        <v>6</v>
      </c>
      <c r="Q9507" s="8" t="s">
        <v>3</v>
      </c>
    </row>
    <row r="9508" spans="3:21" x14ac:dyDescent="0.35">
      <c r="C9508" s="15" t="s">
        <v>8</v>
      </c>
      <c r="H9508" s="15" t="s">
        <v>8</v>
      </c>
      <c r="I9508" s="15" t="s">
        <v>8</v>
      </c>
      <c r="M9508" s="15" t="s">
        <v>8</v>
      </c>
      <c r="N9508" s="15" t="s">
        <v>8</v>
      </c>
      <c r="O9508" s="15" t="s">
        <v>8</v>
      </c>
      <c r="P9508" s="20" t="str">
        <f>HYPERLINK("http://yeinfo.com/family/I09049417.html", "MADELLINE CHEILUS 1575 FR-1597 FR ID:09024709")</f>
        <v>MADELLINE CHEILUS 1575 FR-1597 FR ID:09024709</v>
      </c>
      <c r="Q9508" s="17"/>
      <c r="R9508" s="17"/>
      <c r="S9508" s="17"/>
      <c r="T9508" s="17"/>
    </row>
    <row r="9509" spans="3:21" x14ac:dyDescent="0.35">
      <c r="C9509" s="15" t="s">
        <v>8</v>
      </c>
      <c r="H9509" s="15" t="s">
        <v>8</v>
      </c>
      <c r="I9509" s="15" t="s">
        <v>8</v>
      </c>
      <c r="M9509" s="15" t="s">
        <v>8</v>
      </c>
      <c r="N9509" s="15" t="s">
        <v>8</v>
      </c>
      <c r="O9509" s="15" t="s">
        <v>8</v>
      </c>
      <c r="Q9509" s="8" t="s">
        <v>6</v>
      </c>
    </row>
    <row r="9510" spans="3:21" x14ac:dyDescent="0.35">
      <c r="C9510" s="15" t="s">
        <v>8</v>
      </c>
      <c r="H9510" s="15" t="s">
        <v>8</v>
      </c>
      <c r="I9510" s="15" t="s">
        <v>8</v>
      </c>
      <c r="M9510" s="15" t="s">
        <v>8</v>
      </c>
      <c r="N9510" s="15" t="s">
        <v>8</v>
      </c>
      <c r="O9510" s="15" t="s">
        <v>8</v>
      </c>
      <c r="Q9510" s="20" t="str">
        <f>HYPERLINK("http://yeinfo.com/family/I09049418.html", "LOUISE ALLEMAN CHATEAUNEUF 1556 FR-1578 FR ID:09049419")</f>
        <v>LOUISE ALLEMAN CHATEAUNEUF 1556 FR-1578 FR ID:09049419</v>
      </c>
      <c r="R9510" s="17"/>
      <c r="S9510" s="17"/>
      <c r="T9510" s="17"/>
      <c r="U9510" s="17"/>
    </row>
    <row r="9511" spans="3:21" x14ac:dyDescent="0.35">
      <c r="C9511" s="15" t="s">
        <v>8</v>
      </c>
      <c r="H9511" s="15" t="s">
        <v>8</v>
      </c>
      <c r="I9511" s="15" t="s">
        <v>8</v>
      </c>
      <c r="M9511" s="15" t="s">
        <v>8</v>
      </c>
      <c r="N9511" s="8" t="s">
        <v>6</v>
      </c>
      <c r="O9511" s="15" t="s">
        <v>8</v>
      </c>
    </row>
    <row r="9512" spans="3:21" x14ac:dyDescent="0.35">
      <c r="C9512" s="15" t="s">
        <v>8</v>
      </c>
      <c r="H9512" s="15" t="s">
        <v>8</v>
      </c>
      <c r="I9512" s="15" t="s">
        <v>8</v>
      </c>
      <c r="M9512" s="15" t="s">
        <v>8</v>
      </c>
      <c r="N9512" s="16" t="str">
        <f>HYPERLINK("http://yeinfo.com/family/I09024707.html", "MARGARET BRASSE 1642 VA-1708 VA ID:09006177")</f>
        <v>MARGARET BRASSE 1642 VA-1708 VA ID:09006177</v>
      </c>
      <c r="O9512" s="11"/>
      <c r="P9512" s="11"/>
      <c r="Q9512" s="11"/>
      <c r="R9512" s="11"/>
    </row>
    <row r="9513" spans="3:21" x14ac:dyDescent="0.35">
      <c r="C9513" s="15" t="s">
        <v>8</v>
      </c>
      <c r="H9513" s="15" t="s">
        <v>8</v>
      </c>
      <c r="I9513" s="15" t="s">
        <v>8</v>
      </c>
      <c r="M9513" s="15" t="s">
        <v>8</v>
      </c>
      <c r="O9513" s="15" t="s">
        <v>8</v>
      </c>
    </row>
    <row r="9514" spans="3:21" x14ac:dyDescent="0.35">
      <c r="C9514" s="15" t="s">
        <v>8</v>
      </c>
      <c r="H9514" s="15" t="s">
        <v>8</v>
      </c>
      <c r="I9514" s="15" t="s">
        <v>8</v>
      </c>
      <c r="M9514" s="15" t="s">
        <v>8</v>
      </c>
      <c r="O9514" s="15" t="s">
        <v>8</v>
      </c>
      <c r="Q9514" s="19" t="str">
        <f>HYPERLINK("http://yeinfo.com/family/I09024710.html", "GERALD FOWKE 1550 FR-1574  ID:09049420")</f>
        <v>GERALD FOWKE 1550 FR-1574  ID:09049420</v>
      </c>
      <c r="R9514" s="9"/>
      <c r="S9514" s="9"/>
      <c r="T9514" s="9"/>
      <c r="U9514" s="9"/>
    </row>
    <row r="9515" spans="3:21" x14ac:dyDescent="0.35">
      <c r="C9515" s="15" t="s">
        <v>8</v>
      </c>
      <c r="H9515" s="15" t="s">
        <v>8</v>
      </c>
      <c r="I9515" s="15" t="s">
        <v>8</v>
      </c>
      <c r="M9515" s="15" t="s">
        <v>8</v>
      </c>
      <c r="O9515" s="15" t="s">
        <v>8</v>
      </c>
      <c r="Q9515" s="8" t="s">
        <v>3</v>
      </c>
    </row>
    <row r="9516" spans="3:21" x14ac:dyDescent="0.35">
      <c r="C9516" s="15" t="s">
        <v>8</v>
      </c>
      <c r="H9516" s="15" t="s">
        <v>8</v>
      </c>
      <c r="I9516" s="15" t="s">
        <v>8</v>
      </c>
      <c r="M9516" s="15" t="s">
        <v>8</v>
      </c>
      <c r="O9516" s="15" t="s">
        <v>8</v>
      </c>
      <c r="P9516" s="5" t="str">
        <f>HYPERLINK("http://yeinfo.com/family/I09012355.html", "CHANDLER FOWKE 1574 FR-1623  ID:09024710")</f>
        <v>CHANDLER FOWKE 1574 FR-1623  ID:09024710</v>
      </c>
      <c r="Q9516" s="3"/>
      <c r="R9516" s="3"/>
      <c r="S9516" s="3"/>
      <c r="T9516" s="3"/>
    </row>
    <row r="9517" spans="3:21" x14ac:dyDescent="0.35">
      <c r="C9517" s="15" t="s">
        <v>8</v>
      </c>
      <c r="H9517" s="15" t="s">
        <v>8</v>
      </c>
      <c r="I9517" s="15" t="s">
        <v>8</v>
      </c>
      <c r="M9517" s="15" t="s">
        <v>8</v>
      </c>
      <c r="O9517" s="15" t="s">
        <v>8</v>
      </c>
      <c r="P9517" s="8" t="s">
        <v>3</v>
      </c>
      <c r="Q9517" s="8" t="s">
        <v>6</v>
      </c>
    </row>
    <row r="9518" spans="3:21" x14ac:dyDescent="0.35">
      <c r="C9518" s="15" t="s">
        <v>8</v>
      </c>
      <c r="H9518" s="15" t="s">
        <v>8</v>
      </c>
      <c r="I9518" s="15" t="s">
        <v>8</v>
      </c>
      <c r="M9518" s="15" t="s">
        <v>8</v>
      </c>
      <c r="O9518" s="15" t="s">
        <v>8</v>
      </c>
      <c r="P9518" s="15" t="s">
        <v>8</v>
      </c>
      <c r="Q9518" s="20" t="str">
        <f>HYPERLINK("http://yeinfo.com/family/I09049420.html", "MARY BURDETT 1553 FR-1574  ID:09049421")</f>
        <v>MARY BURDETT 1553 FR-1574  ID:09049421</v>
      </c>
      <c r="R9518" s="17"/>
      <c r="S9518" s="17"/>
      <c r="T9518" s="17"/>
      <c r="U9518" s="17"/>
    </row>
    <row r="9519" spans="3:21" x14ac:dyDescent="0.35">
      <c r="C9519" s="15" t="s">
        <v>8</v>
      </c>
      <c r="H9519" s="15" t="s">
        <v>8</v>
      </c>
      <c r="I9519" s="15" t="s">
        <v>8</v>
      </c>
      <c r="M9519" s="15" t="s">
        <v>8</v>
      </c>
      <c r="O9519" s="8" t="s">
        <v>6</v>
      </c>
      <c r="P9519" s="15" t="s">
        <v>8</v>
      </c>
    </row>
    <row r="9520" spans="3:21" x14ac:dyDescent="0.35">
      <c r="C9520" s="15" t="s">
        <v>8</v>
      </c>
      <c r="H9520" s="15" t="s">
        <v>8</v>
      </c>
      <c r="I9520" s="15" t="s">
        <v>8</v>
      </c>
      <c r="M9520" s="15" t="s">
        <v>8</v>
      </c>
      <c r="O9520" s="16" t="str">
        <f>HYPERLINK("http://yeinfo.com/family/I09049419.html", "FLORENCE\ELIZABETH ELIZABETH FOWKE 1602 -1646  ID:09012355")</f>
        <v>FLORENCE\ELIZABETH ELIZABETH FOWKE 1602 -1646  ID:09012355</v>
      </c>
      <c r="P9520" s="11"/>
      <c r="Q9520" s="11"/>
      <c r="R9520" s="11"/>
      <c r="S9520" s="11"/>
      <c r="T9520" s="11"/>
    </row>
    <row r="9521" spans="3:20" x14ac:dyDescent="0.35">
      <c r="C9521" s="15" t="s">
        <v>8</v>
      </c>
      <c r="H9521" s="15" t="s">
        <v>8</v>
      </c>
      <c r="I9521" s="15" t="s">
        <v>8</v>
      </c>
      <c r="M9521" s="15" t="s">
        <v>8</v>
      </c>
      <c r="P9521" s="8" t="s">
        <v>6</v>
      </c>
    </row>
    <row r="9522" spans="3:20" x14ac:dyDescent="0.35">
      <c r="C9522" s="15" t="s">
        <v>8</v>
      </c>
      <c r="H9522" s="15" t="s">
        <v>8</v>
      </c>
      <c r="I9522" s="15" t="s">
        <v>8</v>
      </c>
      <c r="M9522" s="15" t="s">
        <v>8</v>
      </c>
      <c r="P9522" s="22" t="str">
        <f>HYPERLINK("http://yeinfo.com/family/I09049421.html", "Mrs. {_?_} FOWKE 1575 FR-1602 MD ID:09024711")</f>
        <v>Mrs. {_?_} FOWKE 1575 FR-1602 MD ID:09024711</v>
      </c>
      <c r="Q9522" s="13"/>
      <c r="R9522" s="13"/>
      <c r="S9522" s="13"/>
      <c r="T9522" s="13"/>
    </row>
    <row r="9523" spans="3:20" x14ac:dyDescent="0.35">
      <c r="C9523" s="15" t="s">
        <v>8</v>
      </c>
      <c r="H9523" s="15" t="s">
        <v>8</v>
      </c>
      <c r="I9523" s="15" t="s">
        <v>8</v>
      </c>
      <c r="M9523" s="15" t="s">
        <v>8</v>
      </c>
    </row>
    <row r="9524" spans="3:20" x14ac:dyDescent="0.35">
      <c r="C9524" s="15" t="s">
        <v>8</v>
      </c>
      <c r="H9524" s="15" t="s">
        <v>8</v>
      </c>
      <c r="I9524" s="15" t="s">
        <v>8</v>
      </c>
      <c r="L9524" s="5" t="str">
        <f>HYPERLINK("http://yeinfo.com/family/I09000772.html", "JOSEPH JORDAN 1700 -1752  ID:09001544")</f>
        <v>JOSEPH JORDAN 1700 -1752  ID:09001544</v>
      </c>
      <c r="M9524" s="3"/>
      <c r="N9524" s="3"/>
      <c r="O9524" s="3"/>
      <c r="P9524" s="3"/>
    </row>
    <row r="9525" spans="3:20" x14ac:dyDescent="0.35">
      <c r="C9525" s="15" t="s">
        <v>8</v>
      </c>
      <c r="H9525" s="15" t="s">
        <v>8</v>
      </c>
      <c r="I9525" s="15" t="s">
        <v>8</v>
      </c>
      <c r="L9525" s="8" t="s">
        <v>3</v>
      </c>
      <c r="M9525" s="15" t="s">
        <v>8</v>
      </c>
    </row>
    <row r="9526" spans="3:20" x14ac:dyDescent="0.35">
      <c r="C9526" s="15" t="s">
        <v>8</v>
      </c>
      <c r="H9526" s="15" t="s">
        <v>8</v>
      </c>
      <c r="I9526" s="15" t="s">
        <v>8</v>
      </c>
      <c r="L9526" s="15" t="s">
        <v>8</v>
      </c>
      <c r="M9526" s="15" t="s">
        <v>8</v>
      </c>
      <c r="O9526" s="19" t="str">
        <f>HYPERLINK("http://yeinfo.com/family/I09006178.html", "WILLIAM DHONE CHRISTIAN 1608 EN-1648 EN ID:09012356")</f>
        <v>WILLIAM DHONE CHRISTIAN 1608 EN-1648 EN ID:09012356</v>
      </c>
      <c r="P9526" s="9"/>
      <c r="Q9526" s="9"/>
      <c r="R9526" s="9"/>
      <c r="S9526" s="9"/>
    </row>
    <row r="9527" spans="3:20" x14ac:dyDescent="0.35">
      <c r="C9527" s="15" t="s">
        <v>8</v>
      </c>
      <c r="H9527" s="15" t="s">
        <v>8</v>
      </c>
      <c r="I9527" s="15" t="s">
        <v>8</v>
      </c>
      <c r="L9527" s="15" t="s">
        <v>8</v>
      </c>
      <c r="M9527" s="15" t="s">
        <v>8</v>
      </c>
      <c r="O9527" s="8" t="s">
        <v>3</v>
      </c>
    </row>
    <row r="9528" spans="3:20" x14ac:dyDescent="0.35">
      <c r="C9528" s="15" t="s">
        <v>8</v>
      </c>
      <c r="H9528" s="15" t="s">
        <v>8</v>
      </c>
      <c r="I9528" s="15" t="s">
        <v>8</v>
      </c>
      <c r="L9528" s="15" t="s">
        <v>8</v>
      </c>
      <c r="M9528" s="15" t="s">
        <v>8</v>
      </c>
      <c r="N9528" s="19" t="str">
        <f>HYPERLINK("http://yeinfo.com/family/I09003089.html", "THOMAS CHRISTIAN 1635 EN-1700 EN ID:09006178")</f>
        <v>THOMAS CHRISTIAN 1635 EN-1700 EN ID:09006178</v>
      </c>
      <c r="O9528" s="9"/>
      <c r="P9528" s="9"/>
      <c r="Q9528" s="9"/>
      <c r="R9528" s="9"/>
    </row>
    <row r="9529" spans="3:20" x14ac:dyDescent="0.35">
      <c r="C9529" s="15" t="s">
        <v>8</v>
      </c>
      <c r="H9529" s="15" t="s">
        <v>8</v>
      </c>
      <c r="I9529" s="15" t="s">
        <v>8</v>
      </c>
      <c r="L9529" s="15" t="s">
        <v>8</v>
      </c>
      <c r="M9529" s="15" t="s">
        <v>8</v>
      </c>
      <c r="N9529" s="8" t="s">
        <v>3</v>
      </c>
      <c r="O9529" s="8" t="s">
        <v>6</v>
      </c>
    </row>
    <row r="9530" spans="3:20" x14ac:dyDescent="0.35">
      <c r="C9530" s="15" t="s">
        <v>8</v>
      </c>
      <c r="H9530" s="15" t="s">
        <v>8</v>
      </c>
      <c r="I9530" s="15" t="s">
        <v>8</v>
      </c>
      <c r="L9530" s="15" t="s">
        <v>8</v>
      </c>
      <c r="M9530" s="15" t="s">
        <v>8</v>
      </c>
      <c r="N9530" s="15" t="s">
        <v>8</v>
      </c>
      <c r="O9530" s="20" t="str">
        <f>HYPERLINK("http://yeinfo.com/family/I09012356.html", "ELIZABETH COCKSHUTT 1608 EN-1648 EN ID:09012357")</f>
        <v>ELIZABETH COCKSHUTT 1608 EN-1648 EN ID:09012357</v>
      </c>
      <c r="P9530" s="17"/>
      <c r="Q9530" s="17"/>
      <c r="R9530" s="17"/>
      <c r="S9530" s="17"/>
    </row>
    <row r="9531" spans="3:20" x14ac:dyDescent="0.35">
      <c r="C9531" s="15" t="s">
        <v>8</v>
      </c>
      <c r="H9531" s="15" t="s">
        <v>8</v>
      </c>
      <c r="I9531" s="15" t="s">
        <v>8</v>
      </c>
      <c r="L9531" s="15" t="s">
        <v>8</v>
      </c>
      <c r="M9531" s="8" t="s">
        <v>6</v>
      </c>
      <c r="N9531" s="15" t="s">
        <v>8</v>
      </c>
    </row>
    <row r="9532" spans="3:20" x14ac:dyDescent="0.35">
      <c r="C9532" s="15" t="s">
        <v>8</v>
      </c>
      <c r="H9532" s="15" t="s">
        <v>8</v>
      </c>
      <c r="I9532" s="15" t="s">
        <v>8</v>
      </c>
      <c r="L9532" s="15" t="s">
        <v>8</v>
      </c>
      <c r="M9532" s="16" t="str">
        <f>HYPERLINK("http://yeinfo.com/family/I09024711.html", "HOLIA CHRISTIAN 1675 VA-1725 NC ID:09003089")</f>
        <v>HOLIA CHRISTIAN 1675 VA-1725 NC ID:09003089</v>
      </c>
      <c r="N9532" s="11"/>
      <c r="O9532" s="11"/>
      <c r="P9532" s="11"/>
      <c r="Q9532" s="11"/>
    </row>
    <row r="9533" spans="3:20" x14ac:dyDescent="0.35">
      <c r="C9533" s="15" t="s">
        <v>8</v>
      </c>
      <c r="H9533" s="15" t="s">
        <v>8</v>
      </c>
      <c r="I9533" s="15" t="s">
        <v>8</v>
      </c>
      <c r="L9533" s="15" t="s">
        <v>8</v>
      </c>
      <c r="N9533" s="15" t="s">
        <v>8</v>
      </c>
    </row>
    <row r="9534" spans="3:20" x14ac:dyDescent="0.35">
      <c r="C9534" s="15" t="s">
        <v>8</v>
      </c>
      <c r="H9534" s="15" t="s">
        <v>8</v>
      </c>
      <c r="I9534" s="15" t="s">
        <v>8</v>
      </c>
      <c r="L9534" s="15" t="s">
        <v>8</v>
      </c>
      <c r="N9534" s="15" t="s">
        <v>8</v>
      </c>
      <c r="O9534" s="19" t="str">
        <f>HYPERLINK("http://yeinfo.com/family/I09006179.html", "JAMES KEWLEY 1610 EN-1640 EN ID:09012358")</f>
        <v>JAMES KEWLEY 1610 EN-1640 EN ID:09012358</v>
      </c>
      <c r="P9534" s="9"/>
      <c r="Q9534" s="9"/>
      <c r="R9534" s="9"/>
      <c r="S9534" s="9"/>
    </row>
    <row r="9535" spans="3:20" x14ac:dyDescent="0.35">
      <c r="C9535" s="15" t="s">
        <v>8</v>
      </c>
      <c r="H9535" s="15" t="s">
        <v>8</v>
      </c>
      <c r="I9535" s="15" t="s">
        <v>8</v>
      </c>
      <c r="L9535" s="15" t="s">
        <v>8</v>
      </c>
      <c r="N9535" s="8" t="s">
        <v>6</v>
      </c>
      <c r="O9535" s="8" t="s">
        <v>3</v>
      </c>
    </row>
    <row r="9536" spans="3:20" x14ac:dyDescent="0.35">
      <c r="C9536" s="15" t="s">
        <v>8</v>
      </c>
      <c r="H9536" s="15" t="s">
        <v>8</v>
      </c>
      <c r="I9536" s="15" t="s">
        <v>8</v>
      </c>
      <c r="L9536" s="15" t="s">
        <v>8</v>
      </c>
      <c r="N9536" s="22" t="str">
        <f>HYPERLINK("http://yeinfo.com/family/I09012357.html", "ELLINOR KEWLEY 1640 EN-1688 VA ID:09006179")</f>
        <v>ELLINOR KEWLEY 1640 EN-1688 VA ID:09006179</v>
      </c>
      <c r="O9536" s="13"/>
      <c r="P9536" s="13"/>
      <c r="Q9536" s="13"/>
      <c r="R9536" s="13"/>
    </row>
    <row r="9537" spans="3:20" x14ac:dyDescent="0.35">
      <c r="C9537" s="15" t="s">
        <v>8</v>
      </c>
      <c r="H9537" s="15" t="s">
        <v>8</v>
      </c>
      <c r="I9537" s="15" t="s">
        <v>8</v>
      </c>
      <c r="L9537" s="15" t="s">
        <v>8</v>
      </c>
      <c r="O9537" s="8" t="s">
        <v>6</v>
      </c>
    </row>
    <row r="9538" spans="3:20" x14ac:dyDescent="0.35">
      <c r="C9538" s="15" t="s">
        <v>8</v>
      </c>
      <c r="H9538" s="15" t="s">
        <v>8</v>
      </c>
      <c r="I9538" s="15" t="s">
        <v>8</v>
      </c>
      <c r="L9538" s="15" t="s">
        <v>8</v>
      </c>
      <c r="O9538" s="16" t="str">
        <f>HYPERLINK("http://yeinfo.com/family/I09012358.html", "CATHERINE CHRISTIAN 1615 EN-1695  ID:09012359")</f>
        <v>CATHERINE CHRISTIAN 1615 EN-1695  ID:09012359</v>
      </c>
      <c r="P9538" s="11"/>
      <c r="Q9538" s="11"/>
      <c r="R9538" s="11"/>
      <c r="S9538" s="11"/>
    </row>
    <row r="9539" spans="3:20" x14ac:dyDescent="0.35">
      <c r="C9539" s="15" t="s">
        <v>8</v>
      </c>
      <c r="H9539" s="15" t="s">
        <v>8</v>
      </c>
      <c r="I9539" s="15" t="s">
        <v>8</v>
      </c>
      <c r="L9539" s="15" t="s">
        <v>8</v>
      </c>
    </row>
    <row r="9540" spans="3:20" x14ac:dyDescent="0.35">
      <c r="C9540" s="15" t="s">
        <v>8</v>
      </c>
      <c r="H9540" s="15" t="s">
        <v>8</v>
      </c>
      <c r="I9540" s="15" t="s">
        <v>8</v>
      </c>
      <c r="K9540" s="5" t="str">
        <f>HYPERLINK("http://yeinfo.com/family/I09000386.html", "JOHN JORDAN 1727 NC-1768 SC ID:09000772")</f>
        <v>JOHN JORDAN 1727 NC-1768 SC ID:09000772</v>
      </c>
      <c r="L9540" s="3"/>
      <c r="M9540" s="3"/>
      <c r="N9540" s="3"/>
      <c r="O9540" s="3"/>
    </row>
    <row r="9541" spans="3:20" x14ac:dyDescent="0.35">
      <c r="C9541" s="15" t="s">
        <v>8</v>
      </c>
      <c r="H9541" s="15" t="s">
        <v>8</v>
      </c>
      <c r="I9541" s="15" t="s">
        <v>8</v>
      </c>
      <c r="K9541" s="8" t="s">
        <v>3</v>
      </c>
      <c r="L9541" s="15" t="s">
        <v>8</v>
      </c>
    </row>
    <row r="9542" spans="3:20" x14ac:dyDescent="0.35">
      <c r="C9542" s="15" t="s">
        <v>8</v>
      </c>
      <c r="H9542" s="15" t="s">
        <v>8</v>
      </c>
      <c r="I9542" s="15" t="s">
        <v>8</v>
      </c>
      <c r="K9542" s="15" t="s">
        <v>8</v>
      </c>
      <c r="L9542" s="15" t="s">
        <v>8</v>
      </c>
      <c r="P9542" s="19" t="str">
        <f>HYPERLINK("http://yeinfo.com/family/I09012360.html", "GEORGE RICKS 1576 EN-1638 EN ID:09024720")</f>
        <v>GEORGE RICKS 1576 EN-1638 EN ID:09024720</v>
      </c>
      <c r="Q9542" s="9"/>
      <c r="R9542" s="9"/>
      <c r="S9542" s="9"/>
      <c r="T9542" s="9"/>
    </row>
    <row r="9543" spans="3:20" x14ac:dyDescent="0.35">
      <c r="C9543" s="15" t="s">
        <v>8</v>
      </c>
      <c r="H9543" s="15" t="s">
        <v>8</v>
      </c>
      <c r="I9543" s="15" t="s">
        <v>8</v>
      </c>
      <c r="K9543" s="15" t="s">
        <v>8</v>
      </c>
      <c r="L9543" s="15" t="s">
        <v>8</v>
      </c>
      <c r="P9543" s="8" t="s">
        <v>3</v>
      </c>
    </row>
    <row r="9544" spans="3:20" x14ac:dyDescent="0.35">
      <c r="C9544" s="15" t="s">
        <v>8</v>
      </c>
      <c r="H9544" s="15" t="s">
        <v>8</v>
      </c>
      <c r="I9544" s="15" t="s">
        <v>8</v>
      </c>
      <c r="K9544" s="15" t="s">
        <v>8</v>
      </c>
      <c r="L9544" s="15" t="s">
        <v>8</v>
      </c>
      <c r="O9544" s="19" t="str">
        <f>HYPERLINK("http://yeinfo.com/family/I09006180.html", "ISAAC RICKS 1608 EN-1650 EN ID:09012360")</f>
        <v>ISAAC RICKS 1608 EN-1650 EN ID:09012360</v>
      </c>
      <c r="P9544" s="9"/>
      <c r="Q9544" s="9"/>
      <c r="R9544" s="9"/>
      <c r="S9544" s="9"/>
    </row>
    <row r="9545" spans="3:20" x14ac:dyDescent="0.35">
      <c r="C9545" s="15" t="s">
        <v>8</v>
      </c>
      <c r="H9545" s="15" t="s">
        <v>8</v>
      </c>
      <c r="I9545" s="15" t="s">
        <v>8</v>
      </c>
      <c r="K9545" s="15" t="s">
        <v>8</v>
      </c>
      <c r="L9545" s="15" t="s">
        <v>8</v>
      </c>
      <c r="O9545" s="8" t="s">
        <v>3</v>
      </c>
      <c r="P9545" s="8" t="s">
        <v>6</v>
      </c>
    </row>
    <row r="9546" spans="3:20" x14ac:dyDescent="0.35">
      <c r="C9546" s="15" t="s">
        <v>8</v>
      </c>
      <c r="H9546" s="15" t="s">
        <v>8</v>
      </c>
      <c r="I9546" s="15" t="s">
        <v>8</v>
      </c>
      <c r="K9546" s="15" t="s">
        <v>8</v>
      </c>
      <c r="L9546" s="15" t="s">
        <v>8</v>
      </c>
      <c r="O9546" s="15" t="s">
        <v>8</v>
      </c>
      <c r="P9546" s="20" t="str">
        <f>HYPERLINK("http://yeinfo.com/family/I09024720.html", "Mrs. KATHERINE RICKS 1585 EN-1608 EN ID:09024721")</f>
        <v>Mrs. KATHERINE RICKS 1585 EN-1608 EN ID:09024721</v>
      </c>
      <c r="Q9546" s="17"/>
      <c r="R9546" s="17"/>
      <c r="S9546" s="17"/>
      <c r="T9546" s="17"/>
    </row>
    <row r="9547" spans="3:20" x14ac:dyDescent="0.35">
      <c r="C9547" s="15" t="s">
        <v>8</v>
      </c>
      <c r="H9547" s="15" t="s">
        <v>8</v>
      </c>
      <c r="I9547" s="15" t="s">
        <v>8</v>
      </c>
      <c r="K9547" s="15" t="s">
        <v>8</v>
      </c>
      <c r="L9547" s="15" t="s">
        <v>8</v>
      </c>
      <c r="O9547" s="15" t="s">
        <v>8</v>
      </c>
    </row>
    <row r="9548" spans="3:20" x14ac:dyDescent="0.35">
      <c r="C9548" s="15" t="s">
        <v>8</v>
      </c>
      <c r="H9548" s="15" t="s">
        <v>8</v>
      </c>
      <c r="I9548" s="15" t="s">
        <v>8</v>
      </c>
      <c r="K9548" s="15" t="s">
        <v>8</v>
      </c>
      <c r="L9548" s="15" t="s">
        <v>8</v>
      </c>
      <c r="N9548" s="21" t="str">
        <f>HYPERLINK("http://yeinfo.com/family/I09003090.html", "ISAAC RICKS Sr. 1638 EN-1723 VA ID:09006180")</f>
        <v>ISAAC RICKS Sr. 1638 EN-1723 VA ID:09006180</v>
      </c>
      <c r="O9548" s="6"/>
      <c r="P9548" s="6"/>
      <c r="Q9548" s="6"/>
      <c r="R9548" s="6"/>
    </row>
    <row r="9549" spans="3:20" x14ac:dyDescent="0.35">
      <c r="C9549" s="15" t="s">
        <v>8</v>
      </c>
      <c r="H9549" s="15" t="s">
        <v>8</v>
      </c>
      <c r="I9549" s="15" t="s">
        <v>8</v>
      </c>
      <c r="K9549" s="15" t="s">
        <v>8</v>
      </c>
      <c r="L9549" s="15" t="s">
        <v>8</v>
      </c>
      <c r="N9549" s="8" t="s">
        <v>3</v>
      </c>
      <c r="O9549" s="15" t="s">
        <v>8</v>
      </c>
    </row>
    <row r="9550" spans="3:20" x14ac:dyDescent="0.35">
      <c r="C9550" s="15" t="s">
        <v>8</v>
      </c>
      <c r="H9550" s="15" t="s">
        <v>8</v>
      </c>
      <c r="I9550" s="15" t="s">
        <v>8</v>
      </c>
      <c r="K9550" s="15" t="s">
        <v>8</v>
      </c>
      <c r="L9550" s="15" t="s">
        <v>8</v>
      </c>
      <c r="N9550" s="15" t="s">
        <v>8</v>
      </c>
      <c r="O9550" s="15" t="s">
        <v>8</v>
      </c>
      <c r="P9550" s="19" t="str">
        <f>HYPERLINK("http://yeinfo.com/family/I09012361.html", "ROBERT PAGE 1577 EN-1617 EN ID:09024722")</f>
        <v>ROBERT PAGE 1577 EN-1617 EN ID:09024722</v>
      </c>
      <c r="Q9550" s="9"/>
      <c r="R9550" s="9"/>
      <c r="S9550" s="9"/>
      <c r="T9550" s="9"/>
    </row>
    <row r="9551" spans="3:20" x14ac:dyDescent="0.35">
      <c r="C9551" s="15" t="s">
        <v>8</v>
      </c>
      <c r="H9551" s="15" t="s">
        <v>8</v>
      </c>
      <c r="I9551" s="15" t="s">
        <v>8</v>
      </c>
      <c r="K9551" s="15" t="s">
        <v>8</v>
      </c>
      <c r="L9551" s="15" t="s">
        <v>8</v>
      </c>
      <c r="N9551" s="15" t="s">
        <v>8</v>
      </c>
      <c r="O9551" s="8" t="s">
        <v>6</v>
      </c>
      <c r="P9551" s="8" t="s">
        <v>3</v>
      </c>
    </row>
    <row r="9552" spans="3:20" x14ac:dyDescent="0.35">
      <c r="C9552" s="15" t="s">
        <v>8</v>
      </c>
      <c r="H9552" s="15" t="s">
        <v>8</v>
      </c>
      <c r="I9552" s="15" t="s">
        <v>8</v>
      </c>
      <c r="K9552" s="15" t="s">
        <v>8</v>
      </c>
      <c r="L9552" s="15" t="s">
        <v>8</v>
      </c>
      <c r="N9552" s="15" t="s">
        <v>8</v>
      </c>
      <c r="O9552" s="20" t="str">
        <f>HYPERLINK("http://yeinfo.com/family/I09024721.html", "REBECCA PAGE 1608 EN-1677 EN ID:09012361")</f>
        <v>REBECCA PAGE 1608 EN-1677 EN ID:09012361</v>
      </c>
      <c r="P9552" s="17"/>
      <c r="Q9552" s="17"/>
      <c r="R9552" s="17"/>
      <c r="S9552" s="17"/>
    </row>
    <row r="9553" spans="3:20" x14ac:dyDescent="0.35">
      <c r="C9553" s="15" t="s">
        <v>8</v>
      </c>
      <c r="H9553" s="15" t="s">
        <v>8</v>
      </c>
      <c r="I9553" s="15" t="s">
        <v>8</v>
      </c>
      <c r="K9553" s="15" t="s">
        <v>8</v>
      </c>
      <c r="L9553" s="15" t="s">
        <v>8</v>
      </c>
      <c r="N9553" s="15" t="s">
        <v>8</v>
      </c>
      <c r="P9553" s="8" t="s">
        <v>6</v>
      </c>
    </row>
    <row r="9554" spans="3:20" x14ac:dyDescent="0.35">
      <c r="C9554" s="15" t="s">
        <v>8</v>
      </c>
      <c r="H9554" s="15" t="s">
        <v>8</v>
      </c>
      <c r="I9554" s="15" t="s">
        <v>8</v>
      </c>
      <c r="K9554" s="15" t="s">
        <v>8</v>
      </c>
      <c r="L9554" s="15" t="s">
        <v>8</v>
      </c>
      <c r="N9554" s="15" t="s">
        <v>8</v>
      </c>
      <c r="P9554" s="20" t="str">
        <f>HYPERLINK("http://yeinfo.com/family/I09024722.html", "MARGARET GOODWIN 1570 EN-1637 EN ID:09024723")</f>
        <v>MARGARET GOODWIN 1570 EN-1637 EN ID:09024723</v>
      </c>
      <c r="Q9554" s="17"/>
      <c r="R9554" s="17"/>
      <c r="S9554" s="17"/>
      <c r="T9554" s="17"/>
    </row>
    <row r="9555" spans="3:20" x14ac:dyDescent="0.35">
      <c r="C9555" s="15" t="s">
        <v>8</v>
      </c>
      <c r="H9555" s="15" t="s">
        <v>8</v>
      </c>
      <c r="I9555" s="15" t="s">
        <v>8</v>
      </c>
      <c r="K9555" s="15" t="s">
        <v>8</v>
      </c>
      <c r="L9555" s="15" t="s">
        <v>8</v>
      </c>
      <c r="N9555" s="15" t="s">
        <v>8</v>
      </c>
    </row>
    <row r="9556" spans="3:20" x14ac:dyDescent="0.35">
      <c r="C9556" s="15" t="s">
        <v>8</v>
      </c>
      <c r="H9556" s="15" t="s">
        <v>8</v>
      </c>
      <c r="I9556" s="15" t="s">
        <v>8</v>
      </c>
      <c r="K9556" s="15" t="s">
        <v>8</v>
      </c>
      <c r="L9556" s="15" t="s">
        <v>8</v>
      </c>
      <c r="M9556" s="5" t="str">
        <f>HYPERLINK("http://yeinfo.com/family/I09001545.html", "ABRAHAM RICKS 1674 VA-1745 VA ID:09003090")</f>
        <v>ABRAHAM RICKS 1674 VA-1745 VA ID:09003090</v>
      </c>
      <c r="N9556" s="3"/>
      <c r="O9556" s="3"/>
      <c r="P9556" s="3"/>
      <c r="Q9556" s="3"/>
    </row>
    <row r="9557" spans="3:20" x14ac:dyDescent="0.35">
      <c r="C9557" s="15" t="s">
        <v>8</v>
      </c>
      <c r="H9557" s="15" t="s">
        <v>8</v>
      </c>
      <c r="I9557" s="15" t="s">
        <v>8</v>
      </c>
      <c r="K9557" s="15" t="s">
        <v>8</v>
      </c>
      <c r="L9557" s="15" t="s">
        <v>8</v>
      </c>
      <c r="M9557" s="8" t="s">
        <v>3</v>
      </c>
      <c r="N9557" s="15" t="s">
        <v>8</v>
      </c>
    </row>
    <row r="9558" spans="3:20" x14ac:dyDescent="0.35">
      <c r="C9558" s="15" t="s">
        <v>8</v>
      </c>
      <c r="H9558" s="15" t="s">
        <v>8</v>
      </c>
      <c r="I9558" s="15" t="s">
        <v>8</v>
      </c>
      <c r="K9558" s="15" t="s">
        <v>8</v>
      </c>
      <c r="L9558" s="15" t="s">
        <v>8</v>
      </c>
      <c r="M9558" s="15" t="s">
        <v>8</v>
      </c>
      <c r="N9558" s="15" t="s">
        <v>8</v>
      </c>
      <c r="O9558" s="21" t="str">
        <f>HYPERLINK("http://yeinfo.com/family/I09006181.html", "FRANK HAWTHORNE 1620 EN-1645 VA ID:09012362")</f>
        <v>FRANK HAWTHORNE 1620 EN-1645 VA ID:09012362</v>
      </c>
      <c r="P9558" s="6"/>
      <c r="Q9558" s="6"/>
      <c r="R9558" s="6"/>
      <c r="S9558" s="6"/>
    </row>
    <row r="9559" spans="3:20" x14ac:dyDescent="0.35">
      <c r="C9559" s="15" t="s">
        <v>8</v>
      </c>
      <c r="H9559" s="15" t="s">
        <v>8</v>
      </c>
      <c r="I9559" s="15" t="s">
        <v>8</v>
      </c>
      <c r="K9559" s="15" t="s">
        <v>8</v>
      </c>
      <c r="L9559" s="15" t="s">
        <v>8</v>
      </c>
      <c r="M9559" s="15" t="s">
        <v>8</v>
      </c>
      <c r="N9559" s="8" t="s">
        <v>6</v>
      </c>
      <c r="O9559" s="8" t="s">
        <v>3</v>
      </c>
    </row>
    <row r="9560" spans="3:20" x14ac:dyDescent="0.35">
      <c r="C9560" s="15" t="s">
        <v>8</v>
      </c>
      <c r="H9560" s="15" t="s">
        <v>8</v>
      </c>
      <c r="I9560" s="15" t="s">
        <v>8</v>
      </c>
      <c r="K9560" s="15" t="s">
        <v>8</v>
      </c>
      <c r="L9560" s="15" t="s">
        <v>8</v>
      </c>
      <c r="M9560" s="15" t="s">
        <v>8</v>
      </c>
      <c r="N9560" s="16" t="str">
        <f>HYPERLINK("http://yeinfo.com/family/I09024723.html", "KATHERINE HAWTHORNE 1645 VA-1717 VA ID:09006181")</f>
        <v>KATHERINE HAWTHORNE 1645 VA-1717 VA ID:09006181</v>
      </c>
      <c r="O9560" s="11"/>
      <c r="P9560" s="11"/>
      <c r="Q9560" s="11"/>
      <c r="R9560" s="11"/>
    </row>
    <row r="9561" spans="3:20" x14ac:dyDescent="0.35">
      <c r="C9561" s="15" t="s">
        <v>8</v>
      </c>
      <c r="H9561" s="15" t="s">
        <v>8</v>
      </c>
      <c r="I9561" s="15" t="s">
        <v>8</v>
      </c>
      <c r="K9561" s="15" t="s">
        <v>8</v>
      </c>
      <c r="L9561" s="15" t="s">
        <v>8</v>
      </c>
      <c r="M9561" s="15" t="s">
        <v>8</v>
      </c>
      <c r="O9561" s="8" t="s">
        <v>6</v>
      </c>
    </row>
    <row r="9562" spans="3:20" x14ac:dyDescent="0.35">
      <c r="C9562" s="15" t="s">
        <v>8</v>
      </c>
      <c r="H9562" s="15" t="s">
        <v>8</v>
      </c>
      <c r="I9562" s="15" t="s">
        <v>8</v>
      </c>
      <c r="K9562" s="15" t="s">
        <v>8</v>
      </c>
      <c r="L9562" s="15" t="s">
        <v>8</v>
      </c>
      <c r="M9562" s="15" t="s">
        <v>8</v>
      </c>
      <c r="O9562" s="16" t="str">
        <f>HYPERLINK("http://yeinfo.com/family/I09012362.html", "CARRIE CLARK 1620 VA-1645 VA ID:09012363")</f>
        <v>CARRIE CLARK 1620 VA-1645 VA ID:09012363</v>
      </c>
      <c r="P9562" s="11"/>
      <c r="Q9562" s="11"/>
      <c r="R9562" s="11"/>
      <c r="S9562" s="11"/>
    </row>
    <row r="9563" spans="3:20" x14ac:dyDescent="0.35">
      <c r="C9563" s="15" t="s">
        <v>8</v>
      </c>
      <c r="H9563" s="15" t="s">
        <v>8</v>
      </c>
      <c r="I9563" s="15" t="s">
        <v>8</v>
      </c>
      <c r="K9563" s="15" t="s">
        <v>8</v>
      </c>
      <c r="L9563" s="8" t="s">
        <v>6</v>
      </c>
      <c r="M9563" s="15" t="s">
        <v>8</v>
      </c>
    </row>
    <row r="9564" spans="3:20" x14ac:dyDescent="0.35">
      <c r="C9564" s="15" t="s">
        <v>8</v>
      </c>
      <c r="H9564" s="15" t="s">
        <v>8</v>
      </c>
      <c r="I9564" s="15" t="s">
        <v>8</v>
      </c>
      <c r="K9564" s="15" t="s">
        <v>8</v>
      </c>
      <c r="L9564" s="16" t="str">
        <f>HYPERLINK("http://yeinfo.com/family/I09012359.html", "MARY RICKS 1704 VA-1767 NC ID:09001545")</f>
        <v>MARY RICKS 1704 VA-1767 NC ID:09001545</v>
      </c>
      <c r="M9564" s="11"/>
      <c r="N9564" s="11"/>
      <c r="O9564" s="11"/>
      <c r="P9564" s="11"/>
    </row>
    <row r="9565" spans="3:20" x14ac:dyDescent="0.35">
      <c r="C9565" s="15" t="s">
        <v>8</v>
      </c>
      <c r="H9565" s="15" t="s">
        <v>8</v>
      </c>
      <c r="I9565" s="15" t="s">
        <v>8</v>
      </c>
      <c r="K9565" s="15" t="s">
        <v>8</v>
      </c>
      <c r="M9565" s="15" t="s">
        <v>8</v>
      </c>
    </row>
    <row r="9566" spans="3:20" x14ac:dyDescent="0.35">
      <c r="C9566" s="15" t="s">
        <v>8</v>
      </c>
      <c r="H9566" s="15" t="s">
        <v>8</v>
      </c>
      <c r="I9566" s="15" t="s">
        <v>8</v>
      </c>
      <c r="K9566" s="15" t="s">
        <v>8</v>
      </c>
      <c r="M9566" s="15" t="s">
        <v>8</v>
      </c>
      <c r="P9566" s="21" t="str">
        <f>HYPERLINK("http://yeinfo.com/family/I09012364.html", "THOMAS BELSON 1615 EN-1640 VA ID:09024728")</f>
        <v>THOMAS BELSON 1615 EN-1640 VA ID:09024728</v>
      </c>
      <c r="Q9566" s="6"/>
      <c r="R9566" s="6"/>
      <c r="S9566" s="6"/>
      <c r="T9566" s="6"/>
    </row>
    <row r="9567" spans="3:20" x14ac:dyDescent="0.35">
      <c r="C9567" s="15" t="s">
        <v>8</v>
      </c>
      <c r="H9567" s="15" t="s">
        <v>8</v>
      </c>
      <c r="I9567" s="15" t="s">
        <v>8</v>
      </c>
      <c r="K9567" s="15" t="s">
        <v>8</v>
      </c>
      <c r="M9567" s="15" t="s">
        <v>8</v>
      </c>
      <c r="P9567" s="8" t="s">
        <v>3</v>
      </c>
    </row>
    <row r="9568" spans="3:20" x14ac:dyDescent="0.35">
      <c r="C9568" s="15" t="s">
        <v>8</v>
      </c>
      <c r="H9568" s="15" t="s">
        <v>8</v>
      </c>
      <c r="I9568" s="15" t="s">
        <v>8</v>
      </c>
      <c r="K9568" s="15" t="s">
        <v>8</v>
      </c>
      <c r="M9568" s="15" t="s">
        <v>8</v>
      </c>
      <c r="O9568" s="5" t="str">
        <f>HYPERLINK("http://yeinfo.com/family/I09006182.html", "EDMUND BELSON Sr. 1640 VA-1679 VA ID:09012364")</f>
        <v>EDMUND BELSON Sr. 1640 VA-1679 VA ID:09012364</v>
      </c>
      <c r="P9568" s="3"/>
      <c r="Q9568" s="3"/>
      <c r="R9568" s="3"/>
      <c r="S9568" s="3"/>
    </row>
    <row r="9569" spans="3:20" x14ac:dyDescent="0.35">
      <c r="C9569" s="15" t="s">
        <v>8</v>
      </c>
      <c r="H9569" s="15" t="s">
        <v>8</v>
      </c>
      <c r="I9569" s="15" t="s">
        <v>8</v>
      </c>
      <c r="K9569" s="15" t="s">
        <v>8</v>
      </c>
      <c r="M9569" s="15" t="s">
        <v>8</v>
      </c>
      <c r="O9569" s="8" t="s">
        <v>3</v>
      </c>
      <c r="P9569" s="8" t="s">
        <v>6</v>
      </c>
    </row>
    <row r="9570" spans="3:20" x14ac:dyDescent="0.35">
      <c r="C9570" s="15" t="s">
        <v>8</v>
      </c>
      <c r="H9570" s="15" t="s">
        <v>8</v>
      </c>
      <c r="I9570" s="15" t="s">
        <v>8</v>
      </c>
      <c r="K9570" s="15" t="s">
        <v>8</v>
      </c>
      <c r="M9570" s="15" t="s">
        <v>8</v>
      </c>
      <c r="O9570" s="15" t="s">
        <v>8</v>
      </c>
      <c r="P9570" s="16" t="str">
        <f>HYPERLINK("http://yeinfo.com/family/I09024728.html", "Mrs. {_?_} BELSON 1620 -1695  ID:09024729")</f>
        <v>Mrs. {_?_} BELSON 1620 -1695  ID:09024729</v>
      </c>
      <c r="Q9570" s="11"/>
      <c r="R9570" s="11"/>
      <c r="S9570" s="11"/>
      <c r="T9570" s="11"/>
    </row>
    <row r="9571" spans="3:20" x14ac:dyDescent="0.35">
      <c r="C9571" s="15" t="s">
        <v>8</v>
      </c>
      <c r="H9571" s="15" t="s">
        <v>8</v>
      </c>
      <c r="I9571" s="15" t="s">
        <v>8</v>
      </c>
      <c r="K9571" s="15" t="s">
        <v>8</v>
      </c>
      <c r="M9571" s="15" t="s">
        <v>8</v>
      </c>
      <c r="O9571" s="15" t="s">
        <v>8</v>
      </c>
    </row>
    <row r="9572" spans="3:20" x14ac:dyDescent="0.35">
      <c r="C9572" s="15" t="s">
        <v>8</v>
      </c>
      <c r="H9572" s="15" t="s">
        <v>8</v>
      </c>
      <c r="I9572" s="15" t="s">
        <v>8</v>
      </c>
      <c r="K9572" s="15" t="s">
        <v>8</v>
      </c>
      <c r="M9572" s="15" t="s">
        <v>8</v>
      </c>
      <c r="N9572" s="5" t="str">
        <f>HYPERLINK("http://yeinfo.com/family/I09003091.html", "EDMUND BELSON Jr. 1664 VA-1723 VA ID:09006182")</f>
        <v>EDMUND BELSON Jr. 1664 VA-1723 VA ID:09006182</v>
      </c>
      <c r="O9572" s="3"/>
      <c r="P9572" s="3"/>
      <c r="Q9572" s="3"/>
      <c r="R9572" s="3"/>
    </row>
    <row r="9573" spans="3:20" x14ac:dyDescent="0.35">
      <c r="C9573" s="15" t="s">
        <v>8</v>
      </c>
      <c r="H9573" s="15" t="s">
        <v>8</v>
      </c>
      <c r="I9573" s="15" t="s">
        <v>8</v>
      </c>
      <c r="K9573" s="15" t="s">
        <v>8</v>
      </c>
      <c r="M9573" s="15" t="s">
        <v>8</v>
      </c>
      <c r="N9573" s="8" t="s">
        <v>3</v>
      </c>
      <c r="O9573" s="8" t="s">
        <v>6</v>
      </c>
    </row>
    <row r="9574" spans="3:20" x14ac:dyDescent="0.35">
      <c r="C9574" s="15" t="s">
        <v>8</v>
      </c>
      <c r="H9574" s="15" t="s">
        <v>8</v>
      </c>
      <c r="I9574" s="15" t="s">
        <v>8</v>
      </c>
      <c r="K9574" s="15" t="s">
        <v>8</v>
      </c>
      <c r="M9574" s="15" t="s">
        <v>8</v>
      </c>
      <c r="N9574" s="15" t="s">
        <v>8</v>
      </c>
      <c r="O9574" s="16" t="str">
        <f>HYPERLINK("http://yeinfo.com/family/I09024729.html", "Mrs. ELIZABETH BELSON 1640 -1664 VA ID:09012365")</f>
        <v>Mrs. ELIZABETH BELSON 1640 -1664 VA ID:09012365</v>
      </c>
      <c r="P9574" s="11"/>
      <c r="Q9574" s="11"/>
      <c r="R9574" s="11"/>
      <c r="S9574" s="11"/>
    </row>
    <row r="9575" spans="3:20" x14ac:dyDescent="0.35">
      <c r="C9575" s="15" t="s">
        <v>8</v>
      </c>
      <c r="H9575" s="15" t="s">
        <v>8</v>
      </c>
      <c r="I9575" s="15" t="s">
        <v>8</v>
      </c>
      <c r="K9575" s="15" t="s">
        <v>8</v>
      </c>
      <c r="M9575" s="8" t="s">
        <v>6</v>
      </c>
      <c r="N9575" s="15" t="s">
        <v>8</v>
      </c>
    </row>
    <row r="9576" spans="3:20" x14ac:dyDescent="0.35">
      <c r="C9576" s="15" t="s">
        <v>8</v>
      </c>
      <c r="H9576" s="15" t="s">
        <v>8</v>
      </c>
      <c r="I9576" s="15" t="s">
        <v>8</v>
      </c>
      <c r="K9576" s="15" t="s">
        <v>8</v>
      </c>
      <c r="M9576" s="16" t="str">
        <f>HYPERLINK("http://yeinfo.com/family/I09012363.html", "MARY BELSON 1686 VA-1746 VA ID:09003091")</f>
        <v>MARY BELSON 1686 VA-1746 VA ID:09003091</v>
      </c>
      <c r="N9576" s="11"/>
      <c r="O9576" s="11"/>
      <c r="P9576" s="11"/>
      <c r="Q9576" s="11"/>
    </row>
    <row r="9577" spans="3:20" x14ac:dyDescent="0.35">
      <c r="C9577" s="15" t="s">
        <v>8</v>
      </c>
      <c r="H9577" s="15" t="s">
        <v>8</v>
      </c>
      <c r="I9577" s="15" t="s">
        <v>8</v>
      </c>
      <c r="K9577" s="15" t="s">
        <v>8</v>
      </c>
      <c r="N9577" s="15" t="s">
        <v>8</v>
      </c>
    </row>
    <row r="9578" spans="3:20" x14ac:dyDescent="0.35">
      <c r="C9578" s="15" t="s">
        <v>8</v>
      </c>
      <c r="H9578" s="15" t="s">
        <v>8</v>
      </c>
      <c r="I9578" s="15" t="s">
        <v>8</v>
      </c>
      <c r="K9578" s="15" t="s">
        <v>8</v>
      </c>
      <c r="N9578" s="15" t="s">
        <v>8</v>
      </c>
      <c r="P9578" s="21" t="str">
        <f>HYPERLINK("http://yeinfo.com/family/I09012366.html", "JAMES TOOKE 1601 EN-1662 VA ID:09024732")</f>
        <v>JAMES TOOKE 1601 EN-1662 VA ID:09024732</v>
      </c>
      <c r="Q9578" s="6"/>
      <c r="R9578" s="6"/>
      <c r="S9578" s="6"/>
      <c r="T9578" s="6"/>
    </row>
    <row r="9579" spans="3:20" x14ac:dyDescent="0.35">
      <c r="C9579" s="15" t="s">
        <v>8</v>
      </c>
      <c r="H9579" s="15" t="s">
        <v>8</v>
      </c>
      <c r="I9579" s="15" t="s">
        <v>8</v>
      </c>
      <c r="K9579" s="15" t="s">
        <v>8</v>
      </c>
      <c r="N9579" s="15" t="s">
        <v>8</v>
      </c>
      <c r="P9579" s="8" t="s">
        <v>3</v>
      </c>
    </row>
    <row r="9580" spans="3:20" x14ac:dyDescent="0.35">
      <c r="C9580" s="15" t="s">
        <v>8</v>
      </c>
      <c r="H9580" s="15" t="s">
        <v>8</v>
      </c>
      <c r="I9580" s="15" t="s">
        <v>8</v>
      </c>
      <c r="K9580" s="15" t="s">
        <v>8</v>
      </c>
      <c r="N9580" s="15" t="s">
        <v>8</v>
      </c>
      <c r="O9580" s="5" t="str">
        <f>HYPERLINK("http://yeinfo.com/family/I09006183.html", "THOMAS TOOKE 1616 VA-1666 VA ID:09012366")</f>
        <v>THOMAS TOOKE 1616 VA-1666 VA ID:09012366</v>
      </c>
      <c r="P9580" s="3"/>
      <c r="Q9580" s="3"/>
      <c r="R9580" s="3"/>
      <c r="S9580" s="3"/>
    </row>
    <row r="9581" spans="3:20" x14ac:dyDescent="0.35">
      <c r="C9581" s="15" t="s">
        <v>8</v>
      </c>
      <c r="H9581" s="15" t="s">
        <v>8</v>
      </c>
      <c r="I9581" s="15" t="s">
        <v>8</v>
      </c>
      <c r="K9581" s="15" t="s">
        <v>8</v>
      </c>
      <c r="N9581" s="15" t="s">
        <v>8</v>
      </c>
      <c r="O9581" s="8" t="s">
        <v>3</v>
      </c>
      <c r="P9581" s="8" t="s">
        <v>6</v>
      </c>
    </row>
    <row r="9582" spans="3:20" x14ac:dyDescent="0.35">
      <c r="C9582" s="15" t="s">
        <v>8</v>
      </c>
      <c r="H9582" s="15" t="s">
        <v>8</v>
      </c>
      <c r="I9582" s="15" t="s">
        <v>8</v>
      </c>
      <c r="K9582" s="15" t="s">
        <v>8</v>
      </c>
      <c r="N9582" s="15" t="s">
        <v>8</v>
      </c>
      <c r="O9582" s="15" t="s">
        <v>8</v>
      </c>
      <c r="P9582" s="16" t="str">
        <f>HYPERLINK("http://yeinfo.com/family/I09024732.html", "MARGARET BROCKMAN 1605 EN-1625  ID:09024733")</f>
        <v>MARGARET BROCKMAN 1605 EN-1625  ID:09024733</v>
      </c>
      <c r="Q9582" s="11"/>
      <c r="R9582" s="11"/>
      <c r="S9582" s="11"/>
      <c r="T9582" s="11"/>
    </row>
    <row r="9583" spans="3:20" x14ac:dyDescent="0.35">
      <c r="C9583" s="15" t="s">
        <v>8</v>
      </c>
      <c r="H9583" s="15" t="s">
        <v>8</v>
      </c>
      <c r="I9583" s="15" t="s">
        <v>8</v>
      </c>
      <c r="K9583" s="15" t="s">
        <v>8</v>
      </c>
      <c r="N9583" s="8" t="s">
        <v>6</v>
      </c>
      <c r="O9583" s="15" t="s">
        <v>8</v>
      </c>
    </row>
    <row r="9584" spans="3:20" x14ac:dyDescent="0.35">
      <c r="C9584" s="15" t="s">
        <v>8</v>
      </c>
      <c r="H9584" s="15" t="s">
        <v>8</v>
      </c>
      <c r="I9584" s="15" t="s">
        <v>8</v>
      </c>
      <c r="K9584" s="15" t="s">
        <v>8</v>
      </c>
      <c r="N9584" s="16" t="str">
        <f>HYPERLINK("http://yeinfo.com/family/I09012365.html", "MARY TOOKE 1666 VA-1687 VA ID:09006183")</f>
        <v>MARY TOOKE 1666 VA-1687 VA ID:09006183</v>
      </c>
      <c r="O9584" s="11"/>
      <c r="P9584" s="11"/>
      <c r="Q9584" s="11"/>
      <c r="R9584" s="11"/>
    </row>
    <row r="9585" spans="3:20" x14ac:dyDescent="0.35">
      <c r="C9585" s="15" t="s">
        <v>8</v>
      </c>
      <c r="H9585" s="15" t="s">
        <v>8</v>
      </c>
      <c r="I9585" s="15" t="s">
        <v>8</v>
      </c>
      <c r="K9585" s="15" t="s">
        <v>8</v>
      </c>
      <c r="O9585" s="15" t="s">
        <v>8</v>
      </c>
    </row>
    <row r="9586" spans="3:20" x14ac:dyDescent="0.35">
      <c r="C9586" s="15" t="s">
        <v>8</v>
      </c>
      <c r="H9586" s="15" t="s">
        <v>8</v>
      </c>
      <c r="I9586" s="15" t="s">
        <v>8</v>
      </c>
      <c r="K9586" s="15" t="s">
        <v>8</v>
      </c>
      <c r="O9586" s="15" t="s">
        <v>8</v>
      </c>
      <c r="P9586" s="5" t="str">
        <f>HYPERLINK("http://yeinfo.com/family/I09012367.html", "JOHN DAVIS 1580 EN-1600  ID:09024734")</f>
        <v>JOHN DAVIS 1580 EN-1600  ID:09024734</v>
      </c>
      <c r="Q9586" s="3"/>
      <c r="R9586" s="3"/>
      <c r="S9586" s="3"/>
      <c r="T9586" s="3"/>
    </row>
    <row r="9587" spans="3:20" x14ac:dyDescent="0.35">
      <c r="C9587" s="15" t="s">
        <v>8</v>
      </c>
      <c r="H9587" s="15" t="s">
        <v>8</v>
      </c>
      <c r="I9587" s="15" t="s">
        <v>8</v>
      </c>
      <c r="K9587" s="15" t="s">
        <v>8</v>
      </c>
      <c r="O9587" s="8" t="s">
        <v>6</v>
      </c>
      <c r="P9587" s="8" t="s">
        <v>3</v>
      </c>
    </row>
    <row r="9588" spans="3:20" x14ac:dyDescent="0.35">
      <c r="C9588" s="15" t="s">
        <v>8</v>
      </c>
      <c r="H9588" s="15" t="s">
        <v>8</v>
      </c>
      <c r="I9588" s="15" t="s">
        <v>8</v>
      </c>
      <c r="K9588" s="15" t="s">
        <v>8</v>
      </c>
      <c r="O9588" s="16" t="str">
        <f>HYPERLINK("http://yeinfo.com/family/I09024733.html", "MARY DAVIS 1600 VA-1666 VA ID:09012367")</f>
        <v>MARY DAVIS 1600 VA-1666 VA ID:09012367</v>
      </c>
      <c r="P9588" s="11"/>
      <c r="Q9588" s="11"/>
      <c r="R9588" s="11"/>
      <c r="S9588" s="11"/>
    </row>
    <row r="9589" spans="3:20" x14ac:dyDescent="0.35">
      <c r="C9589" s="15" t="s">
        <v>8</v>
      </c>
      <c r="H9589" s="15" t="s">
        <v>8</v>
      </c>
      <c r="I9589" s="15" t="s">
        <v>8</v>
      </c>
      <c r="K9589" s="15" t="s">
        <v>8</v>
      </c>
      <c r="P9589" s="8" t="s">
        <v>6</v>
      </c>
    </row>
    <row r="9590" spans="3:20" x14ac:dyDescent="0.35">
      <c r="C9590" s="15" t="s">
        <v>8</v>
      </c>
      <c r="H9590" s="15" t="s">
        <v>8</v>
      </c>
      <c r="I9590" s="15" t="s">
        <v>8</v>
      </c>
      <c r="K9590" s="15" t="s">
        <v>8</v>
      </c>
      <c r="P9590" s="16" t="str">
        <f>HYPERLINK("http://yeinfo.com/family/I09024734.html", "Mrs. {_?_} DAVIS 1580 EN-1600  ID:09024735")</f>
        <v>Mrs. {_?_} DAVIS 1580 EN-1600  ID:09024735</v>
      </c>
      <c r="Q9590" s="11"/>
      <c r="R9590" s="11"/>
      <c r="S9590" s="11"/>
      <c r="T9590" s="11"/>
    </row>
    <row r="9591" spans="3:20" x14ac:dyDescent="0.35">
      <c r="C9591" s="15" t="s">
        <v>8</v>
      </c>
      <c r="H9591" s="15" t="s">
        <v>8</v>
      </c>
      <c r="I9591" s="15" t="s">
        <v>8</v>
      </c>
      <c r="K9591" s="15" t="s">
        <v>8</v>
      </c>
    </row>
    <row r="9592" spans="3:20" x14ac:dyDescent="0.35">
      <c r="C9592" s="15" t="s">
        <v>8</v>
      </c>
      <c r="H9592" s="15" t="s">
        <v>8</v>
      </c>
      <c r="I9592" s="15" t="s">
        <v>8</v>
      </c>
      <c r="J9592" s="5" t="str">
        <f>HYPERLINK("http://yeinfo.com/family/I09000193.html", "FRANCIS SPEIGHT JORDAN 1747 NC-1776 NC ID:09000386")</f>
        <v>FRANCIS SPEIGHT JORDAN 1747 NC-1776 NC ID:09000386</v>
      </c>
      <c r="K9592" s="3"/>
      <c r="L9592" s="3"/>
      <c r="M9592" s="3"/>
      <c r="N9592" s="3"/>
    </row>
    <row r="9593" spans="3:20" x14ac:dyDescent="0.35">
      <c r="C9593" s="15" t="s">
        <v>8</v>
      </c>
      <c r="H9593" s="15" t="s">
        <v>8</v>
      </c>
      <c r="I9593" s="15" t="s">
        <v>8</v>
      </c>
      <c r="J9593" s="8" t="s">
        <v>3</v>
      </c>
      <c r="K9593" s="15" t="s">
        <v>8</v>
      </c>
    </row>
    <row r="9594" spans="3:20" x14ac:dyDescent="0.35">
      <c r="C9594" s="15" t="s">
        <v>8</v>
      </c>
      <c r="H9594" s="15" t="s">
        <v>8</v>
      </c>
      <c r="I9594" s="15" t="s">
        <v>8</v>
      </c>
      <c r="J9594" s="15" t="s">
        <v>8</v>
      </c>
      <c r="K9594" s="15" t="s">
        <v>8</v>
      </c>
      <c r="O9594" s="21" t="str">
        <f>HYPERLINK("http://yeinfo.com/family/I09006184.html", "FRANCIS SPEIGHT 1614 EN-1684 VA ID:09012368")</f>
        <v>FRANCIS SPEIGHT 1614 EN-1684 VA ID:09012368</v>
      </c>
      <c r="P9594" s="6"/>
      <c r="Q9594" s="6"/>
      <c r="R9594" s="6"/>
      <c r="S9594" s="6"/>
    </row>
    <row r="9595" spans="3:20" x14ac:dyDescent="0.35">
      <c r="C9595" s="15" t="s">
        <v>8</v>
      </c>
      <c r="H9595" s="15" t="s">
        <v>8</v>
      </c>
      <c r="I9595" s="15" t="s">
        <v>8</v>
      </c>
      <c r="J9595" s="15" t="s">
        <v>8</v>
      </c>
      <c r="K9595" s="15" t="s">
        <v>8</v>
      </c>
      <c r="O9595" s="8" t="s">
        <v>3</v>
      </c>
    </row>
    <row r="9596" spans="3:20" x14ac:dyDescent="0.35">
      <c r="C9596" s="15" t="s">
        <v>8</v>
      </c>
      <c r="H9596" s="15" t="s">
        <v>8</v>
      </c>
      <c r="I9596" s="15" t="s">
        <v>8</v>
      </c>
      <c r="J9596" s="15" t="s">
        <v>8</v>
      </c>
      <c r="K9596" s="15" t="s">
        <v>8</v>
      </c>
      <c r="N9596" s="5" t="str">
        <f>HYPERLINK("http://yeinfo.com/family/I09003092.html", "WILLIAM SPEIGHT 1653 VA-1719 NC ID:09006184")</f>
        <v>WILLIAM SPEIGHT 1653 VA-1719 NC ID:09006184</v>
      </c>
      <c r="O9596" s="3"/>
      <c r="P9596" s="3"/>
      <c r="Q9596" s="3"/>
      <c r="R9596" s="3"/>
    </row>
    <row r="9597" spans="3:20" x14ac:dyDescent="0.35">
      <c r="C9597" s="15" t="s">
        <v>8</v>
      </c>
      <c r="H9597" s="15" t="s">
        <v>8</v>
      </c>
      <c r="I9597" s="15" t="s">
        <v>8</v>
      </c>
      <c r="J9597" s="15" t="s">
        <v>8</v>
      </c>
      <c r="K9597" s="15" t="s">
        <v>8</v>
      </c>
      <c r="N9597" s="8" t="s">
        <v>3</v>
      </c>
      <c r="O9597" s="8" t="s">
        <v>6</v>
      </c>
    </row>
    <row r="9598" spans="3:20" x14ac:dyDescent="0.35">
      <c r="C9598" s="15" t="s">
        <v>8</v>
      </c>
      <c r="H9598" s="15" t="s">
        <v>8</v>
      </c>
      <c r="I9598" s="15" t="s">
        <v>8</v>
      </c>
      <c r="J9598" s="15" t="s">
        <v>8</v>
      </c>
      <c r="K9598" s="15" t="s">
        <v>8</v>
      </c>
      <c r="N9598" s="15" t="s">
        <v>8</v>
      </c>
      <c r="O9598" s="16" t="str">
        <f>HYPERLINK("http://yeinfo.com/family/I09012368.html", "ELIZABETH OROURKE 1615 EN-1653  ID:09012369")</f>
        <v>ELIZABETH OROURKE 1615 EN-1653  ID:09012369</v>
      </c>
      <c r="P9598" s="11"/>
      <c r="Q9598" s="11"/>
      <c r="R9598" s="11"/>
      <c r="S9598" s="11"/>
    </row>
    <row r="9599" spans="3:20" x14ac:dyDescent="0.35">
      <c r="C9599" s="15" t="s">
        <v>8</v>
      </c>
      <c r="H9599" s="15" t="s">
        <v>8</v>
      </c>
      <c r="I9599" s="15" t="s">
        <v>8</v>
      </c>
      <c r="J9599" s="15" t="s">
        <v>8</v>
      </c>
      <c r="K9599" s="15" t="s">
        <v>8</v>
      </c>
      <c r="N9599" s="15" t="s">
        <v>8</v>
      </c>
    </row>
    <row r="9600" spans="3:20" x14ac:dyDescent="0.35">
      <c r="C9600" s="15" t="s">
        <v>8</v>
      </c>
      <c r="H9600" s="15" t="s">
        <v>8</v>
      </c>
      <c r="I9600" s="15" t="s">
        <v>8</v>
      </c>
      <c r="J9600" s="15" t="s">
        <v>8</v>
      </c>
      <c r="K9600" s="15" t="s">
        <v>8</v>
      </c>
      <c r="M9600" s="5" t="str">
        <f>HYPERLINK("http://yeinfo.com/family/I09001546.html", "WILLIAM FRANCIS SPEIGHT 1674 NC-1749  ID:09003092")</f>
        <v>WILLIAM FRANCIS SPEIGHT 1674 NC-1749  ID:09003092</v>
      </c>
      <c r="N9600" s="3"/>
      <c r="O9600" s="3"/>
      <c r="P9600" s="3"/>
      <c r="Q9600" s="3"/>
    </row>
    <row r="9601" spans="3:18" x14ac:dyDescent="0.35">
      <c r="C9601" s="15" t="s">
        <v>8</v>
      </c>
      <c r="H9601" s="15" t="s">
        <v>8</v>
      </c>
      <c r="I9601" s="15" t="s">
        <v>8</v>
      </c>
      <c r="J9601" s="15" t="s">
        <v>8</v>
      </c>
      <c r="K9601" s="15" t="s">
        <v>8</v>
      </c>
      <c r="M9601" s="8" t="s">
        <v>3</v>
      </c>
      <c r="N9601" s="8" t="s">
        <v>6</v>
      </c>
    </row>
    <row r="9602" spans="3:18" x14ac:dyDescent="0.35">
      <c r="C9602" s="15" t="s">
        <v>8</v>
      </c>
      <c r="H9602" s="15" t="s">
        <v>8</v>
      </c>
      <c r="I9602" s="15" t="s">
        <v>8</v>
      </c>
      <c r="J9602" s="15" t="s">
        <v>8</v>
      </c>
      <c r="K9602" s="15" t="s">
        <v>8</v>
      </c>
      <c r="M9602" s="15" t="s">
        <v>8</v>
      </c>
      <c r="N9602" s="16" t="str">
        <f>HYPERLINK("http://yeinfo.com/family/I09012369.html", "Mrs. {_?_} SPEIGHT 1653 VA-1674 NC ID:09006185")</f>
        <v>Mrs. {_?_} SPEIGHT 1653 VA-1674 NC ID:09006185</v>
      </c>
      <c r="O9602" s="11"/>
      <c r="P9602" s="11"/>
      <c r="Q9602" s="11"/>
      <c r="R9602" s="11"/>
    </row>
    <row r="9603" spans="3:18" x14ac:dyDescent="0.35">
      <c r="C9603" s="15" t="s">
        <v>8</v>
      </c>
      <c r="H9603" s="15" t="s">
        <v>8</v>
      </c>
      <c r="I9603" s="15" t="s">
        <v>8</v>
      </c>
      <c r="J9603" s="15" t="s">
        <v>8</v>
      </c>
      <c r="K9603" s="15" t="s">
        <v>8</v>
      </c>
      <c r="M9603" s="15" t="s">
        <v>8</v>
      </c>
    </row>
    <row r="9604" spans="3:18" x14ac:dyDescent="0.35">
      <c r="C9604" s="15" t="s">
        <v>8</v>
      </c>
      <c r="H9604" s="15" t="s">
        <v>8</v>
      </c>
      <c r="I9604" s="15" t="s">
        <v>8</v>
      </c>
      <c r="J9604" s="15" t="s">
        <v>8</v>
      </c>
      <c r="K9604" s="15" t="s">
        <v>8</v>
      </c>
      <c r="L9604" s="5" t="str">
        <f>HYPERLINK("http://yeinfo.com/family/I09000773.html", "THOMAS D. SPEIGHT 1697 NC-1740  ID:09001546")</f>
        <v>THOMAS D. SPEIGHT 1697 NC-1740  ID:09001546</v>
      </c>
      <c r="M9604" s="3"/>
      <c r="N9604" s="3"/>
      <c r="O9604" s="3"/>
      <c r="P9604" s="3"/>
    </row>
    <row r="9605" spans="3:18" x14ac:dyDescent="0.35">
      <c r="C9605" s="15" t="s">
        <v>8</v>
      </c>
      <c r="H9605" s="15" t="s">
        <v>8</v>
      </c>
      <c r="I9605" s="15" t="s">
        <v>8</v>
      </c>
      <c r="J9605" s="15" t="s">
        <v>8</v>
      </c>
      <c r="K9605" s="15" t="s">
        <v>8</v>
      </c>
      <c r="L9605" s="8" t="s">
        <v>3</v>
      </c>
      <c r="M9605" s="8" t="s">
        <v>6</v>
      </c>
    </row>
    <row r="9606" spans="3:18" x14ac:dyDescent="0.35">
      <c r="C9606" s="15" t="s">
        <v>8</v>
      </c>
      <c r="H9606" s="15" t="s">
        <v>8</v>
      </c>
      <c r="I9606" s="15" t="s">
        <v>8</v>
      </c>
      <c r="J9606" s="15" t="s">
        <v>8</v>
      </c>
      <c r="K9606" s="15" t="s">
        <v>8</v>
      </c>
      <c r="L9606" s="15" t="s">
        <v>8</v>
      </c>
      <c r="M9606" s="16" t="str">
        <f>HYPERLINK("http://yeinfo.com/family/I09006185.html", "JUDITH HARE 1687 NC-1748  ID:09003093")</f>
        <v>JUDITH HARE 1687 NC-1748  ID:09003093</v>
      </c>
      <c r="N9606" s="11"/>
      <c r="O9606" s="11"/>
      <c r="P9606" s="11"/>
      <c r="Q9606" s="11"/>
    </row>
    <row r="9607" spans="3:18" x14ac:dyDescent="0.35">
      <c r="C9607" s="15" t="s">
        <v>8</v>
      </c>
      <c r="H9607" s="15" t="s">
        <v>8</v>
      </c>
      <c r="I9607" s="15" t="s">
        <v>8</v>
      </c>
      <c r="J9607" s="15" t="s">
        <v>8</v>
      </c>
      <c r="K9607" s="8" t="s">
        <v>6</v>
      </c>
      <c r="L9607" s="15" t="s">
        <v>8</v>
      </c>
    </row>
    <row r="9608" spans="3:18" x14ac:dyDescent="0.35">
      <c r="C9608" s="15" t="s">
        <v>8</v>
      </c>
      <c r="H9608" s="15" t="s">
        <v>8</v>
      </c>
      <c r="I9608" s="15" t="s">
        <v>8</v>
      </c>
      <c r="J9608" s="15" t="s">
        <v>8</v>
      </c>
      <c r="K9608" s="16" t="str">
        <f>HYPERLINK("http://yeinfo.com/family/I09024735.html", "MARY SPEIGHT 1728 NC-1748  ID:09000773")</f>
        <v>MARY SPEIGHT 1728 NC-1748  ID:09000773</v>
      </c>
      <c r="L9608" s="11"/>
      <c r="M9608" s="11"/>
      <c r="N9608" s="11"/>
      <c r="O9608" s="11"/>
    </row>
    <row r="9609" spans="3:18" x14ac:dyDescent="0.35">
      <c r="C9609" s="15" t="s">
        <v>8</v>
      </c>
      <c r="H9609" s="15" t="s">
        <v>8</v>
      </c>
      <c r="I9609" s="15" t="s">
        <v>8</v>
      </c>
      <c r="J9609" s="15" t="s">
        <v>8</v>
      </c>
      <c r="L9609" s="8" t="s">
        <v>6</v>
      </c>
    </row>
    <row r="9610" spans="3:18" x14ac:dyDescent="0.35">
      <c r="C9610" s="15" t="s">
        <v>8</v>
      </c>
      <c r="H9610" s="15" t="s">
        <v>8</v>
      </c>
      <c r="I9610" s="15" t="s">
        <v>8</v>
      </c>
      <c r="J9610" s="15" t="s">
        <v>8</v>
      </c>
      <c r="L9610" s="16" t="str">
        <f>HYPERLINK("http://yeinfo.com/family/I09003093.html", "ANN EVERETT 1710 NC-1756  ID:09001547")</f>
        <v>ANN EVERETT 1710 NC-1756  ID:09001547</v>
      </c>
      <c r="M9610" s="11"/>
      <c r="N9610" s="11"/>
      <c r="O9610" s="11"/>
      <c r="P9610" s="11"/>
    </row>
    <row r="9611" spans="3:18" x14ac:dyDescent="0.35">
      <c r="C9611" s="15" t="s">
        <v>8</v>
      </c>
      <c r="H9611" s="15" t="s">
        <v>8</v>
      </c>
      <c r="I9611" s="8" t="s">
        <v>6</v>
      </c>
      <c r="J9611" s="15" t="s">
        <v>8</v>
      </c>
    </row>
    <row r="9612" spans="3:18" x14ac:dyDescent="0.35">
      <c r="C9612" s="15" t="s">
        <v>8</v>
      </c>
      <c r="H9612" s="15" t="s">
        <v>8</v>
      </c>
      <c r="I9612" s="16" t="str">
        <f>HYPERLINK("http://yeinfo.com/family/I09003087.html", "CATHERINE ELIZABETH JORDAN 1765 NC-1850 NC ID:09000193")</f>
        <v>CATHERINE ELIZABETH JORDAN 1765 NC-1850 NC ID:09000193</v>
      </c>
      <c r="J9612" s="11"/>
      <c r="K9612" s="11"/>
      <c r="L9612" s="11"/>
      <c r="M9612" s="11"/>
    </row>
    <row r="9613" spans="3:18" x14ac:dyDescent="0.35">
      <c r="C9613" s="15" t="s">
        <v>8</v>
      </c>
      <c r="H9613" s="15" t="s">
        <v>8</v>
      </c>
      <c r="J9613" s="15" t="s">
        <v>8</v>
      </c>
    </row>
    <row r="9614" spans="3:18" x14ac:dyDescent="0.35">
      <c r="C9614" s="15" t="s">
        <v>8</v>
      </c>
      <c r="H9614" s="15" t="s">
        <v>8</v>
      </c>
      <c r="J9614" s="15" t="s">
        <v>8</v>
      </c>
      <c r="K9614" s="5" t="str">
        <f>HYPERLINK("http://yeinfo.com/family/I09000387.html", "PETER SPRINKLE 1704 GE-1745  ID:09000774")</f>
        <v>PETER SPRINKLE 1704 GE-1745  ID:09000774</v>
      </c>
      <c r="L9614" s="3"/>
      <c r="M9614" s="3"/>
      <c r="N9614" s="3"/>
      <c r="O9614" s="3"/>
    </row>
    <row r="9615" spans="3:18" x14ac:dyDescent="0.35">
      <c r="C9615" s="15" t="s">
        <v>8</v>
      </c>
      <c r="H9615" s="15" t="s">
        <v>8</v>
      </c>
      <c r="J9615" s="8" t="s">
        <v>6</v>
      </c>
      <c r="K9615" s="8" t="s">
        <v>3</v>
      </c>
    </row>
    <row r="9616" spans="3:18" x14ac:dyDescent="0.35">
      <c r="C9616" s="15" t="s">
        <v>8</v>
      </c>
      <c r="H9616" s="15" t="s">
        <v>8</v>
      </c>
      <c r="J9616" s="16" t="str">
        <f>HYPERLINK("http://yeinfo.com/family/I09001547.html", "ISABELLA SPRINKLE 1745 NC-1765 NC ID:09000387")</f>
        <v>ISABELLA SPRINKLE 1745 NC-1765 NC ID:09000387</v>
      </c>
      <c r="K9616" s="11"/>
      <c r="L9616" s="11"/>
      <c r="M9616" s="11"/>
      <c r="N9616" s="11"/>
    </row>
    <row r="9617" spans="3:18" x14ac:dyDescent="0.35">
      <c r="C9617" s="15" t="s">
        <v>8</v>
      </c>
      <c r="H9617" s="15" t="s">
        <v>8</v>
      </c>
      <c r="K9617" s="8" t="s">
        <v>6</v>
      </c>
    </row>
    <row r="9618" spans="3:18" x14ac:dyDescent="0.35">
      <c r="C9618" s="15" t="s">
        <v>8</v>
      </c>
      <c r="H9618" s="15" t="s">
        <v>8</v>
      </c>
      <c r="K9618" s="16" t="str">
        <f>HYPERLINK("http://yeinfo.com/family/I09000774.html", "ELIZABETH SHORE 1705 NC-1745  ID:09000775")</f>
        <v>ELIZABETH SHORE 1705 NC-1745  ID:09000775</v>
      </c>
      <c r="L9618" s="11"/>
      <c r="M9618" s="11"/>
      <c r="N9618" s="11"/>
      <c r="O9618" s="11"/>
    </row>
    <row r="9619" spans="3:18" x14ac:dyDescent="0.35">
      <c r="C9619" s="15" t="s">
        <v>8</v>
      </c>
      <c r="H9619" s="15" t="s">
        <v>8</v>
      </c>
    </row>
    <row r="9620" spans="3:18" x14ac:dyDescent="0.35">
      <c r="C9620" s="15" t="s">
        <v>8</v>
      </c>
      <c r="G9620" s="5" t="str">
        <f>HYPERLINK("http://yeinfo.com/family/I09000024.html", "LITTLEBERRY BIONEY DEATON 1820 TN-1897 TN ID:09000048")</f>
        <v>LITTLEBERRY BIONEY DEATON 1820 TN-1897 TN ID:09000048</v>
      </c>
      <c r="H9620" s="3"/>
      <c r="I9620" s="3"/>
      <c r="J9620" s="3"/>
      <c r="K9620" s="3"/>
    </row>
    <row r="9621" spans="3:18" x14ac:dyDescent="0.35">
      <c r="C9621" s="15" t="s">
        <v>8</v>
      </c>
      <c r="G9621" s="8" t="s">
        <v>3</v>
      </c>
      <c r="H9621" s="15" t="s">
        <v>8</v>
      </c>
    </row>
    <row r="9622" spans="3:18" x14ac:dyDescent="0.35">
      <c r="C9622" s="15" t="s">
        <v>8</v>
      </c>
      <c r="G9622" s="15" t="s">
        <v>8</v>
      </c>
      <c r="H9622" s="15" t="s">
        <v>8</v>
      </c>
      <c r="J9622" s="5" t="str">
        <f>HYPERLINK("http://yeinfo.com/family/I09000194.html", "THOMAS GRIGGS YARBOROUGH 1700 VA-1800 NC ID:09000388")</f>
        <v>THOMAS GRIGGS YARBOROUGH 1700 VA-1800 NC ID:09000388</v>
      </c>
      <c r="K9622" s="3"/>
      <c r="L9622" s="3"/>
      <c r="M9622" s="3"/>
      <c r="N9622" s="3"/>
    </row>
    <row r="9623" spans="3:18" x14ac:dyDescent="0.35">
      <c r="C9623" s="15" t="s">
        <v>8</v>
      </c>
      <c r="G9623" s="15" t="s">
        <v>8</v>
      </c>
      <c r="H9623" s="15" t="s">
        <v>8</v>
      </c>
      <c r="J9623" s="8" t="s">
        <v>3</v>
      </c>
    </row>
    <row r="9624" spans="3:18" x14ac:dyDescent="0.35">
      <c r="C9624" s="15" t="s">
        <v>8</v>
      </c>
      <c r="G9624" s="15" t="s">
        <v>8</v>
      </c>
      <c r="H9624" s="15" t="s">
        <v>8</v>
      </c>
      <c r="I9624" s="5" t="str">
        <f>HYPERLINK("http://yeinfo.com/family/I09000097.html", "RICHARD YARBOROUGH 1750 SC-1809 SC ID:09000194")</f>
        <v>RICHARD YARBOROUGH 1750 SC-1809 SC ID:09000194</v>
      </c>
      <c r="J9624" s="3"/>
      <c r="K9624" s="3"/>
      <c r="L9624" s="3"/>
      <c r="M9624" s="3"/>
    </row>
    <row r="9625" spans="3:18" x14ac:dyDescent="0.35">
      <c r="C9625" s="15" t="s">
        <v>8</v>
      </c>
      <c r="G9625" s="15" t="s">
        <v>8</v>
      </c>
      <c r="H9625" s="15" t="s">
        <v>8</v>
      </c>
      <c r="I9625" s="8" t="s">
        <v>3</v>
      </c>
      <c r="J9625" s="8" t="s">
        <v>6</v>
      </c>
    </row>
    <row r="9626" spans="3:18" x14ac:dyDescent="0.35">
      <c r="C9626" s="15" t="s">
        <v>8</v>
      </c>
      <c r="G9626" s="15" t="s">
        <v>8</v>
      </c>
      <c r="H9626" s="15" t="s">
        <v>8</v>
      </c>
      <c r="I9626" s="15" t="s">
        <v>8</v>
      </c>
      <c r="J9626" s="16" t="str">
        <f>HYPERLINK("http://yeinfo.com/family/I09000388.html", "RACHAEL KIRKLAND 1725 VA-1807 NC ID:09000389")</f>
        <v>RACHAEL KIRKLAND 1725 VA-1807 NC ID:09000389</v>
      </c>
      <c r="K9626" s="11"/>
      <c r="L9626" s="11"/>
      <c r="M9626" s="11"/>
      <c r="N9626" s="11"/>
    </row>
    <row r="9627" spans="3:18" x14ac:dyDescent="0.35">
      <c r="C9627" s="15" t="s">
        <v>8</v>
      </c>
      <c r="G9627" s="15" t="s">
        <v>8</v>
      </c>
      <c r="H9627" s="8" t="s">
        <v>6</v>
      </c>
      <c r="I9627" s="15" t="s">
        <v>8</v>
      </c>
    </row>
    <row r="9628" spans="3:18" x14ac:dyDescent="0.35">
      <c r="C9628" s="15" t="s">
        <v>8</v>
      </c>
      <c r="G9628" s="15" t="s">
        <v>8</v>
      </c>
      <c r="H9628" s="16" t="str">
        <f>HYPERLINK("http://yeinfo.com/family/I09000775.html", "ELIZABETH YARBOROUGH 1784 NC-1835 TN ID:09000097")</f>
        <v>ELIZABETH YARBOROUGH 1784 NC-1835 TN ID:09000097</v>
      </c>
      <c r="I9628" s="11"/>
      <c r="J9628" s="11"/>
      <c r="K9628" s="11"/>
      <c r="L9628" s="11"/>
    </row>
    <row r="9629" spans="3:18" x14ac:dyDescent="0.35">
      <c r="C9629" s="15" t="s">
        <v>8</v>
      </c>
      <c r="G9629" s="15" t="s">
        <v>8</v>
      </c>
      <c r="I9629" s="15" t="s">
        <v>8</v>
      </c>
    </row>
    <row r="9630" spans="3:18" x14ac:dyDescent="0.35">
      <c r="C9630" s="15" t="s">
        <v>8</v>
      </c>
      <c r="G9630" s="15" t="s">
        <v>8</v>
      </c>
      <c r="I9630" s="15" t="s">
        <v>8</v>
      </c>
      <c r="N9630" s="5" t="str">
        <f>HYPERLINK("http://yeinfo.com/family/I09003120.html", "EDWARD WEATHERS 1584 EN-1623  ID:09006240")</f>
        <v>EDWARD WEATHERS 1584 EN-1623  ID:09006240</v>
      </c>
      <c r="O9630" s="3"/>
      <c r="P9630" s="3"/>
      <c r="Q9630" s="3"/>
      <c r="R9630" s="3"/>
    </row>
    <row r="9631" spans="3:18" x14ac:dyDescent="0.35">
      <c r="C9631" s="15" t="s">
        <v>8</v>
      </c>
      <c r="G9631" s="15" t="s">
        <v>8</v>
      </c>
      <c r="I9631" s="15" t="s">
        <v>8</v>
      </c>
      <c r="N9631" s="8" t="s">
        <v>3</v>
      </c>
    </row>
    <row r="9632" spans="3:18" x14ac:dyDescent="0.35">
      <c r="C9632" s="15" t="s">
        <v>8</v>
      </c>
      <c r="G9632" s="15" t="s">
        <v>8</v>
      </c>
      <c r="I9632" s="15" t="s">
        <v>8</v>
      </c>
      <c r="M9632" s="5" t="str">
        <f>HYPERLINK("http://yeinfo.com/family/I09001560.html", "WILLIAM WEATHERS 1623 VA-1660  ID:09003120")</f>
        <v>WILLIAM WEATHERS 1623 VA-1660  ID:09003120</v>
      </c>
      <c r="N9632" s="3"/>
      <c r="O9632" s="3"/>
      <c r="P9632" s="3"/>
      <c r="Q9632" s="3"/>
    </row>
    <row r="9633" spans="3:22" x14ac:dyDescent="0.35">
      <c r="C9633" s="15" t="s">
        <v>8</v>
      </c>
      <c r="G9633" s="15" t="s">
        <v>8</v>
      </c>
      <c r="I9633" s="15" t="s">
        <v>8</v>
      </c>
      <c r="M9633" s="8" t="s">
        <v>3</v>
      </c>
      <c r="N9633" s="8" t="s">
        <v>6</v>
      </c>
    </row>
    <row r="9634" spans="3:22" x14ac:dyDescent="0.35">
      <c r="C9634" s="15" t="s">
        <v>8</v>
      </c>
      <c r="G9634" s="15" t="s">
        <v>8</v>
      </c>
      <c r="I9634" s="15" t="s">
        <v>8</v>
      </c>
      <c r="M9634" s="15" t="s">
        <v>8</v>
      </c>
      <c r="N9634" s="22" t="str">
        <f>HYPERLINK("http://yeinfo.com/family/I09006240.html", "GRACE O'NEILL 1602 NI-1681 VA ID:09006241")</f>
        <v>GRACE O'NEILL 1602 NI-1681 VA ID:09006241</v>
      </c>
      <c r="O9634" s="13"/>
      <c r="P9634" s="13"/>
      <c r="Q9634" s="13"/>
      <c r="R9634" s="13"/>
    </row>
    <row r="9635" spans="3:22" x14ac:dyDescent="0.35">
      <c r="C9635" s="15" t="s">
        <v>8</v>
      </c>
      <c r="G9635" s="15" t="s">
        <v>8</v>
      </c>
      <c r="I9635" s="15" t="s">
        <v>8</v>
      </c>
      <c r="M9635" s="15" t="s">
        <v>8</v>
      </c>
    </row>
    <row r="9636" spans="3:22" x14ac:dyDescent="0.35">
      <c r="C9636" s="15" t="s">
        <v>8</v>
      </c>
      <c r="G9636" s="15" t="s">
        <v>8</v>
      </c>
      <c r="I9636" s="15" t="s">
        <v>8</v>
      </c>
      <c r="L9636" s="5" t="str">
        <f>HYPERLINK("http://yeinfo.com/family/I09000780.html", "THOMAS WEATHERS Sr. 1657 VA-1698 VA ID:09001560")</f>
        <v>THOMAS WEATHERS Sr. 1657 VA-1698 VA ID:09001560</v>
      </c>
      <c r="M9636" s="3"/>
      <c r="N9636" s="3"/>
      <c r="O9636" s="3"/>
      <c r="P9636" s="3"/>
    </row>
    <row r="9637" spans="3:22" x14ac:dyDescent="0.35">
      <c r="C9637" s="15" t="s">
        <v>8</v>
      </c>
      <c r="G9637" s="15" t="s">
        <v>8</v>
      </c>
      <c r="I9637" s="15" t="s">
        <v>8</v>
      </c>
      <c r="L9637" s="8" t="s">
        <v>3</v>
      </c>
      <c r="M9637" s="15" t="s">
        <v>8</v>
      </c>
    </row>
    <row r="9638" spans="3:22" x14ac:dyDescent="0.35">
      <c r="C9638" s="15" t="s">
        <v>8</v>
      </c>
      <c r="G9638" s="15" t="s">
        <v>8</v>
      </c>
      <c r="I9638" s="15" t="s">
        <v>8</v>
      </c>
      <c r="L9638" s="15" t="s">
        <v>8</v>
      </c>
      <c r="M9638" s="15" t="s">
        <v>8</v>
      </c>
      <c r="R9638" s="19" t="str">
        <f>HYPERLINK("http://yeinfo.com/family/I09049936.html", "THOMAS ROBINS 1480 EN-1531 EN ID:09066680")</f>
        <v>THOMAS ROBINS 1480 EN-1531 EN ID:09066680</v>
      </c>
      <c r="S9638" s="9"/>
      <c r="T9638" s="9"/>
      <c r="U9638" s="9"/>
      <c r="V9638" s="9"/>
    </row>
    <row r="9639" spans="3:22" x14ac:dyDescent="0.35">
      <c r="C9639" s="15" t="s">
        <v>8</v>
      </c>
      <c r="G9639" s="15" t="s">
        <v>8</v>
      </c>
      <c r="I9639" s="15" t="s">
        <v>8</v>
      </c>
      <c r="L9639" s="15" t="s">
        <v>8</v>
      </c>
      <c r="M9639" s="15" t="s">
        <v>8</v>
      </c>
      <c r="R9639" s="8" t="s">
        <v>3</v>
      </c>
    </row>
    <row r="9640" spans="3:22" x14ac:dyDescent="0.35">
      <c r="C9640" s="15" t="s">
        <v>8</v>
      </c>
      <c r="G9640" s="15" t="s">
        <v>8</v>
      </c>
      <c r="I9640" s="15" t="s">
        <v>8</v>
      </c>
      <c r="L9640" s="15" t="s">
        <v>8</v>
      </c>
      <c r="M9640" s="15" t="s">
        <v>8</v>
      </c>
      <c r="Q9640" s="19" t="str">
        <f>HYPERLINK("http://yeinfo.com/family/I09024968.html", "RICHARD ROBINS 1515 EN-1584 EN ID:09049936")</f>
        <v>RICHARD ROBINS 1515 EN-1584 EN ID:09049936</v>
      </c>
      <c r="R9640" s="9"/>
      <c r="S9640" s="9"/>
      <c r="T9640" s="9"/>
      <c r="U9640" s="9"/>
    </row>
    <row r="9641" spans="3:22" x14ac:dyDescent="0.35">
      <c r="C9641" s="15" t="s">
        <v>8</v>
      </c>
      <c r="G9641" s="15" t="s">
        <v>8</v>
      </c>
      <c r="I9641" s="15" t="s">
        <v>8</v>
      </c>
      <c r="L9641" s="15" t="s">
        <v>8</v>
      </c>
      <c r="M9641" s="15" t="s">
        <v>8</v>
      </c>
      <c r="Q9641" s="8" t="s">
        <v>3</v>
      </c>
      <c r="R9641" s="8" t="s">
        <v>6</v>
      </c>
    </row>
    <row r="9642" spans="3:22" x14ac:dyDescent="0.35">
      <c r="C9642" s="15" t="s">
        <v>8</v>
      </c>
      <c r="G9642" s="15" t="s">
        <v>8</v>
      </c>
      <c r="I9642" s="15" t="s">
        <v>8</v>
      </c>
      <c r="L9642" s="15" t="s">
        <v>8</v>
      </c>
      <c r="M9642" s="15" t="s">
        <v>8</v>
      </c>
      <c r="Q9642" s="15" t="s">
        <v>8</v>
      </c>
      <c r="R9642" s="20" t="str">
        <f>HYPERLINK("http://yeinfo.com/family/I09066680.html", "Mrs. {_?_} ROBINS 1486 EN-1535 EN ID:09066681")</f>
        <v>Mrs. {_?_} ROBINS 1486 EN-1535 EN ID:09066681</v>
      </c>
      <c r="S9642" s="17"/>
      <c r="T9642" s="17"/>
      <c r="U9642" s="17"/>
      <c r="V9642" s="17"/>
    </row>
    <row r="9643" spans="3:22" x14ac:dyDescent="0.35">
      <c r="C9643" s="15" t="s">
        <v>8</v>
      </c>
      <c r="G9643" s="15" t="s">
        <v>8</v>
      </c>
      <c r="I9643" s="15" t="s">
        <v>8</v>
      </c>
      <c r="L9643" s="15" t="s">
        <v>8</v>
      </c>
      <c r="M9643" s="15" t="s">
        <v>8</v>
      </c>
      <c r="Q9643" s="15" t="s">
        <v>8</v>
      </c>
    </row>
    <row r="9644" spans="3:22" x14ac:dyDescent="0.35">
      <c r="C9644" s="15" t="s">
        <v>8</v>
      </c>
      <c r="G9644" s="15" t="s">
        <v>8</v>
      </c>
      <c r="I9644" s="15" t="s">
        <v>8</v>
      </c>
      <c r="L9644" s="15" t="s">
        <v>8</v>
      </c>
      <c r="M9644" s="15" t="s">
        <v>8</v>
      </c>
      <c r="P9644" s="19" t="str">
        <f>HYPERLINK("http://yeinfo.com/family/I09012484.html", "THOMAS ROBINS 1545 EN-1606 EN ID:09024968")</f>
        <v>THOMAS ROBINS 1545 EN-1606 EN ID:09024968</v>
      </c>
      <c r="Q9644" s="9"/>
      <c r="R9644" s="9"/>
      <c r="S9644" s="9"/>
      <c r="T9644" s="9"/>
    </row>
    <row r="9645" spans="3:22" x14ac:dyDescent="0.35">
      <c r="C9645" s="15" t="s">
        <v>8</v>
      </c>
      <c r="G9645" s="15" t="s">
        <v>8</v>
      </c>
      <c r="I9645" s="15" t="s">
        <v>8</v>
      </c>
      <c r="L9645" s="15" t="s">
        <v>8</v>
      </c>
      <c r="M9645" s="15" t="s">
        <v>8</v>
      </c>
      <c r="P9645" s="8" t="s">
        <v>3</v>
      </c>
      <c r="Q9645" s="8" t="s">
        <v>6</v>
      </c>
    </row>
    <row r="9646" spans="3:22" x14ac:dyDescent="0.35">
      <c r="C9646" s="15" t="s">
        <v>8</v>
      </c>
      <c r="G9646" s="15" t="s">
        <v>8</v>
      </c>
      <c r="I9646" s="15" t="s">
        <v>8</v>
      </c>
      <c r="L9646" s="15" t="s">
        <v>8</v>
      </c>
      <c r="M9646" s="15" t="s">
        <v>8</v>
      </c>
      <c r="P9646" s="15" t="s">
        <v>8</v>
      </c>
      <c r="Q9646" s="20" t="str">
        <f>HYPERLINK("http://yeinfo.com/family/I09066681.html", "JOHANNE KENCH 1515 EN-1584 EN ID:09049937")</f>
        <v>JOHANNE KENCH 1515 EN-1584 EN ID:09049937</v>
      </c>
      <c r="R9646" s="17"/>
      <c r="S9646" s="17"/>
      <c r="T9646" s="17"/>
      <c r="U9646" s="17"/>
    </row>
    <row r="9647" spans="3:22" x14ac:dyDescent="0.35">
      <c r="C9647" s="15" t="s">
        <v>8</v>
      </c>
      <c r="G9647" s="15" t="s">
        <v>8</v>
      </c>
      <c r="I9647" s="15" t="s">
        <v>8</v>
      </c>
      <c r="L9647" s="15" t="s">
        <v>8</v>
      </c>
      <c r="M9647" s="15" t="s">
        <v>8</v>
      </c>
      <c r="P9647" s="15" t="s">
        <v>8</v>
      </c>
    </row>
    <row r="9648" spans="3:22" x14ac:dyDescent="0.35">
      <c r="C9648" s="15" t="s">
        <v>8</v>
      </c>
      <c r="G9648" s="15" t="s">
        <v>8</v>
      </c>
      <c r="I9648" s="15" t="s">
        <v>8</v>
      </c>
      <c r="L9648" s="15" t="s">
        <v>8</v>
      </c>
      <c r="M9648" s="15" t="s">
        <v>8</v>
      </c>
      <c r="O9648" s="19" t="str">
        <f>HYPERLINK("http://yeinfo.com/family/I09006242.html", "RICHARD ROBINS 1570 EN-1623 EN ID:09012484")</f>
        <v>RICHARD ROBINS 1570 EN-1623 EN ID:09012484</v>
      </c>
      <c r="P9648" s="9"/>
      <c r="Q9648" s="9"/>
      <c r="R9648" s="9"/>
      <c r="S9648" s="9"/>
    </row>
    <row r="9649" spans="3:20" x14ac:dyDescent="0.35">
      <c r="C9649" s="15" t="s">
        <v>8</v>
      </c>
      <c r="G9649" s="15" t="s">
        <v>8</v>
      </c>
      <c r="I9649" s="15" t="s">
        <v>8</v>
      </c>
      <c r="L9649" s="15" t="s">
        <v>8</v>
      </c>
      <c r="M9649" s="15" t="s">
        <v>8</v>
      </c>
      <c r="O9649" s="8" t="s">
        <v>3</v>
      </c>
      <c r="P9649" s="8" t="s">
        <v>6</v>
      </c>
    </row>
    <row r="9650" spans="3:20" x14ac:dyDescent="0.35">
      <c r="C9650" s="15" t="s">
        <v>8</v>
      </c>
      <c r="G9650" s="15" t="s">
        <v>8</v>
      </c>
      <c r="I9650" s="15" t="s">
        <v>8</v>
      </c>
      <c r="L9650" s="15" t="s">
        <v>8</v>
      </c>
      <c r="M9650" s="15" t="s">
        <v>8</v>
      </c>
      <c r="O9650" s="15" t="s">
        <v>8</v>
      </c>
      <c r="P9650" s="20" t="str">
        <f>HYPERLINK("http://yeinfo.com/family/I09049937.html", "ELIZABETH PALMER 1529 EN-1600 EN ID:09024969")</f>
        <v>ELIZABETH PALMER 1529 EN-1600 EN ID:09024969</v>
      </c>
      <c r="Q9650" s="17"/>
      <c r="R9650" s="17"/>
      <c r="S9650" s="17"/>
      <c r="T9650" s="17"/>
    </row>
    <row r="9651" spans="3:20" x14ac:dyDescent="0.35">
      <c r="C9651" s="15" t="s">
        <v>8</v>
      </c>
      <c r="G9651" s="15" t="s">
        <v>8</v>
      </c>
      <c r="I9651" s="15" t="s">
        <v>8</v>
      </c>
      <c r="L9651" s="15" t="s">
        <v>8</v>
      </c>
      <c r="M9651" s="15" t="s">
        <v>8</v>
      </c>
      <c r="O9651" s="15" t="s">
        <v>8</v>
      </c>
    </row>
    <row r="9652" spans="3:20" x14ac:dyDescent="0.35">
      <c r="C9652" s="15" t="s">
        <v>8</v>
      </c>
      <c r="G9652" s="15" t="s">
        <v>8</v>
      </c>
      <c r="I9652" s="15" t="s">
        <v>8</v>
      </c>
      <c r="L9652" s="15" t="s">
        <v>8</v>
      </c>
      <c r="M9652" s="15" t="s">
        <v>8</v>
      </c>
      <c r="N9652" s="21" t="str">
        <f>HYPERLINK("http://yeinfo.com/family/I09003121.html", "OBEDIENCE ROBINS 1600 EN-1662 VA ID:09006242")</f>
        <v>OBEDIENCE ROBINS 1600 EN-1662 VA ID:09006242</v>
      </c>
      <c r="O9652" s="6"/>
      <c r="P9652" s="6"/>
      <c r="Q9652" s="6"/>
      <c r="R9652" s="6"/>
    </row>
    <row r="9653" spans="3:20" x14ac:dyDescent="0.35">
      <c r="C9653" s="15" t="s">
        <v>8</v>
      </c>
      <c r="G9653" s="15" t="s">
        <v>8</v>
      </c>
      <c r="I9653" s="15" t="s">
        <v>8</v>
      </c>
      <c r="L9653" s="15" t="s">
        <v>8</v>
      </c>
      <c r="M9653" s="15" t="s">
        <v>8</v>
      </c>
      <c r="N9653" s="8" t="s">
        <v>3</v>
      </c>
      <c r="O9653" s="8" t="s">
        <v>6</v>
      </c>
    </row>
    <row r="9654" spans="3:20" x14ac:dyDescent="0.35">
      <c r="C9654" s="15" t="s">
        <v>8</v>
      </c>
      <c r="G9654" s="15" t="s">
        <v>8</v>
      </c>
      <c r="I9654" s="15" t="s">
        <v>8</v>
      </c>
      <c r="L9654" s="15" t="s">
        <v>8</v>
      </c>
      <c r="M9654" s="15" t="s">
        <v>8</v>
      </c>
      <c r="N9654" s="15" t="s">
        <v>8</v>
      </c>
      <c r="O9654" s="20" t="str">
        <f>HYPERLINK("http://yeinfo.com/family/I09024969.html", "DOROTHY GOODMAN 1570 EN-1640 EN ID:09012485")</f>
        <v>DOROTHY GOODMAN 1570 EN-1640 EN ID:09012485</v>
      </c>
      <c r="P9654" s="17"/>
      <c r="Q9654" s="17"/>
      <c r="R9654" s="17"/>
      <c r="S9654" s="17"/>
    </row>
    <row r="9655" spans="3:20" x14ac:dyDescent="0.35">
      <c r="C9655" s="15" t="s">
        <v>8</v>
      </c>
      <c r="G9655" s="15" t="s">
        <v>8</v>
      </c>
      <c r="I9655" s="15" t="s">
        <v>8</v>
      </c>
      <c r="L9655" s="15" t="s">
        <v>8</v>
      </c>
      <c r="M9655" s="8" t="s">
        <v>6</v>
      </c>
      <c r="N9655" s="15" t="s">
        <v>8</v>
      </c>
    </row>
    <row r="9656" spans="3:20" x14ac:dyDescent="0.35">
      <c r="C9656" s="15" t="s">
        <v>8</v>
      </c>
      <c r="G9656" s="15" t="s">
        <v>8</v>
      </c>
      <c r="I9656" s="15" t="s">
        <v>8</v>
      </c>
      <c r="L9656" s="15" t="s">
        <v>8</v>
      </c>
      <c r="M9656" s="16" t="str">
        <f>HYPERLINK("http://yeinfo.com/family/I09006241.html", "MARGARET ROBINS 1625 VA-1665 VA ID:09003121")</f>
        <v>MARGARET ROBINS 1625 VA-1665 VA ID:09003121</v>
      </c>
      <c r="N9656" s="11"/>
      <c r="O9656" s="11"/>
      <c r="P9656" s="11"/>
      <c r="Q9656" s="11"/>
    </row>
    <row r="9657" spans="3:20" x14ac:dyDescent="0.35">
      <c r="C9657" s="15" t="s">
        <v>8</v>
      </c>
      <c r="G9657" s="15" t="s">
        <v>8</v>
      </c>
      <c r="I9657" s="15" t="s">
        <v>8</v>
      </c>
      <c r="L9657" s="15" t="s">
        <v>8</v>
      </c>
      <c r="N9657" s="8" t="s">
        <v>6</v>
      </c>
    </row>
    <row r="9658" spans="3:20" x14ac:dyDescent="0.35">
      <c r="C9658" s="15" t="s">
        <v>8</v>
      </c>
      <c r="G9658" s="15" t="s">
        <v>8</v>
      </c>
      <c r="I9658" s="15" t="s">
        <v>8</v>
      </c>
      <c r="L9658" s="15" t="s">
        <v>8</v>
      </c>
      <c r="N9658" s="22" t="str">
        <f>HYPERLINK("http://yeinfo.com/family/I09012485.html", "Mrs. MARGARET ROBINS 1600 EN-1634 VA ID:09006243")</f>
        <v>Mrs. MARGARET ROBINS 1600 EN-1634 VA ID:09006243</v>
      </c>
      <c r="O9658" s="13"/>
      <c r="P9658" s="13"/>
      <c r="Q9658" s="13"/>
      <c r="R9658" s="13"/>
    </row>
    <row r="9659" spans="3:20" x14ac:dyDescent="0.35">
      <c r="C9659" s="15" t="s">
        <v>8</v>
      </c>
      <c r="G9659" s="15" t="s">
        <v>8</v>
      </c>
      <c r="I9659" s="15" t="s">
        <v>8</v>
      </c>
      <c r="L9659" s="15" t="s">
        <v>8</v>
      </c>
    </row>
    <row r="9660" spans="3:20" x14ac:dyDescent="0.35">
      <c r="C9660" s="15" t="s">
        <v>8</v>
      </c>
      <c r="G9660" s="15" t="s">
        <v>8</v>
      </c>
      <c r="I9660" s="15" t="s">
        <v>8</v>
      </c>
      <c r="K9660" s="5" t="str">
        <f>HYPERLINK("http://yeinfo.com/family/I09000390.html", "THOMAS WEATHERS Jr. 1698 VA-1744 VA ID:09000780")</f>
        <v>THOMAS WEATHERS Jr. 1698 VA-1744 VA ID:09000780</v>
      </c>
      <c r="L9660" s="3"/>
      <c r="M9660" s="3"/>
      <c r="N9660" s="3"/>
      <c r="O9660" s="3"/>
    </row>
    <row r="9661" spans="3:20" x14ac:dyDescent="0.35">
      <c r="C9661" s="15" t="s">
        <v>8</v>
      </c>
      <c r="G9661" s="15" t="s">
        <v>8</v>
      </c>
      <c r="I9661" s="15" t="s">
        <v>8</v>
      </c>
      <c r="K9661" s="8" t="s">
        <v>3</v>
      </c>
      <c r="L9661" s="15" t="s">
        <v>8</v>
      </c>
    </row>
    <row r="9662" spans="3:20" x14ac:dyDescent="0.35">
      <c r="C9662" s="15" t="s">
        <v>8</v>
      </c>
      <c r="G9662" s="15" t="s">
        <v>8</v>
      </c>
      <c r="I9662" s="15" t="s">
        <v>8</v>
      </c>
      <c r="K9662" s="15" t="s">
        <v>8</v>
      </c>
      <c r="L9662" s="15" t="s">
        <v>8</v>
      </c>
      <c r="N9662" s="21" t="str">
        <f>HYPERLINK("http://yeinfo.com/family/I09003122.html", "EDWARD LLOYD 1602 WL-1696 MD ID:09006244")</f>
        <v>EDWARD LLOYD 1602 WL-1696 MD ID:09006244</v>
      </c>
      <c r="O9662" s="6"/>
      <c r="P9662" s="6"/>
      <c r="Q9662" s="6"/>
      <c r="R9662" s="6"/>
    </row>
    <row r="9663" spans="3:20" x14ac:dyDescent="0.35">
      <c r="C9663" s="15" t="s">
        <v>8</v>
      </c>
      <c r="G9663" s="15" t="s">
        <v>8</v>
      </c>
      <c r="I9663" s="15" t="s">
        <v>8</v>
      </c>
      <c r="K9663" s="15" t="s">
        <v>8</v>
      </c>
      <c r="L9663" s="15" t="s">
        <v>8</v>
      </c>
      <c r="N9663" s="8" t="s">
        <v>3</v>
      </c>
    </row>
    <row r="9664" spans="3:20" x14ac:dyDescent="0.35">
      <c r="C9664" s="15" t="s">
        <v>8</v>
      </c>
      <c r="G9664" s="15" t="s">
        <v>8</v>
      </c>
      <c r="I9664" s="15" t="s">
        <v>8</v>
      </c>
      <c r="K9664" s="15" t="s">
        <v>8</v>
      </c>
      <c r="L9664" s="15" t="s">
        <v>8</v>
      </c>
      <c r="M9664" s="5" t="str">
        <f>HYPERLINK("http://yeinfo.com/family/I09001561.html", "PHILEMON LLOYD Sr. 1647 MD-1685 MD ID:09003122")</f>
        <v>PHILEMON LLOYD Sr. 1647 MD-1685 MD ID:09003122</v>
      </c>
      <c r="N9664" s="3"/>
      <c r="O9664" s="3"/>
      <c r="P9664" s="3"/>
      <c r="Q9664" s="3"/>
    </row>
    <row r="9665" spans="3:18" x14ac:dyDescent="0.35">
      <c r="C9665" s="15" t="s">
        <v>8</v>
      </c>
      <c r="G9665" s="15" t="s">
        <v>8</v>
      </c>
      <c r="I9665" s="15" t="s">
        <v>8</v>
      </c>
      <c r="K9665" s="15" t="s">
        <v>8</v>
      </c>
      <c r="L9665" s="15" t="s">
        <v>8</v>
      </c>
      <c r="M9665" s="8" t="s">
        <v>3</v>
      </c>
      <c r="N9665" s="8" t="s">
        <v>6</v>
      </c>
    </row>
    <row r="9666" spans="3:18" x14ac:dyDescent="0.35">
      <c r="C9666" s="15" t="s">
        <v>8</v>
      </c>
      <c r="G9666" s="15" t="s">
        <v>8</v>
      </c>
      <c r="I9666" s="15" t="s">
        <v>8</v>
      </c>
      <c r="K9666" s="15" t="s">
        <v>8</v>
      </c>
      <c r="L9666" s="15" t="s">
        <v>8</v>
      </c>
      <c r="M9666" s="15" t="s">
        <v>8</v>
      </c>
      <c r="N9666" s="22" t="str">
        <f>HYPERLINK("http://yeinfo.com/family/I09006244.html", "ALICE CROUCH 1602 EN-1647 MD ID:09006245")</f>
        <v>ALICE CROUCH 1602 EN-1647 MD ID:09006245</v>
      </c>
      <c r="O9666" s="13"/>
      <c r="P9666" s="13"/>
      <c r="Q9666" s="13"/>
      <c r="R9666" s="13"/>
    </row>
    <row r="9667" spans="3:18" x14ac:dyDescent="0.35">
      <c r="C9667" s="15" t="s">
        <v>8</v>
      </c>
      <c r="G9667" s="15" t="s">
        <v>8</v>
      </c>
      <c r="I9667" s="15" t="s">
        <v>8</v>
      </c>
      <c r="K9667" s="15" t="s">
        <v>8</v>
      </c>
      <c r="L9667" s="8" t="s">
        <v>6</v>
      </c>
      <c r="M9667" s="15" t="s">
        <v>8</v>
      </c>
    </row>
    <row r="9668" spans="3:18" x14ac:dyDescent="0.35">
      <c r="C9668" s="15" t="s">
        <v>8</v>
      </c>
      <c r="G9668" s="15" t="s">
        <v>8</v>
      </c>
      <c r="I9668" s="15" t="s">
        <v>8</v>
      </c>
      <c r="K9668" s="15" t="s">
        <v>8</v>
      </c>
      <c r="L9668" s="16" t="str">
        <f>HYPERLINK("http://yeinfo.com/family/I09006243.html", "MARY\MARGARET LLOYD 1668 MD-1748 MD ID:09001561")</f>
        <v>MARY\MARGARET LLOYD 1668 MD-1748 MD ID:09001561</v>
      </c>
      <c r="M9668" s="11"/>
      <c r="N9668" s="11"/>
      <c r="O9668" s="11"/>
      <c r="P9668" s="11"/>
      <c r="Q9668" s="11"/>
    </row>
    <row r="9669" spans="3:18" x14ac:dyDescent="0.35">
      <c r="C9669" s="15" t="s">
        <v>8</v>
      </c>
      <c r="G9669" s="15" t="s">
        <v>8</v>
      </c>
      <c r="I9669" s="15" t="s">
        <v>8</v>
      </c>
      <c r="K9669" s="15" t="s">
        <v>8</v>
      </c>
      <c r="M9669" s="15" t="s">
        <v>8</v>
      </c>
    </row>
    <row r="9670" spans="3:18" x14ac:dyDescent="0.35">
      <c r="C9670" s="15" t="s">
        <v>8</v>
      </c>
      <c r="G9670" s="15" t="s">
        <v>8</v>
      </c>
      <c r="I9670" s="15" t="s">
        <v>8</v>
      </c>
      <c r="K9670" s="15" t="s">
        <v>8</v>
      </c>
      <c r="M9670" s="15" t="s">
        <v>8</v>
      </c>
      <c r="N9670" s="21" t="str">
        <f>HYPERLINK("http://yeinfo.com/family/I09003123.html", "JAMES NEALE Sr. 1615 EN-1684 MD ID:09006246")</f>
        <v>JAMES NEALE Sr. 1615 EN-1684 MD ID:09006246</v>
      </c>
      <c r="O9670" s="6"/>
      <c r="P9670" s="6"/>
      <c r="Q9670" s="6"/>
      <c r="R9670" s="6"/>
    </row>
    <row r="9671" spans="3:18" x14ac:dyDescent="0.35">
      <c r="C9671" s="15" t="s">
        <v>8</v>
      </c>
      <c r="G9671" s="15" t="s">
        <v>8</v>
      </c>
      <c r="I9671" s="15" t="s">
        <v>8</v>
      </c>
      <c r="K9671" s="15" t="s">
        <v>8</v>
      </c>
      <c r="M9671" s="8" t="s">
        <v>6</v>
      </c>
      <c r="N9671" s="8" t="s">
        <v>3</v>
      </c>
    </row>
    <row r="9672" spans="3:18" x14ac:dyDescent="0.35">
      <c r="C9672" s="15" t="s">
        <v>8</v>
      </c>
      <c r="G9672" s="15" t="s">
        <v>8</v>
      </c>
      <c r="I9672" s="15" t="s">
        <v>8</v>
      </c>
      <c r="K9672" s="15" t="s">
        <v>8</v>
      </c>
      <c r="M9672" s="16" t="str">
        <f>HYPERLINK("http://yeinfo.com/family/I09006245.html", "HENRIETTA MARIA NEALE 1647 VA-1697 MD ID:09003123")</f>
        <v>HENRIETTA MARIA NEALE 1647 VA-1697 MD ID:09003123</v>
      </c>
      <c r="N9672" s="11"/>
      <c r="O9672" s="11"/>
      <c r="P9672" s="11"/>
      <c r="Q9672" s="11"/>
    </row>
    <row r="9673" spans="3:18" x14ac:dyDescent="0.35">
      <c r="C9673" s="15" t="s">
        <v>8</v>
      </c>
      <c r="G9673" s="15" t="s">
        <v>8</v>
      </c>
      <c r="I9673" s="15" t="s">
        <v>8</v>
      </c>
      <c r="K9673" s="15" t="s">
        <v>8</v>
      </c>
      <c r="N9673" s="8" t="s">
        <v>6</v>
      </c>
    </row>
    <row r="9674" spans="3:18" x14ac:dyDescent="0.35">
      <c r="C9674" s="15" t="s">
        <v>8</v>
      </c>
      <c r="G9674" s="15" t="s">
        <v>8</v>
      </c>
      <c r="I9674" s="15" t="s">
        <v>8</v>
      </c>
      <c r="K9674" s="15" t="s">
        <v>8</v>
      </c>
      <c r="N9674" s="22" t="str">
        <f>HYPERLINK("http://yeinfo.com/family/I09006246.html", "ANNA MARIA GILL 1630 EN-1682 MD ID:09006247")</f>
        <v>ANNA MARIA GILL 1630 EN-1682 MD ID:09006247</v>
      </c>
      <c r="O9674" s="13"/>
      <c r="P9674" s="13"/>
      <c r="Q9674" s="13"/>
      <c r="R9674" s="13"/>
    </row>
    <row r="9675" spans="3:18" x14ac:dyDescent="0.35">
      <c r="C9675" s="15" t="s">
        <v>8</v>
      </c>
      <c r="G9675" s="15" t="s">
        <v>8</v>
      </c>
      <c r="I9675" s="15" t="s">
        <v>8</v>
      </c>
      <c r="K9675" s="15" t="s">
        <v>8</v>
      </c>
    </row>
    <row r="9676" spans="3:18" x14ac:dyDescent="0.35">
      <c r="C9676" s="15" t="s">
        <v>8</v>
      </c>
      <c r="G9676" s="15" t="s">
        <v>8</v>
      </c>
      <c r="I9676" s="15" t="s">
        <v>8</v>
      </c>
      <c r="J9676" s="5" t="str">
        <f>HYPERLINK("http://yeinfo.com/family/I09000195.html", "WILLIAM WEATHERS 1726 VA-1764 VA ID:09000390")</f>
        <v>WILLIAM WEATHERS 1726 VA-1764 VA ID:09000390</v>
      </c>
      <c r="K9676" s="3"/>
      <c r="L9676" s="3"/>
      <c r="M9676" s="3"/>
      <c r="N9676" s="3"/>
    </row>
    <row r="9677" spans="3:18" x14ac:dyDescent="0.35">
      <c r="C9677" s="15" t="s">
        <v>8</v>
      </c>
      <c r="G9677" s="15" t="s">
        <v>8</v>
      </c>
      <c r="I9677" s="15" t="s">
        <v>8</v>
      </c>
      <c r="J9677" s="8" t="s">
        <v>3</v>
      </c>
      <c r="K9677" s="15" t="s">
        <v>8</v>
      </c>
    </row>
    <row r="9678" spans="3:18" x14ac:dyDescent="0.35">
      <c r="C9678" s="15" t="s">
        <v>8</v>
      </c>
      <c r="G9678" s="15" t="s">
        <v>8</v>
      </c>
      <c r="I9678" s="15" t="s">
        <v>8</v>
      </c>
      <c r="J9678" s="15" t="s">
        <v>8</v>
      </c>
      <c r="K9678" s="15" t="s">
        <v>8</v>
      </c>
      <c r="M9678" s="21" t="str">
        <f>HYPERLINK("http://yeinfo.com/family/I09001562.html", "SAMUEL JUDKINS Sr. 1637 EN-1672 VA ID:09003124")</f>
        <v>SAMUEL JUDKINS Sr. 1637 EN-1672 VA ID:09003124</v>
      </c>
      <c r="N9678" s="6"/>
      <c r="O9678" s="6"/>
      <c r="P9678" s="6"/>
      <c r="Q9678" s="6"/>
    </row>
    <row r="9679" spans="3:18" x14ac:dyDescent="0.35">
      <c r="C9679" s="15" t="s">
        <v>8</v>
      </c>
      <c r="G9679" s="15" t="s">
        <v>8</v>
      </c>
      <c r="I9679" s="15" t="s">
        <v>8</v>
      </c>
      <c r="J9679" s="15" t="s">
        <v>8</v>
      </c>
      <c r="K9679" s="15" t="s">
        <v>8</v>
      </c>
      <c r="M9679" s="8" t="s">
        <v>3</v>
      </c>
    </row>
    <row r="9680" spans="3:18" x14ac:dyDescent="0.35">
      <c r="C9680" s="15" t="s">
        <v>8</v>
      </c>
      <c r="G9680" s="15" t="s">
        <v>8</v>
      </c>
      <c r="I9680" s="15" t="s">
        <v>8</v>
      </c>
      <c r="J9680" s="15" t="s">
        <v>8</v>
      </c>
      <c r="K9680" s="15" t="s">
        <v>8</v>
      </c>
      <c r="L9680" s="5" t="str">
        <f>HYPERLINK("http://yeinfo.com/family/I09000781.html", "SAMUEL JUDKINS Jr. 1658 VA-1705 VA ID:09001562")</f>
        <v>SAMUEL JUDKINS Jr. 1658 VA-1705 VA ID:09001562</v>
      </c>
      <c r="M9680" s="3"/>
      <c r="N9680" s="3"/>
      <c r="O9680" s="3"/>
      <c r="P9680" s="3"/>
    </row>
    <row r="9681" spans="3:18" x14ac:dyDescent="0.35">
      <c r="C9681" s="15" t="s">
        <v>8</v>
      </c>
      <c r="G9681" s="15" t="s">
        <v>8</v>
      </c>
      <c r="I9681" s="15" t="s">
        <v>8</v>
      </c>
      <c r="J9681" s="15" t="s">
        <v>8</v>
      </c>
      <c r="K9681" s="15" t="s">
        <v>8</v>
      </c>
      <c r="L9681" s="8" t="s">
        <v>3</v>
      </c>
      <c r="M9681" s="15" t="s">
        <v>8</v>
      </c>
    </row>
    <row r="9682" spans="3:18" x14ac:dyDescent="0.35">
      <c r="C9682" s="15" t="s">
        <v>8</v>
      </c>
      <c r="G9682" s="15" t="s">
        <v>8</v>
      </c>
      <c r="I9682" s="15" t="s">
        <v>8</v>
      </c>
      <c r="J9682" s="15" t="s">
        <v>8</v>
      </c>
      <c r="K9682" s="15" t="s">
        <v>8</v>
      </c>
      <c r="L9682" s="15" t="s">
        <v>8</v>
      </c>
      <c r="M9682" s="15" t="s">
        <v>8</v>
      </c>
      <c r="N9682" s="21" t="str">
        <f>HYPERLINK("http://yeinfo.com/family/I09003125.html", "THOMAS GRAY Sr. 1593 EN-1635 VA ID:09006250")</f>
        <v>THOMAS GRAY Sr. 1593 EN-1635 VA ID:09006250</v>
      </c>
      <c r="O9682" s="6"/>
      <c r="P9682" s="6"/>
      <c r="Q9682" s="6"/>
      <c r="R9682" s="6"/>
    </row>
    <row r="9683" spans="3:18" x14ac:dyDescent="0.35">
      <c r="C9683" s="15" t="s">
        <v>8</v>
      </c>
      <c r="G9683" s="15" t="s">
        <v>8</v>
      </c>
      <c r="I9683" s="15" t="s">
        <v>8</v>
      </c>
      <c r="J9683" s="15" t="s">
        <v>8</v>
      </c>
      <c r="K9683" s="15" t="s">
        <v>8</v>
      </c>
      <c r="L9683" s="15" t="s">
        <v>8</v>
      </c>
      <c r="M9683" s="8" t="s">
        <v>6</v>
      </c>
      <c r="N9683" s="8" t="s">
        <v>3</v>
      </c>
    </row>
    <row r="9684" spans="3:18" x14ac:dyDescent="0.35">
      <c r="C9684" s="15" t="s">
        <v>8</v>
      </c>
      <c r="G9684" s="15" t="s">
        <v>8</v>
      </c>
      <c r="I9684" s="15" t="s">
        <v>8</v>
      </c>
      <c r="J9684" s="15" t="s">
        <v>8</v>
      </c>
      <c r="K9684" s="15" t="s">
        <v>8</v>
      </c>
      <c r="L9684" s="15" t="s">
        <v>8</v>
      </c>
      <c r="M9684" s="16" t="str">
        <f>HYPERLINK("http://yeinfo.com/family/I09003124.html", "LYDIA GRAY 1635 VA-1678 VA ID:09003125")</f>
        <v>LYDIA GRAY 1635 VA-1678 VA ID:09003125</v>
      </c>
      <c r="N9684" s="11"/>
      <c r="O9684" s="11"/>
      <c r="P9684" s="11"/>
      <c r="Q9684" s="11"/>
    </row>
    <row r="9685" spans="3:18" x14ac:dyDescent="0.35">
      <c r="C9685" s="15" t="s">
        <v>8</v>
      </c>
      <c r="G9685" s="15" t="s">
        <v>8</v>
      </c>
      <c r="I9685" s="15" t="s">
        <v>8</v>
      </c>
      <c r="J9685" s="15" t="s">
        <v>8</v>
      </c>
      <c r="K9685" s="15" t="s">
        <v>8</v>
      </c>
      <c r="L9685" s="15" t="s">
        <v>8</v>
      </c>
      <c r="N9685" s="8" t="s">
        <v>6</v>
      </c>
    </row>
    <row r="9686" spans="3:18" x14ac:dyDescent="0.35">
      <c r="C9686" s="15" t="s">
        <v>8</v>
      </c>
      <c r="G9686" s="15" t="s">
        <v>8</v>
      </c>
      <c r="I9686" s="15" t="s">
        <v>8</v>
      </c>
      <c r="J9686" s="15" t="s">
        <v>8</v>
      </c>
      <c r="K9686" s="15" t="s">
        <v>8</v>
      </c>
      <c r="L9686" s="15" t="s">
        <v>8</v>
      </c>
      <c r="N9686" s="16" t="str">
        <f>HYPERLINK("http://yeinfo.com/family/I09006250.html", "Mrs. REBECCA GRAY 1615 -1635  ID:09006251")</f>
        <v>Mrs. REBECCA GRAY 1615 -1635  ID:09006251</v>
      </c>
      <c r="O9686" s="11"/>
      <c r="P9686" s="11"/>
      <c r="Q9686" s="11"/>
      <c r="R9686" s="11"/>
    </row>
    <row r="9687" spans="3:18" x14ac:dyDescent="0.35">
      <c r="C9687" s="15" t="s">
        <v>8</v>
      </c>
      <c r="G9687" s="15" t="s">
        <v>8</v>
      </c>
      <c r="I9687" s="15" t="s">
        <v>8</v>
      </c>
      <c r="J9687" s="15" t="s">
        <v>8</v>
      </c>
      <c r="K9687" s="8" t="s">
        <v>6</v>
      </c>
      <c r="L9687" s="15" t="s">
        <v>8</v>
      </c>
    </row>
    <row r="9688" spans="3:18" x14ac:dyDescent="0.35">
      <c r="C9688" s="15" t="s">
        <v>8</v>
      </c>
      <c r="G9688" s="15" t="s">
        <v>8</v>
      </c>
      <c r="I9688" s="15" t="s">
        <v>8</v>
      </c>
      <c r="J9688" s="15" t="s">
        <v>8</v>
      </c>
      <c r="K9688" s="16" t="str">
        <f>HYPERLINK("http://yeinfo.com/family/I09006247.html", "LYDIA PETTWAY JUDKINS 1698 VA-1776 VA ID:09000781")</f>
        <v>LYDIA PETTWAY JUDKINS 1698 VA-1776 VA ID:09000781</v>
      </c>
      <c r="L9688" s="11"/>
      <c r="M9688" s="11"/>
      <c r="N9688" s="11"/>
      <c r="O9688" s="11"/>
    </row>
    <row r="9689" spans="3:18" x14ac:dyDescent="0.35">
      <c r="C9689" s="15" t="s">
        <v>8</v>
      </c>
      <c r="G9689" s="15" t="s">
        <v>8</v>
      </c>
      <c r="I9689" s="15" t="s">
        <v>8</v>
      </c>
      <c r="J9689" s="15" t="s">
        <v>8</v>
      </c>
      <c r="L9689" s="15" t="s">
        <v>8</v>
      </c>
    </row>
    <row r="9690" spans="3:18" x14ac:dyDescent="0.35">
      <c r="C9690" s="15" t="s">
        <v>8</v>
      </c>
      <c r="G9690" s="15" t="s">
        <v>8</v>
      </c>
      <c r="I9690" s="15" t="s">
        <v>8</v>
      </c>
      <c r="J9690" s="15" t="s">
        <v>8</v>
      </c>
      <c r="L9690" s="15" t="s">
        <v>8</v>
      </c>
      <c r="N9690" s="21" t="str">
        <f>HYPERLINK("http://yeinfo.com/family/I09003126.html", "ROBERT PETTWAY 1604 EN-1638 VA ID:09006252")</f>
        <v>ROBERT PETTWAY 1604 EN-1638 VA ID:09006252</v>
      </c>
      <c r="O9690" s="6"/>
      <c r="P9690" s="6"/>
      <c r="Q9690" s="6"/>
      <c r="R9690" s="6"/>
    </row>
    <row r="9691" spans="3:18" x14ac:dyDescent="0.35">
      <c r="C9691" s="15" t="s">
        <v>8</v>
      </c>
      <c r="G9691" s="15" t="s">
        <v>8</v>
      </c>
      <c r="I9691" s="15" t="s">
        <v>8</v>
      </c>
      <c r="J9691" s="15" t="s">
        <v>8</v>
      </c>
      <c r="L9691" s="15" t="s">
        <v>8</v>
      </c>
      <c r="N9691" s="8" t="s">
        <v>3</v>
      </c>
    </row>
    <row r="9692" spans="3:18" x14ac:dyDescent="0.35">
      <c r="C9692" s="15" t="s">
        <v>8</v>
      </c>
      <c r="G9692" s="15" t="s">
        <v>8</v>
      </c>
      <c r="I9692" s="15" t="s">
        <v>8</v>
      </c>
      <c r="J9692" s="15" t="s">
        <v>8</v>
      </c>
      <c r="L9692" s="15" t="s">
        <v>8</v>
      </c>
      <c r="M9692" s="5" t="str">
        <f>HYPERLINK("http://yeinfo.com/family/I09001563.html", "EDWARD PETTWAY 1630 VA-1691 VA ID:09003126")</f>
        <v>EDWARD PETTWAY 1630 VA-1691 VA ID:09003126</v>
      </c>
      <c r="N9692" s="3"/>
      <c r="O9692" s="3"/>
      <c r="P9692" s="3"/>
      <c r="Q9692" s="3"/>
    </row>
    <row r="9693" spans="3:18" x14ac:dyDescent="0.35">
      <c r="C9693" s="15" t="s">
        <v>8</v>
      </c>
      <c r="G9693" s="15" t="s">
        <v>8</v>
      </c>
      <c r="I9693" s="15" t="s">
        <v>8</v>
      </c>
      <c r="J9693" s="15" t="s">
        <v>8</v>
      </c>
      <c r="L9693" s="15" t="s">
        <v>8</v>
      </c>
      <c r="M9693" s="8" t="s">
        <v>3</v>
      </c>
      <c r="N9693" s="8" t="s">
        <v>6</v>
      </c>
    </row>
    <row r="9694" spans="3:18" x14ac:dyDescent="0.35">
      <c r="C9694" s="15" t="s">
        <v>8</v>
      </c>
      <c r="G9694" s="15" t="s">
        <v>8</v>
      </c>
      <c r="I9694" s="15" t="s">
        <v>8</v>
      </c>
      <c r="J9694" s="15" t="s">
        <v>8</v>
      </c>
      <c r="L9694" s="15" t="s">
        <v>8</v>
      </c>
      <c r="M9694" s="15" t="s">
        <v>8</v>
      </c>
      <c r="N9694" s="16" t="str">
        <f>HYPERLINK("http://yeinfo.com/family/I09006252.html", "Mrs. MARY PETTWAY 1610 EN-1638  ID:09006253")</f>
        <v>Mrs. MARY PETTWAY 1610 EN-1638  ID:09006253</v>
      </c>
      <c r="O9694" s="11"/>
      <c r="P9694" s="11"/>
      <c r="Q9694" s="11"/>
      <c r="R9694" s="11"/>
    </row>
    <row r="9695" spans="3:18" x14ac:dyDescent="0.35">
      <c r="C9695" s="15" t="s">
        <v>8</v>
      </c>
      <c r="G9695" s="15" t="s">
        <v>8</v>
      </c>
      <c r="I9695" s="15" t="s">
        <v>8</v>
      </c>
      <c r="J9695" s="15" t="s">
        <v>8</v>
      </c>
      <c r="L9695" s="8" t="s">
        <v>6</v>
      </c>
      <c r="M9695" s="15" t="s">
        <v>8</v>
      </c>
    </row>
    <row r="9696" spans="3:18" x14ac:dyDescent="0.35">
      <c r="C9696" s="15" t="s">
        <v>8</v>
      </c>
      <c r="G9696" s="15" t="s">
        <v>8</v>
      </c>
      <c r="I9696" s="15" t="s">
        <v>8</v>
      </c>
      <c r="J9696" s="15" t="s">
        <v>8</v>
      </c>
      <c r="L9696" s="16" t="str">
        <f>HYPERLINK("http://yeinfo.com/family/I09006251.html", "ELIZABETH PETTWAY 1658 VA-1698 VA ID:09001563")</f>
        <v>ELIZABETH PETTWAY 1658 VA-1698 VA ID:09001563</v>
      </c>
      <c r="M9696" s="11"/>
      <c r="N9696" s="11"/>
      <c r="O9696" s="11"/>
      <c r="P9696" s="11"/>
    </row>
    <row r="9697" spans="3:17" x14ac:dyDescent="0.35">
      <c r="C9697" s="15" t="s">
        <v>8</v>
      </c>
      <c r="G9697" s="15" t="s">
        <v>8</v>
      </c>
      <c r="I9697" s="15" t="s">
        <v>8</v>
      </c>
      <c r="J9697" s="15" t="s">
        <v>8</v>
      </c>
      <c r="M9697" s="8" t="s">
        <v>6</v>
      </c>
    </row>
    <row r="9698" spans="3:17" x14ac:dyDescent="0.35">
      <c r="C9698" s="15" t="s">
        <v>8</v>
      </c>
      <c r="G9698" s="15" t="s">
        <v>8</v>
      </c>
      <c r="I9698" s="15" t="s">
        <v>8</v>
      </c>
      <c r="J9698" s="15" t="s">
        <v>8</v>
      </c>
      <c r="M9698" s="16" t="str">
        <f>HYPERLINK("http://yeinfo.com/family/I09006253.html", "Mrs. ELIZABETH PETTWAY 1634 VA-1664 VA ID:09003127")</f>
        <v>Mrs. ELIZABETH PETTWAY 1634 VA-1664 VA ID:09003127</v>
      </c>
      <c r="N9698" s="11"/>
      <c r="O9698" s="11"/>
      <c r="P9698" s="11"/>
      <c r="Q9698" s="11"/>
    </row>
    <row r="9699" spans="3:17" x14ac:dyDescent="0.35">
      <c r="C9699" s="15" t="s">
        <v>8</v>
      </c>
      <c r="G9699" s="15" t="s">
        <v>8</v>
      </c>
      <c r="I9699" s="8" t="s">
        <v>6</v>
      </c>
      <c r="J9699" s="15" t="s">
        <v>8</v>
      </c>
    </row>
    <row r="9700" spans="3:17" x14ac:dyDescent="0.35">
      <c r="C9700" s="15" t="s">
        <v>8</v>
      </c>
      <c r="G9700" s="15" t="s">
        <v>8</v>
      </c>
      <c r="I9700" s="16" t="str">
        <f>HYPERLINK("http://yeinfo.com/family/I09000389.html", "SARAH WEATHERS 1747 -1815 NC ID:09000195")</f>
        <v>SARAH WEATHERS 1747 -1815 NC ID:09000195</v>
      </c>
      <c r="J9700" s="11"/>
      <c r="K9700" s="11"/>
      <c r="L9700" s="11"/>
      <c r="M9700" s="11"/>
    </row>
    <row r="9701" spans="3:17" x14ac:dyDescent="0.35">
      <c r="C9701" s="15" t="s">
        <v>8</v>
      </c>
      <c r="G9701" s="15" t="s">
        <v>8</v>
      </c>
      <c r="J9701" s="15" t="s">
        <v>8</v>
      </c>
    </row>
    <row r="9702" spans="3:17" x14ac:dyDescent="0.35">
      <c r="C9702" s="15" t="s">
        <v>8</v>
      </c>
      <c r="G9702" s="15" t="s">
        <v>8</v>
      </c>
      <c r="J9702" s="15" t="s">
        <v>8</v>
      </c>
      <c r="L9702" s="5" t="str">
        <f>HYPERLINK("http://yeinfo.com/family/I09000782.html", "EDWARD RIVES 1670 -1729  ID:09001564")</f>
        <v>EDWARD RIVES 1670 -1729  ID:09001564</v>
      </c>
      <c r="M9702" s="3"/>
      <c r="N9702" s="3"/>
      <c r="O9702" s="3"/>
      <c r="P9702" s="3"/>
    </row>
    <row r="9703" spans="3:17" x14ac:dyDescent="0.35">
      <c r="C9703" s="15" t="s">
        <v>8</v>
      </c>
      <c r="G9703" s="15" t="s">
        <v>8</v>
      </c>
      <c r="J9703" s="15" t="s">
        <v>8</v>
      </c>
      <c r="L9703" s="8" t="s">
        <v>3</v>
      </c>
    </row>
    <row r="9704" spans="3:17" x14ac:dyDescent="0.35">
      <c r="C9704" s="15" t="s">
        <v>8</v>
      </c>
      <c r="G9704" s="15" t="s">
        <v>8</v>
      </c>
      <c r="J9704" s="15" t="s">
        <v>8</v>
      </c>
      <c r="K9704" s="5" t="str">
        <f>HYPERLINK("http://yeinfo.com/family/I09000391.html", "RICHARD RIVES 1690 VA-1762 NC ID:09000782")</f>
        <v>RICHARD RIVES 1690 VA-1762 NC ID:09000782</v>
      </c>
      <c r="L9704" s="3"/>
      <c r="M9704" s="3"/>
      <c r="N9704" s="3"/>
      <c r="O9704" s="3"/>
    </row>
    <row r="9705" spans="3:17" x14ac:dyDescent="0.35">
      <c r="C9705" s="15" t="s">
        <v>8</v>
      </c>
      <c r="G9705" s="15" t="s">
        <v>8</v>
      </c>
      <c r="J9705" s="15" t="s">
        <v>8</v>
      </c>
      <c r="K9705" s="8" t="s">
        <v>3</v>
      </c>
      <c r="L9705" s="8" t="s">
        <v>6</v>
      </c>
    </row>
    <row r="9706" spans="3:17" x14ac:dyDescent="0.35">
      <c r="C9706" s="15" t="s">
        <v>8</v>
      </c>
      <c r="G9706" s="15" t="s">
        <v>8</v>
      </c>
      <c r="J9706" s="15" t="s">
        <v>8</v>
      </c>
      <c r="K9706" s="15" t="s">
        <v>8</v>
      </c>
      <c r="L9706" s="16" t="str">
        <f>HYPERLINK("http://yeinfo.com/family/I09001564.html", "Mrs. {_?_} RIVES 1670 -1690  ID:09001565")</f>
        <v>Mrs. {_?_} RIVES 1670 -1690  ID:09001565</v>
      </c>
      <c r="M9706" s="11"/>
      <c r="N9706" s="11"/>
      <c r="O9706" s="11"/>
      <c r="P9706" s="11"/>
    </row>
    <row r="9707" spans="3:17" x14ac:dyDescent="0.35">
      <c r="C9707" s="15" t="s">
        <v>8</v>
      </c>
      <c r="G9707" s="15" t="s">
        <v>8</v>
      </c>
      <c r="J9707" s="8" t="s">
        <v>6</v>
      </c>
      <c r="K9707" s="15" t="s">
        <v>8</v>
      </c>
    </row>
    <row r="9708" spans="3:17" x14ac:dyDescent="0.35">
      <c r="C9708" s="15" t="s">
        <v>8</v>
      </c>
      <c r="G9708" s="15" t="s">
        <v>8</v>
      </c>
      <c r="J9708" s="16" t="str">
        <f>HYPERLINK("http://yeinfo.com/family/I09003127.html", "MARY RIVES 1728 VA-1767 VA ID:09000391")</f>
        <v>MARY RIVES 1728 VA-1767 VA ID:09000391</v>
      </c>
      <c r="K9708" s="11"/>
      <c r="L9708" s="11"/>
      <c r="M9708" s="11"/>
      <c r="N9708" s="11"/>
    </row>
    <row r="9709" spans="3:17" x14ac:dyDescent="0.35">
      <c r="C9709" s="15" t="s">
        <v>8</v>
      </c>
      <c r="G9709" s="15" t="s">
        <v>8</v>
      </c>
      <c r="K9709" s="8" t="s">
        <v>6</v>
      </c>
    </row>
    <row r="9710" spans="3:17" x14ac:dyDescent="0.35">
      <c r="C9710" s="15" t="s">
        <v>8</v>
      </c>
      <c r="G9710" s="15" t="s">
        <v>8</v>
      </c>
      <c r="K9710" s="16" t="str">
        <f>HYPERLINK("http://yeinfo.com/family/I09001565.html", "Mrs. DOROTHY RIVES 1690 VA-1748 VA ID:09000783")</f>
        <v>Mrs. DOROTHY RIVES 1690 VA-1748 VA ID:09000783</v>
      </c>
      <c r="L9710" s="11"/>
      <c r="M9710" s="11"/>
      <c r="N9710" s="11"/>
      <c r="O9710" s="11"/>
    </row>
    <row r="9711" spans="3:17" x14ac:dyDescent="0.35">
      <c r="C9711" s="15" t="s">
        <v>8</v>
      </c>
      <c r="G9711" s="15" t="s">
        <v>8</v>
      </c>
    </row>
    <row r="9712" spans="3:17" x14ac:dyDescent="0.35">
      <c r="C9712" s="15" t="s">
        <v>8</v>
      </c>
      <c r="F9712" s="5" t="str">
        <f>HYPERLINK("http://yeinfo.com/family/I09000012.html", "WILLIAM HAROLD DEATON 1844 AR-1916 TN ID:09000024")</f>
        <v>WILLIAM HAROLD DEATON 1844 AR-1916 TN ID:09000024</v>
      </c>
      <c r="G9712" s="3"/>
      <c r="H9712" s="3"/>
      <c r="I9712" s="3"/>
      <c r="J9712" s="3"/>
    </row>
    <row r="9713" spans="3:18" x14ac:dyDescent="0.35">
      <c r="C9713" s="15" t="s">
        <v>8</v>
      </c>
      <c r="F9713" s="8" t="s">
        <v>3</v>
      </c>
      <c r="G9713" s="15" t="s">
        <v>8</v>
      </c>
    </row>
    <row r="9714" spans="3:18" x14ac:dyDescent="0.35">
      <c r="C9714" s="15" t="s">
        <v>8</v>
      </c>
      <c r="F9714" s="15" t="s">
        <v>8</v>
      </c>
      <c r="G9714" s="15" t="s">
        <v>8</v>
      </c>
      <c r="I9714" s="5" t="str">
        <f>HYPERLINK("http://yeinfo.com/family/I09000098.html", "WILLIAM WALKER 1741 VA-1801 KY ID:09000196")</f>
        <v>WILLIAM WALKER 1741 VA-1801 KY ID:09000196</v>
      </c>
      <c r="J9714" s="3"/>
      <c r="K9714" s="3"/>
      <c r="L9714" s="3"/>
      <c r="M9714" s="3"/>
    </row>
    <row r="9715" spans="3:18" x14ac:dyDescent="0.35">
      <c r="C9715" s="15" t="s">
        <v>8</v>
      </c>
      <c r="F9715" s="15" t="s">
        <v>8</v>
      </c>
      <c r="G9715" s="15" t="s">
        <v>8</v>
      </c>
      <c r="I9715" s="8" t="s">
        <v>3</v>
      </c>
    </row>
    <row r="9716" spans="3:18" x14ac:dyDescent="0.35">
      <c r="C9716" s="15" t="s">
        <v>8</v>
      </c>
      <c r="F9716" s="15" t="s">
        <v>8</v>
      </c>
      <c r="G9716" s="15" t="s">
        <v>8</v>
      </c>
      <c r="H9716" s="5" t="str">
        <f>HYPERLINK("http://yeinfo.com/family/I09000049.html", "JAMES WALKER Sr. 1771 VA-1860 TN ID:09000098")</f>
        <v>JAMES WALKER Sr. 1771 VA-1860 TN ID:09000098</v>
      </c>
      <c r="I9716" s="3"/>
      <c r="J9716" s="3"/>
      <c r="K9716" s="3"/>
      <c r="L9716" s="3"/>
    </row>
    <row r="9717" spans="3:18" x14ac:dyDescent="0.35">
      <c r="C9717" s="15" t="s">
        <v>8</v>
      </c>
      <c r="F9717" s="15" t="s">
        <v>8</v>
      </c>
      <c r="G9717" s="15" t="s">
        <v>8</v>
      </c>
      <c r="H9717" s="8" t="s">
        <v>3</v>
      </c>
      <c r="I9717" s="15" t="s">
        <v>8</v>
      </c>
    </row>
    <row r="9718" spans="3:18" x14ac:dyDescent="0.35">
      <c r="C9718" s="15" t="s">
        <v>8</v>
      </c>
      <c r="F9718" s="15" t="s">
        <v>8</v>
      </c>
      <c r="G9718" s="15" t="s">
        <v>8</v>
      </c>
      <c r="H9718" s="15" t="s">
        <v>8</v>
      </c>
      <c r="I9718" s="15" t="s">
        <v>8</v>
      </c>
      <c r="N9718" s="19" t="str">
        <f>HYPERLINK("http://yeinfo.com/family/I09003152.html", "NATHANIEL BASS 1589 EN-1654 EN ID:09006304")</f>
        <v>NATHANIEL BASS 1589 EN-1654 EN ID:09006304</v>
      </c>
      <c r="O9718" s="9"/>
      <c r="P9718" s="9"/>
      <c r="Q9718" s="9"/>
      <c r="R9718" s="9"/>
    </row>
    <row r="9719" spans="3:18" x14ac:dyDescent="0.35">
      <c r="C9719" s="15" t="s">
        <v>8</v>
      </c>
      <c r="F9719" s="15" t="s">
        <v>8</v>
      </c>
      <c r="G9719" s="15" t="s">
        <v>8</v>
      </c>
      <c r="H9719" s="15" t="s">
        <v>8</v>
      </c>
      <c r="I9719" s="15" t="s">
        <v>8</v>
      </c>
      <c r="N9719" s="8" t="s">
        <v>3</v>
      </c>
    </row>
    <row r="9720" spans="3:18" x14ac:dyDescent="0.35">
      <c r="C9720" s="15" t="s">
        <v>8</v>
      </c>
      <c r="F9720" s="15" t="s">
        <v>8</v>
      </c>
      <c r="G9720" s="15" t="s">
        <v>8</v>
      </c>
      <c r="H9720" s="15" t="s">
        <v>8</v>
      </c>
      <c r="I9720" s="15" t="s">
        <v>8</v>
      </c>
      <c r="M9720" s="21" t="str">
        <f>HYPERLINK("http://yeinfo.com/family/I09001576.html", "WILLIAM BASS 1618 EN-1695 VA ID:09003152")</f>
        <v>WILLIAM BASS 1618 EN-1695 VA ID:09003152</v>
      </c>
      <c r="N9720" s="6"/>
      <c r="O9720" s="6"/>
      <c r="P9720" s="6"/>
      <c r="Q9720" s="6"/>
    </row>
    <row r="9721" spans="3:18" x14ac:dyDescent="0.35">
      <c r="C9721" s="15" t="s">
        <v>8</v>
      </c>
      <c r="F9721" s="15" t="s">
        <v>8</v>
      </c>
      <c r="G9721" s="15" t="s">
        <v>8</v>
      </c>
      <c r="H9721" s="15" t="s">
        <v>8</v>
      </c>
      <c r="I9721" s="15" t="s">
        <v>8</v>
      </c>
      <c r="M9721" s="8" t="s">
        <v>3</v>
      </c>
      <c r="N9721" s="8" t="s">
        <v>6</v>
      </c>
    </row>
    <row r="9722" spans="3:18" x14ac:dyDescent="0.35">
      <c r="C9722" s="15" t="s">
        <v>8</v>
      </c>
      <c r="F9722" s="15" t="s">
        <v>8</v>
      </c>
      <c r="G9722" s="15" t="s">
        <v>8</v>
      </c>
      <c r="H9722" s="15" t="s">
        <v>8</v>
      </c>
      <c r="I9722" s="15" t="s">
        <v>8</v>
      </c>
      <c r="M9722" s="15" t="s">
        <v>8</v>
      </c>
      <c r="N9722" s="22" t="str">
        <f>HYPERLINK("http://yeinfo.com/family/I09006304.html", "MARY JOURDON 1590 EN-1630 VA ID:09006305")</f>
        <v>MARY JOURDON 1590 EN-1630 VA ID:09006305</v>
      </c>
      <c r="O9722" s="13"/>
      <c r="P9722" s="13"/>
      <c r="Q9722" s="13"/>
      <c r="R9722" s="13"/>
    </row>
    <row r="9723" spans="3:18" x14ac:dyDescent="0.35">
      <c r="C9723" s="15" t="s">
        <v>8</v>
      </c>
      <c r="F9723" s="15" t="s">
        <v>8</v>
      </c>
      <c r="G9723" s="15" t="s">
        <v>8</v>
      </c>
      <c r="H9723" s="15" t="s">
        <v>8</v>
      </c>
      <c r="I9723" s="15" t="s">
        <v>8</v>
      </c>
      <c r="M9723" s="15" t="s">
        <v>8</v>
      </c>
    </row>
    <row r="9724" spans="3:18" x14ac:dyDescent="0.35">
      <c r="C9724" s="15" t="s">
        <v>8</v>
      </c>
      <c r="F9724" s="15" t="s">
        <v>8</v>
      </c>
      <c r="G9724" s="15" t="s">
        <v>8</v>
      </c>
      <c r="H9724" s="15" t="s">
        <v>8</v>
      </c>
      <c r="I9724" s="15" t="s">
        <v>8</v>
      </c>
      <c r="L9724" s="5" t="str">
        <f>HYPERLINK("http://yeinfo.com/family/I09000788.html", "WILLIAM BASS 1648 VA-1705 VA ID:09001576")</f>
        <v>WILLIAM BASS 1648 VA-1705 VA ID:09001576</v>
      </c>
      <c r="M9724" s="3"/>
      <c r="N9724" s="3"/>
      <c r="O9724" s="3"/>
      <c r="P9724" s="3"/>
    </row>
    <row r="9725" spans="3:18" x14ac:dyDescent="0.35">
      <c r="C9725" s="15" t="s">
        <v>8</v>
      </c>
      <c r="F9725" s="15" t="s">
        <v>8</v>
      </c>
      <c r="G9725" s="15" t="s">
        <v>8</v>
      </c>
      <c r="H9725" s="15" t="s">
        <v>8</v>
      </c>
      <c r="I9725" s="15" t="s">
        <v>8</v>
      </c>
      <c r="L9725" s="8" t="s">
        <v>3</v>
      </c>
      <c r="M9725" s="8" t="s">
        <v>6</v>
      </c>
    </row>
    <row r="9726" spans="3:18" x14ac:dyDescent="0.35">
      <c r="C9726" s="15" t="s">
        <v>8</v>
      </c>
      <c r="F9726" s="15" t="s">
        <v>8</v>
      </c>
      <c r="G9726" s="15" t="s">
        <v>8</v>
      </c>
      <c r="H9726" s="15" t="s">
        <v>8</v>
      </c>
      <c r="I9726" s="15" t="s">
        <v>8</v>
      </c>
      <c r="L9726" s="15" t="s">
        <v>8</v>
      </c>
      <c r="M9726" s="16" t="str">
        <f>HYPERLINK("http://yeinfo.com/family/I09006305.html", "SARAH BATTON 1620 VA-1695 VA ID:09003153")</f>
        <v>SARAH BATTON 1620 VA-1695 VA ID:09003153</v>
      </c>
      <c r="N9726" s="11"/>
      <c r="O9726" s="11"/>
      <c r="P9726" s="11"/>
      <c r="Q9726" s="11"/>
    </row>
    <row r="9727" spans="3:18" x14ac:dyDescent="0.35">
      <c r="C9727" s="15" t="s">
        <v>8</v>
      </c>
      <c r="F9727" s="15" t="s">
        <v>8</v>
      </c>
      <c r="G9727" s="15" t="s">
        <v>8</v>
      </c>
      <c r="H9727" s="15" t="s">
        <v>8</v>
      </c>
      <c r="I9727" s="15" t="s">
        <v>8</v>
      </c>
      <c r="L9727" s="15" t="s">
        <v>8</v>
      </c>
    </row>
    <row r="9728" spans="3:18" x14ac:dyDescent="0.35">
      <c r="C9728" s="15" t="s">
        <v>8</v>
      </c>
      <c r="F9728" s="15" t="s">
        <v>8</v>
      </c>
      <c r="G9728" s="15" t="s">
        <v>8</v>
      </c>
      <c r="H9728" s="15" t="s">
        <v>8</v>
      </c>
      <c r="I9728" s="15" t="s">
        <v>8</v>
      </c>
      <c r="K9728" s="5" t="str">
        <f>HYPERLINK("http://yeinfo.com/family/I09000394.html", "THOMAS BASS 1705 VA-1745 VA ID:09000788")</f>
        <v>THOMAS BASS 1705 VA-1745 VA ID:09000788</v>
      </c>
      <c r="L9728" s="3"/>
      <c r="M9728" s="3"/>
      <c r="N9728" s="3"/>
      <c r="O9728" s="3"/>
    </row>
    <row r="9729" spans="3:16" x14ac:dyDescent="0.35">
      <c r="C9729" s="15" t="s">
        <v>8</v>
      </c>
      <c r="F9729" s="15" t="s">
        <v>8</v>
      </c>
      <c r="G9729" s="15" t="s">
        <v>8</v>
      </c>
      <c r="H9729" s="15" t="s">
        <v>8</v>
      </c>
      <c r="I9729" s="15" t="s">
        <v>8</v>
      </c>
      <c r="K9729" s="8" t="s">
        <v>3</v>
      </c>
      <c r="L9729" s="8" t="s">
        <v>6</v>
      </c>
    </row>
    <row r="9730" spans="3:16" x14ac:dyDescent="0.35">
      <c r="C9730" s="15" t="s">
        <v>8</v>
      </c>
      <c r="F9730" s="15" t="s">
        <v>8</v>
      </c>
      <c r="G9730" s="15" t="s">
        <v>8</v>
      </c>
      <c r="H9730" s="15" t="s">
        <v>8</v>
      </c>
      <c r="I9730" s="15" t="s">
        <v>8</v>
      </c>
      <c r="K9730" s="15" t="s">
        <v>8</v>
      </c>
      <c r="L9730" s="16" t="str">
        <f>HYPERLINK("http://yeinfo.com/family/I09003153.html", "Mrs. HESTER BASS 1654 VA-1705 VA ID:09001577")</f>
        <v>Mrs. HESTER BASS 1654 VA-1705 VA ID:09001577</v>
      </c>
      <c r="M9730" s="11"/>
      <c r="N9730" s="11"/>
      <c r="O9730" s="11"/>
      <c r="P9730" s="11"/>
    </row>
    <row r="9731" spans="3:16" x14ac:dyDescent="0.35">
      <c r="C9731" s="15" t="s">
        <v>8</v>
      </c>
      <c r="F9731" s="15" t="s">
        <v>8</v>
      </c>
      <c r="G9731" s="15" t="s">
        <v>8</v>
      </c>
      <c r="H9731" s="15" t="s">
        <v>8</v>
      </c>
      <c r="I9731" s="15" t="s">
        <v>8</v>
      </c>
      <c r="K9731" s="15" t="s">
        <v>8</v>
      </c>
    </row>
    <row r="9732" spans="3:16" x14ac:dyDescent="0.35">
      <c r="C9732" s="15" t="s">
        <v>8</v>
      </c>
      <c r="F9732" s="15" t="s">
        <v>8</v>
      </c>
      <c r="G9732" s="15" t="s">
        <v>8</v>
      </c>
      <c r="H9732" s="15" t="s">
        <v>8</v>
      </c>
      <c r="I9732" s="15" t="s">
        <v>8</v>
      </c>
      <c r="J9732" s="5" t="str">
        <f>HYPERLINK("http://yeinfo.com/family/I09000197.html", "JOSIAH\JOSEPH BASS Sr. 1732 VA-1812 KY ID:09000394")</f>
        <v>JOSIAH\JOSEPH BASS Sr. 1732 VA-1812 KY ID:09000394</v>
      </c>
      <c r="K9732" s="3"/>
      <c r="L9732" s="3"/>
      <c r="M9732" s="3"/>
      <c r="N9732" s="3"/>
      <c r="O9732" s="3"/>
    </row>
    <row r="9733" spans="3:16" x14ac:dyDescent="0.35">
      <c r="C9733" s="15" t="s">
        <v>8</v>
      </c>
      <c r="F9733" s="15" t="s">
        <v>8</v>
      </c>
      <c r="G9733" s="15" t="s">
        <v>8</v>
      </c>
      <c r="H9733" s="15" t="s">
        <v>8</v>
      </c>
      <c r="I9733" s="15" t="s">
        <v>8</v>
      </c>
      <c r="J9733" s="8" t="s">
        <v>3</v>
      </c>
      <c r="K9733" s="15" t="s">
        <v>8</v>
      </c>
    </row>
    <row r="9734" spans="3:16" x14ac:dyDescent="0.35">
      <c r="C9734" s="15" t="s">
        <v>8</v>
      </c>
      <c r="F9734" s="15" t="s">
        <v>8</v>
      </c>
      <c r="G9734" s="15" t="s">
        <v>8</v>
      </c>
      <c r="H9734" s="15" t="s">
        <v>8</v>
      </c>
      <c r="I9734" s="15" t="s">
        <v>8</v>
      </c>
      <c r="J9734" s="15" t="s">
        <v>8</v>
      </c>
      <c r="K9734" s="15" t="s">
        <v>8</v>
      </c>
      <c r="L9734" s="5" t="str">
        <f>HYPERLINK("http://yeinfo.com/family/I09000789.html", "THOMAS HOWLETT 1675 VA-1720 VA ID:09001578")</f>
        <v>THOMAS HOWLETT 1675 VA-1720 VA ID:09001578</v>
      </c>
      <c r="M9734" s="3"/>
      <c r="N9734" s="3"/>
      <c r="O9734" s="3"/>
      <c r="P9734" s="3"/>
    </row>
    <row r="9735" spans="3:16" x14ac:dyDescent="0.35">
      <c r="C9735" s="15" t="s">
        <v>8</v>
      </c>
      <c r="F9735" s="15" t="s">
        <v>8</v>
      </c>
      <c r="G9735" s="15" t="s">
        <v>8</v>
      </c>
      <c r="H9735" s="15" t="s">
        <v>8</v>
      </c>
      <c r="I9735" s="15" t="s">
        <v>8</v>
      </c>
      <c r="J9735" s="15" t="s">
        <v>8</v>
      </c>
      <c r="K9735" s="8" t="s">
        <v>6</v>
      </c>
      <c r="L9735" s="8" t="s">
        <v>3</v>
      </c>
    </row>
    <row r="9736" spans="3:16" x14ac:dyDescent="0.35">
      <c r="C9736" s="15" t="s">
        <v>8</v>
      </c>
      <c r="F9736" s="15" t="s">
        <v>8</v>
      </c>
      <c r="G9736" s="15" t="s">
        <v>8</v>
      </c>
      <c r="H9736" s="15" t="s">
        <v>8</v>
      </c>
      <c r="I9736" s="15" t="s">
        <v>8</v>
      </c>
      <c r="J9736" s="15" t="s">
        <v>8</v>
      </c>
      <c r="K9736" s="16" t="str">
        <f>HYPERLINK("http://yeinfo.com/family/I09001577.html", "ELIZABETH HOWLETT 1700 VA-1788 VA ID:09000789")</f>
        <v>ELIZABETH HOWLETT 1700 VA-1788 VA ID:09000789</v>
      </c>
      <c r="L9736" s="11"/>
      <c r="M9736" s="11"/>
      <c r="N9736" s="11"/>
      <c r="O9736" s="11"/>
    </row>
    <row r="9737" spans="3:16" x14ac:dyDescent="0.35">
      <c r="C9737" s="15" t="s">
        <v>8</v>
      </c>
      <c r="F9737" s="15" t="s">
        <v>8</v>
      </c>
      <c r="G9737" s="15" t="s">
        <v>8</v>
      </c>
      <c r="H9737" s="15" t="s">
        <v>8</v>
      </c>
      <c r="I9737" s="15" t="s">
        <v>8</v>
      </c>
      <c r="J9737" s="15" t="s">
        <v>8</v>
      </c>
      <c r="L9737" s="8" t="s">
        <v>6</v>
      </c>
    </row>
    <row r="9738" spans="3:16" x14ac:dyDescent="0.35">
      <c r="C9738" s="15" t="s">
        <v>8</v>
      </c>
      <c r="F9738" s="15" t="s">
        <v>8</v>
      </c>
      <c r="G9738" s="15" t="s">
        <v>8</v>
      </c>
      <c r="H9738" s="15" t="s">
        <v>8</v>
      </c>
      <c r="I9738" s="15" t="s">
        <v>8</v>
      </c>
      <c r="J9738" s="15" t="s">
        <v>8</v>
      </c>
      <c r="L9738" s="16" t="str">
        <f>HYPERLINK("http://yeinfo.com/family/I09001578.html", "SUSANNA ENGLAND 1672 -1726 VA ID:09001579")</f>
        <v>SUSANNA ENGLAND 1672 -1726 VA ID:09001579</v>
      </c>
      <c r="M9738" s="11"/>
      <c r="N9738" s="11"/>
      <c r="O9738" s="11"/>
      <c r="P9738" s="11"/>
    </row>
    <row r="9739" spans="3:16" x14ac:dyDescent="0.35">
      <c r="C9739" s="15" t="s">
        <v>8</v>
      </c>
      <c r="F9739" s="15" t="s">
        <v>8</v>
      </c>
      <c r="G9739" s="15" t="s">
        <v>8</v>
      </c>
      <c r="H9739" s="15" t="s">
        <v>8</v>
      </c>
      <c r="I9739" s="8" t="s">
        <v>6</v>
      </c>
      <c r="J9739" s="15" t="s">
        <v>8</v>
      </c>
    </row>
    <row r="9740" spans="3:16" x14ac:dyDescent="0.35">
      <c r="C9740" s="15" t="s">
        <v>8</v>
      </c>
      <c r="F9740" s="15" t="s">
        <v>8</v>
      </c>
      <c r="G9740" s="15" t="s">
        <v>8</v>
      </c>
      <c r="H9740" s="15" t="s">
        <v>8</v>
      </c>
      <c r="I9740" s="16" t="str">
        <f>HYPERLINK("http://yeinfo.com/family/I09000196.html", "ELIZABETH BASS 1750 VA-1831 KY ID:09000197")</f>
        <v>ELIZABETH BASS 1750 VA-1831 KY ID:09000197</v>
      </c>
      <c r="J9740" s="11"/>
      <c r="K9740" s="11"/>
      <c r="L9740" s="11"/>
      <c r="M9740" s="11"/>
    </row>
    <row r="9741" spans="3:16" x14ac:dyDescent="0.35">
      <c r="C9741" s="15" t="s">
        <v>8</v>
      </c>
      <c r="F9741" s="15" t="s">
        <v>8</v>
      </c>
      <c r="G9741" s="15" t="s">
        <v>8</v>
      </c>
      <c r="H9741" s="15" t="s">
        <v>8</v>
      </c>
      <c r="J9741" s="15" t="s">
        <v>8</v>
      </c>
    </row>
    <row r="9742" spans="3:16" x14ac:dyDescent="0.35">
      <c r="C9742" s="15" t="s">
        <v>8</v>
      </c>
      <c r="F9742" s="15" t="s">
        <v>8</v>
      </c>
      <c r="G9742" s="15" t="s">
        <v>8</v>
      </c>
      <c r="H9742" s="15" t="s">
        <v>8</v>
      </c>
      <c r="J9742" s="15" t="s">
        <v>8</v>
      </c>
      <c r="L9742" s="21" t="str">
        <f>HYPERLINK("http://yeinfo.com/family/I09000790.html", "JEFFREY ROBERTSON Sr. 1654 ST-1734 VA ID:09001580")</f>
        <v>JEFFREY ROBERTSON Sr. 1654 ST-1734 VA ID:09001580</v>
      </c>
      <c r="M9742" s="6"/>
      <c r="N9742" s="6"/>
      <c r="O9742" s="6"/>
      <c r="P9742" s="6"/>
    </row>
    <row r="9743" spans="3:16" x14ac:dyDescent="0.35">
      <c r="C9743" s="15" t="s">
        <v>8</v>
      </c>
      <c r="F9743" s="15" t="s">
        <v>8</v>
      </c>
      <c r="G9743" s="15" t="s">
        <v>8</v>
      </c>
      <c r="H9743" s="15" t="s">
        <v>8</v>
      </c>
      <c r="J9743" s="15" t="s">
        <v>8</v>
      </c>
      <c r="L9743" s="8" t="s">
        <v>3</v>
      </c>
    </row>
    <row r="9744" spans="3:16" x14ac:dyDescent="0.35">
      <c r="C9744" s="15" t="s">
        <v>8</v>
      </c>
      <c r="F9744" s="15" t="s">
        <v>8</v>
      </c>
      <c r="G9744" s="15" t="s">
        <v>8</v>
      </c>
      <c r="H9744" s="15" t="s">
        <v>8</v>
      </c>
      <c r="J9744" s="15" t="s">
        <v>8</v>
      </c>
      <c r="K9744" s="5" t="str">
        <f>HYPERLINK("http://yeinfo.com/family/I09000395.html", "JEFFREY ROBERTSON Jr. 1709 VA-1784 VA ID:09000790")</f>
        <v>JEFFREY ROBERTSON Jr. 1709 VA-1784 VA ID:09000790</v>
      </c>
      <c r="L9744" s="3"/>
      <c r="M9744" s="3"/>
      <c r="N9744" s="3"/>
      <c r="O9744" s="3"/>
    </row>
    <row r="9745" spans="3:20" x14ac:dyDescent="0.35">
      <c r="C9745" s="15" t="s">
        <v>8</v>
      </c>
      <c r="F9745" s="15" t="s">
        <v>8</v>
      </c>
      <c r="G9745" s="15" t="s">
        <v>8</v>
      </c>
      <c r="H9745" s="15" t="s">
        <v>8</v>
      </c>
      <c r="J9745" s="15" t="s">
        <v>8</v>
      </c>
      <c r="K9745" s="8" t="s">
        <v>3</v>
      </c>
      <c r="L9745" s="15" t="s">
        <v>8</v>
      </c>
    </row>
    <row r="9746" spans="3:20" x14ac:dyDescent="0.35">
      <c r="C9746" s="15" t="s">
        <v>8</v>
      </c>
      <c r="F9746" s="15" t="s">
        <v>8</v>
      </c>
      <c r="G9746" s="15" t="s">
        <v>8</v>
      </c>
      <c r="H9746" s="15" t="s">
        <v>8</v>
      </c>
      <c r="J9746" s="15" t="s">
        <v>8</v>
      </c>
      <c r="K9746" s="15" t="s">
        <v>8</v>
      </c>
      <c r="L9746" s="15" t="s">
        <v>8</v>
      </c>
      <c r="N9746" s="21" t="str">
        <f>HYPERLINK("http://yeinfo.com/family/I09003162.html", "ROBERT BOWMAN Sr. 1600 EN-1671 VA ID:09006324")</f>
        <v>ROBERT BOWMAN Sr. 1600 EN-1671 VA ID:09006324</v>
      </c>
      <c r="O9746" s="6"/>
      <c r="P9746" s="6"/>
      <c r="Q9746" s="6"/>
      <c r="R9746" s="6"/>
    </row>
    <row r="9747" spans="3:20" x14ac:dyDescent="0.35">
      <c r="C9747" s="15" t="s">
        <v>8</v>
      </c>
      <c r="F9747" s="15" t="s">
        <v>8</v>
      </c>
      <c r="G9747" s="15" t="s">
        <v>8</v>
      </c>
      <c r="H9747" s="15" t="s">
        <v>8</v>
      </c>
      <c r="J9747" s="15" t="s">
        <v>8</v>
      </c>
      <c r="K9747" s="15" t="s">
        <v>8</v>
      </c>
      <c r="L9747" s="15" t="s">
        <v>8</v>
      </c>
      <c r="N9747" s="8" t="s">
        <v>3</v>
      </c>
    </row>
    <row r="9748" spans="3:20" x14ac:dyDescent="0.35">
      <c r="C9748" s="15" t="s">
        <v>8</v>
      </c>
      <c r="F9748" s="15" t="s">
        <v>8</v>
      </c>
      <c r="G9748" s="15" t="s">
        <v>8</v>
      </c>
      <c r="H9748" s="15" t="s">
        <v>8</v>
      </c>
      <c r="J9748" s="15" t="s">
        <v>8</v>
      </c>
      <c r="K9748" s="15" t="s">
        <v>8</v>
      </c>
      <c r="L9748" s="15" t="s">
        <v>8</v>
      </c>
      <c r="M9748" s="5" t="str">
        <f>HYPERLINK("http://yeinfo.com/family/I09001581.html", "JOHN BOWMAN 1630 VA-1718 VA ID:09003162")</f>
        <v>JOHN BOWMAN 1630 VA-1718 VA ID:09003162</v>
      </c>
      <c r="N9748" s="3"/>
      <c r="O9748" s="3"/>
      <c r="P9748" s="3"/>
      <c r="Q9748" s="3"/>
    </row>
    <row r="9749" spans="3:20" x14ac:dyDescent="0.35">
      <c r="C9749" s="15" t="s">
        <v>8</v>
      </c>
      <c r="F9749" s="15" t="s">
        <v>8</v>
      </c>
      <c r="G9749" s="15" t="s">
        <v>8</v>
      </c>
      <c r="H9749" s="15" t="s">
        <v>8</v>
      </c>
      <c r="J9749" s="15" t="s">
        <v>8</v>
      </c>
      <c r="K9749" s="15" t="s">
        <v>8</v>
      </c>
      <c r="L9749" s="15" t="s">
        <v>8</v>
      </c>
      <c r="M9749" s="8" t="s">
        <v>3</v>
      </c>
      <c r="N9749" s="15" t="s">
        <v>8</v>
      </c>
    </row>
    <row r="9750" spans="3:20" x14ac:dyDescent="0.35">
      <c r="C9750" s="15" t="s">
        <v>8</v>
      </c>
      <c r="F9750" s="15" t="s">
        <v>8</v>
      </c>
      <c r="G9750" s="15" t="s">
        <v>8</v>
      </c>
      <c r="H9750" s="15" t="s">
        <v>8</v>
      </c>
      <c r="J9750" s="15" t="s">
        <v>8</v>
      </c>
      <c r="K9750" s="15" t="s">
        <v>8</v>
      </c>
      <c r="L9750" s="15" t="s">
        <v>8</v>
      </c>
      <c r="M9750" s="15" t="s">
        <v>8</v>
      </c>
      <c r="N9750" s="15" t="s">
        <v>8</v>
      </c>
      <c r="O9750" s="21" t="str">
        <f>HYPERLINK("http://yeinfo.com/family/I09006325.html", "EDWARD ORME 1586 EN-1610 VA ID:09012650")</f>
        <v>EDWARD ORME 1586 EN-1610 VA ID:09012650</v>
      </c>
      <c r="P9750" s="6"/>
      <c r="Q9750" s="6"/>
      <c r="R9750" s="6"/>
      <c r="S9750" s="6"/>
    </row>
    <row r="9751" spans="3:20" x14ac:dyDescent="0.35">
      <c r="C9751" s="15" t="s">
        <v>8</v>
      </c>
      <c r="F9751" s="15" t="s">
        <v>8</v>
      </c>
      <c r="G9751" s="15" t="s">
        <v>8</v>
      </c>
      <c r="H9751" s="15" t="s">
        <v>8</v>
      </c>
      <c r="J9751" s="15" t="s">
        <v>8</v>
      </c>
      <c r="K9751" s="15" t="s">
        <v>8</v>
      </c>
      <c r="L9751" s="15" t="s">
        <v>8</v>
      </c>
      <c r="M9751" s="15" t="s">
        <v>8</v>
      </c>
      <c r="N9751" s="8" t="s">
        <v>6</v>
      </c>
      <c r="O9751" s="8" t="s">
        <v>3</v>
      </c>
    </row>
    <row r="9752" spans="3:20" x14ac:dyDescent="0.35">
      <c r="C9752" s="15" t="s">
        <v>8</v>
      </c>
      <c r="F9752" s="15" t="s">
        <v>8</v>
      </c>
      <c r="G9752" s="15" t="s">
        <v>8</v>
      </c>
      <c r="H9752" s="15" t="s">
        <v>8</v>
      </c>
      <c r="J9752" s="15" t="s">
        <v>8</v>
      </c>
      <c r="K9752" s="15" t="s">
        <v>8</v>
      </c>
      <c r="L9752" s="15" t="s">
        <v>8</v>
      </c>
      <c r="M9752" s="15" t="s">
        <v>8</v>
      </c>
      <c r="N9752" s="16" t="str">
        <f>HYPERLINK("http://yeinfo.com/family/I09006324.html", "SARAH ORME 1610 VA-1675 VA ID:09006325")</f>
        <v>SARAH ORME 1610 VA-1675 VA ID:09006325</v>
      </c>
      <c r="O9752" s="11"/>
      <c r="P9752" s="11"/>
      <c r="Q9752" s="11"/>
      <c r="R9752" s="11"/>
    </row>
    <row r="9753" spans="3:20" x14ac:dyDescent="0.35">
      <c r="C9753" s="15" t="s">
        <v>8</v>
      </c>
      <c r="F9753" s="15" t="s">
        <v>8</v>
      </c>
      <c r="G9753" s="15" t="s">
        <v>8</v>
      </c>
      <c r="H9753" s="15" t="s">
        <v>8</v>
      </c>
      <c r="J9753" s="15" t="s">
        <v>8</v>
      </c>
      <c r="K9753" s="15" t="s">
        <v>8</v>
      </c>
      <c r="L9753" s="15" t="s">
        <v>8</v>
      </c>
      <c r="M9753" s="15" t="s">
        <v>8</v>
      </c>
      <c r="O9753" s="8" t="s">
        <v>6</v>
      </c>
    </row>
    <row r="9754" spans="3:20" x14ac:dyDescent="0.35">
      <c r="C9754" s="15" t="s">
        <v>8</v>
      </c>
      <c r="F9754" s="15" t="s">
        <v>8</v>
      </c>
      <c r="G9754" s="15" t="s">
        <v>8</v>
      </c>
      <c r="H9754" s="15" t="s">
        <v>8</v>
      </c>
      <c r="J9754" s="15" t="s">
        <v>8</v>
      </c>
      <c r="K9754" s="15" t="s">
        <v>8</v>
      </c>
      <c r="L9754" s="15" t="s">
        <v>8</v>
      </c>
      <c r="M9754" s="15" t="s">
        <v>8</v>
      </c>
      <c r="O9754" s="22" t="str">
        <f>HYPERLINK("http://yeinfo.com/family/I09012650.html", "ALICE\ALICIA LEA 1586 EN-1649 VA ID:09012651")</f>
        <v>ALICE\ALICIA LEA 1586 EN-1649 VA ID:09012651</v>
      </c>
      <c r="P9754" s="13"/>
      <c r="Q9754" s="13"/>
      <c r="R9754" s="13"/>
      <c r="S9754" s="13"/>
      <c r="T9754" s="13"/>
    </row>
    <row r="9755" spans="3:20" x14ac:dyDescent="0.35">
      <c r="C9755" s="15" t="s">
        <v>8</v>
      </c>
      <c r="F9755" s="15" t="s">
        <v>8</v>
      </c>
      <c r="G9755" s="15" t="s">
        <v>8</v>
      </c>
      <c r="H9755" s="15" t="s">
        <v>8</v>
      </c>
      <c r="J9755" s="15" t="s">
        <v>8</v>
      </c>
      <c r="K9755" s="15" t="s">
        <v>8</v>
      </c>
      <c r="L9755" s="8" t="s">
        <v>6</v>
      </c>
      <c r="M9755" s="15" t="s">
        <v>8</v>
      </c>
    </row>
    <row r="9756" spans="3:20" x14ac:dyDescent="0.35">
      <c r="C9756" s="15" t="s">
        <v>8</v>
      </c>
      <c r="F9756" s="15" t="s">
        <v>8</v>
      </c>
      <c r="G9756" s="15" t="s">
        <v>8</v>
      </c>
      <c r="H9756" s="15" t="s">
        <v>8</v>
      </c>
      <c r="J9756" s="15" t="s">
        <v>8</v>
      </c>
      <c r="K9756" s="15" t="s">
        <v>8</v>
      </c>
      <c r="L9756" s="16" t="str">
        <f>HYPERLINK("http://yeinfo.com/family/I09001580.html", "ELIZABETH BOWMAN 1655 VA-1739 VA ID:09001581")</f>
        <v>ELIZABETH BOWMAN 1655 VA-1739 VA ID:09001581</v>
      </c>
      <c r="M9756" s="11"/>
      <c r="N9756" s="11"/>
      <c r="O9756" s="11"/>
      <c r="P9756" s="11"/>
    </row>
    <row r="9757" spans="3:20" x14ac:dyDescent="0.35">
      <c r="C9757" s="15" t="s">
        <v>8</v>
      </c>
      <c r="F9757" s="15" t="s">
        <v>8</v>
      </c>
      <c r="G9757" s="15" t="s">
        <v>8</v>
      </c>
      <c r="H9757" s="15" t="s">
        <v>8</v>
      </c>
      <c r="J9757" s="15" t="s">
        <v>8</v>
      </c>
      <c r="K9757" s="15" t="s">
        <v>8</v>
      </c>
      <c r="M9757" s="15" t="s">
        <v>8</v>
      </c>
    </row>
    <row r="9758" spans="3:20" x14ac:dyDescent="0.35">
      <c r="C9758" s="15" t="s">
        <v>8</v>
      </c>
      <c r="F9758" s="15" t="s">
        <v>8</v>
      </c>
      <c r="G9758" s="15" t="s">
        <v>8</v>
      </c>
      <c r="H9758" s="15" t="s">
        <v>8</v>
      </c>
      <c r="J9758" s="15" t="s">
        <v>8</v>
      </c>
      <c r="K9758" s="15" t="s">
        <v>8</v>
      </c>
      <c r="M9758" s="15" t="s">
        <v>8</v>
      </c>
      <c r="N9758" s="21" t="str">
        <f>HYPERLINK("http://yeinfo.com/family/I09003163.html", "WILLIAM THOMAS ELAM 1597 EN-1687 VA ID:09006326")</f>
        <v>WILLIAM THOMAS ELAM 1597 EN-1687 VA ID:09006326</v>
      </c>
      <c r="O9758" s="6"/>
      <c r="P9758" s="6"/>
      <c r="Q9758" s="6"/>
      <c r="R9758" s="6"/>
    </row>
    <row r="9759" spans="3:20" x14ac:dyDescent="0.35">
      <c r="C9759" s="15" t="s">
        <v>8</v>
      </c>
      <c r="F9759" s="15" t="s">
        <v>8</v>
      </c>
      <c r="G9759" s="15" t="s">
        <v>8</v>
      </c>
      <c r="H9759" s="15" t="s">
        <v>8</v>
      </c>
      <c r="J9759" s="15" t="s">
        <v>8</v>
      </c>
      <c r="K9759" s="15" t="s">
        <v>8</v>
      </c>
      <c r="M9759" s="8" t="s">
        <v>6</v>
      </c>
      <c r="N9759" s="8" t="s">
        <v>3</v>
      </c>
    </row>
    <row r="9760" spans="3:20" x14ac:dyDescent="0.35">
      <c r="C9760" s="15" t="s">
        <v>8</v>
      </c>
      <c r="F9760" s="15" t="s">
        <v>8</v>
      </c>
      <c r="G9760" s="15" t="s">
        <v>8</v>
      </c>
      <c r="H9760" s="15" t="s">
        <v>8</v>
      </c>
      <c r="J9760" s="15" t="s">
        <v>8</v>
      </c>
      <c r="K9760" s="15" t="s">
        <v>8</v>
      </c>
      <c r="M9760" s="16" t="str">
        <f>HYPERLINK("http://yeinfo.com/family/I09012651.html", "ELIZABETH ELAM 1632 VA-1735 VA ID:09003163")</f>
        <v>ELIZABETH ELAM 1632 VA-1735 VA ID:09003163</v>
      </c>
      <c r="N9760" s="11"/>
      <c r="O9760" s="11"/>
      <c r="P9760" s="11"/>
      <c r="Q9760" s="11"/>
    </row>
    <row r="9761" spans="3:19" x14ac:dyDescent="0.35">
      <c r="C9761" s="15" t="s">
        <v>8</v>
      </c>
      <c r="F9761" s="15" t="s">
        <v>8</v>
      </c>
      <c r="G9761" s="15" t="s">
        <v>8</v>
      </c>
      <c r="H9761" s="15" t="s">
        <v>8</v>
      </c>
      <c r="J9761" s="15" t="s">
        <v>8</v>
      </c>
      <c r="K9761" s="15" t="s">
        <v>8</v>
      </c>
      <c r="N9761" s="8" t="s">
        <v>6</v>
      </c>
    </row>
    <row r="9762" spans="3:19" x14ac:dyDescent="0.35">
      <c r="C9762" s="15" t="s">
        <v>8</v>
      </c>
      <c r="F9762" s="15" t="s">
        <v>8</v>
      </c>
      <c r="G9762" s="15" t="s">
        <v>8</v>
      </c>
      <c r="H9762" s="15" t="s">
        <v>8</v>
      </c>
      <c r="J9762" s="15" t="s">
        <v>8</v>
      </c>
      <c r="K9762" s="15" t="s">
        <v>8</v>
      </c>
      <c r="N9762" s="22" t="str">
        <f>HYPERLINK("http://yeinfo.com/family/I09006326.html", "MARY ANN SHIRECLIFFE 1612 EN-1697 VA ID:09006327")</f>
        <v>MARY ANN SHIRECLIFFE 1612 EN-1697 VA ID:09006327</v>
      </c>
      <c r="O9762" s="13"/>
      <c r="P9762" s="13"/>
      <c r="Q9762" s="13"/>
      <c r="R9762" s="13"/>
    </row>
    <row r="9763" spans="3:19" x14ac:dyDescent="0.35">
      <c r="C9763" s="15" t="s">
        <v>8</v>
      </c>
      <c r="F9763" s="15" t="s">
        <v>8</v>
      </c>
      <c r="G9763" s="15" t="s">
        <v>8</v>
      </c>
      <c r="H9763" s="15" t="s">
        <v>8</v>
      </c>
      <c r="J9763" s="8" t="s">
        <v>6</v>
      </c>
      <c r="K9763" s="15" t="s">
        <v>8</v>
      </c>
    </row>
    <row r="9764" spans="3:19" x14ac:dyDescent="0.35">
      <c r="C9764" s="15" t="s">
        <v>8</v>
      </c>
      <c r="F9764" s="15" t="s">
        <v>8</v>
      </c>
      <c r="G9764" s="15" t="s">
        <v>8</v>
      </c>
      <c r="H9764" s="15" t="s">
        <v>8</v>
      </c>
      <c r="J9764" s="16" t="str">
        <f>HYPERLINK("http://yeinfo.com/family/I09001579.html", "ELIZABETH ROBERTSON 1752 VA-1818 KY ID:09000395")</f>
        <v>ELIZABETH ROBERTSON 1752 VA-1818 KY ID:09000395</v>
      </c>
      <c r="K9764" s="11"/>
      <c r="L9764" s="11"/>
      <c r="M9764" s="11"/>
      <c r="N9764" s="11"/>
    </row>
    <row r="9765" spans="3:19" x14ac:dyDescent="0.35">
      <c r="C9765" s="15" t="s">
        <v>8</v>
      </c>
      <c r="F9765" s="15" t="s">
        <v>8</v>
      </c>
      <c r="G9765" s="15" t="s">
        <v>8</v>
      </c>
      <c r="H9765" s="15" t="s">
        <v>8</v>
      </c>
      <c r="K9765" s="15" t="s">
        <v>8</v>
      </c>
    </row>
    <row r="9766" spans="3:19" x14ac:dyDescent="0.35">
      <c r="C9766" s="15" t="s">
        <v>8</v>
      </c>
      <c r="F9766" s="15" t="s">
        <v>8</v>
      </c>
      <c r="G9766" s="15" t="s">
        <v>8</v>
      </c>
      <c r="H9766" s="15" t="s">
        <v>8</v>
      </c>
      <c r="K9766" s="15" t="s">
        <v>8</v>
      </c>
      <c r="O9766" s="21" t="str">
        <f>HYPERLINK("http://yeinfo.com/family/I09006328.html", "ABRAHAM TANNER 1562 SZ-1640 VA ID:09012656")</f>
        <v>ABRAHAM TANNER 1562 SZ-1640 VA ID:09012656</v>
      </c>
      <c r="P9766" s="6"/>
      <c r="Q9766" s="6"/>
      <c r="R9766" s="6"/>
      <c r="S9766" s="6"/>
    </row>
    <row r="9767" spans="3:19" x14ac:dyDescent="0.35">
      <c r="C9767" s="15" t="s">
        <v>8</v>
      </c>
      <c r="F9767" s="15" t="s">
        <v>8</v>
      </c>
      <c r="G9767" s="15" t="s">
        <v>8</v>
      </c>
      <c r="H9767" s="15" t="s">
        <v>8</v>
      </c>
      <c r="K9767" s="15" t="s">
        <v>8</v>
      </c>
      <c r="O9767" s="8" t="s">
        <v>3</v>
      </c>
    </row>
    <row r="9768" spans="3:19" x14ac:dyDescent="0.35">
      <c r="C9768" s="15" t="s">
        <v>8</v>
      </c>
      <c r="F9768" s="15" t="s">
        <v>8</v>
      </c>
      <c r="G9768" s="15" t="s">
        <v>8</v>
      </c>
      <c r="H9768" s="15" t="s">
        <v>8</v>
      </c>
      <c r="K9768" s="15" t="s">
        <v>8</v>
      </c>
      <c r="N9768" s="5" t="str">
        <f>HYPERLINK("http://yeinfo.com/family/I09003164.html", "ABRAHAM TANNER 1603 VA-1629 VA ID:09006328")</f>
        <v>ABRAHAM TANNER 1603 VA-1629 VA ID:09006328</v>
      </c>
      <c r="O9768" s="3"/>
      <c r="P9768" s="3"/>
      <c r="Q9768" s="3"/>
      <c r="R9768" s="3"/>
    </row>
    <row r="9769" spans="3:19" x14ac:dyDescent="0.35">
      <c r="C9769" s="15" t="s">
        <v>8</v>
      </c>
      <c r="F9769" s="15" t="s">
        <v>8</v>
      </c>
      <c r="G9769" s="15" t="s">
        <v>8</v>
      </c>
      <c r="H9769" s="15" t="s">
        <v>8</v>
      </c>
      <c r="K9769" s="15" t="s">
        <v>8</v>
      </c>
      <c r="N9769" s="8" t="s">
        <v>3</v>
      </c>
      <c r="O9769" s="8" t="s">
        <v>6</v>
      </c>
    </row>
    <row r="9770" spans="3:19" x14ac:dyDescent="0.35">
      <c r="C9770" s="15" t="s">
        <v>8</v>
      </c>
      <c r="F9770" s="15" t="s">
        <v>8</v>
      </c>
      <c r="G9770" s="15" t="s">
        <v>8</v>
      </c>
      <c r="H9770" s="15" t="s">
        <v>8</v>
      </c>
      <c r="K9770" s="15" t="s">
        <v>8</v>
      </c>
      <c r="N9770" s="15" t="s">
        <v>8</v>
      </c>
      <c r="O9770" s="22" t="str">
        <f>HYPERLINK("http://yeinfo.com/family/I09012656.html", "CATHARINA JAEGG 1564 SZ-1603 VA ID:09012657")</f>
        <v>CATHARINA JAEGG 1564 SZ-1603 VA ID:09012657</v>
      </c>
      <c r="P9770" s="13"/>
      <c r="Q9770" s="13"/>
      <c r="R9770" s="13"/>
      <c r="S9770" s="13"/>
    </row>
    <row r="9771" spans="3:19" x14ac:dyDescent="0.35">
      <c r="C9771" s="15" t="s">
        <v>8</v>
      </c>
      <c r="F9771" s="15" t="s">
        <v>8</v>
      </c>
      <c r="G9771" s="15" t="s">
        <v>8</v>
      </c>
      <c r="H9771" s="15" t="s">
        <v>8</v>
      </c>
      <c r="K9771" s="15" t="s">
        <v>8</v>
      </c>
      <c r="N9771" s="15" t="s">
        <v>8</v>
      </c>
    </row>
    <row r="9772" spans="3:19" x14ac:dyDescent="0.35">
      <c r="C9772" s="15" t="s">
        <v>8</v>
      </c>
      <c r="F9772" s="15" t="s">
        <v>8</v>
      </c>
      <c r="G9772" s="15" t="s">
        <v>8</v>
      </c>
      <c r="H9772" s="15" t="s">
        <v>8</v>
      </c>
      <c r="K9772" s="15" t="s">
        <v>8</v>
      </c>
      <c r="M9772" s="5" t="str">
        <f>HYPERLINK("http://yeinfo.com/family/I09001582.html", "JOSEPH TANNER 1629 VA-1673 VA ID:09003164")</f>
        <v>JOSEPH TANNER 1629 VA-1673 VA ID:09003164</v>
      </c>
      <c r="N9772" s="3"/>
      <c r="O9772" s="3"/>
      <c r="P9772" s="3"/>
      <c r="Q9772" s="3"/>
    </row>
    <row r="9773" spans="3:19" x14ac:dyDescent="0.35">
      <c r="C9773" s="15" t="s">
        <v>8</v>
      </c>
      <c r="F9773" s="15" t="s">
        <v>8</v>
      </c>
      <c r="G9773" s="15" t="s">
        <v>8</v>
      </c>
      <c r="H9773" s="15" t="s">
        <v>8</v>
      </c>
      <c r="K9773" s="15" t="s">
        <v>8</v>
      </c>
      <c r="M9773" s="8" t="s">
        <v>3</v>
      </c>
      <c r="N9773" s="15" t="s">
        <v>8</v>
      </c>
    </row>
    <row r="9774" spans="3:19" x14ac:dyDescent="0.35">
      <c r="C9774" s="15" t="s">
        <v>8</v>
      </c>
      <c r="F9774" s="15" t="s">
        <v>8</v>
      </c>
      <c r="G9774" s="15" t="s">
        <v>8</v>
      </c>
      <c r="H9774" s="15" t="s">
        <v>8</v>
      </c>
      <c r="K9774" s="15" t="s">
        <v>8</v>
      </c>
      <c r="M9774" s="15" t="s">
        <v>8</v>
      </c>
      <c r="N9774" s="15" t="s">
        <v>8</v>
      </c>
      <c r="O9774" s="21" t="str">
        <f>HYPERLINK("http://yeinfo.com/family/I09006329.html", "EDWARD FLOYD Jr. 1575 EN-1641 VA ID:09012658")</f>
        <v>EDWARD FLOYD Jr. 1575 EN-1641 VA ID:09012658</v>
      </c>
      <c r="P9774" s="6"/>
      <c r="Q9774" s="6"/>
      <c r="R9774" s="6"/>
      <c r="S9774" s="6"/>
    </row>
    <row r="9775" spans="3:19" x14ac:dyDescent="0.35">
      <c r="C9775" s="15" t="s">
        <v>8</v>
      </c>
      <c r="F9775" s="15" t="s">
        <v>8</v>
      </c>
      <c r="G9775" s="15" t="s">
        <v>8</v>
      </c>
      <c r="H9775" s="15" t="s">
        <v>8</v>
      </c>
      <c r="K9775" s="15" t="s">
        <v>8</v>
      </c>
      <c r="M9775" s="15" t="s">
        <v>8</v>
      </c>
      <c r="N9775" s="8" t="s">
        <v>6</v>
      </c>
      <c r="O9775" s="8" t="s">
        <v>3</v>
      </c>
    </row>
    <row r="9776" spans="3:19" x14ac:dyDescent="0.35">
      <c r="C9776" s="15" t="s">
        <v>8</v>
      </c>
      <c r="F9776" s="15" t="s">
        <v>8</v>
      </c>
      <c r="G9776" s="15" t="s">
        <v>8</v>
      </c>
      <c r="H9776" s="15" t="s">
        <v>8</v>
      </c>
      <c r="K9776" s="15" t="s">
        <v>8</v>
      </c>
      <c r="M9776" s="15" t="s">
        <v>8</v>
      </c>
      <c r="N9776" s="16" t="str">
        <f>HYPERLINK("http://yeinfo.com/family/I09012657.html", "ANN FLOYD 1610 VA-1688 VA ID:09006329")</f>
        <v>ANN FLOYD 1610 VA-1688 VA ID:09006329</v>
      </c>
      <c r="O9776" s="11"/>
      <c r="P9776" s="11"/>
      <c r="Q9776" s="11"/>
      <c r="R9776" s="11"/>
    </row>
    <row r="9777" spans="3:20" x14ac:dyDescent="0.35">
      <c r="C9777" s="15" t="s">
        <v>8</v>
      </c>
      <c r="F9777" s="15" t="s">
        <v>8</v>
      </c>
      <c r="G9777" s="15" t="s">
        <v>8</v>
      </c>
      <c r="H9777" s="15" t="s">
        <v>8</v>
      </c>
      <c r="K9777" s="15" t="s">
        <v>8</v>
      </c>
      <c r="M9777" s="15" t="s">
        <v>8</v>
      </c>
      <c r="O9777" s="8" t="s">
        <v>6</v>
      </c>
    </row>
    <row r="9778" spans="3:20" x14ac:dyDescent="0.35">
      <c r="C9778" s="15" t="s">
        <v>8</v>
      </c>
      <c r="F9778" s="15" t="s">
        <v>8</v>
      </c>
      <c r="G9778" s="15" t="s">
        <v>8</v>
      </c>
      <c r="H9778" s="15" t="s">
        <v>8</v>
      </c>
      <c r="K9778" s="15" t="s">
        <v>8</v>
      </c>
      <c r="M9778" s="15" t="s">
        <v>8</v>
      </c>
      <c r="O9778" s="22" t="str">
        <f>HYPERLINK("http://yeinfo.com/family/I09012658.html", "Mrs. ELIZABETH ANN FLOYD 1579 EN-1642 VA ID:09012659")</f>
        <v>Mrs. ELIZABETH ANN FLOYD 1579 EN-1642 VA ID:09012659</v>
      </c>
      <c r="P9778" s="13"/>
      <c r="Q9778" s="13"/>
      <c r="R9778" s="13"/>
      <c r="S9778" s="13"/>
    </row>
    <row r="9779" spans="3:20" x14ac:dyDescent="0.35">
      <c r="C9779" s="15" t="s">
        <v>8</v>
      </c>
      <c r="F9779" s="15" t="s">
        <v>8</v>
      </c>
      <c r="G9779" s="15" t="s">
        <v>8</v>
      </c>
      <c r="H9779" s="15" t="s">
        <v>8</v>
      </c>
      <c r="K9779" s="15" t="s">
        <v>8</v>
      </c>
      <c r="M9779" s="15" t="s">
        <v>8</v>
      </c>
    </row>
    <row r="9780" spans="3:20" x14ac:dyDescent="0.35">
      <c r="C9780" s="15" t="s">
        <v>8</v>
      </c>
      <c r="F9780" s="15" t="s">
        <v>8</v>
      </c>
      <c r="G9780" s="15" t="s">
        <v>8</v>
      </c>
      <c r="H9780" s="15" t="s">
        <v>8</v>
      </c>
      <c r="K9780" s="15" t="s">
        <v>8</v>
      </c>
      <c r="L9780" s="5" t="str">
        <f>HYPERLINK("http://yeinfo.com/family/I09000791.html", "EDWARD TANNER Sr. 1664 VA-1719 VA ID:09001582")</f>
        <v>EDWARD TANNER Sr. 1664 VA-1719 VA ID:09001582</v>
      </c>
      <c r="M9780" s="3"/>
      <c r="N9780" s="3"/>
      <c r="O9780" s="3"/>
      <c r="P9780" s="3"/>
    </row>
    <row r="9781" spans="3:20" x14ac:dyDescent="0.35">
      <c r="C9781" s="15" t="s">
        <v>8</v>
      </c>
      <c r="F9781" s="15" t="s">
        <v>8</v>
      </c>
      <c r="G9781" s="15" t="s">
        <v>8</v>
      </c>
      <c r="H9781" s="15" t="s">
        <v>8</v>
      </c>
      <c r="K9781" s="15" t="s">
        <v>8</v>
      </c>
      <c r="L9781" s="8" t="s">
        <v>3</v>
      </c>
      <c r="M9781" s="8" t="s">
        <v>6</v>
      </c>
    </row>
    <row r="9782" spans="3:20" x14ac:dyDescent="0.35">
      <c r="C9782" s="15" t="s">
        <v>8</v>
      </c>
      <c r="F9782" s="15" t="s">
        <v>8</v>
      </c>
      <c r="G9782" s="15" t="s">
        <v>8</v>
      </c>
      <c r="H9782" s="15" t="s">
        <v>8</v>
      </c>
      <c r="K9782" s="15" t="s">
        <v>8</v>
      </c>
      <c r="L9782" s="15" t="s">
        <v>8</v>
      </c>
      <c r="M9782" s="16" t="str">
        <f>HYPERLINK("http://yeinfo.com/family/I09012659.html", "MARY JONES 1639 VA-1700 VA ID:09003165")</f>
        <v>MARY JONES 1639 VA-1700 VA ID:09003165</v>
      </c>
      <c r="N9782" s="11"/>
      <c r="O9782" s="11"/>
      <c r="P9782" s="11"/>
      <c r="Q9782" s="11"/>
    </row>
    <row r="9783" spans="3:20" x14ac:dyDescent="0.35">
      <c r="C9783" s="15" t="s">
        <v>8</v>
      </c>
      <c r="F9783" s="15" t="s">
        <v>8</v>
      </c>
      <c r="G9783" s="15" t="s">
        <v>8</v>
      </c>
      <c r="H9783" s="15" t="s">
        <v>8</v>
      </c>
      <c r="K9783" s="8" t="s">
        <v>6</v>
      </c>
      <c r="L9783" s="15" t="s">
        <v>8</v>
      </c>
    </row>
    <row r="9784" spans="3:20" x14ac:dyDescent="0.35">
      <c r="C9784" s="15" t="s">
        <v>8</v>
      </c>
      <c r="F9784" s="15" t="s">
        <v>8</v>
      </c>
      <c r="G9784" s="15" t="s">
        <v>8</v>
      </c>
      <c r="H9784" s="15" t="s">
        <v>8</v>
      </c>
      <c r="K9784" s="16" t="str">
        <f>HYPERLINK("http://yeinfo.com/family/I09006327.html", "JUDITH TANNER 1710 VA-1785 VA ID:09000791")</f>
        <v>JUDITH TANNER 1710 VA-1785 VA ID:09000791</v>
      </c>
      <c r="L9784" s="11"/>
      <c r="M9784" s="11"/>
      <c r="N9784" s="11"/>
      <c r="O9784" s="11"/>
    </row>
    <row r="9785" spans="3:20" x14ac:dyDescent="0.35">
      <c r="C9785" s="15" t="s">
        <v>8</v>
      </c>
      <c r="F9785" s="15" t="s">
        <v>8</v>
      </c>
      <c r="G9785" s="15" t="s">
        <v>8</v>
      </c>
      <c r="H9785" s="15" t="s">
        <v>8</v>
      </c>
      <c r="L9785" s="15" t="s">
        <v>8</v>
      </c>
    </row>
    <row r="9786" spans="3:20" x14ac:dyDescent="0.35">
      <c r="C9786" s="15" t="s">
        <v>8</v>
      </c>
      <c r="F9786" s="15" t="s">
        <v>8</v>
      </c>
      <c r="G9786" s="15" t="s">
        <v>8</v>
      </c>
      <c r="H9786" s="15" t="s">
        <v>8</v>
      </c>
      <c r="L9786" s="15" t="s">
        <v>8</v>
      </c>
      <c r="P9786" s="19" t="str">
        <f>HYPERLINK("http://yeinfo.com/family/I09012664.html", "THOMAS WILLIAM HATCHER 1535 EN-1583 EN ID:09025328")</f>
        <v>THOMAS WILLIAM HATCHER 1535 EN-1583 EN ID:09025328</v>
      </c>
      <c r="Q9786" s="9"/>
      <c r="R9786" s="9"/>
      <c r="S9786" s="9"/>
      <c r="T9786" s="9"/>
    </row>
    <row r="9787" spans="3:20" x14ac:dyDescent="0.35">
      <c r="C9787" s="15" t="s">
        <v>8</v>
      </c>
      <c r="F9787" s="15" t="s">
        <v>8</v>
      </c>
      <c r="G9787" s="15" t="s">
        <v>8</v>
      </c>
      <c r="H9787" s="15" t="s">
        <v>8</v>
      </c>
      <c r="L9787" s="15" t="s">
        <v>8</v>
      </c>
      <c r="P9787" s="8" t="s">
        <v>3</v>
      </c>
    </row>
    <row r="9788" spans="3:20" x14ac:dyDescent="0.35">
      <c r="C9788" s="15" t="s">
        <v>8</v>
      </c>
      <c r="F9788" s="15" t="s">
        <v>8</v>
      </c>
      <c r="G9788" s="15" t="s">
        <v>8</v>
      </c>
      <c r="H9788" s="15" t="s">
        <v>8</v>
      </c>
      <c r="L9788" s="15" t="s">
        <v>8</v>
      </c>
      <c r="O9788" s="19" t="str">
        <f>HYPERLINK("http://yeinfo.com/family/I09006332.html", "WILLIAM HATCHER 1582 EN-1630 EN ID:09012664")</f>
        <v>WILLIAM HATCHER 1582 EN-1630 EN ID:09012664</v>
      </c>
      <c r="P9788" s="9"/>
      <c r="Q9788" s="9"/>
      <c r="R9788" s="9"/>
      <c r="S9788" s="9"/>
    </row>
    <row r="9789" spans="3:20" x14ac:dyDescent="0.35">
      <c r="C9789" s="15" t="s">
        <v>8</v>
      </c>
      <c r="F9789" s="15" t="s">
        <v>8</v>
      </c>
      <c r="G9789" s="15" t="s">
        <v>8</v>
      </c>
      <c r="H9789" s="15" t="s">
        <v>8</v>
      </c>
      <c r="L9789" s="15" t="s">
        <v>8</v>
      </c>
      <c r="O9789" s="8" t="s">
        <v>3</v>
      </c>
      <c r="P9789" s="8" t="s">
        <v>6</v>
      </c>
    </row>
    <row r="9790" spans="3:20" x14ac:dyDescent="0.35">
      <c r="C9790" s="15" t="s">
        <v>8</v>
      </c>
      <c r="F9790" s="15" t="s">
        <v>8</v>
      </c>
      <c r="G9790" s="15" t="s">
        <v>8</v>
      </c>
      <c r="H9790" s="15" t="s">
        <v>8</v>
      </c>
      <c r="L9790" s="15" t="s">
        <v>8</v>
      </c>
      <c r="O9790" s="15" t="s">
        <v>8</v>
      </c>
      <c r="P9790" s="20" t="str">
        <f>HYPERLINK("http://yeinfo.com/family/I09025328.html", "KATHERINE READE 1538 EN-1637 EN ID:09025329")</f>
        <v>KATHERINE READE 1538 EN-1637 EN ID:09025329</v>
      </c>
      <c r="Q9790" s="17"/>
      <c r="R9790" s="17"/>
      <c r="S9790" s="17"/>
      <c r="T9790" s="17"/>
    </row>
    <row r="9791" spans="3:20" x14ac:dyDescent="0.35">
      <c r="C9791" s="15" t="s">
        <v>8</v>
      </c>
      <c r="F9791" s="15" t="s">
        <v>8</v>
      </c>
      <c r="G9791" s="15" t="s">
        <v>8</v>
      </c>
      <c r="H9791" s="15" t="s">
        <v>8</v>
      </c>
      <c r="L9791" s="15" t="s">
        <v>8</v>
      </c>
      <c r="O9791" s="15" t="s">
        <v>8</v>
      </c>
    </row>
    <row r="9792" spans="3:20" x14ac:dyDescent="0.35">
      <c r="C9792" s="15" t="s">
        <v>8</v>
      </c>
      <c r="F9792" s="15" t="s">
        <v>8</v>
      </c>
      <c r="G9792" s="15" t="s">
        <v>8</v>
      </c>
      <c r="H9792" s="15" t="s">
        <v>8</v>
      </c>
      <c r="L9792" s="15" t="s">
        <v>8</v>
      </c>
      <c r="N9792" s="21" t="str">
        <f>HYPERLINK("http://yeinfo.com/family/I09003166.html", "WILLIAM HATCHER Sr. 1613 EN-1680 VA ID:09006332")</f>
        <v>WILLIAM HATCHER Sr. 1613 EN-1680 VA ID:09006332</v>
      </c>
      <c r="O9792" s="6"/>
      <c r="P9792" s="6"/>
      <c r="Q9792" s="6"/>
      <c r="R9792" s="6"/>
    </row>
    <row r="9793" spans="3:19" x14ac:dyDescent="0.35">
      <c r="C9793" s="15" t="s">
        <v>8</v>
      </c>
      <c r="F9793" s="15" t="s">
        <v>8</v>
      </c>
      <c r="G9793" s="15" t="s">
        <v>8</v>
      </c>
      <c r="H9793" s="15" t="s">
        <v>8</v>
      </c>
      <c r="L9793" s="15" t="s">
        <v>8</v>
      </c>
      <c r="N9793" s="8" t="s">
        <v>3</v>
      </c>
      <c r="O9793" s="8" t="s">
        <v>6</v>
      </c>
    </row>
    <row r="9794" spans="3:19" x14ac:dyDescent="0.35">
      <c r="C9794" s="15" t="s">
        <v>8</v>
      </c>
      <c r="F9794" s="15" t="s">
        <v>8</v>
      </c>
      <c r="G9794" s="15" t="s">
        <v>8</v>
      </c>
      <c r="H9794" s="15" t="s">
        <v>8</v>
      </c>
      <c r="L9794" s="15" t="s">
        <v>8</v>
      </c>
      <c r="N9794" s="15" t="s">
        <v>8</v>
      </c>
      <c r="O9794" s="16" t="str">
        <f>HYPERLINK("http://yeinfo.com/family/I09025329.html", "Mrs. {_?_} HATCHER 1582 EN-1613  ID:09012665")</f>
        <v>Mrs. {_?_} HATCHER 1582 EN-1613  ID:09012665</v>
      </c>
      <c r="P9794" s="11"/>
      <c r="Q9794" s="11"/>
      <c r="R9794" s="11"/>
      <c r="S9794" s="11"/>
    </row>
    <row r="9795" spans="3:19" x14ac:dyDescent="0.35">
      <c r="C9795" s="15" t="s">
        <v>8</v>
      </c>
      <c r="F9795" s="15" t="s">
        <v>8</v>
      </c>
      <c r="G9795" s="15" t="s">
        <v>8</v>
      </c>
      <c r="H9795" s="15" t="s">
        <v>8</v>
      </c>
      <c r="L9795" s="15" t="s">
        <v>8</v>
      </c>
      <c r="N9795" s="15" t="s">
        <v>8</v>
      </c>
    </row>
    <row r="9796" spans="3:19" x14ac:dyDescent="0.35">
      <c r="C9796" s="15" t="s">
        <v>8</v>
      </c>
      <c r="F9796" s="15" t="s">
        <v>8</v>
      </c>
      <c r="G9796" s="15" t="s">
        <v>8</v>
      </c>
      <c r="H9796" s="15" t="s">
        <v>8</v>
      </c>
      <c r="L9796" s="15" t="s">
        <v>8</v>
      </c>
      <c r="M9796" s="5" t="str">
        <f>HYPERLINK("http://yeinfo.com/family/I09001583.html", "HENRY HATCHER Sr. 1639 VA-1677 VA ID:09003166")</f>
        <v>HENRY HATCHER Sr. 1639 VA-1677 VA ID:09003166</v>
      </c>
      <c r="N9796" s="3"/>
      <c r="O9796" s="3"/>
      <c r="P9796" s="3"/>
      <c r="Q9796" s="3"/>
    </row>
    <row r="9797" spans="3:19" x14ac:dyDescent="0.35">
      <c r="C9797" s="15" t="s">
        <v>8</v>
      </c>
      <c r="F9797" s="15" t="s">
        <v>8</v>
      </c>
      <c r="G9797" s="15" t="s">
        <v>8</v>
      </c>
      <c r="H9797" s="15" t="s">
        <v>8</v>
      </c>
      <c r="L9797" s="15" t="s">
        <v>8</v>
      </c>
      <c r="M9797" s="8" t="s">
        <v>3</v>
      </c>
      <c r="N9797" s="15" t="s">
        <v>8</v>
      </c>
    </row>
    <row r="9798" spans="3:19" x14ac:dyDescent="0.35">
      <c r="C9798" s="15" t="s">
        <v>8</v>
      </c>
      <c r="F9798" s="15" t="s">
        <v>8</v>
      </c>
      <c r="G9798" s="15" t="s">
        <v>8</v>
      </c>
      <c r="H9798" s="15" t="s">
        <v>8</v>
      </c>
      <c r="L9798" s="15" t="s">
        <v>8</v>
      </c>
      <c r="M9798" s="15" t="s">
        <v>8</v>
      </c>
      <c r="N9798" s="15" t="s">
        <v>8</v>
      </c>
      <c r="O9798" s="19" t="str">
        <f>HYPERLINK("http://yeinfo.com/family/I09006333.html", "CHRISTOPHER NEWPORT 1561 EN-1617 IO ID:09012666")</f>
        <v>CHRISTOPHER NEWPORT 1561 EN-1617 IO ID:09012666</v>
      </c>
      <c r="P9798" s="9"/>
      <c r="Q9798" s="9"/>
      <c r="R9798" s="9"/>
      <c r="S9798" s="9"/>
    </row>
    <row r="9799" spans="3:19" x14ac:dyDescent="0.35">
      <c r="C9799" s="15" t="s">
        <v>8</v>
      </c>
      <c r="F9799" s="15" t="s">
        <v>8</v>
      </c>
      <c r="G9799" s="15" t="s">
        <v>8</v>
      </c>
      <c r="H9799" s="15" t="s">
        <v>8</v>
      </c>
      <c r="L9799" s="15" t="s">
        <v>8</v>
      </c>
      <c r="M9799" s="15" t="s">
        <v>8</v>
      </c>
      <c r="N9799" s="8" t="s">
        <v>6</v>
      </c>
      <c r="O9799" s="8" t="s">
        <v>3</v>
      </c>
    </row>
    <row r="9800" spans="3:19" x14ac:dyDescent="0.35">
      <c r="C9800" s="15" t="s">
        <v>8</v>
      </c>
      <c r="F9800" s="15" t="s">
        <v>8</v>
      </c>
      <c r="G9800" s="15" t="s">
        <v>8</v>
      </c>
      <c r="H9800" s="15" t="s">
        <v>8</v>
      </c>
      <c r="L9800" s="15" t="s">
        <v>8</v>
      </c>
      <c r="M9800" s="15" t="s">
        <v>8</v>
      </c>
      <c r="N9800" s="22" t="str">
        <f>HYPERLINK("http://yeinfo.com/family/I09012665.html", "MARIAN NEWPORT 1611 EN-1646 VA ID:09006333")</f>
        <v>MARIAN NEWPORT 1611 EN-1646 VA ID:09006333</v>
      </c>
      <c r="O9800" s="13"/>
      <c r="P9800" s="13"/>
      <c r="Q9800" s="13"/>
      <c r="R9800" s="13"/>
    </row>
    <row r="9801" spans="3:19" x14ac:dyDescent="0.35">
      <c r="C9801" s="15" t="s">
        <v>8</v>
      </c>
      <c r="F9801" s="15" t="s">
        <v>8</v>
      </c>
      <c r="G9801" s="15" t="s">
        <v>8</v>
      </c>
      <c r="H9801" s="15" t="s">
        <v>8</v>
      </c>
      <c r="L9801" s="15" t="s">
        <v>8</v>
      </c>
      <c r="M9801" s="15" t="s">
        <v>8</v>
      </c>
      <c r="O9801" s="8" t="s">
        <v>6</v>
      </c>
    </row>
    <row r="9802" spans="3:19" x14ac:dyDescent="0.35">
      <c r="C9802" s="15" t="s">
        <v>8</v>
      </c>
      <c r="F9802" s="15" t="s">
        <v>8</v>
      </c>
      <c r="G9802" s="15" t="s">
        <v>8</v>
      </c>
      <c r="H9802" s="15" t="s">
        <v>8</v>
      </c>
      <c r="L9802" s="15" t="s">
        <v>8</v>
      </c>
      <c r="M9802" s="15" t="s">
        <v>8</v>
      </c>
      <c r="O9802" s="20" t="str">
        <f>HYPERLINK("http://yeinfo.com/family/I09012666.html", "ELIZABETH GLANVILLE 1568 EN-1614 EN ID:09012667")</f>
        <v>ELIZABETH GLANVILLE 1568 EN-1614 EN ID:09012667</v>
      </c>
      <c r="P9802" s="17"/>
      <c r="Q9802" s="17"/>
      <c r="R9802" s="17"/>
      <c r="S9802" s="17"/>
    </row>
    <row r="9803" spans="3:19" x14ac:dyDescent="0.35">
      <c r="C9803" s="15" t="s">
        <v>8</v>
      </c>
      <c r="F9803" s="15" t="s">
        <v>8</v>
      </c>
      <c r="G9803" s="15" t="s">
        <v>8</v>
      </c>
      <c r="H9803" s="15" t="s">
        <v>8</v>
      </c>
      <c r="L9803" s="8" t="s">
        <v>6</v>
      </c>
      <c r="M9803" s="15" t="s">
        <v>8</v>
      </c>
    </row>
    <row r="9804" spans="3:19" x14ac:dyDescent="0.35">
      <c r="C9804" s="15" t="s">
        <v>8</v>
      </c>
      <c r="F9804" s="15" t="s">
        <v>8</v>
      </c>
      <c r="G9804" s="15" t="s">
        <v>8</v>
      </c>
      <c r="H9804" s="15" t="s">
        <v>8</v>
      </c>
      <c r="L9804" s="16" t="str">
        <f>HYPERLINK("http://yeinfo.com/family/I09003165.html", "MARY HATCHER 1672 VA-1760 VA ID:09001583")</f>
        <v>MARY HATCHER 1672 VA-1760 VA ID:09001583</v>
      </c>
      <c r="M9804" s="11"/>
      <c r="N9804" s="11"/>
      <c r="O9804" s="11"/>
      <c r="P9804" s="11"/>
    </row>
    <row r="9805" spans="3:19" x14ac:dyDescent="0.35">
      <c r="C9805" s="15" t="s">
        <v>8</v>
      </c>
      <c r="F9805" s="15" t="s">
        <v>8</v>
      </c>
      <c r="G9805" s="15" t="s">
        <v>8</v>
      </c>
      <c r="H9805" s="15" t="s">
        <v>8</v>
      </c>
      <c r="M9805" s="15" t="s">
        <v>8</v>
      </c>
    </row>
    <row r="9806" spans="3:19" x14ac:dyDescent="0.35">
      <c r="C9806" s="15" t="s">
        <v>8</v>
      </c>
      <c r="F9806" s="15" t="s">
        <v>8</v>
      </c>
      <c r="G9806" s="15" t="s">
        <v>8</v>
      </c>
      <c r="H9806" s="15" t="s">
        <v>8</v>
      </c>
      <c r="M9806" s="15" t="s">
        <v>8</v>
      </c>
      <c r="N9806" s="21" t="str">
        <f>HYPERLINK("http://yeinfo.com/family/I09003167.html", "HENRY THOMAS LOUND 1617 EN-1708 VA ID:09006334")</f>
        <v>HENRY THOMAS LOUND 1617 EN-1708 VA ID:09006334</v>
      </c>
      <c r="O9806" s="6"/>
      <c r="P9806" s="6"/>
      <c r="Q9806" s="6"/>
      <c r="R9806" s="6"/>
    </row>
    <row r="9807" spans="3:19" x14ac:dyDescent="0.35">
      <c r="C9807" s="15" t="s">
        <v>8</v>
      </c>
      <c r="F9807" s="15" t="s">
        <v>8</v>
      </c>
      <c r="G9807" s="15" t="s">
        <v>8</v>
      </c>
      <c r="H9807" s="15" t="s">
        <v>8</v>
      </c>
      <c r="M9807" s="8" t="s">
        <v>6</v>
      </c>
      <c r="N9807" s="8" t="s">
        <v>3</v>
      </c>
    </row>
    <row r="9808" spans="3:19" x14ac:dyDescent="0.35">
      <c r="C9808" s="15" t="s">
        <v>8</v>
      </c>
      <c r="F9808" s="15" t="s">
        <v>8</v>
      </c>
      <c r="G9808" s="15" t="s">
        <v>8</v>
      </c>
      <c r="H9808" s="15" t="s">
        <v>8</v>
      </c>
      <c r="M9808" s="16" t="str">
        <f>HYPERLINK("http://yeinfo.com/family/I09012667.html", "ANNE LOUND 1641 VA-1708 VA ID:09003167")</f>
        <v>ANNE LOUND 1641 VA-1708 VA ID:09003167</v>
      </c>
      <c r="N9808" s="11"/>
      <c r="O9808" s="11"/>
      <c r="P9808" s="11"/>
      <c r="Q9808" s="11"/>
    </row>
    <row r="9809" spans="3:18" x14ac:dyDescent="0.35">
      <c r="C9809" s="15" t="s">
        <v>8</v>
      </c>
      <c r="F9809" s="15" t="s">
        <v>8</v>
      </c>
      <c r="G9809" s="15" t="s">
        <v>8</v>
      </c>
      <c r="H9809" s="15" t="s">
        <v>8</v>
      </c>
      <c r="N9809" s="8" t="s">
        <v>6</v>
      </c>
    </row>
    <row r="9810" spans="3:18" x14ac:dyDescent="0.35">
      <c r="C9810" s="15" t="s">
        <v>8</v>
      </c>
      <c r="F9810" s="15" t="s">
        <v>8</v>
      </c>
      <c r="G9810" s="15" t="s">
        <v>8</v>
      </c>
      <c r="H9810" s="15" t="s">
        <v>8</v>
      </c>
      <c r="N9810" s="22" t="str">
        <f>HYPERLINK("http://yeinfo.com/family/I09006334.html", "Mrs. ANN LOUND 1618 EN-1708 VA ID:09006335")</f>
        <v>Mrs. ANN LOUND 1618 EN-1708 VA ID:09006335</v>
      </c>
      <c r="O9810" s="13"/>
      <c r="P9810" s="13"/>
      <c r="Q9810" s="13"/>
      <c r="R9810" s="13"/>
    </row>
    <row r="9811" spans="3:18" x14ac:dyDescent="0.35">
      <c r="C9811" s="15" t="s">
        <v>8</v>
      </c>
      <c r="F9811" s="15" t="s">
        <v>8</v>
      </c>
      <c r="G9811" s="8" t="s">
        <v>6</v>
      </c>
      <c r="H9811" s="15" t="s">
        <v>8</v>
      </c>
    </row>
    <row r="9812" spans="3:18" x14ac:dyDescent="0.35">
      <c r="C9812" s="15" t="s">
        <v>8</v>
      </c>
      <c r="F9812" s="15" t="s">
        <v>8</v>
      </c>
      <c r="G9812" s="16" t="str">
        <f>HYPERLINK("http://yeinfo.com/family/I09000783.html", "CHRISTINA A. WALKER 1815 TN-1886 TN ID:09000049")</f>
        <v>CHRISTINA A. WALKER 1815 TN-1886 TN ID:09000049</v>
      </c>
      <c r="H9812" s="11"/>
      <c r="I9812" s="11"/>
      <c r="J9812" s="11"/>
      <c r="K9812" s="11"/>
    </row>
    <row r="9813" spans="3:18" x14ac:dyDescent="0.35">
      <c r="C9813" s="15" t="s">
        <v>8</v>
      </c>
      <c r="F9813" s="15" t="s">
        <v>8</v>
      </c>
      <c r="H9813" s="15" t="s">
        <v>8</v>
      </c>
    </row>
    <row r="9814" spans="3:18" x14ac:dyDescent="0.35">
      <c r="C9814" s="15" t="s">
        <v>8</v>
      </c>
      <c r="F9814" s="15" t="s">
        <v>8</v>
      </c>
      <c r="H9814" s="15" t="s">
        <v>8</v>
      </c>
      <c r="I9814" s="5" t="str">
        <f>HYPERLINK("http://yeinfo.com/family/I09000099.html", "HUGH CAMPBELL 1765 -1786  ID:09000198")</f>
        <v>HUGH CAMPBELL 1765 -1786  ID:09000198</v>
      </c>
      <c r="J9814" s="3"/>
      <c r="K9814" s="3"/>
      <c r="L9814" s="3"/>
      <c r="M9814" s="3"/>
    </row>
    <row r="9815" spans="3:18" x14ac:dyDescent="0.35">
      <c r="C9815" s="15" t="s">
        <v>8</v>
      </c>
      <c r="F9815" s="15" t="s">
        <v>8</v>
      </c>
      <c r="H9815" s="8" t="s">
        <v>6</v>
      </c>
      <c r="I9815" s="8" t="s">
        <v>3</v>
      </c>
    </row>
    <row r="9816" spans="3:18" x14ac:dyDescent="0.35">
      <c r="C9816" s="15" t="s">
        <v>8</v>
      </c>
      <c r="F9816" s="15" t="s">
        <v>8</v>
      </c>
      <c r="H9816" s="16" t="str">
        <f>HYPERLINK("http://yeinfo.com/family/I09006335.html", "MARY POLLY CAMPBELL 1786 KY-1865 TN ID:09000099")</f>
        <v>MARY POLLY CAMPBELL 1786 KY-1865 TN ID:09000099</v>
      </c>
      <c r="I9816" s="11"/>
      <c r="J9816" s="11"/>
      <c r="K9816" s="11"/>
      <c r="L9816" s="11"/>
    </row>
    <row r="9817" spans="3:18" x14ac:dyDescent="0.35">
      <c r="C9817" s="15" t="s">
        <v>8</v>
      </c>
      <c r="F9817" s="15" t="s">
        <v>8</v>
      </c>
      <c r="I9817" s="8" t="s">
        <v>6</v>
      </c>
    </row>
    <row r="9818" spans="3:18" x14ac:dyDescent="0.35">
      <c r="C9818" s="15" t="s">
        <v>8</v>
      </c>
      <c r="F9818" s="15" t="s">
        <v>8</v>
      </c>
      <c r="I9818" s="16" t="str">
        <f>HYPERLINK("http://yeinfo.com/family/I09000198.html", "ANN HANNAH 1767 VA-1786  ID:09000199")</f>
        <v>ANN HANNAH 1767 VA-1786  ID:09000199</v>
      </c>
      <c r="J9818" s="11"/>
      <c r="K9818" s="11"/>
      <c r="L9818" s="11"/>
      <c r="M9818" s="11"/>
    </row>
    <row r="9819" spans="3:18" x14ac:dyDescent="0.35">
      <c r="C9819" s="15" t="s">
        <v>8</v>
      </c>
      <c r="F9819" s="15" t="s">
        <v>8</v>
      </c>
    </row>
    <row r="9820" spans="3:18" x14ac:dyDescent="0.35">
      <c r="C9820" s="15" t="s">
        <v>8</v>
      </c>
      <c r="E9820" s="5" t="str">
        <f>HYPERLINK("http://yeinfo.com/family/I09000006.html", "ROBERT CARNAHAN DEATON 1867 TN-1939 CA ID:09000012")</f>
        <v>ROBERT CARNAHAN DEATON 1867 TN-1939 CA ID:09000012</v>
      </c>
      <c r="F9820" s="3"/>
      <c r="G9820" s="3"/>
      <c r="H9820" s="3"/>
      <c r="I9820" s="3"/>
    </row>
    <row r="9821" spans="3:18" x14ac:dyDescent="0.35">
      <c r="C9821" s="15" t="s">
        <v>8</v>
      </c>
      <c r="E9821" s="8" t="s">
        <v>3</v>
      </c>
      <c r="F9821" s="15" t="s">
        <v>8</v>
      </c>
    </row>
    <row r="9822" spans="3:18" x14ac:dyDescent="0.35">
      <c r="C9822" s="15" t="s">
        <v>8</v>
      </c>
      <c r="E9822" s="15" t="s">
        <v>8</v>
      </c>
      <c r="F9822" s="15" t="s">
        <v>8</v>
      </c>
      <c r="K9822" s="19" t="str">
        <f>HYPERLINK("http://yeinfo.com/family/I09000400.html", "WILLIAM CLENDENIN 1680 ST-1764 NI ID:09000800")</f>
        <v>WILLIAM CLENDENIN 1680 ST-1764 NI ID:09000800</v>
      </c>
      <c r="L9822" s="9"/>
      <c r="M9822" s="9"/>
      <c r="N9822" s="9"/>
      <c r="O9822" s="9"/>
    </row>
    <row r="9823" spans="3:18" x14ac:dyDescent="0.35">
      <c r="C9823" s="15" t="s">
        <v>8</v>
      </c>
      <c r="E9823" s="15" t="s">
        <v>8</v>
      </c>
      <c r="F9823" s="15" t="s">
        <v>8</v>
      </c>
      <c r="K9823" s="8" t="s">
        <v>3</v>
      </c>
    </row>
    <row r="9824" spans="3:18" x14ac:dyDescent="0.35">
      <c r="C9824" s="15" t="s">
        <v>8</v>
      </c>
      <c r="E9824" s="15" t="s">
        <v>8</v>
      </c>
      <c r="F9824" s="15" t="s">
        <v>8</v>
      </c>
      <c r="J9824" s="21" t="str">
        <f>HYPERLINK("http://yeinfo.com/family/I09000200.html", "WILLIAM CLENDENIN 1730 ST-1794 NC ID:09000400")</f>
        <v>WILLIAM CLENDENIN 1730 ST-1794 NC ID:09000400</v>
      </c>
      <c r="K9824" s="6"/>
      <c r="L9824" s="6"/>
      <c r="M9824" s="6"/>
      <c r="N9824" s="6"/>
    </row>
    <row r="9825" spans="3:15" x14ac:dyDescent="0.35">
      <c r="C9825" s="15" t="s">
        <v>8</v>
      </c>
      <c r="E9825" s="15" t="s">
        <v>8</v>
      </c>
      <c r="F9825" s="15" t="s">
        <v>8</v>
      </c>
      <c r="J9825" s="8" t="s">
        <v>3</v>
      </c>
      <c r="K9825" s="8" t="s">
        <v>6</v>
      </c>
    </row>
    <row r="9826" spans="3:15" x14ac:dyDescent="0.35">
      <c r="C9826" s="15" t="s">
        <v>8</v>
      </c>
      <c r="E9826" s="15" t="s">
        <v>8</v>
      </c>
      <c r="F9826" s="15" t="s">
        <v>8</v>
      </c>
      <c r="J9826" s="15" t="s">
        <v>8</v>
      </c>
      <c r="K9826" s="20" t="str">
        <f>HYPERLINK("http://yeinfo.com/family/I09000800.html", "ROSE ANNE KIRKPATRICK 1677 ST-1762 NI ID:09000801")</f>
        <v>ROSE ANNE KIRKPATRICK 1677 ST-1762 NI ID:09000801</v>
      </c>
      <c r="L9826" s="17"/>
      <c r="M9826" s="17"/>
      <c r="N9826" s="17"/>
      <c r="O9826" s="17"/>
    </row>
    <row r="9827" spans="3:15" x14ac:dyDescent="0.35">
      <c r="C9827" s="15" t="s">
        <v>8</v>
      </c>
      <c r="E9827" s="15" t="s">
        <v>8</v>
      </c>
      <c r="F9827" s="15" t="s">
        <v>8</v>
      </c>
      <c r="J9827" s="15" t="s">
        <v>8</v>
      </c>
    </row>
    <row r="9828" spans="3:15" x14ac:dyDescent="0.35">
      <c r="C9828" s="15" t="s">
        <v>8</v>
      </c>
      <c r="E9828" s="15" t="s">
        <v>8</v>
      </c>
      <c r="F9828" s="15" t="s">
        <v>8</v>
      </c>
      <c r="I9828" s="5" t="str">
        <f>HYPERLINK("http://yeinfo.com/family/I09000100.html", "FISHER DEHART CLENDENIN 1776 NC-1811 NC ID:09000200")</f>
        <v>FISHER DEHART CLENDENIN 1776 NC-1811 NC ID:09000200</v>
      </c>
      <c r="J9828" s="3"/>
      <c r="K9828" s="3"/>
      <c r="L9828" s="3"/>
      <c r="M9828" s="3"/>
    </row>
    <row r="9829" spans="3:15" x14ac:dyDescent="0.35">
      <c r="C9829" s="15" t="s">
        <v>8</v>
      </c>
      <c r="E9829" s="15" t="s">
        <v>8</v>
      </c>
      <c r="F9829" s="15" t="s">
        <v>8</v>
      </c>
      <c r="I9829" s="8" t="s">
        <v>3</v>
      </c>
      <c r="J9829" s="8" t="s">
        <v>6</v>
      </c>
    </row>
    <row r="9830" spans="3:15" x14ac:dyDescent="0.35">
      <c r="C9830" s="15" t="s">
        <v>8</v>
      </c>
      <c r="E9830" s="15" t="s">
        <v>8</v>
      </c>
      <c r="F9830" s="15" t="s">
        <v>8</v>
      </c>
      <c r="I9830" s="15" t="s">
        <v>8</v>
      </c>
      <c r="J9830" s="22" t="str">
        <f>HYPERLINK("http://yeinfo.com/family/I09000801.html", "MARY ANN GRAMMER 1731 IR-1798 NC ID:09000401")</f>
        <v>MARY ANN GRAMMER 1731 IR-1798 NC ID:09000401</v>
      </c>
      <c r="K9830" s="13"/>
      <c r="L9830" s="13"/>
      <c r="M9830" s="13"/>
      <c r="N9830" s="13"/>
    </row>
    <row r="9831" spans="3:15" x14ac:dyDescent="0.35">
      <c r="C9831" s="15" t="s">
        <v>8</v>
      </c>
      <c r="E9831" s="15" t="s">
        <v>8</v>
      </c>
      <c r="F9831" s="15" t="s">
        <v>8</v>
      </c>
      <c r="I9831" s="15" t="s">
        <v>8</v>
      </c>
    </row>
    <row r="9832" spans="3:15" x14ac:dyDescent="0.35">
      <c r="C9832" s="15" t="s">
        <v>8</v>
      </c>
      <c r="E9832" s="15" t="s">
        <v>8</v>
      </c>
      <c r="F9832" s="15" t="s">
        <v>8</v>
      </c>
      <c r="H9832" s="5" t="str">
        <f>HYPERLINK("http://yeinfo.com/family/I09000050.html", "THOMAS C. CLENDENIN 1797 NC-1880 IL ID:09000100")</f>
        <v>THOMAS C. CLENDENIN 1797 NC-1880 IL ID:09000100</v>
      </c>
      <c r="I9832" s="3"/>
      <c r="J9832" s="3"/>
      <c r="K9832" s="3"/>
      <c r="L9832" s="3"/>
    </row>
    <row r="9833" spans="3:15" x14ac:dyDescent="0.35">
      <c r="C9833" s="15" t="s">
        <v>8</v>
      </c>
      <c r="E9833" s="15" t="s">
        <v>8</v>
      </c>
      <c r="F9833" s="15" t="s">
        <v>8</v>
      </c>
      <c r="H9833" s="8" t="s">
        <v>3</v>
      </c>
      <c r="I9833" s="15" t="s">
        <v>8</v>
      </c>
    </row>
    <row r="9834" spans="3:15" x14ac:dyDescent="0.35">
      <c r="C9834" s="15" t="s">
        <v>8</v>
      </c>
      <c r="E9834" s="15" t="s">
        <v>8</v>
      </c>
      <c r="F9834" s="15" t="s">
        <v>8</v>
      </c>
      <c r="H9834" s="15" t="s">
        <v>8</v>
      </c>
      <c r="I9834" s="15" t="s">
        <v>8</v>
      </c>
      <c r="J9834" s="21" t="str">
        <f>HYPERLINK("http://yeinfo.com/family/I09000201.html", "THOMAS BRADSHAW 1750 IR-1834 NC ID:09000402")</f>
        <v>THOMAS BRADSHAW 1750 IR-1834 NC ID:09000402</v>
      </c>
      <c r="K9834" s="6"/>
      <c r="L9834" s="6"/>
      <c r="M9834" s="6"/>
      <c r="N9834" s="6"/>
    </row>
    <row r="9835" spans="3:15" x14ac:dyDescent="0.35">
      <c r="C9835" s="15" t="s">
        <v>8</v>
      </c>
      <c r="E9835" s="15" t="s">
        <v>8</v>
      </c>
      <c r="F9835" s="15" t="s">
        <v>8</v>
      </c>
      <c r="H9835" s="15" t="s">
        <v>8</v>
      </c>
      <c r="I9835" s="8" t="s">
        <v>6</v>
      </c>
      <c r="J9835" s="8" t="s">
        <v>3</v>
      </c>
    </row>
    <row r="9836" spans="3:15" x14ac:dyDescent="0.35">
      <c r="C9836" s="15" t="s">
        <v>8</v>
      </c>
      <c r="E9836" s="15" t="s">
        <v>8</v>
      </c>
      <c r="F9836" s="15" t="s">
        <v>8</v>
      </c>
      <c r="H9836" s="15" t="s">
        <v>8</v>
      </c>
      <c r="I9836" s="16" t="str">
        <f>HYPERLINK("http://yeinfo.com/family/I09000401.html", "ANNA BRADSHAW 1780 NC-1852 TN ID:09000201")</f>
        <v>ANNA BRADSHAW 1780 NC-1852 TN ID:09000201</v>
      </c>
      <c r="J9836" s="11"/>
      <c r="K9836" s="11"/>
      <c r="L9836" s="11"/>
      <c r="M9836" s="11"/>
    </row>
    <row r="9837" spans="3:15" x14ac:dyDescent="0.35">
      <c r="C9837" s="15" t="s">
        <v>8</v>
      </c>
      <c r="E9837" s="15" t="s">
        <v>8</v>
      </c>
      <c r="F9837" s="15" t="s">
        <v>8</v>
      </c>
      <c r="H9837" s="15" t="s">
        <v>8</v>
      </c>
      <c r="J9837" s="8" t="s">
        <v>6</v>
      </c>
    </row>
    <row r="9838" spans="3:15" x14ac:dyDescent="0.35">
      <c r="C9838" s="15" t="s">
        <v>8</v>
      </c>
      <c r="E9838" s="15" t="s">
        <v>8</v>
      </c>
      <c r="F9838" s="15" t="s">
        <v>8</v>
      </c>
      <c r="H9838" s="15" t="s">
        <v>8</v>
      </c>
      <c r="J9838" s="16" t="str">
        <f>HYPERLINK("http://yeinfo.com/family/I09000402.html", "LUTITIA WILLIAMS 1760 NC-1798 NC ID:09000403")</f>
        <v>LUTITIA WILLIAMS 1760 NC-1798 NC ID:09000403</v>
      </c>
      <c r="K9838" s="11"/>
      <c r="L9838" s="11"/>
      <c r="M9838" s="11"/>
      <c r="N9838" s="11"/>
    </row>
    <row r="9839" spans="3:15" x14ac:dyDescent="0.35">
      <c r="C9839" s="15" t="s">
        <v>8</v>
      </c>
      <c r="E9839" s="15" t="s">
        <v>8</v>
      </c>
      <c r="F9839" s="15" t="s">
        <v>8</v>
      </c>
      <c r="H9839" s="15" t="s">
        <v>8</v>
      </c>
    </row>
    <row r="9840" spans="3:15" x14ac:dyDescent="0.35">
      <c r="C9840" s="15" t="s">
        <v>8</v>
      </c>
      <c r="E9840" s="15" t="s">
        <v>8</v>
      </c>
      <c r="F9840" s="15" t="s">
        <v>8</v>
      </c>
      <c r="G9840" s="5" t="str">
        <f>HYPERLINK("http://yeinfo.com/family/I09000025.html", "SAMUEL G. CLENDENIN 1820 NC-1880 TN ID:09000050")</f>
        <v>SAMUEL G. CLENDENIN 1820 NC-1880 TN ID:09000050</v>
      </c>
      <c r="H9840" s="3"/>
      <c r="I9840" s="3"/>
      <c r="J9840" s="3"/>
      <c r="K9840" s="3"/>
    </row>
    <row r="9841" spans="3:18" x14ac:dyDescent="0.35">
      <c r="C9841" s="15" t="s">
        <v>8</v>
      </c>
      <c r="E9841" s="15" t="s">
        <v>8</v>
      </c>
      <c r="F9841" s="15" t="s">
        <v>8</v>
      </c>
      <c r="G9841" s="8" t="s">
        <v>3</v>
      </c>
      <c r="H9841" s="15" t="s">
        <v>8</v>
      </c>
    </row>
    <row r="9842" spans="3:18" x14ac:dyDescent="0.35">
      <c r="C9842" s="15" t="s">
        <v>8</v>
      </c>
      <c r="E9842" s="15" t="s">
        <v>8</v>
      </c>
      <c r="F9842" s="15" t="s">
        <v>8</v>
      </c>
      <c r="G9842" s="15" t="s">
        <v>8</v>
      </c>
      <c r="H9842" s="15" t="s">
        <v>8</v>
      </c>
      <c r="N9842" s="5" t="str">
        <f>HYPERLINK("http://yeinfo.com/family/I09003232.html", "ISAAC MOODY WOODY Sr. 1636 MA-1680 MA ID:09006464")</f>
        <v>ISAAC MOODY WOODY Sr. 1636 MA-1680 MA ID:09006464</v>
      </c>
      <c r="O9842" s="3"/>
      <c r="P9842" s="3"/>
      <c r="Q9842" s="3"/>
      <c r="R9842" s="3"/>
    </row>
    <row r="9843" spans="3:18" x14ac:dyDescent="0.35">
      <c r="C9843" s="15" t="s">
        <v>8</v>
      </c>
      <c r="E9843" s="15" t="s">
        <v>8</v>
      </c>
      <c r="F9843" s="15" t="s">
        <v>8</v>
      </c>
      <c r="G9843" s="15" t="s">
        <v>8</v>
      </c>
      <c r="H9843" s="15" t="s">
        <v>8</v>
      </c>
      <c r="N9843" s="8" t="s">
        <v>3</v>
      </c>
    </row>
    <row r="9844" spans="3:18" x14ac:dyDescent="0.35">
      <c r="C9844" s="15" t="s">
        <v>8</v>
      </c>
      <c r="E9844" s="15" t="s">
        <v>8</v>
      </c>
      <c r="F9844" s="15" t="s">
        <v>8</v>
      </c>
      <c r="G9844" s="15" t="s">
        <v>8</v>
      </c>
      <c r="H9844" s="15" t="s">
        <v>8</v>
      </c>
      <c r="M9844" s="5" t="str">
        <f>HYPERLINK("http://yeinfo.com/family/I09001616.html", "JOHN W. WOODY I 1659 MA-1695 MA ID:09003232")</f>
        <v>JOHN W. WOODY I 1659 MA-1695 MA ID:09003232</v>
      </c>
      <c r="N9844" s="3"/>
      <c r="O9844" s="3"/>
      <c r="P9844" s="3"/>
      <c r="Q9844" s="3"/>
    </row>
    <row r="9845" spans="3:18" x14ac:dyDescent="0.35">
      <c r="C9845" s="15" t="s">
        <v>8</v>
      </c>
      <c r="E9845" s="15" t="s">
        <v>8</v>
      </c>
      <c r="F9845" s="15" t="s">
        <v>8</v>
      </c>
      <c r="G9845" s="15" t="s">
        <v>8</v>
      </c>
      <c r="H9845" s="15" t="s">
        <v>8</v>
      </c>
      <c r="M9845" s="8" t="s">
        <v>3</v>
      </c>
      <c r="N9845" s="8" t="s">
        <v>6</v>
      </c>
    </row>
    <row r="9846" spans="3:18" x14ac:dyDescent="0.35">
      <c r="C9846" s="15" t="s">
        <v>8</v>
      </c>
      <c r="E9846" s="15" t="s">
        <v>8</v>
      </c>
      <c r="F9846" s="15" t="s">
        <v>8</v>
      </c>
      <c r="G9846" s="15" t="s">
        <v>8</v>
      </c>
      <c r="H9846" s="15" t="s">
        <v>8</v>
      </c>
      <c r="M9846" s="15" t="s">
        <v>8</v>
      </c>
      <c r="N9846" s="22" t="str">
        <f>HYPERLINK("http://yeinfo.com/family/I09006464.html", "DORCAS HARPER 1636 EN-1695 MA ID:09006465")</f>
        <v>DORCAS HARPER 1636 EN-1695 MA ID:09006465</v>
      </c>
      <c r="O9846" s="13"/>
      <c r="P9846" s="13"/>
      <c r="Q9846" s="13"/>
      <c r="R9846" s="13"/>
    </row>
    <row r="9847" spans="3:18" x14ac:dyDescent="0.35">
      <c r="C9847" s="15" t="s">
        <v>8</v>
      </c>
      <c r="E9847" s="15" t="s">
        <v>8</v>
      </c>
      <c r="F9847" s="15" t="s">
        <v>8</v>
      </c>
      <c r="G9847" s="15" t="s">
        <v>8</v>
      </c>
      <c r="H9847" s="15" t="s">
        <v>8</v>
      </c>
      <c r="M9847" s="15" t="s">
        <v>8</v>
      </c>
    </row>
    <row r="9848" spans="3:18" x14ac:dyDescent="0.35">
      <c r="C9848" s="15" t="s">
        <v>8</v>
      </c>
      <c r="E9848" s="15" t="s">
        <v>8</v>
      </c>
      <c r="F9848" s="15" t="s">
        <v>8</v>
      </c>
      <c r="G9848" s="15" t="s">
        <v>8</v>
      </c>
      <c r="H9848" s="15" t="s">
        <v>8</v>
      </c>
      <c r="L9848" s="5" t="str">
        <f>HYPERLINK("http://yeinfo.com/family/I09000808.html", "JOHN WOODY II 1688 MA-1740 VA ID:09001616")</f>
        <v>JOHN WOODY II 1688 MA-1740 VA ID:09001616</v>
      </c>
      <c r="M9848" s="3"/>
      <c r="N9848" s="3"/>
      <c r="O9848" s="3"/>
      <c r="P9848" s="3"/>
    </row>
    <row r="9849" spans="3:18" x14ac:dyDescent="0.35">
      <c r="C9849" s="15" t="s">
        <v>8</v>
      </c>
      <c r="E9849" s="15" t="s">
        <v>8</v>
      </c>
      <c r="F9849" s="15" t="s">
        <v>8</v>
      </c>
      <c r="G9849" s="15" t="s">
        <v>8</v>
      </c>
      <c r="H9849" s="15" t="s">
        <v>8</v>
      </c>
      <c r="L9849" s="8" t="s">
        <v>3</v>
      </c>
      <c r="M9849" s="15" t="s">
        <v>8</v>
      </c>
    </row>
    <row r="9850" spans="3:18" x14ac:dyDescent="0.35">
      <c r="C9850" s="15" t="s">
        <v>8</v>
      </c>
      <c r="E9850" s="15" t="s">
        <v>8</v>
      </c>
      <c r="F9850" s="15" t="s">
        <v>8</v>
      </c>
      <c r="G9850" s="15" t="s">
        <v>8</v>
      </c>
      <c r="H9850" s="15" t="s">
        <v>8</v>
      </c>
      <c r="L9850" s="15" t="s">
        <v>8</v>
      </c>
      <c r="M9850" s="15" t="s">
        <v>8</v>
      </c>
      <c r="N9850" s="21" t="str">
        <f>HYPERLINK("http://yeinfo.com/family/I09003233.html", "MOSES WINCHESTER 1630 EN-1700 MA ID:09006466")</f>
        <v>MOSES WINCHESTER 1630 EN-1700 MA ID:09006466</v>
      </c>
      <c r="O9850" s="6"/>
      <c r="P9850" s="6"/>
      <c r="Q9850" s="6"/>
      <c r="R9850" s="6"/>
    </row>
    <row r="9851" spans="3:18" x14ac:dyDescent="0.35">
      <c r="C9851" s="15" t="s">
        <v>8</v>
      </c>
      <c r="E9851" s="15" t="s">
        <v>8</v>
      </c>
      <c r="F9851" s="15" t="s">
        <v>8</v>
      </c>
      <c r="G9851" s="15" t="s">
        <v>8</v>
      </c>
      <c r="H9851" s="15" t="s">
        <v>8</v>
      </c>
      <c r="L9851" s="15" t="s">
        <v>8</v>
      </c>
      <c r="M9851" s="8" t="s">
        <v>6</v>
      </c>
      <c r="N9851" s="8" t="s">
        <v>3</v>
      </c>
    </row>
    <row r="9852" spans="3:18" x14ac:dyDescent="0.35">
      <c r="C9852" s="15" t="s">
        <v>8</v>
      </c>
      <c r="E9852" s="15" t="s">
        <v>8</v>
      </c>
      <c r="F9852" s="15" t="s">
        <v>8</v>
      </c>
      <c r="G9852" s="15" t="s">
        <v>8</v>
      </c>
      <c r="H9852" s="15" t="s">
        <v>8</v>
      </c>
      <c r="L9852" s="15" t="s">
        <v>8</v>
      </c>
      <c r="M9852" s="16" t="str">
        <f>HYPERLINK("http://yeinfo.com/family/I09006465.html", "MARY WINCHESTER 1661 MA-1691 MA ID:09003233")</f>
        <v>MARY WINCHESTER 1661 MA-1691 MA ID:09003233</v>
      </c>
      <c r="N9852" s="11"/>
      <c r="O9852" s="11"/>
      <c r="P9852" s="11"/>
      <c r="Q9852" s="11"/>
    </row>
    <row r="9853" spans="3:18" x14ac:dyDescent="0.35">
      <c r="C9853" s="15" t="s">
        <v>8</v>
      </c>
      <c r="E9853" s="15" t="s">
        <v>8</v>
      </c>
      <c r="F9853" s="15" t="s">
        <v>8</v>
      </c>
      <c r="G9853" s="15" t="s">
        <v>8</v>
      </c>
      <c r="H9853" s="15" t="s">
        <v>8</v>
      </c>
      <c r="L9853" s="15" t="s">
        <v>8</v>
      </c>
      <c r="N9853" s="8" t="s">
        <v>6</v>
      </c>
    </row>
    <row r="9854" spans="3:18" x14ac:dyDescent="0.35">
      <c r="C9854" s="15" t="s">
        <v>8</v>
      </c>
      <c r="E9854" s="15" t="s">
        <v>8</v>
      </c>
      <c r="F9854" s="15" t="s">
        <v>8</v>
      </c>
      <c r="G9854" s="15" t="s">
        <v>8</v>
      </c>
      <c r="H9854" s="15" t="s">
        <v>8</v>
      </c>
      <c r="L9854" s="15" t="s">
        <v>8</v>
      </c>
      <c r="N9854" s="22" t="str">
        <f>HYPERLINK("http://yeinfo.com/family/I09006466.html", "MARY KINNEBROOKE 1640 EN-1726 MA ID:09006467")</f>
        <v>MARY KINNEBROOKE 1640 EN-1726 MA ID:09006467</v>
      </c>
      <c r="O9854" s="13"/>
      <c r="P9854" s="13"/>
      <c r="Q9854" s="13"/>
      <c r="R9854" s="13"/>
    </row>
    <row r="9855" spans="3:18" x14ac:dyDescent="0.35">
      <c r="C9855" s="15" t="s">
        <v>8</v>
      </c>
      <c r="E9855" s="15" t="s">
        <v>8</v>
      </c>
      <c r="F9855" s="15" t="s">
        <v>8</v>
      </c>
      <c r="G9855" s="15" t="s">
        <v>8</v>
      </c>
      <c r="H9855" s="15" t="s">
        <v>8</v>
      </c>
      <c r="L9855" s="15" t="s">
        <v>8</v>
      </c>
    </row>
    <row r="9856" spans="3:18" x14ac:dyDescent="0.35">
      <c r="C9856" s="15" t="s">
        <v>8</v>
      </c>
      <c r="E9856" s="15" t="s">
        <v>8</v>
      </c>
      <c r="F9856" s="15" t="s">
        <v>8</v>
      </c>
      <c r="G9856" s="15" t="s">
        <v>8</v>
      </c>
      <c r="H9856" s="15" t="s">
        <v>8</v>
      </c>
      <c r="K9856" s="5" t="str">
        <f>HYPERLINK("http://yeinfo.com/family/I09000404.html", "JOHN WOODY III 1715 MA-1762 NC ID:09000808")</f>
        <v>JOHN WOODY III 1715 MA-1762 NC ID:09000808</v>
      </c>
      <c r="L9856" s="3"/>
      <c r="M9856" s="3"/>
      <c r="N9856" s="3"/>
      <c r="O9856" s="3"/>
    </row>
    <row r="9857" spans="3:19" x14ac:dyDescent="0.35">
      <c r="C9857" s="15" t="s">
        <v>8</v>
      </c>
      <c r="E9857" s="15" t="s">
        <v>8</v>
      </c>
      <c r="F9857" s="15" t="s">
        <v>8</v>
      </c>
      <c r="G9857" s="15" t="s">
        <v>8</v>
      </c>
      <c r="H9857" s="15" t="s">
        <v>8</v>
      </c>
      <c r="K9857" s="8" t="s">
        <v>3</v>
      </c>
      <c r="L9857" s="15" t="s">
        <v>8</v>
      </c>
    </row>
    <row r="9858" spans="3:19" x14ac:dyDescent="0.35">
      <c r="C9858" s="15" t="s">
        <v>8</v>
      </c>
      <c r="E9858" s="15" t="s">
        <v>8</v>
      </c>
      <c r="F9858" s="15" t="s">
        <v>8</v>
      </c>
      <c r="G9858" s="15" t="s">
        <v>8</v>
      </c>
      <c r="H9858" s="15" t="s">
        <v>8</v>
      </c>
      <c r="K9858" s="15" t="s">
        <v>8</v>
      </c>
      <c r="L9858" s="15" t="s">
        <v>8</v>
      </c>
      <c r="N9858" s="21" t="str">
        <f>HYPERLINK("http://yeinfo.com/family/I09003234.html", "WILLIAM GOWEN 1640 ST-1686 ME ID:09006468")</f>
        <v>WILLIAM GOWEN 1640 ST-1686 ME ID:09006468</v>
      </c>
      <c r="O9858" s="6"/>
      <c r="P9858" s="6"/>
      <c r="Q9858" s="6"/>
      <c r="R9858" s="6"/>
    </row>
    <row r="9859" spans="3:19" x14ac:dyDescent="0.35">
      <c r="C9859" s="15" t="s">
        <v>8</v>
      </c>
      <c r="E9859" s="15" t="s">
        <v>8</v>
      </c>
      <c r="F9859" s="15" t="s">
        <v>8</v>
      </c>
      <c r="G9859" s="15" t="s">
        <v>8</v>
      </c>
      <c r="H9859" s="15" t="s">
        <v>8</v>
      </c>
      <c r="K9859" s="15" t="s">
        <v>8</v>
      </c>
      <c r="L9859" s="15" t="s">
        <v>8</v>
      </c>
      <c r="N9859" s="8" t="s">
        <v>3</v>
      </c>
    </row>
    <row r="9860" spans="3:19" x14ac:dyDescent="0.35">
      <c r="C9860" s="15" t="s">
        <v>8</v>
      </c>
      <c r="E9860" s="15" t="s">
        <v>8</v>
      </c>
      <c r="F9860" s="15" t="s">
        <v>8</v>
      </c>
      <c r="G9860" s="15" t="s">
        <v>8</v>
      </c>
      <c r="H9860" s="15" t="s">
        <v>8</v>
      </c>
      <c r="K9860" s="15" t="s">
        <v>8</v>
      </c>
      <c r="L9860" s="15" t="s">
        <v>8</v>
      </c>
      <c r="M9860" s="5" t="str">
        <f>HYPERLINK("http://yeinfo.com/family/I09001617.html", "JOHN GOWEN 1668 ME-1733 ME ID:09003234")</f>
        <v>JOHN GOWEN 1668 ME-1733 ME ID:09003234</v>
      </c>
      <c r="N9860" s="3"/>
      <c r="O9860" s="3"/>
      <c r="P9860" s="3"/>
      <c r="Q9860" s="3"/>
    </row>
    <row r="9861" spans="3:19" x14ac:dyDescent="0.35">
      <c r="C9861" s="15" t="s">
        <v>8</v>
      </c>
      <c r="E9861" s="15" t="s">
        <v>8</v>
      </c>
      <c r="F9861" s="15" t="s">
        <v>8</v>
      </c>
      <c r="G9861" s="15" t="s">
        <v>8</v>
      </c>
      <c r="H9861" s="15" t="s">
        <v>8</v>
      </c>
      <c r="K9861" s="15" t="s">
        <v>8</v>
      </c>
      <c r="L9861" s="15" t="s">
        <v>8</v>
      </c>
      <c r="M9861" s="8" t="s">
        <v>3</v>
      </c>
      <c r="N9861" s="15" t="s">
        <v>8</v>
      </c>
    </row>
    <row r="9862" spans="3:19" x14ac:dyDescent="0.35">
      <c r="C9862" s="15" t="s">
        <v>8</v>
      </c>
      <c r="E9862" s="15" t="s">
        <v>8</v>
      </c>
      <c r="F9862" s="15" t="s">
        <v>8</v>
      </c>
      <c r="G9862" s="15" t="s">
        <v>8</v>
      </c>
      <c r="H9862" s="15" t="s">
        <v>8</v>
      </c>
      <c r="K9862" s="15" t="s">
        <v>8</v>
      </c>
      <c r="L9862" s="15" t="s">
        <v>8</v>
      </c>
      <c r="M9862" s="15" t="s">
        <v>8</v>
      </c>
      <c r="N9862" s="15" t="s">
        <v>8</v>
      </c>
      <c r="O9862" s="6"/>
      <c r="P9862" s="6"/>
      <c r="Q9862" s="6"/>
      <c r="R9862" s="6"/>
      <c r="S9862" s="6"/>
    </row>
    <row r="9863" spans="3:19" x14ac:dyDescent="0.35">
      <c r="C9863" s="15" t="s">
        <v>8</v>
      </c>
      <c r="E9863" s="15" t="s">
        <v>8</v>
      </c>
      <c r="F9863" s="15" t="s">
        <v>8</v>
      </c>
      <c r="G9863" s="15" t="s">
        <v>8</v>
      </c>
      <c r="H9863" s="15" t="s">
        <v>8</v>
      </c>
      <c r="K9863" s="15" t="s">
        <v>8</v>
      </c>
      <c r="L9863" s="15" t="s">
        <v>8</v>
      </c>
      <c r="M9863" s="15" t="s">
        <v>8</v>
      </c>
      <c r="N9863" s="8" t="s">
        <v>6</v>
      </c>
      <c r="O9863" s="8" t="s">
        <v>8</v>
      </c>
    </row>
    <row r="9864" spans="3:19" x14ac:dyDescent="0.35">
      <c r="C9864" s="15" t="s">
        <v>8</v>
      </c>
      <c r="E9864" s="15" t="s">
        <v>8</v>
      </c>
      <c r="F9864" s="15" t="s">
        <v>8</v>
      </c>
      <c r="G9864" s="15" t="s">
        <v>8</v>
      </c>
      <c r="H9864" s="15" t="s">
        <v>8</v>
      </c>
      <c r="K9864" s="15" t="s">
        <v>8</v>
      </c>
      <c r="L9864" s="15" t="s">
        <v>8</v>
      </c>
      <c r="M9864" s="15" t="s">
        <v>8</v>
      </c>
      <c r="N9864" s="16" t="str">
        <f>HYPERLINK("http://yeinfo.com/family/I09006468.html", "ELIZABETH FROST 1640 ME-1732 MA ID:09006469")</f>
        <v>ELIZABETH FROST 1640 ME-1732 MA ID:09006469</v>
      </c>
      <c r="O9864" s="11"/>
      <c r="P9864" s="11"/>
      <c r="Q9864" s="11"/>
      <c r="R9864" s="11"/>
    </row>
    <row r="9865" spans="3:19" x14ac:dyDescent="0.35">
      <c r="C9865" s="15" t="s">
        <v>8</v>
      </c>
      <c r="E9865" s="15" t="s">
        <v>8</v>
      </c>
      <c r="F9865" s="15" t="s">
        <v>8</v>
      </c>
      <c r="G9865" s="15" t="s">
        <v>8</v>
      </c>
      <c r="H9865" s="15" t="s">
        <v>8</v>
      </c>
      <c r="K9865" s="15" t="s">
        <v>8</v>
      </c>
      <c r="L9865" s="15" t="s">
        <v>8</v>
      </c>
      <c r="M9865" s="15" t="s">
        <v>8</v>
      </c>
      <c r="O9865" s="8" t="s">
        <v>6</v>
      </c>
    </row>
    <row r="9866" spans="3:19" x14ac:dyDescent="0.35">
      <c r="C9866" s="15" t="s">
        <v>8</v>
      </c>
      <c r="E9866" s="15" t="s">
        <v>8</v>
      </c>
      <c r="F9866" s="15" t="s">
        <v>8</v>
      </c>
      <c r="G9866" s="15" t="s">
        <v>8</v>
      </c>
      <c r="H9866" s="15" t="s">
        <v>8</v>
      </c>
      <c r="K9866" s="15" t="s">
        <v>8</v>
      </c>
      <c r="L9866" s="15" t="s">
        <v>8</v>
      </c>
      <c r="M9866" s="15" t="s">
        <v>8</v>
      </c>
      <c r="O9866" s="13"/>
      <c r="P9866" s="13"/>
      <c r="Q9866" s="13"/>
      <c r="R9866" s="13"/>
      <c r="S9866" s="13"/>
    </row>
    <row r="9867" spans="3:19" x14ac:dyDescent="0.35">
      <c r="C9867" s="15" t="s">
        <v>8</v>
      </c>
      <c r="E9867" s="15" t="s">
        <v>8</v>
      </c>
      <c r="F9867" s="15" t="s">
        <v>8</v>
      </c>
      <c r="G9867" s="15" t="s">
        <v>8</v>
      </c>
      <c r="H9867" s="15" t="s">
        <v>8</v>
      </c>
      <c r="K9867" s="15" t="s">
        <v>8</v>
      </c>
      <c r="L9867" s="8" t="s">
        <v>6</v>
      </c>
      <c r="M9867" s="15" t="s">
        <v>8</v>
      </c>
    </row>
    <row r="9868" spans="3:19" x14ac:dyDescent="0.35">
      <c r="C9868" s="15" t="s">
        <v>8</v>
      </c>
      <c r="E9868" s="15" t="s">
        <v>8</v>
      </c>
      <c r="F9868" s="15" t="s">
        <v>8</v>
      </c>
      <c r="G9868" s="15" t="s">
        <v>8</v>
      </c>
      <c r="H9868" s="15" t="s">
        <v>8</v>
      </c>
      <c r="K9868" s="15" t="s">
        <v>8</v>
      </c>
      <c r="L9868" s="16" t="str">
        <f>HYPERLINK("http://yeinfo.com/family/I09006467.html", "MARY GOWEN 1688 MA-1755 NC ID:09001617")</f>
        <v>MARY GOWEN 1688 MA-1755 NC ID:09001617</v>
      </c>
      <c r="M9868" s="11"/>
      <c r="N9868" s="11"/>
      <c r="O9868" s="11"/>
      <c r="P9868" s="11"/>
    </row>
    <row r="9869" spans="3:19" x14ac:dyDescent="0.35">
      <c r="C9869" s="15" t="s">
        <v>8</v>
      </c>
      <c r="E9869" s="15" t="s">
        <v>8</v>
      </c>
      <c r="F9869" s="15" t="s">
        <v>8</v>
      </c>
      <c r="G9869" s="15" t="s">
        <v>8</v>
      </c>
      <c r="H9869" s="15" t="s">
        <v>8</v>
      </c>
      <c r="K9869" s="15" t="s">
        <v>8</v>
      </c>
      <c r="M9869" s="15" t="s">
        <v>8</v>
      </c>
    </row>
    <row r="9870" spans="3:19" x14ac:dyDescent="0.35">
      <c r="C9870" s="15" t="s">
        <v>8</v>
      </c>
      <c r="E9870" s="15" t="s">
        <v>8</v>
      </c>
      <c r="F9870" s="15" t="s">
        <v>8</v>
      </c>
      <c r="G9870" s="15" t="s">
        <v>8</v>
      </c>
      <c r="H9870" s="15" t="s">
        <v>8</v>
      </c>
      <c r="K9870" s="15" t="s">
        <v>8</v>
      </c>
      <c r="M9870" s="15" t="s">
        <v>8</v>
      </c>
      <c r="N9870" s="5" t="str">
        <f>HYPERLINK("http://yeinfo.com/family/I09003235.html", "JOSEPH HAMMOND 1646 ME-1710 ME ID:09006470")</f>
        <v>JOSEPH HAMMOND 1646 ME-1710 ME ID:09006470</v>
      </c>
      <c r="O9870" s="3"/>
      <c r="P9870" s="3"/>
      <c r="Q9870" s="3"/>
      <c r="R9870" s="3"/>
    </row>
    <row r="9871" spans="3:19" x14ac:dyDescent="0.35">
      <c r="C9871" s="15" t="s">
        <v>8</v>
      </c>
      <c r="E9871" s="15" t="s">
        <v>8</v>
      </c>
      <c r="F9871" s="15" t="s">
        <v>8</v>
      </c>
      <c r="G9871" s="15" t="s">
        <v>8</v>
      </c>
      <c r="H9871" s="15" t="s">
        <v>8</v>
      </c>
      <c r="K9871" s="15" t="s">
        <v>8</v>
      </c>
      <c r="M9871" s="8" t="s">
        <v>6</v>
      </c>
      <c r="N9871" s="8" t="s">
        <v>3</v>
      </c>
    </row>
    <row r="9872" spans="3:19" x14ac:dyDescent="0.35">
      <c r="C9872" s="15" t="s">
        <v>8</v>
      </c>
      <c r="E9872" s="15" t="s">
        <v>8</v>
      </c>
      <c r="F9872" s="15" t="s">
        <v>8</v>
      </c>
      <c r="G9872" s="15" t="s">
        <v>8</v>
      </c>
      <c r="H9872" s="15" t="s">
        <v>8</v>
      </c>
      <c r="K9872" s="15" t="s">
        <v>8</v>
      </c>
      <c r="M9872" s="16" t="str">
        <f>HYPERLINK("http://yeinfo.com/family/I09012939.html", "MERCY HAMMOND 1672 ME-1733 ME ID:09003235")</f>
        <v>MERCY HAMMOND 1672 ME-1733 ME ID:09003235</v>
      </c>
      <c r="N9872" s="11"/>
      <c r="O9872" s="11"/>
      <c r="P9872" s="11"/>
      <c r="Q9872" s="11"/>
    </row>
    <row r="9873" spans="3:19" x14ac:dyDescent="0.35">
      <c r="C9873" s="15" t="s">
        <v>8</v>
      </c>
      <c r="E9873" s="15" t="s">
        <v>8</v>
      </c>
      <c r="F9873" s="15" t="s">
        <v>8</v>
      </c>
      <c r="G9873" s="15" t="s">
        <v>8</v>
      </c>
      <c r="H9873" s="15" t="s">
        <v>8</v>
      </c>
      <c r="K9873" s="15" t="s">
        <v>8</v>
      </c>
      <c r="N9873" s="15" t="s">
        <v>8</v>
      </c>
    </row>
    <row r="9874" spans="3:19" x14ac:dyDescent="0.35">
      <c r="C9874" s="15" t="s">
        <v>8</v>
      </c>
      <c r="E9874" s="15" t="s">
        <v>8</v>
      </c>
      <c r="F9874" s="15" t="s">
        <v>8</v>
      </c>
      <c r="G9874" s="15" t="s">
        <v>8</v>
      </c>
      <c r="H9874" s="15" t="s">
        <v>8</v>
      </c>
      <c r="K9874" s="15" t="s">
        <v>8</v>
      </c>
      <c r="N9874" s="15" t="s">
        <v>8</v>
      </c>
      <c r="O9874" s="6"/>
      <c r="P9874" s="6"/>
      <c r="Q9874" s="6"/>
      <c r="R9874" s="6"/>
      <c r="S9874" s="6"/>
    </row>
    <row r="9875" spans="3:19" x14ac:dyDescent="0.35">
      <c r="C9875" s="15" t="s">
        <v>8</v>
      </c>
      <c r="E9875" s="15" t="s">
        <v>8</v>
      </c>
      <c r="F9875" s="15" t="s">
        <v>8</v>
      </c>
      <c r="G9875" s="15" t="s">
        <v>8</v>
      </c>
      <c r="H9875" s="15" t="s">
        <v>8</v>
      </c>
      <c r="K9875" s="15" t="s">
        <v>8</v>
      </c>
      <c r="N9875" s="8" t="s">
        <v>6</v>
      </c>
      <c r="O9875" s="8" t="s">
        <v>8</v>
      </c>
    </row>
    <row r="9876" spans="3:19" x14ac:dyDescent="0.35">
      <c r="C9876" s="15" t="s">
        <v>8</v>
      </c>
      <c r="E9876" s="15" t="s">
        <v>8</v>
      </c>
      <c r="F9876" s="15" t="s">
        <v>8</v>
      </c>
      <c r="G9876" s="15" t="s">
        <v>8</v>
      </c>
      <c r="H9876" s="15" t="s">
        <v>8</v>
      </c>
      <c r="K9876" s="15" t="s">
        <v>8</v>
      </c>
      <c r="N9876" s="16" t="str">
        <f>HYPERLINK("http://yeinfo.com/family/I09006470.html", "KATHERINE FROST 1637 MA-1715 ME ID:09006471")</f>
        <v>KATHERINE FROST 1637 MA-1715 ME ID:09006471</v>
      </c>
      <c r="O9876" s="11"/>
      <c r="P9876" s="11"/>
      <c r="Q9876" s="11"/>
      <c r="R9876" s="11"/>
    </row>
    <row r="9877" spans="3:19" x14ac:dyDescent="0.35">
      <c r="C9877" s="15" t="s">
        <v>8</v>
      </c>
      <c r="E9877" s="15" t="s">
        <v>8</v>
      </c>
      <c r="F9877" s="15" t="s">
        <v>8</v>
      </c>
      <c r="G9877" s="15" t="s">
        <v>8</v>
      </c>
      <c r="H9877" s="15" t="s">
        <v>8</v>
      </c>
      <c r="K9877" s="15" t="s">
        <v>8</v>
      </c>
      <c r="O9877" s="8" t="s">
        <v>6</v>
      </c>
    </row>
    <row r="9878" spans="3:19" x14ac:dyDescent="0.35">
      <c r="C9878" s="15" t="s">
        <v>8</v>
      </c>
      <c r="E9878" s="15" t="s">
        <v>8</v>
      </c>
      <c r="F9878" s="15" t="s">
        <v>8</v>
      </c>
      <c r="G9878" s="15" t="s">
        <v>8</v>
      </c>
      <c r="H9878" s="15" t="s">
        <v>8</v>
      </c>
      <c r="K9878" s="15" t="s">
        <v>8</v>
      </c>
      <c r="O9878" s="13"/>
      <c r="P9878" s="13"/>
      <c r="Q9878" s="13"/>
      <c r="R9878" s="13"/>
      <c r="S9878" s="13"/>
    </row>
    <row r="9879" spans="3:19" x14ac:dyDescent="0.35">
      <c r="C9879" s="15" t="s">
        <v>8</v>
      </c>
      <c r="E9879" s="15" t="s">
        <v>8</v>
      </c>
      <c r="F9879" s="15" t="s">
        <v>8</v>
      </c>
      <c r="G9879" s="15" t="s">
        <v>8</v>
      </c>
      <c r="H9879" s="15" t="s">
        <v>8</v>
      </c>
      <c r="K9879" s="15" t="s">
        <v>8</v>
      </c>
    </row>
    <row r="9880" spans="3:19" x14ac:dyDescent="0.35">
      <c r="C9880" s="15" t="s">
        <v>8</v>
      </c>
      <c r="E9880" s="15" t="s">
        <v>8</v>
      </c>
      <c r="F9880" s="15" t="s">
        <v>8</v>
      </c>
      <c r="G9880" s="15" t="s">
        <v>8</v>
      </c>
      <c r="H9880" s="15" t="s">
        <v>8</v>
      </c>
      <c r="J9880" s="5" t="str">
        <f>HYPERLINK("http://yeinfo.com/family/I09000202.html", "JOSEPH WOODY Sr. 1748 MD-1815 NC ID:09000404")</f>
        <v>JOSEPH WOODY Sr. 1748 MD-1815 NC ID:09000404</v>
      </c>
      <c r="K9880" s="3"/>
      <c r="L9880" s="3"/>
      <c r="M9880" s="3"/>
      <c r="N9880" s="3"/>
    </row>
    <row r="9881" spans="3:19" x14ac:dyDescent="0.35">
      <c r="C9881" s="15" t="s">
        <v>8</v>
      </c>
      <c r="E9881" s="15" t="s">
        <v>8</v>
      </c>
      <c r="F9881" s="15" t="s">
        <v>8</v>
      </c>
      <c r="G9881" s="15" t="s">
        <v>8</v>
      </c>
      <c r="H9881" s="15" t="s">
        <v>8</v>
      </c>
      <c r="J9881" s="8" t="s">
        <v>3</v>
      </c>
      <c r="K9881" s="15" t="s">
        <v>8</v>
      </c>
    </row>
    <row r="9882" spans="3:19" x14ac:dyDescent="0.35">
      <c r="C9882" s="15" t="s">
        <v>8</v>
      </c>
      <c r="E9882" s="15" t="s">
        <v>8</v>
      </c>
      <c r="F9882" s="15" t="s">
        <v>8</v>
      </c>
      <c r="G9882" s="15" t="s">
        <v>8</v>
      </c>
      <c r="H9882" s="15" t="s">
        <v>8</v>
      </c>
      <c r="J9882" s="15" t="s">
        <v>8</v>
      </c>
      <c r="K9882" s="15" t="s">
        <v>8</v>
      </c>
      <c r="L9882" s="21" t="str">
        <f>HYPERLINK("http://yeinfo.com/family/I09000809.html", "JAMES LINDLEY Jr. 1681 IR-1726 PA ID:09001618")</f>
        <v>JAMES LINDLEY Jr. 1681 IR-1726 PA ID:09001618</v>
      </c>
      <c r="M9882" s="6"/>
      <c r="N9882" s="6"/>
      <c r="O9882" s="6"/>
      <c r="P9882" s="6"/>
    </row>
    <row r="9883" spans="3:19" x14ac:dyDescent="0.35">
      <c r="C9883" s="15" t="s">
        <v>8</v>
      </c>
      <c r="E9883" s="15" t="s">
        <v>8</v>
      </c>
      <c r="F9883" s="15" t="s">
        <v>8</v>
      </c>
      <c r="G9883" s="15" t="s">
        <v>8</v>
      </c>
      <c r="H9883" s="15" t="s">
        <v>8</v>
      </c>
      <c r="J9883" s="15" t="s">
        <v>8</v>
      </c>
      <c r="K9883" s="8" t="s">
        <v>6</v>
      </c>
      <c r="L9883" s="8" t="s">
        <v>3</v>
      </c>
    </row>
    <row r="9884" spans="3:19" x14ac:dyDescent="0.35">
      <c r="C9884" s="15" t="s">
        <v>8</v>
      </c>
      <c r="E9884" s="15" t="s">
        <v>8</v>
      </c>
      <c r="F9884" s="15" t="s">
        <v>8</v>
      </c>
      <c r="G9884" s="15" t="s">
        <v>8</v>
      </c>
      <c r="H9884" s="15" t="s">
        <v>8</v>
      </c>
      <c r="J9884" s="15" t="s">
        <v>8</v>
      </c>
      <c r="K9884" s="16" t="str">
        <f>HYPERLINK("http://yeinfo.com/family/I09006471.html", "MARY LINDLEY 1717 PA-1795 NC ID:09000809")</f>
        <v>MARY LINDLEY 1717 PA-1795 NC ID:09000809</v>
      </c>
      <c r="L9884" s="11"/>
      <c r="M9884" s="11"/>
      <c r="N9884" s="11"/>
      <c r="O9884" s="11"/>
    </row>
    <row r="9885" spans="3:19" x14ac:dyDescent="0.35">
      <c r="C9885" s="15" t="s">
        <v>8</v>
      </c>
      <c r="E9885" s="15" t="s">
        <v>8</v>
      </c>
      <c r="F9885" s="15" t="s">
        <v>8</v>
      </c>
      <c r="G9885" s="15" t="s">
        <v>8</v>
      </c>
      <c r="H9885" s="15" t="s">
        <v>8</v>
      </c>
      <c r="J9885" s="15" t="s">
        <v>8</v>
      </c>
      <c r="L9885" s="15" t="s">
        <v>8</v>
      </c>
    </row>
    <row r="9886" spans="3:19" x14ac:dyDescent="0.35">
      <c r="C9886" s="15" t="s">
        <v>8</v>
      </c>
      <c r="E9886" s="15" t="s">
        <v>8</v>
      </c>
      <c r="F9886" s="15" t="s">
        <v>8</v>
      </c>
      <c r="G9886" s="15" t="s">
        <v>8</v>
      </c>
      <c r="H9886" s="15" t="s">
        <v>8</v>
      </c>
      <c r="J9886" s="15" t="s">
        <v>8</v>
      </c>
      <c r="L9886" s="15" t="s">
        <v>8</v>
      </c>
      <c r="M9886" s="21" t="str">
        <f>HYPERLINK("http://yeinfo.com/family/I09001619.html", "ROBERT\RICHARD PARKE 1658 IR-1738 PA ID:09003238")</f>
        <v>ROBERT\RICHARD PARKE 1658 IR-1738 PA ID:09003238</v>
      </c>
      <c r="N9886" s="6"/>
      <c r="O9886" s="6"/>
      <c r="P9886" s="6"/>
      <c r="Q9886" s="6"/>
      <c r="R9886" s="6"/>
    </row>
    <row r="9887" spans="3:19" x14ac:dyDescent="0.35">
      <c r="C9887" s="15" t="s">
        <v>8</v>
      </c>
      <c r="E9887" s="15" t="s">
        <v>8</v>
      </c>
      <c r="F9887" s="15" t="s">
        <v>8</v>
      </c>
      <c r="G9887" s="15" t="s">
        <v>8</v>
      </c>
      <c r="H9887" s="15" t="s">
        <v>8</v>
      </c>
      <c r="J9887" s="15" t="s">
        <v>8</v>
      </c>
      <c r="L9887" s="8" t="s">
        <v>6</v>
      </c>
      <c r="M9887" s="8" t="s">
        <v>3</v>
      </c>
    </row>
    <row r="9888" spans="3:19" x14ac:dyDescent="0.35">
      <c r="C9888" s="15" t="s">
        <v>8</v>
      </c>
      <c r="E9888" s="15" t="s">
        <v>8</v>
      </c>
      <c r="F9888" s="15" t="s">
        <v>8</v>
      </c>
      <c r="G9888" s="15" t="s">
        <v>8</v>
      </c>
      <c r="H9888" s="15" t="s">
        <v>8</v>
      </c>
      <c r="J9888" s="15" t="s">
        <v>8</v>
      </c>
      <c r="L9888" s="22" t="str">
        <f>HYPERLINK("http://yeinfo.com/family/I09001618.html", "ELEANOR PARKE 1684 IR-1748 PA ID:09001619")</f>
        <v>ELEANOR PARKE 1684 IR-1748 PA ID:09001619</v>
      </c>
      <c r="M9888" s="13"/>
      <c r="N9888" s="13"/>
      <c r="O9888" s="13"/>
      <c r="P9888" s="13"/>
    </row>
    <row r="9889" spans="3:18" x14ac:dyDescent="0.35">
      <c r="C9889" s="15" t="s">
        <v>8</v>
      </c>
      <c r="E9889" s="15" t="s">
        <v>8</v>
      </c>
      <c r="F9889" s="15" t="s">
        <v>8</v>
      </c>
      <c r="G9889" s="15" t="s">
        <v>8</v>
      </c>
      <c r="H9889" s="15" t="s">
        <v>8</v>
      </c>
      <c r="J9889" s="15" t="s">
        <v>8</v>
      </c>
      <c r="M9889" s="8" t="s">
        <v>6</v>
      </c>
    </row>
    <row r="9890" spans="3:18" x14ac:dyDescent="0.35">
      <c r="C9890" s="15" t="s">
        <v>8</v>
      </c>
      <c r="E9890" s="15" t="s">
        <v>8</v>
      </c>
      <c r="F9890" s="15" t="s">
        <v>8</v>
      </c>
      <c r="G9890" s="15" t="s">
        <v>8</v>
      </c>
      <c r="H9890" s="15" t="s">
        <v>8</v>
      </c>
      <c r="J9890" s="15" t="s">
        <v>8</v>
      </c>
      <c r="M9890" s="22" t="str">
        <f>HYPERLINK("http://yeinfo.com/family/I09003238.html", "MARGERY\MARY MEDOWE 1655 IR-1738 PA ID:09003239")</f>
        <v>MARGERY\MARY MEDOWE 1655 IR-1738 PA ID:09003239</v>
      </c>
      <c r="N9890" s="13"/>
      <c r="O9890" s="13"/>
      <c r="P9890" s="13"/>
      <c r="Q9890" s="13"/>
      <c r="R9890" s="13"/>
    </row>
    <row r="9891" spans="3:18" x14ac:dyDescent="0.35">
      <c r="C9891" s="15" t="s">
        <v>8</v>
      </c>
      <c r="E9891" s="15" t="s">
        <v>8</v>
      </c>
      <c r="F9891" s="15" t="s">
        <v>8</v>
      </c>
      <c r="G9891" s="15" t="s">
        <v>8</v>
      </c>
      <c r="H9891" s="15" t="s">
        <v>8</v>
      </c>
      <c r="J9891" s="15" t="s">
        <v>8</v>
      </c>
    </row>
    <row r="9892" spans="3:18" x14ac:dyDescent="0.35">
      <c r="C9892" s="15" t="s">
        <v>8</v>
      </c>
      <c r="E9892" s="15" t="s">
        <v>8</v>
      </c>
      <c r="F9892" s="15" t="s">
        <v>8</v>
      </c>
      <c r="G9892" s="15" t="s">
        <v>8</v>
      </c>
      <c r="H9892" s="15" t="s">
        <v>8</v>
      </c>
      <c r="I9892" s="5" t="str">
        <f>HYPERLINK("http://yeinfo.com/family/I09000101.html", "SAMUEL THOMAS WOODY Sr. 1770 NC-1855 TN ID:09000202")</f>
        <v>SAMUEL THOMAS WOODY Sr. 1770 NC-1855 TN ID:09000202</v>
      </c>
      <c r="J9892" s="3"/>
      <c r="K9892" s="3"/>
      <c r="L9892" s="3"/>
      <c r="M9892" s="3"/>
    </row>
    <row r="9893" spans="3:18" x14ac:dyDescent="0.35">
      <c r="C9893" s="15" t="s">
        <v>8</v>
      </c>
      <c r="E9893" s="15" t="s">
        <v>8</v>
      </c>
      <c r="F9893" s="15" t="s">
        <v>8</v>
      </c>
      <c r="G9893" s="15" t="s">
        <v>8</v>
      </c>
      <c r="H9893" s="15" t="s">
        <v>8</v>
      </c>
      <c r="I9893" s="8" t="s">
        <v>3</v>
      </c>
      <c r="J9893" s="8" t="s">
        <v>6</v>
      </c>
    </row>
    <row r="9894" spans="3:18" x14ac:dyDescent="0.35">
      <c r="C9894" s="15" t="s">
        <v>8</v>
      </c>
      <c r="E9894" s="15" t="s">
        <v>8</v>
      </c>
      <c r="F9894" s="15" t="s">
        <v>8</v>
      </c>
      <c r="G9894" s="15" t="s">
        <v>8</v>
      </c>
      <c r="H9894" s="15" t="s">
        <v>8</v>
      </c>
      <c r="I9894" s="15" t="s">
        <v>8</v>
      </c>
      <c r="J9894" s="16" t="str">
        <f>HYPERLINK("http://yeinfo.com/family/I09003239.html", "SARAH THOMPSON 1748 VA-1822 NC ID:09000405")</f>
        <v>SARAH THOMPSON 1748 VA-1822 NC ID:09000405</v>
      </c>
      <c r="K9894" s="11"/>
      <c r="L9894" s="11"/>
      <c r="M9894" s="11"/>
      <c r="N9894" s="11"/>
    </row>
    <row r="9895" spans="3:18" x14ac:dyDescent="0.35">
      <c r="C9895" s="15" t="s">
        <v>8</v>
      </c>
      <c r="E9895" s="15" t="s">
        <v>8</v>
      </c>
      <c r="F9895" s="15" t="s">
        <v>8</v>
      </c>
      <c r="G9895" s="15" t="s">
        <v>8</v>
      </c>
      <c r="H9895" s="8" t="s">
        <v>6</v>
      </c>
      <c r="I9895" s="15" t="s">
        <v>8</v>
      </c>
    </row>
    <row r="9896" spans="3:18" x14ac:dyDescent="0.35">
      <c r="C9896" s="15" t="s">
        <v>8</v>
      </c>
      <c r="E9896" s="15" t="s">
        <v>8</v>
      </c>
      <c r="F9896" s="15" t="s">
        <v>8</v>
      </c>
      <c r="G9896" s="15" t="s">
        <v>8</v>
      </c>
      <c r="H9896" s="16" t="str">
        <f>HYPERLINK("http://yeinfo.com/family/I09000403.html", "RACHEL WOODY 1796 NC-1850 TN ID:09000101")</f>
        <v>RACHEL WOODY 1796 NC-1850 TN ID:09000101</v>
      </c>
      <c r="I9896" s="11"/>
      <c r="J9896" s="11"/>
      <c r="K9896" s="11"/>
      <c r="L9896" s="11"/>
    </row>
    <row r="9897" spans="3:18" x14ac:dyDescent="0.35">
      <c r="C9897" s="15" t="s">
        <v>8</v>
      </c>
      <c r="E9897" s="15" t="s">
        <v>8</v>
      </c>
      <c r="F9897" s="15" t="s">
        <v>8</v>
      </c>
      <c r="G9897" s="15" t="s">
        <v>8</v>
      </c>
      <c r="I9897" s="15" t="s">
        <v>8</v>
      </c>
    </row>
    <row r="9898" spans="3:18" x14ac:dyDescent="0.35">
      <c r="C9898" s="15" t="s">
        <v>8</v>
      </c>
      <c r="E9898" s="15" t="s">
        <v>8</v>
      </c>
      <c r="F9898" s="15" t="s">
        <v>8</v>
      </c>
      <c r="G9898" s="15" t="s">
        <v>8</v>
      </c>
      <c r="I9898" s="15" t="s">
        <v>8</v>
      </c>
      <c r="L9898" s="21" t="str">
        <f>HYPERLINK("http://yeinfo.com/family/I09000812.html", "JAMES HOLMES 1695 ST-1749 PA ID:09001624")</f>
        <v>JAMES HOLMES 1695 ST-1749 PA ID:09001624</v>
      </c>
      <c r="M9898" s="6"/>
      <c r="N9898" s="6"/>
      <c r="O9898" s="6"/>
      <c r="P9898" s="6"/>
    </row>
    <row r="9899" spans="3:18" x14ac:dyDescent="0.35">
      <c r="C9899" s="15" t="s">
        <v>8</v>
      </c>
      <c r="E9899" s="15" t="s">
        <v>8</v>
      </c>
      <c r="F9899" s="15" t="s">
        <v>8</v>
      </c>
      <c r="G9899" s="15" t="s">
        <v>8</v>
      </c>
      <c r="I9899" s="15" t="s">
        <v>8</v>
      </c>
      <c r="L9899" s="8" t="s">
        <v>3</v>
      </c>
    </row>
    <row r="9900" spans="3:18" x14ac:dyDescent="0.35">
      <c r="C9900" s="15" t="s">
        <v>8</v>
      </c>
      <c r="E9900" s="15" t="s">
        <v>8</v>
      </c>
      <c r="F9900" s="15" t="s">
        <v>8</v>
      </c>
      <c r="G9900" s="15" t="s">
        <v>8</v>
      </c>
      <c r="I9900" s="15" t="s">
        <v>8</v>
      </c>
      <c r="K9900" s="23"/>
      <c r="L9900" s="24" t="s">
        <v>8</v>
      </c>
      <c r="M9900" s="3"/>
      <c r="N9900" s="3"/>
      <c r="O9900" s="3"/>
    </row>
    <row r="9901" spans="3:18" x14ac:dyDescent="0.35">
      <c r="C9901" s="15" t="s">
        <v>8</v>
      </c>
      <c r="E9901" s="15" t="s">
        <v>8</v>
      </c>
      <c r="F9901" s="15" t="s">
        <v>8</v>
      </c>
      <c r="G9901" s="15" t="s">
        <v>8</v>
      </c>
      <c r="I9901" s="15" t="s">
        <v>8</v>
      </c>
      <c r="K9901" s="8" t="s">
        <v>8</v>
      </c>
      <c r="L9901" s="8" t="s">
        <v>6</v>
      </c>
    </row>
    <row r="9902" spans="3:18" x14ac:dyDescent="0.35">
      <c r="C9902" s="15" t="s">
        <v>8</v>
      </c>
      <c r="E9902" s="15" t="s">
        <v>8</v>
      </c>
      <c r="F9902" s="15" t="s">
        <v>8</v>
      </c>
      <c r="G9902" s="15" t="s">
        <v>8</v>
      </c>
      <c r="I9902" s="15" t="s">
        <v>8</v>
      </c>
      <c r="L9902" s="22" t="str">
        <f>HYPERLINK("http://yeinfo.com/family/I09001624.html", "SARAH BARRY LYONS 1699 ST-1745 PA ID:09001625")</f>
        <v>SARAH BARRY LYONS 1699 ST-1745 PA ID:09001625</v>
      </c>
      <c r="M9902" s="13"/>
      <c r="N9902" s="13"/>
      <c r="O9902" s="13"/>
      <c r="P9902" s="13"/>
    </row>
    <row r="9903" spans="3:18" x14ac:dyDescent="0.35">
      <c r="C9903" s="15" t="s">
        <v>8</v>
      </c>
      <c r="E9903" s="15" t="s">
        <v>8</v>
      </c>
      <c r="F9903" s="15" t="s">
        <v>8</v>
      </c>
      <c r="G9903" s="15" t="s">
        <v>8</v>
      </c>
      <c r="I9903" s="15" t="s">
        <v>8</v>
      </c>
    </row>
    <row r="9904" spans="3:18" x14ac:dyDescent="0.35">
      <c r="C9904" s="15" t="s">
        <v>8</v>
      </c>
      <c r="E9904" s="15" t="s">
        <v>8</v>
      </c>
      <c r="F9904" s="15" t="s">
        <v>8</v>
      </c>
      <c r="G9904" s="15" t="s">
        <v>8</v>
      </c>
      <c r="I9904" s="15" t="s">
        <v>8</v>
      </c>
      <c r="J9904" s="5" t="str">
        <f>HYPERLINK("http://yeinfo.com/family/I09000203.html", "ROBERT HOLMES 1743 NC-1803 NC ID:09000406")</f>
        <v>ROBERT HOLMES 1743 NC-1803 NC ID:09000406</v>
      </c>
      <c r="K9904" s="3"/>
      <c r="L9904" s="3"/>
      <c r="M9904" s="3"/>
      <c r="N9904" s="3"/>
    </row>
    <row r="9905" spans="3:16" x14ac:dyDescent="0.35">
      <c r="C9905" s="15" t="s">
        <v>8</v>
      </c>
      <c r="E9905" s="15" t="s">
        <v>8</v>
      </c>
      <c r="F9905" s="15" t="s">
        <v>8</v>
      </c>
      <c r="G9905" s="15" t="s">
        <v>8</v>
      </c>
      <c r="I9905" s="15" t="s">
        <v>8</v>
      </c>
      <c r="J9905" s="8" t="s">
        <v>3</v>
      </c>
      <c r="K9905" s="8" t="s">
        <v>6</v>
      </c>
    </row>
    <row r="9906" spans="3:16" x14ac:dyDescent="0.35">
      <c r="C9906" s="15" t="s">
        <v>8</v>
      </c>
      <c r="E9906" s="15" t="s">
        <v>8</v>
      </c>
      <c r="F9906" s="15" t="s">
        <v>8</v>
      </c>
      <c r="G9906" s="15" t="s">
        <v>8</v>
      </c>
      <c r="I9906" s="15" t="s">
        <v>8</v>
      </c>
      <c r="J9906" s="15" t="s">
        <v>8</v>
      </c>
      <c r="K9906" s="25"/>
      <c r="L9906" s="11"/>
      <c r="M9906" s="11"/>
      <c r="N9906" s="11"/>
      <c r="O9906" s="11"/>
    </row>
    <row r="9907" spans="3:16" x14ac:dyDescent="0.35">
      <c r="C9907" s="15" t="s">
        <v>8</v>
      </c>
      <c r="E9907" s="15" t="s">
        <v>8</v>
      </c>
      <c r="F9907" s="15" t="s">
        <v>8</v>
      </c>
      <c r="G9907" s="15" t="s">
        <v>8</v>
      </c>
      <c r="I9907" s="8" t="s">
        <v>6</v>
      </c>
      <c r="J9907" s="15" t="s">
        <v>8</v>
      </c>
    </row>
    <row r="9908" spans="3:16" x14ac:dyDescent="0.35">
      <c r="C9908" s="15" t="s">
        <v>8</v>
      </c>
      <c r="E9908" s="15" t="s">
        <v>8</v>
      </c>
      <c r="F9908" s="15" t="s">
        <v>8</v>
      </c>
      <c r="G9908" s="15" t="s">
        <v>8</v>
      </c>
      <c r="I9908" s="16" t="str">
        <f>HYPERLINK("http://yeinfo.com/family/I09000405.html", "JANE HOLMES 1774 NC-1856 TN ID:09000203")</f>
        <v>JANE HOLMES 1774 NC-1856 TN ID:09000203</v>
      </c>
      <c r="J9908" s="11"/>
      <c r="K9908" s="11"/>
      <c r="L9908" s="11"/>
      <c r="M9908" s="11"/>
    </row>
    <row r="9909" spans="3:16" x14ac:dyDescent="0.35">
      <c r="C9909" s="15" t="s">
        <v>8</v>
      </c>
      <c r="E9909" s="15" t="s">
        <v>8</v>
      </c>
      <c r="F9909" s="15" t="s">
        <v>8</v>
      </c>
      <c r="G9909" s="15" t="s">
        <v>8</v>
      </c>
      <c r="J9909" s="15" t="s">
        <v>8</v>
      </c>
    </row>
    <row r="9910" spans="3:16" x14ac:dyDescent="0.35">
      <c r="C9910" s="15" t="s">
        <v>8</v>
      </c>
      <c r="E9910" s="15" t="s">
        <v>8</v>
      </c>
      <c r="F9910" s="15" t="s">
        <v>8</v>
      </c>
      <c r="G9910" s="15" t="s">
        <v>8</v>
      </c>
      <c r="J9910" s="15" t="s">
        <v>8</v>
      </c>
      <c r="L9910" s="19" t="str">
        <f>HYPERLINK("http://yeinfo.com/family/I09000814.html", "CHARLES BRUCE 1664 ST-1728 ST ID:09001628")</f>
        <v>CHARLES BRUCE 1664 ST-1728 ST ID:09001628</v>
      </c>
      <c r="M9910" s="9"/>
      <c r="N9910" s="9"/>
      <c r="O9910" s="9"/>
      <c r="P9910" s="9"/>
    </row>
    <row r="9911" spans="3:16" x14ac:dyDescent="0.35">
      <c r="C9911" s="15" t="s">
        <v>8</v>
      </c>
      <c r="E9911" s="15" t="s">
        <v>8</v>
      </c>
      <c r="F9911" s="15" t="s">
        <v>8</v>
      </c>
      <c r="G9911" s="15" t="s">
        <v>8</v>
      </c>
      <c r="J9911" s="15" t="s">
        <v>8</v>
      </c>
      <c r="L9911" s="8" t="s">
        <v>3</v>
      </c>
    </row>
    <row r="9912" spans="3:16" x14ac:dyDescent="0.35">
      <c r="C9912" s="15" t="s">
        <v>8</v>
      </c>
      <c r="E9912" s="15" t="s">
        <v>8</v>
      </c>
      <c r="F9912" s="15" t="s">
        <v>8</v>
      </c>
      <c r="G9912" s="15" t="s">
        <v>8</v>
      </c>
      <c r="J9912" s="15" t="s">
        <v>8</v>
      </c>
      <c r="K9912" s="5" t="str">
        <f>HYPERLINK("http://yeinfo.com/family/I09000407.html", "GEORGE C. BRUCE 1713 VA-1797 VA ID:09000814")</f>
        <v>GEORGE C. BRUCE 1713 VA-1797 VA ID:09000814</v>
      </c>
      <c r="L9912" s="3"/>
      <c r="M9912" s="3"/>
      <c r="N9912" s="3"/>
      <c r="O9912" s="3"/>
    </row>
    <row r="9913" spans="3:16" x14ac:dyDescent="0.35">
      <c r="C9913" s="15" t="s">
        <v>8</v>
      </c>
      <c r="E9913" s="15" t="s">
        <v>8</v>
      </c>
      <c r="F9913" s="15" t="s">
        <v>8</v>
      </c>
      <c r="G9913" s="15" t="s">
        <v>8</v>
      </c>
      <c r="J9913" s="15" t="s">
        <v>8</v>
      </c>
      <c r="K9913" s="8" t="s">
        <v>3</v>
      </c>
      <c r="L9913" s="8" t="s">
        <v>6</v>
      </c>
    </row>
    <row r="9914" spans="3:16" x14ac:dyDescent="0.35">
      <c r="C9914" s="15" t="s">
        <v>8</v>
      </c>
      <c r="E9914" s="15" t="s">
        <v>8</v>
      </c>
      <c r="F9914" s="15" t="s">
        <v>8</v>
      </c>
      <c r="G9914" s="15" t="s">
        <v>8</v>
      </c>
      <c r="J9914" s="15" t="s">
        <v>8</v>
      </c>
      <c r="K9914" s="15" t="s">
        <v>8</v>
      </c>
      <c r="L9914" s="20" t="str">
        <f>HYPERLINK("http://yeinfo.com/family/I09001628.html", "ELIZABETH ROBB 1664 ST-1713 ST ID:09001629")</f>
        <v>ELIZABETH ROBB 1664 ST-1713 ST ID:09001629</v>
      </c>
      <c r="M9914" s="17"/>
      <c r="N9914" s="17"/>
      <c r="O9914" s="17"/>
      <c r="P9914" s="17"/>
    </row>
    <row r="9915" spans="3:16" x14ac:dyDescent="0.35">
      <c r="C9915" s="15" t="s">
        <v>8</v>
      </c>
      <c r="E9915" s="15" t="s">
        <v>8</v>
      </c>
      <c r="F9915" s="15" t="s">
        <v>8</v>
      </c>
      <c r="G9915" s="15" t="s">
        <v>8</v>
      </c>
      <c r="J9915" s="8" t="s">
        <v>6</v>
      </c>
      <c r="K9915" s="15" t="s">
        <v>8</v>
      </c>
    </row>
    <row r="9916" spans="3:16" x14ac:dyDescent="0.35">
      <c r="C9916" s="15" t="s">
        <v>8</v>
      </c>
      <c r="E9916" s="15" t="s">
        <v>8</v>
      </c>
      <c r="F9916" s="15" t="s">
        <v>8</v>
      </c>
      <c r="G9916" s="15" t="s">
        <v>8</v>
      </c>
      <c r="J9916" s="16" t="str">
        <f>HYPERLINK("http://yeinfo.com/family/I09000813.html", "RACHAEL BRUCE 1745 VA-1835 VA ID:09000407")</f>
        <v>RACHAEL BRUCE 1745 VA-1835 VA ID:09000407</v>
      </c>
      <c r="K9916" s="11"/>
      <c r="L9916" s="11"/>
      <c r="M9916" s="11"/>
      <c r="N9916" s="11"/>
    </row>
    <row r="9917" spans="3:16" x14ac:dyDescent="0.35">
      <c r="C9917" s="15" t="s">
        <v>8</v>
      </c>
      <c r="E9917" s="15" t="s">
        <v>8</v>
      </c>
      <c r="F9917" s="15" t="s">
        <v>8</v>
      </c>
      <c r="G9917" s="15" t="s">
        <v>8</v>
      </c>
      <c r="K9917" s="15" t="s">
        <v>8</v>
      </c>
    </row>
    <row r="9918" spans="3:16" x14ac:dyDescent="0.35">
      <c r="C9918" s="15" t="s">
        <v>8</v>
      </c>
      <c r="E9918" s="15" t="s">
        <v>8</v>
      </c>
      <c r="F9918" s="15" t="s">
        <v>8</v>
      </c>
      <c r="G9918" s="15" t="s">
        <v>8</v>
      </c>
      <c r="K9918" s="15" t="s">
        <v>8</v>
      </c>
      <c r="L9918" s="21" t="str">
        <f>HYPERLINK("http://yeinfo.com/family/I09000815.html", "DARBY QUINN 1680 IR-1756 VA ID:09001630")</f>
        <v>DARBY QUINN 1680 IR-1756 VA ID:09001630</v>
      </c>
      <c r="M9918" s="6"/>
      <c r="N9918" s="6"/>
      <c r="O9918" s="6"/>
      <c r="P9918" s="6"/>
    </row>
    <row r="9919" spans="3:16" x14ac:dyDescent="0.35">
      <c r="C9919" s="15" t="s">
        <v>8</v>
      </c>
      <c r="E9919" s="15" t="s">
        <v>8</v>
      </c>
      <c r="F9919" s="15" t="s">
        <v>8</v>
      </c>
      <c r="G9919" s="15" t="s">
        <v>8</v>
      </c>
      <c r="K9919" s="8" t="s">
        <v>6</v>
      </c>
      <c r="L9919" s="8" t="s">
        <v>3</v>
      </c>
    </row>
    <row r="9920" spans="3:16" x14ac:dyDescent="0.35">
      <c r="C9920" s="15" t="s">
        <v>8</v>
      </c>
      <c r="E9920" s="15" t="s">
        <v>8</v>
      </c>
      <c r="F9920" s="15" t="s">
        <v>8</v>
      </c>
      <c r="G9920" s="15" t="s">
        <v>8</v>
      </c>
      <c r="K9920" s="16" t="str">
        <f>HYPERLINK("http://yeinfo.com/family/I09001629.html", "ELIZABETH QUINN 1720 VA-1793 VA ID:09000815")</f>
        <v>ELIZABETH QUINN 1720 VA-1793 VA ID:09000815</v>
      </c>
      <c r="L9920" s="11"/>
      <c r="M9920" s="11"/>
      <c r="N9920" s="11"/>
      <c r="O9920" s="11"/>
    </row>
    <row r="9921" spans="3:16" x14ac:dyDescent="0.35">
      <c r="C9921" s="15" t="s">
        <v>8</v>
      </c>
      <c r="E9921" s="15" t="s">
        <v>8</v>
      </c>
      <c r="F9921" s="15" t="s">
        <v>8</v>
      </c>
      <c r="G9921" s="15" t="s">
        <v>8</v>
      </c>
      <c r="L9921" s="8" t="s">
        <v>6</v>
      </c>
    </row>
    <row r="9922" spans="3:16" x14ac:dyDescent="0.35">
      <c r="C9922" s="15" t="s">
        <v>8</v>
      </c>
      <c r="E9922" s="15" t="s">
        <v>8</v>
      </c>
      <c r="F9922" s="15" t="s">
        <v>8</v>
      </c>
      <c r="G9922" s="15" t="s">
        <v>8</v>
      </c>
      <c r="L9922" s="22" t="str">
        <f>HYPERLINK("http://yeinfo.com/family/I09001630.html", "ELIZABETH MARY ASHWORTH 1689 EN-1754 VA ID:09001631")</f>
        <v>ELIZABETH MARY ASHWORTH 1689 EN-1754 VA ID:09001631</v>
      </c>
      <c r="M9922" s="13"/>
      <c r="N9922" s="13"/>
      <c r="O9922" s="13"/>
      <c r="P9922" s="13"/>
    </row>
    <row r="9923" spans="3:16" x14ac:dyDescent="0.35">
      <c r="C9923" s="15" t="s">
        <v>8</v>
      </c>
      <c r="E9923" s="15" t="s">
        <v>8</v>
      </c>
      <c r="F9923" s="8" t="s">
        <v>6</v>
      </c>
      <c r="G9923" s="15" t="s">
        <v>8</v>
      </c>
    </row>
    <row r="9924" spans="3:16" x14ac:dyDescent="0.35">
      <c r="C9924" s="15" t="s">
        <v>8</v>
      </c>
      <c r="E9924" s="15" t="s">
        <v>8</v>
      </c>
      <c r="F9924" s="16" t="str">
        <f>HYPERLINK("http://yeinfo.com/family/I09000199.html", "ELIZABETH ANN CLENDENIN 1843 TN-1919 TN ID:09000025")</f>
        <v>ELIZABETH ANN CLENDENIN 1843 TN-1919 TN ID:09000025</v>
      </c>
      <c r="G9924" s="11"/>
      <c r="H9924" s="11"/>
      <c r="I9924" s="11"/>
      <c r="J9924" s="11"/>
    </row>
    <row r="9925" spans="3:16" x14ac:dyDescent="0.35">
      <c r="C9925" s="15" t="s">
        <v>8</v>
      </c>
      <c r="E9925" s="15" t="s">
        <v>8</v>
      </c>
      <c r="G9925" s="8" t="s">
        <v>6</v>
      </c>
    </row>
    <row r="9926" spans="3:16" x14ac:dyDescent="0.35">
      <c r="C9926" s="15" t="s">
        <v>8</v>
      </c>
      <c r="E9926" s="15" t="s">
        <v>8</v>
      </c>
      <c r="G9926" s="16" t="str">
        <f>HYPERLINK("http://yeinfo.com/family/I09001631.html", "MARIA MAYS 1822 TN-1870 TN ID:09000051")</f>
        <v>MARIA MAYS 1822 TN-1870 TN ID:09000051</v>
      </c>
      <c r="H9926" s="11"/>
      <c r="I9926" s="11"/>
      <c r="J9926" s="11"/>
      <c r="K9926" s="11"/>
    </row>
    <row r="9927" spans="3:16" x14ac:dyDescent="0.35">
      <c r="C9927" s="15" t="s">
        <v>8</v>
      </c>
      <c r="E9927" s="15" t="s">
        <v>8</v>
      </c>
    </row>
    <row r="9928" spans="3:16" x14ac:dyDescent="0.35">
      <c r="C9928" s="15" t="s">
        <v>8</v>
      </c>
      <c r="D9928" s="5" t="str">
        <f>HYPERLINK("http://yeinfo.com/family/I09000003.html", "Ancestor ID:09000006")</f>
        <v>Ancestor ID:09000006</v>
      </c>
      <c r="E9928" s="3"/>
      <c r="F9928" s="3"/>
      <c r="G9928" s="3"/>
      <c r="H9928" s="3"/>
    </row>
    <row r="9929" spans="3:16" x14ac:dyDescent="0.35">
      <c r="C9929" s="15" t="s">
        <v>8</v>
      </c>
      <c r="D9929" s="8" t="s">
        <v>3</v>
      </c>
      <c r="E9929" s="15" t="s">
        <v>8</v>
      </c>
    </row>
    <row r="9930" spans="3:16" x14ac:dyDescent="0.35">
      <c r="C9930" s="15" t="s">
        <v>8</v>
      </c>
      <c r="D9930" s="15" t="s">
        <v>8</v>
      </c>
      <c r="E9930" s="15" t="s">
        <v>8</v>
      </c>
      <c r="I9930" s="5" t="str">
        <f>HYPERLINK("http://yeinfo.com/family/I09000104.html", "OLTMANN BUHR 1740 GE-1784  ID:09000208")</f>
        <v>OLTMANN BUHR 1740 GE-1784  ID:09000208</v>
      </c>
      <c r="J9930" s="3"/>
      <c r="K9930" s="3"/>
      <c r="L9930" s="3"/>
      <c r="M9930" s="3"/>
    </row>
    <row r="9931" spans="3:16" x14ac:dyDescent="0.35">
      <c r="C9931" s="15" t="s">
        <v>8</v>
      </c>
      <c r="D9931" s="15" t="s">
        <v>8</v>
      </c>
      <c r="E9931" s="15" t="s">
        <v>8</v>
      </c>
      <c r="I9931" s="8" t="s">
        <v>3</v>
      </c>
    </row>
    <row r="9932" spans="3:16" x14ac:dyDescent="0.35">
      <c r="C9932" s="15" t="s">
        <v>8</v>
      </c>
      <c r="D9932" s="15" t="s">
        <v>8</v>
      </c>
      <c r="E9932" s="15" t="s">
        <v>8</v>
      </c>
      <c r="H9932" s="21" t="str">
        <f>HYPERLINK("http://yeinfo.com/family/I09000052.html", "JOHANN FRIEDRICH BUHR 1784 GE-1845 IL ID:09000104")</f>
        <v>JOHANN FRIEDRICH BUHR 1784 GE-1845 IL ID:09000104</v>
      </c>
      <c r="I9932" s="6"/>
      <c r="J9932" s="6"/>
      <c r="K9932" s="6"/>
      <c r="L9932" s="6"/>
    </row>
    <row r="9933" spans="3:16" x14ac:dyDescent="0.35">
      <c r="C9933" s="15" t="s">
        <v>8</v>
      </c>
      <c r="D9933" s="15" t="s">
        <v>8</v>
      </c>
      <c r="E9933" s="15" t="s">
        <v>8</v>
      </c>
      <c r="H9933" s="8" t="s">
        <v>3</v>
      </c>
      <c r="I9933" s="8" t="s">
        <v>6</v>
      </c>
    </row>
    <row r="9934" spans="3:16" x14ac:dyDescent="0.35">
      <c r="C9934" s="15" t="s">
        <v>8</v>
      </c>
      <c r="D9934" s="15" t="s">
        <v>8</v>
      </c>
      <c r="E9934" s="15" t="s">
        <v>8</v>
      </c>
      <c r="H9934" s="15" t="s">
        <v>8</v>
      </c>
      <c r="I9934" s="20" t="str">
        <f>HYPERLINK("http://yeinfo.com/family/I09000208.html", "GEBKE HANKEN 1744 GE-1821 GE ID:09000209")</f>
        <v>GEBKE HANKEN 1744 GE-1821 GE ID:09000209</v>
      </c>
      <c r="J9934" s="17"/>
      <c r="K9934" s="17"/>
      <c r="L9934" s="17"/>
      <c r="M9934" s="17"/>
    </row>
    <row r="9935" spans="3:16" x14ac:dyDescent="0.35">
      <c r="C9935" s="15" t="s">
        <v>8</v>
      </c>
      <c r="D9935" s="15" t="s">
        <v>8</v>
      </c>
      <c r="E9935" s="15" t="s">
        <v>8</v>
      </c>
      <c r="H9935" s="15" t="s">
        <v>8</v>
      </c>
    </row>
    <row r="9936" spans="3:16" x14ac:dyDescent="0.35">
      <c r="C9936" s="15" t="s">
        <v>8</v>
      </c>
      <c r="D9936" s="15" t="s">
        <v>8</v>
      </c>
      <c r="E9936" s="15" t="s">
        <v>8</v>
      </c>
      <c r="G9936" s="21" t="str">
        <f>HYPERLINK("http://yeinfo.com/family/I09000026.html", "FREDERICH BUHR 1811 GE-1859 IL ID:09000052")</f>
        <v>FREDERICH BUHR 1811 GE-1859 IL ID:09000052</v>
      </c>
      <c r="H9936" s="6"/>
      <c r="I9936" s="6"/>
      <c r="J9936" s="6"/>
      <c r="K9936" s="6"/>
    </row>
    <row r="9937" spans="3:14" x14ac:dyDescent="0.35">
      <c r="C9937" s="15" t="s">
        <v>8</v>
      </c>
      <c r="D9937" s="15" t="s">
        <v>8</v>
      </c>
      <c r="E9937" s="15" t="s">
        <v>8</v>
      </c>
      <c r="G9937" s="8" t="s">
        <v>3</v>
      </c>
      <c r="H9937" s="15" t="s">
        <v>8</v>
      </c>
    </row>
    <row r="9938" spans="3:14" x14ac:dyDescent="0.35">
      <c r="C9938" s="15" t="s">
        <v>8</v>
      </c>
      <c r="D9938" s="15" t="s">
        <v>8</v>
      </c>
      <c r="E9938" s="15" t="s">
        <v>8</v>
      </c>
      <c r="G9938" s="15" t="s">
        <v>8</v>
      </c>
      <c r="H9938" s="15" t="s">
        <v>8</v>
      </c>
      <c r="I9938" s="19" t="str">
        <f>HYPERLINK("http://yeinfo.com/family/I09000105.html", "JOHANN FRIEDERICH JANSSEN 1752 GE-1837 GE ID:09000210")</f>
        <v>JOHANN FRIEDERICH JANSSEN 1752 GE-1837 GE ID:09000210</v>
      </c>
      <c r="J9938" s="9"/>
      <c r="K9938" s="9"/>
      <c r="L9938" s="9"/>
      <c r="M9938" s="9"/>
    </row>
    <row r="9939" spans="3:14" x14ac:dyDescent="0.35">
      <c r="C9939" s="15" t="s">
        <v>8</v>
      </c>
      <c r="D9939" s="15" t="s">
        <v>8</v>
      </c>
      <c r="E9939" s="15" t="s">
        <v>8</v>
      </c>
      <c r="G9939" s="15" t="s">
        <v>8</v>
      </c>
      <c r="H9939" s="8" t="s">
        <v>6</v>
      </c>
      <c r="I9939" s="8" t="s">
        <v>3</v>
      </c>
    </row>
    <row r="9940" spans="3:14" x14ac:dyDescent="0.35">
      <c r="C9940" s="15" t="s">
        <v>8</v>
      </c>
      <c r="D9940" s="15" t="s">
        <v>8</v>
      </c>
      <c r="E9940" s="15" t="s">
        <v>8</v>
      </c>
      <c r="G9940" s="15" t="s">
        <v>8</v>
      </c>
      <c r="H9940" s="20" t="str">
        <f>HYPERLINK("http://yeinfo.com/family/I09000209.html", "WUBKE MARGARETHE JANSSEN 1783 GE-1847 GE ID:09000105")</f>
        <v>WUBKE MARGARETHE JANSSEN 1783 GE-1847 GE ID:09000105</v>
      </c>
      <c r="I9940" s="17"/>
      <c r="J9940" s="17"/>
      <c r="K9940" s="17"/>
      <c r="L9940" s="17"/>
    </row>
    <row r="9941" spans="3:14" x14ac:dyDescent="0.35">
      <c r="C9941" s="15" t="s">
        <v>8</v>
      </c>
      <c r="D9941" s="15" t="s">
        <v>8</v>
      </c>
      <c r="E9941" s="15" t="s">
        <v>8</v>
      </c>
      <c r="G9941" s="15" t="s">
        <v>8</v>
      </c>
      <c r="I9941" s="8" t="s">
        <v>6</v>
      </c>
    </row>
    <row r="9942" spans="3:14" x14ac:dyDescent="0.35">
      <c r="C9942" s="15" t="s">
        <v>8</v>
      </c>
      <c r="D9942" s="15" t="s">
        <v>8</v>
      </c>
      <c r="E9942" s="15" t="s">
        <v>8</v>
      </c>
      <c r="G9942" s="15" t="s">
        <v>8</v>
      </c>
      <c r="I9942" s="16" t="str">
        <f>HYPERLINK("http://yeinfo.com/family/I09000210.html", "TALKE EILERS-BRAHIE 1763 GE-1783  ID:09000211")</f>
        <v>TALKE EILERS-BRAHIE 1763 GE-1783  ID:09000211</v>
      </c>
      <c r="J9942" s="11"/>
      <c r="K9942" s="11"/>
      <c r="L9942" s="11"/>
      <c r="M9942" s="11"/>
    </row>
    <row r="9943" spans="3:14" x14ac:dyDescent="0.35">
      <c r="C9943" s="15" t="s">
        <v>8</v>
      </c>
      <c r="D9943" s="15" t="s">
        <v>8</v>
      </c>
      <c r="E9943" s="15" t="s">
        <v>8</v>
      </c>
      <c r="G9943" s="15" t="s">
        <v>8</v>
      </c>
    </row>
    <row r="9944" spans="3:14" x14ac:dyDescent="0.35">
      <c r="C9944" s="15" t="s">
        <v>8</v>
      </c>
      <c r="D9944" s="15" t="s">
        <v>8</v>
      </c>
      <c r="E9944" s="15" t="s">
        <v>8</v>
      </c>
      <c r="F9944" s="5" t="str">
        <f>HYPERLINK("http://yeinfo.com/family/I09000013.html", "WILLIAM DIETRICH BUHR 1844 IL-1887 MO ID:09000026")</f>
        <v>WILLIAM DIETRICH BUHR 1844 IL-1887 MO ID:09000026</v>
      </c>
      <c r="G9944" s="3"/>
      <c r="H9944" s="3"/>
      <c r="I9944" s="3"/>
      <c r="J9944" s="3"/>
    </row>
    <row r="9945" spans="3:14" x14ac:dyDescent="0.35">
      <c r="C9945" s="15" t="s">
        <v>8</v>
      </c>
      <c r="D9945" s="15" t="s">
        <v>8</v>
      </c>
      <c r="E9945" s="15" t="s">
        <v>8</v>
      </c>
      <c r="F9945" s="8" t="s">
        <v>3</v>
      </c>
      <c r="G9945" s="15" t="s">
        <v>8</v>
      </c>
    </row>
    <row r="9946" spans="3:14" x14ac:dyDescent="0.35">
      <c r="C9946" s="15" t="s">
        <v>8</v>
      </c>
      <c r="D9946" s="15" t="s">
        <v>8</v>
      </c>
      <c r="E9946" s="15" t="s">
        <v>8</v>
      </c>
      <c r="F9946" s="15" t="s">
        <v>8</v>
      </c>
      <c r="G9946" s="15" t="s">
        <v>8</v>
      </c>
      <c r="J9946" s="19" t="str">
        <f>HYPERLINK("http://yeinfo.com/family/I09000212.html", "JOHANN OLTJENDIERS 1721 GE-1761 GE ID:09000424")</f>
        <v>JOHANN OLTJENDIERS 1721 GE-1761 GE ID:09000424</v>
      </c>
      <c r="K9946" s="9"/>
      <c r="L9946" s="9"/>
      <c r="M9946" s="9"/>
      <c r="N9946" s="9"/>
    </row>
    <row r="9947" spans="3:14" x14ac:dyDescent="0.35">
      <c r="C9947" s="15" t="s">
        <v>8</v>
      </c>
      <c r="D9947" s="15" t="s">
        <v>8</v>
      </c>
      <c r="E9947" s="15" t="s">
        <v>8</v>
      </c>
      <c r="F9947" s="15" t="s">
        <v>8</v>
      </c>
      <c r="G9947" s="15" t="s">
        <v>8</v>
      </c>
      <c r="J9947" s="8" t="s">
        <v>3</v>
      </c>
    </row>
    <row r="9948" spans="3:14" x14ac:dyDescent="0.35">
      <c r="C9948" s="15" t="s">
        <v>8</v>
      </c>
      <c r="D9948" s="15" t="s">
        <v>8</v>
      </c>
      <c r="E9948" s="15" t="s">
        <v>8</v>
      </c>
      <c r="F9948" s="15" t="s">
        <v>8</v>
      </c>
      <c r="G9948" s="15" t="s">
        <v>8</v>
      </c>
      <c r="I9948" s="19" t="str">
        <f>HYPERLINK("http://yeinfo.com/family/I09000106.html", "DIERK OLTJENDIERS Sr. 1761 GE-1835 GE ID:09000212")</f>
        <v>DIERK OLTJENDIERS Sr. 1761 GE-1835 GE ID:09000212</v>
      </c>
      <c r="J9948" s="9"/>
      <c r="K9948" s="9"/>
      <c r="L9948" s="9"/>
      <c r="M9948" s="9"/>
    </row>
    <row r="9949" spans="3:14" x14ac:dyDescent="0.35">
      <c r="C9949" s="15" t="s">
        <v>8</v>
      </c>
      <c r="D9949" s="15" t="s">
        <v>8</v>
      </c>
      <c r="E9949" s="15" t="s">
        <v>8</v>
      </c>
      <c r="F9949" s="15" t="s">
        <v>8</v>
      </c>
      <c r="G9949" s="15" t="s">
        <v>8</v>
      </c>
      <c r="I9949" s="8" t="s">
        <v>3</v>
      </c>
      <c r="J9949" s="8" t="s">
        <v>6</v>
      </c>
    </row>
    <row r="9950" spans="3:14" x14ac:dyDescent="0.35">
      <c r="C9950" s="15" t="s">
        <v>8</v>
      </c>
      <c r="D9950" s="15" t="s">
        <v>8</v>
      </c>
      <c r="E9950" s="15" t="s">
        <v>8</v>
      </c>
      <c r="F9950" s="15" t="s">
        <v>8</v>
      </c>
      <c r="G9950" s="15" t="s">
        <v>8</v>
      </c>
      <c r="I9950" s="15" t="s">
        <v>8</v>
      </c>
      <c r="J9950" s="20" t="str">
        <f>HYPERLINK("http://yeinfo.com/family/I09000424.html", "Mrs. TALKE OLTJENDIERS 1730 GE-1761 GE ID:09000425")</f>
        <v>Mrs. TALKE OLTJENDIERS 1730 GE-1761 GE ID:09000425</v>
      </c>
      <c r="K9950" s="17"/>
      <c r="L9950" s="17"/>
      <c r="M9950" s="17"/>
      <c r="N9950" s="17"/>
    </row>
    <row r="9951" spans="3:14" x14ac:dyDescent="0.35">
      <c r="C9951" s="15" t="s">
        <v>8</v>
      </c>
      <c r="D9951" s="15" t="s">
        <v>8</v>
      </c>
      <c r="E9951" s="15" t="s">
        <v>8</v>
      </c>
      <c r="F9951" s="15" t="s">
        <v>8</v>
      </c>
      <c r="G9951" s="15" t="s">
        <v>8</v>
      </c>
      <c r="I9951" s="15" t="s">
        <v>8</v>
      </c>
    </row>
    <row r="9952" spans="3:14" x14ac:dyDescent="0.35">
      <c r="C9952" s="15" t="s">
        <v>8</v>
      </c>
      <c r="D9952" s="15" t="s">
        <v>8</v>
      </c>
      <c r="E9952" s="15" t="s">
        <v>8</v>
      </c>
      <c r="F9952" s="15" t="s">
        <v>8</v>
      </c>
      <c r="G9952" s="15" t="s">
        <v>8</v>
      </c>
      <c r="H9952" s="5" t="str">
        <f>HYPERLINK("http://yeinfo.com/family/I09000053.html", "DIERK OLTJENDIERS Jr. 1792 GE-1872  ID:09000106")</f>
        <v>DIERK OLTJENDIERS Jr. 1792 GE-1872  ID:09000106</v>
      </c>
      <c r="I9952" s="3"/>
      <c r="J9952" s="3"/>
      <c r="K9952" s="3"/>
      <c r="L9952" s="3"/>
    </row>
    <row r="9953" spans="3:15" x14ac:dyDescent="0.35">
      <c r="C9953" s="15" t="s">
        <v>8</v>
      </c>
      <c r="D9953" s="15" t="s">
        <v>8</v>
      </c>
      <c r="E9953" s="15" t="s">
        <v>8</v>
      </c>
      <c r="F9953" s="15" t="s">
        <v>8</v>
      </c>
      <c r="G9953" s="15" t="s">
        <v>8</v>
      </c>
      <c r="H9953" s="8" t="s">
        <v>3</v>
      </c>
      <c r="I9953" s="8" t="s">
        <v>6</v>
      </c>
    </row>
    <row r="9954" spans="3:15" x14ac:dyDescent="0.35">
      <c r="C9954" s="15" t="s">
        <v>8</v>
      </c>
      <c r="D9954" s="15" t="s">
        <v>8</v>
      </c>
      <c r="E9954" s="15" t="s">
        <v>8</v>
      </c>
      <c r="F9954" s="15" t="s">
        <v>8</v>
      </c>
      <c r="G9954" s="15" t="s">
        <v>8</v>
      </c>
      <c r="H9954" s="15" t="s">
        <v>8</v>
      </c>
      <c r="I9954" s="20" t="str">
        <f>HYPERLINK("http://yeinfo.com/family/I09000425.html", "HELENA STAHMER 1760 GE-1833 GE ID:09000213")</f>
        <v>HELENA STAHMER 1760 GE-1833 GE ID:09000213</v>
      </c>
      <c r="J9954" s="17"/>
      <c r="K9954" s="17"/>
      <c r="L9954" s="17"/>
      <c r="M9954" s="17"/>
    </row>
    <row r="9955" spans="3:15" x14ac:dyDescent="0.35">
      <c r="C9955" s="15" t="s">
        <v>8</v>
      </c>
      <c r="D9955" s="15" t="s">
        <v>8</v>
      </c>
      <c r="E9955" s="15" t="s">
        <v>8</v>
      </c>
      <c r="F9955" s="15" t="s">
        <v>8</v>
      </c>
      <c r="G9955" s="8" t="s">
        <v>6</v>
      </c>
      <c r="H9955" s="15" t="s">
        <v>8</v>
      </c>
    </row>
    <row r="9956" spans="3:15" x14ac:dyDescent="0.35">
      <c r="C9956" s="15" t="s">
        <v>8</v>
      </c>
      <c r="D9956" s="15" t="s">
        <v>8</v>
      </c>
      <c r="E9956" s="15" t="s">
        <v>8</v>
      </c>
      <c r="F9956" s="15" t="s">
        <v>8</v>
      </c>
      <c r="G9956" s="22" t="str">
        <f>HYPERLINK("http://yeinfo.com/family/I09000211.html", "HELENA OLTJENDIERS 1816 GE-1853 IL ID:09000053")</f>
        <v>HELENA OLTJENDIERS 1816 GE-1853 IL ID:09000053</v>
      </c>
      <c r="H9956" s="13"/>
      <c r="I9956" s="13"/>
      <c r="J9956" s="13"/>
      <c r="K9956" s="13"/>
    </row>
    <row r="9957" spans="3:15" x14ac:dyDescent="0.35">
      <c r="C9957" s="15" t="s">
        <v>8</v>
      </c>
      <c r="D9957" s="15" t="s">
        <v>8</v>
      </c>
      <c r="E9957" s="15" t="s">
        <v>8</v>
      </c>
      <c r="F9957" s="15" t="s">
        <v>8</v>
      </c>
      <c r="H9957" s="15" t="s">
        <v>8</v>
      </c>
    </row>
    <row r="9958" spans="3:15" x14ac:dyDescent="0.35">
      <c r="C9958" s="15" t="s">
        <v>8</v>
      </c>
      <c r="D9958" s="15" t="s">
        <v>8</v>
      </c>
      <c r="E9958" s="15" t="s">
        <v>8</v>
      </c>
      <c r="F9958" s="15" t="s">
        <v>8</v>
      </c>
      <c r="H9958" s="15" t="s">
        <v>8</v>
      </c>
      <c r="K9958" s="19" t="str">
        <f>HYPERLINK("http://yeinfo.com/family/I09000428.html", "EILERT SANDERS 1687 GE-1727 GE ID:09000856")</f>
        <v>EILERT SANDERS 1687 GE-1727 GE ID:09000856</v>
      </c>
      <c r="L9958" s="9"/>
      <c r="M9958" s="9"/>
      <c r="N9958" s="9"/>
      <c r="O9958" s="9"/>
    </row>
    <row r="9959" spans="3:15" x14ac:dyDescent="0.35">
      <c r="C9959" s="15" t="s">
        <v>8</v>
      </c>
      <c r="D9959" s="15" t="s">
        <v>8</v>
      </c>
      <c r="E9959" s="15" t="s">
        <v>8</v>
      </c>
      <c r="F9959" s="15" t="s">
        <v>8</v>
      </c>
      <c r="H9959" s="15" t="s">
        <v>8</v>
      </c>
      <c r="K9959" s="8" t="s">
        <v>3</v>
      </c>
    </row>
    <row r="9960" spans="3:15" x14ac:dyDescent="0.35">
      <c r="C9960" s="15" t="s">
        <v>8</v>
      </c>
      <c r="D9960" s="15" t="s">
        <v>8</v>
      </c>
      <c r="E9960" s="15" t="s">
        <v>8</v>
      </c>
      <c r="F9960" s="15" t="s">
        <v>8</v>
      </c>
      <c r="H9960" s="15" t="s">
        <v>8</v>
      </c>
      <c r="J9960" s="19" t="str">
        <f>HYPERLINK("http://yeinfo.com/family/I09000214.html", "JOHANN FRIEDRICH SANDERS 1714 GE-1785 GE ID:09000428")</f>
        <v>JOHANN FRIEDRICH SANDERS 1714 GE-1785 GE ID:09000428</v>
      </c>
      <c r="K9960" s="9"/>
      <c r="L9960" s="9"/>
      <c r="M9960" s="9"/>
      <c r="N9960" s="9"/>
    </row>
    <row r="9961" spans="3:15" x14ac:dyDescent="0.35">
      <c r="C9961" s="15" t="s">
        <v>8</v>
      </c>
      <c r="D9961" s="15" t="s">
        <v>8</v>
      </c>
      <c r="E9961" s="15" t="s">
        <v>8</v>
      </c>
      <c r="F9961" s="15" t="s">
        <v>8</v>
      </c>
      <c r="H9961" s="15" t="s">
        <v>8</v>
      </c>
      <c r="J9961" s="8" t="s">
        <v>3</v>
      </c>
      <c r="K9961" s="8" t="s">
        <v>6</v>
      </c>
    </row>
    <row r="9962" spans="3:15" x14ac:dyDescent="0.35">
      <c r="C9962" s="15" t="s">
        <v>8</v>
      </c>
      <c r="D9962" s="15" t="s">
        <v>8</v>
      </c>
      <c r="E9962" s="15" t="s">
        <v>8</v>
      </c>
      <c r="F9962" s="15" t="s">
        <v>8</v>
      </c>
      <c r="H9962" s="15" t="s">
        <v>8</v>
      </c>
      <c r="J9962" s="15" t="s">
        <v>8</v>
      </c>
      <c r="K9962" s="20" t="str">
        <f>HYPERLINK("http://yeinfo.com/family/I09000856.html", "GESCHE KLOSTERMANN 1677 GE-1740 GE ID:09000857")</f>
        <v>GESCHE KLOSTERMANN 1677 GE-1740 GE ID:09000857</v>
      </c>
      <c r="L9962" s="17"/>
      <c r="M9962" s="17"/>
      <c r="N9962" s="17"/>
      <c r="O9962" s="17"/>
    </row>
    <row r="9963" spans="3:15" x14ac:dyDescent="0.35">
      <c r="C9963" s="15" t="s">
        <v>8</v>
      </c>
      <c r="D9963" s="15" t="s">
        <v>8</v>
      </c>
      <c r="E9963" s="15" t="s">
        <v>8</v>
      </c>
      <c r="F9963" s="15" t="s">
        <v>8</v>
      </c>
      <c r="H9963" s="15" t="s">
        <v>8</v>
      </c>
      <c r="J9963" s="15" t="s">
        <v>8</v>
      </c>
    </row>
    <row r="9964" spans="3:15" x14ac:dyDescent="0.35">
      <c r="C9964" s="15" t="s">
        <v>8</v>
      </c>
      <c r="D9964" s="15" t="s">
        <v>8</v>
      </c>
      <c r="E9964" s="15" t="s">
        <v>8</v>
      </c>
      <c r="F9964" s="15" t="s">
        <v>8</v>
      </c>
      <c r="H9964" s="15" t="s">
        <v>8</v>
      </c>
      <c r="I9964" s="19" t="str">
        <f>HYPERLINK("http://yeinfo.com/family/I09000107.html", "JOHANN ADAM SANDERS 1760 GE-1817 GE ID:09000214")</f>
        <v>JOHANN ADAM SANDERS 1760 GE-1817 GE ID:09000214</v>
      </c>
      <c r="J9964" s="9"/>
      <c r="K9964" s="9"/>
      <c r="L9964" s="9"/>
      <c r="M9964" s="9"/>
    </row>
    <row r="9965" spans="3:15" x14ac:dyDescent="0.35">
      <c r="C9965" s="15" t="s">
        <v>8</v>
      </c>
      <c r="D9965" s="15" t="s">
        <v>8</v>
      </c>
      <c r="E9965" s="15" t="s">
        <v>8</v>
      </c>
      <c r="F9965" s="15" t="s">
        <v>8</v>
      </c>
      <c r="H9965" s="15" t="s">
        <v>8</v>
      </c>
      <c r="I9965" s="8" t="s">
        <v>3</v>
      </c>
      <c r="J9965" s="8" t="s">
        <v>6</v>
      </c>
    </row>
    <row r="9966" spans="3:15" x14ac:dyDescent="0.35">
      <c r="C9966" s="15" t="s">
        <v>8</v>
      </c>
      <c r="D9966" s="15" t="s">
        <v>8</v>
      </c>
      <c r="E9966" s="15" t="s">
        <v>8</v>
      </c>
      <c r="F9966" s="15" t="s">
        <v>8</v>
      </c>
      <c r="H9966" s="15" t="s">
        <v>8</v>
      </c>
      <c r="I9966" s="15" t="s">
        <v>8</v>
      </c>
      <c r="J9966" s="20" t="str">
        <f>HYPERLINK("http://yeinfo.com/family/I09000857.html", "THALKE BRUMUND 1721 GE-1784 GE ID:09000429")</f>
        <v>THALKE BRUMUND 1721 GE-1784 GE ID:09000429</v>
      </c>
      <c r="K9966" s="17"/>
      <c r="L9966" s="17"/>
      <c r="M9966" s="17"/>
      <c r="N9966" s="17"/>
    </row>
    <row r="9967" spans="3:15" x14ac:dyDescent="0.35">
      <c r="C9967" s="15" t="s">
        <v>8</v>
      </c>
      <c r="D9967" s="15" t="s">
        <v>8</v>
      </c>
      <c r="E9967" s="15" t="s">
        <v>8</v>
      </c>
      <c r="F9967" s="15" t="s">
        <v>8</v>
      </c>
      <c r="H9967" s="8" t="s">
        <v>6</v>
      </c>
      <c r="I9967" s="15" t="s">
        <v>8</v>
      </c>
    </row>
    <row r="9968" spans="3:15" x14ac:dyDescent="0.35">
      <c r="C9968" s="15" t="s">
        <v>8</v>
      </c>
      <c r="D9968" s="15" t="s">
        <v>8</v>
      </c>
      <c r="E9968" s="15" t="s">
        <v>8</v>
      </c>
      <c r="F9968" s="15" t="s">
        <v>8</v>
      </c>
      <c r="H9968" s="20" t="str">
        <f>HYPERLINK("http://yeinfo.com/family/I09000213.html", "CATHARINE MARGARETHE SANDERS 1796 GE-1858 GE ID:09000107")</f>
        <v>CATHARINE MARGARETHE SANDERS 1796 GE-1858 GE ID:09000107</v>
      </c>
      <c r="I9968" s="17"/>
      <c r="J9968" s="17"/>
      <c r="K9968" s="17"/>
      <c r="L9968" s="17"/>
    </row>
    <row r="9969" spans="3:17" x14ac:dyDescent="0.35">
      <c r="C9969" s="15" t="s">
        <v>8</v>
      </c>
      <c r="D9969" s="15" t="s">
        <v>8</v>
      </c>
      <c r="E9969" s="15" t="s">
        <v>8</v>
      </c>
      <c r="F9969" s="15" t="s">
        <v>8</v>
      </c>
      <c r="I9969" s="15" t="s">
        <v>8</v>
      </c>
    </row>
    <row r="9970" spans="3:17" x14ac:dyDescent="0.35">
      <c r="C9970" s="15" t="s">
        <v>8</v>
      </c>
      <c r="D9970" s="15" t="s">
        <v>8</v>
      </c>
      <c r="E9970" s="15" t="s">
        <v>8</v>
      </c>
      <c r="F9970" s="15" t="s">
        <v>8</v>
      </c>
      <c r="I9970" s="15" t="s">
        <v>8</v>
      </c>
      <c r="J9970" s="19" t="str">
        <f>HYPERLINK("http://yeinfo.com/family/I09000215.html", "JOHANN JACOB LUDEWIG 1716 GE-1760 GE ID:09000430")</f>
        <v>JOHANN JACOB LUDEWIG 1716 GE-1760 GE ID:09000430</v>
      </c>
      <c r="K9970" s="9"/>
      <c r="L9970" s="9"/>
      <c r="M9970" s="9"/>
      <c r="N9970" s="9"/>
    </row>
    <row r="9971" spans="3:17" x14ac:dyDescent="0.35">
      <c r="C9971" s="15" t="s">
        <v>8</v>
      </c>
      <c r="D9971" s="15" t="s">
        <v>8</v>
      </c>
      <c r="E9971" s="15" t="s">
        <v>8</v>
      </c>
      <c r="F9971" s="15" t="s">
        <v>8</v>
      </c>
      <c r="I9971" s="8" t="s">
        <v>6</v>
      </c>
      <c r="J9971" s="8" t="s">
        <v>3</v>
      </c>
    </row>
    <row r="9972" spans="3:17" x14ac:dyDescent="0.35">
      <c r="C9972" s="15" t="s">
        <v>8</v>
      </c>
      <c r="D9972" s="15" t="s">
        <v>8</v>
      </c>
      <c r="E9972" s="15" t="s">
        <v>8</v>
      </c>
      <c r="F9972" s="15" t="s">
        <v>8</v>
      </c>
      <c r="I9972" s="20" t="str">
        <f>HYPERLINK("http://yeinfo.com/family/I09000429.html", "TRINA MARGARETE DIERS 1760 GE-1816 GE ID:09000215")</f>
        <v>TRINA MARGARETE DIERS 1760 GE-1816 GE ID:09000215</v>
      </c>
      <c r="J9972" s="17"/>
      <c r="K9972" s="17"/>
      <c r="L9972" s="17"/>
      <c r="M9972" s="17"/>
    </row>
    <row r="9973" spans="3:17" x14ac:dyDescent="0.35">
      <c r="C9973" s="15" t="s">
        <v>8</v>
      </c>
      <c r="D9973" s="15" t="s">
        <v>8</v>
      </c>
      <c r="E9973" s="15" t="s">
        <v>8</v>
      </c>
      <c r="F9973" s="15" t="s">
        <v>8</v>
      </c>
      <c r="J9973" s="15" t="s">
        <v>8</v>
      </c>
    </row>
    <row r="9974" spans="3:17" x14ac:dyDescent="0.35">
      <c r="C9974" s="15" t="s">
        <v>8</v>
      </c>
      <c r="D9974" s="15" t="s">
        <v>8</v>
      </c>
      <c r="E9974" s="15" t="s">
        <v>8</v>
      </c>
      <c r="F9974" s="15" t="s">
        <v>8</v>
      </c>
      <c r="J9974" s="15" t="s">
        <v>8</v>
      </c>
      <c r="K9974" s="19" t="str">
        <f>HYPERLINK("http://yeinfo.com/family/I09000431.html", "MEINE DIERKS 1660 GE-1727 GE ID:09000862")</f>
        <v>MEINE DIERKS 1660 GE-1727 GE ID:09000862</v>
      </c>
      <c r="L9974" s="9"/>
      <c r="M9974" s="9"/>
      <c r="N9974" s="9"/>
      <c r="O9974" s="9"/>
    </row>
    <row r="9975" spans="3:17" x14ac:dyDescent="0.35">
      <c r="C9975" s="15" t="s">
        <v>8</v>
      </c>
      <c r="D9975" s="15" t="s">
        <v>8</v>
      </c>
      <c r="E9975" s="15" t="s">
        <v>8</v>
      </c>
      <c r="F9975" s="15" t="s">
        <v>8</v>
      </c>
      <c r="J9975" s="8" t="s">
        <v>6</v>
      </c>
      <c r="K9975" s="8" t="s">
        <v>3</v>
      </c>
    </row>
    <row r="9976" spans="3:17" x14ac:dyDescent="0.35">
      <c r="C9976" s="15" t="s">
        <v>8</v>
      </c>
      <c r="D9976" s="15" t="s">
        <v>8</v>
      </c>
      <c r="E9976" s="15" t="s">
        <v>8</v>
      </c>
      <c r="F9976" s="15" t="s">
        <v>8</v>
      </c>
      <c r="J9976" s="20" t="str">
        <f>HYPERLINK("http://yeinfo.com/family/I09000430.html", "ANNA MARGARETHE DIERS 1718 GE-1795 GE ID:09000431")</f>
        <v>ANNA MARGARETHE DIERS 1718 GE-1795 GE ID:09000431</v>
      </c>
      <c r="K9976" s="17"/>
      <c r="L9976" s="17"/>
      <c r="M9976" s="17"/>
      <c r="N9976" s="17"/>
    </row>
    <row r="9977" spans="3:17" x14ac:dyDescent="0.35">
      <c r="C9977" s="15" t="s">
        <v>8</v>
      </c>
      <c r="D9977" s="15" t="s">
        <v>8</v>
      </c>
      <c r="E9977" s="15" t="s">
        <v>8</v>
      </c>
      <c r="F9977" s="15" t="s">
        <v>8</v>
      </c>
      <c r="K9977" s="8" t="s">
        <v>6</v>
      </c>
    </row>
    <row r="9978" spans="3:17" x14ac:dyDescent="0.35">
      <c r="C9978" s="15" t="s">
        <v>8</v>
      </c>
      <c r="D9978" s="15" t="s">
        <v>8</v>
      </c>
      <c r="E9978" s="15" t="s">
        <v>8</v>
      </c>
      <c r="F9978" s="15" t="s">
        <v>8</v>
      </c>
      <c r="K9978" s="20" t="str">
        <f>HYPERLINK("http://yeinfo.com/family/I09000862.html", "HILLE SCHMIDT 1689 GE-1739 GE ID:09000863")</f>
        <v>HILLE SCHMIDT 1689 GE-1739 GE ID:09000863</v>
      </c>
      <c r="L9978" s="17"/>
      <c r="M9978" s="17"/>
      <c r="N9978" s="17"/>
      <c r="O9978" s="17"/>
    </row>
    <row r="9979" spans="3:17" x14ac:dyDescent="0.35">
      <c r="C9979" s="15" t="s">
        <v>8</v>
      </c>
      <c r="D9979" s="15" t="s">
        <v>8</v>
      </c>
      <c r="E9979" s="8" t="s">
        <v>6</v>
      </c>
      <c r="F9979" s="15" t="s">
        <v>8</v>
      </c>
    </row>
    <row r="9980" spans="3:17" x14ac:dyDescent="0.35">
      <c r="C9980" s="15" t="s">
        <v>8</v>
      </c>
      <c r="D9980" s="15" t="s">
        <v>8</v>
      </c>
      <c r="E9980" s="16" t="str">
        <f>HYPERLINK("http://yeinfo.com/family/I09000051.html", "ADELINE R. BUHR 1870 IL-1893 MO ID:09000013")</f>
        <v>ADELINE R. BUHR 1870 IL-1893 MO ID:09000013</v>
      </c>
      <c r="F9980" s="11"/>
      <c r="G9980" s="11"/>
      <c r="H9980" s="11"/>
      <c r="I9980" s="11"/>
    </row>
    <row r="9981" spans="3:17" x14ac:dyDescent="0.35">
      <c r="C9981" s="15" t="s">
        <v>8</v>
      </c>
      <c r="D9981" s="15" t="s">
        <v>8</v>
      </c>
      <c r="F9981" s="15" t="s">
        <v>8</v>
      </c>
    </row>
    <row r="9982" spans="3:17" x14ac:dyDescent="0.35">
      <c r="C9982" s="15" t="s">
        <v>8</v>
      </c>
      <c r="D9982" s="15" t="s">
        <v>8</v>
      </c>
      <c r="F9982" s="15" t="s">
        <v>8</v>
      </c>
      <c r="M9982" s="19" t="str">
        <f>HYPERLINK("http://yeinfo.com/family/I09001728.html", "THOMAS R. RAGLAND Jr. 1628 EN-1684 EN ID:09003456")</f>
        <v>THOMAS R. RAGLAND Jr. 1628 EN-1684 EN ID:09003456</v>
      </c>
      <c r="N9982" s="9"/>
      <c r="O9982" s="9"/>
      <c r="P9982" s="9"/>
      <c r="Q9982" s="9"/>
    </row>
    <row r="9983" spans="3:17" x14ac:dyDescent="0.35">
      <c r="C9983" s="15" t="s">
        <v>8</v>
      </c>
      <c r="D9983" s="15" t="s">
        <v>8</v>
      </c>
      <c r="F9983" s="15" t="s">
        <v>8</v>
      </c>
      <c r="M9983" s="8" t="s">
        <v>3</v>
      </c>
    </row>
    <row r="9984" spans="3:17" x14ac:dyDescent="0.35">
      <c r="C9984" s="15" t="s">
        <v>8</v>
      </c>
      <c r="D9984" s="15" t="s">
        <v>8</v>
      </c>
      <c r="F9984" s="15" t="s">
        <v>8</v>
      </c>
      <c r="L9984" s="21" t="str">
        <f>HYPERLINK("http://yeinfo.com/family/I09000864.html", "EVAN RAGLAND Sr. 1656 EN-1717 VA ID:09001728")</f>
        <v>EVAN RAGLAND Sr. 1656 EN-1717 VA ID:09001728</v>
      </c>
      <c r="M9984" s="6"/>
      <c r="N9984" s="6"/>
      <c r="O9984" s="6"/>
      <c r="P9984" s="6"/>
    </row>
    <row r="9985" spans="3:18" x14ac:dyDescent="0.35">
      <c r="C9985" s="15" t="s">
        <v>8</v>
      </c>
      <c r="D9985" s="15" t="s">
        <v>8</v>
      </c>
      <c r="F9985" s="15" t="s">
        <v>8</v>
      </c>
      <c r="L9985" s="8" t="s">
        <v>3</v>
      </c>
      <c r="M9985" s="8" t="s">
        <v>6</v>
      </c>
    </row>
    <row r="9986" spans="3:18" x14ac:dyDescent="0.35">
      <c r="C9986" s="15" t="s">
        <v>8</v>
      </c>
      <c r="D9986" s="15" t="s">
        <v>8</v>
      </c>
      <c r="F9986" s="15" t="s">
        <v>8</v>
      </c>
      <c r="L9986" s="15" t="s">
        <v>8</v>
      </c>
      <c r="M9986" s="20" t="str">
        <f>HYPERLINK("http://yeinfo.com/family/I09003456.html", "JANE MORGAN 1628 WL-1728 EN ID:09003457")</f>
        <v>JANE MORGAN 1628 WL-1728 EN ID:09003457</v>
      </c>
      <c r="N9986" s="17"/>
      <c r="O9986" s="17"/>
      <c r="P9986" s="17"/>
      <c r="Q9986" s="17"/>
    </row>
    <row r="9987" spans="3:18" x14ac:dyDescent="0.35">
      <c r="C9987" s="15" t="s">
        <v>8</v>
      </c>
      <c r="D9987" s="15" t="s">
        <v>8</v>
      </c>
      <c r="F9987" s="15" t="s">
        <v>8</v>
      </c>
      <c r="L9987" s="15" t="s">
        <v>8</v>
      </c>
    </row>
    <row r="9988" spans="3:18" x14ac:dyDescent="0.35">
      <c r="C9988" s="15" t="s">
        <v>8</v>
      </c>
      <c r="D9988" s="15" t="s">
        <v>8</v>
      </c>
      <c r="F9988" s="15" t="s">
        <v>8</v>
      </c>
      <c r="K9988" s="5" t="str">
        <f>HYPERLINK("http://yeinfo.com/family/I09000432.html", "STEPHEN RAGLAND 1688 VA-1747 NC ID:09000864")</f>
        <v>STEPHEN RAGLAND 1688 VA-1747 NC ID:09000864</v>
      </c>
      <c r="L9988" s="3"/>
      <c r="M9988" s="3"/>
      <c r="N9988" s="3"/>
      <c r="O9988" s="3"/>
    </row>
    <row r="9989" spans="3:18" x14ac:dyDescent="0.35">
      <c r="C9989" s="15" t="s">
        <v>8</v>
      </c>
      <c r="D9989" s="15" t="s">
        <v>8</v>
      </c>
      <c r="F9989" s="15" t="s">
        <v>8</v>
      </c>
      <c r="K9989" s="8" t="s">
        <v>3</v>
      </c>
      <c r="L9989" s="15" t="s">
        <v>8</v>
      </c>
    </row>
    <row r="9990" spans="3:18" x14ac:dyDescent="0.35">
      <c r="C9990" s="15" t="s">
        <v>8</v>
      </c>
      <c r="D9990" s="15" t="s">
        <v>8</v>
      </c>
      <c r="F9990" s="15" t="s">
        <v>8</v>
      </c>
      <c r="K9990" s="15" t="s">
        <v>8</v>
      </c>
      <c r="L9990" s="15" t="s">
        <v>8</v>
      </c>
      <c r="N9990" s="21" t="str">
        <f>HYPERLINK("http://yeinfo.com/family/I09003458.html", "THOMAS HUBERT PETTUS 1599 EN-1663 VA ID:09006916")</f>
        <v>THOMAS HUBERT PETTUS 1599 EN-1663 VA ID:09006916</v>
      </c>
      <c r="O9990" s="6"/>
      <c r="P9990" s="6"/>
      <c r="Q9990" s="6"/>
      <c r="R9990" s="6"/>
    </row>
    <row r="9991" spans="3:18" x14ac:dyDescent="0.35">
      <c r="C9991" s="15" t="s">
        <v>8</v>
      </c>
      <c r="D9991" s="15" t="s">
        <v>8</v>
      </c>
      <c r="F9991" s="15" t="s">
        <v>8</v>
      </c>
      <c r="K9991" s="15" t="s">
        <v>8</v>
      </c>
      <c r="L9991" s="15" t="s">
        <v>8</v>
      </c>
      <c r="N9991" s="8" t="s">
        <v>3</v>
      </c>
    </row>
    <row r="9992" spans="3:18" x14ac:dyDescent="0.35">
      <c r="C9992" s="15" t="s">
        <v>8</v>
      </c>
      <c r="D9992" s="15" t="s">
        <v>8</v>
      </c>
      <c r="F9992" s="15" t="s">
        <v>8</v>
      </c>
      <c r="K9992" s="15" t="s">
        <v>8</v>
      </c>
      <c r="L9992" s="15" t="s">
        <v>8</v>
      </c>
      <c r="M9992" s="5" t="str">
        <f>HYPERLINK("http://yeinfo.com/family/I09001729.html", "STEPHEN PETTUS II 1628 VA-1686 VA ID:09003458")</f>
        <v>STEPHEN PETTUS II 1628 VA-1686 VA ID:09003458</v>
      </c>
      <c r="N9992" s="3"/>
      <c r="O9992" s="3"/>
      <c r="P9992" s="3"/>
      <c r="Q9992" s="3"/>
    </row>
    <row r="9993" spans="3:18" x14ac:dyDescent="0.35">
      <c r="C9993" s="15" t="s">
        <v>8</v>
      </c>
      <c r="D9993" s="15" t="s">
        <v>8</v>
      </c>
      <c r="F9993" s="15" t="s">
        <v>8</v>
      </c>
      <c r="K9993" s="15" t="s">
        <v>8</v>
      </c>
      <c r="L9993" s="15" t="s">
        <v>8</v>
      </c>
      <c r="M9993" s="8" t="s">
        <v>3</v>
      </c>
      <c r="N9993" s="8" t="s">
        <v>6</v>
      </c>
    </row>
    <row r="9994" spans="3:18" x14ac:dyDescent="0.35">
      <c r="C9994" s="15" t="s">
        <v>8</v>
      </c>
      <c r="D9994" s="15" t="s">
        <v>8</v>
      </c>
      <c r="F9994" s="15" t="s">
        <v>8</v>
      </c>
      <c r="K9994" s="15" t="s">
        <v>8</v>
      </c>
      <c r="L9994" s="15" t="s">
        <v>8</v>
      </c>
      <c r="M9994" s="15" t="s">
        <v>8</v>
      </c>
      <c r="N9994" s="22" t="str">
        <f>HYPERLINK("http://yeinfo.com/family/I09006916.html", "ELIZABETH GROVE 1608 EN-1680 VA ID:09006917")</f>
        <v>ELIZABETH GROVE 1608 EN-1680 VA ID:09006917</v>
      </c>
      <c r="O9994" s="13"/>
      <c r="P9994" s="13"/>
      <c r="Q9994" s="13"/>
      <c r="R9994" s="13"/>
    </row>
    <row r="9995" spans="3:18" x14ac:dyDescent="0.35">
      <c r="C9995" s="15" t="s">
        <v>8</v>
      </c>
      <c r="D9995" s="15" t="s">
        <v>8</v>
      </c>
      <c r="F9995" s="15" t="s">
        <v>8</v>
      </c>
      <c r="K9995" s="15" t="s">
        <v>8</v>
      </c>
      <c r="L9995" s="8" t="s">
        <v>6</v>
      </c>
      <c r="M9995" s="15" t="s">
        <v>8</v>
      </c>
    </row>
    <row r="9996" spans="3:18" x14ac:dyDescent="0.35">
      <c r="C9996" s="15" t="s">
        <v>8</v>
      </c>
      <c r="D9996" s="15" t="s">
        <v>8</v>
      </c>
      <c r="F9996" s="15" t="s">
        <v>8</v>
      </c>
      <c r="K9996" s="15" t="s">
        <v>8</v>
      </c>
      <c r="L9996" s="16" t="str">
        <f>HYPERLINK("http://yeinfo.com/family/I09003457.html", "SUSANNA PETTUS 1660 VA-1717 VA ID:09001729")</f>
        <v>SUSANNA PETTUS 1660 VA-1717 VA ID:09001729</v>
      </c>
      <c r="M9996" s="11"/>
      <c r="N9996" s="11"/>
      <c r="O9996" s="11"/>
      <c r="P9996" s="11"/>
    </row>
    <row r="9997" spans="3:18" x14ac:dyDescent="0.35">
      <c r="C9997" s="15" t="s">
        <v>8</v>
      </c>
      <c r="D9997" s="15" t="s">
        <v>8</v>
      </c>
      <c r="F9997" s="15" t="s">
        <v>8</v>
      </c>
      <c r="K9997" s="15" t="s">
        <v>8</v>
      </c>
      <c r="M9997" s="8" t="s">
        <v>6</v>
      </c>
    </row>
    <row r="9998" spans="3:18" x14ac:dyDescent="0.35">
      <c r="C9998" s="15" t="s">
        <v>8</v>
      </c>
      <c r="D9998" s="15" t="s">
        <v>8</v>
      </c>
      <c r="F9998" s="15" t="s">
        <v>8</v>
      </c>
      <c r="K9998" s="15" t="s">
        <v>8</v>
      </c>
      <c r="M9998" s="16" t="str">
        <f>HYPERLINK("http://yeinfo.com/family/I09006917.html", "MARY ELIZABETH DABNEY 1640 VA-1737 VA ID:09003459")</f>
        <v>MARY ELIZABETH DABNEY 1640 VA-1737 VA ID:09003459</v>
      </c>
      <c r="N9998" s="11"/>
      <c r="O9998" s="11"/>
      <c r="P9998" s="11"/>
      <c r="Q9998" s="11"/>
    </row>
    <row r="9999" spans="3:18" x14ac:dyDescent="0.35">
      <c r="C9999" s="15" t="s">
        <v>8</v>
      </c>
      <c r="D9999" s="15" t="s">
        <v>8</v>
      </c>
      <c r="F9999" s="15" t="s">
        <v>8</v>
      </c>
      <c r="K9999" s="15" t="s">
        <v>8</v>
      </c>
    </row>
    <row r="10000" spans="3:18" x14ac:dyDescent="0.35">
      <c r="C10000" s="15" t="s">
        <v>8</v>
      </c>
      <c r="D10000" s="15" t="s">
        <v>8</v>
      </c>
      <c r="F10000" s="15" t="s">
        <v>8</v>
      </c>
      <c r="J10000" s="5" t="str">
        <f>HYPERLINK("http://yeinfo.com/family/I09000216.html", "EVAN RAGLAND 1714 VA-1778 NC ID:09000432")</f>
        <v>EVAN RAGLAND 1714 VA-1778 NC ID:09000432</v>
      </c>
      <c r="K10000" s="3"/>
      <c r="L10000" s="3"/>
      <c r="M10000" s="3"/>
      <c r="N10000" s="3"/>
    </row>
    <row r="10001" spans="3:18" x14ac:dyDescent="0.35">
      <c r="C10001" s="15" t="s">
        <v>8</v>
      </c>
      <c r="D10001" s="15" t="s">
        <v>8</v>
      </c>
      <c r="F10001" s="15" t="s">
        <v>8</v>
      </c>
      <c r="J10001" s="8" t="s">
        <v>3</v>
      </c>
      <c r="K10001" s="15" t="s">
        <v>8</v>
      </c>
    </row>
    <row r="10002" spans="3:18" x14ac:dyDescent="0.35">
      <c r="C10002" s="15" t="s">
        <v>8</v>
      </c>
      <c r="D10002" s="15" t="s">
        <v>8</v>
      </c>
      <c r="F10002" s="15" t="s">
        <v>8</v>
      </c>
      <c r="J10002" s="15" t="s">
        <v>8</v>
      </c>
      <c r="K10002" s="15" t="s">
        <v>8</v>
      </c>
      <c r="L10002" s="5" t="str">
        <f>HYPERLINK("http://yeinfo.com/family/I09000865.html", "WILLIAM MAURICE HUDSON 1668 VA-1701 VA ID:09001730")</f>
        <v>WILLIAM MAURICE HUDSON 1668 VA-1701 VA ID:09001730</v>
      </c>
      <c r="M10002" s="3"/>
      <c r="N10002" s="3"/>
      <c r="O10002" s="3"/>
      <c r="P10002" s="3"/>
    </row>
    <row r="10003" spans="3:18" x14ac:dyDescent="0.35">
      <c r="C10003" s="15" t="s">
        <v>8</v>
      </c>
      <c r="D10003" s="15" t="s">
        <v>8</v>
      </c>
      <c r="F10003" s="15" t="s">
        <v>8</v>
      </c>
      <c r="J10003" s="15" t="s">
        <v>8</v>
      </c>
      <c r="K10003" s="8" t="s">
        <v>6</v>
      </c>
      <c r="L10003" s="8" t="s">
        <v>3</v>
      </c>
    </row>
    <row r="10004" spans="3:18" x14ac:dyDescent="0.35">
      <c r="C10004" s="15" t="s">
        <v>8</v>
      </c>
      <c r="D10004" s="15" t="s">
        <v>8</v>
      </c>
      <c r="F10004" s="15" t="s">
        <v>8</v>
      </c>
      <c r="J10004" s="15" t="s">
        <v>8</v>
      </c>
      <c r="K10004" s="16" t="str">
        <f>HYPERLINK("http://yeinfo.com/family/I09003459.html", "MARY HUDSON 1688 VA-1760 NC ID:09000865")</f>
        <v>MARY HUDSON 1688 VA-1760 NC ID:09000865</v>
      </c>
      <c r="L10004" s="11"/>
      <c r="M10004" s="11"/>
      <c r="N10004" s="11"/>
      <c r="O10004" s="11"/>
    </row>
    <row r="10005" spans="3:18" x14ac:dyDescent="0.35">
      <c r="C10005" s="15" t="s">
        <v>8</v>
      </c>
      <c r="D10005" s="15" t="s">
        <v>8</v>
      </c>
      <c r="F10005" s="15" t="s">
        <v>8</v>
      </c>
      <c r="J10005" s="15" t="s">
        <v>8</v>
      </c>
      <c r="L10005" s="8" t="s">
        <v>6</v>
      </c>
    </row>
    <row r="10006" spans="3:18" x14ac:dyDescent="0.35">
      <c r="C10006" s="15" t="s">
        <v>8</v>
      </c>
      <c r="D10006" s="15" t="s">
        <v>8</v>
      </c>
      <c r="F10006" s="15" t="s">
        <v>8</v>
      </c>
      <c r="J10006" s="15" t="s">
        <v>8</v>
      </c>
      <c r="L10006" s="16" t="str">
        <f>HYPERLINK("http://yeinfo.com/family/I09001730.html", "ADA ELIZABETH JENNINGS 1667 VA-1711 VA ID:09001731")</f>
        <v>ADA ELIZABETH JENNINGS 1667 VA-1711 VA ID:09001731</v>
      </c>
      <c r="M10006" s="11"/>
      <c r="N10006" s="11"/>
      <c r="O10006" s="11"/>
      <c r="P10006" s="11"/>
    </row>
    <row r="10007" spans="3:18" x14ac:dyDescent="0.35">
      <c r="C10007" s="15" t="s">
        <v>8</v>
      </c>
      <c r="D10007" s="15" t="s">
        <v>8</v>
      </c>
      <c r="F10007" s="15" t="s">
        <v>8</v>
      </c>
      <c r="J10007" s="15" t="s">
        <v>8</v>
      </c>
    </row>
    <row r="10008" spans="3:18" x14ac:dyDescent="0.35">
      <c r="C10008" s="15" t="s">
        <v>8</v>
      </c>
      <c r="D10008" s="15" t="s">
        <v>8</v>
      </c>
      <c r="F10008" s="15" t="s">
        <v>8</v>
      </c>
      <c r="I10008" s="5" t="str">
        <f>HYPERLINK("http://yeinfo.com/family/I09000108.html", "BENJAMIN RAGLAND 1747 NC-1830 KY ID:09000216")</f>
        <v>BENJAMIN RAGLAND 1747 NC-1830 KY ID:09000216</v>
      </c>
      <c r="J10008" s="3"/>
      <c r="K10008" s="3"/>
      <c r="L10008" s="3"/>
      <c r="M10008" s="3"/>
    </row>
    <row r="10009" spans="3:18" x14ac:dyDescent="0.35">
      <c r="C10009" s="15" t="s">
        <v>8</v>
      </c>
      <c r="D10009" s="15" t="s">
        <v>8</v>
      </c>
      <c r="F10009" s="15" t="s">
        <v>8</v>
      </c>
      <c r="I10009" s="8" t="s">
        <v>3</v>
      </c>
      <c r="J10009" s="15" t="s">
        <v>8</v>
      </c>
    </row>
    <row r="10010" spans="3:18" x14ac:dyDescent="0.35">
      <c r="C10010" s="15" t="s">
        <v>8</v>
      </c>
      <c r="D10010" s="15" t="s">
        <v>8</v>
      </c>
      <c r="F10010" s="15" t="s">
        <v>8</v>
      </c>
      <c r="I10010" s="15" t="s">
        <v>8</v>
      </c>
      <c r="J10010" s="15" t="s">
        <v>8</v>
      </c>
      <c r="N10010" s="21" t="str">
        <f>HYPERLINK("http://yeinfo.com/family/I09003464.html", "ROBERT MARRIOTT 1599 EN-1664 VA ID:09006928")</f>
        <v>ROBERT MARRIOTT 1599 EN-1664 VA ID:09006928</v>
      </c>
      <c r="O10010" s="6"/>
      <c r="P10010" s="6"/>
      <c r="Q10010" s="6"/>
      <c r="R10010" s="6"/>
    </row>
    <row r="10011" spans="3:18" x14ac:dyDescent="0.35">
      <c r="C10011" s="15" t="s">
        <v>8</v>
      </c>
      <c r="D10011" s="15" t="s">
        <v>8</v>
      </c>
      <c r="F10011" s="15" t="s">
        <v>8</v>
      </c>
      <c r="I10011" s="15" t="s">
        <v>8</v>
      </c>
      <c r="J10011" s="15" t="s">
        <v>8</v>
      </c>
      <c r="N10011" s="8" t="s">
        <v>3</v>
      </c>
    </row>
    <row r="10012" spans="3:18" x14ac:dyDescent="0.35">
      <c r="C10012" s="15" t="s">
        <v>8</v>
      </c>
      <c r="D10012" s="15" t="s">
        <v>8</v>
      </c>
      <c r="F10012" s="15" t="s">
        <v>8</v>
      </c>
      <c r="I10012" s="15" t="s">
        <v>8</v>
      </c>
      <c r="J10012" s="15" t="s">
        <v>8</v>
      </c>
      <c r="M10012" s="5" t="str">
        <f>HYPERLINK("http://yeinfo.com/family/I09001732.html", "WILLIAM MARRIOTT 1615 VA-1670 VA ID:09003464")</f>
        <v>WILLIAM MARRIOTT 1615 VA-1670 VA ID:09003464</v>
      </c>
      <c r="N10012" s="3"/>
      <c r="O10012" s="3"/>
      <c r="P10012" s="3"/>
      <c r="Q10012" s="3"/>
    </row>
    <row r="10013" spans="3:18" x14ac:dyDescent="0.35">
      <c r="C10013" s="15" t="s">
        <v>8</v>
      </c>
      <c r="D10013" s="15" t="s">
        <v>8</v>
      </c>
      <c r="F10013" s="15" t="s">
        <v>8</v>
      </c>
      <c r="I10013" s="15" t="s">
        <v>8</v>
      </c>
      <c r="J10013" s="15" t="s">
        <v>8</v>
      </c>
      <c r="M10013" s="8" t="s">
        <v>3</v>
      </c>
      <c r="N10013" s="8" t="s">
        <v>6</v>
      </c>
    </row>
    <row r="10014" spans="3:18" x14ac:dyDescent="0.35">
      <c r="C10014" s="15" t="s">
        <v>8</v>
      </c>
      <c r="D10014" s="15" t="s">
        <v>8</v>
      </c>
      <c r="F10014" s="15" t="s">
        <v>8</v>
      </c>
      <c r="I10014" s="15" t="s">
        <v>8</v>
      </c>
      <c r="J10014" s="15" t="s">
        <v>8</v>
      </c>
      <c r="M10014" s="15" t="s">
        <v>8</v>
      </c>
      <c r="N10014" s="20" t="str">
        <f>HYPERLINK("http://yeinfo.com/family/I09006928.html", "SENSE HICKLING 1603 EN-1670 EN ID:09006929")</f>
        <v>SENSE HICKLING 1603 EN-1670 EN ID:09006929</v>
      </c>
      <c r="O10014" s="17"/>
      <c r="P10014" s="17"/>
      <c r="Q10014" s="17"/>
      <c r="R10014" s="17"/>
    </row>
    <row r="10015" spans="3:18" x14ac:dyDescent="0.35">
      <c r="C10015" s="15" t="s">
        <v>8</v>
      </c>
      <c r="D10015" s="15" t="s">
        <v>8</v>
      </c>
      <c r="F10015" s="15" t="s">
        <v>8</v>
      </c>
      <c r="I10015" s="15" t="s">
        <v>8</v>
      </c>
      <c r="J10015" s="15" t="s">
        <v>8</v>
      </c>
      <c r="M10015" s="15" t="s">
        <v>8</v>
      </c>
    </row>
    <row r="10016" spans="3:18" x14ac:dyDescent="0.35">
      <c r="C10016" s="15" t="s">
        <v>8</v>
      </c>
      <c r="D10016" s="15" t="s">
        <v>8</v>
      </c>
      <c r="F10016" s="15" t="s">
        <v>8</v>
      </c>
      <c r="I10016" s="15" t="s">
        <v>8</v>
      </c>
      <c r="J10016" s="15" t="s">
        <v>8</v>
      </c>
      <c r="L10016" s="5" t="str">
        <f>HYPERLINK("http://yeinfo.com/family/I09000866.html", "CHARLES MARRIOTT 1652 VA-1718 NC ID:09001732")</f>
        <v>CHARLES MARRIOTT 1652 VA-1718 NC ID:09001732</v>
      </c>
      <c r="M10016" s="3"/>
      <c r="N10016" s="3"/>
      <c r="O10016" s="3"/>
      <c r="P10016" s="3"/>
    </row>
    <row r="10017" spans="3:18" x14ac:dyDescent="0.35">
      <c r="C10017" s="15" t="s">
        <v>8</v>
      </c>
      <c r="D10017" s="15" t="s">
        <v>8</v>
      </c>
      <c r="F10017" s="15" t="s">
        <v>8</v>
      </c>
      <c r="I10017" s="15" t="s">
        <v>8</v>
      </c>
      <c r="J10017" s="15" t="s">
        <v>8</v>
      </c>
      <c r="L10017" s="8" t="s">
        <v>3</v>
      </c>
      <c r="M10017" s="15" t="s">
        <v>8</v>
      </c>
    </row>
    <row r="10018" spans="3:18" x14ac:dyDescent="0.35">
      <c r="C10018" s="15" t="s">
        <v>8</v>
      </c>
      <c r="D10018" s="15" t="s">
        <v>8</v>
      </c>
      <c r="F10018" s="15" t="s">
        <v>8</v>
      </c>
      <c r="I10018" s="15" t="s">
        <v>8</v>
      </c>
      <c r="J10018" s="15" t="s">
        <v>8</v>
      </c>
      <c r="L10018" s="15" t="s">
        <v>8</v>
      </c>
      <c r="M10018" s="15" t="s">
        <v>8</v>
      </c>
      <c r="N10018" s="5" t="str">
        <f>HYPERLINK("http://yeinfo.com/family/I09003465.html", "THOMAS NORTON 1585 -1621  ID:09006930")</f>
        <v>THOMAS NORTON 1585 -1621  ID:09006930</v>
      </c>
      <c r="O10018" s="3"/>
      <c r="P10018" s="3"/>
      <c r="Q10018" s="3"/>
      <c r="R10018" s="3"/>
    </row>
    <row r="10019" spans="3:18" x14ac:dyDescent="0.35">
      <c r="C10019" s="15" t="s">
        <v>8</v>
      </c>
      <c r="D10019" s="15" t="s">
        <v>8</v>
      </c>
      <c r="F10019" s="15" t="s">
        <v>8</v>
      </c>
      <c r="I10019" s="15" t="s">
        <v>8</v>
      </c>
      <c r="J10019" s="15" t="s">
        <v>8</v>
      </c>
      <c r="L10019" s="15" t="s">
        <v>8</v>
      </c>
      <c r="M10019" s="8" t="s">
        <v>6</v>
      </c>
      <c r="N10019" s="8" t="s">
        <v>3</v>
      </c>
    </row>
    <row r="10020" spans="3:18" x14ac:dyDescent="0.35">
      <c r="C10020" s="15" t="s">
        <v>8</v>
      </c>
      <c r="D10020" s="15" t="s">
        <v>8</v>
      </c>
      <c r="F10020" s="15" t="s">
        <v>8</v>
      </c>
      <c r="I10020" s="15" t="s">
        <v>8</v>
      </c>
      <c r="J10020" s="15" t="s">
        <v>8</v>
      </c>
      <c r="L10020" s="15" t="s">
        <v>8</v>
      </c>
      <c r="M10020" s="16" t="str">
        <f>HYPERLINK("http://yeinfo.com/family/I09006929.html", "ELIZABETH NORTON 1621 VA-1672 VA ID:09003465")</f>
        <v>ELIZABETH NORTON 1621 VA-1672 VA ID:09003465</v>
      </c>
      <c r="N10020" s="11"/>
      <c r="O10020" s="11"/>
      <c r="P10020" s="11"/>
      <c r="Q10020" s="11"/>
    </row>
    <row r="10021" spans="3:18" x14ac:dyDescent="0.35">
      <c r="C10021" s="15" t="s">
        <v>8</v>
      </c>
      <c r="D10021" s="15" t="s">
        <v>8</v>
      </c>
      <c r="F10021" s="15" t="s">
        <v>8</v>
      </c>
      <c r="I10021" s="15" t="s">
        <v>8</v>
      </c>
      <c r="J10021" s="15" t="s">
        <v>8</v>
      </c>
      <c r="L10021" s="15" t="s">
        <v>8</v>
      </c>
      <c r="N10021" s="8" t="s">
        <v>6</v>
      </c>
    </row>
    <row r="10022" spans="3:18" x14ac:dyDescent="0.35">
      <c r="C10022" s="15" t="s">
        <v>8</v>
      </c>
      <c r="D10022" s="15" t="s">
        <v>8</v>
      </c>
      <c r="F10022" s="15" t="s">
        <v>8</v>
      </c>
      <c r="I10022" s="15" t="s">
        <v>8</v>
      </c>
      <c r="J10022" s="15" t="s">
        <v>8</v>
      </c>
      <c r="L10022" s="15" t="s">
        <v>8</v>
      </c>
      <c r="N10022" s="16" t="str">
        <f>HYPERLINK("http://yeinfo.com/family/I09006930.html", "Mrs. {_?_} NORTON 1600 -1621  ID:09006931")</f>
        <v>Mrs. {_?_} NORTON 1600 -1621  ID:09006931</v>
      </c>
      <c r="O10022" s="11"/>
      <c r="P10022" s="11"/>
      <c r="Q10022" s="11"/>
      <c r="R10022" s="11"/>
    </row>
    <row r="10023" spans="3:18" x14ac:dyDescent="0.35">
      <c r="C10023" s="15" t="s">
        <v>8</v>
      </c>
      <c r="D10023" s="15" t="s">
        <v>8</v>
      </c>
      <c r="F10023" s="15" t="s">
        <v>8</v>
      </c>
      <c r="I10023" s="15" t="s">
        <v>8</v>
      </c>
      <c r="J10023" s="15" t="s">
        <v>8</v>
      </c>
      <c r="L10023" s="15" t="s">
        <v>8</v>
      </c>
    </row>
    <row r="10024" spans="3:18" x14ac:dyDescent="0.35">
      <c r="C10024" s="15" t="s">
        <v>8</v>
      </c>
      <c r="D10024" s="15" t="s">
        <v>8</v>
      </c>
      <c r="F10024" s="15" t="s">
        <v>8</v>
      </c>
      <c r="I10024" s="15" t="s">
        <v>8</v>
      </c>
      <c r="J10024" s="15" t="s">
        <v>8</v>
      </c>
      <c r="K10024" s="5" t="str">
        <f>HYPERLINK("http://yeinfo.com/family/I09000433.html", "NATHANIEL A. MARRIOTT 1700 VA-1735 NC ID:09000866")</f>
        <v>NATHANIEL A. MARRIOTT 1700 VA-1735 NC ID:09000866</v>
      </c>
      <c r="L10024" s="3"/>
      <c r="M10024" s="3"/>
      <c r="N10024" s="3"/>
      <c r="O10024" s="3"/>
    </row>
    <row r="10025" spans="3:18" x14ac:dyDescent="0.35">
      <c r="C10025" s="15" t="s">
        <v>8</v>
      </c>
      <c r="D10025" s="15" t="s">
        <v>8</v>
      </c>
      <c r="F10025" s="15" t="s">
        <v>8</v>
      </c>
      <c r="I10025" s="15" t="s">
        <v>8</v>
      </c>
      <c r="J10025" s="15" t="s">
        <v>8</v>
      </c>
      <c r="K10025" s="8" t="s">
        <v>3</v>
      </c>
      <c r="L10025" s="15" t="s">
        <v>8</v>
      </c>
    </row>
    <row r="10026" spans="3:18" x14ac:dyDescent="0.35">
      <c r="C10026" s="15" t="s">
        <v>8</v>
      </c>
      <c r="D10026" s="15" t="s">
        <v>8</v>
      </c>
      <c r="F10026" s="15" t="s">
        <v>8</v>
      </c>
      <c r="I10026" s="15" t="s">
        <v>8</v>
      </c>
      <c r="J10026" s="15" t="s">
        <v>8</v>
      </c>
      <c r="K10026" s="15" t="s">
        <v>8</v>
      </c>
      <c r="L10026" s="15" t="s">
        <v>8</v>
      </c>
      <c r="M10026" s="21" t="str">
        <f>HYPERLINK("http://yeinfo.com/family/I09001733.html", "PETER EVANS 1624 WL-1706 VA ID:09003466")</f>
        <v>PETER EVANS 1624 WL-1706 VA ID:09003466</v>
      </c>
      <c r="N10026" s="6"/>
      <c r="O10026" s="6"/>
      <c r="P10026" s="6"/>
      <c r="Q10026" s="6"/>
    </row>
    <row r="10027" spans="3:18" x14ac:dyDescent="0.35">
      <c r="C10027" s="15" t="s">
        <v>8</v>
      </c>
      <c r="D10027" s="15" t="s">
        <v>8</v>
      </c>
      <c r="F10027" s="15" t="s">
        <v>8</v>
      </c>
      <c r="I10027" s="15" t="s">
        <v>8</v>
      </c>
      <c r="J10027" s="15" t="s">
        <v>8</v>
      </c>
      <c r="K10027" s="15" t="s">
        <v>8</v>
      </c>
      <c r="L10027" s="8" t="s">
        <v>6</v>
      </c>
      <c r="M10027" s="8" t="s">
        <v>3</v>
      </c>
    </row>
    <row r="10028" spans="3:18" x14ac:dyDescent="0.35">
      <c r="C10028" s="15" t="s">
        <v>8</v>
      </c>
      <c r="D10028" s="15" t="s">
        <v>8</v>
      </c>
      <c r="F10028" s="15" t="s">
        <v>8</v>
      </c>
      <c r="I10028" s="15" t="s">
        <v>8</v>
      </c>
      <c r="J10028" s="15" t="s">
        <v>8</v>
      </c>
      <c r="K10028" s="15" t="s">
        <v>8</v>
      </c>
      <c r="L10028" s="16" t="str">
        <f>HYPERLINK("http://yeinfo.com/family/I09006931.html", "ELEANOR MARY EVANS 1658 NC-1757 NC ID:09001733")</f>
        <v>ELEANOR MARY EVANS 1658 NC-1757 NC ID:09001733</v>
      </c>
      <c r="M10028" s="11"/>
      <c r="N10028" s="11"/>
      <c r="O10028" s="11"/>
      <c r="P10028" s="11"/>
    </row>
    <row r="10029" spans="3:18" x14ac:dyDescent="0.35">
      <c r="C10029" s="15" t="s">
        <v>8</v>
      </c>
      <c r="D10029" s="15" t="s">
        <v>8</v>
      </c>
      <c r="F10029" s="15" t="s">
        <v>8</v>
      </c>
      <c r="I10029" s="15" t="s">
        <v>8</v>
      </c>
      <c r="J10029" s="15" t="s">
        <v>8</v>
      </c>
      <c r="K10029" s="15" t="s">
        <v>8</v>
      </c>
      <c r="M10029" s="8" t="s">
        <v>6</v>
      </c>
    </row>
    <row r="10030" spans="3:18" x14ac:dyDescent="0.35">
      <c r="C10030" s="15" t="s">
        <v>8</v>
      </c>
      <c r="D10030" s="15" t="s">
        <v>8</v>
      </c>
      <c r="F10030" s="15" t="s">
        <v>8</v>
      </c>
      <c r="I10030" s="15" t="s">
        <v>8</v>
      </c>
      <c r="J10030" s="15" t="s">
        <v>8</v>
      </c>
      <c r="K10030" s="15" t="s">
        <v>8</v>
      </c>
      <c r="M10030" s="16" t="str">
        <f>HYPERLINK("http://yeinfo.com/family/I09003466.html", "ELLINOR MARE MOREHEAD 1632 NC-1667  ID:09003467")</f>
        <v>ELLINOR MARE MOREHEAD 1632 NC-1667  ID:09003467</v>
      </c>
      <c r="N10030" s="11"/>
      <c r="O10030" s="11"/>
      <c r="P10030" s="11"/>
      <c r="Q10030" s="11"/>
    </row>
    <row r="10031" spans="3:18" x14ac:dyDescent="0.35">
      <c r="C10031" s="15" t="s">
        <v>8</v>
      </c>
      <c r="D10031" s="15" t="s">
        <v>8</v>
      </c>
      <c r="F10031" s="15" t="s">
        <v>8</v>
      </c>
      <c r="I10031" s="15" t="s">
        <v>8</v>
      </c>
      <c r="J10031" s="8" t="s">
        <v>6</v>
      </c>
      <c r="K10031" s="15" t="s">
        <v>8</v>
      </c>
    </row>
    <row r="10032" spans="3:18" x14ac:dyDescent="0.35">
      <c r="C10032" s="15" t="s">
        <v>8</v>
      </c>
      <c r="D10032" s="15" t="s">
        <v>8</v>
      </c>
      <c r="F10032" s="15" t="s">
        <v>8</v>
      </c>
      <c r="I10032" s="15" t="s">
        <v>8</v>
      </c>
      <c r="J10032" s="16" t="str">
        <f>HYPERLINK("http://yeinfo.com/family/I09001731.html", "AMEY\ANNEY MARYANN MARRIOTT 1724 NC-1802 KY ID:09000433")</f>
        <v>AMEY\ANNEY MARYANN MARRIOTT 1724 NC-1802 KY ID:09000433</v>
      </c>
      <c r="K10032" s="11"/>
      <c r="L10032" s="11"/>
      <c r="M10032" s="11"/>
      <c r="N10032" s="11"/>
      <c r="O10032" s="11"/>
    </row>
    <row r="10033" spans="3:18" x14ac:dyDescent="0.35">
      <c r="C10033" s="15" t="s">
        <v>8</v>
      </c>
      <c r="D10033" s="15" t="s">
        <v>8</v>
      </c>
      <c r="F10033" s="15" t="s">
        <v>8</v>
      </c>
      <c r="I10033" s="15" t="s">
        <v>8</v>
      </c>
      <c r="K10033" s="8" t="s">
        <v>6</v>
      </c>
    </row>
    <row r="10034" spans="3:18" x14ac:dyDescent="0.35">
      <c r="C10034" s="15" t="s">
        <v>8</v>
      </c>
      <c r="D10034" s="15" t="s">
        <v>8</v>
      </c>
      <c r="F10034" s="15" t="s">
        <v>8</v>
      </c>
      <c r="I10034" s="15" t="s">
        <v>8</v>
      </c>
      <c r="K10034" s="16" t="str">
        <f>HYPERLINK("http://yeinfo.com/family/I09003467.html", "MARY MOORE 1707 VA-1765 VA ID:09000867")</f>
        <v>MARY MOORE 1707 VA-1765 VA ID:09000867</v>
      </c>
      <c r="L10034" s="11"/>
      <c r="M10034" s="11"/>
      <c r="N10034" s="11"/>
      <c r="O10034" s="11"/>
    </row>
    <row r="10035" spans="3:18" x14ac:dyDescent="0.35">
      <c r="C10035" s="15" t="s">
        <v>8</v>
      </c>
      <c r="D10035" s="15" t="s">
        <v>8</v>
      </c>
      <c r="F10035" s="15" t="s">
        <v>8</v>
      </c>
      <c r="I10035" s="15" t="s">
        <v>8</v>
      </c>
    </row>
    <row r="10036" spans="3:18" x14ac:dyDescent="0.35">
      <c r="C10036" s="15" t="s">
        <v>8</v>
      </c>
      <c r="D10036" s="15" t="s">
        <v>8</v>
      </c>
      <c r="F10036" s="15" t="s">
        <v>8</v>
      </c>
      <c r="H10036" s="5" t="str">
        <f>HYPERLINK("http://yeinfo.com/family/I09000054.html", "JOHN B. RAGLAND 1777 NC-1845 IL ID:09000108")</f>
        <v>JOHN B. RAGLAND 1777 NC-1845 IL ID:09000108</v>
      </c>
      <c r="I10036" s="3"/>
      <c r="J10036" s="3"/>
      <c r="K10036" s="3"/>
      <c r="L10036" s="3"/>
    </row>
    <row r="10037" spans="3:18" x14ac:dyDescent="0.35">
      <c r="C10037" s="15" t="s">
        <v>8</v>
      </c>
      <c r="D10037" s="15" t="s">
        <v>8</v>
      </c>
      <c r="F10037" s="15" t="s">
        <v>8</v>
      </c>
      <c r="H10037" s="8" t="s">
        <v>3</v>
      </c>
      <c r="I10037" s="15" t="s">
        <v>8</v>
      </c>
    </row>
    <row r="10038" spans="3:18" x14ac:dyDescent="0.35">
      <c r="C10038" s="15" t="s">
        <v>8</v>
      </c>
      <c r="D10038" s="15" t="s">
        <v>8</v>
      </c>
      <c r="F10038" s="15" t="s">
        <v>8</v>
      </c>
      <c r="H10038" s="15" t="s">
        <v>8</v>
      </c>
      <c r="I10038" s="15" t="s">
        <v>8</v>
      </c>
      <c r="J10038" s="5" t="str">
        <f>HYPERLINK("http://yeinfo.com/family/I09000217.html", "JOSEPH TUCKER 1725 NC-1780 NC ID:09000434")</f>
        <v>JOSEPH TUCKER 1725 NC-1780 NC ID:09000434</v>
      </c>
      <c r="K10038" s="3"/>
      <c r="L10038" s="3"/>
      <c r="M10038" s="3"/>
      <c r="N10038" s="3"/>
    </row>
    <row r="10039" spans="3:18" x14ac:dyDescent="0.35">
      <c r="C10039" s="15" t="s">
        <v>8</v>
      </c>
      <c r="D10039" s="15" t="s">
        <v>8</v>
      </c>
      <c r="F10039" s="15" t="s">
        <v>8</v>
      </c>
      <c r="H10039" s="15" t="s">
        <v>8</v>
      </c>
      <c r="I10039" s="8" t="s">
        <v>6</v>
      </c>
      <c r="J10039" s="8" t="s">
        <v>3</v>
      </c>
    </row>
    <row r="10040" spans="3:18" x14ac:dyDescent="0.35">
      <c r="C10040" s="15" t="s">
        <v>8</v>
      </c>
      <c r="D10040" s="15" t="s">
        <v>8</v>
      </c>
      <c r="F10040" s="15" t="s">
        <v>8</v>
      </c>
      <c r="H10040" s="15" t="s">
        <v>8</v>
      </c>
      <c r="I10040" s="16" t="str">
        <f>HYPERLINK("http://yeinfo.com/family/I09000867.html", "ANN TUCKER 1745 NC-1805 KY ID:09000217")</f>
        <v>ANN TUCKER 1745 NC-1805 KY ID:09000217</v>
      </c>
      <c r="J10040" s="11"/>
      <c r="K10040" s="11"/>
      <c r="L10040" s="11"/>
      <c r="M10040" s="11"/>
    </row>
    <row r="10041" spans="3:18" x14ac:dyDescent="0.35">
      <c r="C10041" s="15" t="s">
        <v>8</v>
      </c>
      <c r="D10041" s="15" t="s">
        <v>8</v>
      </c>
      <c r="F10041" s="15" t="s">
        <v>8</v>
      </c>
      <c r="H10041" s="15" t="s">
        <v>8</v>
      </c>
      <c r="J10041" s="8" t="s">
        <v>6</v>
      </c>
    </row>
    <row r="10042" spans="3:18" x14ac:dyDescent="0.35">
      <c r="C10042" s="15" t="s">
        <v>8</v>
      </c>
      <c r="D10042" s="15" t="s">
        <v>8</v>
      </c>
      <c r="F10042" s="15" t="s">
        <v>8</v>
      </c>
      <c r="H10042" s="15" t="s">
        <v>8</v>
      </c>
      <c r="J10042" s="16" t="str">
        <f>HYPERLINK("http://yeinfo.com/family/I09000434.html", "LUCY WILSON 1720 NC-1800 NC ID:09000435")</f>
        <v>LUCY WILSON 1720 NC-1800 NC ID:09000435</v>
      </c>
      <c r="K10042" s="11"/>
      <c r="L10042" s="11"/>
      <c r="M10042" s="11"/>
      <c r="N10042" s="11"/>
    </row>
    <row r="10043" spans="3:18" x14ac:dyDescent="0.35">
      <c r="C10043" s="15" t="s">
        <v>8</v>
      </c>
      <c r="D10043" s="15" t="s">
        <v>8</v>
      </c>
      <c r="F10043" s="15" t="s">
        <v>8</v>
      </c>
      <c r="H10043" s="15" t="s">
        <v>8</v>
      </c>
    </row>
    <row r="10044" spans="3:18" x14ac:dyDescent="0.35">
      <c r="C10044" s="15" t="s">
        <v>8</v>
      </c>
      <c r="D10044" s="15" t="s">
        <v>8</v>
      </c>
      <c r="F10044" s="15" t="s">
        <v>8</v>
      </c>
      <c r="G10044" s="5" t="str">
        <f>HYPERLINK("http://yeinfo.com/family/I09000027.html", "HAWKINS RAGLAND 1812 KY-1881 IL ID:09000054")</f>
        <v>HAWKINS RAGLAND 1812 KY-1881 IL ID:09000054</v>
      </c>
      <c r="H10044" s="3"/>
      <c r="I10044" s="3"/>
      <c r="J10044" s="3"/>
      <c r="K10044" s="3"/>
    </row>
    <row r="10045" spans="3:18" x14ac:dyDescent="0.35">
      <c r="C10045" s="15" t="s">
        <v>8</v>
      </c>
      <c r="D10045" s="15" t="s">
        <v>8</v>
      </c>
      <c r="F10045" s="15" t="s">
        <v>8</v>
      </c>
      <c r="G10045" s="8" t="s">
        <v>3</v>
      </c>
      <c r="H10045" s="15" t="s">
        <v>8</v>
      </c>
    </row>
    <row r="10046" spans="3:18" x14ac:dyDescent="0.35">
      <c r="C10046" s="15" t="s">
        <v>8</v>
      </c>
      <c r="D10046" s="15" t="s">
        <v>8</v>
      </c>
      <c r="F10046" s="15" t="s">
        <v>8</v>
      </c>
      <c r="G10046" s="15" t="s">
        <v>8</v>
      </c>
      <c r="H10046" s="15" t="s">
        <v>8</v>
      </c>
      <c r="N10046" s="21" t="str">
        <f>HYPERLINK("http://yeinfo.com/family/I09003488.html", "WILLIAM HAWKINS Jr. 1587 EN-1655 VA ID:09006976")</f>
        <v>WILLIAM HAWKINS Jr. 1587 EN-1655 VA ID:09006976</v>
      </c>
      <c r="O10046" s="6"/>
      <c r="P10046" s="6"/>
      <c r="Q10046" s="6"/>
      <c r="R10046" s="6"/>
    </row>
    <row r="10047" spans="3:18" x14ac:dyDescent="0.35">
      <c r="C10047" s="15" t="s">
        <v>8</v>
      </c>
      <c r="D10047" s="15" t="s">
        <v>8</v>
      </c>
      <c r="F10047" s="15" t="s">
        <v>8</v>
      </c>
      <c r="G10047" s="15" t="s">
        <v>8</v>
      </c>
      <c r="H10047" s="15" t="s">
        <v>8</v>
      </c>
      <c r="N10047" s="8" t="s">
        <v>3</v>
      </c>
    </row>
    <row r="10048" spans="3:18" x14ac:dyDescent="0.35">
      <c r="C10048" s="15" t="s">
        <v>8</v>
      </c>
      <c r="D10048" s="15" t="s">
        <v>8</v>
      </c>
      <c r="F10048" s="15" t="s">
        <v>8</v>
      </c>
      <c r="G10048" s="15" t="s">
        <v>8</v>
      </c>
      <c r="H10048" s="15" t="s">
        <v>8</v>
      </c>
      <c r="M10048" s="21" t="str">
        <f>HYPERLINK("http://yeinfo.com/family/I09001744.html", "JOHN EDWARD HAWKINS 1633 EN-1675 VA ID:09003488")</f>
        <v>JOHN EDWARD HAWKINS 1633 EN-1675 VA ID:09003488</v>
      </c>
      <c r="N10048" s="6"/>
      <c r="O10048" s="6"/>
      <c r="P10048" s="6"/>
      <c r="Q10048" s="6"/>
    </row>
    <row r="10049" spans="3:18" x14ac:dyDescent="0.35">
      <c r="C10049" s="15" t="s">
        <v>8</v>
      </c>
      <c r="D10049" s="15" t="s">
        <v>8</v>
      </c>
      <c r="F10049" s="15" t="s">
        <v>8</v>
      </c>
      <c r="G10049" s="15" t="s">
        <v>8</v>
      </c>
      <c r="H10049" s="15" t="s">
        <v>8</v>
      </c>
      <c r="M10049" s="8" t="s">
        <v>3</v>
      </c>
      <c r="N10049" s="8" t="s">
        <v>6</v>
      </c>
    </row>
    <row r="10050" spans="3:18" x14ac:dyDescent="0.35">
      <c r="C10050" s="15" t="s">
        <v>8</v>
      </c>
      <c r="D10050" s="15" t="s">
        <v>8</v>
      </c>
      <c r="F10050" s="15" t="s">
        <v>8</v>
      </c>
      <c r="G10050" s="15" t="s">
        <v>8</v>
      </c>
      <c r="H10050" s="15" t="s">
        <v>8</v>
      </c>
      <c r="M10050" s="15" t="s">
        <v>8</v>
      </c>
      <c r="N10050" s="22" t="str">
        <f>HYPERLINK("http://yeinfo.com/family/I09006976.html", "SARAH KAHN 1588 EN-1665 VA ID:09006977")</f>
        <v>SARAH KAHN 1588 EN-1665 VA ID:09006977</v>
      </c>
      <c r="O10050" s="13"/>
      <c r="P10050" s="13"/>
      <c r="Q10050" s="13"/>
      <c r="R10050" s="13"/>
    </row>
    <row r="10051" spans="3:18" x14ac:dyDescent="0.35">
      <c r="C10051" s="15" t="s">
        <v>8</v>
      </c>
      <c r="D10051" s="15" t="s">
        <v>8</v>
      </c>
      <c r="F10051" s="15" t="s">
        <v>8</v>
      </c>
      <c r="G10051" s="15" t="s">
        <v>8</v>
      </c>
      <c r="H10051" s="15" t="s">
        <v>8</v>
      </c>
      <c r="M10051" s="15" t="s">
        <v>8</v>
      </c>
    </row>
    <row r="10052" spans="3:18" x14ac:dyDescent="0.35">
      <c r="C10052" s="15" t="s">
        <v>8</v>
      </c>
      <c r="D10052" s="15" t="s">
        <v>8</v>
      </c>
      <c r="F10052" s="15" t="s">
        <v>8</v>
      </c>
      <c r="G10052" s="15" t="s">
        <v>8</v>
      </c>
      <c r="H10052" s="15" t="s">
        <v>8</v>
      </c>
      <c r="L10052" s="5" t="str">
        <f>HYPERLINK("http://yeinfo.com/family/I09000872.html", "EDWARD HAWKINS 1660 VA-1720 VA ID:09001744")</f>
        <v>EDWARD HAWKINS 1660 VA-1720 VA ID:09001744</v>
      </c>
      <c r="M10052" s="3"/>
      <c r="N10052" s="3"/>
      <c r="O10052" s="3"/>
      <c r="P10052" s="3"/>
    </row>
    <row r="10053" spans="3:18" x14ac:dyDescent="0.35">
      <c r="C10053" s="15" t="s">
        <v>8</v>
      </c>
      <c r="D10053" s="15" t="s">
        <v>8</v>
      </c>
      <c r="F10053" s="15" t="s">
        <v>8</v>
      </c>
      <c r="G10053" s="15" t="s">
        <v>8</v>
      </c>
      <c r="H10053" s="15" t="s">
        <v>8</v>
      </c>
      <c r="L10053" s="8" t="s">
        <v>3</v>
      </c>
      <c r="M10053" s="8" t="s">
        <v>6</v>
      </c>
    </row>
    <row r="10054" spans="3:18" x14ac:dyDescent="0.35">
      <c r="C10054" s="15" t="s">
        <v>8</v>
      </c>
      <c r="D10054" s="15" t="s">
        <v>8</v>
      </c>
      <c r="F10054" s="15" t="s">
        <v>8</v>
      </c>
      <c r="G10054" s="15" t="s">
        <v>8</v>
      </c>
      <c r="H10054" s="15" t="s">
        <v>8</v>
      </c>
      <c r="L10054" s="15" t="s">
        <v>8</v>
      </c>
      <c r="M10054" s="22" t="str">
        <f>HYPERLINK("http://yeinfo.com/family/I09006977.html", "Mrs. {_?_} HAWKINS 1635 EN-1660 VA ID:09003489")</f>
        <v>Mrs. {_?_} HAWKINS 1635 EN-1660 VA ID:09003489</v>
      </c>
      <c r="N10054" s="13"/>
      <c r="O10054" s="13"/>
      <c r="P10054" s="13"/>
      <c r="Q10054" s="13"/>
    </row>
    <row r="10055" spans="3:18" x14ac:dyDescent="0.35">
      <c r="C10055" s="15" t="s">
        <v>8</v>
      </c>
      <c r="D10055" s="15" t="s">
        <v>8</v>
      </c>
      <c r="F10055" s="15" t="s">
        <v>8</v>
      </c>
      <c r="G10055" s="15" t="s">
        <v>8</v>
      </c>
      <c r="H10055" s="15" t="s">
        <v>8</v>
      </c>
      <c r="L10055" s="15" t="s">
        <v>8</v>
      </c>
    </row>
    <row r="10056" spans="3:18" x14ac:dyDescent="0.35">
      <c r="C10056" s="15" t="s">
        <v>8</v>
      </c>
      <c r="D10056" s="15" t="s">
        <v>8</v>
      </c>
      <c r="F10056" s="15" t="s">
        <v>8</v>
      </c>
      <c r="G10056" s="15" t="s">
        <v>8</v>
      </c>
      <c r="H10056" s="15" t="s">
        <v>8</v>
      </c>
      <c r="K10056" s="5" t="str">
        <f>HYPERLINK("http://yeinfo.com/family/I09000436.html", "MICHAEL HAWKINS 1695 VA-1752 VA ID:09000872")</f>
        <v>MICHAEL HAWKINS 1695 VA-1752 VA ID:09000872</v>
      </c>
      <c r="L10056" s="3"/>
      <c r="M10056" s="3"/>
      <c r="N10056" s="3"/>
      <c r="O10056" s="3"/>
    </row>
    <row r="10057" spans="3:18" x14ac:dyDescent="0.35">
      <c r="C10057" s="15" t="s">
        <v>8</v>
      </c>
      <c r="D10057" s="15" t="s">
        <v>8</v>
      </c>
      <c r="F10057" s="15" t="s">
        <v>8</v>
      </c>
      <c r="G10057" s="15" t="s">
        <v>8</v>
      </c>
      <c r="H10057" s="15" t="s">
        <v>8</v>
      </c>
      <c r="K10057" s="8" t="s">
        <v>3</v>
      </c>
      <c r="L10057" s="8" t="s">
        <v>6</v>
      </c>
    </row>
    <row r="10058" spans="3:18" x14ac:dyDescent="0.35">
      <c r="C10058" s="15" t="s">
        <v>8</v>
      </c>
      <c r="D10058" s="15" t="s">
        <v>8</v>
      </c>
      <c r="F10058" s="15" t="s">
        <v>8</v>
      </c>
      <c r="G10058" s="15" t="s">
        <v>8</v>
      </c>
      <c r="H10058" s="15" t="s">
        <v>8</v>
      </c>
      <c r="K10058" s="15" t="s">
        <v>8</v>
      </c>
      <c r="L10058" s="16" t="str">
        <f>HYPERLINK("http://yeinfo.com/family/I09003489.html", "Mrs. {_?_} HAWKINS 1665 VA-1695  ID:09001745")</f>
        <v>Mrs. {_?_} HAWKINS 1665 VA-1695  ID:09001745</v>
      </c>
      <c r="M10058" s="11"/>
      <c r="N10058" s="11"/>
      <c r="O10058" s="11"/>
      <c r="P10058" s="11"/>
    </row>
    <row r="10059" spans="3:18" x14ac:dyDescent="0.35">
      <c r="C10059" s="15" t="s">
        <v>8</v>
      </c>
      <c r="D10059" s="15" t="s">
        <v>8</v>
      </c>
      <c r="F10059" s="15" t="s">
        <v>8</v>
      </c>
      <c r="G10059" s="15" t="s">
        <v>8</v>
      </c>
      <c r="H10059" s="15" t="s">
        <v>8</v>
      </c>
      <c r="K10059" s="15" t="s">
        <v>8</v>
      </c>
    </row>
    <row r="10060" spans="3:18" x14ac:dyDescent="0.35">
      <c r="C10060" s="15" t="s">
        <v>8</v>
      </c>
      <c r="D10060" s="15" t="s">
        <v>8</v>
      </c>
      <c r="F10060" s="15" t="s">
        <v>8</v>
      </c>
      <c r="G10060" s="15" t="s">
        <v>8</v>
      </c>
      <c r="H10060" s="15" t="s">
        <v>8</v>
      </c>
      <c r="J10060" s="5" t="str">
        <f>HYPERLINK("http://yeinfo.com/family/I09000218.html", "JOSHUA HAWKINS 1725 VA-1803 SC ID:09000436")</f>
        <v>JOSHUA HAWKINS 1725 VA-1803 SC ID:09000436</v>
      </c>
      <c r="K10060" s="3"/>
      <c r="L10060" s="3"/>
      <c r="M10060" s="3"/>
      <c r="N10060" s="3"/>
    </row>
    <row r="10061" spans="3:18" x14ac:dyDescent="0.35">
      <c r="C10061" s="15" t="s">
        <v>8</v>
      </c>
      <c r="D10061" s="15" t="s">
        <v>8</v>
      </c>
      <c r="F10061" s="15" t="s">
        <v>8</v>
      </c>
      <c r="G10061" s="15" t="s">
        <v>8</v>
      </c>
      <c r="H10061" s="15" t="s">
        <v>8</v>
      </c>
      <c r="J10061" s="8" t="s">
        <v>3</v>
      </c>
      <c r="K10061" s="15" t="s">
        <v>8</v>
      </c>
    </row>
    <row r="10062" spans="3:18" x14ac:dyDescent="0.35">
      <c r="C10062" s="15" t="s">
        <v>8</v>
      </c>
      <c r="D10062" s="15" t="s">
        <v>8</v>
      </c>
      <c r="F10062" s="15" t="s">
        <v>8</v>
      </c>
      <c r="G10062" s="15" t="s">
        <v>8</v>
      </c>
      <c r="H10062" s="15" t="s">
        <v>8</v>
      </c>
      <c r="J10062" s="15" t="s">
        <v>8</v>
      </c>
      <c r="K10062" s="15" t="s">
        <v>8</v>
      </c>
      <c r="L10062" s="5" t="str">
        <f>HYPERLINK("http://yeinfo.com/family/I09000873.html", "WILLIAM MARABLE EATON 1670 VA-1714 VA ID:09001746")</f>
        <v>WILLIAM MARABLE EATON 1670 VA-1714 VA ID:09001746</v>
      </c>
      <c r="M10062" s="3"/>
      <c r="N10062" s="3"/>
      <c r="O10062" s="3"/>
      <c r="P10062" s="3"/>
    </row>
    <row r="10063" spans="3:18" x14ac:dyDescent="0.35">
      <c r="C10063" s="15" t="s">
        <v>8</v>
      </c>
      <c r="D10063" s="15" t="s">
        <v>8</v>
      </c>
      <c r="F10063" s="15" t="s">
        <v>8</v>
      </c>
      <c r="G10063" s="15" t="s">
        <v>8</v>
      </c>
      <c r="H10063" s="15" t="s">
        <v>8</v>
      </c>
      <c r="J10063" s="15" t="s">
        <v>8</v>
      </c>
      <c r="K10063" s="8" t="s">
        <v>6</v>
      </c>
      <c r="L10063" s="8" t="s">
        <v>3</v>
      </c>
    </row>
    <row r="10064" spans="3:18" x14ac:dyDescent="0.35">
      <c r="C10064" s="15" t="s">
        <v>8</v>
      </c>
      <c r="D10064" s="15" t="s">
        <v>8</v>
      </c>
      <c r="F10064" s="15" t="s">
        <v>8</v>
      </c>
      <c r="G10064" s="15" t="s">
        <v>8</v>
      </c>
      <c r="H10064" s="15" t="s">
        <v>8</v>
      </c>
      <c r="J10064" s="15" t="s">
        <v>8</v>
      </c>
      <c r="K10064" s="16" t="str">
        <f>HYPERLINK("http://yeinfo.com/family/I09001745.html", "AGNES EATON 1695 VA-1755 KY ID:09000873")</f>
        <v>AGNES EATON 1695 VA-1755 KY ID:09000873</v>
      </c>
      <c r="L10064" s="11"/>
      <c r="M10064" s="11"/>
      <c r="N10064" s="11"/>
      <c r="O10064" s="11"/>
    </row>
    <row r="10065" spans="3:18" x14ac:dyDescent="0.35">
      <c r="C10065" s="15" t="s">
        <v>8</v>
      </c>
      <c r="D10065" s="15" t="s">
        <v>8</v>
      </c>
      <c r="F10065" s="15" t="s">
        <v>8</v>
      </c>
      <c r="G10065" s="15" t="s">
        <v>8</v>
      </c>
      <c r="H10065" s="15" t="s">
        <v>8</v>
      </c>
      <c r="J10065" s="15" t="s">
        <v>8</v>
      </c>
      <c r="L10065" s="15" t="s">
        <v>8</v>
      </c>
    </row>
    <row r="10066" spans="3:18" x14ac:dyDescent="0.35">
      <c r="C10066" s="15" t="s">
        <v>8</v>
      </c>
      <c r="D10066" s="15" t="s">
        <v>8</v>
      </c>
      <c r="F10066" s="15" t="s">
        <v>8</v>
      </c>
      <c r="G10066" s="15" t="s">
        <v>8</v>
      </c>
      <c r="H10066" s="15" t="s">
        <v>8</v>
      </c>
      <c r="J10066" s="15" t="s">
        <v>8</v>
      </c>
      <c r="L10066" s="15" t="s">
        <v>8</v>
      </c>
      <c r="N10066" s="21" t="str">
        <f>HYPERLINK("http://yeinfo.com/family/I09003494.html", "TIMOTHY PINKETHMAN 1610 EN-1672 VA ID:09006988")</f>
        <v>TIMOTHY PINKETHMAN 1610 EN-1672 VA ID:09006988</v>
      </c>
      <c r="O10066" s="6"/>
      <c r="P10066" s="6"/>
      <c r="Q10066" s="6"/>
      <c r="R10066" s="6"/>
    </row>
    <row r="10067" spans="3:18" x14ac:dyDescent="0.35">
      <c r="C10067" s="15" t="s">
        <v>8</v>
      </c>
      <c r="D10067" s="15" t="s">
        <v>8</v>
      </c>
      <c r="F10067" s="15" t="s">
        <v>8</v>
      </c>
      <c r="G10067" s="15" t="s">
        <v>8</v>
      </c>
      <c r="H10067" s="15" t="s">
        <v>8</v>
      </c>
      <c r="J10067" s="15" t="s">
        <v>8</v>
      </c>
      <c r="L10067" s="15" t="s">
        <v>8</v>
      </c>
      <c r="N10067" s="8" t="s">
        <v>3</v>
      </c>
    </row>
    <row r="10068" spans="3:18" x14ac:dyDescent="0.35">
      <c r="C10068" s="15" t="s">
        <v>8</v>
      </c>
      <c r="D10068" s="15" t="s">
        <v>8</v>
      </c>
      <c r="F10068" s="15" t="s">
        <v>8</v>
      </c>
      <c r="G10068" s="15" t="s">
        <v>8</v>
      </c>
      <c r="H10068" s="15" t="s">
        <v>8</v>
      </c>
      <c r="J10068" s="15" t="s">
        <v>8</v>
      </c>
      <c r="L10068" s="15" t="s">
        <v>8</v>
      </c>
      <c r="M10068" s="5" t="str">
        <f>HYPERLINK("http://yeinfo.com/family/I09001747.html", "WILLIAM PINKETHMAN 1653 VA-1713 VA ID:09003494")</f>
        <v>WILLIAM PINKETHMAN 1653 VA-1713 VA ID:09003494</v>
      </c>
      <c r="N10068" s="3"/>
      <c r="O10068" s="3"/>
      <c r="P10068" s="3"/>
      <c r="Q10068" s="3"/>
    </row>
    <row r="10069" spans="3:18" x14ac:dyDescent="0.35">
      <c r="C10069" s="15" t="s">
        <v>8</v>
      </c>
      <c r="D10069" s="15" t="s">
        <v>8</v>
      </c>
      <c r="F10069" s="15" t="s">
        <v>8</v>
      </c>
      <c r="G10069" s="15" t="s">
        <v>8</v>
      </c>
      <c r="H10069" s="15" t="s">
        <v>8</v>
      </c>
      <c r="J10069" s="15" t="s">
        <v>8</v>
      </c>
      <c r="L10069" s="15" t="s">
        <v>8</v>
      </c>
      <c r="M10069" s="8" t="s">
        <v>3</v>
      </c>
      <c r="N10069" s="8" t="s">
        <v>6</v>
      </c>
    </row>
    <row r="10070" spans="3:18" x14ac:dyDescent="0.35">
      <c r="C10070" s="15" t="s">
        <v>8</v>
      </c>
      <c r="D10070" s="15" t="s">
        <v>8</v>
      </c>
      <c r="F10070" s="15" t="s">
        <v>8</v>
      </c>
      <c r="G10070" s="15" t="s">
        <v>8</v>
      </c>
      <c r="H10070" s="15" t="s">
        <v>8</v>
      </c>
      <c r="J10070" s="15" t="s">
        <v>8</v>
      </c>
      <c r="L10070" s="15" t="s">
        <v>8</v>
      </c>
      <c r="M10070" s="15" t="s">
        <v>8</v>
      </c>
      <c r="N10070" s="22" t="str">
        <f>HYPERLINK("http://yeinfo.com/family/I09006988.html", "JOANNE BIRCH 1630 EN-1653 VA ID:09006989")</f>
        <v>JOANNE BIRCH 1630 EN-1653 VA ID:09006989</v>
      </c>
      <c r="O10070" s="13"/>
      <c r="P10070" s="13"/>
      <c r="Q10070" s="13"/>
      <c r="R10070" s="13"/>
    </row>
    <row r="10071" spans="3:18" x14ac:dyDescent="0.35">
      <c r="C10071" s="15" t="s">
        <v>8</v>
      </c>
      <c r="D10071" s="15" t="s">
        <v>8</v>
      </c>
      <c r="F10071" s="15" t="s">
        <v>8</v>
      </c>
      <c r="G10071" s="15" t="s">
        <v>8</v>
      </c>
      <c r="H10071" s="15" t="s">
        <v>8</v>
      </c>
      <c r="J10071" s="15" t="s">
        <v>8</v>
      </c>
      <c r="L10071" s="8" t="s">
        <v>6</v>
      </c>
      <c r="M10071" s="15" t="s">
        <v>8</v>
      </c>
    </row>
    <row r="10072" spans="3:18" x14ac:dyDescent="0.35">
      <c r="C10072" s="15" t="s">
        <v>8</v>
      </c>
      <c r="D10072" s="15" t="s">
        <v>8</v>
      </c>
      <c r="F10072" s="15" t="s">
        <v>8</v>
      </c>
      <c r="G10072" s="15" t="s">
        <v>8</v>
      </c>
      <c r="H10072" s="15" t="s">
        <v>8</v>
      </c>
      <c r="J10072" s="15" t="s">
        <v>8</v>
      </c>
      <c r="L10072" s="16" t="str">
        <f>HYPERLINK("http://yeinfo.com/family/I09001746.html", "SARAH PINKETHMAN 1674 VA-1714 VA ID:09001747")</f>
        <v>SARAH PINKETHMAN 1674 VA-1714 VA ID:09001747</v>
      </c>
      <c r="M10072" s="11"/>
      <c r="N10072" s="11"/>
      <c r="O10072" s="11"/>
      <c r="P10072" s="11"/>
    </row>
    <row r="10073" spans="3:18" x14ac:dyDescent="0.35">
      <c r="C10073" s="15" t="s">
        <v>8</v>
      </c>
      <c r="D10073" s="15" t="s">
        <v>8</v>
      </c>
      <c r="F10073" s="15" t="s">
        <v>8</v>
      </c>
      <c r="G10073" s="15" t="s">
        <v>8</v>
      </c>
      <c r="H10073" s="15" t="s">
        <v>8</v>
      </c>
      <c r="J10073" s="15" t="s">
        <v>8</v>
      </c>
      <c r="M10073" s="8" t="s">
        <v>6</v>
      </c>
    </row>
    <row r="10074" spans="3:18" x14ac:dyDescent="0.35">
      <c r="C10074" s="15" t="s">
        <v>8</v>
      </c>
      <c r="D10074" s="15" t="s">
        <v>8</v>
      </c>
      <c r="F10074" s="15" t="s">
        <v>8</v>
      </c>
      <c r="G10074" s="15" t="s">
        <v>8</v>
      </c>
      <c r="H10074" s="15" t="s">
        <v>8</v>
      </c>
      <c r="J10074" s="15" t="s">
        <v>8</v>
      </c>
      <c r="M10074" s="16" t="str">
        <f>HYPERLINK("http://yeinfo.com/family/I09006989.html", "Mrs. {_?_} PINKETHMAN 1654 VA-1674 VA ID:09003495")</f>
        <v>Mrs. {_?_} PINKETHMAN 1654 VA-1674 VA ID:09003495</v>
      </c>
      <c r="N10074" s="11"/>
      <c r="O10074" s="11"/>
      <c r="P10074" s="11"/>
      <c r="Q10074" s="11"/>
    </row>
    <row r="10075" spans="3:18" x14ac:dyDescent="0.35">
      <c r="C10075" s="15" t="s">
        <v>8</v>
      </c>
      <c r="D10075" s="15" t="s">
        <v>8</v>
      </c>
      <c r="F10075" s="15" t="s">
        <v>8</v>
      </c>
      <c r="G10075" s="15" t="s">
        <v>8</v>
      </c>
      <c r="H10075" s="15" t="s">
        <v>8</v>
      </c>
      <c r="J10075" s="15" t="s">
        <v>8</v>
      </c>
    </row>
    <row r="10076" spans="3:18" x14ac:dyDescent="0.35">
      <c r="C10076" s="15" t="s">
        <v>8</v>
      </c>
      <c r="D10076" s="15" t="s">
        <v>8</v>
      </c>
      <c r="F10076" s="15" t="s">
        <v>8</v>
      </c>
      <c r="G10076" s="15" t="s">
        <v>8</v>
      </c>
      <c r="H10076" s="15" t="s">
        <v>8</v>
      </c>
      <c r="I10076" s="5" t="str">
        <f>HYPERLINK("http://yeinfo.com/family/I09000109.html", "WILLIAM EATON ROBERT HAWKINS 1750 VA-1812 SC ID:09000218")</f>
        <v>WILLIAM EATON ROBERT HAWKINS 1750 VA-1812 SC ID:09000218</v>
      </c>
      <c r="J10076" s="3"/>
      <c r="K10076" s="3"/>
      <c r="L10076" s="3"/>
      <c r="M10076" s="3"/>
    </row>
    <row r="10077" spans="3:18" x14ac:dyDescent="0.35">
      <c r="C10077" s="15" t="s">
        <v>8</v>
      </c>
      <c r="D10077" s="15" t="s">
        <v>8</v>
      </c>
      <c r="F10077" s="15" t="s">
        <v>8</v>
      </c>
      <c r="G10077" s="15" t="s">
        <v>8</v>
      </c>
      <c r="H10077" s="15" t="s">
        <v>8</v>
      </c>
      <c r="I10077" s="8" t="s">
        <v>3</v>
      </c>
      <c r="J10077" s="8" t="s">
        <v>6</v>
      </c>
    </row>
    <row r="10078" spans="3:18" x14ac:dyDescent="0.35">
      <c r="C10078" s="15" t="s">
        <v>8</v>
      </c>
      <c r="D10078" s="15" t="s">
        <v>8</v>
      </c>
      <c r="F10078" s="15" t="s">
        <v>8</v>
      </c>
      <c r="G10078" s="15" t="s">
        <v>8</v>
      </c>
      <c r="H10078" s="15" t="s">
        <v>8</v>
      </c>
      <c r="I10078" s="15" t="s">
        <v>8</v>
      </c>
      <c r="J10078" s="16" t="str">
        <f>HYPERLINK("http://yeinfo.com/family/I09003495.html", "SARAH COOK 1725 VA-1803 SC ID:09000437")</f>
        <v>SARAH COOK 1725 VA-1803 SC ID:09000437</v>
      </c>
      <c r="K10078" s="11"/>
      <c r="L10078" s="11"/>
      <c r="M10078" s="11"/>
      <c r="N10078" s="11"/>
    </row>
    <row r="10079" spans="3:18" x14ac:dyDescent="0.35">
      <c r="C10079" s="15" t="s">
        <v>8</v>
      </c>
      <c r="D10079" s="15" t="s">
        <v>8</v>
      </c>
      <c r="F10079" s="15" t="s">
        <v>8</v>
      </c>
      <c r="G10079" s="15" t="s">
        <v>8</v>
      </c>
      <c r="H10079" s="8" t="s">
        <v>6</v>
      </c>
      <c r="I10079" s="15" t="s">
        <v>8</v>
      </c>
    </row>
    <row r="10080" spans="3:18" x14ac:dyDescent="0.35">
      <c r="C10080" s="15" t="s">
        <v>8</v>
      </c>
      <c r="D10080" s="15" t="s">
        <v>8</v>
      </c>
      <c r="F10080" s="15" t="s">
        <v>8</v>
      </c>
      <c r="G10080" s="15" t="s">
        <v>8</v>
      </c>
      <c r="H10080" s="16" t="str">
        <f>HYPERLINK("http://yeinfo.com/family/I09000435.html", "MARY\MARTHA POLLY HAWKINS 1782 SC-1843 IL ID:09000109")</f>
        <v>MARY\MARTHA POLLY HAWKINS 1782 SC-1843 IL ID:09000109</v>
      </c>
      <c r="I10080" s="11"/>
      <c r="J10080" s="11"/>
      <c r="K10080" s="11"/>
      <c r="L10080" s="11"/>
      <c r="M10080" s="11"/>
    </row>
    <row r="10081" spans="3:14" x14ac:dyDescent="0.35">
      <c r="C10081" s="15" t="s">
        <v>8</v>
      </c>
      <c r="D10081" s="15" t="s">
        <v>8</v>
      </c>
      <c r="F10081" s="15" t="s">
        <v>8</v>
      </c>
      <c r="G10081" s="15" t="s">
        <v>8</v>
      </c>
      <c r="I10081" s="15" t="s">
        <v>8</v>
      </c>
    </row>
    <row r="10082" spans="3:14" x14ac:dyDescent="0.35">
      <c r="C10082" s="15" t="s">
        <v>8</v>
      </c>
      <c r="D10082" s="15" t="s">
        <v>8</v>
      </c>
      <c r="F10082" s="15" t="s">
        <v>8</v>
      </c>
      <c r="G10082" s="15" t="s">
        <v>8</v>
      </c>
      <c r="I10082" s="15" t="s">
        <v>8</v>
      </c>
      <c r="J10082" s="5" t="str">
        <f>HYPERLINK("http://yeinfo.com/family/I09000219.html", "RANDOLPH WILLIAM BOLLING 1731 VA-1776 VA ID:09000438")</f>
        <v>RANDOLPH WILLIAM BOLLING 1731 VA-1776 VA ID:09000438</v>
      </c>
      <c r="K10082" s="3"/>
      <c r="L10082" s="3"/>
      <c r="M10082" s="3"/>
      <c r="N10082" s="3"/>
    </row>
    <row r="10083" spans="3:14" x14ac:dyDescent="0.35">
      <c r="C10083" s="15" t="s">
        <v>8</v>
      </c>
      <c r="D10083" s="15" t="s">
        <v>8</v>
      </c>
      <c r="F10083" s="15" t="s">
        <v>8</v>
      </c>
      <c r="G10083" s="15" t="s">
        <v>8</v>
      </c>
      <c r="I10083" s="8" t="s">
        <v>6</v>
      </c>
      <c r="J10083" s="8" t="s">
        <v>3</v>
      </c>
    </row>
    <row r="10084" spans="3:14" x14ac:dyDescent="0.35">
      <c r="C10084" s="15" t="s">
        <v>8</v>
      </c>
      <c r="D10084" s="15" t="s">
        <v>8</v>
      </c>
      <c r="F10084" s="15" t="s">
        <v>8</v>
      </c>
      <c r="G10084" s="15" t="s">
        <v>8</v>
      </c>
      <c r="I10084" s="16" t="str">
        <f>HYPERLINK("http://yeinfo.com/family/I09000437.html", "ELIZABETH CATHERINE BOLLING 1754 GA-1829 SC ID:09000219")</f>
        <v>ELIZABETH CATHERINE BOLLING 1754 GA-1829 SC ID:09000219</v>
      </c>
      <c r="J10084" s="11"/>
      <c r="K10084" s="11"/>
      <c r="L10084" s="11"/>
      <c r="M10084" s="11"/>
    </row>
    <row r="10085" spans="3:14" x14ac:dyDescent="0.35">
      <c r="C10085" s="15" t="s">
        <v>8</v>
      </c>
      <c r="D10085" s="15" t="s">
        <v>8</v>
      </c>
      <c r="F10085" s="15" t="s">
        <v>8</v>
      </c>
      <c r="G10085" s="15" t="s">
        <v>8</v>
      </c>
      <c r="J10085" s="8" t="s">
        <v>6</v>
      </c>
    </row>
    <row r="10086" spans="3:14" x14ac:dyDescent="0.35">
      <c r="C10086" s="15" t="s">
        <v>8</v>
      </c>
      <c r="D10086" s="15" t="s">
        <v>8</v>
      </c>
      <c r="F10086" s="15" t="s">
        <v>8</v>
      </c>
      <c r="G10086" s="15" t="s">
        <v>8</v>
      </c>
      <c r="J10086" s="16" t="str">
        <f>HYPERLINK("http://yeinfo.com/family/I09000438.html", "Mrs. {_?_} BOLLING 1732 VA-1755 VA ID:09000439")</f>
        <v>Mrs. {_?_} BOLLING 1732 VA-1755 VA ID:09000439</v>
      </c>
      <c r="K10086" s="11"/>
      <c r="L10086" s="11"/>
      <c r="M10086" s="11"/>
      <c r="N10086" s="11"/>
    </row>
    <row r="10087" spans="3:14" x14ac:dyDescent="0.35">
      <c r="C10087" s="15" t="s">
        <v>8</v>
      </c>
      <c r="D10087" s="15" t="s">
        <v>8</v>
      </c>
      <c r="F10087" s="8" t="s">
        <v>6</v>
      </c>
      <c r="G10087" s="15" t="s">
        <v>8</v>
      </c>
    </row>
    <row r="10088" spans="3:14" x14ac:dyDescent="0.35">
      <c r="C10088" s="15" t="s">
        <v>8</v>
      </c>
      <c r="D10088" s="15" t="s">
        <v>8</v>
      </c>
      <c r="F10088" s="16" t="str">
        <f>HYPERLINK("http://yeinfo.com/family/I09000863.html", "MARTHA R. RAGLAND 1840 IL-1881 AR ID:09000027")</f>
        <v>MARTHA R. RAGLAND 1840 IL-1881 AR ID:09000027</v>
      </c>
      <c r="G10088" s="11"/>
      <c r="H10088" s="11"/>
      <c r="I10088" s="11"/>
      <c r="J10088" s="11"/>
    </row>
    <row r="10089" spans="3:14" x14ac:dyDescent="0.35">
      <c r="C10089" s="15" t="s">
        <v>8</v>
      </c>
      <c r="D10089" s="15" t="s">
        <v>8</v>
      </c>
      <c r="G10089" s="8" t="s">
        <v>6</v>
      </c>
    </row>
    <row r="10090" spans="3:14" x14ac:dyDescent="0.35">
      <c r="C10090" s="15" t="s">
        <v>8</v>
      </c>
      <c r="D10090" s="15" t="s">
        <v>8</v>
      </c>
      <c r="G10090" s="16" t="str">
        <f>HYPERLINK("http://yeinfo.com/family/I09000439.html", "LUCINDA SPENCER 1814 KY-1856 IL ID:09000055")</f>
        <v>LUCINDA SPENCER 1814 KY-1856 IL ID:09000055</v>
      </c>
      <c r="H10090" s="11"/>
      <c r="I10090" s="11"/>
      <c r="J10090" s="11"/>
      <c r="K10090" s="11"/>
    </row>
    <row r="10091" spans="3:14" x14ac:dyDescent="0.35">
      <c r="C10091" s="8" t="s">
        <v>6</v>
      </c>
      <c r="D10091" s="15" t="s">
        <v>8</v>
      </c>
    </row>
    <row r="10092" spans="3:14" x14ac:dyDescent="0.35">
      <c r="C10092" s="16" t="str">
        <f>HYPERLINK("http://yeinfo.com/family/I09006143.html", "Ancestor ID:09000003")</f>
        <v>Ancestor ID:09000003</v>
      </c>
      <c r="D10092" s="11"/>
      <c r="E10092" s="11"/>
      <c r="F10092" s="11"/>
      <c r="G10092" s="11"/>
    </row>
    <row r="10093" spans="3:14" x14ac:dyDescent="0.35">
      <c r="D10093" s="15" t="s">
        <v>8</v>
      </c>
    </row>
    <row r="10094" spans="3:14" x14ac:dyDescent="0.35">
      <c r="D10094" s="15" t="s">
        <v>8</v>
      </c>
      <c r="E10094" s="21" t="str">
        <f>HYPERLINK("http://yeinfo.com/family/I09000007.html", "JOHN P. CAREY 1868 IR-1893 TN ID:09000014")</f>
        <v>JOHN P. CAREY 1868 IR-1893 TN ID:09000014</v>
      </c>
      <c r="F10094" s="6"/>
      <c r="G10094" s="6"/>
      <c r="H10094" s="6"/>
      <c r="I10094" s="6"/>
    </row>
    <row r="10095" spans="3:14" x14ac:dyDescent="0.35">
      <c r="D10095" s="8" t="s">
        <v>6</v>
      </c>
      <c r="E10095" s="8" t="s">
        <v>3</v>
      </c>
    </row>
    <row r="10096" spans="3:14" x14ac:dyDescent="0.35">
      <c r="D10096" s="16" t="str">
        <f>HYPERLINK("http://yeinfo.com/family/I09000055.html", "Ancestor ID:09000007")</f>
        <v>Ancestor ID:09000007</v>
      </c>
      <c r="E10096" s="11"/>
      <c r="F10096" s="11"/>
      <c r="G10096" s="11"/>
      <c r="H10096" s="11"/>
    </row>
    <row r="10097" spans="5:11" x14ac:dyDescent="0.35">
      <c r="E10097" s="15" t="s">
        <v>8</v>
      </c>
    </row>
    <row r="10098" spans="5:11" x14ac:dyDescent="0.35">
      <c r="E10098" s="15" t="s">
        <v>8</v>
      </c>
      <c r="G10098" s="19" t="str">
        <f>HYPERLINK("http://yeinfo.com/family/I09000030.html", "HENRY DOWLING 1818 IR-1838 IR ID:09000060")</f>
        <v>HENRY DOWLING 1818 IR-1838 IR ID:09000060</v>
      </c>
      <c r="H10098" s="9"/>
      <c r="I10098" s="9"/>
      <c r="J10098" s="9"/>
      <c r="K10098" s="9"/>
    </row>
    <row r="10099" spans="5:11" x14ac:dyDescent="0.35">
      <c r="E10099" s="15" t="s">
        <v>8</v>
      </c>
      <c r="G10099" s="8" t="s">
        <v>3</v>
      </c>
    </row>
    <row r="10100" spans="5:11" x14ac:dyDescent="0.35">
      <c r="E10100" s="15" t="s">
        <v>8</v>
      </c>
      <c r="F10100" s="19" t="str">
        <f>HYPERLINK("http://yeinfo.com/family/I09000015.html", "PAT DOWLING 1838 IR-1860 IR ID:09000030")</f>
        <v>PAT DOWLING 1838 IR-1860 IR ID:09000030</v>
      </c>
      <c r="G10100" s="9"/>
      <c r="H10100" s="9"/>
      <c r="I10100" s="9"/>
      <c r="J10100" s="9"/>
    </row>
    <row r="10101" spans="5:11" x14ac:dyDescent="0.35">
      <c r="E10101" s="15" t="s">
        <v>8</v>
      </c>
      <c r="F10101" s="8" t="s">
        <v>3</v>
      </c>
      <c r="G10101" s="8" t="s">
        <v>6</v>
      </c>
    </row>
    <row r="10102" spans="5:11" x14ac:dyDescent="0.35">
      <c r="E10102" s="15" t="s">
        <v>8</v>
      </c>
      <c r="F10102" s="15" t="s">
        <v>8</v>
      </c>
      <c r="G10102" s="20" t="str">
        <f>HYPERLINK("http://yeinfo.com/family/I09000060.html", "ALICIA COMPTON 1818 IR-1838 IR ID:09000061")</f>
        <v>ALICIA COMPTON 1818 IR-1838 IR ID:09000061</v>
      </c>
      <c r="H10102" s="17"/>
      <c r="I10102" s="17"/>
      <c r="J10102" s="17"/>
      <c r="K10102" s="17"/>
    </row>
    <row r="10103" spans="5:11" x14ac:dyDescent="0.35">
      <c r="E10103" s="8" t="s">
        <v>6</v>
      </c>
      <c r="F10103" s="15" t="s">
        <v>8</v>
      </c>
    </row>
    <row r="10104" spans="5:11" x14ac:dyDescent="0.35">
      <c r="E10104" s="22" t="str">
        <f>HYPERLINK("http://yeinfo.com/family/I09000014.html", "CATHERINE E. DOWLING 1859 IR-1912 TN ID:09000015")</f>
        <v>CATHERINE E. DOWLING 1859 IR-1912 TN ID:09000015</v>
      </c>
      <c r="F10104" s="13"/>
      <c r="G10104" s="13"/>
      <c r="H10104" s="13"/>
      <c r="I10104" s="13"/>
    </row>
    <row r="10105" spans="5:11" x14ac:dyDescent="0.35">
      <c r="F10105" s="8" t="s">
        <v>6</v>
      </c>
    </row>
    <row r="10106" spans="5:11" x14ac:dyDescent="0.35">
      <c r="F10106" s="20" t="str">
        <f>HYPERLINK("http://yeinfo.com/family/I09000061.html", "Mrs. {_?_} DOWLING 1840 IR-1860 IR ID:09000031")</f>
        <v>Mrs. {_?_} DOWLING 1840 IR-1860 IR ID:09000031</v>
      </c>
      <c r="G10106" s="17"/>
      <c r="H10106" s="17"/>
      <c r="I10106" s="17"/>
      <c r="J10106" s="17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C6388-DDB6-4EE3-9BCC-59AB06001DD5}">
  <sheetPr codeName="Sheet1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Pedigree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Larry</dc:creator>
  <cp:lastModifiedBy>Larry</cp:lastModifiedBy>
  <dcterms:created xsi:type="dcterms:W3CDTF">2024-04-25T14:06:12Z</dcterms:created>
  <dcterms:modified xsi:type="dcterms:W3CDTF">2024-04-25T14:06:15Z</dcterms:modified>
</cp:coreProperties>
</file>